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FC520F5F-38C3-4593-A9BC-1D0FD9CCB1F4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</calcChain>
</file>

<file path=xl/sharedStrings.xml><?xml version="1.0" encoding="utf-8"?>
<sst xmlns="http://schemas.openxmlformats.org/spreadsheetml/2006/main" count="12090" uniqueCount="73">
  <si>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</si>
  <si>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</si>
  <si>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</si>
  <si>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</si>
  <si>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</si>
  <si>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</si>
  <si>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</si>
  <si>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</si>
  <si>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</si>
  <si>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</si>
  <si>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</si>
  <si>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</si>
  <si>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</si>
  <si>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</si>
  <si>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</si>
  <si>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</si>
  <si>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</si>
  <si>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</si>
  <si>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</si>
  <si>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</si>
  <si>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</si>
  <si>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</si>
  <si>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</si>
  <si>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</si>
  <si>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</si>
  <si>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</si>
  <si>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</si>
  <si>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</si>
  <si>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</si>
  <si>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</si>
  <si>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</si>
  <si>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</si>
  <si>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</si>
  <si>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</si>
  <si>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</si>
  <si>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</si>
  <si>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</si>
  <si>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</si>
  <si>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</si>
  <si>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</si>
  <si>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Testhuanghun_on</t>
  </si>
  <si>
    <t>mcp_road_part_02</t>
  </si>
  <si>
    <t>Kooper</t>
  </si>
  <si>
    <t>Building 07 (16)</t>
  </si>
  <si>
    <t>Plane_01</t>
  </si>
  <si>
    <t>mcp_roads_turn_01 (1)</t>
  </si>
  <si>
    <t>mcp_roads_T_cross_01</t>
  </si>
  <si>
    <t>mcp_roads_cross_02</t>
  </si>
  <si>
    <t>mcp_road_part_01</t>
  </si>
  <si>
    <t>Building 15 (33)</t>
  </si>
  <si>
    <t>Box001</t>
  </si>
  <si>
    <t>mcp_roads_cross_01</t>
  </si>
  <si>
    <t>Plane_01 (1)</t>
  </si>
  <si>
    <t>FAR</t>
  </si>
  <si>
    <t>Building 15 (31)</t>
  </si>
  <si>
    <t>Building 07 (15)</t>
  </si>
  <si>
    <t>Building 07 (18)</t>
  </si>
  <si>
    <t>Building 24</t>
  </si>
  <si>
    <t>Building 24 (1)</t>
  </si>
  <si>
    <t>mcp_roads_turn_01</t>
  </si>
  <si>
    <t>Building 09 (4)</t>
  </si>
  <si>
    <t>Building 13 (1)</t>
  </si>
  <si>
    <t>mcp_road_part_02 (1)</t>
  </si>
  <si>
    <t>mcp_road_part_02 (2)</t>
  </si>
  <si>
    <t>mcp_road_part_02 (3)</t>
  </si>
  <si>
    <t>Shurbs (2)</t>
  </si>
  <si>
    <t>mcp_road_part_02 (9)</t>
  </si>
  <si>
    <t>mcp_road_part_02 (6)</t>
  </si>
  <si>
    <t>mcp_road_part_02 (10)</t>
  </si>
  <si>
    <t>mcp_road_part_02 (8)</t>
  </si>
  <si>
    <t>mcp_road_part_02 (12)</t>
  </si>
  <si>
    <t>mcp_road_part_02 (11)</t>
  </si>
  <si>
    <t>Building 15 (22)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</si>
</sst>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26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"20190303162455548"</f>
        <v>20190303162455548</v>
      </c>
      <c r="B2" t="str">
        <f>"1551601495543170"</f>
        <v>1551601495543170</v>
      </c>
      <c r="C2" t="s">
        <v>40</v>
      </c>
      <c r="D2">
        <v>4.8959010000000003</v>
      </c>
      <c r="E2">
        <v>0.4969364</v>
      </c>
      <c r="F2" t="s">
        <v>41</v>
      </c>
      <c r="G2">
        <v>-458.69119999999998</v>
      </c>
      <c r="H2" s="1">
        <v>-1.156507E-6</v>
      </c>
      <c r="I2">
        <v>366.89139999999998</v>
      </c>
      <c r="J2">
        <v>-475.67009999999999</v>
      </c>
      <c r="K2">
        <v>1.120641</v>
      </c>
      <c r="L2">
        <v>367.06889999999999</v>
      </c>
      <c r="M2">
        <v>0.99996350000000001</v>
      </c>
      <c r="N2">
        <v>-8.55900699999999E-3</v>
      </c>
      <c r="O2" s="1">
        <v>-6.0571790000000001E-5</v>
      </c>
      <c r="P2">
        <v>0.98314630000000003</v>
      </c>
      <c r="Q2">
        <v>0.1822317</v>
      </c>
      <c r="R2">
        <v>-1.4670580000000001E-2</v>
      </c>
      <c r="S2">
        <v>3.0877379999999999</v>
      </c>
      <c r="T2">
        <v>-0.20372560000000001</v>
      </c>
      <c r="U2">
        <v>-3.225708E-2</v>
      </c>
      <c r="V2">
        <v>1.4618849999999999E-2</v>
      </c>
      <c r="W2">
        <v>0.19063930000000001</v>
      </c>
      <c r="X2">
        <v>0.98155130000000002</v>
      </c>
      <c r="Y2">
        <v>1.0360339999999999E-2</v>
      </c>
      <c r="Z2">
        <v>-3.8232099999999997E-4</v>
      </c>
      <c r="AA2">
        <v>0.99994620000000001</v>
      </c>
      <c r="AB2">
        <v>1</v>
      </c>
      <c r="AC2">
        <v>16.978899999999999</v>
      </c>
      <c r="AD2">
        <v>-1.1206421565069999</v>
      </c>
      <c r="AE2">
        <v>-0.17750000000000901</v>
      </c>
      <c r="AF2">
        <v>0.17570617981747899</v>
      </c>
      <c r="AG2">
        <v>-1.1206421565069999</v>
      </c>
      <c r="AH2">
        <v>16.905274823185302</v>
      </c>
      <c r="AI2">
        <v>93.792355425756796</v>
      </c>
      <c r="AJ2">
        <v>89.404513670535195</v>
      </c>
      <c r="AK2">
        <v>16.9432885931861</v>
      </c>
      <c r="AL2">
        <v>79.009904686312893</v>
      </c>
      <c r="AM2">
        <v>89.146721640946495</v>
      </c>
      <c r="AN2">
        <v>1.00000000400575</v>
      </c>
    </row>
    <row r="3" spans="1:40" x14ac:dyDescent="0.25">
      <c r="A3" t="str">
        <f>"20190303162455567"</f>
        <v>20190303162455567</v>
      </c>
      <c r="B3" t="str">
        <f>"1551601495562692"</f>
        <v>1551601495562692</v>
      </c>
      <c r="C3" t="s">
        <v>40</v>
      </c>
      <c r="D3">
        <v>4.9168250000000002</v>
      </c>
      <c r="E3">
        <v>0.49693340000000003</v>
      </c>
      <c r="F3" t="s">
        <v>41</v>
      </c>
      <c r="G3">
        <v>-458.47559999999999</v>
      </c>
      <c r="H3" s="1">
        <v>-1.2281079999999999E-6</v>
      </c>
      <c r="I3">
        <v>366.89789999999999</v>
      </c>
      <c r="J3">
        <v>-475.65949999999998</v>
      </c>
      <c r="K3">
        <v>1.120492</v>
      </c>
      <c r="L3">
        <v>367.06889999999999</v>
      </c>
      <c r="M3">
        <v>0.99997159999999996</v>
      </c>
      <c r="N3">
        <v>-7.5429169999999997E-3</v>
      </c>
      <c r="O3" s="1">
        <v>-6.0152950000000001E-5</v>
      </c>
      <c r="P3">
        <v>0.98300600000000005</v>
      </c>
      <c r="Q3">
        <v>0.18300949999999999</v>
      </c>
      <c r="R3">
        <v>-1.437798E-2</v>
      </c>
      <c r="S3">
        <v>3.0882869999999998</v>
      </c>
      <c r="T3">
        <v>-0.2012767</v>
      </c>
      <c r="U3">
        <v>-3.0700680000000001E-2</v>
      </c>
      <c r="V3">
        <v>1.432654E-2</v>
      </c>
      <c r="W3">
        <v>0.19041830000000001</v>
      </c>
      <c r="X3">
        <v>0.98159850000000004</v>
      </c>
      <c r="Y3">
        <v>9.8571279999999997E-3</v>
      </c>
      <c r="Z3">
        <v>-3.5462530000000001E-4</v>
      </c>
      <c r="AA3">
        <v>0.99995140000000005</v>
      </c>
      <c r="AB3">
        <v>1</v>
      </c>
      <c r="AC3">
        <v>17.183899999999898</v>
      </c>
      <c r="AD3">
        <v>-1.120493228108</v>
      </c>
      <c r="AE3">
        <v>-0.17099999999999199</v>
      </c>
      <c r="AF3">
        <v>0.16924677228662999</v>
      </c>
      <c r="AG3">
        <v>-1.120493228108</v>
      </c>
      <c r="AH3">
        <v>17.111163848940599</v>
      </c>
      <c r="AI3">
        <v>93.746377430812103</v>
      </c>
      <c r="AJ3">
        <v>89.433305085374997</v>
      </c>
      <c r="AK3">
        <v>17.148646529958501</v>
      </c>
      <c r="AL3">
        <v>79.022803257833601</v>
      </c>
      <c r="AM3">
        <v>89.163821053748194</v>
      </c>
      <c r="AN3">
        <v>0.99999999696275499</v>
      </c>
    </row>
    <row r="4" spans="1:40" x14ac:dyDescent="0.25">
      <c r="A4" t="str">
        <f>"20190303162455614"</f>
        <v>20190303162455614</v>
      </c>
      <c r="B4" t="str">
        <f>"1551601495603683"</f>
        <v>1551601495603683</v>
      </c>
      <c r="C4" t="s">
        <v>40</v>
      </c>
      <c r="D4">
        <v>4.9463019999999904</v>
      </c>
      <c r="E4">
        <v>0.49685509999999999</v>
      </c>
      <c r="F4" t="s">
        <v>41</v>
      </c>
      <c r="G4">
        <v>-458.07049999999998</v>
      </c>
      <c r="H4" s="1">
        <v>-1.36648599999999E-6</v>
      </c>
      <c r="I4">
        <v>366.89609999999999</v>
      </c>
      <c r="J4">
        <v>-475.62630000000001</v>
      </c>
      <c r="K4">
        <v>1.120209</v>
      </c>
      <c r="L4">
        <v>367.06889999999999</v>
      </c>
      <c r="M4">
        <v>0.99998629999999999</v>
      </c>
      <c r="N4">
        <v>-5.2419759999999998E-3</v>
      </c>
      <c r="O4" s="1">
        <v>-6.1449000000000001E-5</v>
      </c>
      <c r="P4">
        <v>0.98202710000000004</v>
      </c>
      <c r="Q4">
        <v>0.18824250000000001</v>
      </c>
      <c r="R4">
        <v>-1.3690880000000001E-2</v>
      </c>
      <c r="S4">
        <v>3.0880740000000002</v>
      </c>
      <c r="T4">
        <v>-0.19672139999999999</v>
      </c>
      <c r="U4">
        <v>-3.0334469999999999E-2</v>
      </c>
      <c r="V4">
        <v>1.363811E-2</v>
      </c>
      <c r="W4">
        <v>0.19338710000000001</v>
      </c>
      <c r="X4">
        <v>0.98102769999999995</v>
      </c>
      <c r="Y4">
        <v>9.7399210000000003E-3</v>
      </c>
      <c r="Z4">
        <v>-3.318808E-4</v>
      </c>
      <c r="AA4">
        <v>0.99995250000000002</v>
      </c>
      <c r="AB4">
        <v>1</v>
      </c>
      <c r="AC4">
        <v>17.555800000000001</v>
      </c>
      <c r="AD4">
        <v>-1.1202103664859999</v>
      </c>
      <c r="AE4">
        <v>-0.17279999999999501</v>
      </c>
      <c r="AF4">
        <v>0.171024932396067</v>
      </c>
      <c r="AG4">
        <v>-1.1202103664859999</v>
      </c>
      <c r="AH4">
        <v>17.484628246345999</v>
      </c>
      <c r="AI4">
        <v>93.665657885086404</v>
      </c>
      <c r="AJ4">
        <v>89.439582347100796</v>
      </c>
      <c r="AK4">
        <v>17.521311186826299</v>
      </c>
      <c r="AL4">
        <v>78.849481684253703</v>
      </c>
      <c r="AM4">
        <v>89.203533385713698</v>
      </c>
      <c r="AN4">
        <v>0.99999995832903499</v>
      </c>
    </row>
    <row r="5" spans="1:40" x14ac:dyDescent="0.25">
      <c r="A5" t="str">
        <f>"20190303162455660"</f>
        <v>20190303162455660</v>
      </c>
      <c r="B5" t="str">
        <f>"1551601495652484"</f>
        <v>1551601495652484</v>
      </c>
      <c r="C5" t="s">
        <v>40</v>
      </c>
      <c r="D5">
        <v>5.0659679999999998</v>
      </c>
      <c r="E5">
        <v>0.5118431</v>
      </c>
      <c r="F5" t="s">
        <v>41</v>
      </c>
      <c r="G5">
        <v>-456.11189999999999</v>
      </c>
      <c r="H5" s="1">
        <v>-2.1339629999999998E-6</v>
      </c>
      <c r="I5">
        <v>366.8897</v>
      </c>
      <c r="J5">
        <v>-475.58190000000002</v>
      </c>
      <c r="K5">
        <v>1.120009</v>
      </c>
      <c r="L5">
        <v>367.06889999999999</v>
      </c>
      <c r="M5">
        <v>0.99999470000000001</v>
      </c>
      <c r="N5">
        <v>-3.2950649999999998E-3</v>
      </c>
      <c r="O5" s="1">
        <v>-6.2740660000000005E-5</v>
      </c>
      <c r="P5">
        <v>0.98164189999999996</v>
      </c>
      <c r="Q5">
        <v>0.19017890000000001</v>
      </c>
      <c r="R5">
        <v>-1.454098E-2</v>
      </c>
      <c r="S5">
        <v>3.08847</v>
      </c>
      <c r="T5">
        <v>-0.1772907</v>
      </c>
      <c r="U5">
        <v>-2.835083E-2</v>
      </c>
      <c r="V5">
        <v>1.4486829999999999E-2</v>
      </c>
      <c r="W5">
        <v>0.193412</v>
      </c>
      <c r="X5">
        <v>0.98101070000000001</v>
      </c>
      <c r="Y5">
        <v>9.1006960000000001E-3</v>
      </c>
      <c r="Z5">
        <v>-2.7260320000000002E-4</v>
      </c>
      <c r="AA5">
        <v>0.99995860000000003</v>
      </c>
      <c r="AB5">
        <v>2</v>
      </c>
      <c r="AC5">
        <v>19.47</v>
      </c>
      <c r="AD5">
        <v>-1.1200111339629999</v>
      </c>
      <c r="AE5">
        <v>-0.17919999999997999</v>
      </c>
      <c r="AF5">
        <v>0.177391472227001</v>
      </c>
      <c r="AG5">
        <v>-1.1200111339629999</v>
      </c>
      <c r="AH5">
        <v>19.405800483261501</v>
      </c>
      <c r="AI5">
        <v>93.303039609436794</v>
      </c>
      <c r="AJ5">
        <v>89.476264861869694</v>
      </c>
      <c r="AK5">
        <v>19.438903906104699</v>
      </c>
      <c r="AL5">
        <v>78.848028394939305</v>
      </c>
      <c r="AM5">
        <v>89.153960410657106</v>
      </c>
      <c r="AN5">
        <v>1.0000000317509601</v>
      </c>
    </row>
    <row r="6" spans="1:40" x14ac:dyDescent="0.25">
      <c r="A6" t="str">
        <f>"20190303162455680"</f>
        <v>20190303162455680</v>
      </c>
      <c r="B6" t="str">
        <f>"1551601495672979"</f>
        <v>1551601495672979</v>
      </c>
      <c r="C6" t="s">
        <v>40</v>
      </c>
      <c r="D6">
        <v>5.0462020000000001</v>
      </c>
      <c r="E6">
        <v>0.51940350000000002</v>
      </c>
      <c r="F6" t="s">
        <v>42</v>
      </c>
      <c r="G6">
        <v>-474.84649999999999</v>
      </c>
      <c r="H6">
        <v>1.015137</v>
      </c>
      <c r="I6">
        <v>367.03289999999998</v>
      </c>
      <c r="J6">
        <v>-475.55669999999998</v>
      </c>
      <c r="K6">
        <v>1.119953</v>
      </c>
      <c r="L6">
        <v>367.06889999999999</v>
      </c>
      <c r="M6">
        <v>0.99999689999999997</v>
      </c>
      <c r="N6">
        <v>-2.5537960000000001E-3</v>
      </c>
      <c r="O6" s="1">
        <v>-6.3192909999999997E-5</v>
      </c>
      <c r="P6">
        <v>0.981734</v>
      </c>
      <c r="Q6">
        <v>0.1896803</v>
      </c>
      <c r="R6">
        <v>-1.483874E-2</v>
      </c>
      <c r="S6">
        <v>3.1405940000000001</v>
      </c>
      <c r="T6">
        <v>-0.44790039999999998</v>
      </c>
      <c r="U6">
        <v>-0.15341189999999999</v>
      </c>
      <c r="V6">
        <v>1.4784200000000001E-2</v>
      </c>
      <c r="W6">
        <v>0.1921861</v>
      </c>
      <c r="X6">
        <v>0.98124710000000004</v>
      </c>
      <c r="Y6">
        <v>4.8231650000000001E-2</v>
      </c>
      <c r="Z6">
        <v>-3.4731290000000001E-3</v>
      </c>
      <c r="AA6">
        <v>0.99883010000000005</v>
      </c>
      <c r="AB6">
        <v>2</v>
      </c>
      <c r="AC6">
        <v>0.71019999999998595</v>
      </c>
      <c r="AD6">
        <v>-0.10481599999999899</v>
      </c>
      <c r="AE6">
        <v>-3.6000000000001302E-2</v>
      </c>
      <c r="AF6">
        <v>3.5190570591857297E-2</v>
      </c>
      <c r="AG6">
        <v>-0.10481599999999899</v>
      </c>
      <c r="AH6">
        <v>0.69510053402991301</v>
      </c>
      <c r="AI6">
        <v>98.564366943618893</v>
      </c>
      <c r="AJ6">
        <v>87.101784394155203</v>
      </c>
      <c r="AK6">
        <v>0.703839131139532</v>
      </c>
      <c r="AL6">
        <v>78.919609606639597</v>
      </c>
      <c r="AM6">
        <v>89.136804404162007</v>
      </c>
      <c r="AN6">
        <v>0.99999997043062905</v>
      </c>
    </row>
    <row r="7" spans="1:40" x14ac:dyDescent="0.25">
      <c r="A7" t="str">
        <f>"20190303162455703"</f>
        <v>20190303162455703</v>
      </c>
      <c r="B7" t="str">
        <f>"1551601495692499"</f>
        <v>1551601495692499</v>
      </c>
      <c r="C7" t="s">
        <v>40</v>
      </c>
      <c r="D7">
        <v>5.087472</v>
      </c>
      <c r="E7">
        <v>0.51983500000000005</v>
      </c>
      <c r="F7" t="s">
        <v>42</v>
      </c>
      <c r="G7">
        <v>-474.86739999999998</v>
      </c>
      <c r="H7">
        <v>0.91728699999999996</v>
      </c>
      <c r="I7">
        <v>367.02080000000001</v>
      </c>
      <c r="J7">
        <v>-475.52870000000001</v>
      </c>
      <c r="K7">
        <v>1.1199220000000001</v>
      </c>
      <c r="L7">
        <v>367.06889999999999</v>
      </c>
      <c r="M7">
        <v>0.99999830000000001</v>
      </c>
      <c r="N7">
        <v>-1.893619E-3</v>
      </c>
      <c r="O7" s="1">
        <v>-6.3757769999999898E-5</v>
      </c>
      <c r="P7">
        <v>0.98135249999999996</v>
      </c>
      <c r="Q7">
        <v>0.1916342</v>
      </c>
      <c r="R7">
        <v>-1.495429E-2</v>
      </c>
      <c r="S7">
        <v>3.2362980000000001</v>
      </c>
      <c r="T7">
        <v>-0.95157099999999994</v>
      </c>
      <c r="U7">
        <v>-0.2235413</v>
      </c>
      <c r="V7">
        <v>1.489944E-2</v>
      </c>
      <c r="W7">
        <v>0.19349150000000001</v>
      </c>
      <c r="X7">
        <v>0.98098879999999999</v>
      </c>
      <c r="Y7">
        <v>6.6046460000000001E-2</v>
      </c>
      <c r="Z7">
        <v>-9.5436459999999994E-3</v>
      </c>
      <c r="AA7">
        <v>0.99777090000000002</v>
      </c>
      <c r="AB7">
        <v>3</v>
      </c>
      <c r="AC7">
        <v>0.66130000000003897</v>
      </c>
      <c r="AD7">
        <v>-0.20263499999999901</v>
      </c>
      <c r="AE7">
        <v>-4.8099999999976703E-2</v>
      </c>
      <c r="AF7">
        <v>4.3952715220529903E-2</v>
      </c>
      <c r="AG7">
        <v>-0.20263499999999901</v>
      </c>
      <c r="AH7">
        <v>0.60481426617080902</v>
      </c>
      <c r="AI7">
        <v>108.477336505165</v>
      </c>
      <c r="AJ7">
        <v>85.843540662410902</v>
      </c>
      <c r="AK7">
        <v>0.63936928371950397</v>
      </c>
      <c r="AL7">
        <v>78.843385204753005</v>
      </c>
      <c r="AM7">
        <v>89.129847969728004</v>
      </c>
      <c r="AN7">
        <v>0.99999998980500104</v>
      </c>
    </row>
    <row r="8" spans="1:40" x14ac:dyDescent="0.25">
      <c r="A8" t="str">
        <f>"20190303162455725"</f>
        <v>20190303162455725</v>
      </c>
      <c r="B8" t="str">
        <f>"1551601495712995"</f>
        <v>1551601495712995</v>
      </c>
      <c r="C8" t="s">
        <v>40</v>
      </c>
      <c r="D8">
        <v>5.123246</v>
      </c>
      <c r="E8">
        <v>0.52004309999999998</v>
      </c>
      <c r="F8" t="s">
        <v>42</v>
      </c>
      <c r="G8">
        <v>-474.84399999999999</v>
      </c>
      <c r="H8">
        <v>0.90799160000000001</v>
      </c>
      <c r="I8">
        <v>367.02080000000001</v>
      </c>
      <c r="J8">
        <v>-475.49689999999998</v>
      </c>
      <c r="K8">
        <v>1.119899</v>
      </c>
      <c r="L8">
        <v>367.06889999999999</v>
      </c>
      <c r="M8">
        <v>0.99999919999999998</v>
      </c>
      <c r="N8">
        <v>-1.277193E-3</v>
      </c>
      <c r="O8" s="1">
        <v>-6.4330040000000005E-5</v>
      </c>
      <c r="P8">
        <v>0.98111910000000002</v>
      </c>
      <c r="Q8">
        <v>0.1927876</v>
      </c>
      <c r="R8">
        <v>-1.5434740000000001E-2</v>
      </c>
      <c r="S8">
        <v>3.2499690000000001</v>
      </c>
      <c r="T8">
        <v>-1.0059119999999999</v>
      </c>
      <c r="U8">
        <v>-0.22790530000000001</v>
      </c>
      <c r="V8">
        <v>1.5379459999999999E-2</v>
      </c>
      <c r="W8">
        <v>0.1940402</v>
      </c>
      <c r="X8">
        <v>0.98087299999999999</v>
      </c>
      <c r="Y8">
        <v>6.676878E-2</v>
      </c>
      <c r="Z8">
        <v>-1.0109419999999999E-2</v>
      </c>
      <c r="AA8">
        <v>0.99771730000000003</v>
      </c>
      <c r="AB8">
        <v>3</v>
      </c>
      <c r="AC8">
        <v>0.65289999999998805</v>
      </c>
      <c r="AD8">
        <v>-0.2119074</v>
      </c>
      <c r="AE8">
        <v>-4.8099999999976703E-2</v>
      </c>
      <c r="AF8">
        <v>4.3500349415929E-2</v>
      </c>
      <c r="AG8">
        <v>-0.2119074</v>
      </c>
      <c r="AH8">
        <v>0.59098408997010399</v>
      </c>
      <c r="AI8">
        <v>109.677029582888</v>
      </c>
      <c r="AJ8">
        <v>85.790242326519504</v>
      </c>
      <c r="AK8">
        <v>0.62933236145288196</v>
      </c>
      <c r="AL8">
        <v>78.811339617283096</v>
      </c>
      <c r="AM8">
        <v>89.101712505541798</v>
      </c>
      <c r="AN8">
        <v>0.99999998456746497</v>
      </c>
    </row>
    <row r="9" spans="1:40" x14ac:dyDescent="0.25">
      <c r="A9" t="str">
        <f>"20190303162455748"</f>
        <v>20190303162455748</v>
      </c>
      <c r="B9" t="str">
        <f>"1551601495742275"</f>
        <v>1551601495742275</v>
      </c>
      <c r="C9" t="s">
        <v>40</v>
      </c>
      <c r="D9">
        <v>5.1557909999999998</v>
      </c>
      <c r="E9">
        <v>0.51958720000000003</v>
      </c>
      <c r="F9" t="s">
        <v>42</v>
      </c>
      <c r="G9">
        <v>-474.8141</v>
      </c>
      <c r="H9">
        <v>0.90848280000000003</v>
      </c>
      <c r="I9">
        <v>367.02019999999999</v>
      </c>
      <c r="J9">
        <v>-475.46260000000001</v>
      </c>
      <c r="K9">
        <v>1.119869</v>
      </c>
      <c r="L9">
        <v>367.06880000000001</v>
      </c>
      <c r="M9">
        <v>0.99999979999999999</v>
      </c>
      <c r="N9">
        <v>-7.2666820000000004E-4</v>
      </c>
      <c r="O9" s="1">
        <v>-6.4996969999999904E-5</v>
      </c>
      <c r="P9">
        <v>0.98134319999999997</v>
      </c>
      <c r="Q9">
        <v>0.19159580000000001</v>
      </c>
      <c r="R9">
        <v>-1.6022160000000001E-2</v>
      </c>
      <c r="S9">
        <v>3.252014</v>
      </c>
      <c r="T9">
        <v>-1.006872</v>
      </c>
      <c r="U9">
        <v>-0.22940060000000001</v>
      </c>
      <c r="V9">
        <v>1.5966089999999999E-2</v>
      </c>
      <c r="W9">
        <v>0.19230820000000001</v>
      </c>
      <c r="X9">
        <v>0.98120469999999904</v>
      </c>
      <c r="Y9">
        <v>6.7166279999999995E-2</v>
      </c>
      <c r="Z9">
        <v>-1.0153550000000001E-2</v>
      </c>
      <c r="AA9">
        <v>0.99769010000000002</v>
      </c>
      <c r="AB9">
        <v>3</v>
      </c>
      <c r="AC9">
        <v>0.64850000000001196</v>
      </c>
      <c r="AD9">
        <v>-0.211386199999999</v>
      </c>
      <c r="AE9">
        <v>-4.8600000000021702E-2</v>
      </c>
      <c r="AF9">
        <v>4.3917616761108801E-2</v>
      </c>
      <c r="AG9">
        <v>-0.211386199999999</v>
      </c>
      <c r="AH9">
        <v>0.58653160133004301</v>
      </c>
      <c r="AI9">
        <v>109.76814744112301</v>
      </c>
      <c r="AJ9">
        <v>85.717865377362202</v>
      </c>
      <c r="AK9">
        <v>0.62500576155040399</v>
      </c>
      <c r="AL9">
        <v>78.912481276917205</v>
      </c>
      <c r="AM9">
        <v>89.067769602842006</v>
      </c>
      <c r="AN9">
        <v>1.0000000115595999</v>
      </c>
    </row>
    <row r="10" spans="1:40" x14ac:dyDescent="0.25">
      <c r="A10" t="str">
        <f>"20190303162455770"</f>
        <v>20190303162455770</v>
      </c>
      <c r="B10" t="str">
        <f>"1551601495762771"</f>
        <v>1551601495762771</v>
      </c>
      <c r="C10" t="s">
        <v>40</v>
      </c>
      <c r="D10">
        <v>5.1404399999999999</v>
      </c>
      <c r="E10">
        <v>0.51930770000000004</v>
      </c>
      <c r="F10" t="s">
        <v>42</v>
      </c>
      <c r="G10">
        <v>-474.78230000000002</v>
      </c>
      <c r="H10">
        <v>0.90787220000000002</v>
      </c>
      <c r="I10">
        <v>367.02120000000002</v>
      </c>
      <c r="J10">
        <v>-475.4248</v>
      </c>
      <c r="K10">
        <v>1.1198440000000001</v>
      </c>
      <c r="L10">
        <v>367.06880000000001</v>
      </c>
      <c r="M10">
        <v>0.99999990000000005</v>
      </c>
      <c r="N10">
        <v>-2.2668100000000001E-4</v>
      </c>
      <c r="O10" s="1">
        <v>-6.5940589999999996E-5</v>
      </c>
      <c r="P10">
        <v>0.98158529999999999</v>
      </c>
      <c r="Q10">
        <v>0.19027959999999999</v>
      </c>
      <c r="R10">
        <v>-1.6851990000000001E-2</v>
      </c>
      <c r="S10">
        <v>3.25116</v>
      </c>
      <c r="T10">
        <v>-1.0131699999999999</v>
      </c>
      <c r="U10">
        <v>-0.22622680000000001</v>
      </c>
      <c r="V10">
        <v>1.6794940000000001E-2</v>
      </c>
      <c r="W10">
        <v>0.19050159999999999</v>
      </c>
      <c r="X10">
        <v>0.98154319999999895</v>
      </c>
      <c r="Y10">
        <v>6.6224140000000001E-2</v>
      </c>
      <c r="Z10">
        <v>-1.005607E-2</v>
      </c>
      <c r="AA10">
        <v>0.99775409999999998</v>
      </c>
      <c r="AB10">
        <v>3</v>
      </c>
      <c r="AC10">
        <v>0.64249999999998397</v>
      </c>
      <c r="AD10">
        <v>-0.21197179999999999</v>
      </c>
      <c r="AE10">
        <v>-4.7599999999988499E-2</v>
      </c>
      <c r="AF10">
        <v>4.2912322565364501E-2</v>
      </c>
      <c r="AG10">
        <v>-0.21197179999999999</v>
      </c>
      <c r="AH10">
        <v>0.57974503995246196</v>
      </c>
      <c r="AI10">
        <v>110.033465186646</v>
      </c>
      <c r="AJ10">
        <v>85.766726358836607</v>
      </c>
      <c r="AK10">
        <v>0.61877122005849305</v>
      </c>
      <c r="AL10">
        <v>79.017941464903302</v>
      </c>
      <c r="AM10">
        <v>89.019721919161</v>
      </c>
      <c r="AN10">
        <v>0.99999999153920105</v>
      </c>
    </row>
    <row r="11" spans="1:40" x14ac:dyDescent="0.25">
      <c r="A11" t="str">
        <f>"20190303162455792"</f>
        <v>20190303162455792</v>
      </c>
      <c r="B11" t="str">
        <f>"1551601495782291"</f>
        <v>1551601495782291</v>
      </c>
      <c r="C11" t="s">
        <v>40</v>
      </c>
      <c r="D11">
        <v>5.1810479999999997</v>
      </c>
      <c r="E11">
        <v>0.51912049999999998</v>
      </c>
      <c r="F11" t="s">
        <v>42</v>
      </c>
      <c r="G11">
        <v>-474.74790000000002</v>
      </c>
      <c r="H11">
        <v>0.9085432</v>
      </c>
      <c r="I11">
        <v>367.02120000000002</v>
      </c>
      <c r="J11">
        <v>-475.38639999999998</v>
      </c>
      <c r="K11">
        <v>1.1198269999999999</v>
      </c>
      <c r="L11">
        <v>367.06880000000001</v>
      </c>
      <c r="M11">
        <v>0.99999990000000005</v>
      </c>
      <c r="N11">
        <v>1.92762E-4</v>
      </c>
      <c r="O11" s="1">
        <v>-6.6882200000000001E-5</v>
      </c>
      <c r="P11">
        <v>0.98136710000000005</v>
      </c>
      <c r="Q11">
        <v>0.19128680000000001</v>
      </c>
      <c r="R11">
        <v>-1.8107890000000001E-2</v>
      </c>
      <c r="S11">
        <v>3.2490230000000002</v>
      </c>
      <c r="T11">
        <v>-1.014059</v>
      </c>
      <c r="U11">
        <v>-0.22518920000000001</v>
      </c>
      <c r="V11">
        <v>1.8050090000000001E-2</v>
      </c>
      <c r="W11">
        <v>0.19109699999999999</v>
      </c>
      <c r="X11">
        <v>0.98140519999999998</v>
      </c>
      <c r="Y11">
        <v>6.5959069999999995E-2</v>
      </c>
      <c r="Z11">
        <v>-1.001602E-2</v>
      </c>
      <c r="AA11">
        <v>0.99777199999999999</v>
      </c>
      <c r="AB11">
        <v>4</v>
      </c>
      <c r="AC11">
        <v>0.63849999999996498</v>
      </c>
      <c r="AD11">
        <v>-0.21128379999999999</v>
      </c>
      <c r="AE11">
        <v>-4.7599999999988499E-2</v>
      </c>
      <c r="AF11">
        <v>4.2887146300334203E-2</v>
      </c>
      <c r="AG11">
        <v>-0.21128379999999999</v>
      </c>
      <c r="AH11">
        <v>0.57580186254446797</v>
      </c>
      <c r="AI11">
        <v>110.09882452386999</v>
      </c>
      <c r="AJ11">
        <v>85.740334097029205</v>
      </c>
      <c r="AK11">
        <v>0.61483976479234304</v>
      </c>
      <c r="AL11">
        <v>78.983189417745805</v>
      </c>
      <c r="AM11">
        <v>88.946329825216907</v>
      </c>
      <c r="AN11">
        <v>1.0000000178725199</v>
      </c>
    </row>
    <row r="12" spans="1:40" x14ac:dyDescent="0.25">
      <c r="A12" t="str">
        <f>"20190303162455817"</f>
        <v>20190303162455817</v>
      </c>
      <c r="B12" t="str">
        <f>"1551601495813524"</f>
        <v>1551601495813524</v>
      </c>
      <c r="C12" t="s">
        <v>40</v>
      </c>
      <c r="D12">
        <v>5.245501</v>
      </c>
      <c r="E12">
        <v>0.51880499999999996</v>
      </c>
      <c r="F12" t="s">
        <v>42</v>
      </c>
      <c r="G12">
        <v>-474.71069999999997</v>
      </c>
      <c r="H12">
        <v>0.91004859999999999</v>
      </c>
      <c r="I12">
        <v>367.02190000000002</v>
      </c>
      <c r="J12">
        <v>-475.33890000000002</v>
      </c>
      <c r="K12">
        <v>1.119804</v>
      </c>
      <c r="L12">
        <v>367.06880000000001</v>
      </c>
      <c r="M12">
        <v>0.99999990000000005</v>
      </c>
      <c r="N12">
        <v>6.2011589999999995E-4</v>
      </c>
      <c r="O12" s="1">
        <v>-6.85101E-5</v>
      </c>
      <c r="P12">
        <v>0.98102549999999999</v>
      </c>
      <c r="Q12">
        <v>0.1928906</v>
      </c>
      <c r="R12">
        <v>-1.9565630000000001E-2</v>
      </c>
      <c r="S12">
        <v>3.24939</v>
      </c>
      <c r="T12">
        <v>-1.008775</v>
      </c>
      <c r="U12">
        <v>-0.22573850000000001</v>
      </c>
      <c r="V12">
        <v>1.9506079999999999E-2</v>
      </c>
      <c r="W12">
        <v>0.19228110000000001</v>
      </c>
      <c r="X12">
        <v>0.98114599999999996</v>
      </c>
      <c r="Y12">
        <v>6.6145789999999996E-2</v>
      </c>
      <c r="Z12">
        <v>-9.9782910000000002E-3</v>
      </c>
      <c r="AA12">
        <v>0.99776010000000004</v>
      </c>
      <c r="AB12">
        <v>4</v>
      </c>
      <c r="AC12">
        <v>0.62820000000004905</v>
      </c>
      <c r="AD12">
        <v>-0.20975540000000001</v>
      </c>
      <c r="AE12">
        <v>-4.6899999999993697E-2</v>
      </c>
      <c r="AF12">
        <v>4.2180395077234402E-2</v>
      </c>
      <c r="AG12">
        <v>-0.20975540000000001</v>
      </c>
      <c r="AH12">
        <v>0.56550528705092495</v>
      </c>
      <c r="AI12">
        <v>110.298892992337</v>
      </c>
      <c r="AJ12">
        <v>85.734272170827595</v>
      </c>
      <c r="AK12">
        <v>0.60462611855640203</v>
      </c>
      <c r="AL12">
        <v>78.914063290158396</v>
      </c>
      <c r="AM12">
        <v>88.861057531141199</v>
      </c>
      <c r="AN12">
        <v>0.99999999094508796</v>
      </c>
    </row>
    <row r="13" spans="1:40" x14ac:dyDescent="0.25">
      <c r="A13" t="str">
        <f>"20190303162455840"</f>
        <v>20190303162455840</v>
      </c>
      <c r="B13" t="str">
        <f>"1551601495833043"</f>
        <v>1551601495833043</v>
      </c>
      <c r="C13" t="s">
        <v>40</v>
      </c>
      <c r="D13">
        <v>5.2216440000000004</v>
      </c>
      <c r="E13">
        <v>0.51859679999999997</v>
      </c>
      <c r="F13" t="s">
        <v>42</v>
      </c>
      <c r="G13">
        <v>-474.6703</v>
      </c>
      <c r="H13">
        <v>0.91395820000000005</v>
      </c>
      <c r="I13">
        <v>367.02170000000001</v>
      </c>
      <c r="J13">
        <v>-475.29079999999999</v>
      </c>
      <c r="K13">
        <v>1.1197779999999999</v>
      </c>
      <c r="L13">
        <v>367.06880000000001</v>
      </c>
      <c r="M13">
        <v>0.99999959999999999</v>
      </c>
      <c r="N13">
        <v>9.709009E-4</v>
      </c>
      <c r="O13" s="1">
        <v>-6.9834629999999999E-5</v>
      </c>
      <c r="P13">
        <v>0.98078299999999996</v>
      </c>
      <c r="Q13">
        <v>0.19399549999999999</v>
      </c>
      <c r="R13">
        <v>-2.075221E-2</v>
      </c>
      <c r="S13">
        <v>3.2502749999999998</v>
      </c>
      <c r="T13">
        <v>-1.000699</v>
      </c>
      <c r="U13">
        <v>-0.2270508</v>
      </c>
      <c r="V13">
        <v>2.0691500000000002E-2</v>
      </c>
      <c r="W13">
        <v>0.1930423</v>
      </c>
      <c r="X13">
        <v>0.98097219999999996</v>
      </c>
      <c r="Y13">
        <v>6.6561159999999994E-2</v>
      </c>
      <c r="Z13">
        <v>-9.9490039999999991E-3</v>
      </c>
      <c r="AA13">
        <v>0.99773279999999998</v>
      </c>
      <c r="AB13">
        <v>4</v>
      </c>
      <c r="AC13">
        <v>0.62049999999999195</v>
      </c>
      <c r="AD13">
        <v>-0.2058198</v>
      </c>
      <c r="AE13">
        <v>-4.7100000000000301E-2</v>
      </c>
      <c r="AF13">
        <v>4.2416531118549698E-2</v>
      </c>
      <c r="AG13">
        <v>-0.2058198</v>
      </c>
      <c r="AH13">
        <v>0.55931706220043698</v>
      </c>
      <c r="AI13">
        <v>110.149627515421</v>
      </c>
      <c r="AJ13">
        <v>85.663201766523798</v>
      </c>
      <c r="AK13">
        <v>0.59749186459122505</v>
      </c>
      <c r="AL13">
        <v>78.869616730488005</v>
      </c>
      <c r="AM13">
        <v>88.791647866795998</v>
      </c>
      <c r="AN13">
        <v>0.99999996246718903</v>
      </c>
    </row>
    <row r="14" spans="1:40" x14ac:dyDescent="0.25">
      <c r="A14" t="str">
        <f>"20190303162455860"</f>
        <v>20190303162455860</v>
      </c>
      <c r="B14" t="str">
        <f>"1551601495852563"</f>
        <v>1551601495852563</v>
      </c>
      <c r="C14" t="s">
        <v>40</v>
      </c>
      <c r="D14">
        <v>5.2771270000000001</v>
      </c>
      <c r="E14">
        <v>0.51833980000000002</v>
      </c>
      <c r="F14" t="s">
        <v>42</v>
      </c>
      <c r="G14">
        <v>-474.59010000000001</v>
      </c>
      <c r="H14">
        <v>0.90514079999999997</v>
      </c>
      <c r="I14">
        <v>367.01900000000001</v>
      </c>
      <c r="J14">
        <v>-475.24639999999999</v>
      </c>
      <c r="K14">
        <v>1.1197469999999901</v>
      </c>
      <c r="L14">
        <v>367.06880000000001</v>
      </c>
      <c r="M14">
        <v>0.99999950000000004</v>
      </c>
      <c r="N14">
        <v>1.2415219999999999E-3</v>
      </c>
      <c r="O14" s="1">
        <v>-7.0932609999999898E-5</v>
      </c>
      <c r="P14">
        <v>0.98070710000000005</v>
      </c>
      <c r="Q14">
        <v>0.19430130000000001</v>
      </c>
      <c r="R14">
        <v>-2.147514E-2</v>
      </c>
      <c r="S14">
        <v>3.2509459999999999</v>
      </c>
      <c r="T14">
        <v>-0.99590129999999999</v>
      </c>
      <c r="U14">
        <v>-0.2284851</v>
      </c>
      <c r="V14">
        <v>2.141328E-2</v>
      </c>
      <c r="W14">
        <v>0.193083</v>
      </c>
      <c r="X14">
        <v>0.98094870000000001</v>
      </c>
      <c r="Y14">
        <v>6.6996810000000004E-2</v>
      </c>
      <c r="Z14">
        <v>-9.9564609999999998E-3</v>
      </c>
      <c r="AA14">
        <v>0.99770349999999997</v>
      </c>
      <c r="AB14">
        <v>5</v>
      </c>
      <c r="AC14">
        <v>0.656299999999987</v>
      </c>
      <c r="AD14">
        <v>-0.214606199999999</v>
      </c>
      <c r="AE14">
        <v>-4.9800000000004702E-2</v>
      </c>
      <c r="AF14">
        <v>4.4972306474914098E-2</v>
      </c>
      <c r="AG14">
        <v>-0.214606199999999</v>
      </c>
      <c r="AH14">
        <v>0.59323495029807605</v>
      </c>
      <c r="AI14">
        <v>109.835428047458</v>
      </c>
      <c r="AJ14">
        <v>85.664779676577098</v>
      </c>
      <c r="AK14">
        <v>0.63246030364227102</v>
      </c>
      <c r="AL14">
        <v>78.867240081954407</v>
      </c>
      <c r="AM14">
        <v>88.749480223357295</v>
      </c>
      <c r="AN14">
        <v>0.99999996274052305</v>
      </c>
    </row>
    <row r="15" spans="1:40" x14ac:dyDescent="0.25">
      <c r="A15" t="str">
        <f>"20190303162455882"</f>
        <v>20190303162455882</v>
      </c>
      <c r="B15" t="str">
        <f>"1551601495874035"</f>
        <v>1551601495874035</v>
      </c>
      <c r="C15" t="s">
        <v>40</v>
      </c>
      <c r="D15">
        <v>5.2838989999999999</v>
      </c>
      <c r="E15">
        <v>0.51811249999999998</v>
      </c>
      <c r="F15" t="s">
        <v>42</v>
      </c>
      <c r="G15">
        <v>-474.5446</v>
      </c>
      <c r="H15">
        <v>0.90524039999999995</v>
      </c>
      <c r="I15">
        <v>367.01960000000003</v>
      </c>
      <c r="J15">
        <v>-475.1952</v>
      </c>
      <c r="K15">
        <v>1.1197250000000001</v>
      </c>
      <c r="L15">
        <v>367.06880000000001</v>
      </c>
      <c r="M15">
        <v>0.99999890000000002</v>
      </c>
      <c r="N15">
        <v>1.5065110000000001E-3</v>
      </c>
      <c r="O15" s="1">
        <v>-7.2182379999999994E-5</v>
      </c>
      <c r="P15">
        <v>0.98052090000000003</v>
      </c>
      <c r="Q15">
        <v>0.1951137</v>
      </c>
      <c r="R15">
        <v>-2.2570380000000001E-2</v>
      </c>
      <c r="S15">
        <v>3.2509459999999999</v>
      </c>
      <c r="T15">
        <v>-0.99367019999999995</v>
      </c>
      <c r="U15">
        <v>-0.22796630000000001</v>
      </c>
      <c r="V15">
        <v>2.25075E-2</v>
      </c>
      <c r="W15">
        <v>0.1936351</v>
      </c>
      <c r="X15">
        <v>0.9808154</v>
      </c>
      <c r="Y15">
        <v>6.6859479999999999E-2</v>
      </c>
      <c r="Z15">
        <v>-9.9052280000000003E-3</v>
      </c>
      <c r="AA15">
        <v>0.99771319999999997</v>
      </c>
      <c r="AB15">
        <v>5</v>
      </c>
      <c r="AC15">
        <v>0.65059999999999696</v>
      </c>
      <c r="AD15">
        <v>-0.2144846</v>
      </c>
      <c r="AE15">
        <v>-4.9199999999984798E-2</v>
      </c>
      <c r="AF15">
        <v>4.4359320385116099E-2</v>
      </c>
      <c r="AG15">
        <v>-0.2144846</v>
      </c>
      <c r="AH15">
        <v>0.587152544371074</v>
      </c>
      <c r="AI15">
        <v>110.014564613902</v>
      </c>
      <c r="AJ15">
        <v>85.679516820971898</v>
      </c>
      <c r="AK15">
        <v>0.62667336252916905</v>
      </c>
      <c r="AL15">
        <v>78.834998977292898</v>
      </c>
      <c r="AM15">
        <v>88.685421880367699</v>
      </c>
      <c r="AN15">
        <v>0.99999999419271002</v>
      </c>
    </row>
    <row r="16" spans="1:40" x14ac:dyDescent="0.25">
      <c r="A16" t="str">
        <f>"20190303162455904"</f>
        <v>20190303162455904</v>
      </c>
      <c r="B16" t="str">
        <f>"1551601495892580"</f>
        <v>1551601495892580</v>
      </c>
      <c r="C16" t="s">
        <v>40</v>
      </c>
      <c r="D16">
        <v>5.3019699999999998</v>
      </c>
      <c r="E16">
        <v>0.5178604</v>
      </c>
      <c r="F16" t="s">
        <v>42</v>
      </c>
      <c r="G16">
        <v>-474.49630000000002</v>
      </c>
      <c r="H16">
        <v>0.90666329999999995</v>
      </c>
      <c r="I16">
        <v>367.01909999999998</v>
      </c>
      <c r="J16">
        <v>-475.14359999999999</v>
      </c>
      <c r="K16">
        <v>1.119702</v>
      </c>
      <c r="L16">
        <v>367.06880000000001</v>
      </c>
      <c r="M16">
        <v>0.99999850000000001</v>
      </c>
      <c r="N16">
        <v>1.7335600000000001E-3</v>
      </c>
      <c r="O16" s="1">
        <v>-7.3315529999999995E-5</v>
      </c>
      <c r="P16">
        <v>0.98040510000000003</v>
      </c>
      <c r="Q16">
        <v>0.19559219999999999</v>
      </c>
      <c r="R16">
        <v>-2.3440559999999999E-2</v>
      </c>
      <c r="S16">
        <v>3.2515869999999998</v>
      </c>
      <c r="T16">
        <v>-0.99128119999999997</v>
      </c>
      <c r="U16">
        <v>-0.22882079999999999</v>
      </c>
      <c r="V16">
        <v>2.337645E-2</v>
      </c>
      <c r="W16">
        <v>0.19389139999999999</v>
      </c>
      <c r="X16">
        <v>0.98074439999999996</v>
      </c>
      <c r="Y16">
        <v>6.7112039999999998E-2</v>
      </c>
      <c r="Z16">
        <v>-9.9096340000000005E-3</v>
      </c>
      <c r="AA16">
        <v>0.99769620000000003</v>
      </c>
      <c r="AB16">
        <v>5</v>
      </c>
      <c r="AC16">
        <v>0.64729999999997201</v>
      </c>
      <c r="AD16">
        <v>-0.2130387</v>
      </c>
      <c r="AE16">
        <v>-4.9700000000029797E-2</v>
      </c>
      <c r="AF16">
        <v>4.48255296479773E-2</v>
      </c>
      <c r="AG16">
        <v>-0.2130387</v>
      </c>
      <c r="AH16">
        <v>0.584375483058865</v>
      </c>
      <c r="AI16">
        <v>109.975704434924</v>
      </c>
      <c r="AJ16">
        <v>85.613617966038404</v>
      </c>
      <c r="AK16">
        <v>0.623610071283486</v>
      </c>
      <c r="AL16">
        <v>78.820029953846003</v>
      </c>
      <c r="AM16">
        <v>88.6345898411805</v>
      </c>
      <c r="AN16">
        <v>0.99999995576996004</v>
      </c>
    </row>
    <row r="17" spans="1:40" x14ac:dyDescent="0.25">
      <c r="A17" t="str">
        <f>"20190303162455928"</f>
        <v>20190303162455928</v>
      </c>
      <c r="B17" t="str">
        <f>"1551601495923166"</f>
        <v>1551601495923166</v>
      </c>
      <c r="C17" t="s">
        <v>40</v>
      </c>
      <c r="D17">
        <v>5.3766879999999997</v>
      </c>
      <c r="E17">
        <v>0.51827479999999904</v>
      </c>
      <c r="F17" t="s">
        <v>42</v>
      </c>
      <c r="G17">
        <v>-474.44600000000003</v>
      </c>
      <c r="H17">
        <v>0.90735940000000004</v>
      </c>
      <c r="I17">
        <v>367.01929999999999</v>
      </c>
      <c r="J17">
        <v>-475.08530000000002</v>
      </c>
      <c r="K17">
        <v>1.1196680000000001</v>
      </c>
      <c r="L17">
        <v>367.06880000000001</v>
      </c>
      <c r="M17">
        <v>0.9999981</v>
      </c>
      <c r="N17">
        <v>1.951698E-3</v>
      </c>
      <c r="O17" s="1">
        <v>-7.4942729999999999E-5</v>
      </c>
      <c r="P17">
        <v>0.98041299999999998</v>
      </c>
      <c r="Q17">
        <v>0.19548689999999999</v>
      </c>
      <c r="R17">
        <v>-2.3989190000000001E-2</v>
      </c>
      <c r="S17">
        <v>3.2519529999999999</v>
      </c>
      <c r="T17">
        <v>-0.98981030000000003</v>
      </c>
      <c r="U17">
        <v>-0.22937009999999999</v>
      </c>
      <c r="V17">
        <v>2.3923440000000001E-2</v>
      </c>
      <c r="W17">
        <v>0.19357189999999999</v>
      </c>
      <c r="X17">
        <v>0.98079439999999996</v>
      </c>
      <c r="Y17">
        <v>6.7274799999999996E-2</v>
      </c>
      <c r="Z17">
        <v>-9.9103980000000008E-3</v>
      </c>
      <c r="AA17">
        <v>0.9976853</v>
      </c>
      <c r="AB17">
        <v>5</v>
      </c>
      <c r="AC17">
        <v>0.63930000000004805</v>
      </c>
      <c r="AD17">
        <v>-0.21230859999999999</v>
      </c>
      <c r="AE17">
        <v>-4.9500000000023102E-2</v>
      </c>
      <c r="AF17">
        <v>4.4566282216137502E-2</v>
      </c>
      <c r="AG17">
        <v>-0.21230859999999999</v>
      </c>
      <c r="AH17">
        <v>0.57614127351773003</v>
      </c>
      <c r="AI17">
        <v>110.17350370585299</v>
      </c>
      <c r="AJ17">
        <v>85.576804973914193</v>
      </c>
      <c r="AK17">
        <v>0.61562964694299804</v>
      </c>
      <c r="AL17">
        <v>78.838690345089205</v>
      </c>
      <c r="AM17">
        <v>88.602724078979406</v>
      </c>
      <c r="AN17">
        <v>1.0000000332612</v>
      </c>
    </row>
    <row r="18" spans="1:40" x14ac:dyDescent="0.25">
      <c r="A18" t="str">
        <f>"20190303162455949"</f>
        <v>20190303162455949</v>
      </c>
      <c r="B18" t="str">
        <f>"1551601495942687"</f>
        <v>1551601495942687</v>
      </c>
      <c r="C18" t="s">
        <v>40</v>
      </c>
      <c r="D18">
        <v>5.3340100000000001</v>
      </c>
      <c r="E18">
        <v>0.53216319999999995</v>
      </c>
      <c r="F18" t="s">
        <v>42</v>
      </c>
      <c r="G18">
        <v>-474.39319999999998</v>
      </c>
      <c r="H18">
        <v>0.90865169999999995</v>
      </c>
      <c r="I18">
        <v>367.0188</v>
      </c>
      <c r="J18">
        <v>-475.02550000000002</v>
      </c>
      <c r="K18">
        <v>1.1196469999999901</v>
      </c>
      <c r="L18">
        <v>367.06880000000001</v>
      </c>
      <c r="M18">
        <v>0.99999780000000005</v>
      </c>
      <c r="N18">
        <v>2.1413809999999999E-3</v>
      </c>
      <c r="O18" s="1">
        <v>-7.6563549999999895E-5</v>
      </c>
      <c r="P18">
        <v>0.980487</v>
      </c>
      <c r="Q18">
        <v>0.1950674</v>
      </c>
      <c r="R18">
        <v>-2.4377449999999998E-2</v>
      </c>
      <c r="S18">
        <v>3.2519230000000001</v>
      </c>
      <c r="T18">
        <v>-0.99152019999999996</v>
      </c>
      <c r="U18">
        <v>-0.23336789999999999</v>
      </c>
      <c r="V18">
        <v>2.4309919999999999E-2</v>
      </c>
      <c r="W18">
        <v>0.19296650000000001</v>
      </c>
      <c r="X18">
        <v>0.9809042</v>
      </c>
      <c r="Y18">
        <v>6.8434190000000006E-2</v>
      </c>
      <c r="Z18">
        <v>-1.009088E-2</v>
      </c>
      <c r="AA18">
        <v>0.99760459999999995</v>
      </c>
      <c r="AB18">
        <v>6</v>
      </c>
      <c r="AC18">
        <v>0.63230000000004305</v>
      </c>
      <c r="AD18">
        <v>-0.210995299999999</v>
      </c>
      <c r="AE18">
        <v>-5.0000000000011299E-2</v>
      </c>
      <c r="AF18">
        <v>4.4974675933781801E-2</v>
      </c>
      <c r="AG18">
        <v>-0.210995299999999</v>
      </c>
      <c r="AH18">
        <v>0.56930440992592501</v>
      </c>
      <c r="AI18">
        <v>110.27767621075</v>
      </c>
      <c r="AJ18">
        <v>85.483051917266295</v>
      </c>
      <c r="AK18">
        <v>0.60880969872247004</v>
      </c>
      <c r="AL18">
        <v>78.874043914185094</v>
      </c>
      <c r="AM18">
        <v>88.580319306752003</v>
      </c>
      <c r="AN18">
        <v>1.0000000459551399</v>
      </c>
    </row>
    <row r="19" spans="1:40" x14ac:dyDescent="0.25">
      <c r="A19" t="str">
        <f>"20190303162455971"</f>
        <v>20190303162455971</v>
      </c>
      <c r="B19" t="str">
        <f>"1551601495963182"</f>
        <v>1551601495963182</v>
      </c>
      <c r="C19" t="s">
        <v>40</v>
      </c>
      <c r="D19">
        <v>5.3385850000000001</v>
      </c>
      <c r="E19">
        <v>0.53214159999999999</v>
      </c>
      <c r="F19" t="s">
        <v>42</v>
      </c>
      <c r="G19">
        <v>-474.34190000000001</v>
      </c>
      <c r="H19">
        <v>0.90204640000000003</v>
      </c>
      <c r="I19">
        <v>366.99619999999999</v>
      </c>
      <c r="J19">
        <v>-474.96289999999999</v>
      </c>
      <c r="K19">
        <v>1.1196189999999999</v>
      </c>
      <c r="L19">
        <v>367.06880000000001</v>
      </c>
      <c r="M19">
        <v>0.99999740000000004</v>
      </c>
      <c r="N19">
        <v>2.3106530000000002E-3</v>
      </c>
      <c r="O19" s="1">
        <v>-7.8178979999999997E-5</v>
      </c>
      <c r="P19">
        <v>0.98051259999999996</v>
      </c>
      <c r="Q19">
        <v>0.19492760000000001</v>
      </c>
      <c r="R19">
        <v>-2.4461429999999999E-2</v>
      </c>
      <c r="S19">
        <v>3.257355</v>
      </c>
      <c r="T19">
        <v>-1.0368569999999999</v>
      </c>
      <c r="U19">
        <v>-0.34588619999999998</v>
      </c>
      <c r="V19">
        <v>2.4392460000000001E-2</v>
      </c>
      <c r="W19">
        <v>0.19266059999999999</v>
      </c>
      <c r="X19">
        <v>0.98096220000000001</v>
      </c>
      <c r="Y19">
        <v>0.1006354</v>
      </c>
      <c r="Z19">
        <v>-1.544587E-2</v>
      </c>
      <c r="AA19">
        <v>0.99480349999999995</v>
      </c>
      <c r="AB19">
        <v>6</v>
      </c>
      <c r="AC19">
        <v>0.62099999999998001</v>
      </c>
      <c r="AD19">
        <v>-0.2175726</v>
      </c>
      <c r="AE19">
        <v>-7.2600000000022605E-2</v>
      </c>
      <c r="AF19">
        <v>6.47147548999331E-2</v>
      </c>
      <c r="AG19">
        <v>-0.2175726</v>
      </c>
      <c r="AH19">
        <v>0.55392731225361402</v>
      </c>
      <c r="AI19">
        <v>111.31217138334701</v>
      </c>
      <c r="AJ19">
        <v>83.336400953080499</v>
      </c>
      <c r="AK19">
        <v>0.59863286163810803</v>
      </c>
      <c r="AL19">
        <v>78.891904991644694</v>
      </c>
      <c r="AM19">
        <v>88.575585206473505</v>
      </c>
      <c r="AN19">
        <v>0.99999996836302496</v>
      </c>
    </row>
    <row r="20" spans="1:40" x14ac:dyDescent="0.25">
      <c r="A20" t="str">
        <f>"20190303162455995"</f>
        <v>20190303162455995</v>
      </c>
      <c r="B20" t="str">
        <f>"1551601495992463"</f>
        <v>1551601495992463</v>
      </c>
      <c r="C20" t="s">
        <v>40</v>
      </c>
      <c r="D20">
        <v>5.3738400000000004</v>
      </c>
      <c r="E20">
        <v>0.53165090000000004</v>
      </c>
      <c r="F20" t="s">
        <v>42</v>
      </c>
      <c r="G20">
        <v>-474.28480000000002</v>
      </c>
      <c r="H20">
        <v>0.90273300000000001</v>
      </c>
      <c r="I20">
        <v>366.99610000000001</v>
      </c>
      <c r="J20">
        <v>-474.89429999999999</v>
      </c>
      <c r="K20">
        <v>1.1195949999999999</v>
      </c>
      <c r="L20">
        <v>367.06880000000001</v>
      </c>
      <c r="M20">
        <v>0.99999700000000002</v>
      </c>
      <c r="N20">
        <v>2.469186E-3</v>
      </c>
      <c r="O20" s="1">
        <v>-7.9795619999999993E-5</v>
      </c>
      <c r="P20">
        <v>0.98068180000000005</v>
      </c>
      <c r="Q20">
        <v>0.19414039999999999</v>
      </c>
      <c r="R20">
        <v>-2.393298E-2</v>
      </c>
      <c r="S20">
        <v>3.2581479999999998</v>
      </c>
      <c r="T20">
        <v>-1.0420210000000001</v>
      </c>
      <c r="U20">
        <v>-0.34658810000000001</v>
      </c>
      <c r="V20">
        <v>2.3862350000000001E-2</v>
      </c>
      <c r="W20">
        <v>0.19171759999999999</v>
      </c>
      <c r="X20">
        <v>0.98116000000000003</v>
      </c>
      <c r="Y20">
        <v>0.100771</v>
      </c>
      <c r="Z20">
        <v>-1.5528170000000001E-2</v>
      </c>
      <c r="AA20">
        <v>0.99478849999999996</v>
      </c>
      <c r="AB20">
        <v>6</v>
      </c>
      <c r="AC20">
        <v>0.60949999999996796</v>
      </c>
      <c r="AD20">
        <v>-0.216862</v>
      </c>
      <c r="AE20">
        <v>-7.2699999999997503E-2</v>
      </c>
      <c r="AF20">
        <v>6.4589324054061106E-2</v>
      </c>
      <c r="AG20">
        <v>-0.216862</v>
      </c>
      <c r="AH20">
        <v>0.54186962648484704</v>
      </c>
      <c r="AI20">
        <v>111.672749708685</v>
      </c>
      <c r="AJ20">
        <v>83.202576877571502</v>
      </c>
      <c r="AK20">
        <v>0.58721682531462605</v>
      </c>
      <c r="AL20">
        <v>78.946961608926898</v>
      </c>
      <c r="AM20">
        <v>88.606809820792805</v>
      </c>
      <c r="AN20">
        <v>0.99999999774864101</v>
      </c>
    </row>
    <row r="21" spans="1:40" x14ac:dyDescent="0.25">
      <c r="A21" t="str">
        <f>"20190303162456016"</f>
        <v>20190303162456016</v>
      </c>
      <c r="B21" t="str">
        <f>"1551601496012958"</f>
        <v>1551601496012958</v>
      </c>
      <c r="C21" t="s">
        <v>40</v>
      </c>
      <c r="D21">
        <v>5.4042309999999896</v>
      </c>
      <c r="E21">
        <v>0.53147759999999999</v>
      </c>
      <c r="F21" t="s">
        <v>42</v>
      </c>
      <c r="G21">
        <v>-474.2251</v>
      </c>
      <c r="H21">
        <v>0.90426600000000001</v>
      </c>
      <c r="I21">
        <v>366.99869999999999</v>
      </c>
      <c r="J21">
        <v>-474.82979999999998</v>
      </c>
      <c r="K21">
        <v>1.1195630000000001</v>
      </c>
      <c r="L21">
        <v>367.06880000000001</v>
      </c>
      <c r="M21">
        <v>0.99999669999999896</v>
      </c>
      <c r="N21">
        <v>2.5974570000000001E-3</v>
      </c>
      <c r="O21" s="1">
        <v>-8.1385909999999895E-5</v>
      </c>
      <c r="P21">
        <v>0.98079039999999995</v>
      </c>
      <c r="Q21">
        <v>0.19364290000000001</v>
      </c>
      <c r="R21">
        <v>-2.3514730000000001E-2</v>
      </c>
      <c r="S21">
        <v>3.2583009999999999</v>
      </c>
      <c r="T21">
        <v>-1.048322</v>
      </c>
      <c r="U21">
        <v>-0.34005740000000001</v>
      </c>
      <c r="V21">
        <v>2.3442339999999999E-2</v>
      </c>
      <c r="W21">
        <v>0.19109419999999999</v>
      </c>
      <c r="X21">
        <v>0.98129169999999999</v>
      </c>
      <c r="Y21">
        <v>9.8831189999999999E-2</v>
      </c>
      <c r="Z21">
        <v>-1.531099E-2</v>
      </c>
      <c r="AA21">
        <v>0.99498640000000005</v>
      </c>
      <c r="AB21">
        <v>6</v>
      </c>
      <c r="AC21">
        <v>0.60469999999997903</v>
      </c>
      <c r="AD21">
        <v>-0.21529699999999899</v>
      </c>
      <c r="AE21">
        <v>-7.0100000000024906E-2</v>
      </c>
      <c r="AF21">
        <v>6.2262767155328601E-2</v>
      </c>
      <c r="AG21">
        <v>-0.21529699999999899</v>
      </c>
      <c r="AH21">
        <v>0.53747649081299498</v>
      </c>
      <c r="AI21">
        <v>111.698059228131</v>
      </c>
      <c r="AJ21">
        <v>83.392151093425198</v>
      </c>
      <c r="AK21">
        <v>0.582331888667872</v>
      </c>
      <c r="AL21">
        <v>78.983352307545303</v>
      </c>
      <c r="AM21">
        <v>88.631506083966798</v>
      </c>
      <c r="AN21">
        <v>0.99999996853360196</v>
      </c>
    </row>
    <row r="22" spans="1:40" x14ac:dyDescent="0.25">
      <c r="A22" t="str">
        <f>"20190303162456041"</f>
        <v>20190303162456041</v>
      </c>
      <c r="B22" t="str">
        <f>"1551601496032479"</f>
        <v>1551601496032479</v>
      </c>
      <c r="C22" t="s">
        <v>40</v>
      </c>
      <c r="D22">
        <v>5.4354879999999897</v>
      </c>
      <c r="E22">
        <v>0.53146979999999999</v>
      </c>
      <c r="F22" t="s">
        <v>42</v>
      </c>
      <c r="G22">
        <v>-474.1635</v>
      </c>
      <c r="H22">
        <v>0.90493429999999997</v>
      </c>
      <c r="I22">
        <v>366.9991</v>
      </c>
      <c r="J22">
        <v>-474.75409999999999</v>
      </c>
      <c r="K22">
        <v>1.119537</v>
      </c>
      <c r="L22">
        <v>367.06880000000001</v>
      </c>
      <c r="M22">
        <v>0.99999640000000001</v>
      </c>
      <c r="N22">
        <v>2.7261270000000001E-3</v>
      </c>
      <c r="O22" s="1">
        <v>-8.3580979999999997E-5</v>
      </c>
      <c r="P22">
        <v>0.98097789999999996</v>
      </c>
      <c r="Q22">
        <v>0.19281470000000001</v>
      </c>
      <c r="R22">
        <v>-2.2478330000000001E-2</v>
      </c>
      <c r="S22">
        <v>3.2578429999999998</v>
      </c>
      <c r="T22">
        <v>-1.0495000000000001</v>
      </c>
      <c r="U22">
        <v>-0.33810420000000002</v>
      </c>
      <c r="V22">
        <v>2.2403909999999999E-2</v>
      </c>
      <c r="W22">
        <v>0.1901389</v>
      </c>
      <c r="X22">
        <v>0.98150150000000003</v>
      </c>
      <c r="Y22">
        <v>9.8270839999999998E-2</v>
      </c>
      <c r="Z22">
        <v>-1.5235739999999999E-2</v>
      </c>
      <c r="AA22">
        <v>0.99504309999999996</v>
      </c>
      <c r="AB22">
        <v>7</v>
      </c>
      <c r="AC22">
        <v>0.59059999999999402</v>
      </c>
      <c r="AD22">
        <v>-0.21460269999999901</v>
      </c>
      <c r="AE22">
        <v>-6.97000000000116E-2</v>
      </c>
      <c r="AF22">
        <v>6.1625753087765703E-2</v>
      </c>
      <c r="AG22">
        <v>-0.21460269999999901</v>
      </c>
      <c r="AH22">
        <v>0.52255844890781999</v>
      </c>
      <c r="AI22">
        <v>112.188120531514</v>
      </c>
      <c r="AJ22">
        <v>83.274126633804599</v>
      </c>
      <c r="AK22">
        <v>0.56825996235514498</v>
      </c>
      <c r="AL22">
        <v>79.0391092644428</v>
      </c>
      <c r="AM22">
        <v>88.692384458128203</v>
      </c>
      <c r="AN22">
        <v>0.99999996548937298</v>
      </c>
    </row>
    <row r="23" spans="1:40" x14ac:dyDescent="0.25">
      <c r="A23" t="str">
        <f>"20190303162456061"</f>
        <v>20190303162456061</v>
      </c>
      <c r="B23" t="str">
        <f>"1551601496052976"</f>
        <v>1551601496052976</v>
      </c>
      <c r="C23" t="s">
        <v>40</v>
      </c>
      <c r="D23">
        <v>5.4394010000000002</v>
      </c>
      <c r="E23">
        <v>0.53150580000000003</v>
      </c>
      <c r="F23" t="s">
        <v>42</v>
      </c>
      <c r="G23">
        <v>-474.04</v>
      </c>
      <c r="H23">
        <v>0.88891609999999999</v>
      </c>
      <c r="I23">
        <v>366.99459999999999</v>
      </c>
      <c r="J23">
        <v>-474.68270000000001</v>
      </c>
      <c r="K23">
        <v>1.1195059999999999</v>
      </c>
      <c r="L23">
        <v>367.06880000000001</v>
      </c>
      <c r="M23">
        <v>0.99999610000000005</v>
      </c>
      <c r="N23">
        <v>2.8301350000000001E-3</v>
      </c>
      <c r="O23" s="1">
        <v>-8.515373E-5</v>
      </c>
      <c r="P23">
        <v>0.98114170000000001</v>
      </c>
      <c r="Q23">
        <v>0.19206039999999999</v>
      </c>
      <c r="R23">
        <v>-2.177612E-2</v>
      </c>
      <c r="S23">
        <v>3.2572329999999998</v>
      </c>
      <c r="T23">
        <v>-1.0519480000000001</v>
      </c>
      <c r="U23">
        <v>-0.3357849</v>
      </c>
      <c r="V23">
        <v>2.170012E-2</v>
      </c>
      <c r="W23">
        <v>0.18928210000000001</v>
      </c>
      <c r="X23">
        <v>0.98168299999999997</v>
      </c>
      <c r="Y23">
        <v>9.7598149999999995E-2</v>
      </c>
      <c r="Z23">
        <v>-1.516268E-2</v>
      </c>
      <c r="AA23">
        <v>0.99511039999999995</v>
      </c>
      <c r="AB23">
        <v>7</v>
      </c>
      <c r="AC23">
        <v>0.64269999999998995</v>
      </c>
      <c r="AD23">
        <v>-0.23058989999999899</v>
      </c>
      <c r="AE23">
        <v>-7.4200000000018904E-2</v>
      </c>
      <c r="AF23">
        <v>6.5788072371109299E-2</v>
      </c>
      <c r="AG23">
        <v>-0.23058989999999899</v>
      </c>
      <c r="AH23">
        <v>0.57026441395232297</v>
      </c>
      <c r="AI23">
        <v>111.884928992761</v>
      </c>
      <c r="AJ23">
        <v>83.419212226020306</v>
      </c>
      <c r="AK23">
        <v>0.61862854304396797</v>
      </c>
      <c r="AL23">
        <v>79.089109319977396</v>
      </c>
      <c r="AM23">
        <v>88.733682012572402</v>
      </c>
      <c r="AN23">
        <v>1.00000006053871</v>
      </c>
    </row>
    <row r="24" spans="1:40" x14ac:dyDescent="0.25">
      <c r="A24" t="str">
        <f>"20190303162456086"</f>
        <v>20190303162456086</v>
      </c>
      <c r="B24" t="str">
        <f>"1551601496082255"</f>
        <v>1551601496082255</v>
      </c>
      <c r="C24" t="s">
        <v>40</v>
      </c>
      <c r="D24">
        <v>5.4475309999999997</v>
      </c>
      <c r="E24">
        <v>0.53158380000000005</v>
      </c>
      <c r="F24" t="s">
        <v>42</v>
      </c>
      <c r="G24">
        <v>-473.9717</v>
      </c>
      <c r="H24">
        <v>0.88934489999999999</v>
      </c>
      <c r="I24">
        <v>366.99599999999998</v>
      </c>
      <c r="J24">
        <v>-474.60160000000002</v>
      </c>
      <c r="K24">
        <v>1.1194839999999999</v>
      </c>
      <c r="L24">
        <v>367.06880000000001</v>
      </c>
      <c r="M24">
        <v>0.99999579999999999</v>
      </c>
      <c r="N24">
        <v>2.9323410000000002E-3</v>
      </c>
      <c r="O24" s="1">
        <v>-8.7206059999999996E-5</v>
      </c>
      <c r="P24">
        <v>0.98122609999999999</v>
      </c>
      <c r="Q24">
        <v>0.19165989999999999</v>
      </c>
      <c r="R24">
        <v>-2.1492319999999999E-2</v>
      </c>
      <c r="S24">
        <v>3.2566220000000001</v>
      </c>
      <c r="T24">
        <v>-1.054373</v>
      </c>
      <c r="U24">
        <v>-0.33316040000000002</v>
      </c>
      <c r="V24">
        <v>2.1414369999999999E-2</v>
      </c>
      <c r="W24">
        <v>0.18878110000000001</v>
      </c>
      <c r="X24">
        <v>0.98178569999999998</v>
      </c>
      <c r="Y24">
        <v>9.6837119999999999E-2</v>
      </c>
      <c r="Z24">
        <v>-1.5075089999999999E-2</v>
      </c>
      <c r="AA24">
        <v>0.99518609999999996</v>
      </c>
      <c r="AB24">
        <v>7</v>
      </c>
      <c r="AC24">
        <v>0.62990000000002</v>
      </c>
      <c r="AD24">
        <v>-0.23013909999999899</v>
      </c>
      <c r="AE24">
        <v>-7.2800000000029202E-2</v>
      </c>
      <c r="AF24">
        <v>6.4277926274675101E-2</v>
      </c>
      <c r="AG24">
        <v>-0.23013909999999899</v>
      </c>
      <c r="AH24">
        <v>0.55658857124107097</v>
      </c>
      <c r="AI24">
        <v>112.33048254987</v>
      </c>
      <c r="AJ24">
        <v>83.412349382989404</v>
      </c>
      <c r="AK24">
        <v>0.60571156072107402</v>
      </c>
      <c r="AL24">
        <v>79.1183410832096</v>
      </c>
      <c r="AM24">
        <v>88.750482407852402</v>
      </c>
      <c r="AN24">
        <v>1.00000001984209</v>
      </c>
    </row>
    <row r="25" spans="1:40" x14ac:dyDescent="0.25">
      <c r="A25" t="str">
        <f>"20190303162456107"</f>
        <v>20190303162456107</v>
      </c>
      <c r="B25" t="str">
        <f>"1551601496102750"</f>
        <v>1551601496102750</v>
      </c>
      <c r="C25" t="s">
        <v>40</v>
      </c>
      <c r="D25">
        <v>5.4884519999999997</v>
      </c>
      <c r="E25">
        <v>0.53161619999999998</v>
      </c>
      <c r="F25" t="s">
        <v>42</v>
      </c>
      <c r="G25">
        <v>-473.90010000000001</v>
      </c>
      <c r="H25">
        <v>0.89220509999999997</v>
      </c>
      <c r="I25">
        <v>366.99709999999999</v>
      </c>
      <c r="J25">
        <v>-474.52640000000002</v>
      </c>
      <c r="K25">
        <v>1.1194630000000001</v>
      </c>
      <c r="L25">
        <v>367.06880000000001</v>
      </c>
      <c r="M25">
        <v>0.99999550000000004</v>
      </c>
      <c r="N25">
        <v>3.0151739999999998E-3</v>
      </c>
      <c r="O25" s="1">
        <v>-8.8877090000000003E-5</v>
      </c>
      <c r="P25">
        <v>0.98129140000000004</v>
      </c>
      <c r="Q25">
        <v>0.19135930000000001</v>
      </c>
      <c r="R25">
        <v>-2.11843E-2</v>
      </c>
      <c r="S25">
        <v>3.2561650000000002</v>
      </c>
      <c r="T25">
        <v>-1.0548949999999999</v>
      </c>
      <c r="U25">
        <v>-0.3306885</v>
      </c>
      <c r="V25">
        <v>2.1104810000000002E-2</v>
      </c>
      <c r="W25">
        <v>0.1883985</v>
      </c>
      <c r="X25">
        <v>0.98186589999999996</v>
      </c>
      <c r="Y25">
        <v>9.613215E-2</v>
      </c>
      <c r="Z25">
        <v>-1.497018E-2</v>
      </c>
      <c r="AA25">
        <v>0.99525600000000003</v>
      </c>
      <c r="AB25">
        <v>8</v>
      </c>
      <c r="AC25">
        <v>0.62630000000001396</v>
      </c>
      <c r="AD25">
        <v>-0.22725789999999901</v>
      </c>
      <c r="AE25">
        <v>-7.1700000000021094E-2</v>
      </c>
      <c r="AF25">
        <v>6.3404168337086994E-2</v>
      </c>
      <c r="AG25">
        <v>-0.22725789999999901</v>
      </c>
      <c r="AH25">
        <v>0.55427179418678896</v>
      </c>
      <c r="AI25">
        <v>112.16377561712299</v>
      </c>
      <c r="AJ25">
        <v>83.474196370454493</v>
      </c>
      <c r="AK25">
        <v>0.60239809387644105</v>
      </c>
      <c r="AL25">
        <v>79.140663068972501</v>
      </c>
      <c r="AM25">
        <v>88.768640029577298</v>
      </c>
      <c r="AN25">
        <v>1.0000000266950899</v>
      </c>
    </row>
    <row r="26" spans="1:40" x14ac:dyDescent="0.25">
      <c r="A26" t="str">
        <f>"20190303162456128"</f>
        <v>20190303162456128</v>
      </c>
      <c r="B26" t="str">
        <f>"1551601496122777"</f>
        <v>1551601496122777</v>
      </c>
      <c r="C26" t="s">
        <v>40</v>
      </c>
      <c r="D26">
        <v>5.4931580000000002</v>
      </c>
      <c r="E26">
        <v>0.53136830000000002</v>
      </c>
      <c r="F26" t="s">
        <v>42</v>
      </c>
      <c r="G26">
        <v>-473.8272</v>
      </c>
      <c r="H26">
        <v>0.89262909999999995</v>
      </c>
      <c r="I26">
        <v>366.99759999999998</v>
      </c>
      <c r="J26">
        <v>-474.44540000000001</v>
      </c>
      <c r="K26">
        <v>1.119437</v>
      </c>
      <c r="L26">
        <v>367.06880000000001</v>
      </c>
      <c r="M26">
        <v>0.99999530000000003</v>
      </c>
      <c r="N26">
        <v>3.093359E-3</v>
      </c>
      <c r="O26" s="1">
        <v>-9.0782840000000004E-5</v>
      </c>
      <c r="P26">
        <v>0.98149900000000001</v>
      </c>
      <c r="Q26">
        <v>0.19031310000000001</v>
      </c>
      <c r="R26">
        <v>-2.1005099999999999E-2</v>
      </c>
      <c r="S26">
        <v>3.2559809999999998</v>
      </c>
      <c r="T26">
        <v>-1.056235</v>
      </c>
      <c r="U26">
        <v>-0.33139039999999997</v>
      </c>
      <c r="V26">
        <v>2.0923440000000001E-2</v>
      </c>
      <c r="W26">
        <v>0.18727489999999999</v>
      </c>
      <c r="X26">
        <v>0.98208470000000003</v>
      </c>
      <c r="Y26">
        <v>9.6327360000000001E-2</v>
      </c>
      <c r="Z26">
        <v>-1.501512E-2</v>
      </c>
      <c r="AA26">
        <v>0.99523649999999997</v>
      </c>
      <c r="AB26">
        <v>8</v>
      </c>
      <c r="AC26">
        <v>0.61820000000000097</v>
      </c>
      <c r="AD26">
        <v>-0.22680790000000001</v>
      </c>
      <c r="AE26">
        <v>-7.1200000000033001E-2</v>
      </c>
      <c r="AF26">
        <v>6.2801236150635403E-2</v>
      </c>
      <c r="AG26">
        <v>-0.22680790000000001</v>
      </c>
      <c r="AH26">
        <v>0.54571287551323799</v>
      </c>
      <c r="AI26">
        <v>112.435364923419</v>
      </c>
      <c r="AJ26">
        <v>83.435217795725094</v>
      </c>
      <c r="AK26">
        <v>0.59429652637835995</v>
      </c>
      <c r="AL26">
        <v>79.206207185719606</v>
      </c>
      <c r="AM26">
        <v>88.779490741784699</v>
      </c>
      <c r="AN26">
        <v>1.00000001824276</v>
      </c>
    </row>
    <row r="27" spans="1:40" x14ac:dyDescent="0.25">
      <c r="A27" t="str">
        <f>"20190303162456150"</f>
        <v>20190303162456150</v>
      </c>
      <c r="B27" t="str">
        <f>"1551601496142299"</f>
        <v>1551601496142299</v>
      </c>
      <c r="C27" t="s">
        <v>40</v>
      </c>
      <c r="D27">
        <v>5.5091900000000003</v>
      </c>
      <c r="E27">
        <v>0.53118769999999904</v>
      </c>
      <c r="F27" t="s">
        <v>42</v>
      </c>
      <c r="G27">
        <v>-473.75189999999998</v>
      </c>
      <c r="H27">
        <v>0.893179099999999</v>
      </c>
      <c r="I27">
        <v>366.9982</v>
      </c>
      <c r="J27">
        <v>-474.36309999999997</v>
      </c>
      <c r="K27">
        <v>1.1194090000000001</v>
      </c>
      <c r="L27">
        <v>367.06880000000001</v>
      </c>
      <c r="M27">
        <v>0.99999499999999997</v>
      </c>
      <c r="N27">
        <v>3.1631350000000001E-3</v>
      </c>
      <c r="O27" s="1">
        <v>-9.2559449999999997E-5</v>
      </c>
      <c r="P27">
        <v>0.98174709999999998</v>
      </c>
      <c r="Q27">
        <v>0.18910589999999999</v>
      </c>
      <c r="R27">
        <v>-2.029094E-2</v>
      </c>
      <c r="S27">
        <v>3.2554319999999999</v>
      </c>
      <c r="T27">
        <v>-1.061941</v>
      </c>
      <c r="U27">
        <v>-0.32980350000000003</v>
      </c>
      <c r="V27">
        <v>2.020746E-2</v>
      </c>
      <c r="W27">
        <v>0.18599879999999999</v>
      </c>
      <c r="X27">
        <v>0.9823421</v>
      </c>
      <c r="Y27">
        <v>9.5835279999999995E-2</v>
      </c>
      <c r="Z27">
        <v>-1.501452E-2</v>
      </c>
      <c r="AA27">
        <v>0.99528399999999995</v>
      </c>
      <c r="AB27">
        <v>8</v>
      </c>
      <c r="AC27">
        <v>0.61119999999999597</v>
      </c>
      <c r="AD27">
        <v>-0.22622990000000001</v>
      </c>
      <c r="AE27">
        <v>-7.0600000000013097E-2</v>
      </c>
      <c r="AF27">
        <v>6.21418440661013E-2</v>
      </c>
      <c r="AG27">
        <v>-0.22622990000000001</v>
      </c>
      <c r="AH27">
        <v>0.53841303978698996</v>
      </c>
      <c r="AI27">
        <v>112.65605402952301</v>
      </c>
      <c r="AJ27">
        <v>83.4162424750524</v>
      </c>
      <c r="AK27">
        <v>0.58730756665533601</v>
      </c>
      <c r="AL27">
        <v>79.280629260628999</v>
      </c>
      <c r="AM27">
        <v>88.821552181484407</v>
      </c>
      <c r="AN27">
        <v>0.99999994823674898</v>
      </c>
    </row>
    <row r="28" spans="1:40" x14ac:dyDescent="0.25">
      <c r="A28" t="str">
        <f>"20190303162456172"</f>
        <v>20190303162456172</v>
      </c>
      <c r="B28" t="str">
        <f>"1551601496162795"</f>
        <v>1551601496162795</v>
      </c>
      <c r="C28" t="s">
        <v>40</v>
      </c>
      <c r="D28">
        <v>5.5133989999999997</v>
      </c>
      <c r="E28">
        <v>0.53102329999999998</v>
      </c>
      <c r="F28" t="s">
        <v>42</v>
      </c>
      <c r="G28">
        <v>-473.67439999999999</v>
      </c>
      <c r="H28">
        <v>0.8934917</v>
      </c>
      <c r="I28">
        <v>366.99950000000001</v>
      </c>
      <c r="J28">
        <v>-474.2731</v>
      </c>
      <c r="K28">
        <v>1.1193820000000001</v>
      </c>
      <c r="L28">
        <v>367.06880000000001</v>
      </c>
      <c r="M28">
        <v>0.99999479999999996</v>
      </c>
      <c r="N28">
        <v>3.2298819999999999E-3</v>
      </c>
      <c r="O28" s="1">
        <v>-9.4572319999999997E-5</v>
      </c>
      <c r="P28">
        <v>0.98210790000000003</v>
      </c>
      <c r="Q28">
        <v>0.18727530000000001</v>
      </c>
      <c r="R28">
        <v>-1.9804410000000001E-2</v>
      </c>
      <c r="S28">
        <v>3.2547000000000001</v>
      </c>
      <c r="T28">
        <v>-1.067639</v>
      </c>
      <c r="U28">
        <v>-0.32681270000000001</v>
      </c>
      <c r="V28">
        <v>1.9718860000000001E-2</v>
      </c>
      <c r="W28">
        <v>0.1841015</v>
      </c>
      <c r="X28">
        <v>0.98270939999999996</v>
      </c>
      <c r="Y28">
        <v>9.4943310000000003E-2</v>
      </c>
      <c r="Z28">
        <v>-1.495108E-2</v>
      </c>
      <c r="AA28">
        <v>0.99537039999999999</v>
      </c>
      <c r="AB28">
        <v>8</v>
      </c>
      <c r="AC28">
        <v>0.598700000000007</v>
      </c>
      <c r="AD28">
        <v>-0.22589029999999899</v>
      </c>
      <c r="AE28">
        <v>-6.9299999999998294E-2</v>
      </c>
      <c r="AF28">
        <v>6.0714552137828802E-2</v>
      </c>
      <c r="AG28">
        <v>-0.22589029999999899</v>
      </c>
      <c r="AH28">
        <v>0.52496282924822202</v>
      </c>
      <c r="AI28">
        <v>113.14420867157401</v>
      </c>
      <c r="AJ28">
        <v>83.402770033543007</v>
      </c>
      <c r="AK28">
        <v>0.57471615304225199</v>
      </c>
      <c r="AL28">
        <v>79.391247382589697</v>
      </c>
      <c r="AM28">
        <v>88.850468045345707</v>
      </c>
      <c r="AN28">
        <v>0.99999998029515402</v>
      </c>
    </row>
    <row r="29" spans="1:40" x14ac:dyDescent="0.25">
      <c r="A29" t="str">
        <f>"20190303162456195"</f>
        <v>20190303162456195</v>
      </c>
      <c r="B29" t="str">
        <f>"1551601496193050"</f>
        <v>1551601496193050</v>
      </c>
      <c r="C29" t="s">
        <v>40</v>
      </c>
      <c r="D29">
        <v>5.5005040000000003</v>
      </c>
      <c r="E29">
        <v>0.52962169999999997</v>
      </c>
      <c r="F29" t="s">
        <v>42</v>
      </c>
      <c r="G29">
        <v>-473.59410000000003</v>
      </c>
      <c r="H29">
        <v>0.89501889999999995</v>
      </c>
      <c r="I29">
        <v>367.00040000000001</v>
      </c>
      <c r="J29">
        <v>-474.17970000000003</v>
      </c>
      <c r="K29">
        <v>1.1193599999999999</v>
      </c>
      <c r="L29">
        <v>367.06880000000001</v>
      </c>
      <c r="M29">
        <v>0.99999459999999996</v>
      </c>
      <c r="N29">
        <v>3.290622E-3</v>
      </c>
      <c r="O29" s="1">
        <v>-9.6220070000000002E-5</v>
      </c>
      <c r="P29">
        <v>0.98232750000000002</v>
      </c>
      <c r="Q29">
        <v>0.1861748</v>
      </c>
      <c r="R29">
        <v>-1.9285549999999999E-2</v>
      </c>
      <c r="S29">
        <v>3.2530519999999998</v>
      </c>
      <c r="T29">
        <v>-1.074867</v>
      </c>
      <c r="U29">
        <v>-0.32421879999999997</v>
      </c>
      <c r="V29">
        <v>1.9198360000000001E-2</v>
      </c>
      <c r="W29">
        <v>0.1829404</v>
      </c>
      <c r="X29">
        <v>0.98293660000000005</v>
      </c>
      <c r="Y29">
        <v>9.4176709999999997E-2</v>
      </c>
      <c r="Z29">
        <v>-1.493076E-2</v>
      </c>
      <c r="AA29">
        <v>0.99544350000000004</v>
      </c>
      <c r="AB29">
        <v>9</v>
      </c>
      <c r="AC29">
        <v>0.58559999999999901</v>
      </c>
      <c r="AD29">
        <v>-0.22434109999999999</v>
      </c>
      <c r="AE29">
        <v>-6.8399999999996894E-2</v>
      </c>
      <c r="AF29">
        <v>5.9699868949569301E-2</v>
      </c>
      <c r="AG29">
        <v>-0.22434109999999999</v>
      </c>
      <c r="AH29">
        <v>0.51154181145279898</v>
      </c>
      <c r="AI29">
        <v>113.538047684017</v>
      </c>
      <c r="AJ29">
        <v>83.343365924362999</v>
      </c>
      <c r="AK29">
        <v>0.56175441997924402</v>
      </c>
      <c r="AL29">
        <v>79.458923817925907</v>
      </c>
      <c r="AM29">
        <v>88.881061954835999</v>
      </c>
      <c r="AN29">
        <v>1.0000000632992001</v>
      </c>
    </row>
    <row r="30" spans="1:40" x14ac:dyDescent="0.25">
      <c r="A30" t="str">
        <f>"20190303162456216"</f>
        <v>20190303162456216</v>
      </c>
      <c r="B30" t="str">
        <f>"1551601496212570"</f>
        <v>1551601496212570</v>
      </c>
      <c r="C30" t="s">
        <v>40</v>
      </c>
      <c r="D30">
        <v>6.2464899999999997</v>
      </c>
      <c r="E30">
        <v>0.4814351</v>
      </c>
      <c r="F30" t="s">
        <v>42</v>
      </c>
      <c r="G30">
        <v>-473.50990000000002</v>
      </c>
      <c r="H30">
        <v>0.9009047</v>
      </c>
      <c r="I30">
        <v>367.0043</v>
      </c>
      <c r="J30">
        <v>-474.09190000000001</v>
      </c>
      <c r="K30">
        <v>1.119332</v>
      </c>
      <c r="L30">
        <v>367.06880000000001</v>
      </c>
      <c r="M30">
        <v>0.99999450000000001</v>
      </c>
      <c r="N30">
        <v>3.341082E-3</v>
      </c>
      <c r="O30" s="1">
        <v>-9.7971850000000006E-5</v>
      </c>
      <c r="P30">
        <v>0.98247549999999995</v>
      </c>
      <c r="Q30">
        <v>0.18546979999999999</v>
      </c>
      <c r="R30">
        <v>-1.8521860000000001E-2</v>
      </c>
      <c r="S30">
        <v>3.248688</v>
      </c>
      <c r="T30">
        <v>-1.059526</v>
      </c>
      <c r="U30">
        <v>-0.31213380000000002</v>
      </c>
      <c r="V30">
        <v>1.8432939999999998E-2</v>
      </c>
      <c r="W30">
        <v>0.18218509999999999</v>
      </c>
      <c r="X30">
        <v>0.98309150000000001</v>
      </c>
      <c r="Y30">
        <v>9.0926259999999995E-2</v>
      </c>
      <c r="Z30">
        <v>-1.423454E-2</v>
      </c>
      <c r="AA30">
        <v>0.99575590000000003</v>
      </c>
      <c r="AB30">
        <v>9</v>
      </c>
      <c r="AC30">
        <v>0.58199999999999297</v>
      </c>
      <c r="AD30">
        <v>-0.21842729999999999</v>
      </c>
      <c r="AE30">
        <v>-6.4500000000009494E-2</v>
      </c>
      <c r="AF30">
        <v>5.6571378928392403E-2</v>
      </c>
      <c r="AG30">
        <v>-0.21842729999999999</v>
      </c>
      <c r="AH30">
        <v>0.51091523060619504</v>
      </c>
      <c r="AI30">
        <v>113.021838605561</v>
      </c>
      <c r="AJ30">
        <v>83.681629799333507</v>
      </c>
      <c r="AK30">
        <v>0.55852052707535405</v>
      </c>
      <c r="AL30">
        <v>79.502938788818398</v>
      </c>
      <c r="AM30">
        <v>88.925831494558906</v>
      </c>
      <c r="AN30">
        <v>1.00000004065565</v>
      </c>
    </row>
    <row r="31" spans="1:40" x14ac:dyDescent="0.25">
      <c r="A31" t="str">
        <f>"20190303162456240"</f>
        <v>20190303162456240</v>
      </c>
      <c r="B31" t="str">
        <f>"1551601496233066"</f>
        <v>1551601496233066</v>
      </c>
      <c r="C31" t="s">
        <v>40</v>
      </c>
      <c r="D31">
        <v>5.4340289999999998</v>
      </c>
      <c r="E31">
        <v>0.4779446</v>
      </c>
      <c r="F31" t="s">
        <v>43</v>
      </c>
      <c r="G31">
        <v>-158.19499999999999</v>
      </c>
      <c r="H31">
        <v>25.147390000000001</v>
      </c>
      <c r="I31">
        <v>376.4085</v>
      </c>
      <c r="J31">
        <v>-473.99220000000003</v>
      </c>
      <c r="K31">
        <v>1.119313</v>
      </c>
      <c r="L31">
        <v>367.06880000000001</v>
      </c>
      <c r="M31">
        <v>0.9999943</v>
      </c>
      <c r="N31">
        <v>3.3914129999999998E-3</v>
      </c>
      <c r="O31" s="1">
        <v>-9.9843860000000005E-5</v>
      </c>
      <c r="P31">
        <v>0.98272510000000002</v>
      </c>
      <c r="Q31">
        <v>0.18418619999999999</v>
      </c>
      <c r="R31">
        <v>-1.8086560000000002E-2</v>
      </c>
      <c r="S31">
        <v>3.0119630000000002</v>
      </c>
      <c r="T31">
        <v>0.22909959999999999</v>
      </c>
      <c r="U31">
        <v>8.9050290000000004E-2</v>
      </c>
      <c r="V31">
        <v>1.79956E-2</v>
      </c>
      <c r="W31">
        <v>0.18085200000000001</v>
      </c>
      <c r="X31">
        <v>0.98334569999999999</v>
      </c>
      <c r="Y31">
        <v>-2.9563019999999999E-2</v>
      </c>
      <c r="Z31">
        <v>-1.1799239999999999E-3</v>
      </c>
      <c r="AA31">
        <v>0.99956219999999996</v>
      </c>
      <c r="AB31">
        <v>9</v>
      </c>
      <c r="AC31">
        <v>315.79719999999998</v>
      </c>
      <c r="AD31">
        <v>24.028077</v>
      </c>
      <c r="AE31">
        <v>9.3396999999999899</v>
      </c>
      <c r="AF31">
        <v>-9.3173373906154406</v>
      </c>
      <c r="AG31">
        <v>24.028077</v>
      </c>
      <c r="AH31">
        <v>313.98014830783001</v>
      </c>
      <c r="AI31">
        <v>85.625752011544606</v>
      </c>
      <c r="AJ31">
        <v>91.699749150224307</v>
      </c>
      <c r="AK31">
        <v>315.03602141941701</v>
      </c>
      <c r="AL31">
        <v>79.580609960994806</v>
      </c>
      <c r="AM31">
        <v>88.951582490685198</v>
      </c>
      <c r="AN31">
        <v>1.0000000266159199</v>
      </c>
    </row>
    <row r="32" spans="1:40" x14ac:dyDescent="0.25">
      <c r="A32" t="str">
        <f>"20190303162456263"</f>
        <v>20190303162456263</v>
      </c>
      <c r="B32" t="str">
        <f>"1551601496252586"</f>
        <v>1551601496252586</v>
      </c>
      <c r="C32" t="s">
        <v>40</v>
      </c>
      <c r="D32">
        <v>5.7824549999999997</v>
      </c>
      <c r="E32">
        <v>0.4865274</v>
      </c>
      <c r="F32" t="s">
        <v>43</v>
      </c>
      <c r="G32">
        <v>-158.19499999999999</v>
      </c>
      <c r="H32">
        <v>27.605920000000001</v>
      </c>
      <c r="I32">
        <v>379.49189999999999</v>
      </c>
      <c r="J32">
        <v>-473.88720000000001</v>
      </c>
      <c r="K32">
        <v>1.119294</v>
      </c>
      <c r="L32">
        <v>367.06880000000001</v>
      </c>
      <c r="M32">
        <v>0.9999941</v>
      </c>
      <c r="N32">
        <v>3.4380360000000002E-3</v>
      </c>
      <c r="O32">
        <v>-1.0182980000000001E-4</v>
      </c>
      <c r="P32">
        <v>0.98293470000000005</v>
      </c>
      <c r="Q32">
        <v>0.1830965</v>
      </c>
      <c r="R32">
        <v>-1.775088E-2</v>
      </c>
      <c r="S32">
        <v>3.0076290000000001</v>
      </c>
      <c r="T32">
        <v>0.25225720000000001</v>
      </c>
      <c r="U32">
        <v>0.1183167</v>
      </c>
      <c r="V32">
        <v>1.7658119999999999E-2</v>
      </c>
      <c r="W32">
        <v>0.1797155</v>
      </c>
      <c r="X32">
        <v>0.98356010000000005</v>
      </c>
      <c r="Y32">
        <v>-3.9266530000000001E-2</v>
      </c>
      <c r="Z32">
        <v>-1.7189939999999999E-3</v>
      </c>
      <c r="AA32">
        <v>0.99922730000000004</v>
      </c>
      <c r="AB32">
        <v>10</v>
      </c>
      <c r="AC32">
        <v>315.69220000000001</v>
      </c>
      <c r="AD32">
        <v>26.486626000000001</v>
      </c>
      <c r="AE32">
        <v>12.4230999999999</v>
      </c>
      <c r="AF32">
        <v>-12.368318094726501</v>
      </c>
      <c r="AG32">
        <v>26.486626000000001</v>
      </c>
      <c r="AH32">
        <v>313.48763161924802</v>
      </c>
      <c r="AI32">
        <v>85.174276084508804</v>
      </c>
      <c r="AJ32">
        <v>92.259371659556294</v>
      </c>
      <c r="AK32">
        <v>314.84760095576598</v>
      </c>
      <c r="AL32">
        <v>79.646810759635898</v>
      </c>
      <c r="AM32">
        <v>88.971463899057596</v>
      </c>
      <c r="AN32">
        <v>0.99999997022709597</v>
      </c>
    </row>
    <row r="33" spans="1:40" x14ac:dyDescent="0.25">
      <c r="A33" t="str">
        <f>"20190303162456286"</f>
        <v>20190303162456286</v>
      </c>
      <c r="B33" t="str">
        <f>"1551601496274058"</f>
        <v>1551601496274058</v>
      </c>
      <c r="C33" t="s">
        <v>40</v>
      </c>
      <c r="D33">
        <v>5.7796250000000002</v>
      </c>
      <c r="E33">
        <v>0.48663990000000001</v>
      </c>
      <c r="F33" t="s">
        <v>41</v>
      </c>
      <c r="G33">
        <v>-459.54610000000002</v>
      </c>
      <c r="H33" s="1">
        <v>-7.6303109999999999E-7</v>
      </c>
      <c r="I33">
        <v>367.27670000000001</v>
      </c>
      <c r="J33">
        <v>-473.78</v>
      </c>
      <c r="K33">
        <v>1.1192709999999999</v>
      </c>
      <c r="L33">
        <v>367.06880000000001</v>
      </c>
      <c r="M33">
        <v>0.99999400000000005</v>
      </c>
      <c r="N33">
        <v>3.4804250000000001E-3</v>
      </c>
      <c r="O33">
        <v>-1.0392870000000001E-4</v>
      </c>
      <c r="P33">
        <v>0.98324080000000003</v>
      </c>
      <c r="Q33">
        <v>0.18146010000000001</v>
      </c>
      <c r="R33">
        <v>-1.7601019999999998E-2</v>
      </c>
      <c r="S33">
        <v>3.097931</v>
      </c>
      <c r="T33">
        <v>-0.24178640000000001</v>
      </c>
      <c r="U33">
        <v>4.4921879999999997E-2</v>
      </c>
      <c r="V33">
        <v>1.750606E-2</v>
      </c>
      <c r="W33">
        <v>0.17803649999999999</v>
      </c>
      <c r="X33">
        <v>0.98386819999999997</v>
      </c>
      <c r="Y33">
        <v>-1.456037E-2</v>
      </c>
      <c r="Z33">
        <v>5.5039279999999997E-4</v>
      </c>
      <c r="AA33">
        <v>0.99989380000000005</v>
      </c>
      <c r="AB33">
        <v>10</v>
      </c>
      <c r="AC33">
        <v>14.233899999999901</v>
      </c>
      <c r="AD33">
        <v>-1.1192717630311</v>
      </c>
      <c r="AE33">
        <v>0.20789999999999501</v>
      </c>
      <c r="AF33">
        <v>-0.20809288342426299</v>
      </c>
      <c r="AG33">
        <v>-1.1192717630311</v>
      </c>
      <c r="AH33">
        <v>14.146424789249</v>
      </c>
      <c r="AI33">
        <v>94.523357491399196</v>
      </c>
      <c r="AJ33">
        <v>90.842755982048203</v>
      </c>
      <c r="AK33">
        <v>14.192160027477399</v>
      </c>
      <c r="AL33">
        <v>79.744588154680102</v>
      </c>
      <c r="AM33">
        <v>88.980638338000105</v>
      </c>
      <c r="AN33">
        <v>1.0000000462201</v>
      </c>
    </row>
    <row r="34" spans="1:40" x14ac:dyDescent="0.25">
      <c r="A34" t="str">
        <f>"20190303162456330"</f>
        <v>20190303162456330</v>
      </c>
      <c r="B34" t="str">
        <f>"1551601496312123"</f>
        <v>1551601496312123</v>
      </c>
      <c r="C34" t="s">
        <v>40</v>
      </c>
      <c r="D34">
        <v>5.7822480000000001</v>
      </c>
      <c r="E34">
        <v>0.48706440000000001</v>
      </c>
      <c r="F34" t="s">
        <v>41</v>
      </c>
      <c r="G34">
        <v>-460.05860000000001</v>
      </c>
      <c r="H34" s="1">
        <v>-4.6653559999999999E-6</v>
      </c>
      <c r="I34">
        <v>367.2586</v>
      </c>
      <c r="J34">
        <v>-473.57119999999998</v>
      </c>
      <c r="K34">
        <v>1.1192359999999999</v>
      </c>
      <c r="L34">
        <v>367.06880000000001</v>
      </c>
      <c r="M34">
        <v>0.99999369999999999</v>
      </c>
      <c r="N34">
        <v>3.5512030000000002E-3</v>
      </c>
      <c r="O34">
        <v>-1.0691080000000001E-4</v>
      </c>
      <c r="P34">
        <v>0.98354540000000001</v>
      </c>
      <c r="Q34">
        <v>0.17993020000000001</v>
      </c>
      <c r="R34">
        <v>-1.6234660000000001E-2</v>
      </c>
      <c r="S34">
        <v>3.098541</v>
      </c>
      <c r="T34">
        <v>-0.25275029999999998</v>
      </c>
      <c r="U34">
        <v>4.2877199999999997E-2</v>
      </c>
      <c r="V34">
        <v>1.6136870000000001E-2</v>
      </c>
      <c r="W34">
        <v>0.17643519999999999</v>
      </c>
      <c r="X34">
        <v>0.98418000000000005</v>
      </c>
      <c r="Y34">
        <v>-1.389892E-2</v>
      </c>
      <c r="Z34">
        <v>5.5027129999999996E-4</v>
      </c>
      <c r="AA34">
        <v>0.99990330000000005</v>
      </c>
      <c r="AB34">
        <v>10</v>
      </c>
      <c r="AC34">
        <v>13.5125999999999</v>
      </c>
      <c r="AD34">
        <v>-1.1192406653560001</v>
      </c>
      <c r="AE34">
        <v>0.189799999999991</v>
      </c>
      <c r="AF34">
        <v>-0.18994177234454601</v>
      </c>
      <c r="AG34">
        <v>-1.1192406653560001</v>
      </c>
      <c r="AH34">
        <v>13.4205234613645</v>
      </c>
      <c r="AI34">
        <v>94.766828452311401</v>
      </c>
      <c r="AJ34">
        <v>90.810857741837694</v>
      </c>
      <c r="AK34">
        <v>13.4684530485465</v>
      </c>
      <c r="AL34">
        <v>79.837811557527701</v>
      </c>
      <c r="AM34">
        <v>89.060647741736901</v>
      </c>
      <c r="AN34">
        <v>1.00000002538621</v>
      </c>
    </row>
    <row r="35" spans="1:40" x14ac:dyDescent="0.25">
      <c r="A35" t="str">
        <f>"20190303162456352"</f>
        <v>20190303162456352</v>
      </c>
      <c r="B35" t="str">
        <f>"1551601496342378"</f>
        <v>1551601496342378</v>
      </c>
      <c r="C35" t="s">
        <v>40</v>
      </c>
      <c r="D35">
        <v>5.7778400000000003</v>
      </c>
      <c r="E35">
        <v>0.48748049999999998</v>
      </c>
      <c r="F35" t="s">
        <v>41</v>
      </c>
      <c r="G35">
        <v>-460.26929999999999</v>
      </c>
      <c r="H35" s="1">
        <v>-4.5749820000000002E-6</v>
      </c>
      <c r="I35">
        <v>367.25830000000002</v>
      </c>
      <c r="J35">
        <v>-473.46280000000002</v>
      </c>
      <c r="K35">
        <v>1.119224</v>
      </c>
      <c r="L35">
        <v>367.06880000000001</v>
      </c>
      <c r="M35">
        <v>0.99999369999999999</v>
      </c>
      <c r="N35">
        <v>3.5826880000000001E-3</v>
      </c>
      <c r="O35">
        <v>-1.087541E-4</v>
      </c>
      <c r="P35">
        <v>0.9836416</v>
      </c>
      <c r="Q35">
        <v>0.17949229999999899</v>
      </c>
      <c r="R35">
        <v>-1.524463E-2</v>
      </c>
      <c r="S35">
        <v>3.098633</v>
      </c>
      <c r="T35">
        <v>-0.26072230000000002</v>
      </c>
      <c r="U35">
        <v>4.4158940000000001E-2</v>
      </c>
      <c r="V35">
        <v>1.514471E-2</v>
      </c>
      <c r="W35">
        <v>0.1759664</v>
      </c>
      <c r="X35">
        <v>0.98427969999999998</v>
      </c>
      <c r="Y35">
        <v>-1.4309590000000001E-2</v>
      </c>
      <c r="Z35">
        <v>5.84765E-4</v>
      </c>
      <c r="AA35">
        <v>0.99989740000000005</v>
      </c>
      <c r="AB35">
        <v>11</v>
      </c>
      <c r="AC35">
        <v>13.1935</v>
      </c>
      <c r="AD35">
        <v>-1.1192285749819999</v>
      </c>
      <c r="AE35">
        <v>0.18950000000000899</v>
      </c>
      <c r="AF35">
        <v>-0.18957090143577099</v>
      </c>
      <c r="AG35">
        <v>-1.1192285749819999</v>
      </c>
      <c r="AH35">
        <v>13.0992309640997</v>
      </c>
      <c r="AI35">
        <v>94.883113933890897</v>
      </c>
      <c r="AJ35">
        <v>90.829121528139595</v>
      </c>
      <c r="AK35">
        <v>13.1483254287592</v>
      </c>
      <c r="AL35">
        <v>79.865098814993104</v>
      </c>
      <c r="AM35">
        <v>89.118482787683305</v>
      </c>
      <c r="AN35">
        <v>1.0000000320010101</v>
      </c>
    </row>
    <row r="36" spans="1:40" x14ac:dyDescent="0.25">
      <c r="A36" t="str">
        <f>"20190303162456420"</f>
        <v>20190303162456420</v>
      </c>
      <c r="B36" t="str">
        <f>"1551601496412650"</f>
        <v>1551601496412650</v>
      </c>
      <c r="C36" t="s">
        <v>40</v>
      </c>
      <c r="D36">
        <v>5.8525859999999996</v>
      </c>
      <c r="E36">
        <v>0.48806949999999999</v>
      </c>
      <c r="F36" t="s">
        <v>41</v>
      </c>
      <c r="G36">
        <v>-460.44049999999999</v>
      </c>
      <c r="H36" s="1">
        <v>-4.5022559999999997E-6</v>
      </c>
      <c r="I36">
        <v>367.25439999999998</v>
      </c>
      <c r="J36">
        <v>-473.1037</v>
      </c>
      <c r="K36">
        <v>1.119218</v>
      </c>
      <c r="L36">
        <v>367.06880000000001</v>
      </c>
      <c r="M36">
        <v>0.99999329999999997</v>
      </c>
      <c r="N36">
        <v>3.6706149999999999E-3</v>
      </c>
      <c r="O36">
        <v>-1.136829E-4</v>
      </c>
      <c r="P36">
        <v>0.98330280000000003</v>
      </c>
      <c r="Q36">
        <v>0.18131829999999999</v>
      </c>
      <c r="R36">
        <v>-1.546982E-2</v>
      </c>
      <c r="S36">
        <v>3.0991819999999999</v>
      </c>
      <c r="T36">
        <v>-0.2663645</v>
      </c>
      <c r="U36">
        <v>4.4189449999999998E-2</v>
      </c>
      <c r="V36">
        <v>1.5365180000000001E-2</v>
      </c>
      <c r="W36">
        <v>0.17770710000000001</v>
      </c>
      <c r="X36">
        <v>0.98396349999999999</v>
      </c>
      <c r="Y36">
        <v>-1.431967E-2</v>
      </c>
      <c r="Z36">
        <v>5.9804089999999997E-4</v>
      </c>
      <c r="AA36">
        <v>0.99989729999999999</v>
      </c>
      <c r="AB36">
        <v>12</v>
      </c>
      <c r="AC36">
        <v>12.6632</v>
      </c>
      <c r="AD36">
        <v>-1.1192225022560001</v>
      </c>
      <c r="AE36">
        <v>0.18559999999996499</v>
      </c>
      <c r="AF36">
        <v>-0.18559013339931399</v>
      </c>
      <c r="AG36">
        <v>-1.1192225022560001</v>
      </c>
      <c r="AH36">
        <v>12.565045448290199</v>
      </c>
      <c r="AI36">
        <v>95.089594880065405</v>
      </c>
      <c r="AJ36">
        <v>90.846217248159704</v>
      </c>
      <c r="AK36">
        <v>12.616159075755601</v>
      </c>
      <c r="AL36">
        <v>79.763767110930701</v>
      </c>
      <c r="AM36">
        <v>89.105364763805696</v>
      </c>
      <c r="AN36">
        <v>1.00000003573954</v>
      </c>
    </row>
    <row r="37" spans="1:40" x14ac:dyDescent="0.25">
      <c r="A37" t="str">
        <f>"20190303162456442"</f>
        <v>20190303162456442</v>
      </c>
      <c r="B37" t="str">
        <f>"1551601496433146"</f>
        <v>1551601496433146</v>
      </c>
      <c r="C37" t="s">
        <v>40</v>
      </c>
      <c r="D37">
        <v>5.855086</v>
      </c>
      <c r="E37">
        <v>0.48730459999999898</v>
      </c>
      <c r="F37" t="s">
        <v>41</v>
      </c>
      <c r="G37">
        <v>-459.69400000000002</v>
      </c>
      <c r="H37" s="1">
        <v>-7.239726E-7</v>
      </c>
      <c r="I37">
        <v>367.23439999999999</v>
      </c>
      <c r="J37">
        <v>-472.9828</v>
      </c>
      <c r="K37">
        <v>1.119213</v>
      </c>
      <c r="L37">
        <v>367.06880000000001</v>
      </c>
      <c r="M37">
        <v>0.99999320000000003</v>
      </c>
      <c r="N37">
        <v>3.6958749999999999E-3</v>
      </c>
      <c r="O37">
        <v>-1.125415E-4</v>
      </c>
      <c r="P37">
        <v>0.98321570000000003</v>
      </c>
      <c r="Q37">
        <v>0.1817568</v>
      </c>
      <c r="R37">
        <v>-1.5856169999999999E-2</v>
      </c>
      <c r="S37">
        <v>3.099243</v>
      </c>
      <c r="T37">
        <v>-0.25867180000000001</v>
      </c>
      <c r="U37">
        <v>3.8269039999999997E-2</v>
      </c>
      <c r="V37">
        <v>1.575211E-2</v>
      </c>
      <c r="W37">
        <v>0.17812140000000001</v>
      </c>
      <c r="X37">
        <v>0.98388240000000005</v>
      </c>
      <c r="Y37">
        <v>-1.241778E-2</v>
      </c>
      <c r="Z37">
        <v>5.0409819999999998E-4</v>
      </c>
      <c r="AA37">
        <v>0.9999228</v>
      </c>
      <c r="AB37">
        <v>12</v>
      </c>
      <c r="AC37">
        <v>13.288799999999901</v>
      </c>
      <c r="AD37">
        <v>-1.1192137239726001</v>
      </c>
      <c r="AE37">
        <v>0.16559999999998301</v>
      </c>
      <c r="AF37">
        <v>-0.165918804689623</v>
      </c>
      <c r="AG37">
        <v>-1.1192137239726001</v>
      </c>
      <c r="AH37">
        <v>13.1951969857585</v>
      </c>
      <c r="AI37">
        <v>94.847829663519903</v>
      </c>
      <c r="AJ37">
        <v>90.720409576814305</v>
      </c>
      <c r="AK37">
        <v>13.2436170249161</v>
      </c>
      <c r="AL37">
        <v>79.739643933520895</v>
      </c>
      <c r="AM37">
        <v>89.082764038015398</v>
      </c>
      <c r="AN37">
        <v>0.99999996956858495</v>
      </c>
    </row>
    <row r="38" spans="1:40" x14ac:dyDescent="0.25">
      <c r="A38" t="str">
        <f>"20190303162456468"</f>
        <v>20190303162456468</v>
      </c>
      <c r="B38" t="str">
        <f>"1551601496452667"</f>
        <v>1551601496452667</v>
      </c>
      <c r="C38" t="s">
        <v>40</v>
      </c>
      <c r="D38">
        <v>5.8527290000000001</v>
      </c>
      <c r="E38">
        <v>0.4866934</v>
      </c>
      <c r="F38" t="s">
        <v>41</v>
      </c>
      <c r="G38">
        <v>-459.08819999999997</v>
      </c>
      <c r="H38" s="1">
        <v>-9.2151110000000002E-7</v>
      </c>
      <c r="I38">
        <v>367.26679999999999</v>
      </c>
      <c r="J38">
        <v>-472.84030000000001</v>
      </c>
      <c r="K38">
        <v>1.119205</v>
      </c>
      <c r="L38">
        <v>367.06880000000001</v>
      </c>
      <c r="M38">
        <v>0.99999300000000002</v>
      </c>
      <c r="N38">
        <v>3.7239119999999998E-3</v>
      </c>
      <c r="O38">
        <v>-1.059291E-4</v>
      </c>
      <c r="P38">
        <v>0.98322319999999996</v>
      </c>
      <c r="Q38">
        <v>0.18167420000000001</v>
      </c>
      <c r="R38">
        <v>-1.632801E-2</v>
      </c>
      <c r="S38">
        <v>3.0980219999999998</v>
      </c>
      <c r="T38">
        <v>-0.24954460000000001</v>
      </c>
      <c r="U38">
        <v>4.4158940000000001E-2</v>
      </c>
      <c r="V38">
        <v>1.6229440000000001E-2</v>
      </c>
      <c r="W38">
        <v>0.17801110000000001</v>
      </c>
      <c r="X38">
        <v>0.98389459999999995</v>
      </c>
      <c r="Y38">
        <v>-1.431381E-2</v>
      </c>
      <c r="Z38">
        <v>5.5774269999999998E-4</v>
      </c>
      <c r="AA38">
        <v>0.99989740000000005</v>
      </c>
      <c r="AB38">
        <v>12</v>
      </c>
      <c r="AC38">
        <v>13.7521</v>
      </c>
      <c r="AD38">
        <v>-1.1192059215111001</v>
      </c>
      <c r="AE38">
        <v>0.197999999999979</v>
      </c>
      <c r="AF38">
        <v>-0.19814463454505701</v>
      </c>
      <c r="AG38">
        <v>-1.1192059215111001</v>
      </c>
      <c r="AH38">
        <v>13.6616111844945</v>
      </c>
      <c r="AI38">
        <v>94.682917129786802</v>
      </c>
      <c r="AJ38">
        <v>90.830945573121696</v>
      </c>
      <c r="AK38">
        <v>13.708811157326799</v>
      </c>
      <c r="AL38">
        <v>79.746066251688802</v>
      </c>
      <c r="AM38">
        <v>89.054986079534103</v>
      </c>
      <c r="AN38">
        <v>0.99999996517754097</v>
      </c>
    </row>
    <row r="39" spans="1:40" x14ac:dyDescent="0.25">
      <c r="A39" t="str">
        <f>"20190303162456495"</f>
        <v>20190303162456495</v>
      </c>
      <c r="B39" t="str">
        <f>"1551601496482924"</f>
        <v>1551601496482924</v>
      </c>
      <c r="C39" t="s">
        <v>40</v>
      </c>
      <c r="D39">
        <v>5.7845500000000003</v>
      </c>
      <c r="E39">
        <v>0.48604190000000003</v>
      </c>
      <c r="F39" t="s">
        <v>41</v>
      </c>
      <c r="G39">
        <v>-458.64510000000001</v>
      </c>
      <c r="H39" s="1">
        <v>-1.065937E-6</v>
      </c>
      <c r="I39">
        <v>367.29070000000002</v>
      </c>
      <c r="J39">
        <v>-472.68520000000001</v>
      </c>
      <c r="K39">
        <v>1.1191949999999999</v>
      </c>
      <c r="L39">
        <v>367.06880000000001</v>
      </c>
      <c r="M39">
        <v>0.99999300000000002</v>
      </c>
      <c r="N39">
        <v>3.752947E-3</v>
      </c>
      <c r="O39" s="1">
        <v>-8.7888320000000005E-5</v>
      </c>
      <c r="P39">
        <v>0.98338300000000001</v>
      </c>
      <c r="Q39">
        <v>0.18076200000000001</v>
      </c>
      <c r="R39">
        <v>-1.682049E-2</v>
      </c>
      <c r="S39">
        <v>3.0971069999999998</v>
      </c>
      <c r="T39">
        <v>-0.24418699999999999</v>
      </c>
      <c r="U39">
        <v>4.8431399999999999E-2</v>
      </c>
      <c r="V39">
        <v>1.6737109999999999E-2</v>
      </c>
      <c r="W39">
        <v>0.1770698</v>
      </c>
      <c r="X39">
        <v>0.98405600000000004</v>
      </c>
      <c r="Y39">
        <v>-1.5676969999999998E-2</v>
      </c>
      <c r="Z39">
        <v>5.9480419999999995E-4</v>
      </c>
      <c r="AA39">
        <v>0.99987689999999996</v>
      </c>
      <c r="AB39">
        <v>13</v>
      </c>
      <c r="AC39">
        <v>14.040099999999899</v>
      </c>
      <c r="AD39">
        <v>-1.1191960659369999</v>
      </c>
      <c r="AE39">
        <v>0.22190000000000501</v>
      </c>
      <c r="AF39">
        <v>-0.221725397002101</v>
      </c>
      <c r="AG39">
        <v>-1.1191960659369999</v>
      </c>
      <c r="AH39">
        <v>13.951450019279299</v>
      </c>
      <c r="AI39">
        <v>94.585913160912099</v>
      </c>
      <c r="AJ39">
        <v>90.910504645330604</v>
      </c>
      <c r="AK39">
        <v>13.9980255617045</v>
      </c>
      <c r="AL39">
        <v>79.800870051085397</v>
      </c>
      <c r="AM39">
        <v>89.025590708453194</v>
      </c>
      <c r="AN39">
        <v>1.00000002802959</v>
      </c>
    </row>
    <row r="40" spans="1:40" x14ac:dyDescent="0.25">
      <c r="A40" t="str">
        <f>"20190303162456529"</f>
        <v>20190303162456529</v>
      </c>
      <c r="B40" t="str">
        <f>"1551601496522938"</f>
        <v>1551601496522938</v>
      </c>
      <c r="C40" t="s">
        <v>40</v>
      </c>
      <c r="D40">
        <v>5.6648009999999998</v>
      </c>
      <c r="E40">
        <v>0.4856125</v>
      </c>
      <c r="F40" t="s">
        <v>41</v>
      </c>
      <c r="G40">
        <v>-458.35489999999999</v>
      </c>
      <c r="H40" s="1">
        <v>-1.1589649999999999E-6</v>
      </c>
      <c r="I40">
        <v>367.31229999999999</v>
      </c>
      <c r="J40">
        <v>-472.47300000000001</v>
      </c>
      <c r="K40">
        <v>1.1191770000000001</v>
      </c>
      <c r="L40">
        <v>367.06880000000001</v>
      </c>
      <c r="M40">
        <v>0.99999269999999996</v>
      </c>
      <c r="N40">
        <v>3.8168640000000001E-3</v>
      </c>
      <c r="O40" s="1">
        <v>-2.5021429999999999E-5</v>
      </c>
      <c r="P40">
        <v>0.98375889999999999</v>
      </c>
      <c r="Q40">
        <v>0.17847759999999999</v>
      </c>
      <c r="R40">
        <v>-1.9083429999999998E-2</v>
      </c>
      <c r="S40">
        <v>3.0960390000000002</v>
      </c>
      <c r="T40">
        <v>-0.2417996</v>
      </c>
      <c r="U40">
        <v>5.2612300000000001E-2</v>
      </c>
      <c r="V40">
        <v>1.9054979999999999E-2</v>
      </c>
      <c r="W40">
        <v>0.17472179999999901</v>
      </c>
      <c r="X40">
        <v>0.98443340000000001</v>
      </c>
      <c r="Y40">
        <v>-1.6966789999999999E-2</v>
      </c>
      <c r="Z40">
        <v>6.3111259999999996E-4</v>
      </c>
      <c r="AA40">
        <v>0.99985590000000002</v>
      </c>
      <c r="AB40">
        <v>13</v>
      </c>
      <c r="AC40">
        <v>14.1181</v>
      </c>
      <c r="AD40">
        <v>-1.1191781589650001</v>
      </c>
      <c r="AE40">
        <v>0.24349999999998301</v>
      </c>
      <c r="AF40">
        <v>-0.24233086898696601</v>
      </c>
      <c r="AG40">
        <v>-1.1191781589650001</v>
      </c>
      <c r="AH40">
        <v>14.0299539084955</v>
      </c>
      <c r="AI40">
        <v>94.560184931424502</v>
      </c>
      <c r="AJ40">
        <v>90.989536788656693</v>
      </c>
      <c r="AK40">
        <v>14.0766079250676</v>
      </c>
      <c r="AL40">
        <v>79.937530588021303</v>
      </c>
      <c r="AM40">
        <v>88.891104656090903</v>
      </c>
      <c r="AN40">
        <v>0.99999995934679897</v>
      </c>
    </row>
    <row r="41" spans="1:40" x14ac:dyDescent="0.25">
      <c r="A41" t="str">
        <f>"20190303162456552"</f>
        <v>20190303162456552</v>
      </c>
      <c r="B41" t="str">
        <f>"1551601496542459"</f>
        <v>1551601496542459</v>
      </c>
      <c r="C41" t="s">
        <v>40</v>
      </c>
      <c r="D41">
        <v>5.664193</v>
      </c>
      <c r="E41">
        <v>0.48533539999999997</v>
      </c>
      <c r="F41" t="s">
        <v>41</v>
      </c>
      <c r="G41">
        <v>-458.11329999999998</v>
      </c>
      <c r="H41" s="1">
        <v>-1.2433030000000001E-6</v>
      </c>
      <c r="I41">
        <v>367.30430000000001</v>
      </c>
      <c r="J41">
        <v>-472.33440000000002</v>
      </c>
      <c r="K41">
        <v>1.1191549999999999</v>
      </c>
      <c r="L41">
        <v>367.06889999999999</v>
      </c>
      <c r="M41">
        <v>0.99999249999999995</v>
      </c>
      <c r="N41">
        <v>3.8876119999999999E-3</v>
      </c>
      <c r="O41" s="1">
        <v>4.9929209999999997E-5</v>
      </c>
      <c r="P41">
        <v>0.9842322</v>
      </c>
      <c r="Q41">
        <v>0.17572270000000001</v>
      </c>
      <c r="R41">
        <v>-2.0213499999999999E-2</v>
      </c>
      <c r="S41">
        <v>3.0942379999999998</v>
      </c>
      <c r="T41">
        <v>-0.24115990000000001</v>
      </c>
      <c r="U41">
        <v>5.0750730000000001E-2</v>
      </c>
      <c r="V41">
        <v>2.025248E-2</v>
      </c>
      <c r="W41">
        <v>0.17189660000000001</v>
      </c>
      <c r="X41">
        <v>0.98490679999999997</v>
      </c>
      <c r="Y41">
        <v>-1.6302770000000001E-2</v>
      </c>
      <c r="Z41">
        <v>5.9848529999999896E-4</v>
      </c>
      <c r="AA41">
        <v>0.9998669</v>
      </c>
      <c r="AB41">
        <v>13</v>
      </c>
      <c r="AC41">
        <v>14.2211</v>
      </c>
      <c r="AD41">
        <v>-1.119156243303</v>
      </c>
      <c r="AE41">
        <v>0.23540000000002601</v>
      </c>
      <c r="AF41">
        <v>-0.23324580401176201</v>
      </c>
      <c r="AG41">
        <v>-1.119156243303</v>
      </c>
      <c r="AH41">
        <v>14.1336034881052</v>
      </c>
      <c r="AI41">
        <v>94.526852354199207</v>
      </c>
      <c r="AJ41">
        <v>90.945462150212904</v>
      </c>
      <c r="AK41">
        <v>14.1797624049556</v>
      </c>
      <c r="AL41">
        <v>80.101890314499798</v>
      </c>
      <c r="AM41">
        <v>88.822002120441596</v>
      </c>
      <c r="AN41">
        <v>1.0000000043619699</v>
      </c>
    </row>
    <row r="42" spans="1:40" x14ac:dyDescent="0.25">
      <c r="A42" t="str">
        <f>"20190303162456575"</f>
        <v>20190303162456575</v>
      </c>
      <c r="B42" t="str">
        <f>"1551601496562954"</f>
        <v>1551601496562954</v>
      </c>
      <c r="C42" t="s">
        <v>40</v>
      </c>
      <c r="D42">
        <v>5.6043830000000003</v>
      </c>
      <c r="E42">
        <v>0.4850951</v>
      </c>
      <c r="F42" t="s">
        <v>41</v>
      </c>
      <c r="G42">
        <v>-458.29090000000002</v>
      </c>
      <c r="H42" s="1">
        <v>-1.1853239999999999E-6</v>
      </c>
      <c r="I42">
        <v>367.29500000000002</v>
      </c>
      <c r="J42">
        <v>-472.18819999999999</v>
      </c>
      <c r="K42">
        <v>1.119135</v>
      </c>
      <c r="L42">
        <v>367.06900000000002</v>
      </c>
      <c r="M42">
        <v>0.99999210000000005</v>
      </c>
      <c r="N42">
        <v>3.9822429999999999E-3</v>
      </c>
      <c r="O42">
        <v>1.6878139999999901E-4</v>
      </c>
      <c r="P42">
        <v>0.98472570000000004</v>
      </c>
      <c r="Q42">
        <v>0.17281540000000001</v>
      </c>
      <c r="R42">
        <v>-2.1213929999999999E-2</v>
      </c>
      <c r="S42">
        <v>3.093048</v>
      </c>
      <c r="T42">
        <v>-0.24649009999999999</v>
      </c>
      <c r="U42">
        <v>4.9835209999999998E-2</v>
      </c>
      <c r="V42">
        <v>2.1361330000000001E-2</v>
      </c>
      <c r="W42">
        <v>0.16889509999999999</v>
      </c>
      <c r="X42">
        <v>0.98540249999999996</v>
      </c>
      <c r="Y42">
        <v>-1.5893890000000001E-2</v>
      </c>
      <c r="Z42">
        <v>5.8646659999999999E-4</v>
      </c>
      <c r="AA42">
        <v>0.99987349999999997</v>
      </c>
      <c r="AB42">
        <v>14</v>
      </c>
      <c r="AC42">
        <v>13.8972999999999</v>
      </c>
      <c r="AD42">
        <v>-1.1191361853240001</v>
      </c>
      <c r="AE42">
        <v>0.22599999999999901</v>
      </c>
      <c r="AF42">
        <v>-0.22221371408059601</v>
      </c>
      <c r="AG42">
        <v>-1.1191361853240001</v>
      </c>
      <c r="AH42">
        <v>13.807818939732501</v>
      </c>
      <c r="AI42">
        <v>94.633148275090605</v>
      </c>
      <c r="AJ42">
        <v>90.921999993324306</v>
      </c>
      <c r="AK42">
        <v>13.854880317363399</v>
      </c>
      <c r="AL42">
        <v>80.276415688592394</v>
      </c>
      <c r="AM42">
        <v>88.758149698652701</v>
      </c>
      <c r="AN42">
        <v>0.99999997411481401</v>
      </c>
    </row>
    <row r="43" spans="1:40" x14ac:dyDescent="0.25">
      <c r="A43" t="str">
        <f>"20190303162456598"</f>
        <v>20190303162456598</v>
      </c>
      <c r="B43" t="str">
        <f>"1551601496592234"</f>
        <v>1551601496592234</v>
      </c>
      <c r="C43" t="s">
        <v>40</v>
      </c>
      <c r="D43">
        <v>5.6693889999999998</v>
      </c>
      <c r="E43">
        <v>0.48491060000000002</v>
      </c>
      <c r="F43" t="s">
        <v>41</v>
      </c>
      <c r="G43">
        <v>-458.51069999999999</v>
      </c>
      <c r="H43" s="1">
        <v>-1.1120610000000001E-6</v>
      </c>
      <c r="I43">
        <v>367.28919999999999</v>
      </c>
      <c r="J43">
        <v>-472.0446</v>
      </c>
      <c r="K43">
        <v>1.1191169999999999</v>
      </c>
      <c r="L43">
        <v>367.06909999999999</v>
      </c>
      <c r="M43">
        <v>0.99999170000000004</v>
      </c>
      <c r="N43">
        <v>4.0776930000000003E-3</v>
      </c>
      <c r="O43">
        <v>3.3771540000000002E-4</v>
      </c>
      <c r="P43">
        <v>0.98501719999999904</v>
      </c>
      <c r="Q43">
        <v>0.17099639999999999</v>
      </c>
      <c r="R43">
        <v>-2.2392849999999999E-2</v>
      </c>
      <c r="S43">
        <v>3.092041</v>
      </c>
      <c r="T43">
        <v>-0.25299949999999999</v>
      </c>
      <c r="U43">
        <v>4.9804689999999999E-2</v>
      </c>
      <c r="V43">
        <v>2.2695380000000001E-2</v>
      </c>
      <c r="W43">
        <v>0.16698289999999999</v>
      </c>
      <c r="X43">
        <v>0.98569859999999998</v>
      </c>
      <c r="Y43">
        <v>-1.5718969999999999E-2</v>
      </c>
      <c r="Z43">
        <v>5.8091040000000005E-4</v>
      </c>
      <c r="AA43">
        <v>0.99987630000000005</v>
      </c>
      <c r="AB43">
        <v>14</v>
      </c>
      <c r="AC43">
        <v>13.533899999999999</v>
      </c>
      <c r="AD43">
        <v>-1.1191181120610001</v>
      </c>
      <c r="AE43">
        <v>0.22010000000000199</v>
      </c>
      <c r="AF43">
        <v>-0.214066024966658</v>
      </c>
      <c r="AG43">
        <v>-1.1191181120610001</v>
      </c>
      <c r="AH43">
        <v>13.442085784477401</v>
      </c>
      <c r="AI43">
        <v>94.7585722516544</v>
      </c>
      <c r="AJ43">
        <v>90.912361614350502</v>
      </c>
      <c r="AK43">
        <v>13.490289835620199</v>
      </c>
      <c r="AL43">
        <v>80.387555903110197</v>
      </c>
      <c r="AM43">
        <v>88.681016920893796</v>
      </c>
      <c r="AN43">
        <v>1.0000000496038499</v>
      </c>
    </row>
    <row r="44" spans="1:40" x14ac:dyDescent="0.25">
      <c r="A44" t="str">
        <f>"20190303162456620"</f>
        <v>20190303162456620</v>
      </c>
      <c r="B44" t="str">
        <f>"1551601496612731"</f>
        <v>1551601496612731</v>
      </c>
      <c r="C44" t="s">
        <v>40</v>
      </c>
      <c r="D44">
        <v>5.2083309999999896</v>
      </c>
      <c r="E44">
        <v>0.4848499</v>
      </c>
      <c r="F44" t="s">
        <v>41</v>
      </c>
      <c r="G44">
        <v>-458.38220000000001</v>
      </c>
      <c r="H44" s="1">
        <v>-1.1577500000000001E-6</v>
      </c>
      <c r="I44">
        <v>367.28190000000001</v>
      </c>
      <c r="J44">
        <v>-471.8947</v>
      </c>
      <c r="K44">
        <v>1.1191340000000001</v>
      </c>
      <c r="L44">
        <v>367.06939999999997</v>
      </c>
      <c r="M44">
        <v>0.99999130000000003</v>
      </c>
      <c r="N44">
        <v>4.155036E-3</v>
      </c>
      <c r="O44">
        <v>5.7750279999999998E-4</v>
      </c>
      <c r="P44">
        <v>0.98531679999999999</v>
      </c>
      <c r="Q44">
        <v>0.16913320000000001</v>
      </c>
      <c r="R44">
        <v>-2.3343630000000001E-2</v>
      </c>
      <c r="S44">
        <v>3.0906980000000002</v>
      </c>
      <c r="T44">
        <v>-0.25316349999999999</v>
      </c>
      <c r="U44">
        <v>4.8156740000000003E-2</v>
      </c>
      <c r="V44">
        <v>2.3868319999999998E-2</v>
      </c>
      <c r="W44">
        <v>0.16504460000000001</v>
      </c>
      <c r="X44">
        <v>0.98599729999999997</v>
      </c>
      <c r="Y44">
        <v>-1.495646E-2</v>
      </c>
      <c r="Z44">
        <v>5.3075050000000003E-4</v>
      </c>
      <c r="AA44">
        <v>0.999888</v>
      </c>
      <c r="AB44">
        <v>14</v>
      </c>
      <c r="AC44">
        <v>13.5124999999999</v>
      </c>
      <c r="AD44">
        <v>-1.1191351577499999</v>
      </c>
      <c r="AE44">
        <v>0.212500000000034</v>
      </c>
      <c r="AF44">
        <v>-0.203302181017217</v>
      </c>
      <c r="AG44">
        <v>-1.1191351577499999</v>
      </c>
      <c r="AH44">
        <v>13.420584474258201</v>
      </c>
      <c r="AI44">
        <v>94.766290420488801</v>
      </c>
      <c r="AJ44">
        <v>90.867880684994105</v>
      </c>
      <c r="AK44">
        <v>13.4687001194925</v>
      </c>
      <c r="AL44">
        <v>80.500175060325901</v>
      </c>
      <c r="AM44">
        <v>88.613295423459505</v>
      </c>
      <c r="AN44">
        <v>1.0000000461480301</v>
      </c>
    </row>
    <row r="45" spans="1:40" x14ac:dyDescent="0.25">
      <c r="A45" t="str">
        <f>"20190303162456642"</f>
        <v>20190303162456642</v>
      </c>
      <c r="B45" t="str">
        <f>"1551601496632251"</f>
        <v>1551601496632251</v>
      </c>
      <c r="C45" t="s">
        <v>40</v>
      </c>
      <c r="D45">
        <v>5.4556870000000002</v>
      </c>
      <c r="E45">
        <v>0.48598560000000002</v>
      </c>
      <c r="F45" t="s">
        <v>42</v>
      </c>
      <c r="G45">
        <v>-471.03500000000003</v>
      </c>
      <c r="H45">
        <v>1.04813</v>
      </c>
      <c r="I45">
        <v>367.08170000000001</v>
      </c>
      <c r="J45">
        <v>-471.7516</v>
      </c>
      <c r="K45">
        <v>1.119162</v>
      </c>
      <c r="L45">
        <v>367.06970000000001</v>
      </c>
      <c r="M45">
        <v>0.99999090000000002</v>
      </c>
      <c r="N45">
        <v>4.1924509999999998E-3</v>
      </c>
      <c r="O45">
        <v>8.5921109999999995E-4</v>
      </c>
      <c r="P45">
        <v>0.98562879999999997</v>
      </c>
      <c r="Q45">
        <v>0.16725200000000001</v>
      </c>
      <c r="R45">
        <v>-2.371591E-2</v>
      </c>
      <c r="S45">
        <v>3.089661</v>
      </c>
      <c r="T45">
        <v>-0.25543739999999998</v>
      </c>
      <c r="U45">
        <v>4.5318600000000001E-2</v>
      </c>
      <c r="V45">
        <v>2.4504680000000001E-2</v>
      </c>
      <c r="W45">
        <v>0.16312739999999901</v>
      </c>
      <c r="X45">
        <v>0.98630059999999997</v>
      </c>
      <c r="Y45">
        <v>-1.376578E-2</v>
      </c>
      <c r="Z45">
        <v>4.6463249999999999E-4</v>
      </c>
      <c r="AA45">
        <v>0.99990509999999999</v>
      </c>
      <c r="AB45">
        <v>15</v>
      </c>
      <c r="AC45">
        <v>0.71659999999997104</v>
      </c>
      <c r="AD45">
        <v>-7.1031999999999901E-2</v>
      </c>
      <c r="AE45">
        <v>1.2000000000000399E-2</v>
      </c>
      <c r="AF45">
        <v>-1.12735424285559E-2</v>
      </c>
      <c r="AG45">
        <v>-7.1031999999999901E-2</v>
      </c>
      <c r="AH45">
        <v>0.70963944138790302</v>
      </c>
      <c r="AI45">
        <v>95.715317084258402</v>
      </c>
      <c r="AJ45">
        <v>90.910141169507</v>
      </c>
      <c r="AK45">
        <v>0.71327468380436998</v>
      </c>
      <c r="AL45">
        <v>80.611530964751395</v>
      </c>
      <c r="AM45">
        <v>88.576776734184193</v>
      </c>
      <c r="AN45">
        <v>0.99999995076651005</v>
      </c>
    </row>
    <row r="46" spans="1:40" x14ac:dyDescent="0.25">
      <c r="A46" t="str">
        <f>"20190303162456667"</f>
        <v>20190303162456667</v>
      </c>
      <c r="B46" t="str">
        <f>"1551601496662506"</f>
        <v>1551601496662506</v>
      </c>
      <c r="C46" t="s">
        <v>40</v>
      </c>
      <c r="D46">
        <v>5.2880409999999998</v>
      </c>
      <c r="E46">
        <v>0.5325723</v>
      </c>
      <c r="F46" t="s">
        <v>42</v>
      </c>
      <c r="G46">
        <v>-470.90949999999998</v>
      </c>
      <c r="H46">
        <v>1.0465469999999999</v>
      </c>
      <c r="I46">
        <v>367.07859999999999</v>
      </c>
      <c r="J46">
        <v>-471.58210000000003</v>
      </c>
      <c r="K46">
        <v>1.119202</v>
      </c>
      <c r="L46">
        <v>367.0702</v>
      </c>
      <c r="M46">
        <v>0.99999059999999995</v>
      </c>
      <c r="N46">
        <v>4.1778630000000004E-3</v>
      </c>
      <c r="O46">
        <v>1.2445449999999999E-3</v>
      </c>
      <c r="P46">
        <v>0.98598359999999996</v>
      </c>
      <c r="Q46">
        <v>0.165274</v>
      </c>
      <c r="R46">
        <v>-2.2828060000000001E-2</v>
      </c>
      <c r="S46">
        <v>3.0898129999999999</v>
      </c>
      <c r="T46">
        <v>-0.266814</v>
      </c>
      <c r="U46">
        <v>3.482056E-2</v>
      </c>
      <c r="V46">
        <v>2.398227E-2</v>
      </c>
      <c r="W46">
        <v>0.16116429999999901</v>
      </c>
      <c r="X46">
        <v>0.98663619999999996</v>
      </c>
      <c r="Y46">
        <v>-9.9939780000000006E-3</v>
      </c>
      <c r="Z46">
        <v>2.9731860000000002E-4</v>
      </c>
      <c r="AA46">
        <v>0.99995000000000001</v>
      </c>
      <c r="AB46">
        <v>15</v>
      </c>
      <c r="AC46">
        <v>0.67260000000004505</v>
      </c>
      <c r="AD46">
        <v>-7.2655000000000095E-2</v>
      </c>
      <c r="AE46">
        <v>8.3999999999946305E-3</v>
      </c>
      <c r="AF46">
        <v>-7.4756883871112999E-3</v>
      </c>
      <c r="AG46">
        <v>-7.2655000000000095E-2</v>
      </c>
      <c r="AH46">
        <v>0.664853262560956</v>
      </c>
      <c r="AI46">
        <v>96.236130427898402</v>
      </c>
      <c r="AJ46">
        <v>90.644213344414695</v>
      </c>
      <c r="AK46">
        <v>0.66885311966066896</v>
      </c>
      <c r="AL46">
        <v>80.725517528930794</v>
      </c>
      <c r="AM46">
        <v>88.607579641694301</v>
      </c>
      <c r="AN46">
        <v>1.0000000360096399</v>
      </c>
    </row>
    <row r="47" spans="1:40" x14ac:dyDescent="0.25">
      <c r="A47" t="str">
        <f>"20190303162456689"</f>
        <v>20190303162456689</v>
      </c>
      <c r="B47" t="str">
        <f>"1551601496683002"</f>
        <v>1551601496683002</v>
      </c>
      <c r="C47" t="s">
        <v>40</v>
      </c>
      <c r="D47">
        <v>5.2902889999999996</v>
      </c>
      <c r="E47">
        <v>0.53143419999999997</v>
      </c>
      <c r="F47" t="s">
        <v>42</v>
      </c>
      <c r="G47">
        <v>-470.84739999999999</v>
      </c>
      <c r="H47">
        <v>0.88670179999999998</v>
      </c>
      <c r="I47">
        <v>366.99149999999997</v>
      </c>
      <c r="J47">
        <v>-471.42840000000001</v>
      </c>
      <c r="K47">
        <v>1.1192530000000001</v>
      </c>
      <c r="L47">
        <v>367.07069999999999</v>
      </c>
      <c r="M47">
        <v>0.9999903</v>
      </c>
      <c r="N47">
        <v>4.1027559999999999E-3</v>
      </c>
      <c r="O47">
        <v>1.6203630000000001E-3</v>
      </c>
      <c r="P47">
        <v>0.98618159999999999</v>
      </c>
      <c r="Q47">
        <v>0.16447010000000001</v>
      </c>
      <c r="R47">
        <v>-1.9886060000000001E-2</v>
      </c>
      <c r="S47">
        <v>3.2048030000000001</v>
      </c>
      <c r="T47">
        <v>-1.014405</v>
      </c>
      <c r="U47">
        <v>-0.34042359999999999</v>
      </c>
      <c r="V47">
        <v>2.140032E-2</v>
      </c>
      <c r="W47">
        <v>0.16043389999999999</v>
      </c>
      <c r="X47">
        <v>0.98681459999999999</v>
      </c>
      <c r="Y47">
        <v>0.1022801</v>
      </c>
      <c r="Z47">
        <v>-1.6050129999999999E-2</v>
      </c>
      <c r="AA47">
        <v>0.99462620000000002</v>
      </c>
      <c r="AB47">
        <v>15</v>
      </c>
      <c r="AC47">
        <v>0.58100000000001695</v>
      </c>
      <c r="AD47">
        <v>-0.23255120000000001</v>
      </c>
      <c r="AE47">
        <v>-7.9200000000014301E-2</v>
      </c>
      <c r="AF47">
        <v>6.9249404642524895E-2</v>
      </c>
      <c r="AG47">
        <v>-0.23255120000000001</v>
      </c>
      <c r="AH47">
        <v>0.50192530889186804</v>
      </c>
      <c r="AI47">
        <v>114.65373470015901</v>
      </c>
      <c r="AJ47">
        <v>82.144633640713494</v>
      </c>
      <c r="AK47">
        <v>0.55749848104813804</v>
      </c>
      <c r="AL47">
        <v>80.767918084047594</v>
      </c>
      <c r="AM47">
        <v>88.757663441763995</v>
      </c>
      <c r="AN47">
        <v>1.00000003236923</v>
      </c>
    </row>
    <row r="48" spans="1:40" x14ac:dyDescent="0.25">
      <c r="A48" t="str">
        <f>"20190303162456709"</f>
        <v>20190303162456709</v>
      </c>
      <c r="B48" t="str">
        <f>"1551601496702523"</f>
        <v>1551601496702523</v>
      </c>
      <c r="C48" t="s">
        <v>40</v>
      </c>
      <c r="D48">
        <v>5.307607</v>
      </c>
      <c r="E48">
        <v>0.53067900000000001</v>
      </c>
      <c r="F48" t="s">
        <v>42</v>
      </c>
      <c r="G48">
        <v>-470.71080000000001</v>
      </c>
      <c r="H48">
        <v>0.87688980000000005</v>
      </c>
      <c r="I48">
        <v>366.99810000000002</v>
      </c>
      <c r="J48">
        <v>-471.28359999999998</v>
      </c>
      <c r="K48">
        <v>1.1193109999999999</v>
      </c>
      <c r="L48">
        <v>367.07139999999998</v>
      </c>
      <c r="M48">
        <v>0.99999009999999999</v>
      </c>
      <c r="N48">
        <v>3.9736529999999997E-3</v>
      </c>
      <c r="O48">
        <v>1.9831889999999998E-3</v>
      </c>
      <c r="P48">
        <v>0.98605699999999996</v>
      </c>
      <c r="Q48">
        <v>0.1655816</v>
      </c>
      <c r="R48">
        <v>-1.6557840000000001E-2</v>
      </c>
      <c r="S48">
        <v>3.2167050000000001</v>
      </c>
      <c r="T48">
        <v>-1.0864309999999999</v>
      </c>
      <c r="U48">
        <v>-0.323028599999999</v>
      </c>
      <c r="V48">
        <v>1.8421839999999998E-2</v>
      </c>
      <c r="W48">
        <v>0.1616726</v>
      </c>
      <c r="X48">
        <v>0.98667249999999995</v>
      </c>
      <c r="Y48">
        <v>9.6541589999999997E-2</v>
      </c>
      <c r="Z48">
        <v>-1.628694E-2</v>
      </c>
      <c r="AA48">
        <v>0.99519570000000002</v>
      </c>
      <c r="AB48">
        <v>15</v>
      </c>
      <c r="AC48">
        <v>0.572799999999972</v>
      </c>
      <c r="AD48">
        <v>-0.2424212</v>
      </c>
      <c r="AE48">
        <v>-7.3299999999960605E-2</v>
      </c>
      <c r="AF48">
        <v>6.3283379224035999E-2</v>
      </c>
      <c r="AG48">
        <v>-0.2424212</v>
      </c>
      <c r="AH48">
        <v>0.48685486827906199</v>
      </c>
      <c r="AI48">
        <v>116.27920432413001</v>
      </c>
      <c r="AJ48">
        <v>82.593985201263493</v>
      </c>
      <c r="AK48">
        <v>0.54754039765342999</v>
      </c>
      <c r="AL48">
        <v>80.696006823844698</v>
      </c>
      <c r="AM48">
        <v>88.930373490453704</v>
      </c>
      <c r="AN48">
        <v>1.00000000801799</v>
      </c>
    </row>
    <row r="49" spans="1:40" x14ac:dyDescent="0.25">
      <c r="A49" t="str">
        <f>"20190303162456731"</f>
        <v>20190303162456731</v>
      </c>
      <c r="B49" t="str">
        <f>"1551601496723019"</f>
        <v>1551601496723019</v>
      </c>
      <c r="C49" t="s">
        <v>40</v>
      </c>
      <c r="D49">
        <v>5.3275110000000003</v>
      </c>
      <c r="E49">
        <v>0.53043680000000004</v>
      </c>
      <c r="F49" t="s">
        <v>42</v>
      </c>
      <c r="G49">
        <v>-470.56900000000002</v>
      </c>
      <c r="H49">
        <v>0.87554849999999995</v>
      </c>
      <c r="I49">
        <v>367.00389999999999</v>
      </c>
      <c r="J49">
        <v>-471.1232</v>
      </c>
      <c r="K49">
        <v>1.1193630000000001</v>
      </c>
      <c r="L49">
        <v>367.07220000000001</v>
      </c>
      <c r="M49">
        <v>0.99999009999999999</v>
      </c>
      <c r="N49">
        <v>3.7676350000000001E-3</v>
      </c>
      <c r="O49">
        <v>2.3815780000000001E-3</v>
      </c>
      <c r="P49">
        <v>0.98583419999999999</v>
      </c>
      <c r="Q49">
        <v>0.167128</v>
      </c>
      <c r="R49">
        <v>-1.412154E-2</v>
      </c>
      <c r="S49">
        <v>3.2218629999999999</v>
      </c>
      <c r="T49">
        <v>-1.098957</v>
      </c>
      <c r="U49">
        <v>-0.3041992</v>
      </c>
      <c r="V49">
        <v>1.6372859999999999E-2</v>
      </c>
      <c r="W49">
        <v>0.16342279999999901</v>
      </c>
      <c r="X49">
        <v>0.98642030000000003</v>
      </c>
      <c r="Y49">
        <v>9.1179270000000007E-2</v>
      </c>
      <c r="Z49">
        <v>-1.5712009999999998E-2</v>
      </c>
      <c r="AA49">
        <v>0.9957106</v>
      </c>
      <c r="AB49">
        <v>16</v>
      </c>
      <c r="AC49">
        <v>0.55419999999998004</v>
      </c>
      <c r="AD49">
        <v>-0.24381449999999899</v>
      </c>
      <c r="AE49">
        <v>-6.8300000000021996E-2</v>
      </c>
      <c r="AF49">
        <v>5.8471943060331502E-2</v>
      </c>
      <c r="AG49">
        <v>-0.24381449999999899</v>
      </c>
      <c r="AH49">
        <v>0.46532165707700801</v>
      </c>
      <c r="AI49">
        <v>117.46908071891799</v>
      </c>
      <c r="AJ49">
        <v>82.837798861025803</v>
      </c>
      <c r="AK49">
        <v>0.52857234422583399</v>
      </c>
      <c r="AL49">
        <v>80.594376471253597</v>
      </c>
      <c r="AM49">
        <v>89.0490771107998</v>
      </c>
      <c r="AN49">
        <v>1.00000004517825</v>
      </c>
    </row>
    <row r="50" spans="1:40" x14ac:dyDescent="0.25">
      <c r="A50" t="str">
        <f>"20190303162456754"</f>
        <v>20190303162456754</v>
      </c>
      <c r="B50" t="str">
        <f>"1551601496742539"</f>
        <v>1551601496742539</v>
      </c>
      <c r="C50" t="s">
        <v>40</v>
      </c>
      <c r="D50">
        <v>5.2834199999999996</v>
      </c>
      <c r="E50">
        <v>0.53115789999999996</v>
      </c>
      <c r="F50" t="s">
        <v>42</v>
      </c>
      <c r="G50">
        <v>-470.42259999999999</v>
      </c>
      <c r="H50">
        <v>0.88081880000000001</v>
      </c>
      <c r="I50">
        <v>367.00850000000003</v>
      </c>
      <c r="J50">
        <v>-470.959</v>
      </c>
      <c r="K50">
        <v>1.1194230000000001</v>
      </c>
      <c r="L50">
        <v>367.07310000000001</v>
      </c>
      <c r="M50">
        <v>0.99999009999999999</v>
      </c>
      <c r="N50">
        <v>3.4899060000000001E-3</v>
      </c>
      <c r="O50">
        <v>2.777472E-3</v>
      </c>
      <c r="P50">
        <v>0.98583790000000004</v>
      </c>
      <c r="Q50">
        <v>0.16719220000000001</v>
      </c>
      <c r="R50">
        <v>-1.3054619999999999E-2</v>
      </c>
      <c r="S50">
        <v>3.2250670000000001</v>
      </c>
      <c r="T50">
        <v>-1.098071</v>
      </c>
      <c r="U50">
        <v>-0.29125980000000001</v>
      </c>
      <c r="V50">
        <v>1.569721E-2</v>
      </c>
      <c r="W50">
        <v>0.16376009999999999</v>
      </c>
      <c r="X50">
        <v>0.98637529999999995</v>
      </c>
      <c r="Y50">
        <v>8.7700459999999994E-2</v>
      </c>
      <c r="Z50">
        <v>-1.526367E-2</v>
      </c>
      <c r="AA50">
        <v>0.99602999999999997</v>
      </c>
      <c r="AB50">
        <v>16</v>
      </c>
      <c r="AC50">
        <v>0.53640000000001398</v>
      </c>
      <c r="AD50">
        <v>-0.23860419999999999</v>
      </c>
      <c r="AE50">
        <v>-6.4599999999984406E-2</v>
      </c>
      <c r="AF50">
        <v>5.5303225375640197E-2</v>
      </c>
      <c r="AG50">
        <v>-0.23860419999999999</v>
      </c>
      <c r="AH50">
        <v>0.44870319574687401</v>
      </c>
      <c r="AI50">
        <v>117.823767989343</v>
      </c>
      <c r="AJ50">
        <v>82.973659860000495</v>
      </c>
      <c r="AK50">
        <v>0.51119953918997896</v>
      </c>
      <c r="AL50">
        <v>80.574786290613403</v>
      </c>
      <c r="AM50">
        <v>89.088269982293198</v>
      </c>
      <c r="AN50">
        <v>1.00000000260194</v>
      </c>
    </row>
    <row r="51" spans="1:40" x14ac:dyDescent="0.25">
      <c r="A51" t="str">
        <f>"20190303162456778"</f>
        <v>20190303162456778</v>
      </c>
      <c r="B51" t="str">
        <f>"1551601496772794"</f>
        <v>1551601496772794</v>
      </c>
      <c r="C51" t="s">
        <v>40</v>
      </c>
      <c r="D51">
        <v>5.279318</v>
      </c>
      <c r="E51">
        <v>0.53197850000000002</v>
      </c>
      <c r="F51" t="s">
        <v>42</v>
      </c>
      <c r="G51">
        <v>-470.27379999999999</v>
      </c>
      <c r="H51">
        <v>0.88805369999999995</v>
      </c>
      <c r="I51">
        <v>367.01100000000002</v>
      </c>
      <c r="J51">
        <v>-470.78359999999998</v>
      </c>
      <c r="K51">
        <v>1.119486</v>
      </c>
      <c r="L51">
        <v>367.07409999999999</v>
      </c>
      <c r="M51">
        <v>0.9999903</v>
      </c>
      <c r="N51">
        <v>3.107795E-3</v>
      </c>
      <c r="O51">
        <v>3.1858490000000001E-3</v>
      </c>
      <c r="P51">
        <v>0.98589349999999998</v>
      </c>
      <c r="Q51">
        <v>0.16691039999999999</v>
      </c>
      <c r="R51">
        <v>-1.2457060000000001E-2</v>
      </c>
      <c r="S51">
        <v>3.2238159999999998</v>
      </c>
      <c r="T51">
        <v>-1.088471</v>
      </c>
      <c r="U51">
        <v>-0.29037479999999999</v>
      </c>
      <c r="V51">
        <v>1.5507430000000001E-2</v>
      </c>
      <c r="W51">
        <v>0.16385469999999999</v>
      </c>
      <c r="X51">
        <v>0.98636259999999998</v>
      </c>
      <c r="Y51">
        <v>8.791206E-2</v>
      </c>
      <c r="Z51">
        <v>-1.5327550000000001E-2</v>
      </c>
      <c r="AA51">
        <v>0.99601030000000002</v>
      </c>
      <c r="AB51">
        <v>16</v>
      </c>
      <c r="AC51">
        <v>0.50979999999998404</v>
      </c>
      <c r="AD51">
        <v>-0.23143229999999901</v>
      </c>
      <c r="AE51">
        <v>-6.3100000000019904E-2</v>
      </c>
      <c r="AF51">
        <v>5.3803082420689902E-2</v>
      </c>
      <c r="AG51">
        <v>-0.23143229999999901</v>
      </c>
      <c r="AH51">
        <v>0.423612987329894</v>
      </c>
      <c r="AI51">
        <v>118.45661238842899</v>
      </c>
      <c r="AJ51">
        <v>82.761619501337506</v>
      </c>
      <c r="AK51">
        <v>0.48569912929283099</v>
      </c>
      <c r="AL51">
        <v>80.569291972288497</v>
      </c>
      <c r="AM51">
        <v>89.099279418358094</v>
      </c>
      <c r="AN51">
        <v>1.00000001088802</v>
      </c>
    </row>
    <row r="52" spans="1:40" x14ac:dyDescent="0.25">
      <c r="A52" t="str">
        <f>"20190303162456799"</f>
        <v>20190303162456799</v>
      </c>
      <c r="B52" t="str">
        <f>"1551601496792315"</f>
        <v>1551601496792315</v>
      </c>
      <c r="C52" t="s">
        <v>40</v>
      </c>
      <c r="D52">
        <v>5.2747699999999904</v>
      </c>
      <c r="E52">
        <v>0.5322713</v>
      </c>
      <c r="F52" t="s">
        <v>42</v>
      </c>
      <c r="G52">
        <v>-470.12200000000001</v>
      </c>
      <c r="H52">
        <v>0.898702</v>
      </c>
      <c r="I52">
        <v>367.01319999999998</v>
      </c>
      <c r="J52">
        <v>-470.62709999999998</v>
      </c>
      <c r="K52">
        <v>1.1195630000000001</v>
      </c>
      <c r="L52">
        <v>367.07510000000002</v>
      </c>
      <c r="M52">
        <v>0.9999903</v>
      </c>
      <c r="N52">
        <v>2.6475829999999998E-3</v>
      </c>
      <c r="O52">
        <v>3.5386150000000002E-3</v>
      </c>
      <c r="P52">
        <v>0.98588480000000001</v>
      </c>
      <c r="Q52">
        <v>0.1669726</v>
      </c>
      <c r="R52">
        <v>-1.2313030000000001E-2</v>
      </c>
      <c r="S52">
        <v>3.2211910000000001</v>
      </c>
      <c r="T52">
        <v>-1.0751280000000001</v>
      </c>
      <c r="U52">
        <v>-0.2943115</v>
      </c>
      <c r="V52">
        <v>1.5717809999999999E-2</v>
      </c>
      <c r="W52">
        <v>0.16436970000000001</v>
      </c>
      <c r="X52">
        <v>0.98627359999999997</v>
      </c>
      <c r="Y52">
        <v>8.954173E-2</v>
      </c>
      <c r="Z52">
        <v>-1.5555599999999999E-2</v>
      </c>
      <c r="AA52">
        <v>0.99586160000000001</v>
      </c>
      <c r="AB52">
        <v>16</v>
      </c>
      <c r="AC52">
        <v>0.50510000000002697</v>
      </c>
      <c r="AD52">
        <v>-0.220860999999999</v>
      </c>
      <c r="AE52">
        <v>-6.1900000000036898E-2</v>
      </c>
      <c r="AF52">
        <v>5.3591918331729403E-2</v>
      </c>
      <c r="AG52">
        <v>-0.220860999999999</v>
      </c>
      <c r="AH52">
        <v>0.42484935857154499</v>
      </c>
      <c r="AI52">
        <v>117.283321365364</v>
      </c>
      <c r="AJ52">
        <v>82.810491855692206</v>
      </c>
      <c r="AK52">
        <v>0.48181806992902199</v>
      </c>
      <c r="AL52">
        <v>80.539379268645405</v>
      </c>
      <c r="AM52">
        <v>89.086979568505797</v>
      </c>
      <c r="AN52">
        <v>1.0000000309431201</v>
      </c>
    </row>
    <row r="53" spans="1:40" x14ac:dyDescent="0.25">
      <c r="A53" t="str">
        <f>"20190303162456823"</f>
        <v>20190303162456823</v>
      </c>
      <c r="B53" t="str">
        <f>"1551601496813787"</f>
        <v>1551601496813787</v>
      </c>
      <c r="C53" t="s">
        <v>40</v>
      </c>
      <c r="D53">
        <v>5.3133439999999998</v>
      </c>
      <c r="E53">
        <v>0.53244910000000001</v>
      </c>
      <c r="F53" t="s">
        <v>42</v>
      </c>
      <c r="G53">
        <v>-469.83859999999999</v>
      </c>
      <c r="H53">
        <v>0.85772510000000002</v>
      </c>
      <c r="I53">
        <v>367.00229999999999</v>
      </c>
      <c r="J53">
        <v>-470.44839999999999</v>
      </c>
      <c r="K53">
        <v>1.1196969999999999</v>
      </c>
      <c r="L53">
        <v>367.0763</v>
      </c>
      <c r="M53">
        <v>0.99999039999999995</v>
      </c>
      <c r="N53">
        <v>1.9168849999999999E-3</v>
      </c>
      <c r="O53">
        <v>3.9400099999999999E-3</v>
      </c>
      <c r="P53">
        <v>0.98568829999999996</v>
      </c>
      <c r="Q53">
        <v>0.16812279999999999</v>
      </c>
      <c r="R53">
        <v>-1.238769E-2</v>
      </c>
      <c r="S53">
        <v>3.220367</v>
      </c>
      <c r="T53">
        <v>-1.06931</v>
      </c>
      <c r="U53">
        <v>-0.29595949999999999</v>
      </c>
      <c r="V53">
        <v>1.6196080000000002E-2</v>
      </c>
      <c r="W53">
        <v>0.16624050000000001</v>
      </c>
      <c r="X53">
        <v>0.98595219999999995</v>
      </c>
      <c r="Y53">
        <v>9.0440499999999993E-2</v>
      </c>
      <c r="Z53">
        <v>-1.5784139999999999E-2</v>
      </c>
      <c r="AA53">
        <v>0.99577680000000002</v>
      </c>
      <c r="AB53">
        <v>17</v>
      </c>
      <c r="AC53">
        <v>0.609800000000007</v>
      </c>
      <c r="AD53">
        <v>-0.26197189999999898</v>
      </c>
      <c r="AE53">
        <v>-7.4000000000012195E-2</v>
      </c>
      <c r="AF53">
        <v>6.4644487364773601E-2</v>
      </c>
      <c r="AG53">
        <v>-0.26197189999999898</v>
      </c>
      <c r="AH53">
        <v>0.51570678473373899</v>
      </c>
      <c r="AI53">
        <v>116.75000439424301</v>
      </c>
      <c r="AJ53">
        <v>82.855169282685907</v>
      </c>
      <c r="AK53">
        <v>0.58203236504224998</v>
      </c>
      <c r="AL53">
        <v>80.430694581198495</v>
      </c>
      <c r="AM53">
        <v>89.058895984729403</v>
      </c>
      <c r="AN53">
        <v>0.99999997876622704</v>
      </c>
    </row>
    <row r="54" spans="1:40" x14ac:dyDescent="0.25">
      <c r="A54" t="str">
        <f>"20190303162456844"</f>
        <v>20190303162456844</v>
      </c>
      <c r="B54" t="str">
        <f>"1551601496832331"</f>
        <v>1551601496832331</v>
      </c>
      <c r="C54" t="s">
        <v>40</v>
      </c>
      <c r="D54">
        <v>5.3093969999999997</v>
      </c>
      <c r="E54">
        <v>0.53257480000000001</v>
      </c>
      <c r="F54" t="s">
        <v>42</v>
      </c>
      <c r="G54">
        <v>-469.6841</v>
      </c>
      <c r="H54">
        <v>0.86796189999999995</v>
      </c>
      <c r="I54">
        <v>367.00569999999999</v>
      </c>
      <c r="J54">
        <v>-470.28859999999997</v>
      </c>
      <c r="K54">
        <v>1.119837</v>
      </c>
      <c r="L54">
        <v>367.07740000000001</v>
      </c>
      <c r="M54">
        <v>0.99999020000000005</v>
      </c>
      <c r="N54">
        <v>1.1131030000000001E-3</v>
      </c>
      <c r="O54">
        <v>4.3065719999999998E-3</v>
      </c>
      <c r="P54">
        <v>0.98554209999999998</v>
      </c>
      <c r="Q54">
        <v>0.16899729999999999</v>
      </c>
      <c r="R54">
        <v>-1.212218E-2</v>
      </c>
      <c r="S54">
        <v>3.220825</v>
      </c>
      <c r="T54">
        <v>-1.0609230000000001</v>
      </c>
      <c r="U54">
        <v>-0.29605100000000001</v>
      </c>
      <c r="V54">
        <v>1.6297989999999998E-2</v>
      </c>
      <c r="W54">
        <v>0.16790669999999999</v>
      </c>
      <c r="X54">
        <v>0.98566819999999999</v>
      </c>
      <c r="Y54">
        <v>9.0846460000000004E-2</v>
      </c>
      <c r="Z54">
        <v>-1.5880689999999999E-2</v>
      </c>
      <c r="AA54">
        <v>0.99573829999999997</v>
      </c>
      <c r="AB54">
        <v>17</v>
      </c>
      <c r="AC54">
        <v>0.60449999999997295</v>
      </c>
      <c r="AD54">
        <v>-0.25187509999999902</v>
      </c>
      <c r="AE54">
        <v>-7.1700000000021094E-2</v>
      </c>
      <c r="AF54">
        <v>6.3441332175222298E-2</v>
      </c>
      <c r="AG54">
        <v>-0.25187509999999902</v>
      </c>
      <c r="AH54">
        <v>0.51586767622513297</v>
      </c>
      <c r="AI54">
        <v>115.855032989422</v>
      </c>
      <c r="AJ54">
        <v>82.988976904565504</v>
      </c>
      <c r="AK54">
        <v>0.57756846174466203</v>
      </c>
      <c r="AL54">
        <v>80.333867998423997</v>
      </c>
      <c r="AM54">
        <v>89.052702569626305</v>
      </c>
      <c r="AN54">
        <v>1.0000000424370801</v>
      </c>
    </row>
    <row r="55" spans="1:40" x14ac:dyDescent="0.25">
      <c r="A55" t="str">
        <f>"20190303162456868"</f>
        <v>20190303162456868</v>
      </c>
      <c r="B55" t="str">
        <f>"1551601496862588"</f>
        <v>1551601496862588</v>
      </c>
      <c r="C55" t="s">
        <v>40</v>
      </c>
      <c r="D55">
        <v>5.3316359999999996</v>
      </c>
      <c r="E55">
        <v>0.53269929999999999</v>
      </c>
      <c r="F55" t="s">
        <v>42</v>
      </c>
      <c r="G55">
        <v>-469.53149999999999</v>
      </c>
      <c r="H55">
        <v>0.87218830000000003</v>
      </c>
      <c r="I55">
        <v>367.00700000000001</v>
      </c>
      <c r="J55">
        <v>-470.10890000000001</v>
      </c>
      <c r="K55">
        <v>1.1200209999999999</v>
      </c>
      <c r="L55">
        <v>367.07859999999999</v>
      </c>
      <c r="M55">
        <v>0.99998889999999996</v>
      </c>
      <c r="N55" s="1">
        <v>6.061875E-5</v>
      </c>
      <c r="O55">
        <v>4.7283309999999997E-3</v>
      </c>
      <c r="P55">
        <v>0.985788</v>
      </c>
      <c r="Q55">
        <v>0.16761119999999999</v>
      </c>
      <c r="R55">
        <v>-1.1325699999999999E-2</v>
      </c>
      <c r="S55">
        <v>3.2210079999999999</v>
      </c>
      <c r="T55">
        <v>-1.0537099999999999</v>
      </c>
      <c r="U55">
        <v>-0.29748540000000001</v>
      </c>
      <c r="V55">
        <v>1.5925089999999999E-2</v>
      </c>
      <c r="W55">
        <v>0.1675574</v>
      </c>
      <c r="X55">
        <v>0.98573370000000005</v>
      </c>
      <c r="Y55">
        <v>9.168743E-2</v>
      </c>
      <c r="Z55">
        <v>-1.6089329999999999E-2</v>
      </c>
      <c r="AA55">
        <v>0.99565789999999998</v>
      </c>
      <c r="AB55">
        <v>17</v>
      </c>
      <c r="AC55">
        <v>0.57740000000001102</v>
      </c>
      <c r="AD55">
        <v>-0.24783269999999899</v>
      </c>
      <c r="AE55">
        <v>-7.1600000000046293E-2</v>
      </c>
      <c r="AF55">
        <v>6.2914114436564195E-2</v>
      </c>
      <c r="AG55">
        <v>-0.24783269999999899</v>
      </c>
      <c r="AH55">
        <v>0.48843303643901798</v>
      </c>
      <c r="AI55">
        <v>116.71364385275299</v>
      </c>
      <c r="AJ55">
        <v>82.660255937314005</v>
      </c>
      <c r="AK55">
        <v>0.55131303636832796</v>
      </c>
      <c r="AL55">
        <v>80.354168700653702</v>
      </c>
      <c r="AM55">
        <v>89.074434530612393</v>
      </c>
      <c r="AN55">
        <v>1.00000000905097</v>
      </c>
    </row>
    <row r="56" spans="1:40" x14ac:dyDescent="0.25">
      <c r="A56" t="str">
        <f>"20190303162456910"</f>
        <v>20190303162456910</v>
      </c>
      <c r="B56" t="str">
        <f>"1551601496902603"</f>
        <v>1551601496902603</v>
      </c>
      <c r="C56" t="s">
        <v>40</v>
      </c>
      <c r="D56">
        <v>5.3563769999999904</v>
      </c>
      <c r="E56">
        <v>0.53288549999999901</v>
      </c>
      <c r="F56" t="s">
        <v>42</v>
      </c>
      <c r="G56">
        <v>-469.37729999999999</v>
      </c>
      <c r="H56">
        <v>0.88041389999999997</v>
      </c>
      <c r="I56">
        <v>367.01080000000002</v>
      </c>
      <c r="J56">
        <v>-469.7937</v>
      </c>
      <c r="K56">
        <v>1.120395</v>
      </c>
      <c r="L56">
        <v>367.08100000000002</v>
      </c>
      <c r="M56">
        <v>0.99998299999999996</v>
      </c>
      <c r="N56">
        <v>-2.1960650000000001E-3</v>
      </c>
      <c r="O56">
        <v>5.4315429999999996E-3</v>
      </c>
      <c r="P56">
        <v>0.98609539999999996</v>
      </c>
      <c r="Q56">
        <v>0.16597770000000001</v>
      </c>
      <c r="R56">
        <v>-8.2300789999999995E-3</v>
      </c>
      <c r="S56">
        <v>3.2190859999999999</v>
      </c>
      <c r="T56">
        <v>-1.054136</v>
      </c>
      <c r="U56">
        <v>-0.29739379999999999</v>
      </c>
      <c r="V56">
        <v>1.353157E-2</v>
      </c>
      <c r="W56">
        <v>0.1681473</v>
      </c>
      <c r="X56">
        <v>0.98566900000000002</v>
      </c>
      <c r="Y56">
        <v>9.2304449999999996E-2</v>
      </c>
      <c r="Z56">
        <v>-1.652201E-2</v>
      </c>
      <c r="AA56">
        <v>0.99559370000000003</v>
      </c>
      <c r="AB56">
        <v>17</v>
      </c>
      <c r="AC56">
        <v>0.41640000000000998</v>
      </c>
      <c r="AD56">
        <v>-0.239981099999999</v>
      </c>
      <c r="AE56">
        <v>-7.0199999999942905E-2</v>
      </c>
      <c r="AF56">
        <v>5.4771233528128002E-2</v>
      </c>
      <c r="AG56">
        <v>-0.239981099999999</v>
      </c>
      <c r="AH56">
        <v>0.31445366259992502</v>
      </c>
      <c r="AI56">
        <v>126.937628038873</v>
      </c>
      <c r="AJ56">
        <v>80.119401297710894</v>
      </c>
      <c r="AK56">
        <v>0.39933935731644399</v>
      </c>
      <c r="AL56">
        <v>80.319883375780407</v>
      </c>
      <c r="AM56">
        <v>89.213475161997593</v>
      </c>
      <c r="AN56">
        <v>0.99999999772247705</v>
      </c>
    </row>
    <row r="57" spans="1:40" x14ac:dyDescent="0.25">
      <c r="A57" t="str">
        <f>"20190303162456931"</f>
        <v>20190303162456931</v>
      </c>
      <c r="B57" t="str">
        <f>"1551601496922255"</f>
        <v>1551601496922255</v>
      </c>
      <c r="C57" t="s">
        <v>40</v>
      </c>
      <c r="D57">
        <v>5.386126</v>
      </c>
      <c r="E57">
        <v>0.53299600000000003</v>
      </c>
      <c r="F57" t="s">
        <v>42</v>
      </c>
      <c r="G57">
        <v>-469.07470000000001</v>
      </c>
      <c r="H57">
        <v>0.88452229999999998</v>
      </c>
      <c r="I57">
        <v>367.01639999999998</v>
      </c>
      <c r="J57">
        <v>-469.62950000000001</v>
      </c>
      <c r="K57">
        <v>1.120581</v>
      </c>
      <c r="L57">
        <v>367.0822</v>
      </c>
      <c r="M57">
        <v>0.99997740000000002</v>
      </c>
      <c r="N57">
        <v>-3.4924119999999999E-3</v>
      </c>
      <c r="O57">
        <v>5.7612549999999998E-3</v>
      </c>
      <c r="P57">
        <v>0.98615260000000005</v>
      </c>
      <c r="Q57">
        <v>0.165663</v>
      </c>
      <c r="R57">
        <v>-7.6856519999999899E-3</v>
      </c>
      <c r="S57">
        <v>3.21759</v>
      </c>
      <c r="T57">
        <v>-1.0555600000000001</v>
      </c>
      <c r="U57">
        <v>-0.28948970000000002</v>
      </c>
      <c r="V57">
        <v>1.3317229999999999E-2</v>
      </c>
      <c r="W57">
        <v>0.16910989999999901</v>
      </c>
      <c r="X57">
        <v>0.98550720000000003</v>
      </c>
      <c r="Y57">
        <v>9.0300660000000005E-2</v>
      </c>
      <c r="Z57">
        <v>-1.6387499999999999E-2</v>
      </c>
      <c r="AA57">
        <v>0.99577969999999905</v>
      </c>
      <c r="AB57">
        <v>17</v>
      </c>
      <c r="AC57">
        <v>0.55479999999999996</v>
      </c>
      <c r="AD57">
        <v>-0.23605870000000001</v>
      </c>
      <c r="AE57">
        <v>-6.58000000000242E-2</v>
      </c>
      <c r="AF57">
        <v>5.8543713174833499E-2</v>
      </c>
      <c r="AG57">
        <v>-0.23605870000000001</v>
      </c>
      <c r="AH57">
        <v>0.47042817349157101</v>
      </c>
      <c r="AI57">
        <v>116.471204727041</v>
      </c>
      <c r="AJ57">
        <v>82.906142311643507</v>
      </c>
      <c r="AK57">
        <v>0.52957883512523696</v>
      </c>
      <c r="AL57">
        <v>80.263928940283705</v>
      </c>
      <c r="AM57">
        <v>89.225805112789203</v>
      </c>
      <c r="AN57">
        <v>0.99999997407236096</v>
      </c>
    </row>
    <row r="58" spans="1:40" x14ac:dyDescent="0.25">
      <c r="A58" t="str">
        <f>"20190303162456955"</f>
        <v>20190303162456955</v>
      </c>
      <c r="B58" t="str">
        <f>"1551601496952486"</f>
        <v>1551601496952486</v>
      </c>
      <c r="C58" t="s">
        <v>40</v>
      </c>
      <c r="D58">
        <v>5.420922</v>
      </c>
      <c r="E58">
        <v>0.53313299999999997</v>
      </c>
      <c r="F58" t="s">
        <v>42</v>
      </c>
      <c r="G58">
        <v>-468.923</v>
      </c>
      <c r="H58">
        <v>0.88904919999999998</v>
      </c>
      <c r="I58">
        <v>367.0181</v>
      </c>
      <c r="J58">
        <v>-469.45179999999999</v>
      </c>
      <c r="K58">
        <v>1.1207419999999999</v>
      </c>
      <c r="L58">
        <v>367.08370000000002</v>
      </c>
      <c r="M58">
        <v>0.99996980000000002</v>
      </c>
      <c r="N58">
        <v>-4.8337079999999999E-3</v>
      </c>
      <c r="O58">
        <v>6.0841139999999998E-3</v>
      </c>
      <c r="P58">
        <v>0.98643650000000005</v>
      </c>
      <c r="Q58">
        <v>0.16400410000000001</v>
      </c>
      <c r="R58">
        <v>-6.7613329999999996E-3</v>
      </c>
      <c r="S58">
        <v>3.2169490000000001</v>
      </c>
      <c r="T58">
        <v>-1.054316</v>
      </c>
      <c r="U58">
        <v>-0.29031370000000001</v>
      </c>
      <c r="V58">
        <v>1.27197E-2</v>
      </c>
      <c r="W58">
        <v>0.16877339999999999</v>
      </c>
      <c r="X58">
        <v>0.98557280000000003</v>
      </c>
      <c r="Y58">
        <v>9.0839890000000006E-2</v>
      </c>
      <c r="Z58">
        <v>-1.6615609999999999E-2</v>
      </c>
      <c r="AA58">
        <v>0.99572689999999997</v>
      </c>
      <c r="AB58">
        <v>17</v>
      </c>
      <c r="AC58">
        <v>0.52879999999998895</v>
      </c>
      <c r="AD58">
        <v>-0.23169279999999901</v>
      </c>
      <c r="AE58">
        <v>-6.5600000000017603E-2</v>
      </c>
      <c r="AF58">
        <v>5.78741649465127E-2</v>
      </c>
      <c r="AG58">
        <v>-0.23169279999999901</v>
      </c>
      <c r="AH58">
        <v>0.44437554294770698</v>
      </c>
      <c r="AI58">
        <v>117.34001596311001</v>
      </c>
      <c r="AJ58">
        <v>82.579731380693602</v>
      </c>
      <c r="AK58">
        <v>0.504480520644916</v>
      </c>
      <c r="AL58">
        <v>80.283490374243698</v>
      </c>
      <c r="AM58">
        <v>89.260587682570701</v>
      </c>
      <c r="AN58">
        <v>0.99999999770774495</v>
      </c>
    </row>
    <row r="59" spans="1:40" x14ac:dyDescent="0.25">
      <c r="A59" t="str">
        <f>"20190303162456976"</f>
        <v>20190303162456976</v>
      </c>
      <c r="B59" t="str">
        <f>"1551601496972982"</f>
        <v>1551601496972982</v>
      </c>
      <c r="C59" t="s">
        <v>40</v>
      </c>
      <c r="D59">
        <v>5.4244729999999999</v>
      </c>
      <c r="E59">
        <v>0.53321300000000005</v>
      </c>
      <c r="F59" t="s">
        <v>42</v>
      </c>
      <c r="G59">
        <v>-468.77069999999998</v>
      </c>
      <c r="H59">
        <v>0.896528199999999</v>
      </c>
      <c r="I59">
        <v>367.02210000000002</v>
      </c>
      <c r="J59">
        <v>-469.2903</v>
      </c>
      <c r="K59">
        <v>1.1208359999999999</v>
      </c>
      <c r="L59">
        <v>367.08499999999998</v>
      </c>
      <c r="M59">
        <v>0.99996260000000003</v>
      </c>
      <c r="N59">
        <v>-5.9276379999999998E-3</v>
      </c>
      <c r="O59">
        <v>6.3355979999999996E-3</v>
      </c>
      <c r="P59">
        <v>0.98671319999999996</v>
      </c>
      <c r="Q59">
        <v>0.16234390000000001</v>
      </c>
      <c r="R59">
        <v>-6.4684540000000002E-3</v>
      </c>
      <c r="S59">
        <v>3.2152400000000001</v>
      </c>
      <c r="T59">
        <v>-1.058408</v>
      </c>
      <c r="U59">
        <v>-0.29010010000000003</v>
      </c>
      <c r="V59">
        <v>1.268538E-2</v>
      </c>
      <c r="W59">
        <v>0.16819239999999999</v>
      </c>
      <c r="X59">
        <v>0.98567249999999995</v>
      </c>
      <c r="Y59">
        <v>9.0992710000000004E-2</v>
      </c>
      <c r="Z59">
        <v>-1.6833170000000001E-2</v>
      </c>
      <c r="AA59">
        <v>0.99570930000000002</v>
      </c>
      <c r="AB59">
        <v>17</v>
      </c>
      <c r="AC59">
        <v>0.51960000000002504</v>
      </c>
      <c r="AD59">
        <v>-0.2243078</v>
      </c>
      <c r="AE59">
        <v>-6.2899999999956394E-2</v>
      </c>
      <c r="AF59">
        <v>5.5920069933231502E-2</v>
      </c>
      <c r="AG59">
        <v>-0.2243078</v>
      </c>
      <c r="AH59">
        <v>0.43862912513964702</v>
      </c>
      <c r="AI59">
        <v>116.897673052732</v>
      </c>
      <c r="AJ59">
        <v>82.7346526774013</v>
      </c>
      <c r="AK59">
        <v>0.49581907262927</v>
      </c>
      <c r="AL59">
        <v>80.3172614360669</v>
      </c>
      <c r="AM59">
        <v>89.262657108119598</v>
      </c>
      <c r="AN59">
        <v>0.999999939769875</v>
      </c>
    </row>
    <row r="60" spans="1:40" x14ac:dyDescent="0.25">
      <c r="A60" t="str">
        <f>"20190303162456999"</f>
        <v>20190303162456999</v>
      </c>
      <c r="B60" t="str">
        <f>"1551601496992502"</f>
        <v>1551601496992502</v>
      </c>
      <c r="C60" t="s">
        <v>40</v>
      </c>
      <c r="D60">
        <v>5.4176650000000004</v>
      </c>
      <c r="E60">
        <v>0.53330219999999995</v>
      </c>
      <c r="F60" t="s">
        <v>42</v>
      </c>
      <c r="G60">
        <v>-468.62049999999999</v>
      </c>
      <c r="H60">
        <v>0.8991249</v>
      </c>
      <c r="I60">
        <v>367.024</v>
      </c>
      <c r="J60">
        <v>-469.1241</v>
      </c>
      <c r="K60">
        <v>1.1208940000000001</v>
      </c>
      <c r="L60">
        <v>367.08629999999999</v>
      </c>
      <c r="M60">
        <v>0.99995460000000003</v>
      </c>
      <c r="N60">
        <v>-6.9253910000000004E-3</v>
      </c>
      <c r="O60">
        <v>6.5461690000000001E-3</v>
      </c>
      <c r="P60">
        <v>0.98687469999999999</v>
      </c>
      <c r="Q60">
        <v>0.16135759999999999</v>
      </c>
      <c r="R60">
        <v>-6.4880500000000004E-3</v>
      </c>
      <c r="S60">
        <v>3.21347</v>
      </c>
      <c r="T60">
        <v>-1.063674</v>
      </c>
      <c r="U60">
        <v>-0.289856</v>
      </c>
      <c r="V60">
        <v>1.2924959999999999E-2</v>
      </c>
      <c r="W60">
        <v>0.16819010000000001</v>
      </c>
      <c r="X60">
        <v>0.98566989999999999</v>
      </c>
      <c r="Y60">
        <v>9.1091340000000007E-2</v>
      </c>
      <c r="Z60">
        <v>-1.7043539999999999E-2</v>
      </c>
      <c r="AA60">
        <v>0.99569669999999999</v>
      </c>
      <c r="AB60">
        <v>17</v>
      </c>
      <c r="AC60">
        <v>0.50360000000000504</v>
      </c>
      <c r="AD60">
        <v>-0.2217691</v>
      </c>
      <c r="AE60">
        <v>-6.2299999999993298E-2</v>
      </c>
      <c r="AF60">
        <v>5.5075874548015803E-2</v>
      </c>
      <c r="AG60">
        <v>-0.2217691</v>
      </c>
      <c r="AH60">
        <v>0.42248627751663498</v>
      </c>
      <c r="AI60">
        <v>117.49743552797101</v>
      </c>
      <c r="AJ60">
        <v>82.572729988866399</v>
      </c>
      <c r="AK60">
        <v>0.48032232965156002</v>
      </c>
      <c r="AL60">
        <v>80.317396277053007</v>
      </c>
      <c r="AM60">
        <v>89.248731022621996</v>
      </c>
      <c r="AN60">
        <v>1.0000000580474999</v>
      </c>
    </row>
    <row r="61" spans="1:40" x14ac:dyDescent="0.25">
      <c r="A61" t="str">
        <f>"20190303162457021"</f>
        <v>20190303162457021</v>
      </c>
      <c r="B61" t="str">
        <f>"1551601497012998"</f>
        <v>1551601497012998</v>
      </c>
      <c r="C61" t="s">
        <v>40</v>
      </c>
      <c r="D61">
        <v>5.4131179999999999</v>
      </c>
      <c r="E61">
        <v>0.53334979999999999</v>
      </c>
      <c r="F61" t="s">
        <v>42</v>
      </c>
      <c r="G61">
        <v>-468.3383</v>
      </c>
      <c r="H61">
        <v>0.86003030000000003</v>
      </c>
      <c r="I61">
        <v>367.0154</v>
      </c>
      <c r="J61">
        <v>-468.95740000000001</v>
      </c>
      <c r="K61">
        <v>1.120932</v>
      </c>
      <c r="L61">
        <v>367.08760000000001</v>
      </c>
      <c r="M61">
        <v>0.99994700000000003</v>
      </c>
      <c r="N61">
        <v>-7.8182689999999992E-3</v>
      </c>
      <c r="O61">
        <v>6.7031030000000002E-3</v>
      </c>
      <c r="P61">
        <v>0.98678829999999995</v>
      </c>
      <c r="Q61">
        <v>0.1618742</v>
      </c>
      <c r="R61">
        <v>-6.7768430000000003E-3</v>
      </c>
      <c r="S61">
        <v>3.2123719999999998</v>
      </c>
      <c r="T61">
        <v>-1.066487</v>
      </c>
      <c r="U61">
        <v>-0.28927609999999998</v>
      </c>
      <c r="V61">
        <v>1.337963E-2</v>
      </c>
      <c r="W61">
        <v>0.1695845</v>
      </c>
      <c r="X61">
        <v>0.98542479999999999</v>
      </c>
      <c r="Y61">
        <v>9.1051439999999997E-2</v>
      </c>
      <c r="Z61">
        <v>-1.717026E-2</v>
      </c>
      <c r="AA61">
        <v>0.99569819999999998</v>
      </c>
      <c r="AB61">
        <v>17</v>
      </c>
      <c r="AC61">
        <v>0.61910000000000298</v>
      </c>
      <c r="AD61">
        <v>-0.26090170000000001</v>
      </c>
      <c r="AE61">
        <v>-7.2200000000009298E-2</v>
      </c>
      <c r="AF61">
        <v>6.4965601407096105E-2</v>
      </c>
      <c r="AG61">
        <v>-0.26090170000000001</v>
      </c>
      <c r="AH61">
        <v>0.52637462619753905</v>
      </c>
      <c r="AI61">
        <v>116.19374028358099</v>
      </c>
      <c r="AJ61">
        <v>82.964087803344995</v>
      </c>
      <c r="AK61">
        <v>0.59106723266788697</v>
      </c>
      <c r="AL61">
        <v>80.236337876010694</v>
      </c>
      <c r="AM61">
        <v>89.222112911589804</v>
      </c>
      <c r="AN61">
        <v>0.99999997679711305</v>
      </c>
    </row>
    <row r="62" spans="1:40" x14ac:dyDescent="0.25">
      <c r="A62" t="str">
        <f>"20190303162457043"</f>
        <v>20190303162457043</v>
      </c>
      <c r="B62" t="str">
        <f>"1551601497032518"</f>
        <v>1551601497032518</v>
      </c>
      <c r="C62" t="s">
        <v>40</v>
      </c>
      <c r="D62">
        <v>5.4411509999999996</v>
      </c>
      <c r="E62">
        <v>0.53339029999999998</v>
      </c>
      <c r="F62" t="s">
        <v>42</v>
      </c>
      <c r="G62">
        <v>-468.18799999999999</v>
      </c>
      <c r="H62">
        <v>0.86567799999999995</v>
      </c>
      <c r="I62">
        <v>367.01799999999997</v>
      </c>
      <c r="J62">
        <v>-468.79610000000002</v>
      </c>
      <c r="K62">
        <v>1.1209439999999999</v>
      </c>
      <c r="L62">
        <v>367.08879999999999</v>
      </c>
      <c r="M62">
        <v>0.99994039999999995</v>
      </c>
      <c r="N62">
        <v>-8.5313850000000007E-3</v>
      </c>
      <c r="O62">
        <v>6.8167000000000002E-3</v>
      </c>
      <c r="P62">
        <v>0.98665740000000002</v>
      </c>
      <c r="Q62">
        <v>0.1626592</v>
      </c>
      <c r="R62">
        <v>-7.0032530000000001E-3</v>
      </c>
      <c r="S62">
        <v>3.2130429999999999</v>
      </c>
      <c r="T62">
        <v>-1.0659019999999999</v>
      </c>
      <c r="U62">
        <v>-0.28979490000000002</v>
      </c>
      <c r="V62">
        <v>1.37276E-2</v>
      </c>
      <c r="W62">
        <v>0.17107069999999999</v>
      </c>
      <c r="X62">
        <v>0.98516309999999996</v>
      </c>
      <c r="Y62">
        <v>9.1285240000000004E-2</v>
      </c>
      <c r="Z62">
        <v>-1.7261200000000001E-2</v>
      </c>
      <c r="AA62">
        <v>0.99567519999999998</v>
      </c>
      <c r="AB62">
        <v>17</v>
      </c>
      <c r="AC62">
        <v>0.60809999999997899</v>
      </c>
      <c r="AD62">
        <v>-0.25526599999999899</v>
      </c>
      <c r="AE62">
        <v>-7.0799999999962795E-2</v>
      </c>
      <c r="AF62">
        <v>6.3844094969676496E-2</v>
      </c>
      <c r="AG62">
        <v>-0.25526599999999899</v>
      </c>
      <c r="AH62">
        <v>0.51761331724274895</v>
      </c>
      <c r="AI62">
        <v>116.079462915851</v>
      </c>
      <c r="AJ62">
        <v>82.968468538673207</v>
      </c>
      <c r="AK62">
        <v>0.58065510021486899</v>
      </c>
      <c r="AL62">
        <v>80.149922183554395</v>
      </c>
      <c r="AM62">
        <v>89.201672654227593</v>
      </c>
      <c r="AN62">
        <v>0.99999998250092903</v>
      </c>
    </row>
    <row r="63" spans="1:40" x14ac:dyDescent="0.25">
      <c r="A63" t="str">
        <f>"20190303162457066"</f>
        <v>20190303162457066</v>
      </c>
      <c r="B63" t="str">
        <f>"1551601497062774"</f>
        <v>1551601497062774</v>
      </c>
      <c r="C63" t="s">
        <v>40</v>
      </c>
      <c r="D63">
        <v>5.4660989999999998</v>
      </c>
      <c r="E63">
        <v>0.5334373</v>
      </c>
      <c r="F63" t="s">
        <v>42</v>
      </c>
      <c r="G63">
        <v>-468.0376</v>
      </c>
      <c r="H63">
        <v>0.86990699999999999</v>
      </c>
      <c r="I63">
        <v>367.01990000000001</v>
      </c>
      <c r="J63">
        <v>-468.62009999999998</v>
      </c>
      <c r="K63">
        <v>1.120859</v>
      </c>
      <c r="L63">
        <v>367.09010000000001</v>
      </c>
      <c r="M63">
        <v>0.99993520000000002</v>
      </c>
      <c r="N63">
        <v>-9.0602990000000008E-3</v>
      </c>
      <c r="O63">
        <v>6.9135569999999999E-3</v>
      </c>
      <c r="P63">
        <v>0.98664399999999997</v>
      </c>
      <c r="Q63">
        <v>0.162710299999999</v>
      </c>
      <c r="R63">
        <v>-7.6923399999999998E-3</v>
      </c>
      <c r="S63">
        <v>3.2138369999999998</v>
      </c>
      <c r="T63">
        <v>-1.063688</v>
      </c>
      <c r="U63">
        <v>-0.29031370000000001</v>
      </c>
      <c r="V63">
        <v>1.45227999999999E-2</v>
      </c>
      <c r="W63">
        <v>0.1716415</v>
      </c>
      <c r="X63">
        <v>0.98505240000000005</v>
      </c>
      <c r="Y63">
        <v>9.1518450000000001E-2</v>
      </c>
      <c r="Z63">
        <v>-1.7314010000000001E-2</v>
      </c>
      <c r="AA63">
        <v>0.99565289999999995</v>
      </c>
      <c r="AB63">
        <v>17</v>
      </c>
      <c r="AC63">
        <v>0.58249999999998103</v>
      </c>
      <c r="AD63">
        <v>-0.25095200000000001</v>
      </c>
      <c r="AE63">
        <v>-7.0199999999999804E-2</v>
      </c>
      <c r="AF63">
        <v>6.2746330632983696E-2</v>
      </c>
      <c r="AG63">
        <v>-0.25095200000000001</v>
      </c>
      <c r="AH63">
        <v>0.491991891620435</v>
      </c>
      <c r="AI63">
        <v>116.838276243076</v>
      </c>
      <c r="AJ63">
        <v>82.732001701806198</v>
      </c>
      <c r="AK63">
        <v>0.55585072612362196</v>
      </c>
      <c r="AL63">
        <v>80.116726673425504</v>
      </c>
      <c r="AM63">
        <v>89.155339486334995</v>
      </c>
      <c r="AN63">
        <v>0.999999973493924</v>
      </c>
    </row>
    <row r="64" spans="1:40" x14ac:dyDescent="0.25">
      <c r="A64" t="str">
        <f>"20190303162457090"</f>
        <v>20190303162457090</v>
      </c>
      <c r="B64" t="str">
        <f>"1551601497082296"</f>
        <v>1551601497082296</v>
      </c>
      <c r="C64" t="s">
        <v>40</v>
      </c>
      <c r="D64">
        <v>5.4536340000000001</v>
      </c>
      <c r="E64">
        <v>0.5334525</v>
      </c>
      <c r="F64" t="s">
        <v>42</v>
      </c>
      <c r="G64">
        <v>-467.88670000000002</v>
      </c>
      <c r="H64">
        <v>0.877974699999999</v>
      </c>
      <c r="I64">
        <v>367.02359999999999</v>
      </c>
      <c r="J64">
        <v>-468.452</v>
      </c>
      <c r="K64">
        <v>1.120789</v>
      </c>
      <c r="L64">
        <v>367.09140000000002</v>
      </c>
      <c r="M64">
        <v>0.99992829999999999</v>
      </c>
      <c r="N64">
        <v>-9.7270180000000005E-3</v>
      </c>
      <c r="O64">
        <v>6.9867810000000001E-3</v>
      </c>
      <c r="P64">
        <v>0.98655020000000004</v>
      </c>
      <c r="Q64">
        <v>0.16323779999999999</v>
      </c>
      <c r="R64">
        <v>-8.5071880000000006E-3</v>
      </c>
      <c r="S64">
        <v>3.2138059999999999</v>
      </c>
      <c r="T64">
        <v>-1.0642309999999999</v>
      </c>
      <c r="U64">
        <v>-0.29095460000000001</v>
      </c>
      <c r="V64">
        <v>1.5415979999999999E-2</v>
      </c>
      <c r="W64">
        <v>0.17282420000000001</v>
      </c>
      <c r="X64">
        <v>0.98483200000000004</v>
      </c>
      <c r="Y64">
        <v>9.1758210000000007E-2</v>
      </c>
      <c r="Z64">
        <v>-1.7411840000000001E-2</v>
      </c>
      <c r="AA64">
        <v>0.99562910000000004</v>
      </c>
      <c r="AB64">
        <v>17</v>
      </c>
      <c r="AC64">
        <v>0.56529999999997904</v>
      </c>
      <c r="AD64">
        <v>-0.24281430000000001</v>
      </c>
      <c r="AE64">
        <v>-6.7800000000033805E-2</v>
      </c>
      <c r="AF64">
        <v>6.0706742843911497E-2</v>
      </c>
      <c r="AG64">
        <v>-0.24281430000000001</v>
      </c>
      <c r="AH64">
        <v>0.47789275851442398</v>
      </c>
      <c r="AI64">
        <v>116.750077692828</v>
      </c>
      <c r="AJ64">
        <v>82.760488332015299</v>
      </c>
      <c r="AK64">
        <v>0.53946786887796405</v>
      </c>
      <c r="AL64">
        <v>80.047934831634507</v>
      </c>
      <c r="AM64">
        <v>89.103198861045797</v>
      </c>
      <c r="AN64">
        <v>0.99999996238449895</v>
      </c>
    </row>
    <row r="65" spans="1:40" x14ac:dyDescent="0.25">
      <c r="A65" t="str">
        <f>"20190303162457111"</f>
        <v>20190303162457111</v>
      </c>
      <c r="B65" t="str">
        <f>"1551601497102790"</f>
        <v>1551601497102790</v>
      </c>
      <c r="C65" t="s">
        <v>40</v>
      </c>
      <c r="D65">
        <v>5.4718549999999997</v>
      </c>
      <c r="E65">
        <v>0.53344199999999997</v>
      </c>
      <c r="F65" t="s">
        <v>42</v>
      </c>
      <c r="G65">
        <v>-467.73759999999999</v>
      </c>
      <c r="H65">
        <v>0.88441239999999999</v>
      </c>
      <c r="I65">
        <v>367.02640000000002</v>
      </c>
      <c r="J65">
        <v>-468.29520000000002</v>
      </c>
      <c r="K65">
        <v>1.120744</v>
      </c>
      <c r="L65">
        <v>367.0926</v>
      </c>
      <c r="M65">
        <v>0.99992159999999997</v>
      </c>
      <c r="N65">
        <v>-1.0370620000000001E-2</v>
      </c>
      <c r="O65">
        <v>7.0343189999999998E-3</v>
      </c>
      <c r="P65">
        <v>0.98651089999999997</v>
      </c>
      <c r="Q65">
        <v>0.1634043</v>
      </c>
      <c r="R65">
        <v>-9.7917820000000006E-3</v>
      </c>
      <c r="S65">
        <v>3.2143549999999999</v>
      </c>
      <c r="T65">
        <v>-1.0634790000000001</v>
      </c>
      <c r="U65">
        <v>-0.29125980000000001</v>
      </c>
      <c r="V65">
        <v>1.6749739999999999E-2</v>
      </c>
      <c r="W65">
        <v>0.17362359999999999</v>
      </c>
      <c r="X65">
        <v>0.98466960000000003</v>
      </c>
      <c r="Y65">
        <v>9.1875739999999997E-2</v>
      </c>
      <c r="Z65">
        <v>-1.7457940000000002E-2</v>
      </c>
      <c r="AA65">
        <v>0.99561739999999999</v>
      </c>
      <c r="AB65">
        <v>16</v>
      </c>
      <c r="AC65">
        <v>0.55760000000003596</v>
      </c>
      <c r="AD65">
        <v>-0.2363316</v>
      </c>
      <c r="AE65">
        <v>-6.6199999999980705E-2</v>
      </c>
      <c r="AF65">
        <v>5.9568821902535797E-2</v>
      </c>
      <c r="AG65">
        <v>-0.2363316</v>
      </c>
      <c r="AH65">
        <v>0.473282688548608</v>
      </c>
      <c r="AI65">
        <v>116.355504523261</v>
      </c>
      <c r="AJ65">
        <v>82.826298177982906</v>
      </c>
      <c r="AK65">
        <v>0.53235098664435199</v>
      </c>
      <c r="AL65">
        <v>80.001429560722499</v>
      </c>
      <c r="AM65">
        <v>89.025463097983106</v>
      </c>
      <c r="AN65">
        <v>0.99999996471559305</v>
      </c>
    </row>
    <row r="66" spans="1:40" x14ac:dyDescent="0.25">
      <c r="A66" t="str">
        <f>"20190303162457134"</f>
        <v>20190303162457134</v>
      </c>
      <c r="B66" t="str">
        <f>"1551601497122310"</f>
        <v>1551601497122310</v>
      </c>
      <c r="C66" t="s">
        <v>40</v>
      </c>
      <c r="D66">
        <v>5.4926890000000004</v>
      </c>
      <c r="E66">
        <v>0.53343359999999995</v>
      </c>
      <c r="F66" t="s">
        <v>42</v>
      </c>
      <c r="G66">
        <v>-467.59030000000001</v>
      </c>
      <c r="H66">
        <v>0.8873856</v>
      </c>
      <c r="I66">
        <v>367.02800000000002</v>
      </c>
      <c r="J66">
        <v>-468.13080000000002</v>
      </c>
      <c r="K66">
        <v>1.1206769999999999</v>
      </c>
      <c r="L66">
        <v>367.09370000000001</v>
      </c>
      <c r="M66">
        <v>0.99991649999999999</v>
      </c>
      <c r="N66">
        <v>-1.0831820000000001E-2</v>
      </c>
      <c r="O66">
        <v>7.0637490000000002E-3</v>
      </c>
      <c r="P66">
        <v>0.98627589999999998</v>
      </c>
      <c r="Q66">
        <v>0.164749799999999</v>
      </c>
      <c r="R66">
        <v>-1.0849620000000001E-2</v>
      </c>
      <c r="S66">
        <v>3.2142940000000002</v>
      </c>
      <c r="T66">
        <v>-1.063987</v>
      </c>
      <c r="U66">
        <v>-0.29455569999999998</v>
      </c>
      <c r="V66">
        <v>1.7834570000000001E-2</v>
      </c>
      <c r="W66">
        <v>0.1754204</v>
      </c>
      <c r="X66">
        <v>0.98433210000000004</v>
      </c>
      <c r="Y66">
        <v>9.2853430000000001E-2</v>
      </c>
      <c r="Z66">
        <v>-1.7655859999999999E-2</v>
      </c>
      <c r="AA66">
        <v>0.99552320000000005</v>
      </c>
      <c r="AB66">
        <v>16</v>
      </c>
      <c r="AC66">
        <v>0.54050000000000797</v>
      </c>
      <c r="AD66">
        <v>-0.23329140000000001</v>
      </c>
      <c r="AE66">
        <v>-6.5699999999992501E-2</v>
      </c>
      <c r="AF66">
        <v>5.87339033392714E-2</v>
      </c>
      <c r="AG66">
        <v>-0.23329140000000001</v>
      </c>
      <c r="AH66">
        <v>0.45626009401919798</v>
      </c>
      <c r="AI66">
        <v>116.890829589278</v>
      </c>
      <c r="AJ66">
        <v>82.664712438026896</v>
      </c>
      <c r="AK66">
        <v>0.51579823779248701</v>
      </c>
      <c r="AL66">
        <v>79.896876655148702</v>
      </c>
      <c r="AM66">
        <v>88.962002970420301</v>
      </c>
      <c r="AN66">
        <v>1.00000003585682</v>
      </c>
    </row>
    <row r="67" spans="1:40" x14ac:dyDescent="0.25">
      <c r="A67" t="str">
        <f>"20190303162457156"</f>
        <v>20190303162457156</v>
      </c>
      <c r="B67" t="str">
        <f>"1551601497152567"</f>
        <v>1551601497152567</v>
      </c>
      <c r="C67" t="s">
        <v>40</v>
      </c>
      <c r="D67">
        <v>5.5211420000000002</v>
      </c>
      <c r="E67">
        <v>0.53339389999999998</v>
      </c>
      <c r="F67" t="s">
        <v>42</v>
      </c>
      <c r="G67">
        <v>-467.4418</v>
      </c>
      <c r="H67">
        <v>0.89340819999999999</v>
      </c>
      <c r="I67">
        <v>367.02960000000002</v>
      </c>
      <c r="J67">
        <v>-467.96949999999998</v>
      </c>
      <c r="K67">
        <v>1.1206039999999999</v>
      </c>
      <c r="L67">
        <v>367.0949</v>
      </c>
      <c r="M67">
        <v>0.99991350000000001</v>
      </c>
      <c r="N67">
        <v>-1.108143E-2</v>
      </c>
      <c r="O67">
        <v>7.0851769999999998E-3</v>
      </c>
      <c r="P67">
        <v>0.98615350000000002</v>
      </c>
      <c r="Q67">
        <v>0.16538520000000001</v>
      </c>
      <c r="R67">
        <v>-1.221211E-2</v>
      </c>
      <c r="S67">
        <v>3.2156370000000001</v>
      </c>
      <c r="T67">
        <v>-1.0606469999999999</v>
      </c>
      <c r="U67">
        <v>-0.29739379999999999</v>
      </c>
      <c r="V67">
        <v>1.9213899999999999E-2</v>
      </c>
      <c r="W67">
        <v>0.17630009999999999</v>
      </c>
      <c r="X67">
        <v>0.98414889999999999</v>
      </c>
      <c r="Y67">
        <v>9.3695609999999999E-2</v>
      </c>
      <c r="Z67">
        <v>-1.775374E-2</v>
      </c>
      <c r="AA67">
        <v>0.99544259999999996</v>
      </c>
      <c r="AB67">
        <v>16</v>
      </c>
      <c r="AC67">
        <v>0.52769999999998096</v>
      </c>
      <c r="AD67">
        <v>-0.2271958</v>
      </c>
      <c r="AE67">
        <v>-6.5299999999979194E-2</v>
      </c>
      <c r="AF67">
        <v>5.8379214520929902E-2</v>
      </c>
      <c r="AG67">
        <v>-0.2271958</v>
      </c>
      <c r="AH67">
        <v>0.44582950114627101</v>
      </c>
      <c r="AI67">
        <v>116.806960861702</v>
      </c>
      <c r="AJ67">
        <v>82.539840735114694</v>
      </c>
      <c r="AK67">
        <v>0.50377575201477698</v>
      </c>
      <c r="AL67">
        <v>79.845675006003404</v>
      </c>
      <c r="AM67">
        <v>88.881535569059196</v>
      </c>
      <c r="AN67">
        <v>0.99999997829221399</v>
      </c>
    </row>
    <row r="68" spans="1:40" x14ac:dyDescent="0.25">
      <c r="A68" t="str">
        <f>"20190303162457176"</f>
        <v>20190303162457176</v>
      </c>
      <c r="B68" t="str">
        <f>"1551601497173062"</f>
        <v>1551601497173062</v>
      </c>
      <c r="C68" t="s">
        <v>40</v>
      </c>
      <c r="D68">
        <v>5.5314909999999999</v>
      </c>
      <c r="E68">
        <v>0.53337069999999998</v>
      </c>
      <c r="F68" t="s">
        <v>42</v>
      </c>
      <c r="G68">
        <v>-467.29379999999998</v>
      </c>
      <c r="H68">
        <v>0.89776230000000001</v>
      </c>
      <c r="I68">
        <v>367.03210000000001</v>
      </c>
      <c r="J68">
        <v>-467.8177</v>
      </c>
      <c r="K68">
        <v>1.120576</v>
      </c>
      <c r="L68">
        <v>367.096</v>
      </c>
      <c r="M68">
        <v>0.99991110000000005</v>
      </c>
      <c r="N68">
        <v>-1.128582E-2</v>
      </c>
      <c r="O68">
        <v>7.1116740000000001E-3</v>
      </c>
      <c r="P68">
        <v>0.98595730000000004</v>
      </c>
      <c r="Q68">
        <v>0.16643339999999901</v>
      </c>
      <c r="R68">
        <v>-1.3737269999999999E-2</v>
      </c>
      <c r="S68">
        <v>3.216278</v>
      </c>
      <c r="T68">
        <v>-1.0606599999999999</v>
      </c>
      <c r="U68">
        <v>-0.299591099999999</v>
      </c>
      <c r="V68">
        <v>2.0759969999999999E-2</v>
      </c>
      <c r="W68">
        <v>0.1775475</v>
      </c>
      <c r="X68">
        <v>0.98389320000000002</v>
      </c>
      <c r="Y68">
        <v>9.4341140000000004E-2</v>
      </c>
      <c r="Z68">
        <v>-1.7874069999999999E-2</v>
      </c>
      <c r="AA68">
        <v>0.99537940000000003</v>
      </c>
      <c r="AB68">
        <v>16</v>
      </c>
      <c r="AC68">
        <v>0.52390000000002601</v>
      </c>
      <c r="AD68">
        <v>-0.2228137</v>
      </c>
      <c r="AE68">
        <v>-6.3899999999989604E-2</v>
      </c>
      <c r="AF68">
        <v>5.7395070286552399E-2</v>
      </c>
      <c r="AG68">
        <v>-0.2228137</v>
      </c>
      <c r="AH68">
        <v>0.44425415728474199</v>
      </c>
      <c r="AI68">
        <v>116.446282752827</v>
      </c>
      <c r="AJ68">
        <v>82.638492942499795</v>
      </c>
      <c r="AK68">
        <v>0.500301804179902</v>
      </c>
      <c r="AL68">
        <v>79.773058500382007</v>
      </c>
      <c r="AM68">
        <v>88.791248690075406</v>
      </c>
      <c r="AN68">
        <v>0.99999996005844405</v>
      </c>
    </row>
    <row r="69" spans="1:40" x14ac:dyDescent="0.25">
      <c r="A69" t="str">
        <f>"20190303162457200"</f>
        <v>20190303162457200</v>
      </c>
      <c r="B69" t="str">
        <f>"1551601497192582"</f>
        <v>1551601497192582</v>
      </c>
      <c r="C69" t="s">
        <v>40</v>
      </c>
      <c r="D69">
        <v>5.5398399999999999</v>
      </c>
      <c r="E69">
        <v>0.53335030000000005</v>
      </c>
      <c r="F69" t="s">
        <v>42</v>
      </c>
      <c r="G69">
        <v>-467.14679999999998</v>
      </c>
      <c r="H69">
        <v>0.89991379999999999</v>
      </c>
      <c r="I69">
        <v>367.03219999999999</v>
      </c>
      <c r="J69">
        <v>-467.64890000000003</v>
      </c>
      <c r="K69">
        <v>1.1206050000000001</v>
      </c>
      <c r="L69">
        <v>367.09730000000002</v>
      </c>
      <c r="M69">
        <v>0.9999074</v>
      </c>
      <c r="N69">
        <v>-1.1586610000000001E-2</v>
      </c>
      <c r="O69">
        <v>7.1537500000000004E-3</v>
      </c>
      <c r="P69">
        <v>0.98590739999999999</v>
      </c>
      <c r="Q69">
        <v>0.16663559999999999</v>
      </c>
      <c r="R69">
        <v>-1.481469E-2</v>
      </c>
      <c r="S69">
        <v>3.2171020000000001</v>
      </c>
      <c r="T69">
        <v>-1.058233</v>
      </c>
      <c r="U69">
        <v>-0.30456539999999999</v>
      </c>
      <c r="V69">
        <v>2.18747E-2</v>
      </c>
      <c r="W69">
        <v>0.17804539999999999</v>
      </c>
      <c r="X69">
        <v>0.98377910000000002</v>
      </c>
      <c r="Y69">
        <v>9.5826040000000001E-2</v>
      </c>
      <c r="Z69">
        <v>-1.810264E-2</v>
      </c>
      <c r="AA69">
        <v>0.99523349999999999</v>
      </c>
      <c r="AB69">
        <v>16</v>
      </c>
      <c r="AC69">
        <v>0.50210000000004096</v>
      </c>
      <c r="AD69">
        <v>-0.220691199999999</v>
      </c>
      <c r="AE69">
        <v>-6.5100000000029398E-2</v>
      </c>
      <c r="AF69">
        <v>5.77231720984877E-2</v>
      </c>
      <c r="AG69">
        <v>-0.220691199999999</v>
      </c>
      <c r="AH69">
        <v>0.42153122406753502</v>
      </c>
      <c r="AI69">
        <v>117.41603083359701</v>
      </c>
      <c r="AJ69">
        <v>82.202591418860706</v>
      </c>
      <c r="AK69">
        <v>0.47929650866496598</v>
      </c>
      <c r="AL69">
        <v>79.744069383635903</v>
      </c>
      <c r="AM69">
        <v>88.726216590808406</v>
      </c>
      <c r="AN69">
        <v>0.99999999227902903</v>
      </c>
    </row>
    <row r="70" spans="1:40" x14ac:dyDescent="0.25">
      <c r="A70" t="str">
        <f>"20190303162457221"</f>
        <v>20190303162457221</v>
      </c>
      <c r="B70" t="str">
        <f>"1551601497213077"</f>
        <v>1551601497213077</v>
      </c>
      <c r="C70" t="s">
        <v>40</v>
      </c>
      <c r="D70">
        <v>5.5550649999999999</v>
      </c>
      <c r="E70">
        <v>0.53332639999999998</v>
      </c>
      <c r="F70" t="s">
        <v>42</v>
      </c>
      <c r="G70">
        <v>-466.87040000000002</v>
      </c>
      <c r="H70">
        <v>0.86437830000000004</v>
      </c>
      <c r="I70">
        <v>367.02229999999997</v>
      </c>
      <c r="J70">
        <v>-467.4862</v>
      </c>
      <c r="K70">
        <v>1.120668</v>
      </c>
      <c r="L70">
        <v>367.0985</v>
      </c>
      <c r="M70">
        <v>0.99990319999999999</v>
      </c>
      <c r="N70">
        <v>-1.191044E-2</v>
      </c>
      <c r="O70">
        <v>7.2051709999999998E-3</v>
      </c>
      <c r="P70">
        <v>0.98580369999999995</v>
      </c>
      <c r="Q70">
        <v>0.16719999999999999</v>
      </c>
      <c r="R70">
        <v>-1.535502E-2</v>
      </c>
      <c r="S70">
        <v>3.2171940000000001</v>
      </c>
      <c r="T70">
        <v>-1.05877</v>
      </c>
      <c r="U70">
        <v>-0.30853269999999999</v>
      </c>
      <c r="V70">
        <v>2.2461350000000001E-2</v>
      </c>
      <c r="W70">
        <v>0.17892749999999999</v>
      </c>
      <c r="X70">
        <v>0.98360590000000003</v>
      </c>
      <c r="Y70">
        <v>9.701477E-2</v>
      </c>
      <c r="Z70">
        <v>-1.83368E-2</v>
      </c>
      <c r="AA70">
        <v>0.99511400000000005</v>
      </c>
      <c r="AB70">
        <v>16</v>
      </c>
      <c r="AC70">
        <v>0.61579999999997803</v>
      </c>
      <c r="AD70">
        <v>-0.25628969999999901</v>
      </c>
      <c r="AE70">
        <v>-7.6200000000028398E-2</v>
      </c>
      <c r="AF70">
        <v>6.8883616132072001E-2</v>
      </c>
      <c r="AG70">
        <v>-0.25628969999999901</v>
      </c>
      <c r="AH70">
        <v>0.52557152701630505</v>
      </c>
      <c r="AI70">
        <v>115.803994553301</v>
      </c>
      <c r="AJ70">
        <v>82.533134747566194</v>
      </c>
      <c r="AK70">
        <v>0.58877397438046697</v>
      </c>
      <c r="AL70">
        <v>79.692704720023997</v>
      </c>
      <c r="AM70">
        <v>88.691836916831406</v>
      </c>
      <c r="AN70">
        <v>1.0000000645074301</v>
      </c>
    </row>
    <row r="71" spans="1:40" x14ac:dyDescent="0.25">
      <c r="A71" t="str">
        <f>"20190303162457245"</f>
        <v>20190303162457245</v>
      </c>
      <c r="B71" t="str">
        <f>"1551601497242358"</f>
        <v>1551601497242358</v>
      </c>
      <c r="C71" t="s">
        <v>40</v>
      </c>
      <c r="D71">
        <v>5.5761820000000002</v>
      </c>
      <c r="E71">
        <v>0.53327880000000005</v>
      </c>
      <c r="F71" t="s">
        <v>42</v>
      </c>
      <c r="G71">
        <v>-466.7235</v>
      </c>
      <c r="H71">
        <v>0.86991419999999997</v>
      </c>
      <c r="I71">
        <v>367.02480000000003</v>
      </c>
      <c r="J71">
        <v>-467.32170000000002</v>
      </c>
      <c r="K71">
        <v>1.120725</v>
      </c>
      <c r="L71">
        <v>367.09969999999998</v>
      </c>
      <c r="M71">
        <v>0.99989930000000005</v>
      </c>
      <c r="N71">
        <v>-1.21928E-2</v>
      </c>
      <c r="O71">
        <v>7.264894E-3</v>
      </c>
      <c r="P71">
        <v>0.98579969999999995</v>
      </c>
      <c r="Q71">
        <v>0.16715769999999999</v>
      </c>
      <c r="R71">
        <v>-1.6045E-2</v>
      </c>
      <c r="S71">
        <v>3.2178040000000001</v>
      </c>
      <c r="T71">
        <v>-1.0578259999999999</v>
      </c>
      <c r="U71">
        <v>-0.30996699999999999</v>
      </c>
      <c r="V71">
        <v>2.3207200000000001E-2</v>
      </c>
      <c r="W71">
        <v>0.17916299999999999</v>
      </c>
      <c r="X71">
        <v>0.98354569999999997</v>
      </c>
      <c r="Y71">
        <v>9.7475800000000001E-2</v>
      </c>
      <c r="Z71">
        <v>-1.8425210000000001E-2</v>
      </c>
      <c r="AA71">
        <v>0.99506729999999999</v>
      </c>
      <c r="AB71">
        <v>16</v>
      </c>
      <c r="AC71">
        <v>0.59820000000001905</v>
      </c>
      <c r="AD71">
        <v>-0.250810799999999</v>
      </c>
      <c r="AE71">
        <v>-7.4899999999956807E-2</v>
      </c>
      <c r="AF71">
        <v>6.7552328736822001E-2</v>
      </c>
      <c r="AG71">
        <v>-0.250810799999999</v>
      </c>
      <c r="AH71">
        <v>0.50946281127188398</v>
      </c>
      <c r="AI71">
        <v>116.01390075848801</v>
      </c>
      <c r="AJ71">
        <v>82.446913248789201</v>
      </c>
      <c r="AK71">
        <v>0.571858138512917</v>
      </c>
      <c r="AL71">
        <v>79.678989787367797</v>
      </c>
      <c r="AM71">
        <v>88.648331304341795</v>
      </c>
      <c r="AN71">
        <v>1.0000000493446599</v>
      </c>
    </row>
    <row r="72" spans="1:40" x14ac:dyDescent="0.25">
      <c r="A72" t="str">
        <f>"20190303162457267"</f>
        <v>20190303162457267</v>
      </c>
      <c r="B72" t="str">
        <f>"1551601497262854"</f>
        <v>1551601497262854</v>
      </c>
      <c r="C72" t="s">
        <v>40</v>
      </c>
      <c r="D72">
        <v>5.5910320000000002</v>
      </c>
      <c r="E72">
        <v>0.53322979999999998</v>
      </c>
      <c r="F72" t="s">
        <v>42</v>
      </c>
      <c r="G72">
        <v>-466.57690000000002</v>
      </c>
      <c r="H72">
        <v>0.87536159999999996</v>
      </c>
      <c r="I72">
        <v>367.02719999999999</v>
      </c>
      <c r="J72">
        <v>-467.15899999999999</v>
      </c>
      <c r="K72">
        <v>1.120787</v>
      </c>
      <c r="L72">
        <v>367.101</v>
      </c>
      <c r="M72">
        <v>0.99989629999999996</v>
      </c>
      <c r="N72">
        <v>-1.240815E-2</v>
      </c>
      <c r="O72">
        <v>7.3283200000000001E-3</v>
      </c>
      <c r="P72">
        <v>0.98593310000000001</v>
      </c>
      <c r="Q72">
        <v>0.16636189999999901</v>
      </c>
      <c r="R72">
        <v>-1.611522E-2</v>
      </c>
      <c r="S72">
        <v>3.2178650000000002</v>
      </c>
      <c r="T72">
        <v>-1.060122</v>
      </c>
      <c r="U72">
        <v>-0.3117065</v>
      </c>
      <c r="V72">
        <v>2.333853E-2</v>
      </c>
      <c r="W72">
        <v>0.1785812</v>
      </c>
      <c r="X72">
        <v>0.98364839999999998</v>
      </c>
      <c r="Y72">
        <v>9.801166E-2</v>
      </c>
      <c r="Z72">
        <v>-1.857953E-2</v>
      </c>
      <c r="AA72">
        <v>0.9950118</v>
      </c>
      <c r="AB72">
        <v>16</v>
      </c>
      <c r="AC72">
        <v>0.58209999999996798</v>
      </c>
      <c r="AD72">
        <v>-0.24542539999999999</v>
      </c>
      <c r="AE72">
        <v>-7.3800000000005597E-2</v>
      </c>
      <c r="AF72">
        <v>6.6440305448095802E-2</v>
      </c>
      <c r="AG72">
        <v>-0.24542539999999999</v>
      </c>
      <c r="AH72">
        <v>0.49495090976670802</v>
      </c>
      <c r="AI72">
        <v>116.171810666493</v>
      </c>
      <c r="AJ72">
        <v>82.354538508759404</v>
      </c>
      <c r="AK72">
        <v>0.55643898518353996</v>
      </c>
      <c r="AL72">
        <v>79.712870936018206</v>
      </c>
      <c r="AM72">
        <v>88.640826915569704</v>
      </c>
      <c r="AN72">
        <v>1.0000000533992699</v>
      </c>
    </row>
    <row r="73" spans="1:40" x14ac:dyDescent="0.25">
      <c r="A73" t="str">
        <f>"20190303162457291"</f>
        <v>20190303162457291</v>
      </c>
      <c r="B73" t="str">
        <f>"1551601497282375"</f>
        <v>1551601497282375</v>
      </c>
      <c r="C73" t="s">
        <v>40</v>
      </c>
      <c r="D73">
        <v>5.5972369999999998</v>
      </c>
      <c r="E73">
        <v>0.53316479999999999</v>
      </c>
      <c r="F73" t="s">
        <v>42</v>
      </c>
      <c r="G73">
        <v>-466.43090000000001</v>
      </c>
      <c r="H73">
        <v>0.87994810000000001</v>
      </c>
      <c r="I73">
        <v>367.03030000000001</v>
      </c>
      <c r="J73">
        <v>-466.9896</v>
      </c>
      <c r="K73">
        <v>1.120852</v>
      </c>
      <c r="L73">
        <v>367.10230000000001</v>
      </c>
      <c r="M73">
        <v>0.99989340000000004</v>
      </c>
      <c r="N73">
        <v>-1.2591339999999999E-2</v>
      </c>
      <c r="O73">
        <v>7.3974499999999999E-3</v>
      </c>
      <c r="P73">
        <v>0.9859291</v>
      </c>
      <c r="Q73">
        <v>0.16643549999999999</v>
      </c>
      <c r="R73">
        <v>-1.5589820000000001E-2</v>
      </c>
      <c r="S73">
        <v>3.217285</v>
      </c>
      <c r="T73">
        <v>-1.064279</v>
      </c>
      <c r="U73">
        <v>-0.31130980000000003</v>
      </c>
      <c r="V73">
        <v>2.2879190000000001E-2</v>
      </c>
      <c r="W73">
        <v>0.17883499999999999</v>
      </c>
      <c r="X73">
        <v>0.98361299999999996</v>
      </c>
      <c r="Y73">
        <v>9.7929520000000006E-2</v>
      </c>
      <c r="Z73">
        <v>-1.8665640000000001E-2</v>
      </c>
      <c r="AA73">
        <v>0.99501830000000002</v>
      </c>
      <c r="AB73">
        <v>16</v>
      </c>
      <c r="AC73">
        <v>0.55869999999998698</v>
      </c>
      <c r="AD73">
        <v>-0.240903899999999</v>
      </c>
      <c r="AE73">
        <v>-7.2000000000002701E-2</v>
      </c>
      <c r="AF73">
        <v>6.4360730900410404E-2</v>
      </c>
      <c r="AG73">
        <v>-0.240903899999999</v>
      </c>
      <c r="AH73">
        <v>0.471856754548797</v>
      </c>
      <c r="AI73">
        <v>116.83304958246499</v>
      </c>
      <c r="AJ73">
        <v>82.232851774333099</v>
      </c>
      <c r="AK73">
        <v>0.53369072460608502</v>
      </c>
      <c r="AL73">
        <v>79.698090522972606</v>
      </c>
      <c r="AM73">
        <v>88.667519962095696</v>
      </c>
      <c r="AN73">
        <v>0.99999997416452702</v>
      </c>
    </row>
    <row r="74" spans="1:40" x14ac:dyDescent="0.25">
      <c r="A74" t="str">
        <f>"20190303162457314"</f>
        <v>20190303162457314</v>
      </c>
      <c r="B74" t="str">
        <f>"1551601497302870"</f>
        <v>1551601497302870</v>
      </c>
      <c r="C74" t="s">
        <v>40</v>
      </c>
      <c r="D74">
        <v>5.5864960000000004</v>
      </c>
      <c r="E74">
        <v>0.53302959999999899</v>
      </c>
      <c r="F74" t="s">
        <v>42</v>
      </c>
      <c r="G74">
        <v>-466.2842</v>
      </c>
      <c r="H74">
        <v>0.88724530000000001</v>
      </c>
      <c r="I74">
        <v>367.03410000000002</v>
      </c>
      <c r="J74">
        <v>-466.82150000000001</v>
      </c>
      <c r="K74">
        <v>1.120919</v>
      </c>
      <c r="L74">
        <v>367.10359999999997</v>
      </c>
      <c r="M74">
        <v>0.99989090000000003</v>
      </c>
      <c r="N74">
        <v>-1.275948E-2</v>
      </c>
      <c r="O74">
        <v>7.4671109999999898E-3</v>
      </c>
      <c r="P74">
        <v>0.98586260000000003</v>
      </c>
      <c r="Q74">
        <v>0.1668656</v>
      </c>
      <c r="R74">
        <v>-1.5197850000000001E-2</v>
      </c>
      <c r="S74">
        <v>3.2178040000000001</v>
      </c>
      <c r="T74">
        <v>-1.065566</v>
      </c>
      <c r="U74">
        <v>-0.30923460000000003</v>
      </c>
      <c r="V74">
        <v>2.255418E-2</v>
      </c>
      <c r="W74">
        <v>0.17943039999999999</v>
      </c>
      <c r="X74">
        <v>0.9835121</v>
      </c>
      <c r="Y74">
        <v>9.7361130000000004E-2</v>
      </c>
      <c r="Z74">
        <v>-1.8617849999999998E-2</v>
      </c>
      <c r="AA74">
        <v>0.99507500000000004</v>
      </c>
      <c r="AB74">
        <v>16</v>
      </c>
      <c r="AC74">
        <v>0.53730000000001599</v>
      </c>
      <c r="AD74">
        <v>-0.23367369999999901</v>
      </c>
      <c r="AE74">
        <v>-6.9499999999948103E-2</v>
      </c>
      <c r="AF74">
        <v>6.1980349672372002E-2</v>
      </c>
      <c r="AG74">
        <v>-0.23367369999999901</v>
      </c>
      <c r="AH74">
        <v>0.45257426037390203</v>
      </c>
      <c r="AI74">
        <v>117.091849690093</v>
      </c>
      <c r="AJ74">
        <v>82.201815863332598</v>
      </c>
      <c r="AK74">
        <v>0.51309689432911598</v>
      </c>
      <c r="AL74">
        <v>79.663416071080604</v>
      </c>
      <c r="AM74">
        <v>88.686307095557098</v>
      </c>
      <c r="AN74">
        <v>1.00000000516302</v>
      </c>
    </row>
    <row r="75" spans="1:40" x14ac:dyDescent="0.25">
      <c r="A75" t="str">
        <f>"20190303162457338"</f>
        <v>20190303162457338</v>
      </c>
      <c r="B75" t="str">
        <f>"1551601497332150"</f>
        <v>1551601497332150</v>
      </c>
      <c r="C75" t="s">
        <v>40</v>
      </c>
      <c r="D75">
        <v>5.5947990000000001</v>
      </c>
      <c r="E75">
        <v>0.53283349999999996</v>
      </c>
      <c r="F75" t="s">
        <v>42</v>
      </c>
      <c r="G75">
        <v>-466.13780000000003</v>
      </c>
      <c r="H75">
        <v>0.89433809999999903</v>
      </c>
      <c r="I75">
        <v>367.03840000000002</v>
      </c>
      <c r="J75">
        <v>-466.65199999999999</v>
      </c>
      <c r="K75">
        <v>1.120989</v>
      </c>
      <c r="L75">
        <v>367.10489999999999</v>
      </c>
      <c r="M75">
        <v>0.9998882</v>
      </c>
      <c r="N75">
        <v>-1.2918249999999999E-2</v>
      </c>
      <c r="O75">
        <v>7.5384600000000003E-3</v>
      </c>
      <c r="P75">
        <v>0.98585250000000002</v>
      </c>
      <c r="Q75">
        <v>0.16696140000000001</v>
      </c>
      <c r="R75">
        <v>-1.479598E-2</v>
      </c>
      <c r="S75">
        <v>3.218842</v>
      </c>
      <c r="T75">
        <v>-1.0667879999999901</v>
      </c>
      <c r="U75">
        <v>-0.30667109999999997</v>
      </c>
      <c r="V75">
        <v>2.2222019999999999E-2</v>
      </c>
      <c r="W75">
        <v>0.1796818</v>
      </c>
      <c r="X75">
        <v>0.98347379999999995</v>
      </c>
      <c r="Y75">
        <v>9.6640699999999996E-2</v>
      </c>
      <c r="Z75">
        <v>-1.854072E-2</v>
      </c>
      <c r="AA75">
        <v>0.99514659999999999</v>
      </c>
      <c r="AB75">
        <v>16</v>
      </c>
      <c r="AC75">
        <v>0.51419999999995902</v>
      </c>
      <c r="AD75">
        <v>-0.22665089999999999</v>
      </c>
      <c r="AE75">
        <v>-6.64999999999622E-2</v>
      </c>
      <c r="AF75">
        <v>5.9084094052044199E-2</v>
      </c>
      <c r="AG75">
        <v>-0.22665089999999999</v>
      </c>
      <c r="AH75">
        <v>0.43127078176643202</v>
      </c>
      <c r="AI75">
        <v>117.505018821563</v>
      </c>
      <c r="AJ75">
        <v>82.199042098335696</v>
      </c>
      <c r="AK75">
        <v>0.49077087102454497</v>
      </c>
      <c r="AL75">
        <v>79.648774323192498</v>
      </c>
      <c r="AM75">
        <v>88.705597097925093</v>
      </c>
      <c r="AN75">
        <v>1.0000000413552701</v>
      </c>
    </row>
    <row r="76" spans="1:40" x14ac:dyDescent="0.25">
      <c r="A76" t="str">
        <f>"20190303162457358"</f>
        <v>20190303162457358</v>
      </c>
      <c r="B76" t="str">
        <f>"1551601497352646"</f>
        <v>1551601497352646</v>
      </c>
      <c r="C76" t="s">
        <v>40</v>
      </c>
      <c r="D76">
        <v>5.6411709999999999</v>
      </c>
      <c r="E76">
        <v>0.5327501</v>
      </c>
      <c r="F76" t="s">
        <v>42</v>
      </c>
      <c r="G76">
        <v>-465.99160000000001</v>
      </c>
      <c r="H76">
        <v>0.9015263</v>
      </c>
      <c r="I76">
        <v>367.04239999999999</v>
      </c>
      <c r="J76">
        <v>-466.5086</v>
      </c>
      <c r="K76">
        <v>1.121043</v>
      </c>
      <c r="L76">
        <v>367.10610000000003</v>
      </c>
      <c r="M76">
        <v>0.99988619999999995</v>
      </c>
      <c r="N76">
        <v>-1.3035359999999999E-2</v>
      </c>
      <c r="O76">
        <v>7.5984879999999996E-3</v>
      </c>
      <c r="P76">
        <v>0.98584910000000003</v>
      </c>
      <c r="Q76">
        <v>0.16705989999999901</v>
      </c>
      <c r="R76">
        <v>-1.388288E-2</v>
      </c>
      <c r="S76">
        <v>3.2196349999999998</v>
      </c>
      <c r="T76">
        <v>-1.0697190000000001</v>
      </c>
      <c r="U76">
        <v>-0.30371090000000001</v>
      </c>
      <c r="V76">
        <v>2.1368040000000001E-2</v>
      </c>
      <c r="W76">
        <v>0.17989569999999999</v>
      </c>
      <c r="X76">
        <v>0.98345360000000004</v>
      </c>
      <c r="Y76">
        <v>9.5785259999999997E-2</v>
      </c>
      <c r="Z76">
        <v>-1.846399E-2</v>
      </c>
      <c r="AA76">
        <v>0.99523070000000002</v>
      </c>
      <c r="AB76">
        <v>16</v>
      </c>
      <c r="AC76">
        <v>0.51699999999999502</v>
      </c>
      <c r="AD76">
        <v>-0.21951669999999901</v>
      </c>
      <c r="AE76">
        <v>-6.3700000000039794E-2</v>
      </c>
      <c r="AF76">
        <v>5.7428390464784998E-2</v>
      </c>
      <c r="AG76">
        <v>-0.21951669999999901</v>
      </c>
      <c r="AH76">
        <v>0.43860972425915601</v>
      </c>
      <c r="AI76">
        <v>116.392785225899</v>
      </c>
      <c r="AJ76">
        <v>82.540538003138707</v>
      </c>
      <c r="AK76">
        <v>0.493825973218257</v>
      </c>
      <c r="AL76">
        <v>79.636315519889095</v>
      </c>
      <c r="AM76">
        <v>88.755298770848995</v>
      </c>
      <c r="AN76">
        <v>1.0000000196824399</v>
      </c>
    </row>
    <row r="77" spans="1:40" x14ac:dyDescent="0.25">
      <c r="A77" t="str">
        <f>"20190303162457379"</f>
        <v>20190303162457379</v>
      </c>
      <c r="B77" t="str">
        <f>"1551601497372166"</f>
        <v>1551601497372166</v>
      </c>
      <c r="C77" t="s">
        <v>40</v>
      </c>
      <c r="D77">
        <v>5.5518660000000004</v>
      </c>
      <c r="E77">
        <v>0.51558190000000004</v>
      </c>
      <c r="F77" t="s">
        <v>42</v>
      </c>
      <c r="G77">
        <v>-465.72269999999997</v>
      </c>
      <c r="H77">
        <v>0.85998699999999995</v>
      </c>
      <c r="I77">
        <v>367.0324</v>
      </c>
      <c r="J77">
        <v>-466.35419999999999</v>
      </c>
      <c r="K77">
        <v>1.1210979999999999</v>
      </c>
      <c r="L77">
        <v>367.10730000000001</v>
      </c>
      <c r="M77">
        <v>0.99988449999999995</v>
      </c>
      <c r="N77">
        <v>-1.3140799999999999E-2</v>
      </c>
      <c r="O77">
        <v>7.6614409999999997E-3</v>
      </c>
      <c r="P77">
        <v>0.98569640000000003</v>
      </c>
      <c r="Q77">
        <v>0.1679785</v>
      </c>
      <c r="R77">
        <v>-1.364275E-2</v>
      </c>
      <c r="S77">
        <v>3.2201230000000001</v>
      </c>
      <c r="T77">
        <v>-1.0697239999999999</v>
      </c>
      <c r="U77">
        <v>-0.30050660000000001</v>
      </c>
      <c r="V77">
        <v>2.1188930000000002E-2</v>
      </c>
      <c r="W77">
        <v>0.18091579999999999</v>
      </c>
      <c r="X77">
        <v>0.98327030000000004</v>
      </c>
      <c r="Y77">
        <v>9.4897759999999998E-2</v>
      </c>
      <c r="Z77">
        <v>-1.8336890000000002E-2</v>
      </c>
      <c r="AA77">
        <v>0.99531809999999998</v>
      </c>
      <c r="AB77">
        <v>16</v>
      </c>
      <c r="AC77">
        <v>0.63150000000001605</v>
      </c>
      <c r="AD77">
        <v>-0.26111099999999898</v>
      </c>
      <c r="AE77">
        <v>-7.4900000000013706E-2</v>
      </c>
      <c r="AF77">
        <v>6.8232902077770705E-2</v>
      </c>
      <c r="AG77">
        <v>-0.26111099999999898</v>
      </c>
      <c r="AH77">
        <v>0.53988698657948497</v>
      </c>
      <c r="AI77">
        <v>115.632773183796</v>
      </c>
      <c r="AJ77">
        <v>82.796937859891798</v>
      </c>
      <c r="AK77">
        <v>0.60358316868914696</v>
      </c>
      <c r="AL77">
        <v>79.576892795733201</v>
      </c>
      <c r="AM77">
        <v>88.765498775277393</v>
      </c>
      <c r="AN77">
        <v>0.99999999015313701</v>
      </c>
    </row>
    <row r="78" spans="1:40" x14ac:dyDescent="0.25">
      <c r="A78" t="str">
        <f>"20190303162457401"</f>
        <v>20190303162457401</v>
      </c>
      <c r="B78" t="str">
        <f>"1551601497392663"</f>
        <v>1551601497392663</v>
      </c>
      <c r="C78" t="s">
        <v>40</v>
      </c>
      <c r="D78">
        <v>5.4792209999999999</v>
      </c>
      <c r="E78">
        <v>0.48804120000000001</v>
      </c>
      <c r="F78" t="s">
        <v>42</v>
      </c>
      <c r="G78">
        <v>-465.54669999999999</v>
      </c>
      <c r="H78">
        <v>0.93751479999999998</v>
      </c>
      <c r="I78">
        <v>367.0652</v>
      </c>
      <c r="J78">
        <v>-466.20089999999999</v>
      </c>
      <c r="K78">
        <v>1.121146</v>
      </c>
      <c r="L78">
        <v>367.10860000000002</v>
      </c>
      <c r="M78">
        <v>0.99988259999999995</v>
      </c>
      <c r="N78">
        <v>-1.3229680000000001E-2</v>
      </c>
      <c r="O78">
        <v>7.7226500000000002E-3</v>
      </c>
      <c r="P78">
        <v>0.98556999999999995</v>
      </c>
      <c r="Q78">
        <v>0.16873740000000001</v>
      </c>
      <c r="R78">
        <v>-1.339658E-2</v>
      </c>
      <c r="S78">
        <v>3.1638489999999999</v>
      </c>
      <c r="T78">
        <v>-0.71925410000000001</v>
      </c>
      <c r="U78">
        <v>-0.16403199999999901</v>
      </c>
      <c r="V78">
        <v>2.100252E-2</v>
      </c>
      <c r="W78">
        <v>0.1817608</v>
      </c>
      <c r="X78">
        <v>0.98311850000000001</v>
      </c>
      <c r="Y78">
        <v>5.7755430000000003E-2</v>
      </c>
      <c r="Z78">
        <v>-8.4970150000000001E-3</v>
      </c>
      <c r="AA78">
        <v>0.99829460000000003</v>
      </c>
      <c r="AB78">
        <v>16</v>
      </c>
      <c r="AC78">
        <v>0.654200000000002</v>
      </c>
      <c r="AD78">
        <v>-0.183631199999999</v>
      </c>
      <c r="AE78">
        <v>-4.3400000000019603E-2</v>
      </c>
      <c r="AF78">
        <v>4.4927010951324599E-2</v>
      </c>
      <c r="AG78">
        <v>-0.183631199999999</v>
      </c>
      <c r="AH78">
        <v>0.60628530733924901</v>
      </c>
      <c r="AI78">
        <v>106.80699509189699</v>
      </c>
      <c r="AJ78">
        <v>85.762008530669803</v>
      </c>
      <c r="AK78">
        <v>0.63507537176457096</v>
      </c>
      <c r="AL78">
        <v>79.527662169827593</v>
      </c>
      <c r="AM78">
        <v>88.776167124444996</v>
      </c>
      <c r="AN78">
        <v>1.0000000396526101</v>
      </c>
    </row>
    <row r="79" spans="1:40" x14ac:dyDescent="0.25">
      <c r="A79" t="str">
        <f>"20190303162457425"</f>
        <v>20190303162457425</v>
      </c>
      <c r="B79" t="str">
        <f>"1551601497413158"</f>
        <v>1551601497413158</v>
      </c>
      <c r="C79" t="s">
        <v>40</v>
      </c>
      <c r="D79">
        <v>5.8283649999999998</v>
      </c>
      <c r="E79">
        <v>0.4870411</v>
      </c>
      <c r="F79" t="s">
        <v>44</v>
      </c>
      <c r="G79">
        <v>-414.03949999999998</v>
      </c>
      <c r="H79">
        <v>-0.05</v>
      </c>
      <c r="I79">
        <v>368.05959999999999</v>
      </c>
      <c r="J79">
        <v>-466.0369</v>
      </c>
      <c r="K79">
        <v>1.1211819999999999</v>
      </c>
      <c r="L79">
        <v>367.11</v>
      </c>
      <c r="M79">
        <v>0.99988109999999997</v>
      </c>
      <c r="N79">
        <v>-1.3312900000000001E-2</v>
      </c>
      <c r="O79">
        <v>7.7857389999999999E-3</v>
      </c>
      <c r="P79">
        <v>0.98561180000000004</v>
      </c>
      <c r="Q79">
        <v>0.16849410000000001</v>
      </c>
      <c r="R79">
        <v>-1.339309E-2</v>
      </c>
      <c r="S79">
        <v>3.0564580000000001</v>
      </c>
      <c r="T79">
        <v>-6.8624619999999997E-2</v>
      </c>
      <c r="U79">
        <v>5.57251E-2</v>
      </c>
      <c r="V79">
        <v>2.1061759999999999E-2</v>
      </c>
      <c r="W79">
        <v>0.18159900000000001</v>
      </c>
      <c r="X79">
        <v>0.98314710000000005</v>
      </c>
      <c r="Y79">
        <v>-1.043934E-2</v>
      </c>
      <c r="Z79">
        <v>1.1555799999999999E-4</v>
      </c>
      <c r="AA79">
        <v>0.99994550000000004</v>
      </c>
      <c r="AB79">
        <v>16</v>
      </c>
      <c r="AC79">
        <v>51.997399999999999</v>
      </c>
      <c r="AD79">
        <v>-1.1711819999999999</v>
      </c>
      <c r="AE79">
        <v>0.94959999999997502</v>
      </c>
      <c r="AF79">
        <v>-0.54442105525421203</v>
      </c>
      <c r="AG79">
        <v>-1.1711819999999999</v>
      </c>
      <c r="AH79">
        <v>51.976857384933702</v>
      </c>
      <c r="AI79">
        <v>91.290742781999597</v>
      </c>
      <c r="AJ79">
        <v>90.600111081163504</v>
      </c>
      <c r="AK79">
        <v>51.992901103672502</v>
      </c>
      <c r="AL79">
        <v>79.537089177733293</v>
      </c>
      <c r="AM79">
        <v>88.772751909805606</v>
      </c>
      <c r="AN79">
        <v>1.00000000738685</v>
      </c>
    </row>
    <row r="80" spans="1:40" x14ac:dyDescent="0.25">
      <c r="A80" t="str">
        <f>"20190303162457449"</f>
        <v>20190303162457449</v>
      </c>
      <c r="B80" t="str">
        <f>"1551601497442441"</f>
        <v>1551601497442441</v>
      </c>
      <c r="C80" t="s">
        <v>40</v>
      </c>
      <c r="D80">
        <v>5.739541</v>
      </c>
      <c r="E80">
        <v>0.48648370000000002</v>
      </c>
      <c r="F80" t="s">
        <v>43</v>
      </c>
      <c r="G80">
        <v>-158.19499999999999</v>
      </c>
      <c r="H80">
        <v>0.68789149999999999</v>
      </c>
      <c r="I80">
        <v>373.5573</v>
      </c>
      <c r="J80">
        <v>-465.86349999999999</v>
      </c>
      <c r="K80">
        <v>1.1212279999999999</v>
      </c>
      <c r="L80">
        <v>367.1114</v>
      </c>
      <c r="M80">
        <v>0.99987950000000003</v>
      </c>
      <c r="N80">
        <v>-1.3390020000000001E-2</v>
      </c>
      <c r="O80">
        <v>7.8508320000000003E-3</v>
      </c>
      <c r="P80">
        <v>0.98569739999999995</v>
      </c>
      <c r="Q80">
        <v>0.1679495</v>
      </c>
      <c r="R80">
        <v>-1.392199E-2</v>
      </c>
      <c r="S80">
        <v>3.04541</v>
      </c>
      <c r="T80">
        <v>-4.2855740000000003E-3</v>
      </c>
      <c r="U80">
        <v>6.3781740000000003E-2</v>
      </c>
      <c r="V80">
        <v>2.1655799999999999E-2</v>
      </c>
      <c r="W80">
        <v>0.1811315</v>
      </c>
      <c r="X80">
        <v>0.98322050000000005</v>
      </c>
      <c r="Y80">
        <v>-1.308894E-2</v>
      </c>
      <c r="Z80">
        <v>1.9092609999999999E-4</v>
      </c>
      <c r="AA80">
        <v>0.99991430000000003</v>
      </c>
      <c r="AB80">
        <v>16</v>
      </c>
      <c r="AC80">
        <v>307.66849999999999</v>
      </c>
      <c r="AD80">
        <v>-0.43333650000000001</v>
      </c>
      <c r="AE80">
        <v>6.4458999999999902</v>
      </c>
      <c r="AF80">
        <v>-4.0300229819177904</v>
      </c>
      <c r="AG80">
        <v>-0.43333650000000001</v>
      </c>
      <c r="AH80">
        <v>307.70901656255899</v>
      </c>
      <c r="AI80">
        <v>90.080680791626904</v>
      </c>
      <c r="AJ80">
        <v>90.7503521022158</v>
      </c>
      <c r="AK80">
        <v>307.73571086186001</v>
      </c>
      <c r="AL80">
        <v>79.564327356754006</v>
      </c>
      <c r="AM80">
        <v>88.738242990065004</v>
      </c>
      <c r="AN80">
        <v>1.00000007279306</v>
      </c>
    </row>
    <row r="81" spans="1:40" x14ac:dyDescent="0.25">
      <c r="A81" t="str">
        <f>"20190303162457469"</f>
        <v>20190303162457469</v>
      </c>
      <c r="B81" t="str">
        <f>"1551601497462934"</f>
        <v>1551601497462934</v>
      </c>
      <c r="C81" t="s">
        <v>40</v>
      </c>
      <c r="D81">
        <v>5.7954299999999996</v>
      </c>
      <c r="E81">
        <v>0.48716989999999999</v>
      </c>
      <c r="F81" t="s">
        <v>43</v>
      </c>
      <c r="G81">
        <v>-158.19499999999999</v>
      </c>
      <c r="H81">
        <v>1.117515</v>
      </c>
      <c r="I81">
        <v>373.81920000000002</v>
      </c>
      <c r="J81">
        <v>-465.71679999999998</v>
      </c>
      <c r="K81">
        <v>1.1212599999999999</v>
      </c>
      <c r="L81">
        <v>367.11259999999999</v>
      </c>
      <c r="M81">
        <v>0.99987839999999995</v>
      </c>
      <c r="N81">
        <v>-1.344649E-2</v>
      </c>
      <c r="O81">
        <v>7.9058689999999994E-3</v>
      </c>
      <c r="P81">
        <v>0.98584830000000001</v>
      </c>
      <c r="Q81">
        <v>0.1670191</v>
      </c>
      <c r="R81">
        <v>-1.4420789999999999E-2</v>
      </c>
      <c r="S81">
        <v>3.0444640000000001</v>
      </c>
      <c r="T81" s="1">
        <v>-3.5882E-5</v>
      </c>
      <c r="U81">
        <v>6.6375729999999994E-2</v>
      </c>
      <c r="V81">
        <v>2.2210440000000001E-2</v>
      </c>
      <c r="W81">
        <v>0.18025869999999999</v>
      </c>
      <c r="X81">
        <v>0.98336849999999998</v>
      </c>
      <c r="Y81">
        <v>-1.389225E-2</v>
      </c>
      <c r="Z81">
        <v>1.9970639999999999E-4</v>
      </c>
      <c r="AA81">
        <v>0.99990349999999995</v>
      </c>
      <c r="AB81">
        <v>16</v>
      </c>
      <c r="AC81">
        <v>307.52179999999998</v>
      </c>
      <c r="AD81">
        <v>-3.7450000000000998E-3</v>
      </c>
      <c r="AE81">
        <v>6.7066000000000301</v>
      </c>
      <c r="AF81">
        <v>-4.2749436324508201</v>
      </c>
      <c r="AG81">
        <v>-3.7450000000000998E-3</v>
      </c>
      <c r="AH81">
        <v>307.56521387778702</v>
      </c>
      <c r="AI81">
        <v>90.000697582043898</v>
      </c>
      <c r="AJ81">
        <v>90.7963204076202</v>
      </c>
      <c r="AK81">
        <v>307.59492184490699</v>
      </c>
      <c r="AL81">
        <v>79.6151718674286</v>
      </c>
      <c r="AM81">
        <v>88.706132901555705</v>
      </c>
      <c r="AN81">
        <v>1.00000005468146</v>
      </c>
    </row>
    <row r="82" spans="1:40" x14ac:dyDescent="0.25">
      <c r="A82" t="str">
        <f>"20190303162457493"</f>
        <v>20190303162457493</v>
      </c>
      <c r="B82" t="str">
        <f>"1551601497482454"</f>
        <v>1551601497482454</v>
      </c>
      <c r="C82" t="s">
        <v>40</v>
      </c>
      <c r="D82">
        <v>5.842765</v>
      </c>
      <c r="E82">
        <v>0.48752780000000001</v>
      </c>
      <c r="F82" t="s">
        <v>41</v>
      </c>
      <c r="G82">
        <v>-276.77269999999999</v>
      </c>
      <c r="H82" s="1">
        <v>-1.6664179999999999E-6</v>
      </c>
      <c r="I82">
        <v>370.74220000000003</v>
      </c>
      <c r="J82">
        <v>-465.55360000000002</v>
      </c>
      <c r="K82">
        <v>1.1212869999999999</v>
      </c>
      <c r="L82">
        <v>367.11399999999998</v>
      </c>
      <c r="M82">
        <v>0.99987720000000002</v>
      </c>
      <c r="N82">
        <v>-1.34964E-2</v>
      </c>
      <c r="O82">
        <v>7.9671480000000003E-3</v>
      </c>
      <c r="P82">
        <v>0.98601320000000003</v>
      </c>
      <c r="Q82">
        <v>0.16606099999999999</v>
      </c>
      <c r="R82">
        <v>-1.422138E-2</v>
      </c>
      <c r="S82">
        <v>3.046967</v>
      </c>
      <c r="T82">
        <v>-1.8081779999999999E-2</v>
      </c>
      <c r="U82">
        <v>5.8532710000000002E-2</v>
      </c>
      <c r="V82">
        <v>2.2072870000000001E-2</v>
      </c>
      <c r="W82">
        <v>0.1793525</v>
      </c>
      <c r="X82">
        <v>0.98353729999999995</v>
      </c>
      <c r="Y82">
        <v>-1.123918E-2</v>
      </c>
      <c r="Z82">
        <v>1.6945529999999999E-4</v>
      </c>
      <c r="AA82">
        <v>0.99993679999999996</v>
      </c>
      <c r="AB82">
        <v>16</v>
      </c>
      <c r="AC82">
        <v>188.7809</v>
      </c>
      <c r="AD82">
        <v>-1.121288666418</v>
      </c>
      <c r="AE82">
        <v>3.6281999999999899</v>
      </c>
      <c r="AF82">
        <v>-2.12382758807549</v>
      </c>
      <c r="AG82">
        <v>-1.121288666418</v>
      </c>
      <c r="AH82">
        <v>188.797158222501</v>
      </c>
      <c r="AI82">
        <v>90.340260886356006</v>
      </c>
      <c r="AJ82">
        <v>90.644507712833999</v>
      </c>
      <c r="AK82">
        <v>188.812433077881</v>
      </c>
      <c r="AL82">
        <v>79.667953748027102</v>
      </c>
      <c r="AM82">
        <v>88.714364941391395</v>
      </c>
      <c r="AN82">
        <v>1.0000000756687799</v>
      </c>
    </row>
    <row r="83" spans="1:40" x14ac:dyDescent="0.25">
      <c r="A83" t="str">
        <f>"20190303162457515"</f>
        <v>20190303162457515</v>
      </c>
      <c r="B83" t="str">
        <f>"1551601497502951"</f>
        <v>1551601497502951</v>
      </c>
      <c r="C83" t="s">
        <v>40</v>
      </c>
      <c r="D83">
        <v>5.7222119999999999</v>
      </c>
      <c r="E83">
        <v>0.48747790000000002</v>
      </c>
      <c r="F83" t="s">
        <v>41</v>
      </c>
      <c r="G83">
        <v>-357.48180000000002</v>
      </c>
      <c r="H83" s="1">
        <v>-1.154371E-6</v>
      </c>
      <c r="I83">
        <v>369.09899999999999</v>
      </c>
      <c r="J83">
        <v>-465.39499999999998</v>
      </c>
      <c r="K83">
        <v>1.1213089999999999</v>
      </c>
      <c r="L83">
        <v>367.11529999999999</v>
      </c>
      <c r="M83">
        <v>0.99987649999999995</v>
      </c>
      <c r="N83">
        <v>-1.3519299999999901E-2</v>
      </c>
      <c r="O83">
        <v>8.0265890000000006E-3</v>
      </c>
      <c r="P83">
        <v>0.98607560000000005</v>
      </c>
      <c r="Q83">
        <v>0.1657315</v>
      </c>
      <c r="R83">
        <v>-1.3721260000000001E-2</v>
      </c>
      <c r="S83">
        <v>3.048737</v>
      </c>
      <c r="T83">
        <v>-3.163183E-2</v>
      </c>
      <c r="U83">
        <v>5.5999760000000003E-2</v>
      </c>
      <c r="V83">
        <v>2.1632209999999999E-2</v>
      </c>
      <c r="W83">
        <v>0.17904610000000001</v>
      </c>
      <c r="X83">
        <v>0.9836028</v>
      </c>
      <c r="Y83">
        <v>-1.0337290000000001E-2</v>
      </c>
      <c r="Z83">
        <v>1.487565E-4</v>
      </c>
      <c r="AA83">
        <v>0.99994649999999996</v>
      </c>
      <c r="AB83">
        <v>16</v>
      </c>
      <c r="AC83">
        <v>107.91319999999899</v>
      </c>
      <c r="AD83">
        <v>-1.121310154371</v>
      </c>
      <c r="AE83">
        <v>1.98369999999999</v>
      </c>
      <c r="AF83">
        <v>-1.11726151772286</v>
      </c>
      <c r="AG83">
        <v>-1.121310154371</v>
      </c>
      <c r="AH83">
        <v>107.913999373452</v>
      </c>
      <c r="AI83">
        <v>90.595294262774104</v>
      </c>
      <c r="AJ83">
        <v>90.593176815465</v>
      </c>
      <c r="AK83">
        <v>107.925608038753</v>
      </c>
      <c r="AL83">
        <v>79.685796850882994</v>
      </c>
      <c r="AM83">
        <v>88.740106717118195</v>
      </c>
      <c r="AN83">
        <v>0.99999996330126595</v>
      </c>
    </row>
    <row r="84" spans="1:40" x14ac:dyDescent="0.25">
      <c r="A84" t="str">
        <f>"20190303162457558"</f>
        <v>20190303162457558</v>
      </c>
      <c r="B84" t="str">
        <f>"1551601497552653"</f>
        <v>1551601497552653</v>
      </c>
      <c r="C84" t="s">
        <v>40</v>
      </c>
      <c r="D84">
        <v>5.7918820000000002</v>
      </c>
      <c r="E84">
        <v>0.48817329999999998</v>
      </c>
      <c r="F84" t="s">
        <v>41</v>
      </c>
      <c r="G84">
        <v>-382.54989999999998</v>
      </c>
      <c r="H84" s="1">
        <v>-3.3423460000000002E-6</v>
      </c>
      <c r="I84">
        <v>368.6918</v>
      </c>
      <c r="J84">
        <v>-465.09910000000002</v>
      </c>
      <c r="K84">
        <v>1.1213310000000001</v>
      </c>
      <c r="L84">
        <v>367.11790000000002</v>
      </c>
      <c r="M84">
        <v>0.99987579999999998</v>
      </c>
      <c r="N84">
        <v>-1.3493659999999999E-2</v>
      </c>
      <c r="O84">
        <v>8.1377469999999903E-3</v>
      </c>
      <c r="P84">
        <v>0.98613079999999997</v>
      </c>
      <c r="Q84">
        <v>0.16551689999999999</v>
      </c>
      <c r="R84">
        <v>-1.2255129999999999E-2</v>
      </c>
      <c r="S84">
        <v>3.0501100000000001</v>
      </c>
      <c r="T84">
        <v>-4.128337E-2</v>
      </c>
      <c r="U84">
        <v>5.8044430000000001E-2</v>
      </c>
      <c r="V84">
        <v>2.0276120000000002E-2</v>
      </c>
      <c r="W84">
        <v>0.178807299999999</v>
      </c>
      <c r="X84">
        <v>0.98367519999999997</v>
      </c>
      <c r="Y84">
        <v>-1.08872E-2</v>
      </c>
      <c r="Z84">
        <v>1.468195E-4</v>
      </c>
      <c r="AA84">
        <v>0.99994070000000002</v>
      </c>
      <c r="AB84">
        <v>16</v>
      </c>
      <c r="AC84">
        <v>82.549199999999999</v>
      </c>
      <c r="AD84">
        <v>-1.1213343423459901</v>
      </c>
      <c r="AE84">
        <v>1.5738999999999801</v>
      </c>
      <c r="AF84">
        <v>-0.90185582725984403</v>
      </c>
      <c r="AG84">
        <v>-1.1213343423459901</v>
      </c>
      <c r="AH84">
        <v>82.544049768115201</v>
      </c>
      <c r="AI84">
        <v>90.778250401456702</v>
      </c>
      <c r="AJ84">
        <v>90.625974577672494</v>
      </c>
      <c r="AK84">
        <v>82.556592024874405</v>
      </c>
      <c r="AL84">
        <v>79.699704253554899</v>
      </c>
      <c r="AM84">
        <v>88.819151270631906</v>
      </c>
      <c r="AN84">
        <v>1.00000003533529</v>
      </c>
    </row>
    <row r="85" spans="1:40" x14ac:dyDescent="0.25">
      <c r="A85" t="str">
        <f>"20190303162457580"</f>
        <v>20190303162457580</v>
      </c>
      <c r="B85" t="str">
        <f>"1551601497572173"</f>
        <v>1551601497572173</v>
      </c>
      <c r="C85" t="s">
        <v>40</v>
      </c>
      <c r="D85">
        <v>5.7812739999999998</v>
      </c>
      <c r="E85">
        <v>0.48841709999999999</v>
      </c>
      <c r="F85" t="s">
        <v>41</v>
      </c>
      <c r="G85">
        <v>-397.61149999999998</v>
      </c>
      <c r="H85" s="1">
        <v>-1.2264180000000001E-6</v>
      </c>
      <c r="I85">
        <v>368.3793</v>
      </c>
      <c r="J85">
        <v>-464.9427</v>
      </c>
      <c r="K85">
        <v>1.1213489999999999</v>
      </c>
      <c r="L85">
        <v>367.11919999999998</v>
      </c>
      <c r="M85">
        <v>0.99987570000000003</v>
      </c>
      <c r="N85">
        <v>-1.3475590000000001E-2</v>
      </c>
      <c r="O85">
        <v>8.1959879999999995E-3</v>
      </c>
      <c r="P85">
        <v>0.98610030000000004</v>
      </c>
      <c r="Q85">
        <v>0.16577120000000001</v>
      </c>
      <c r="R85">
        <v>-1.125982E-2</v>
      </c>
      <c r="S85">
        <v>3.0514220000000001</v>
      </c>
      <c r="T85">
        <v>-5.0700429999999998E-2</v>
      </c>
      <c r="U85">
        <v>5.7037350000000001E-2</v>
      </c>
      <c r="V85">
        <v>1.9337719999999999E-2</v>
      </c>
      <c r="W85">
        <v>0.17904329999999999</v>
      </c>
      <c r="X85">
        <v>0.9836511</v>
      </c>
      <c r="Y85">
        <v>-1.0490279999999999E-2</v>
      </c>
      <c r="Z85">
        <v>1.3212440000000001E-4</v>
      </c>
      <c r="AA85">
        <v>0.99994499999999997</v>
      </c>
      <c r="AB85">
        <v>16</v>
      </c>
      <c r="AC85">
        <v>67.331199999999995</v>
      </c>
      <c r="AD85">
        <v>-1.121350226418</v>
      </c>
      <c r="AE85">
        <v>1.26010000000002</v>
      </c>
      <c r="AF85">
        <v>-0.70796560389391205</v>
      </c>
      <c r="AG85">
        <v>-1.121350226418</v>
      </c>
      <c r="AH85">
        <v>67.320601029952499</v>
      </c>
      <c r="AI85">
        <v>90.954227115209093</v>
      </c>
      <c r="AJ85">
        <v>90.602519069579699</v>
      </c>
      <c r="AK85">
        <v>67.333661452951006</v>
      </c>
      <c r="AL85">
        <v>79.685959969377095</v>
      </c>
      <c r="AM85">
        <v>88.873760179799106</v>
      </c>
      <c r="AN85">
        <v>0.99999996861044804</v>
      </c>
    </row>
    <row r="86" spans="1:40" x14ac:dyDescent="0.25">
      <c r="A86" t="str">
        <f>"20190303162457601"</f>
        <v>20190303162457601</v>
      </c>
      <c r="B86" t="str">
        <f>"1551601497592669"</f>
        <v>1551601497592669</v>
      </c>
      <c r="C86" t="s">
        <v>40</v>
      </c>
      <c r="D86">
        <v>5.6745830000000002</v>
      </c>
      <c r="E86">
        <v>0.4885929</v>
      </c>
      <c r="F86" t="s">
        <v>41</v>
      </c>
      <c r="G86">
        <v>-395.34519999999998</v>
      </c>
      <c r="H86" s="1">
        <v>-2.1884079999999999E-6</v>
      </c>
      <c r="I86">
        <v>368.43689999999998</v>
      </c>
      <c r="J86">
        <v>-464.7921</v>
      </c>
      <c r="K86">
        <v>1.1213660000000001</v>
      </c>
      <c r="L86">
        <v>367.12049999999999</v>
      </c>
      <c r="M86">
        <v>0.99987530000000002</v>
      </c>
      <c r="N86">
        <v>-1.346782E-2</v>
      </c>
      <c r="O86">
        <v>8.2529590000000007E-3</v>
      </c>
      <c r="P86">
        <v>0.98595940000000004</v>
      </c>
      <c r="Q86">
        <v>0.16661110000000001</v>
      </c>
      <c r="R86">
        <v>-1.117429E-2</v>
      </c>
      <c r="S86">
        <v>3.0512079999999999</v>
      </c>
      <c r="T86">
        <v>-4.9160839999999997E-2</v>
      </c>
      <c r="U86">
        <v>5.776978E-2</v>
      </c>
      <c r="V86">
        <v>1.9307419999999999E-2</v>
      </c>
      <c r="W86">
        <v>0.17987359999999999</v>
      </c>
      <c r="X86">
        <v>0.98350020000000005</v>
      </c>
      <c r="Y86">
        <v>-1.0674629999999999E-2</v>
      </c>
      <c r="Z86">
        <v>1.36081E-4</v>
      </c>
      <c r="AA86">
        <v>0.99994300000000003</v>
      </c>
      <c r="AB86">
        <v>16</v>
      </c>
      <c r="AC86">
        <v>69.446899999999999</v>
      </c>
      <c r="AD86">
        <v>-1.121368188408</v>
      </c>
      <c r="AE86">
        <v>1.31639999999998</v>
      </c>
      <c r="AF86">
        <v>-0.74296714300769096</v>
      </c>
      <c r="AG86">
        <v>-1.121368188408</v>
      </c>
      <c r="AH86">
        <v>69.437301776846198</v>
      </c>
      <c r="AI86">
        <v>90.925156963886906</v>
      </c>
      <c r="AJ86">
        <v>90.6130315567504</v>
      </c>
      <c r="AK86">
        <v>69.450330055647498</v>
      </c>
      <c r="AL86">
        <v>79.637602191089499</v>
      </c>
      <c r="AM86">
        <v>88.875351929818393</v>
      </c>
      <c r="AN86">
        <v>0.999999965922027</v>
      </c>
    </row>
    <row r="87" spans="1:40" x14ac:dyDescent="0.25">
      <c r="A87" t="str">
        <f>"20190303162457624"</f>
        <v>20190303162457624</v>
      </c>
      <c r="B87" t="str">
        <f>"1551601497613166"</f>
        <v>1551601497613166</v>
      </c>
      <c r="C87" t="s">
        <v>40</v>
      </c>
      <c r="D87">
        <v>5.5778470000000002</v>
      </c>
      <c r="E87">
        <v>0.4889598</v>
      </c>
      <c r="F87" t="s">
        <v>41</v>
      </c>
      <c r="G87">
        <v>-390.4024</v>
      </c>
      <c r="H87" s="1">
        <v>-4.2977969999999999E-6</v>
      </c>
      <c r="I87">
        <v>368.49919999999997</v>
      </c>
      <c r="J87">
        <v>-464.63310000000001</v>
      </c>
      <c r="K87">
        <v>1.121381</v>
      </c>
      <c r="L87">
        <v>367.12189999999998</v>
      </c>
      <c r="M87">
        <v>0.99987479999999995</v>
      </c>
      <c r="N87">
        <v>-1.346672E-2</v>
      </c>
      <c r="O87">
        <v>8.3143469999999997E-3</v>
      </c>
      <c r="P87">
        <v>0.98595299999999997</v>
      </c>
      <c r="Q87">
        <v>0.16668469999999999</v>
      </c>
      <c r="R87">
        <v>-1.063651E-2</v>
      </c>
      <c r="S87">
        <v>3.0511170000000001</v>
      </c>
      <c r="T87">
        <v>-4.5993329999999999E-2</v>
      </c>
      <c r="U87">
        <v>5.654907E-2</v>
      </c>
      <c r="V87">
        <v>1.883017E-2</v>
      </c>
      <c r="W87">
        <v>0.17994579999999999</v>
      </c>
      <c r="X87">
        <v>0.98349620000000004</v>
      </c>
      <c r="Y87">
        <v>-1.021421E-2</v>
      </c>
      <c r="Z87">
        <v>1.3242089999999999E-4</v>
      </c>
      <c r="AA87">
        <v>0.99994780000000005</v>
      </c>
      <c r="AB87">
        <v>16</v>
      </c>
      <c r="AC87">
        <v>74.230699999999999</v>
      </c>
      <c r="AD87">
        <v>-1.121385297797</v>
      </c>
      <c r="AE87">
        <v>1.37729999999999</v>
      </c>
      <c r="AF87">
        <v>-0.75984329875194301</v>
      </c>
      <c r="AG87">
        <v>-1.121385297797</v>
      </c>
      <c r="AH87">
        <v>74.222653323311405</v>
      </c>
      <c r="AI87">
        <v>90.865536168014899</v>
      </c>
      <c r="AJ87">
        <v>90.586536473119594</v>
      </c>
      <c r="AK87">
        <v>74.235012852273698</v>
      </c>
      <c r="AL87">
        <v>79.633396344471194</v>
      </c>
      <c r="AM87">
        <v>88.903140178738497</v>
      </c>
      <c r="AN87">
        <v>0.99999992082715095</v>
      </c>
    </row>
    <row r="88" spans="1:40" x14ac:dyDescent="0.25">
      <c r="A88" t="str">
        <f>"20190303162457649"</f>
        <v>20190303162457649</v>
      </c>
      <c r="B88" t="str">
        <f>"1551601497642445"</f>
        <v>1551601497642445</v>
      </c>
      <c r="C88" t="s">
        <v>40</v>
      </c>
      <c r="D88">
        <v>5.5106210000000004</v>
      </c>
      <c r="E88">
        <v>0.48904789999999998</v>
      </c>
      <c r="F88" t="s">
        <v>41</v>
      </c>
      <c r="G88">
        <v>-390.4785</v>
      </c>
      <c r="H88" s="1">
        <v>-4.2742529999999996E-6</v>
      </c>
      <c r="I88">
        <v>368.44799999999998</v>
      </c>
      <c r="J88">
        <v>-464.46789999999999</v>
      </c>
      <c r="K88">
        <v>1.1213930000000001</v>
      </c>
      <c r="L88">
        <v>367.1234</v>
      </c>
      <c r="M88">
        <v>0.99987440000000005</v>
      </c>
      <c r="N88">
        <v>-1.346692E-2</v>
      </c>
      <c r="O88">
        <v>8.3779969999999999E-3</v>
      </c>
      <c r="P88">
        <v>0.98598300000000005</v>
      </c>
      <c r="Q88">
        <v>0.16653270000000001</v>
      </c>
      <c r="R88">
        <v>-1.0223009999999999E-2</v>
      </c>
      <c r="S88">
        <v>3.0511170000000001</v>
      </c>
      <c r="T88">
        <v>-4.6139720000000002E-2</v>
      </c>
      <c r="U88">
        <v>5.4565429999999998E-2</v>
      </c>
      <c r="V88">
        <v>1.847994E-2</v>
      </c>
      <c r="W88">
        <v>0.17979439999999999</v>
      </c>
      <c r="X88">
        <v>0.98353060000000003</v>
      </c>
      <c r="Y88">
        <v>-9.5008109999999996E-3</v>
      </c>
      <c r="Z88">
        <v>1.219662E-4</v>
      </c>
      <c r="AA88">
        <v>0.99995489999999998</v>
      </c>
      <c r="AB88">
        <v>16</v>
      </c>
      <c r="AC88">
        <v>73.989399999999904</v>
      </c>
      <c r="AD88">
        <v>-1.1213972742530001</v>
      </c>
      <c r="AE88">
        <v>1.32460000000003</v>
      </c>
      <c r="AF88">
        <v>-0.70445265916800703</v>
      </c>
      <c r="AG88">
        <v>-1.1213972742530001</v>
      </c>
      <c r="AH88">
        <v>73.980912581136906</v>
      </c>
      <c r="AI88">
        <v>90.868379377646605</v>
      </c>
      <c r="AJ88">
        <v>90.545558888290799</v>
      </c>
      <c r="AK88">
        <v>73.992764590421501</v>
      </c>
      <c r="AL88">
        <v>79.642215452440297</v>
      </c>
      <c r="AM88">
        <v>88.923573916879107</v>
      </c>
      <c r="AN88">
        <v>0.99999998779506105</v>
      </c>
    </row>
    <row r="89" spans="1:40" x14ac:dyDescent="0.25">
      <c r="A89" t="str">
        <f>"20190303162457668"</f>
        <v>20190303162457668</v>
      </c>
      <c r="B89" t="str">
        <f>"1551601497662941"</f>
        <v>1551601497662941</v>
      </c>
      <c r="C89" t="s">
        <v>40</v>
      </c>
      <c r="D89">
        <v>5.3857480000000004</v>
      </c>
      <c r="E89">
        <v>0.48911500000000002</v>
      </c>
      <c r="F89" t="s">
        <v>44</v>
      </c>
      <c r="G89">
        <v>-399.00020000000001</v>
      </c>
      <c r="H89">
        <v>-0.05</v>
      </c>
      <c r="I89">
        <v>368.3048</v>
      </c>
      <c r="J89">
        <v>-464.32960000000003</v>
      </c>
      <c r="K89">
        <v>1.121407</v>
      </c>
      <c r="L89">
        <v>367.12459999999999</v>
      </c>
      <c r="M89">
        <v>0.99987380000000003</v>
      </c>
      <c r="N89">
        <v>-1.346631E-2</v>
      </c>
      <c r="O89">
        <v>8.4314049999999995E-3</v>
      </c>
      <c r="P89">
        <v>0.98604700000000001</v>
      </c>
      <c r="Q89">
        <v>0.166156</v>
      </c>
      <c r="R89">
        <v>-1.0186580000000001E-2</v>
      </c>
      <c r="S89">
        <v>3.0524290000000001</v>
      </c>
      <c r="T89">
        <v>-5.4616089999999999E-2</v>
      </c>
      <c r="U89">
        <v>5.5084229999999998E-2</v>
      </c>
      <c r="V89">
        <v>1.8496640000000002E-2</v>
      </c>
      <c r="W89">
        <v>0.1794181</v>
      </c>
      <c r="X89">
        <v>0.983599</v>
      </c>
      <c r="Y89">
        <v>-9.6090429999999994E-3</v>
      </c>
      <c r="Z89">
        <v>1.133732E-4</v>
      </c>
      <c r="AA89">
        <v>0.9999538</v>
      </c>
      <c r="AB89">
        <v>16</v>
      </c>
      <c r="AC89">
        <v>65.329400000000007</v>
      </c>
      <c r="AD89">
        <v>-1.1714069999999901</v>
      </c>
      <c r="AE89">
        <v>1.1802000000000099</v>
      </c>
      <c r="AF89">
        <v>-0.62908728157180704</v>
      </c>
      <c r="AG89">
        <v>-1.1714069999999901</v>
      </c>
      <c r="AH89">
        <v>65.316036005015604</v>
      </c>
      <c r="AI89">
        <v>91.027410341720397</v>
      </c>
      <c r="AJ89">
        <v>90.551823624167497</v>
      </c>
      <c r="AK89">
        <v>65.329568378920001</v>
      </c>
      <c r="AL89">
        <v>79.6641322399622</v>
      </c>
      <c r="AM89">
        <v>88.9226763037735</v>
      </c>
      <c r="AN89">
        <v>0.99999998654994904</v>
      </c>
    </row>
    <row r="90" spans="1:40" x14ac:dyDescent="0.25">
      <c r="A90" t="str">
        <f>"20190303162457692"</f>
        <v>20190303162457692</v>
      </c>
      <c r="B90" t="str">
        <f>"1551601497682461"</f>
        <v>1551601497682461</v>
      </c>
      <c r="C90" t="s">
        <v>40</v>
      </c>
      <c r="D90">
        <v>5.0303709999999997</v>
      </c>
      <c r="E90">
        <v>0.48926639999999999</v>
      </c>
      <c r="F90" t="s">
        <v>44</v>
      </c>
      <c r="G90">
        <v>-405.71530000000001</v>
      </c>
      <c r="H90">
        <v>-0.05</v>
      </c>
      <c r="I90">
        <v>368.17619999999999</v>
      </c>
      <c r="J90">
        <v>-464.16239999999999</v>
      </c>
      <c r="K90">
        <v>1.1214150000000001</v>
      </c>
      <c r="L90">
        <v>367.12610000000001</v>
      </c>
      <c r="M90">
        <v>0.99987329999999996</v>
      </c>
      <c r="N90">
        <v>-1.346546E-2</v>
      </c>
      <c r="O90">
        <v>8.4951869999999995E-3</v>
      </c>
      <c r="P90">
        <v>0.98605589999999999</v>
      </c>
      <c r="Q90">
        <v>0.16607930000000001</v>
      </c>
      <c r="R90">
        <v>-1.057189E-2</v>
      </c>
      <c r="S90">
        <v>3.0532840000000001</v>
      </c>
      <c r="T90">
        <v>-6.1019900000000002E-2</v>
      </c>
      <c r="U90">
        <v>5.4779050000000003E-2</v>
      </c>
      <c r="V90">
        <v>1.8944860000000001E-2</v>
      </c>
      <c r="W90">
        <v>0.17934069999999999</v>
      </c>
      <c r="X90">
        <v>0.98360460000000005</v>
      </c>
      <c r="Y90">
        <v>-9.4399310000000004E-3</v>
      </c>
      <c r="Z90">
        <v>1.0253269999999999E-4</v>
      </c>
      <c r="AA90">
        <v>0.99995540000000005</v>
      </c>
      <c r="AB90">
        <v>16</v>
      </c>
      <c r="AC90">
        <v>58.447099999999899</v>
      </c>
      <c r="AD90">
        <v>-1.1714149999999901</v>
      </c>
      <c r="AE90">
        <v>1.05009999999998</v>
      </c>
      <c r="AF90">
        <v>-0.55327588574705999</v>
      </c>
      <c r="AG90">
        <v>-1.1714149999999901</v>
      </c>
      <c r="AH90">
        <v>58.4304485711166</v>
      </c>
      <c r="AI90">
        <v>91.148461801926999</v>
      </c>
      <c r="AJ90">
        <v>90.542515530063099</v>
      </c>
      <c r="AK90">
        <v>58.444808559271301</v>
      </c>
      <c r="AL90">
        <v>79.668640209133201</v>
      </c>
      <c r="AM90">
        <v>88.896582706093497</v>
      </c>
      <c r="AN90">
        <v>1.00000000176903</v>
      </c>
    </row>
    <row r="91" spans="1:40" x14ac:dyDescent="0.25">
      <c r="A91" t="str">
        <f>"20190303162457716"</f>
        <v>20190303162457716</v>
      </c>
      <c r="B91" t="str">
        <f>"1551601497702957"</f>
        <v>1551601497702957</v>
      </c>
      <c r="C91" t="s">
        <v>40</v>
      </c>
      <c r="D91">
        <v>5.204637</v>
      </c>
      <c r="E91">
        <v>0.48937049999999999</v>
      </c>
      <c r="F91" t="s">
        <v>44</v>
      </c>
      <c r="G91">
        <v>-409.09809999999999</v>
      </c>
      <c r="H91">
        <v>-0.05</v>
      </c>
      <c r="I91">
        <v>368.06700000000001</v>
      </c>
      <c r="J91">
        <v>-464.00029999999998</v>
      </c>
      <c r="K91">
        <v>1.121424</v>
      </c>
      <c r="L91">
        <v>367.1275</v>
      </c>
      <c r="M91">
        <v>0.99987280000000001</v>
      </c>
      <c r="N91">
        <v>-1.3465420000000001E-2</v>
      </c>
      <c r="O91">
        <v>8.5567609999999995E-3</v>
      </c>
      <c r="P91">
        <v>0.98615960000000003</v>
      </c>
      <c r="Q91">
        <v>0.16542689999999999</v>
      </c>
      <c r="R91">
        <v>-1.1120359999999999E-2</v>
      </c>
      <c r="S91">
        <v>3.0538940000000001</v>
      </c>
      <c r="T91">
        <v>-6.4967269999999994E-2</v>
      </c>
      <c r="U91">
        <v>5.2185059999999998E-2</v>
      </c>
      <c r="V91">
        <v>1.9554789999999999E-2</v>
      </c>
      <c r="W91">
        <v>0.17869009999999999</v>
      </c>
      <c r="X91">
        <v>0.98371109999999995</v>
      </c>
      <c r="Y91">
        <v>-8.525744E-3</v>
      </c>
      <c r="Z91" s="1">
        <v>8.1309839999999995E-5</v>
      </c>
      <c r="AA91">
        <v>0.99996359999999995</v>
      </c>
      <c r="AB91">
        <v>16</v>
      </c>
      <c r="AC91">
        <v>54.902199999999901</v>
      </c>
      <c r="AD91">
        <v>-1.171424</v>
      </c>
      <c r="AE91">
        <v>0.93949999999995204</v>
      </c>
      <c r="AF91">
        <v>-0.46942439259877</v>
      </c>
      <c r="AG91">
        <v>-1.171424</v>
      </c>
      <c r="AH91">
        <v>54.883251269333201</v>
      </c>
      <c r="AI91">
        <v>91.222686458210802</v>
      </c>
      <c r="AJ91">
        <v>90.490047146110697</v>
      </c>
      <c r="AK91">
        <v>54.897758272455</v>
      </c>
      <c r="AL91">
        <v>79.706529232711006</v>
      </c>
      <c r="AM91">
        <v>88.861190656629006</v>
      </c>
      <c r="AN91">
        <v>1.0000000349565801</v>
      </c>
    </row>
    <row r="92" spans="1:40" x14ac:dyDescent="0.25">
      <c r="A92" t="str">
        <f>"20190303162457738"</f>
        <v>20190303162457738</v>
      </c>
      <c r="B92" t="str">
        <f>"1551601497732745"</f>
        <v>1551601497732745</v>
      </c>
      <c r="C92" t="s">
        <v>40</v>
      </c>
      <c r="D92">
        <v>4.8953259999999998</v>
      </c>
      <c r="E92">
        <v>0.4896025</v>
      </c>
      <c r="F92" t="s">
        <v>44</v>
      </c>
      <c r="G92">
        <v>-412.8408</v>
      </c>
      <c r="H92">
        <v>-0.05</v>
      </c>
      <c r="I92">
        <v>367.95909999999998</v>
      </c>
      <c r="J92">
        <v>-463.84609999999998</v>
      </c>
      <c r="K92">
        <v>1.1214329999999999</v>
      </c>
      <c r="L92">
        <v>367.12889999999999</v>
      </c>
      <c r="M92">
        <v>0.99987219999999999</v>
      </c>
      <c r="N92">
        <v>-1.3465609999999999E-2</v>
      </c>
      <c r="O92">
        <v>8.6165500000000006E-3</v>
      </c>
      <c r="P92">
        <v>0.98629560000000005</v>
      </c>
      <c r="Q92">
        <v>0.16458110000000001</v>
      </c>
      <c r="R92">
        <v>-1.1583889999999999E-2</v>
      </c>
      <c r="S92">
        <v>3.0543819999999999</v>
      </c>
      <c r="T92">
        <v>-6.993771E-2</v>
      </c>
      <c r="U92">
        <v>4.9652099999999998E-2</v>
      </c>
      <c r="V92">
        <v>2.0078249999999999E-2</v>
      </c>
      <c r="W92">
        <v>0.177845899999999</v>
      </c>
      <c r="X92">
        <v>0.98385350000000005</v>
      </c>
      <c r="Y92">
        <v>-7.6342819999999896E-3</v>
      </c>
      <c r="Z92" s="1">
        <v>5.7570649999999997E-5</v>
      </c>
      <c r="AA92">
        <v>0.9999709</v>
      </c>
      <c r="AB92">
        <v>15</v>
      </c>
      <c r="AC92">
        <v>51.005299999999899</v>
      </c>
      <c r="AD92">
        <v>-1.1714329999999999</v>
      </c>
      <c r="AE92">
        <v>0.83019999999998995</v>
      </c>
      <c r="AF92">
        <v>-0.39043371275549998</v>
      </c>
      <c r="AG92">
        <v>-1.1714329999999999</v>
      </c>
      <c r="AH92">
        <v>50.983674646905598</v>
      </c>
      <c r="AI92">
        <v>91.316193722845796</v>
      </c>
      <c r="AJ92">
        <v>90.438763325500702</v>
      </c>
      <c r="AK92">
        <v>50.998625219304401</v>
      </c>
      <c r="AL92">
        <v>79.755685408085597</v>
      </c>
      <c r="AM92">
        <v>88.830883541031298</v>
      </c>
      <c r="AN92">
        <v>1.00000000486606</v>
      </c>
    </row>
    <row r="93" spans="1:40" x14ac:dyDescent="0.25">
      <c r="A93" t="str">
        <f>"20190303162457781"</f>
        <v>20190303162457781</v>
      </c>
      <c r="B93" t="str">
        <f>"1551601497772761"</f>
        <v>1551601497772761</v>
      </c>
      <c r="C93" t="s">
        <v>40</v>
      </c>
      <c r="D93">
        <v>4.9599120000000001</v>
      </c>
      <c r="E93">
        <v>0.4898497</v>
      </c>
      <c r="F93" t="s">
        <v>44</v>
      </c>
      <c r="G93">
        <v>-416.75380000000001</v>
      </c>
      <c r="H93">
        <v>-0.05</v>
      </c>
      <c r="I93">
        <v>367.86090000000002</v>
      </c>
      <c r="J93">
        <v>-463.55149999999998</v>
      </c>
      <c r="K93">
        <v>1.1214329999999999</v>
      </c>
      <c r="L93">
        <v>367.13159999999999</v>
      </c>
      <c r="M93">
        <v>0.99987130000000002</v>
      </c>
      <c r="N93">
        <v>-1.346411E-2</v>
      </c>
      <c r="O93">
        <v>8.7355509999999994E-3</v>
      </c>
      <c r="P93">
        <v>0.98663769999999995</v>
      </c>
      <c r="Q93">
        <v>0.16245999999999999</v>
      </c>
      <c r="R93">
        <v>-1.238353E-2</v>
      </c>
      <c r="S93">
        <v>3.054932</v>
      </c>
      <c r="T93">
        <v>-7.5992229999999994E-2</v>
      </c>
      <c r="U93">
        <v>4.7485350000000003E-2</v>
      </c>
      <c r="V93">
        <v>2.0997450000000001E-2</v>
      </c>
      <c r="W93">
        <v>0.17572839999999901</v>
      </c>
      <c r="X93">
        <v>0.9842147</v>
      </c>
      <c r="Y93">
        <v>-6.8034030000000004E-3</v>
      </c>
      <c r="Z93" s="1">
        <v>3.0779399999999999E-5</v>
      </c>
      <c r="AA93">
        <v>0.99997689999999995</v>
      </c>
      <c r="AB93">
        <v>15</v>
      </c>
      <c r="AC93">
        <v>46.797699999999899</v>
      </c>
      <c r="AD93">
        <v>-1.1714329999999999</v>
      </c>
      <c r="AE93">
        <v>0.72930000000002304</v>
      </c>
      <c r="AF93">
        <v>-0.32023085035531201</v>
      </c>
      <c r="AG93">
        <v>-1.1714329999999999</v>
      </c>
      <c r="AH93">
        <v>46.772984961359199</v>
      </c>
      <c r="AI93">
        <v>91.434643668206405</v>
      </c>
      <c r="AJ93">
        <v>90.392268946193497</v>
      </c>
      <c r="AK93">
        <v>46.788747848885102</v>
      </c>
      <c r="AL93">
        <v>79.878950425255198</v>
      </c>
      <c r="AM93">
        <v>88.7778248071387</v>
      </c>
      <c r="AN93">
        <v>0.99999996958457504</v>
      </c>
    </row>
    <row r="94" spans="1:40" x14ac:dyDescent="0.25">
      <c r="A94" t="str">
        <f>"20190303162457803"</f>
        <v>20190303162457803</v>
      </c>
      <c r="B94" t="str">
        <f>"1551601497792281"</f>
        <v>1551601497792281</v>
      </c>
      <c r="C94" t="s">
        <v>40</v>
      </c>
      <c r="D94">
        <v>4.7351260000000002</v>
      </c>
      <c r="E94">
        <v>0.49000500000000002</v>
      </c>
      <c r="F94" t="s">
        <v>44</v>
      </c>
      <c r="G94">
        <v>-421.81880000000001</v>
      </c>
      <c r="H94">
        <v>-0.05</v>
      </c>
      <c r="I94">
        <v>367.72309999999999</v>
      </c>
      <c r="J94">
        <v>-463.39819999999997</v>
      </c>
      <c r="K94">
        <v>1.121437</v>
      </c>
      <c r="L94">
        <v>367.13299999999998</v>
      </c>
      <c r="M94">
        <v>0.9998707</v>
      </c>
      <c r="N94">
        <v>-1.3462740000000001E-2</v>
      </c>
      <c r="O94">
        <v>8.7994000000000006E-3</v>
      </c>
      <c r="P94">
        <v>0.98682959999999997</v>
      </c>
      <c r="Q94">
        <v>0.16128799999999999</v>
      </c>
      <c r="R94">
        <v>-1.239581E-2</v>
      </c>
      <c r="S94">
        <v>3.0552670000000002</v>
      </c>
      <c r="T94">
        <v>-8.5761069999999995E-2</v>
      </c>
      <c r="U94">
        <v>4.330444E-2</v>
      </c>
      <c r="V94">
        <v>2.107434E-2</v>
      </c>
      <c r="W94">
        <v>0.1745575</v>
      </c>
      <c r="X94">
        <v>0.9844214</v>
      </c>
      <c r="Y94">
        <v>-5.3702219999999896E-3</v>
      </c>
      <c r="Z94" s="1">
        <v>-1.6961579999999999E-5</v>
      </c>
      <c r="AA94">
        <v>0.99998560000000003</v>
      </c>
      <c r="AB94">
        <v>15</v>
      </c>
      <c r="AC94">
        <v>41.5793999999999</v>
      </c>
      <c r="AD94">
        <v>-1.1714370000000001</v>
      </c>
      <c r="AE94">
        <v>0.590099999999949</v>
      </c>
      <c r="AF94">
        <v>-0.22399247599605901</v>
      </c>
      <c r="AG94">
        <v>-1.1714370000000001</v>
      </c>
      <c r="AH94">
        <v>41.550009434741803</v>
      </c>
      <c r="AI94">
        <v>91.614912908772197</v>
      </c>
      <c r="AJ94">
        <v>90.308873556679004</v>
      </c>
      <c r="AK94">
        <v>41.567123081846901</v>
      </c>
      <c r="AL94">
        <v>79.947091323923303</v>
      </c>
      <c r="AM94">
        <v>88.773608203618807</v>
      </c>
      <c r="AN94">
        <v>0.99999997069532198</v>
      </c>
    </row>
    <row r="95" spans="1:40" x14ac:dyDescent="0.25">
      <c r="A95" t="str">
        <f>"20190303162457828"</f>
        <v>20190303162457828</v>
      </c>
      <c r="B95" t="str">
        <f>"1551601497822536"</f>
        <v>1551601497822536</v>
      </c>
      <c r="C95" t="s">
        <v>40</v>
      </c>
      <c r="D95">
        <v>4.688091</v>
      </c>
      <c r="E95">
        <v>0.49024440000000002</v>
      </c>
      <c r="F95" t="s">
        <v>44</v>
      </c>
      <c r="G95">
        <v>-423.98230000000001</v>
      </c>
      <c r="H95">
        <v>-0.05</v>
      </c>
      <c r="I95">
        <v>367.66849999999999</v>
      </c>
      <c r="J95">
        <v>-463.22629999999998</v>
      </c>
      <c r="K95">
        <v>1.1214280000000001</v>
      </c>
      <c r="L95">
        <v>367.13459999999998</v>
      </c>
      <c r="M95">
        <v>0.99987009999999998</v>
      </c>
      <c r="N95">
        <v>-1.3461280000000001E-2</v>
      </c>
      <c r="O95">
        <v>8.8710569999999999E-3</v>
      </c>
      <c r="P95">
        <v>0.98696950000000006</v>
      </c>
      <c r="Q95">
        <v>0.16041029999999901</v>
      </c>
      <c r="R95">
        <v>-1.263865E-2</v>
      </c>
      <c r="S95">
        <v>3.0554199999999998</v>
      </c>
      <c r="T95">
        <v>-9.080684E-2</v>
      </c>
      <c r="U95">
        <v>4.1503909999999998E-2</v>
      </c>
      <c r="V95">
        <v>2.1389200000000001E-2</v>
      </c>
      <c r="W95">
        <v>0.17368039999999901</v>
      </c>
      <c r="X95">
        <v>0.98456980000000005</v>
      </c>
      <c r="Y95">
        <v>-4.7090209999999999E-3</v>
      </c>
      <c r="Z95" s="1">
        <v>-4.2500989999999998E-5</v>
      </c>
      <c r="AA95">
        <v>0.99998889999999996</v>
      </c>
      <c r="AB95">
        <v>15</v>
      </c>
      <c r="AC95">
        <v>39.2439999999999</v>
      </c>
      <c r="AD95">
        <v>-1.1714279999999999</v>
      </c>
      <c r="AE95">
        <v>0.53390000000001603</v>
      </c>
      <c r="AF95">
        <v>-0.18554640736876801</v>
      </c>
      <c r="AG95">
        <v>-1.1714279999999999</v>
      </c>
      <c r="AH95">
        <v>39.212259991718398</v>
      </c>
      <c r="AI95">
        <v>91.711127432423297</v>
      </c>
      <c r="AJ95">
        <v>90.271112828108798</v>
      </c>
      <c r="AK95">
        <v>39.230192514013901</v>
      </c>
      <c r="AL95">
        <v>79.998125665377898</v>
      </c>
      <c r="AM95">
        <v>88.755478638064403</v>
      </c>
      <c r="AN95">
        <v>1.00000003514641</v>
      </c>
    </row>
    <row r="96" spans="1:40" x14ac:dyDescent="0.25">
      <c r="A96" t="str">
        <f>"20190303162457847"</f>
        <v>20190303162457847</v>
      </c>
      <c r="B96" t="str">
        <f>"1551601497842564"</f>
        <v>1551601497842564</v>
      </c>
      <c r="C96" t="s">
        <v>40</v>
      </c>
      <c r="D96">
        <v>4.6477490000000001</v>
      </c>
      <c r="E96">
        <v>0.49041269999999998</v>
      </c>
      <c r="F96" t="s">
        <v>44</v>
      </c>
      <c r="G96">
        <v>-425.88350000000003</v>
      </c>
      <c r="H96">
        <v>-0.05</v>
      </c>
      <c r="I96">
        <v>367.6053</v>
      </c>
      <c r="J96">
        <v>-463.09500000000003</v>
      </c>
      <c r="K96">
        <v>1.121429</v>
      </c>
      <c r="L96">
        <v>367.13580000000002</v>
      </c>
      <c r="M96">
        <v>0.99986960000000003</v>
      </c>
      <c r="N96">
        <v>-1.346021E-2</v>
      </c>
      <c r="O96">
        <v>8.926079E-3</v>
      </c>
      <c r="P96">
        <v>0.98707869999999998</v>
      </c>
      <c r="Q96">
        <v>0.15979689999999999</v>
      </c>
      <c r="R96">
        <v>-1.186772E-2</v>
      </c>
      <c r="S96">
        <v>3.0556950000000001</v>
      </c>
      <c r="T96">
        <v>-9.5855709999999997E-2</v>
      </c>
      <c r="U96">
        <v>3.8513180000000001E-2</v>
      </c>
      <c r="V96">
        <v>2.067333E-2</v>
      </c>
      <c r="W96">
        <v>0.17306750000000001</v>
      </c>
      <c r="X96">
        <v>0.98469300000000004</v>
      </c>
      <c r="Y96">
        <v>-3.6749059999999999E-3</v>
      </c>
      <c r="Z96" s="1">
        <v>-7.7419699999999993E-5</v>
      </c>
      <c r="AA96">
        <v>0.99999329999999997</v>
      </c>
      <c r="AB96">
        <v>15</v>
      </c>
      <c r="AC96">
        <v>37.211500000000001</v>
      </c>
      <c r="AD96">
        <v>-1.1714290000000001</v>
      </c>
      <c r="AE96">
        <v>0.46949999999998199</v>
      </c>
      <c r="AF96">
        <v>-0.137162514335363</v>
      </c>
      <c r="AG96">
        <v>-1.1714290000000001</v>
      </c>
      <c r="AH96">
        <v>37.177371220043398</v>
      </c>
      <c r="AI96">
        <v>91.804734443647604</v>
      </c>
      <c r="AJ96">
        <v>90.211386584466695</v>
      </c>
      <c r="AK96">
        <v>37.196074931238201</v>
      </c>
      <c r="AL96">
        <v>80.0337821283306</v>
      </c>
      <c r="AM96">
        <v>88.797269229353205</v>
      </c>
      <c r="AN96">
        <v>1.00000002518926</v>
      </c>
    </row>
    <row r="97" spans="1:40" x14ac:dyDescent="0.25">
      <c r="A97" t="str">
        <f>"20190303162457870"</f>
        <v>20190303162457870</v>
      </c>
      <c r="B97" t="str">
        <f>"1551601497863060"</f>
        <v>1551601497863060</v>
      </c>
      <c r="C97" t="s">
        <v>40</v>
      </c>
      <c r="D97">
        <v>4.6617989999999896</v>
      </c>
      <c r="E97">
        <v>0.49054059999999999</v>
      </c>
      <c r="F97" t="s">
        <v>44</v>
      </c>
      <c r="G97">
        <v>-426.80990000000003</v>
      </c>
      <c r="H97">
        <v>-0.05</v>
      </c>
      <c r="I97">
        <v>367.6069</v>
      </c>
      <c r="J97">
        <v>-462.94009999999997</v>
      </c>
      <c r="K97">
        <v>1.1214309999999901</v>
      </c>
      <c r="L97">
        <v>367.13729999999998</v>
      </c>
      <c r="M97">
        <v>0.99986909999999896</v>
      </c>
      <c r="N97">
        <v>-1.3456650000000001E-2</v>
      </c>
      <c r="O97">
        <v>8.9912450000000001E-3</v>
      </c>
      <c r="P97">
        <v>0.98696859999999997</v>
      </c>
      <c r="Q97">
        <v>0.16052159999999999</v>
      </c>
      <c r="R97">
        <v>-1.124033E-2</v>
      </c>
      <c r="S97">
        <v>3.0556950000000001</v>
      </c>
      <c r="T97">
        <v>-9.8649979999999998E-2</v>
      </c>
      <c r="U97">
        <v>3.9672850000000003E-2</v>
      </c>
      <c r="V97">
        <v>2.0109269999999999E-2</v>
      </c>
      <c r="W97">
        <v>0.17378750000000001</v>
      </c>
      <c r="X97">
        <v>0.98457779999999995</v>
      </c>
      <c r="Y97">
        <v>-3.9889799999999996E-3</v>
      </c>
      <c r="Z97" s="1">
        <v>-7.7979130000000002E-5</v>
      </c>
      <c r="AA97">
        <v>0.99999199999999999</v>
      </c>
      <c r="AB97">
        <v>15</v>
      </c>
      <c r="AC97">
        <v>36.130199999999903</v>
      </c>
      <c r="AD97">
        <v>-1.1714310000000001</v>
      </c>
      <c r="AE97">
        <v>0.46960000000001401</v>
      </c>
      <c r="AF97">
        <v>-0.14454421875361501</v>
      </c>
      <c r="AG97">
        <v>-1.1714310000000001</v>
      </c>
      <c r="AH97">
        <v>36.095024626799898</v>
      </c>
      <c r="AI97">
        <v>91.858814777045495</v>
      </c>
      <c r="AJ97">
        <v>90.229442409410098</v>
      </c>
      <c r="AK97">
        <v>36.114317748342202</v>
      </c>
      <c r="AL97">
        <v>79.991893779422995</v>
      </c>
      <c r="AM97">
        <v>88.829938954588698</v>
      </c>
      <c r="AN97">
        <v>0.99999996107450995</v>
      </c>
    </row>
    <row r="98" spans="1:40" x14ac:dyDescent="0.25">
      <c r="A98" t="str">
        <f>"20190303162457894"</f>
        <v>20190303162457894</v>
      </c>
      <c r="B98" t="str">
        <f>"1551601497882581"</f>
        <v>1551601497882581</v>
      </c>
      <c r="C98" t="s">
        <v>40</v>
      </c>
      <c r="D98">
        <v>4.6247129999999999</v>
      </c>
      <c r="E98">
        <v>0.49069119999999999</v>
      </c>
      <c r="F98" t="s">
        <v>44</v>
      </c>
      <c r="G98">
        <v>-426.03519999999997</v>
      </c>
      <c r="H98">
        <v>-0.05</v>
      </c>
      <c r="I98">
        <v>367.62529999999998</v>
      </c>
      <c r="J98">
        <v>-462.78050000000002</v>
      </c>
      <c r="K98">
        <v>1.1214379999999999</v>
      </c>
      <c r="L98">
        <v>367.1388</v>
      </c>
      <c r="M98">
        <v>0.9998686</v>
      </c>
      <c r="N98">
        <v>-1.344415E-2</v>
      </c>
      <c r="O98">
        <v>9.0586139999999996E-3</v>
      </c>
      <c r="P98">
        <v>0.98678659999999996</v>
      </c>
      <c r="Q98">
        <v>0.16167599999999999</v>
      </c>
      <c r="R98">
        <v>-1.063893E-2</v>
      </c>
      <c r="S98">
        <v>3.055847</v>
      </c>
      <c r="T98">
        <v>-9.6998329999999994E-2</v>
      </c>
      <c r="U98">
        <v>4.040527E-2</v>
      </c>
      <c r="V98">
        <v>1.9572900000000001E-2</v>
      </c>
      <c r="W98">
        <v>0.17492650000000001</v>
      </c>
      <c r="X98">
        <v>0.98438689999999995</v>
      </c>
      <c r="Y98">
        <v>-4.1604770000000001E-3</v>
      </c>
      <c r="Z98" s="1">
        <v>-7.1683619999999906E-5</v>
      </c>
      <c r="AA98">
        <v>0.99999139999999997</v>
      </c>
      <c r="AB98">
        <v>15</v>
      </c>
      <c r="AC98">
        <v>36.7453</v>
      </c>
      <c r="AD98">
        <v>-1.171438</v>
      </c>
      <c r="AE98">
        <v>0.48649999999997801</v>
      </c>
      <c r="AF98">
        <v>-0.15343255321674601</v>
      </c>
      <c r="AG98">
        <v>-1.171438</v>
      </c>
      <c r="AH98">
        <v>36.710895609518602</v>
      </c>
      <c r="AI98">
        <v>91.827661780632496</v>
      </c>
      <c r="AJ98">
        <v>90.239465325111496</v>
      </c>
      <c r="AK98">
        <v>36.729901510747403</v>
      </c>
      <c r="AL98">
        <v>79.9256188420634</v>
      </c>
      <c r="AM98">
        <v>88.860918596936102</v>
      </c>
      <c r="AN98">
        <v>0.99999997385413397</v>
      </c>
    </row>
    <row r="99" spans="1:40" x14ac:dyDescent="0.25">
      <c r="A99" t="str">
        <f>"20190303162457919"</f>
        <v>20190303162457919</v>
      </c>
      <c r="B99" t="str">
        <f>"1551601497912839"</f>
        <v>1551601497912839</v>
      </c>
      <c r="C99" t="s">
        <v>40</v>
      </c>
      <c r="D99">
        <v>4.5511910000000002</v>
      </c>
      <c r="E99">
        <v>0.49092219999999998</v>
      </c>
      <c r="F99" t="s">
        <v>44</v>
      </c>
      <c r="G99">
        <v>-424.58670000000001</v>
      </c>
      <c r="H99">
        <v>-0.05</v>
      </c>
      <c r="I99">
        <v>367.6506</v>
      </c>
      <c r="J99">
        <v>-462.6071</v>
      </c>
      <c r="K99">
        <v>1.121443</v>
      </c>
      <c r="L99">
        <v>367.14049999999997</v>
      </c>
      <c r="M99">
        <v>0.99986839999999999</v>
      </c>
      <c r="N99">
        <v>-1.341782E-2</v>
      </c>
      <c r="O99">
        <v>9.1316190000000005E-3</v>
      </c>
      <c r="P99">
        <v>0.98662559999999999</v>
      </c>
      <c r="Q99">
        <v>0.1626619</v>
      </c>
      <c r="R99">
        <v>-1.054779E-2</v>
      </c>
      <c r="S99">
        <v>3.0559690000000002</v>
      </c>
      <c r="T99">
        <v>-9.3729259999999995E-2</v>
      </c>
      <c r="U99">
        <v>4.0954589999999999E-2</v>
      </c>
      <c r="V99">
        <v>1.9552730000000001E-2</v>
      </c>
      <c r="W99">
        <v>0.17588419999999999</v>
      </c>
      <c r="X99">
        <v>0.98421670000000006</v>
      </c>
      <c r="Y99">
        <v>-4.2665990000000003E-3</v>
      </c>
      <c r="Z99" s="1">
        <v>-6.3427410000000003E-5</v>
      </c>
      <c r="AA99">
        <v>0.99999090000000002</v>
      </c>
      <c r="AB99">
        <v>15</v>
      </c>
      <c r="AC99">
        <v>38.020400000000002</v>
      </c>
      <c r="AD99">
        <v>-1.171443</v>
      </c>
      <c r="AE99">
        <v>0.51010000000002198</v>
      </c>
      <c r="AF99">
        <v>-0.16270527498152601</v>
      </c>
      <c r="AG99">
        <v>-1.171443</v>
      </c>
      <c r="AH99">
        <v>37.987417525785403</v>
      </c>
      <c r="AI99">
        <v>91.766291722576199</v>
      </c>
      <c r="AJ99">
        <v>90.245404114360895</v>
      </c>
      <c r="AK99">
        <v>38.005823790402196</v>
      </c>
      <c r="AL99">
        <v>79.869883195875801</v>
      </c>
      <c r="AM99">
        <v>88.861895392919294</v>
      </c>
      <c r="AN99">
        <v>1.0000000368094899</v>
      </c>
    </row>
    <row r="100" spans="1:40" x14ac:dyDescent="0.25">
      <c r="A100" t="str">
        <f>"20190303162457941"</f>
        <v>20190303162457941</v>
      </c>
      <c r="B100" t="str">
        <f>"1551601497932863"</f>
        <v>1551601497932863</v>
      </c>
      <c r="C100" t="s">
        <v>40</v>
      </c>
      <c r="D100">
        <v>4.531968</v>
      </c>
      <c r="E100">
        <v>0.49107600000000001</v>
      </c>
      <c r="F100" t="s">
        <v>44</v>
      </c>
      <c r="G100">
        <v>-423.2192</v>
      </c>
      <c r="H100">
        <v>-0.05</v>
      </c>
      <c r="I100">
        <v>367.64350000000002</v>
      </c>
      <c r="J100">
        <v>-462.45260000000002</v>
      </c>
      <c r="K100">
        <v>1.121443</v>
      </c>
      <c r="L100">
        <v>367.14190000000002</v>
      </c>
      <c r="M100">
        <v>0.99986819999999998</v>
      </c>
      <c r="N100">
        <v>-1.3384210000000001E-2</v>
      </c>
      <c r="O100">
        <v>9.1960940000000001E-3</v>
      </c>
      <c r="P100">
        <v>0.98648610000000003</v>
      </c>
      <c r="Q100">
        <v>0.16347059999999999</v>
      </c>
      <c r="R100">
        <v>-1.106246E-2</v>
      </c>
      <c r="S100">
        <v>3.0560299999999998</v>
      </c>
      <c r="T100">
        <v>-9.0889929999999994E-2</v>
      </c>
      <c r="U100">
        <v>3.9031980000000001E-2</v>
      </c>
      <c r="V100">
        <v>2.0129689999999999E-2</v>
      </c>
      <c r="W100">
        <v>0.1766577</v>
      </c>
      <c r="X100">
        <v>0.98406649999999996</v>
      </c>
      <c r="Y100">
        <v>-3.5733079999999999E-3</v>
      </c>
      <c r="Z100" s="1">
        <v>-7.3307140000000004E-5</v>
      </c>
      <c r="AA100">
        <v>0.99999360000000004</v>
      </c>
      <c r="AB100">
        <v>15</v>
      </c>
      <c r="AC100">
        <v>39.233400000000003</v>
      </c>
      <c r="AD100">
        <v>-1.171443</v>
      </c>
      <c r="AE100">
        <v>0.50159999999999605</v>
      </c>
      <c r="AF100">
        <v>-0.14062710251364599</v>
      </c>
      <c r="AG100">
        <v>-1.171443</v>
      </c>
      <c r="AH100">
        <v>39.201410816619401</v>
      </c>
      <c r="AI100">
        <v>91.711630760948907</v>
      </c>
      <c r="AJ100">
        <v>90.205536094980005</v>
      </c>
      <c r="AK100">
        <v>39.219161958124197</v>
      </c>
      <c r="AL100">
        <v>79.824859666141094</v>
      </c>
      <c r="AM100">
        <v>88.828142758162898</v>
      </c>
      <c r="AN100">
        <v>1.0000000119055099</v>
      </c>
    </row>
    <row r="101" spans="1:40" x14ac:dyDescent="0.25">
      <c r="A101" t="str">
        <f>"20190303162457960"</f>
        <v>20190303162457960</v>
      </c>
      <c r="B101" t="str">
        <f>"1551601497952382"</f>
        <v>1551601497952382</v>
      </c>
      <c r="C101" t="s">
        <v>40</v>
      </c>
      <c r="D101">
        <v>4.5584089999999904</v>
      </c>
      <c r="E101">
        <v>0.49126059999999999</v>
      </c>
      <c r="F101" t="s">
        <v>44</v>
      </c>
      <c r="G101">
        <v>-422.0247</v>
      </c>
      <c r="H101">
        <v>-0.05</v>
      </c>
      <c r="I101">
        <v>367.62470000000002</v>
      </c>
      <c r="J101">
        <v>-462.33089999999999</v>
      </c>
      <c r="K101">
        <v>1.1214459999999999</v>
      </c>
      <c r="L101">
        <v>367.1431</v>
      </c>
      <c r="M101">
        <v>0.99986819999999998</v>
      </c>
      <c r="N101">
        <v>-1.335424E-2</v>
      </c>
      <c r="O101">
        <v>9.2464799999999996E-3</v>
      </c>
      <c r="P101">
        <v>0.98637969999999997</v>
      </c>
      <c r="Q101">
        <v>0.16404070000000001</v>
      </c>
      <c r="R101">
        <v>-1.2094479999999999E-2</v>
      </c>
      <c r="S101">
        <v>3.0561829999999999</v>
      </c>
      <c r="T101">
        <v>-8.8556410000000002E-2</v>
      </c>
      <c r="U101">
        <v>3.649902E-2</v>
      </c>
      <c r="V101">
        <v>2.121023E-2</v>
      </c>
      <c r="W101">
        <v>0.17719699999999999</v>
      </c>
      <c r="X101">
        <v>0.98394680000000001</v>
      </c>
      <c r="Y101">
        <v>-2.6941529999999999E-3</v>
      </c>
      <c r="Z101" s="1">
        <v>-8.7365610000000003E-5</v>
      </c>
      <c r="AA101">
        <v>0.99999640000000001</v>
      </c>
      <c r="AB101">
        <v>15</v>
      </c>
      <c r="AC101">
        <v>40.306199999999897</v>
      </c>
      <c r="AD101">
        <v>-1.171446</v>
      </c>
      <c r="AE101">
        <v>0.48160000000001402</v>
      </c>
      <c r="AF101">
        <v>-0.10876388678627499</v>
      </c>
      <c r="AG101">
        <v>-1.171446</v>
      </c>
      <c r="AH101">
        <v>40.274914885612901</v>
      </c>
      <c r="AI101">
        <v>91.666043224050995</v>
      </c>
      <c r="AJ101">
        <v>90.154728980681298</v>
      </c>
      <c r="AK101">
        <v>40.292094564037598</v>
      </c>
      <c r="AL101">
        <v>79.793464413218302</v>
      </c>
      <c r="AM101">
        <v>88.765107542796898</v>
      </c>
      <c r="AN101">
        <v>0.99999997794794604</v>
      </c>
    </row>
    <row r="102" spans="1:40" x14ac:dyDescent="0.25">
      <c r="A102" t="str">
        <f>"20190303162457982"</f>
        <v>20190303162457982</v>
      </c>
      <c r="B102" t="str">
        <f>"1551601497972879"</f>
        <v>1551601497972879</v>
      </c>
      <c r="C102" t="s">
        <v>40</v>
      </c>
      <c r="D102">
        <v>4.5103169999999997</v>
      </c>
      <c r="E102">
        <v>0.49135220000000002</v>
      </c>
      <c r="F102" t="s">
        <v>44</v>
      </c>
      <c r="G102">
        <v>-421.28949999999998</v>
      </c>
      <c r="H102">
        <v>-0.05</v>
      </c>
      <c r="I102">
        <v>367.56979999999999</v>
      </c>
      <c r="J102">
        <v>-462.17930000000001</v>
      </c>
      <c r="K102">
        <v>1.1214360000000001</v>
      </c>
      <c r="L102">
        <v>367.14460000000003</v>
      </c>
      <c r="M102">
        <v>0.99986810000000004</v>
      </c>
      <c r="N102">
        <v>-1.3309659999999999E-2</v>
      </c>
      <c r="O102">
        <v>9.3088819999999992E-3</v>
      </c>
      <c r="P102">
        <v>0.98628459999999996</v>
      </c>
      <c r="Q102">
        <v>0.16452429999999901</v>
      </c>
      <c r="R102">
        <v>-1.3203390000000001E-2</v>
      </c>
      <c r="S102">
        <v>3.0563349999999998</v>
      </c>
      <c r="T102">
        <v>-8.7237120000000001E-2</v>
      </c>
      <c r="U102">
        <v>3.17688E-2</v>
      </c>
      <c r="V102">
        <v>2.2380049999999999E-2</v>
      </c>
      <c r="W102">
        <v>0.1776353</v>
      </c>
      <c r="X102">
        <v>0.98384190000000005</v>
      </c>
      <c r="Y102">
        <v>-1.0846230000000001E-3</v>
      </c>
      <c r="Z102">
        <v>-1.1905059999999999E-4</v>
      </c>
      <c r="AA102">
        <v>0.99999939999999998</v>
      </c>
      <c r="AB102">
        <v>15</v>
      </c>
      <c r="AC102">
        <v>40.889800000000001</v>
      </c>
      <c r="AD102">
        <v>-1.1714359999999999</v>
      </c>
      <c r="AE102">
        <v>0.425199999999961</v>
      </c>
      <c r="AF102">
        <v>-4.4473038032366997E-2</v>
      </c>
      <c r="AG102">
        <v>-1.1714359999999999</v>
      </c>
      <c r="AH102">
        <v>40.858455812600901</v>
      </c>
      <c r="AI102">
        <v>91.642252901839797</v>
      </c>
      <c r="AJ102">
        <v>90.062364480604998</v>
      </c>
      <c r="AK102">
        <v>40.8752694369525</v>
      </c>
      <c r="AL102">
        <v>79.767947349688697</v>
      </c>
      <c r="AM102">
        <v>88.696882796901207</v>
      </c>
      <c r="AN102">
        <v>1.00000002531985</v>
      </c>
    </row>
    <row r="103" spans="1:40" x14ac:dyDescent="0.25">
      <c r="A103" t="str">
        <f>"20190303162458005"</f>
        <v>20190303162458005</v>
      </c>
      <c r="B103" t="str">
        <f>"1551601497993375"</f>
        <v>1551601497993375</v>
      </c>
      <c r="C103" t="s">
        <v>40</v>
      </c>
      <c r="D103">
        <v>4.5563129999999896</v>
      </c>
      <c r="E103">
        <v>0.50079629999999997</v>
      </c>
      <c r="F103" t="s">
        <v>44</v>
      </c>
      <c r="G103">
        <v>-420.8535</v>
      </c>
      <c r="H103">
        <v>-0.05</v>
      </c>
      <c r="I103">
        <v>367.52170000000001</v>
      </c>
      <c r="J103">
        <v>-462.02589999999998</v>
      </c>
      <c r="K103">
        <v>1.1214249999999999</v>
      </c>
      <c r="L103">
        <v>367.14609999999999</v>
      </c>
      <c r="M103">
        <v>0.99986850000000005</v>
      </c>
      <c r="N103">
        <v>-1.3241340000000001E-2</v>
      </c>
      <c r="O103">
        <v>9.3725800000000001E-3</v>
      </c>
      <c r="P103">
        <v>0.98615750000000002</v>
      </c>
      <c r="Q103">
        <v>0.16522539999999999</v>
      </c>
      <c r="R103">
        <v>-1.394773E-2</v>
      </c>
      <c r="S103">
        <v>3.056549</v>
      </c>
      <c r="T103">
        <v>-8.6642029999999995E-2</v>
      </c>
      <c r="U103">
        <v>2.7893069999999999E-2</v>
      </c>
      <c r="V103">
        <v>2.318564E-2</v>
      </c>
      <c r="W103">
        <v>0.17826729999999999</v>
      </c>
      <c r="X103">
        <v>0.9837089</v>
      </c>
      <c r="Y103">
        <v>2.469045E-4</v>
      </c>
      <c r="Z103">
        <v>-1.4664999999999999E-4</v>
      </c>
      <c r="AA103">
        <v>0.99999990000000005</v>
      </c>
      <c r="AB103">
        <v>15</v>
      </c>
      <c r="AC103">
        <v>41.172399999999897</v>
      </c>
      <c r="AD103">
        <v>-1.1714249999999999</v>
      </c>
      <c r="AE103">
        <v>0.37560000000001897</v>
      </c>
      <c r="AF103">
        <v>1.03335455551604E-2</v>
      </c>
      <c r="AG103">
        <v>-1.1714249999999999</v>
      </c>
      <c r="AH103">
        <v>41.140811196197902</v>
      </c>
      <c r="AI103">
        <v>91.630973596800104</v>
      </c>
      <c r="AJ103">
        <v>89.985608729676102</v>
      </c>
      <c r="AK103">
        <v>41.157486429494099</v>
      </c>
      <c r="AL103">
        <v>79.731148849569905</v>
      </c>
      <c r="AM103">
        <v>88.649810523472894</v>
      </c>
      <c r="AN103">
        <v>1.0000000020453499</v>
      </c>
    </row>
    <row r="104" spans="1:40" x14ac:dyDescent="0.25">
      <c r="A104" t="str">
        <f>"20190303162458026"</f>
        <v>20190303162458026</v>
      </c>
      <c r="B104" t="str">
        <f>"1551601498022655"</f>
        <v>1551601498022655</v>
      </c>
      <c r="C104" t="s">
        <v>40</v>
      </c>
      <c r="D104">
        <v>4.5169790000000001</v>
      </c>
      <c r="E104">
        <v>0.52807150000000003</v>
      </c>
      <c r="F104" t="s">
        <v>44</v>
      </c>
      <c r="G104">
        <v>-436.0025</v>
      </c>
      <c r="H104">
        <v>-0.05</v>
      </c>
      <c r="I104">
        <v>366.72680000000003</v>
      </c>
      <c r="J104">
        <v>-461.88220000000001</v>
      </c>
      <c r="K104">
        <v>1.121402</v>
      </c>
      <c r="L104">
        <v>367.14760000000001</v>
      </c>
      <c r="M104">
        <v>0.99986929999999996</v>
      </c>
      <c r="N104">
        <v>-1.313602E-2</v>
      </c>
      <c r="O104">
        <v>9.4331889999999998E-3</v>
      </c>
      <c r="P104">
        <v>0.98611950000000004</v>
      </c>
      <c r="Q104">
        <v>0.16532529999999901</v>
      </c>
      <c r="R104">
        <v>-1.537671E-2</v>
      </c>
      <c r="S104">
        <v>3.064514</v>
      </c>
      <c r="T104">
        <v>-0.13794719999999999</v>
      </c>
      <c r="U104">
        <v>-4.9377440000000002E-2</v>
      </c>
      <c r="V104">
        <v>2.467362E-2</v>
      </c>
      <c r="W104">
        <v>0.17826259999999999</v>
      </c>
      <c r="X104">
        <v>0.98367360000000004</v>
      </c>
      <c r="Y104">
        <v>2.550446E-2</v>
      </c>
      <c r="Z104">
        <v>-1.041871E-3</v>
      </c>
      <c r="AA104">
        <v>0.99967410000000001</v>
      </c>
      <c r="AB104">
        <v>15</v>
      </c>
      <c r="AC104">
        <v>25.8797</v>
      </c>
      <c r="AD104">
        <v>-1.1714020000000001</v>
      </c>
      <c r="AE104">
        <v>-0.42079999999998502</v>
      </c>
      <c r="AF104">
        <v>0.66357127522459403</v>
      </c>
      <c r="AG104">
        <v>-1.1714020000000001</v>
      </c>
      <c r="AH104">
        <v>25.8216897446536</v>
      </c>
      <c r="AI104">
        <v>92.5965884212888</v>
      </c>
      <c r="AJ104">
        <v>88.527924866341195</v>
      </c>
      <c r="AK104">
        <v>25.856762572914199</v>
      </c>
      <c r="AL104">
        <v>79.731422986910204</v>
      </c>
      <c r="AM104">
        <v>88.563143382689802</v>
      </c>
      <c r="AN104">
        <v>1.00000004670981</v>
      </c>
    </row>
    <row r="105" spans="1:40" x14ac:dyDescent="0.25">
      <c r="A105" t="str">
        <f>"20190303162458048"</f>
        <v>20190303162458048</v>
      </c>
      <c r="B105" t="str">
        <f>"1551601498042683"</f>
        <v>1551601498042683</v>
      </c>
      <c r="C105" t="s">
        <v>40</v>
      </c>
      <c r="D105">
        <v>4.4841379999999997</v>
      </c>
      <c r="E105">
        <v>0.53809050000000003</v>
      </c>
      <c r="F105" t="s">
        <v>42</v>
      </c>
      <c r="G105">
        <v>-461.08690000000001</v>
      </c>
      <c r="H105">
        <v>1.01176</v>
      </c>
      <c r="I105">
        <v>367.07769999999999</v>
      </c>
      <c r="J105">
        <v>-461.73680000000002</v>
      </c>
      <c r="K105">
        <v>1.12137</v>
      </c>
      <c r="L105">
        <v>367.149</v>
      </c>
      <c r="M105">
        <v>0.99987079999999995</v>
      </c>
      <c r="N105">
        <v>-1.297093E-2</v>
      </c>
      <c r="O105">
        <v>9.4948289999999998E-3</v>
      </c>
      <c r="P105">
        <v>0.9861683</v>
      </c>
      <c r="Q105">
        <v>0.16491789999999901</v>
      </c>
      <c r="R105">
        <v>-1.6572050000000001E-2</v>
      </c>
      <c r="S105">
        <v>3.1099239999999999</v>
      </c>
      <c r="T105">
        <v>-0.42899480000000001</v>
      </c>
      <c r="U105">
        <v>-0.27203369999999999</v>
      </c>
      <c r="V105">
        <v>2.593026E-2</v>
      </c>
      <c r="W105">
        <v>0.1776935</v>
      </c>
      <c r="X105">
        <v>0.98374419999999996</v>
      </c>
      <c r="Y105">
        <v>9.553855E-2</v>
      </c>
      <c r="Z105">
        <v>-8.3489510000000003E-3</v>
      </c>
      <c r="AA105">
        <v>0.99539069999999996</v>
      </c>
      <c r="AB105">
        <v>15</v>
      </c>
      <c r="AC105">
        <v>0.64990000000000203</v>
      </c>
      <c r="AD105">
        <v>-0.10961</v>
      </c>
      <c r="AE105">
        <v>-7.1300000000007899E-2</v>
      </c>
      <c r="AF105">
        <v>7.5350143183027504E-2</v>
      </c>
      <c r="AG105">
        <v>-0.10961</v>
      </c>
      <c r="AH105">
        <v>0.63144574725337499</v>
      </c>
      <c r="AI105">
        <v>99.779576840287504</v>
      </c>
      <c r="AJ105">
        <v>83.195097667525303</v>
      </c>
      <c r="AK105">
        <v>0.64530281876191697</v>
      </c>
      <c r="AL105">
        <v>79.764558614333097</v>
      </c>
      <c r="AM105">
        <v>88.490104923135803</v>
      </c>
      <c r="AN105">
        <v>1.0000000046797699</v>
      </c>
    </row>
    <row r="106" spans="1:40" x14ac:dyDescent="0.25">
      <c r="A106" t="str">
        <f>"20190303162458070"</f>
        <v>20190303162458070</v>
      </c>
      <c r="B106" t="str">
        <f>"1551601498063178"</f>
        <v>1551601498063178</v>
      </c>
      <c r="C106" t="s">
        <v>40</v>
      </c>
      <c r="D106">
        <v>4.4924379999999999</v>
      </c>
      <c r="E106">
        <v>0.53836719999999905</v>
      </c>
      <c r="F106" t="s">
        <v>42</v>
      </c>
      <c r="G106">
        <v>-460.99560000000002</v>
      </c>
      <c r="H106">
        <v>0.92062630000000001</v>
      </c>
      <c r="I106">
        <v>367.06540000000001</v>
      </c>
      <c r="J106">
        <v>-461.58159999999998</v>
      </c>
      <c r="K106">
        <v>1.1213120000000001</v>
      </c>
      <c r="L106">
        <v>367.15050000000002</v>
      </c>
      <c r="M106">
        <v>0.99987349999999997</v>
      </c>
      <c r="N106">
        <v>-1.2720199999999999E-2</v>
      </c>
      <c r="O106">
        <v>9.5639260000000004E-3</v>
      </c>
      <c r="P106">
        <v>0.98617580000000005</v>
      </c>
      <c r="Q106">
        <v>0.1647815</v>
      </c>
      <c r="R106">
        <v>-1.7460429999999999E-2</v>
      </c>
      <c r="S106">
        <v>3.180145</v>
      </c>
      <c r="T106">
        <v>-0.86128510000000003</v>
      </c>
      <c r="U106">
        <v>-0.35641479999999998</v>
      </c>
      <c r="V106">
        <v>2.6886730000000001E-2</v>
      </c>
      <c r="W106">
        <v>0.177311</v>
      </c>
      <c r="X106">
        <v>0.98378750000000004</v>
      </c>
      <c r="Y106">
        <v>0.116228</v>
      </c>
      <c r="Z106">
        <v>-1.8587909999999999E-2</v>
      </c>
      <c r="AA106">
        <v>0.99304859999999995</v>
      </c>
      <c r="AB106">
        <v>15</v>
      </c>
      <c r="AC106">
        <v>0.585999999999955</v>
      </c>
      <c r="AD106">
        <v>-0.20068569999999999</v>
      </c>
      <c r="AE106">
        <v>-8.5100000000011194E-2</v>
      </c>
      <c r="AF106">
        <v>8.1356324483966402E-2</v>
      </c>
      <c r="AG106">
        <v>-0.20068569999999999</v>
      </c>
      <c r="AH106">
        <v>0.52487176668949498</v>
      </c>
      <c r="AI106">
        <v>110.698564065428</v>
      </c>
      <c r="AJ106">
        <v>81.1891390245911</v>
      </c>
      <c r="AK106">
        <v>0.56778866947640105</v>
      </c>
      <c r="AL106">
        <v>79.786827478522497</v>
      </c>
      <c r="AM106">
        <v>88.434506655277104</v>
      </c>
      <c r="AN106">
        <v>0.99999996606367003</v>
      </c>
    </row>
    <row r="107" spans="1:40" x14ac:dyDescent="0.25">
      <c r="A107" t="str">
        <f>"20190303162458094"</f>
        <v>20190303162458094</v>
      </c>
      <c r="B107" t="str">
        <f>"1551601498082698"</f>
        <v>1551601498082698</v>
      </c>
      <c r="C107" t="s">
        <v>40</v>
      </c>
      <c r="D107">
        <v>4.5443509999999998</v>
      </c>
      <c r="E107">
        <v>0.53829340000000003</v>
      </c>
      <c r="F107" t="s">
        <v>42</v>
      </c>
      <c r="G107">
        <v>-460.85649999999998</v>
      </c>
      <c r="H107">
        <v>0.92753660000000004</v>
      </c>
      <c r="I107">
        <v>367.06810000000002</v>
      </c>
      <c r="J107">
        <v>-461.4203</v>
      </c>
      <c r="K107">
        <v>1.121235</v>
      </c>
      <c r="L107">
        <v>367.15210000000002</v>
      </c>
      <c r="M107">
        <v>0.99987689999999996</v>
      </c>
      <c r="N107">
        <v>-1.2377579999999999E-2</v>
      </c>
      <c r="O107">
        <v>9.6427800000000001E-3</v>
      </c>
      <c r="P107">
        <v>0.98623850000000002</v>
      </c>
      <c r="Q107">
        <v>0.1643685</v>
      </c>
      <c r="R107">
        <v>-1.7796639999999999E-2</v>
      </c>
      <c r="S107">
        <v>3.1774900000000001</v>
      </c>
      <c r="T107">
        <v>-0.84919599999999995</v>
      </c>
      <c r="U107">
        <v>-0.36062620000000001</v>
      </c>
      <c r="V107">
        <v>2.7300209999999998E-2</v>
      </c>
      <c r="W107">
        <v>0.176562</v>
      </c>
      <c r="X107">
        <v>0.98391090000000003</v>
      </c>
      <c r="Y107">
        <v>0.1177627</v>
      </c>
      <c r="Z107">
        <v>-1.8570280000000002E-2</v>
      </c>
      <c r="AA107">
        <v>0.99286810000000003</v>
      </c>
      <c r="AB107">
        <v>15</v>
      </c>
      <c r="AC107">
        <v>0.56380000000001396</v>
      </c>
      <c r="AD107">
        <v>-0.19369839999999899</v>
      </c>
      <c r="AE107">
        <v>-8.40000000000031E-2</v>
      </c>
      <c r="AF107">
        <v>8.0175312413428595E-2</v>
      </c>
      <c r="AG107">
        <v>-0.19369839999999899</v>
      </c>
      <c r="AH107">
        <v>0.50468772492871705</v>
      </c>
      <c r="AI107">
        <v>110.758980411368</v>
      </c>
      <c r="AJ107">
        <v>80.973352485859706</v>
      </c>
      <c r="AK107">
        <v>0.54649505997481396</v>
      </c>
      <c r="AL107">
        <v>79.830430833350206</v>
      </c>
      <c r="AM107">
        <v>88.410643089225999</v>
      </c>
      <c r="AN107">
        <v>1.00000005022442</v>
      </c>
    </row>
    <row r="108" spans="1:40" x14ac:dyDescent="0.25">
      <c r="A108" t="str">
        <f>"20190303162458118"</f>
        <v>20190303162458118</v>
      </c>
      <c r="B108" t="str">
        <f>"1551601498112954"</f>
        <v>1551601498112954</v>
      </c>
      <c r="C108" t="s">
        <v>40</v>
      </c>
      <c r="D108">
        <v>4.5231379999999897</v>
      </c>
      <c r="E108">
        <v>0.53798419999999902</v>
      </c>
      <c r="F108" t="s">
        <v>42</v>
      </c>
      <c r="G108">
        <v>-460.7165</v>
      </c>
      <c r="H108">
        <v>0.93521670000000001</v>
      </c>
      <c r="I108">
        <v>367.07159999999999</v>
      </c>
      <c r="J108">
        <v>-461.25619999999998</v>
      </c>
      <c r="K108">
        <v>1.1211580000000001</v>
      </c>
      <c r="L108">
        <v>367.15379999999999</v>
      </c>
      <c r="M108">
        <v>0.99988109999999997</v>
      </c>
      <c r="N108">
        <v>-1.19653E-2</v>
      </c>
      <c r="O108">
        <v>9.7356479999999995E-3</v>
      </c>
      <c r="P108">
        <v>0.98618439999999996</v>
      </c>
      <c r="Q108">
        <v>0.16465669999999999</v>
      </c>
      <c r="R108">
        <v>-1.813739E-2</v>
      </c>
      <c r="S108">
        <v>3.175262</v>
      </c>
      <c r="T108">
        <v>-0.83942320000000004</v>
      </c>
      <c r="U108">
        <v>-0.36041260000000003</v>
      </c>
      <c r="V108">
        <v>2.7728840000000001E-2</v>
      </c>
      <c r="W108">
        <v>0.17644370000000001</v>
      </c>
      <c r="X108">
        <v>0.98392009999999996</v>
      </c>
      <c r="Y108">
        <v>0.11795799999999999</v>
      </c>
      <c r="Z108">
        <v>-1.8410900000000001E-2</v>
      </c>
      <c r="AA108">
        <v>0.99284790000000001</v>
      </c>
      <c r="AB108">
        <v>15</v>
      </c>
      <c r="AC108">
        <v>0.53969999999998197</v>
      </c>
      <c r="AD108">
        <v>-0.1859413</v>
      </c>
      <c r="AE108">
        <v>-8.2200000000000203E-2</v>
      </c>
      <c r="AF108">
        <v>7.8360386742753099E-2</v>
      </c>
      <c r="AG108">
        <v>-0.1859413</v>
      </c>
      <c r="AH108">
        <v>0.48285868129743997</v>
      </c>
      <c r="AI108">
        <v>110.812372623005</v>
      </c>
      <c r="AJ108">
        <v>80.782154493984294</v>
      </c>
      <c r="AK108">
        <v>0.52332305831146697</v>
      </c>
      <c r="AL108">
        <v>79.837316679685202</v>
      </c>
      <c r="AM108">
        <v>88.3857174014408</v>
      </c>
      <c r="AN108">
        <v>1.00000001551072</v>
      </c>
    </row>
    <row r="109" spans="1:40" x14ac:dyDescent="0.25">
      <c r="A109" t="str">
        <f>"20190303162458137"</f>
        <v>20190303162458137</v>
      </c>
      <c r="B109" t="str">
        <f>"1551601498132474"</f>
        <v>1551601498132474</v>
      </c>
      <c r="C109" t="s">
        <v>40</v>
      </c>
      <c r="D109">
        <v>4.5255029999999996</v>
      </c>
      <c r="E109">
        <v>0.53777390000000003</v>
      </c>
      <c r="F109" t="s">
        <v>42</v>
      </c>
      <c r="G109">
        <v>-460.57549999999998</v>
      </c>
      <c r="H109">
        <v>0.94390289999999999</v>
      </c>
      <c r="I109">
        <v>367.07690000000002</v>
      </c>
      <c r="J109">
        <v>-461.1268</v>
      </c>
      <c r="K109">
        <v>1.121103</v>
      </c>
      <c r="L109">
        <v>367.1551</v>
      </c>
      <c r="M109">
        <v>0.9998842</v>
      </c>
      <c r="N109">
        <v>-1.162302E-2</v>
      </c>
      <c r="O109">
        <v>9.8247230000000005E-3</v>
      </c>
      <c r="P109">
        <v>0.98629849999999997</v>
      </c>
      <c r="Q109">
        <v>0.1639256</v>
      </c>
      <c r="R109">
        <v>-1.854482E-2</v>
      </c>
      <c r="S109">
        <v>3.1734010000000001</v>
      </c>
      <c r="T109">
        <v>-0.8263469</v>
      </c>
      <c r="U109">
        <v>-0.35839840000000001</v>
      </c>
      <c r="V109">
        <v>2.8220800000000001E-2</v>
      </c>
      <c r="W109">
        <v>0.1753777</v>
      </c>
      <c r="X109">
        <v>0.98409659999999999</v>
      </c>
      <c r="Y109">
        <v>0.11763170000000001</v>
      </c>
      <c r="Z109">
        <v>-1.811333E-2</v>
      </c>
      <c r="AA109">
        <v>0.99289210000000006</v>
      </c>
      <c r="AB109">
        <v>15</v>
      </c>
      <c r="AC109">
        <v>0.55130000000002599</v>
      </c>
      <c r="AD109">
        <v>-0.177200099999999</v>
      </c>
      <c r="AE109">
        <v>-7.8199999999981104E-2</v>
      </c>
      <c r="AF109">
        <v>7.59238083667962E-2</v>
      </c>
      <c r="AG109">
        <v>-0.177200099999999</v>
      </c>
      <c r="AH109">
        <v>0.49987991080026001</v>
      </c>
      <c r="AI109">
        <v>109.313827630723</v>
      </c>
      <c r="AJ109">
        <v>81.363688376562493</v>
      </c>
      <c r="AK109">
        <v>0.53576508409806201</v>
      </c>
      <c r="AL109">
        <v>79.899360676829701</v>
      </c>
      <c r="AM109">
        <v>88.3573871526159</v>
      </c>
      <c r="AN109">
        <v>0.999999934670742</v>
      </c>
    </row>
    <row r="110" spans="1:40" x14ac:dyDescent="0.25">
      <c r="A110" t="str">
        <f>"20190303162458160"</f>
        <v>20190303162458160</v>
      </c>
      <c r="B110" t="str">
        <f>"1551601498152971"</f>
        <v>1551601498152971</v>
      </c>
      <c r="C110" t="s">
        <v>40</v>
      </c>
      <c r="D110">
        <v>4.5595489999999996</v>
      </c>
      <c r="E110">
        <v>0.53742990000000002</v>
      </c>
      <c r="F110" t="s">
        <v>42</v>
      </c>
      <c r="G110">
        <v>-460.43849999999998</v>
      </c>
      <c r="H110">
        <v>0.94269729999999996</v>
      </c>
      <c r="I110">
        <v>367.07729999999998</v>
      </c>
      <c r="J110">
        <v>-460.9658</v>
      </c>
      <c r="K110">
        <v>1.1210629999999999</v>
      </c>
      <c r="L110">
        <v>367.15679999999998</v>
      </c>
      <c r="M110">
        <v>0.99988750000000004</v>
      </c>
      <c r="N110">
        <v>-1.1214089999999999E-2</v>
      </c>
      <c r="O110">
        <v>9.9621999999999992E-3</v>
      </c>
      <c r="P110">
        <v>0.98649330000000002</v>
      </c>
      <c r="Q110">
        <v>0.1626001</v>
      </c>
      <c r="R110">
        <v>-1.9807180000000001E-2</v>
      </c>
      <c r="S110">
        <v>3.1716000000000002</v>
      </c>
      <c r="T110">
        <v>-0.82213959999999997</v>
      </c>
      <c r="U110">
        <v>-0.35702509999999998</v>
      </c>
      <c r="V110">
        <v>2.961254E-2</v>
      </c>
      <c r="W110">
        <v>0.17365359999999999</v>
      </c>
      <c r="X110">
        <v>0.9843615</v>
      </c>
      <c r="Y110">
        <v>0.11745170000000001</v>
      </c>
      <c r="Z110">
        <v>-1.8025650000000001E-2</v>
      </c>
      <c r="AA110">
        <v>0.99291499999999999</v>
      </c>
      <c r="AB110">
        <v>15</v>
      </c>
      <c r="AC110">
        <v>0.52730000000002497</v>
      </c>
      <c r="AD110">
        <v>-0.17836569999999899</v>
      </c>
      <c r="AE110">
        <v>-7.9499999999995893E-2</v>
      </c>
      <c r="AF110">
        <v>7.6221881033317299E-2</v>
      </c>
      <c r="AG110">
        <v>-0.17836569999999899</v>
      </c>
      <c r="AH110">
        <v>0.47350667998854801</v>
      </c>
      <c r="AI110">
        <v>110.400336812907</v>
      </c>
      <c r="AJ110">
        <v>80.855363454421095</v>
      </c>
      <c r="AK110">
        <v>0.51169588045881798</v>
      </c>
      <c r="AL110">
        <v>79.999684722317994</v>
      </c>
      <c r="AM110">
        <v>88.276891143957599</v>
      </c>
      <c r="AN110">
        <v>1.0000000190002301</v>
      </c>
    </row>
    <row r="111" spans="1:40" x14ac:dyDescent="0.25">
      <c r="A111" t="str">
        <f>"20190303162458182"</f>
        <v>20190303162458182</v>
      </c>
      <c r="B111" t="str">
        <f>"1551601498172490"</f>
        <v>1551601498172490</v>
      </c>
      <c r="C111" t="s">
        <v>40</v>
      </c>
      <c r="D111">
        <v>4.594563</v>
      </c>
      <c r="E111">
        <v>0.53729380000000004</v>
      </c>
      <c r="F111" t="s">
        <v>42</v>
      </c>
      <c r="G111">
        <v>-460.17380000000003</v>
      </c>
      <c r="H111">
        <v>0.91642979999999996</v>
      </c>
      <c r="I111">
        <v>367.0675</v>
      </c>
      <c r="J111">
        <v>-460.81389999999999</v>
      </c>
      <c r="K111">
        <v>1.121035</v>
      </c>
      <c r="L111">
        <v>367.1585</v>
      </c>
      <c r="M111">
        <v>0.9998899</v>
      </c>
      <c r="N111">
        <v>-1.0861030000000001E-2</v>
      </c>
      <c r="O111">
        <v>1.0122620000000001E-2</v>
      </c>
      <c r="P111">
        <v>0.9866762</v>
      </c>
      <c r="Q111">
        <v>0.161304799999999</v>
      </c>
      <c r="R111">
        <v>-2.1240149999999999E-2</v>
      </c>
      <c r="S111">
        <v>3.1689150000000001</v>
      </c>
      <c r="T111">
        <v>-0.81885580000000002</v>
      </c>
      <c r="U111">
        <v>-0.35598750000000001</v>
      </c>
      <c r="V111">
        <v>3.119651E-2</v>
      </c>
      <c r="W111">
        <v>0.17201449999999999</v>
      </c>
      <c r="X111">
        <v>0.98460029999999998</v>
      </c>
      <c r="Y111">
        <v>0.1174106</v>
      </c>
      <c r="Z111">
        <v>-1.798833E-2</v>
      </c>
      <c r="AA111">
        <v>0.99292049999999998</v>
      </c>
      <c r="AB111">
        <v>15</v>
      </c>
      <c r="AC111">
        <v>0.64009999999996103</v>
      </c>
      <c r="AD111">
        <v>-0.20460519999999999</v>
      </c>
      <c r="AE111">
        <v>-9.1000000000008199E-2</v>
      </c>
      <c r="AF111">
        <v>8.8601803573813698E-2</v>
      </c>
      <c r="AG111">
        <v>-0.20460519999999999</v>
      </c>
      <c r="AH111">
        <v>0.58096298235011101</v>
      </c>
      <c r="AI111">
        <v>109.19593306260499</v>
      </c>
      <c r="AJ111">
        <v>81.328721581880302</v>
      </c>
      <c r="AK111">
        <v>0.62227932178781897</v>
      </c>
      <c r="AL111">
        <v>80.095032762734704</v>
      </c>
      <c r="AM111">
        <v>88.185222385985995</v>
      </c>
      <c r="AN111">
        <v>0.99999998060325901</v>
      </c>
    </row>
    <row r="112" spans="1:40" x14ac:dyDescent="0.25">
      <c r="A112" t="str">
        <f>"20190303162458204"</f>
        <v>20190303162458204</v>
      </c>
      <c r="B112" t="str">
        <f>"1551601498202747"</f>
        <v>1551601498202747</v>
      </c>
      <c r="C112" t="s">
        <v>40</v>
      </c>
      <c r="D112">
        <v>4.5697159999999997</v>
      </c>
      <c r="E112">
        <v>0.53058000000000005</v>
      </c>
      <c r="F112" t="s">
        <v>42</v>
      </c>
      <c r="G112">
        <v>-460.03370000000001</v>
      </c>
      <c r="H112">
        <v>0.91845569999999999</v>
      </c>
      <c r="I112">
        <v>367.0702</v>
      </c>
      <c r="J112">
        <v>-460.6583</v>
      </c>
      <c r="K112">
        <v>1.1210310000000001</v>
      </c>
      <c r="L112">
        <v>367.16030000000001</v>
      </c>
      <c r="M112">
        <v>0.99989130000000004</v>
      </c>
      <c r="N112">
        <v>-1.053541E-2</v>
      </c>
      <c r="O112">
        <v>1.0316489999999999E-2</v>
      </c>
      <c r="P112">
        <v>0.98663809999999996</v>
      </c>
      <c r="Q112">
        <v>0.16126889999999999</v>
      </c>
      <c r="R112">
        <v>-2.31886E-2</v>
      </c>
      <c r="S112">
        <v>3.1672669999999998</v>
      </c>
      <c r="T112">
        <v>-0.82237709999999997</v>
      </c>
      <c r="U112">
        <v>-0.35769649999999997</v>
      </c>
      <c r="V112">
        <v>3.3326460000000002E-2</v>
      </c>
      <c r="W112">
        <v>0.17165939999999999</v>
      </c>
      <c r="X112">
        <v>0.98459249999999998</v>
      </c>
      <c r="Y112">
        <v>0.1181236</v>
      </c>
      <c r="Z112">
        <v>-1.8195090000000001E-2</v>
      </c>
      <c r="AA112">
        <v>0.99283220000000005</v>
      </c>
      <c r="AB112">
        <v>16</v>
      </c>
      <c r="AC112">
        <v>0.62459999999998606</v>
      </c>
      <c r="AD112">
        <v>-0.20257529999999899</v>
      </c>
      <c r="AE112">
        <v>-9.0100000000006703E-2</v>
      </c>
      <c r="AF112">
        <v>8.7520716884381594E-2</v>
      </c>
      <c r="AG112">
        <v>-0.20257529999999899</v>
      </c>
      <c r="AH112">
        <v>0.56537810847157999</v>
      </c>
      <c r="AI112">
        <v>109.498199885006</v>
      </c>
      <c r="AJ112">
        <v>81.200439283523707</v>
      </c>
      <c r="AK112">
        <v>0.60691764976226203</v>
      </c>
      <c r="AL112">
        <v>80.115685860338402</v>
      </c>
      <c r="AM112">
        <v>88.061394140739793</v>
      </c>
      <c r="AN112">
        <v>0.99999999680036999</v>
      </c>
    </row>
    <row r="113" spans="1:40" x14ac:dyDescent="0.25">
      <c r="A113" t="str">
        <f>"20190303162458227"</f>
        <v>20190303162458227</v>
      </c>
      <c r="B113" t="str">
        <f>"1551601498222266"</f>
        <v>1551601498222266</v>
      </c>
      <c r="C113" t="s">
        <v>40</v>
      </c>
      <c r="D113">
        <v>4.6183389999999997</v>
      </c>
      <c r="E113">
        <v>0.53057730000000003</v>
      </c>
      <c r="F113" t="s">
        <v>42</v>
      </c>
      <c r="G113">
        <v>-459.91239999999999</v>
      </c>
      <c r="H113">
        <v>0.87656919999999905</v>
      </c>
      <c r="I113">
        <v>367.08780000000002</v>
      </c>
      <c r="J113">
        <v>-460.50510000000003</v>
      </c>
      <c r="K113">
        <v>1.1210290000000001</v>
      </c>
      <c r="L113">
        <v>367.16210000000001</v>
      </c>
      <c r="M113">
        <v>0.99989189999999994</v>
      </c>
      <c r="N113">
        <v>-1.024943E-2</v>
      </c>
      <c r="O113">
        <v>1.0538189999999999E-2</v>
      </c>
      <c r="P113">
        <v>0.98639569999999999</v>
      </c>
      <c r="Q113">
        <v>0.1626127</v>
      </c>
      <c r="R113">
        <v>-2.4104489999999999E-2</v>
      </c>
      <c r="S113">
        <v>3.2050779999999999</v>
      </c>
      <c r="T113">
        <v>-1.050519</v>
      </c>
      <c r="U113">
        <v>-0.3093262</v>
      </c>
      <c r="V113">
        <v>3.4449830000000001E-2</v>
      </c>
      <c r="W113">
        <v>0.17272089999999901</v>
      </c>
      <c r="X113">
        <v>0.98436809999999997</v>
      </c>
      <c r="Y113">
        <v>0.1006413</v>
      </c>
      <c r="Z113">
        <v>-1.982273E-2</v>
      </c>
      <c r="AA113">
        <v>0.99472530000000003</v>
      </c>
      <c r="AB113">
        <v>16</v>
      </c>
      <c r="AC113">
        <v>0.59270000000003598</v>
      </c>
      <c r="AD113">
        <v>-0.2444598</v>
      </c>
      <c r="AE113">
        <v>-7.4299999999993802E-2</v>
      </c>
      <c r="AF113">
        <v>6.8987830597806596E-2</v>
      </c>
      <c r="AG113">
        <v>-0.2444598</v>
      </c>
      <c r="AH113">
        <v>0.50697402603025599</v>
      </c>
      <c r="AI113">
        <v>115.538031157246</v>
      </c>
      <c r="AJ113">
        <v>82.250921661879701</v>
      </c>
      <c r="AK113">
        <v>0.56704724464188905</v>
      </c>
      <c r="AL113">
        <v>80.053943507484803</v>
      </c>
      <c r="AM113">
        <v>87.995643481394197</v>
      </c>
      <c r="AN113">
        <v>0.99999992819072103</v>
      </c>
    </row>
    <row r="114" spans="1:40" x14ac:dyDescent="0.25">
      <c r="A114" t="str">
        <f>"20190303162458248"</f>
        <v>20190303162458248</v>
      </c>
      <c r="B114" t="str">
        <f>"1551601498242763"</f>
        <v>1551601498242763</v>
      </c>
      <c r="C114" t="s">
        <v>40</v>
      </c>
      <c r="D114">
        <v>4.6529660000000002</v>
      </c>
      <c r="E114">
        <v>0.53085319999999903</v>
      </c>
      <c r="F114" t="s">
        <v>42</v>
      </c>
      <c r="G114">
        <v>-459.77109999999999</v>
      </c>
      <c r="H114">
        <v>0.87945180000000001</v>
      </c>
      <c r="I114">
        <v>367.09070000000003</v>
      </c>
      <c r="J114">
        <v>-460.3537</v>
      </c>
      <c r="K114">
        <v>1.121035</v>
      </c>
      <c r="L114">
        <v>367.16399999999999</v>
      </c>
      <c r="M114">
        <v>0.99989189999999994</v>
      </c>
      <c r="N114">
        <v>-9.9995099999999996E-3</v>
      </c>
      <c r="O114">
        <v>1.078932E-2</v>
      </c>
      <c r="P114">
        <v>0.98610799999999998</v>
      </c>
      <c r="Q114">
        <v>0.16437950000000001</v>
      </c>
      <c r="R114">
        <v>-2.3891059999999999E-2</v>
      </c>
      <c r="S114">
        <v>3.2078250000000001</v>
      </c>
      <c r="T114">
        <v>-1.0557350000000001</v>
      </c>
      <c r="U114">
        <v>-0.31210329999999997</v>
      </c>
      <c r="V114">
        <v>3.4473360000000002E-2</v>
      </c>
      <c r="W114">
        <v>0.17424010000000001</v>
      </c>
      <c r="X114">
        <v>0.98409959999999996</v>
      </c>
      <c r="Y114">
        <v>0.10155790000000001</v>
      </c>
      <c r="Z114">
        <v>-2.0116729999999999E-2</v>
      </c>
      <c r="AA114">
        <v>0.99462620000000002</v>
      </c>
      <c r="AB114">
        <v>16</v>
      </c>
      <c r="AC114">
        <v>0.582600000000013</v>
      </c>
      <c r="AD114">
        <v>-0.2415832</v>
      </c>
      <c r="AE114">
        <v>-7.3299999999960605E-2</v>
      </c>
      <c r="AF114">
        <v>6.8061375918199996E-2</v>
      </c>
      <c r="AG114">
        <v>-0.2415832</v>
      </c>
      <c r="AH114">
        <v>0.49755556975811099</v>
      </c>
      <c r="AI114">
        <v>115.690356377049</v>
      </c>
      <c r="AJ114">
        <v>82.210767750943006</v>
      </c>
      <c r="AK114">
        <v>0.55727581897246903</v>
      </c>
      <c r="AL114">
        <v>79.965560575076296</v>
      </c>
      <c r="AM114">
        <v>87.993728787946395</v>
      </c>
      <c r="AN114">
        <v>1.00000002385892</v>
      </c>
    </row>
    <row r="115" spans="1:40" x14ac:dyDescent="0.25">
      <c r="A115" t="str">
        <f>"20190303162458271"</f>
        <v>20190303162458271</v>
      </c>
      <c r="B115" t="str">
        <f>"1551601498262283"</f>
        <v>1551601498262283</v>
      </c>
      <c r="C115" t="s">
        <v>40</v>
      </c>
      <c r="D115">
        <v>4.6616210000000002</v>
      </c>
      <c r="E115">
        <v>0.53064739999999999</v>
      </c>
      <c r="F115" t="s">
        <v>42</v>
      </c>
      <c r="G115">
        <v>-459.62790000000001</v>
      </c>
      <c r="H115">
        <v>0.88552299999999995</v>
      </c>
      <c r="I115">
        <v>367.0924</v>
      </c>
      <c r="J115">
        <v>-460.19060000000002</v>
      </c>
      <c r="K115">
        <v>1.1210439999999999</v>
      </c>
      <c r="L115">
        <v>367.16609999999997</v>
      </c>
      <c r="M115">
        <v>0.99989070000000002</v>
      </c>
      <c r="N115">
        <v>-9.764099E-3</v>
      </c>
      <c r="O115">
        <v>1.109342E-2</v>
      </c>
      <c r="P115">
        <v>0.98596689999999998</v>
      </c>
      <c r="Q115">
        <v>0.165466</v>
      </c>
      <c r="R115">
        <v>-2.214325E-2</v>
      </c>
      <c r="S115">
        <v>3.2081909999999998</v>
      </c>
      <c r="T115">
        <v>-1.0410280000000001</v>
      </c>
      <c r="U115">
        <v>-0.31384279999999998</v>
      </c>
      <c r="V115">
        <v>3.3017070000000003E-2</v>
      </c>
      <c r="W115">
        <v>0.1750941</v>
      </c>
      <c r="X115">
        <v>0.98399789999999998</v>
      </c>
      <c r="Y115">
        <v>0.1024857</v>
      </c>
      <c r="Z115">
        <v>-2.0087130000000002E-2</v>
      </c>
      <c r="AA115">
        <v>0.99453159999999896</v>
      </c>
      <c r="AB115">
        <v>16</v>
      </c>
      <c r="AC115">
        <v>0.56270000000000597</v>
      </c>
      <c r="AD115">
        <v>-0.23552100000000001</v>
      </c>
      <c r="AE115">
        <v>-7.3699999999973898E-2</v>
      </c>
      <c r="AF115">
        <v>6.8192904763225606E-2</v>
      </c>
      <c r="AG115">
        <v>-0.23552100000000001</v>
      </c>
      <c r="AH115">
        <v>0.47929664864064397</v>
      </c>
      <c r="AI115">
        <v>115.942435813958</v>
      </c>
      <c r="AJ115">
        <v>81.902473416448203</v>
      </c>
      <c r="AK115">
        <v>0.53837318943201395</v>
      </c>
      <c r="AL115">
        <v>79.915865492987095</v>
      </c>
      <c r="AM115">
        <v>88.078218164204301</v>
      </c>
      <c r="AN115">
        <v>0.99999996898530097</v>
      </c>
    </row>
    <row r="116" spans="1:40" x14ac:dyDescent="0.25">
      <c r="A116" t="str">
        <f>"20190303162458294"</f>
        <v>20190303162458294</v>
      </c>
      <c r="B116" t="str">
        <f>"1551601498282779"</f>
        <v>1551601498282779</v>
      </c>
      <c r="C116" t="s">
        <v>40</v>
      </c>
      <c r="D116">
        <v>4.7177439999999997</v>
      </c>
      <c r="E116">
        <v>0.53040750000000003</v>
      </c>
      <c r="F116" t="s">
        <v>42</v>
      </c>
      <c r="G116">
        <v>-459.4837</v>
      </c>
      <c r="H116">
        <v>0.89280469999999901</v>
      </c>
      <c r="I116">
        <v>367.09809999999999</v>
      </c>
      <c r="J116">
        <v>-460.02339999999998</v>
      </c>
      <c r="K116">
        <v>1.121057</v>
      </c>
      <c r="L116">
        <v>367.16840000000002</v>
      </c>
      <c r="M116">
        <v>0.99988900000000003</v>
      </c>
      <c r="N116">
        <v>-9.5544480000000001E-3</v>
      </c>
      <c r="O116">
        <v>1.143212E-2</v>
      </c>
      <c r="P116">
        <v>0.98565610000000003</v>
      </c>
      <c r="Q116">
        <v>0.16757820000000001</v>
      </c>
      <c r="R116">
        <v>-1.999302E-2</v>
      </c>
      <c r="S116">
        <v>3.2097470000000001</v>
      </c>
      <c r="T116">
        <v>-1.036367</v>
      </c>
      <c r="U116">
        <v>-0.30752560000000001</v>
      </c>
      <c r="V116">
        <v>3.1191859999999998E-2</v>
      </c>
      <c r="W116">
        <v>0.1769975</v>
      </c>
      <c r="X116">
        <v>0.98371690000000001</v>
      </c>
      <c r="Y116">
        <v>0.1009577</v>
      </c>
      <c r="Z116">
        <v>-1.9842749999999999E-2</v>
      </c>
      <c r="AA116">
        <v>0.99469280000000004</v>
      </c>
      <c r="AB116">
        <v>16</v>
      </c>
      <c r="AC116">
        <v>0.53969999999998197</v>
      </c>
      <c r="AD116">
        <v>-0.22825229999999999</v>
      </c>
      <c r="AE116">
        <v>-7.0300000000031504E-2</v>
      </c>
      <c r="AF116">
        <v>6.5028357938320999E-2</v>
      </c>
      <c r="AG116">
        <v>-0.22825229999999999</v>
      </c>
      <c r="AH116">
        <v>0.458261568086129</v>
      </c>
      <c r="AI116">
        <v>116.24987571132201</v>
      </c>
      <c r="AJ116">
        <v>81.923520635859603</v>
      </c>
      <c r="AK116">
        <v>0.51607311940867595</v>
      </c>
      <c r="AL116">
        <v>79.805078658834404</v>
      </c>
      <c r="AM116">
        <v>88.183864329272197</v>
      </c>
      <c r="AN116">
        <v>0.99999999324105904</v>
      </c>
    </row>
    <row r="117" spans="1:40" x14ac:dyDescent="0.25">
      <c r="A117" t="str">
        <f>"20190303162458317"</f>
        <v>20190303162458317</v>
      </c>
      <c r="B117" t="str">
        <f>"1551601498313035"</f>
        <v>1551601498313035</v>
      </c>
      <c r="C117" t="s">
        <v>40</v>
      </c>
      <c r="D117">
        <v>4.728656</v>
      </c>
      <c r="E117">
        <v>0.53019189999999905</v>
      </c>
      <c r="F117" t="s">
        <v>42</v>
      </c>
      <c r="G117">
        <v>-459.33850000000001</v>
      </c>
      <c r="H117">
        <v>0.90136910000000003</v>
      </c>
      <c r="I117">
        <v>367.10399999999998</v>
      </c>
      <c r="J117">
        <v>-459.85919999999999</v>
      </c>
      <c r="K117">
        <v>1.1210639999999901</v>
      </c>
      <c r="L117">
        <v>367.17059999999998</v>
      </c>
      <c r="M117">
        <v>0.99988679999999996</v>
      </c>
      <c r="N117">
        <v>-9.3757449999999996E-3</v>
      </c>
      <c r="O117">
        <v>1.1780479999999999E-2</v>
      </c>
      <c r="P117">
        <v>0.98538199999999998</v>
      </c>
      <c r="Q117">
        <v>0.16949739999999999</v>
      </c>
      <c r="R117">
        <v>-1.712431E-2</v>
      </c>
      <c r="S117">
        <v>3.2127690000000002</v>
      </c>
      <c r="T117">
        <v>-1.030519</v>
      </c>
      <c r="U117">
        <v>-0.30072019999999999</v>
      </c>
      <c r="V117">
        <v>2.866051E-2</v>
      </c>
      <c r="W117">
        <v>0.17873739999999999</v>
      </c>
      <c r="X117">
        <v>0.98347929999999995</v>
      </c>
      <c r="Y117">
        <v>9.9271349999999994E-2</v>
      </c>
      <c r="Z117">
        <v>-1.9549420000000001E-2</v>
      </c>
      <c r="AA117">
        <v>0.99486830000000004</v>
      </c>
      <c r="AB117">
        <v>16</v>
      </c>
      <c r="AC117">
        <v>0.52069999999997596</v>
      </c>
      <c r="AD117">
        <v>-0.219694899999999</v>
      </c>
      <c r="AE117">
        <v>-6.6599999999937098E-2</v>
      </c>
      <c r="AF117">
        <v>6.1889598570237701E-2</v>
      </c>
      <c r="AG117">
        <v>-0.219694899999999</v>
      </c>
      <c r="AH117">
        <v>0.44239284893167402</v>
      </c>
      <c r="AI117">
        <v>116.18871997521801</v>
      </c>
      <c r="AJ117">
        <v>82.0361565978111</v>
      </c>
      <c r="AK117">
        <v>0.497802776491934</v>
      </c>
      <c r="AL117">
        <v>79.703774521248107</v>
      </c>
      <c r="AM117">
        <v>88.330761371500898</v>
      </c>
      <c r="AN117">
        <v>1.00000000826035</v>
      </c>
    </row>
    <row r="118" spans="1:40" x14ac:dyDescent="0.25">
      <c r="A118" t="str">
        <f>"20190303162458340"</f>
        <v>20190303162458340</v>
      </c>
      <c r="B118" t="str">
        <f>"1551601498332555"</f>
        <v>1551601498332555</v>
      </c>
      <c r="C118" t="s">
        <v>40</v>
      </c>
      <c r="D118">
        <v>4.7156409999999997</v>
      </c>
      <c r="E118">
        <v>0.53008789999999995</v>
      </c>
      <c r="F118" t="s">
        <v>42</v>
      </c>
      <c r="G118">
        <v>-459.19290000000001</v>
      </c>
      <c r="H118">
        <v>0.90894660000000005</v>
      </c>
      <c r="I118">
        <v>367.10969999999998</v>
      </c>
      <c r="J118">
        <v>-459.70209999999997</v>
      </c>
      <c r="K118">
        <v>1.1210639999999901</v>
      </c>
      <c r="L118">
        <v>367.17290000000003</v>
      </c>
      <c r="M118">
        <v>0.99988410000000005</v>
      </c>
      <c r="N118">
        <v>-9.228577E-3</v>
      </c>
      <c r="O118">
        <v>1.21201E-2</v>
      </c>
      <c r="P118">
        <v>0.98514420000000003</v>
      </c>
      <c r="Q118">
        <v>0.17102139999999999</v>
      </c>
      <c r="R118">
        <v>-1.557672E-2</v>
      </c>
      <c r="S118">
        <v>3.2155149999999999</v>
      </c>
      <c r="T118">
        <v>-1.0238449999999999</v>
      </c>
      <c r="U118">
        <v>-0.29345700000000002</v>
      </c>
      <c r="V118">
        <v>2.7444630000000001E-2</v>
      </c>
      <c r="W118">
        <v>0.1801142</v>
      </c>
      <c r="X118">
        <v>0.98326279999999999</v>
      </c>
      <c r="Y118">
        <v>9.7458080000000002E-2</v>
      </c>
      <c r="Z118">
        <v>-1.9223879999999999E-2</v>
      </c>
      <c r="AA118">
        <v>0.99505390000000005</v>
      </c>
      <c r="AB118">
        <v>16</v>
      </c>
      <c r="AC118">
        <v>0.50919999999996401</v>
      </c>
      <c r="AD118">
        <v>-0.21211739999999901</v>
      </c>
      <c r="AE118">
        <v>-6.3200000000051604E-2</v>
      </c>
      <c r="AF118">
        <v>5.9242721381995198E-2</v>
      </c>
      <c r="AG118">
        <v>-0.21211739999999901</v>
      </c>
      <c r="AH118">
        <v>0.43419379230732802</v>
      </c>
      <c r="AI118">
        <v>115.829151238322</v>
      </c>
      <c r="AJ118">
        <v>82.230367536276106</v>
      </c>
      <c r="AK118">
        <v>0.48685494831389298</v>
      </c>
      <c r="AL118">
        <v>79.6235886484546</v>
      </c>
      <c r="AM118">
        <v>88.401187039278298</v>
      </c>
      <c r="AN118">
        <v>1.00000003331065</v>
      </c>
    </row>
    <row r="119" spans="1:40" x14ac:dyDescent="0.25">
      <c r="A119" t="str">
        <f>"20190303162458361"</f>
        <v>20190303162458361</v>
      </c>
      <c r="B119" t="str">
        <f>"1551601498353050"</f>
        <v>1551601498353050</v>
      </c>
      <c r="C119" t="s">
        <v>40</v>
      </c>
      <c r="D119">
        <v>4.7748939999999997</v>
      </c>
      <c r="E119">
        <v>0.53001830000000005</v>
      </c>
      <c r="F119" t="s">
        <v>42</v>
      </c>
      <c r="G119">
        <v>-458.92070000000001</v>
      </c>
      <c r="H119">
        <v>0.87363619999999897</v>
      </c>
      <c r="I119">
        <v>367.10250000000002</v>
      </c>
      <c r="J119">
        <v>-459.5462</v>
      </c>
      <c r="K119">
        <v>1.1210639999999901</v>
      </c>
      <c r="L119">
        <v>367.17529999999999</v>
      </c>
      <c r="M119">
        <v>0.99988100000000002</v>
      </c>
      <c r="N119">
        <v>-9.1017730000000005E-3</v>
      </c>
      <c r="O119">
        <v>1.245839E-2</v>
      </c>
      <c r="P119">
        <v>0.98498790000000003</v>
      </c>
      <c r="Q119">
        <v>0.17204620000000001</v>
      </c>
      <c r="R119">
        <v>-1.4109160000000001E-2</v>
      </c>
      <c r="S119">
        <v>3.2175289999999999</v>
      </c>
      <c r="T119">
        <v>-1.0187930000000001</v>
      </c>
      <c r="U119">
        <v>-0.28851320000000003</v>
      </c>
      <c r="V119">
        <v>2.6309929999999999E-2</v>
      </c>
      <c r="W119">
        <v>0.1810119</v>
      </c>
      <c r="X119">
        <v>0.98312889999999997</v>
      </c>
      <c r="Y119">
        <v>9.6322459999999999E-2</v>
      </c>
      <c r="Z119">
        <v>-1.9041019999999999E-2</v>
      </c>
      <c r="AA119">
        <v>0.99516800000000005</v>
      </c>
      <c r="AB119">
        <v>16</v>
      </c>
      <c r="AC119">
        <v>0.62549999999998795</v>
      </c>
      <c r="AD119">
        <v>-0.2474278</v>
      </c>
      <c r="AE119">
        <v>-7.2799999999972401E-2</v>
      </c>
      <c r="AF119">
        <v>6.9809940493395298E-2</v>
      </c>
      <c r="AG119">
        <v>-0.2474278</v>
      </c>
      <c r="AH119">
        <v>0.54102022250503001</v>
      </c>
      <c r="AI119">
        <v>114.397866367833</v>
      </c>
      <c r="AJ119">
        <v>82.647529020999698</v>
      </c>
      <c r="AK119">
        <v>0.59899651515173502</v>
      </c>
      <c r="AL119">
        <v>79.571294100924106</v>
      </c>
      <c r="AM119">
        <v>88.467049195779595</v>
      </c>
      <c r="AN119">
        <v>0.99999997718671196</v>
      </c>
    </row>
    <row r="120" spans="1:40" x14ac:dyDescent="0.25">
      <c r="A120" t="str">
        <f>"20190303162458383"</f>
        <v>20190303162458383</v>
      </c>
      <c r="B120" t="str">
        <f>"1551601498373546"</f>
        <v>1551601498373546</v>
      </c>
      <c r="C120" t="s">
        <v>40</v>
      </c>
      <c r="D120">
        <v>4.8053109999999997</v>
      </c>
      <c r="E120">
        <v>0.52996899999999902</v>
      </c>
      <c r="F120" t="s">
        <v>42</v>
      </c>
      <c r="G120">
        <v>-458.77519999999998</v>
      </c>
      <c r="H120">
        <v>0.87762569999999995</v>
      </c>
      <c r="I120">
        <v>367.10700000000003</v>
      </c>
      <c r="J120">
        <v>-459.3886</v>
      </c>
      <c r="K120">
        <v>1.1210500000000001</v>
      </c>
      <c r="L120">
        <v>367.17759999999998</v>
      </c>
      <c r="M120">
        <v>0.99987769999999998</v>
      </c>
      <c r="N120">
        <v>-8.9913010000000002E-3</v>
      </c>
      <c r="O120">
        <v>1.279783E-2</v>
      </c>
      <c r="P120">
        <v>0.98487590000000003</v>
      </c>
      <c r="Q120">
        <v>0.172743799999999</v>
      </c>
      <c r="R120">
        <v>-1.3388860000000001E-2</v>
      </c>
      <c r="S120">
        <v>3.2192690000000002</v>
      </c>
      <c r="T120">
        <v>-1.016629</v>
      </c>
      <c r="U120">
        <v>-0.28250120000000001</v>
      </c>
      <c r="V120">
        <v>2.5925380000000001E-2</v>
      </c>
      <c r="W120">
        <v>0.18159990000000001</v>
      </c>
      <c r="X120">
        <v>0.98303070000000004</v>
      </c>
      <c r="Y120">
        <v>9.4853859999999998E-2</v>
      </c>
      <c r="Z120">
        <v>-1.885949E-2</v>
      </c>
      <c r="AA120">
        <v>0.99531259999999999</v>
      </c>
      <c r="AB120">
        <v>16</v>
      </c>
      <c r="AC120">
        <v>0.61340000000001205</v>
      </c>
      <c r="AD120">
        <v>-0.24342430000000001</v>
      </c>
      <c r="AE120">
        <v>-7.0600000000013097E-2</v>
      </c>
      <c r="AF120">
        <v>6.7892442362325695E-2</v>
      </c>
      <c r="AG120">
        <v>-0.24342430000000001</v>
      </c>
      <c r="AH120">
        <v>0.53006073803411002</v>
      </c>
      <c r="AI120">
        <v>114.490080696493</v>
      </c>
      <c r="AJ120">
        <v>82.701053292968595</v>
      </c>
      <c r="AK120">
        <v>0.58722155917990404</v>
      </c>
      <c r="AL120">
        <v>79.537036694002296</v>
      </c>
      <c r="AM120">
        <v>88.489293756336295</v>
      </c>
      <c r="AN120">
        <v>1.00000000307532</v>
      </c>
    </row>
    <row r="121" spans="1:40" x14ac:dyDescent="0.25">
      <c r="A121" t="str">
        <f>"20190303162458408"</f>
        <v>20190303162458408</v>
      </c>
      <c r="B121" t="str">
        <f>"1551601498402827"</f>
        <v>1551601498402827</v>
      </c>
      <c r="C121" t="s">
        <v>40</v>
      </c>
      <c r="D121">
        <v>4.8648629999999997</v>
      </c>
      <c r="E121">
        <v>0.52986319999999998</v>
      </c>
      <c r="F121" t="s">
        <v>42</v>
      </c>
      <c r="G121">
        <v>-458.62920000000003</v>
      </c>
      <c r="H121">
        <v>0.88159330000000002</v>
      </c>
      <c r="I121">
        <v>367.1112</v>
      </c>
      <c r="J121">
        <v>-459.21249999999998</v>
      </c>
      <c r="K121">
        <v>1.12104</v>
      </c>
      <c r="L121">
        <v>367.18029999999999</v>
      </c>
      <c r="M121">
        <v>0.99987380000000003</v>
      </c>
      <c r="N121">
        <v>-8.8860669999999992E-3</v>
      </c>
      <c r="O121">
        <v>1.317073E-2</v>
      </c>
      <c r="P121">
        <v>0.98480299999999998</v>
      </c>
      <c r="Q121">
        <v>0.17316619999999999</v>
      </c>
      <c r="R121">
        <v>-1.3282830000000001E-2</v>
      </c>
      <c r="S121">
        <v>3.2203369999999998</v>
      </c>
      <c r="T121">
        <v>-1.015449</v>
      </c>
      <c r="U121">
        <v>-0.28070070000000003</v>
      </c>
      <c r="V121">
        <v>2.618879E-2</v>
      </c>
      <c r="W121">
        <v>0.18191740000000001</v>
      </c>
      <c r="X121">
        <v>0.98296499999999998</v>
      </c>
      <c r="Y121">
        <v>9.4653089999999995E-2</v>
      </c>
      <c r="Z121">
        <v>-1.8909309999999999E-2</v>
      </c>
      <c r="AA121">
        <v>0.99533070000000001</v>
      </c>
      <c r="AB121">
        <v>16</v>
      </c>
      <c r="AC121">
        <v>0.58329999999995097</v>
      </c>
      <c r="AD121">
        <v>-0.23944669999999901</v>
      </c>
      <c r="AE121">
        <v>-6.9099999999991696E-2</v>
      </c>
      <c r="AF121">
        <v>6.58360887524745E-2</v>
      </c>
      <c r="AG121">
        <v>-0.23944669999999901</v>
      </c>
      <c r="AH121">
        <v>0.49935581853037703</v>
      </c>
      <c r="AI121">
        <v>115.42628508198</v>
      </c>
      <c r="AJ121">
        <v>82.489325422347093</v>
      </c>
      <c r="AK121">
        <v>0.55769646423772201</v>
      </c>
      <c r="AL121">
        <v>79.518537024642498</v>
      </c>
      <c r="AM121">
        <v>88.473849777601501</v>
      </c>
      <c r="AN121">
        <v>0.99999999218471103</v>
      </c>
    </row>
    <row r="122" spans="1:40" x14ac:dyDescent="0.25">
      <c r="A122" t="str">
        <f>"20190303162458428"</f>
        <v>20190303162458428</v>
      </c>
      <c r="B122" t="str">
        <f>"1551601498422347"</f>
        <v>1551601498422347</v>
      </c>
      <c r="C122" t="s">
        <v>40</v>
      </c>
      <c r="D122">
        <v>4.8884660000000002</v>
      </c>
      <c r="E122">
        <v>0.52980859999999996</v>
      </c>
      <c r="F122" t="s">
        <v>42</v>
      </c>
      <c r="G122">
        <v>-458.48050000000001</v>
      </c>
      <c r="H122">
        <v>0.89071239999999996</v>
      </c>
      <c r="I122">
        <v>367.11590000000001</v>
      </c>
      <c r="J122">
        <v>-459.06610000000001</v>
      </c>
      <c r="K122">
        <v>1.121027</v>
      </c>
      <c r="L122">
        <v>367.18259999999998</v>
      </c>
      <c r="M122">
        <v>0.9998705</v>
      </c>
      <c r="N122">
        <v>-8.8111509999999997E-3</v>
      </c>
      <c r="O122">
        <v>1.347427E-2</v>
      </c>
      <c r="P122">
        <v>0.98485820000000002</v>
      </c>
      <c r="Q122">
        <v>0.17282979999999901</v>
      </c>
      <c r="R122">
        <v>-1.3588940000000001E-2</v>
      </c>
      <c r="S122">
        <v>3.2207340000000002</v>
      </c>
      <c r="T122">
        <v>-1.0136430000000001</v>
      </c>
      <c r="U122">
        <v>-0.28067019999999998</v>
      </c>
      <c r="V122">
        <v>2.6796420000000001E-2</v>
      </c>
      <c r="W122">
        <v>0.18150759999999999</v>
      </c>
      <c r="X122">
        <v>0.98302440000000002</v>
      </c>
      <c r="Y122">
        <v>9.4928109999999996E-2</v>
      </c>
      <c r="Z122">
        <v>-1.9006829999999999E-2</v>
      </c>
      <c r="AA122">
        <v>0.99530269999999998</v>
      </c>
      <c r="AB122">
        <v>16</v>
      </c>
      <c r="AC122">
        <v>0.58559999999999901</v>
      </c>
      <c r="AD122">
        <v>-0.23031460000000001</v>
      </c>
      <c r="AE122">
        <v>-6.6699999999968895E-2</v>
      </c>
      <c r="AF122">
        <v>6.4704343182270904E-2</v>
      </c>
      <c r="AG122">
        <v>-0.23031460000000001</v>
      </c>
      <c r="AH122">
        <v>0.50719822270450199</v>
      </c>
      <c r="AI122">
        <v>114.24876850145201</v>
      </c>
      <c r="AJ122">
        <v>82.729926556404294</v>
      </c>
      <c r="AK122">
        <v>0.56078650493250504</v>
      </c>
      <c r="AL122">
        <v>79.5424145829476</v>
      </c>
      <c r="AM122">
        <v>88.438551818407802</v>
      </c>
      <c r="AN122">
        <v>1.00000001398896</v>
      </c>
    </row>
    <row r="123" spans="1:40" x14ac:dyDescent="0.25">
      <c r="A123" t="str">
        <f>"20190303162458474"</f>
        <v>20190303162458474</v>
      </c>
      <c r="B123" t="str">
        <f>"1551601498463338"</f>
        <v>1551601498463338</v>
      </c>
      <c r="C123" t="s">
        <v>40</v>
      </c>
      <c r="D123">
        <v>4.9694190000000003</v>
      </c>
      <c r="E123">
        <v>0.52974129999999997</v>
      </c>
      <c r="F123" t="s">
        <v>42</v>
      </c>
      <c r="G123">
        <v>-458.33499999999998</v>
      </c>
      <c r="H123">
        <v>0.8906385</v>
      </c>
      <c r="I123">
        <v>367.11810000000003</v>
      </c>
      <c r="J123">
        <v>-458.7303</v>
      </c>
      <c r="K123">
        <v>1.1210100000000001</v>
      </c>
      <c r="L123">
        <v>367.18799999999999</v>
      </c>
      <c r="M123">
        <v>0.99986229999999998</v>
      </c>
      <c r="N123">
        <v>-8.6747690000000006E-3</v>
      </c>
      <c r="O123">
        <v>1.4144230000000001E-2</v>
      </c>
      <c r="P123">
        <v>0.98496130000000004</v>
      </c>
      <c r="Q123">
        <v>0.17230039999999999</v>
      </c>
      <c r="R123">
        <v>-1.2788010000000001E-2</v>
      </c>
      <c r="S123">
        <v>3.2203059999999999</v>
      </c>
      <c r="T123">
        <v>-1.0147919999999999</v>
      </c>
      <c r="U123">
        <v>-0.28231810000000002</v>
      </c>
      <c r="V123">
        <v>2.666079E-2</v>
      </c>
      <c r="W123">
        <v>0.18084449999999999</v>
      </c>
      <c r="X123">
        <v>0.98315030000000003</v>
      </c>
      <c r="Y123">
        <v>9.6015929999999999E-2</v>
      </c>
      <c r="Z123">
        <v>-1.9396219999999999E-2</v>
      </c>
      <c r="AA123">
        <v>0.99519080000000004</v>
      </c>
      <c r="AB123">
        <v>16</v>
      </c>
      <c r="AC123">
        <v>0.39530000000002002</v>
      </c>
      <c r="AD123">
        <v>-0.23037150000000001</v>
      </c>
      <c r="AE123">
        <v>-6.9900000000018198E-2</v>
      </c>
      <c r="AF123">
        <v>5.67837842942297E-2</v>
      </c>
      <c r="AG123">
        <v>-0.23037150000000001</v>
      </c>
      <c r="AH123">
        <v>0.29659415326302402</v>
      </c>
      <c r="AI123">
        <v>127.338839338005</v>
      </c>
      <c r="AJ123">
        <v>79.161714699736294</v>
      </c>
      <c r="AK123">
        <v>0.37982037586316197</v>
      </c>
      <c r="AL123">
        <v>79.581046831392797</v>
      </c>
      <c r="AM123">
        <v>88.446650047271405</v>
      </c>
      <c r="AN123">
        <v>1.0000000216468801</v>
      </c>
    </row>
    <row r="124" spans="1:40" x14ac:dyDescent="0.25">
      <c r="A124" t="str">
        <f>"20190303162458497"</f>
        <v>20190303162458497</v>
      </c>
      <c r="B124" t="str">
        <f>"1551601498482859"</f>
        <v>1551601498482859</v>
      </c>
      <c r="C124" t="s">
        <v>40</v>
      </c>
      <c r="D124">
        <v>4.8052109999999999</v>
      </c>
      <c r="E124">
        <v>0.51957429999999905</v>
      </c>
      <c r="F124" t="s">
        <v>42</v>
      </c>
      <c r="G124">
        <v>-458.0376</v>
      </c>
      <c r="H124">
        <v>0.9025263</v>
      </c>
      <c r="I124">
        <v>367.12700000000001</v>
      </c>
      <c r="J124">
        <v>-458.55950000000001</v>
      </c>
      <c r="K124">
        <v>1.120997</v>
      </c>
      <c r="L124">
        <v>367.19080000000002</v>
      </c>
      <c r="M124">
        <v>0.99985809999999997</v>
      </c>
      <c r="N124">
        <v>-8.6213629999999999E-3</v>
      </c>
      <c r="O124">
        <v>1.4469310000000001E-2</v>
      </c>
      <c r="P124">
        <v>0.98485089999999997</v>
      </c>
      <c r="Q124">
        <v>0.1730102</v>
      </c>
      <c r="R124">
        <v>-1.1667749999999999E-2</v>
      </c>
      <c r="S124">
        <v>3.219757</v>
      </c>
      <c r="T124">
        <v>-1.0155940000000001</v>
      </c>
      <c r="U124">
        <v>-0.28244019999999997</v>
      </c>
      <c r="V124">
        <v>2.5860959999999999E-2</v>
      </c>
      <c r="W124">
        <v>0.1815001</v>
      </c>
      <c r="X124">
        <v>0.9830508</v>
      </c>
      <c r="Y124">
        <v>9.6350669999999999E-2</v>
      </c>
      <c r="Z124">
        <v>-1.9561970000000001E-2</v>
      </c>
      <c r="AA124">
        <v>0.99515520000000002</v>
      </c>
      <c r="AB124">
        <v>16</v>
      </c>
      <c r="AC124">
        <v>0.52190000000001602</v>
      </c>
      <c r="AD124">
        <v>-0.21847069999999899</v>
      </c>
      <c r="AE124">
        <v>-6.3800000000071494E-2</v>
      </c>
      <c r="AF124">
        <v>6.0840880371617799E-2</v>
      </c>
      <c r="AG124">
        <v>-0.21847069999999899</v>
      </c>
      <c r="AH124">
        <v>0.444226008292886</v>
      </c>
      <c r="AI124">
        <v>115.97775702398</v>
      </c>
      <c r="AJ124">
        <v>82.201331039741206</v>
      </c>
      <c r="AK124">
        <v>0.49876628387122801</v>
      </c>
      <c r="AL124">
        <v>79.542851151994</v>
      </c>
      <c r="AM124">
        <v>88.493076659820005</v>
      </c>
      <c r="AN124">
        <v>0.99999997546638497</v>
      </c>
    </row>
    <row r="125" spans="1:40" x14ac:dyDescent="0.25">
      <c r="A125" t="str">
        <f>"20190303162458520"</f>
        <v>20190303162458520</v>
      </c>
      <c r="B125" t="str">
        <f>"1551601498513115"</f>
        <v>1551601498513115</v>
      </c>
      <c r="C125" t="s">
        <v>40</v>
      </c>
      <c r="D125">
        <v>5.1084559999999897</v>
      </c>
      <c r="E125">
        <v>0.49343959999999998</v>
      </c>
      <c r="F125" t="s">
        <v>42</v>
      </c>
      <c r="G125">
        <v>-457.86360000000002</v>
      </c>
      <c r="H125">
        <v>0.95994809999999997</v>
      </c>
      <c r="I125">
        <v>367.14670000000001</v>
      </c>
      <c r="J125">
        <v>-458.39249999999998</v>
      </c>
      <c r="K125">
        <v>1.120981</v>
      </c>
      <c r="L125">
        <v>367.1936</v>
      </c>
      <c r="M125">
        <v>0.99985409999999997</v>
      </c>
      <c r="N125">
        <v>-8.5816969999999992E-3</v>
      </c>
      <c r="O125">
        <v>1.477295E-2</v>
      </c>
      <c r="P125">
        <v>0.98480900000000005</v>
      </c>
      <c r="Q125">
        <v>0.173341</v>
      </c>
      <c r="R125">
        <v>-1.0221589999999999E-2</v>
      </c>
      <c r="S125">
        <v>3.1728519999999998</v>
      </c>
      <c r="T125">
        <v>-0.73451440000000001</v>
      </c>
      <c r="U125">
        <v>-0.1976318</v>
      </c>
      <c r="V125">
        <v>2.4716720000000001E-2</v>
      </c>
      <c r="W125">
        <v>0.1817908</v>
      </c>
      <c r="X125">
        <v>0.98302659999999997</v>
      </c>
      <c r="Y125">
        <v>7.4506820000000001E-2</v>
      </c>
      <c r="Z125">
        <v>-1.2075399999999899E-2</v>
      </c>
      <c r="AA125">
        <v>0.99714740000000002</v>
      </c>
      <c r="AB125">
        <v>16</v>
      </c>
      <c r="AC125">
        <v>0.52889999999996395</v>
      </c>
      <c r="AD125">
        <v>-0.16103290000000001</v>
      </c>
      <c r="AE125">
        <v>-4.6899999999993697E-2</v>
      </c>
      <c r="AF125">
        <v>5.0100477102203098E-2</v>
      </c>
      <c r="AG125">
        <v>-0.16103290000000001</v>
      </c>
      <c r="AH125">
        <v>0.48366336645391</v>
      </c>
      <c r="AI125">
        <v>108.323434482412</v>
      </c>
      <c r="AJ125">
        <v>84.086083928810893</v>
      </c>
      <c r="AK125">
        <v>0.51222251486810599</v>
      </c>
      <c r="AL125">
        <v>79.525914324349003</v>
      </c>
      <c r="AM125">
        <v>88.559687579201096</v>
      </c>
      <c r="AN125">
        <v>1.0000000537598699</v>
      </c>
    </row>
    <row r="126" spans="1:40" x14ac:dyDescent="0.25">
      <c r="A126" t="str">
        <f>"20190303162458543"</f>
        <v>20190303162458543</v>
      </c>
      <c r="B126" t="str">
        <f>"1551601498532635"</f>
        <v>1551601498532635</v>
      </c>
      <c r="C126" t="s">
        <v>40</v>
      </c>
      <c r="D126">
        <v>5.1512960000000003</v>
      </c>
      <c r="E126">
        <v>0.49058309999999999</v>
      </c>
      <c r="F126" t="s">
        <v>44</v>
      </c>
      <c r="G126">
        <v>-424.02289999999999</v>
      </c>
      <c r="H126">
        <v>-0.05</v>
      </c>
      <c r="I126">
        <v>367.40269999999998</v>
      </c>
      <c r="J126">
        <v>-458.22230000000002</v>
      </c>
      <c r="K126">
        <v>1.120965</v>
      </c>
      <c r="L126">
        <v>367.19650000000001</v>
      </c>
      <c r="M126">
        <v>0.99985009999999996</v>
      </c>
      <c r="N126">
        <v>-8.5546319999999995E-3</v>
      </c>
      <c r="O126">
        <v>1.5062259999999999E-2</v>
      </c>
      <c r="P126">
        <v>0.98485389999999995</v>
      </c>
      <c r="Q126">
        <v>0.1731666</v>
      </c>
      <c r="R126">
        <v>-8.732554E-3</v>
      </c>
      <c r="S126">
        <v>3.064819</v>
      </c>
      <c r="T126">
        <v>-0.1044192</v>
      </c>
      <c r="U126">
        <v>1.8646240000000001E-2</v>
      </c>
      <c r="V126">
        <v>2.3518939999999999E-2</v>
      </c>
      <c r="W126">
        <v>0.1815891</v>
      </c>
      <c r="X126">
        <v>0.9830932</v>
      </c>
      <c r="Y126">
        <v>8.9679630000000007E-3</v>
      </c>
      <c r="Z126">
        <v>-5.7526949999999995E-4</v>
      </c>
      <c r="AA126">
        <v>0.99995959999999995</v>
      </c>
      <c r="AB126">
        <v>17</v>
      </c>
      <c r="AC126">
        <v>34.199399999999997</v>
      </c>
      <c r="AD126">
        <v>-1.170965</v>
      </c>
      <c r="AE126">
        <v>0.20619999999996699</v>
      </c>
      <c r="AF126">
        <v>0.308600657343645</v>
      </c>
      <c r="AG126">
        <v>-1.170965</v>
      </c>
      <c r="AH126">
        <v>34.158582245662203</v>
      </c>
      <c r="AI126">
        <v>91.963265202267706</v>
      </c>
      <c r="AJ126">
        <v>89.482383839443003</v>
      </c>
      <c r="AK126">
        <v>34.180040000424299</v>
      </c>
      <c r="AL126">
        <v>79.537665821219505</v>
      </c>
      <c r="AM126">
        <v>88.629551083579997</v>
      </c>
      <c r="AN126">
        <v>0.99999999083188595</v>
      </c>
    </row>
    <row r="127" spans="1:40" x14ac:dyDescent="0.25">
      <c r="A127" t="str">
        <f>"20190303162458563"</f>
        <v>20190303162458563</v>
      </c>
      <c r="B127" t="str">
        <f>"1551601498553132"</f>
        <v>1551601498553132</v>
      </c>
      <c r="C127" t="s">
        <v>40</v>
      </c>
      <c r="D127">
        <v>5.2107330000000003</v>
      </c>
      <c r="E127">
        <v>0.48957260000000002</v>
      </c>
      <c r="F127" t="s">
        <v>41</v>
      </c>
      <c r="G127">
        <v>-378.99299999999999</v>
      </c>
      <c r="H127" s="1">
        <v>-6.554143E-7</v>
      </c>
      <c r="I127">
        <v>368.38869999999997</v>
      </c>
      <c r="J127">
        <v>-458.0677</v>
      </c>
      <c r="K127">
        <v>1.1209499999999999</v>
      </c>
      <c r="L127">
        <v>367.19920000000002</v>
      </c>
      <c r="M127">
        <v>0.99984640000000002</v>
      </c>
      <c r="N127">
        <v>-8.5378740000000009E-3</v>
      </c>
      <c r="O127">
        <v>1.5309919999999999E-2</v>
      </c>
      <c r="P127">
        <v>0.98480509999999999</v>
      </c>
      <c r="Q127">
        <v>0.17353689999999999</v>
      </c>
      <c r="R127">
        <v>-6.6551029999999999E-3</v>
      </c>
      <c r="S127">
        <v>3.0541689999999999</v>
      </c>
      <c r="T127">
        <v>-4.321146E-2</v>
      </c>
      <c r="U127">
        <v>4.5959470000000002E-2</v>
      </c>
      <c r="V127">
        <v>2.1689989999999999E-2</v>
      </c>
      <c r="W127">
        <v>0.18194179999999999</v>
      </c>
      <c r="X127">
        <v>0.98307009999999995</v>
      </c>
      <c r="Y127">
        <v>2.638192E-4</v>
      </c>
      <c r="Z127" s="1">
        <v>-8.8852870000000002E-5</v>
      </c>
      <c r="AA127">
        <v>0.99999990000000005</v>
      </c>
      <c r="AB127">
        <v>17</v>
      </c>
      <c r="AC127">
        <v>79.074699999999893</v>
      </c>
      <c r="AD127">
        <v>-1.1209506554142901</v>
      </c>
      <c r="AE127">
        <v>1.18949999999995</v>
      </c>
      <c r="AF127">
        <v>2.1306533091522001E-2</v>
      </c>
      <c r="AG127">
        <v>-1.1209506554142901</v>
      </c>
      <c r="AH127">
        <v>79.067757858498993</v>
      </c>
      <c r="AI127">
        <v>90.812232933080693</v>
      </c>
      <c r="AJ127">
        <v>89.984560402043499</v>
      </c>
      <c r="AK127">
        <v>79.075706238455197</v>
      </c>
      <c r="AL127">
        <v>79.517115871413694</v>
      </c>
      <c r="AM127">
        <v>88.736058305628106</v>
      </c>
      <c r="AN127">
        <v>1.0000000478837201</v>
      </c>
    </row>
    <row r="128" spans="1:40" x14ac:dyDescent="0.25">
      <c r="A128" t="str">
        <f>"20190303162458585"</f>
        <v>20190303162458585</v>
      </c>
      <c r="B128" t="str">
        <f>"1551601498572651"</f>
        <v>1551601498572651</v>
      </c>
      <c r="C128" t="s">
        <v>40</v>
      </c>
      <c r="D128">
        <v>5.1983509999999997</v>
      </c>
      <c r="E128">
        <v>0.48948019999999998</v>
      </c>
      <c r="F128" t="s">
        <v>41</v>
      </c>
      <c r="G128">
        <v>-362.60340000000002</v>
      </c>
      <c r="H128" s="1">
        <v>-3.2529580000000001E-6</v>
      </c>
      <c r="I128">
        <v>369.06650000000002</v>
      </c>
      <c r="J128">
        <v>-457.9085</v>
      </c>
      <c r="K128">
        <v>1.120941</v>
      </c>
      <c r="L128">
        <v>367.20190000000002</v>
      </c>
      <c r="M128">
        <v>0.99984289999999998</v>
      </c>
      <c r="N128">
        <v>-8.5255000000000001E-3</v>
      </c>
      <c r="O128">
        <v>1.554826E-2</v>
      </c>
      <c r="P128">
        <v>0.98474439999999996</v>
      </c>
      <c r="Q128">
        <v>0.17395179999999999</v>
      </c>
      <c r="R128">
        <v>-4.4264769999999998E-3</v>
      </c>
      <c r="S128">
        <v>3.0530400000000002</v>
      </c>
      <c r="T128">
        <v>-3.584909E-2</v>
      </c>
      <c r="U128">
        <v>5.9722900000000002E-2</v>
      </c>
      <c r="V128">
        <v>1.9700829999999999E-2</v>
      </c>
      <c r="W128">
        <v>0.18234359999999999</v>
      </c>
      <c r="X128">
        <v>0.98303750000000001</v>
      </c>
      <c r="Y128">
        <v>-4.0094279999999998E-3</v>
      </c>
      <c r="Z128" s="1">
        <v>-9.3481829999999999E-6</v>
      </c>
      <c r="AA128">
        <v>0.99999199999999999</v>
      </c>
      <c r="AB128">
        <v>17</v>
      </c>
      <c r="AC128">
        <v>95.305099999999896</v>
      </c>
      <c r="AD128">
        <v>-1.120944252958</v>
      </c>
      <c r="AE128">
        <v>1.86459999999999</v>
      </c>
      <c r="AF128">
        <v>-0.38243956386025302</v>
      </c>
      <c r="AG128">
        <v>-1.120944252958</v>
      </c>
      <c r="AH128">
        <v>95.309391186192798</v>
      </c>
      <c r="AI128">
        <v>90.673825485009203</v>
      </c>
      <c r="AJ128">
        <v>90.229904472722296</v>
      </c>
      <c r="AK128">
        <v>95.316749967259</v>
      </c>
      <c r="AL128">
        <v>79.493702467232595</v>
      </c>
      <c r="AM128">
        <v>88.851902057851802</v>
      </c>
      <c r="AN128">
        <v>1.00000001878494</v>
      </c>
    </row>
    <row r="129" spans="1:40" x14ac:dyDescent="0.25">
      <c r="A129" t="str">
        <f>"20190303162458607"</f>
        <v>20190303162458607</v>
      </c>
      <c r="B129" t="str">
        <f>"1551601498593147"</f>
        <v>1551601498593147</v>
      </c>
      <c r="C129" t="s">
        <v>40</v>
      </c>
      <c r="D129">
        <v>5.1931240000000001</v>
      </c>
      <c r="E129">
        <v>0.48948469999999999</v>
      </c>
      <c r="F129" t="s">
        <v>41</v>
      </c>
      <c r="G129">
        <v>-357.6848</v>
      </c>
      <c r="H129" s="1">
        <v>-1.0172720000000001E-6</v>
      </c>
      <c r="I129">
        <v>369.38099999999997</v>
      </c>
      <c r="J129">
        <v>-457.74160000000001</v>
      </c>
      <c r="K129">
        <v>1.1209309999999999</v>
      </c>
      <c r="L129">
        <v>367.2047</v>
      </c>
      <c r="M129">
        <v>0.99983929999999999</v>
      </c>
      <c r="N129">
        <v>-8.5159369999999995E-3</v>
      </c>
      <c r="O129">
        <v>1.5777949999999999E-2</v>
      </c>
      <c r="P129">
        <v>0.98463000000000001</v>
      </c>
      <c r="Q129">
        <v>0.17462620000000001</v>
      </c>
      <c r="R129">
        <v>-3.0969209999999999E-3</v>
      </c>
      <c r="S129">
        <v>3.052765</v>
      </c>
      <c r="T129">
        <v>-3.414333E-2</v>
      </c>
      <c r="U129">
        <v>6.6375729999999994E-2</v>
      </c>
      <c r="V129">
        <v>1.8601400000000001E-2</v>
      </c>
      <c r="W129">
        <v>0.18300649999999999</v>
      </c>
      <c r="X129">
        <v>0.98293569999999997</v>
      </c>
      <c r="Y129">
        <v>-5.9595890000000004E-3</v>
      </c>
      <c r="Z129" s="1">
        <v>1.663496E-5</v>
      </c>
      <c r="AA129">
        <v>0.99998220000000004</v>
      </c>
      <c r="AB129">
        <v>17</v>
      </c>
      <c r="AC129">
        <v>100.0568</v>
      </c>
      <c r="AD129">
        <v>-1.1209320172720001</v>
      </c>
      <c r="AE129">
        <v>2.1762999999999599</v>
      </c>
      <c r="AF129">
        <v>-0.59720579446997002</v>
      </c>
      <c r="AG129">
        <v>-1.1209320172720001</v>
      </c>
      <c r="AH129">
        <v>100.066129878111</v>
      </c>
      <c r="AI129">
        <v>90.641784028341505</v>
      </c>
      <c r="AJ129">
        <v>90.341943525934198</v>
      </c>
      <c r="AK129">
        <v>100.07418993992</v>
      </c>
      <c r="AL129">
        <v>79.455070758299698</v>
      </c>
      <c r="AM129">
        <v>88.915845145519</v>
      </c>
      <c r="AN129">
        <v>0.99999999072934997</v>
      </c>
    </row>
    <row r="130" spans="1:40" x14ac:dyDescent="0.25">
      <c r="A130" t="str">
        <f>"20190303162458630"</f>
        <v>20190303162458630</v>
      </c>
      <c r="B130" t="str">
        <f>"1551601498622427"</f>
        <v>1551601498622427</v>
      </c>
      <c r="C130" t="s">
        <v>40</v>
      </c>
      <c r="D130">
        <v>5.2491469999999998</v>
      </c>
      <c r="E130">
        <v>0.48958790000000002</v>
      </c>
      <c r="F130" t="s">
        <v>41</v>
      </c>
      <c r="G130">
        <v>-349.59879999999998</v>
      </c>
      <c r="H130" s="1">
        <v>-1.9869550000000001E-7</v>
      </c>
      <c r="I130">
        <v>369.72370000000001</v>
      </c>
      <c r="J130">
        <v>-457.57049999999998</v>
      </c>
      <c r="K130">
        <v>1.120916</v>
      </c>
      <c r="L130">
        <v>367.20769999999999</v>
      </c>
      <c r="M130">
        <v>0.9998359</v>
      </c>
      <c r="N130">
        <v>-8.5089109999999992E-3</v>
      </c>
      <c r="O130">
        <v>1.5990589999999999E-2</v>
      </c>
      <c r="P130">
        <v>0.98461580000000004</v>
      </c>
      <c r="Q130">
        <v>0.17471879999999901</v>
      </c>
      <c r="R130">
        <v>-2.2354459999999999E-3</v>
      </c>
      <c r="S130">
        <v>3.052673</v>
      </c>
      <c r="T130">
        <v>-3.1641839999999997E-2</v>
      </c>
      <c r="U130">
        <v>7.1105959999999996E-2</v>
      </c>
      <c r="V130">
        <v>1.7954479999999998E-2</v>
      </c>
      <c r="W130">
        <v>0.1830918</v>
      </c>
      <c r="X130">
        <v>0.98293189999999997</v>
      </c>
      <c r="Y130">
        <v>-7.2962030000000002E-3</v>
      </c>
      <c r="Z130" s="1">
        <v>3.920459E-5</v>
      </c>
      <c r="AA130">
        <v>0.99997340000000001</v>
      </c>
      <c r="AB130">
        <v>17</v>
      </c>
      <c r="AC130">
        <v>107.9717</v>
      </c>
      <c r="AD130">
        <v>-1.1209161986955001</v>
      </c>
      <c r="AE130">
        <v>2.51600000000002</v>
      </c>
      <c r="AF130">
        <v>-0.78899954279489404</v>
      </c>
      <c r="AG130">
        <v>-1.1209161986955001</v>
      </c>
      <c r="AH130">
        <v>107.986495620212</v>
      </c>
      <c r="AI130">
        <v>90.594701647469194</v>
      </c>
      <c r="AJ130">
        <v>90.4186221542586</v>
      </c>
      <c r="AK130">
        <v>107.99519530857501</v>
      </c>
      <c r="AL130">
        <v>79.450100013944194</v>
      </c>
      <c r="AM130">
        <v>88.953537332674699</v>
      </c>
      <c r="AN130">
        <v>1.0000000453084501</v>
      </c>
    </row>
    <row r="131" spans="1:40" x14ac:dyDescent="0.25">
      <c r="A131" t="str">
        <f>"20190303162458651"</f>
        <v>20190303162458651</v>
      </c>
      <c r="B131" t="str">
        <f>"1551601498642923"</f>
        <v>1551601498642923</v>
      </c>
      <c r="C131" t="s">
        <v>40</v>
      </c>
      <c r="D131">
        <v>5.2451549999999996</v>
      </c>
      <c r="E131">
        <v>0.48974839999999997</v>
      </c>
      <c r="F131" t="s">
        <v>41</v>
      </c>
      <c r="G131">
        <v>-349.6164</v>
      </c>
      <c r="H131" s="1">
        <v>-2.1612060000000001E-7</v>
      </c>
      <c r="I131">
        <v>369.82049999999998</v>
      </c>
      <c r="J131">
        <v>-457.40499999999997</v>
      </c>
      <c r="K131">
        <v>1.1208899999999999</v>
      </c>
      <c r="L131">
        <v>367.21050000000002</v>
      </c>
      <c r="M131">
        <v>0.99983299999999997</v>
      </c>
      <c r="N131">
        <v>-8.5045309999999992E-3</v>
      </c>
      <c r="O131">
        <v>1.617617E-2</v>
      </c>
      <c r="P131">
        <v>0.98480020000000001</v>
      </c>
      <c r="Q131">
        <v>0.17366779999999901</v>
      </c>
      <c r="R131">
        <v>-2.8408299999999999E-3</v>
      </c>
      <c r="S131">
        <v>3.0527039999999999</v>
      </c>
      <c r="T131">
        <v>-3.1697030000000001E-2</v>
      </c>
      <c r="U131">
        <v>7.388306E-2</v>
      </c>
      <c r="V131">
        <v>1.8749769999999999E-2</v>
      </c>
      <c r="W131">
        <v>0.18203739999999999</v>
      </c>
      <c r="X131">
        <v>0.98311280000000001</v>
      </c>
      <c r="Y131">
        <v>-8.0194729999999992E-3</v>
      </c>
      <c r="Z131" s="1">
        <v>4.538015E-5</v>
      </c>
      <c r="AA131">
        <v>0.99996779999999996</v>
      </c>
      <c r="AB131">
        <v>17</v>
      </c>
      <c r="AC131">
        <v>107.78859999999899</v>
      </c>
      <c r="AD131">
        <v>-1.1208902161206</v>
      </c>
      <c r="AE131">
        <v>2.6099999999999501</v>
      </c>
      <c r="AF131">
        <v>-0.86589513820459896</v>
      </c>
      <c r="AG131">
        <v>-1.1208902161206</v>
      </c>
      <c r="AH131">
        <v>107.805065897262</v>
      </c>
      <c r="AI131">
        <v>90.595685302452097</v>
      </c>
      <c r="AJ131">
        <v>90.460192382056604</v>
      </c>
      <c r="AK131">
        <v>107.81437011076</v>
      </c>
      <c r="AL131">
        <v>79.511544578131605</v>
      </c>
      <c r="AM131">
        <v>88.907396521714801</v>
      </c>
      <c r="AN131">
        <v>0.99999997319882605</v>
      </c>
    </row>
    <row r="132" spans="1:40" x14ac:dyDescent="0.25">
      <c r="A132" t="str">
        <f>"20190303162458674"</f>
        <v>20190303162458674</v>
      </c>
      <c r="B132" t="str">
        <f>"1551601498663419"</f>
        <v>1551601498663419</v>
      </c>
      <c r="C132" t="s">
        <v>40</v>
      </c>
      <c r="D132">
        <v>5.3034540000000003</v>
      </c>
      <c r="E132">
        <v>0.48978909999999998</v>
      </c>
      <c r="F132" t="s">
        <v>41</v>
      </c>
      <c r="G132">
        <v>-363.0976</v>
      </c>
      <c r="H132" s="1">
        <v>-2.9815589999999999E-6</v>
      </c>
      <c r="I132">
        <v>369.40129999999999</v>
      </c>
      <c r="J132">
        <v>-457.23540000000003</v>
      </c>
      <c r="K132">
        <v>1.1208750000000001</v>
      </c>
      <c r="L132">
        <v>367.21350000000001</v>
      </c>
      <c r="M132">
        <v>0.99983029999999995</v>
      </c>
      <c r="N132">
        <v>-8.5019750000000002E-3</v>
      </c>
      <c r="O132">
        <v>1.6349140000000002E-2</v>
      </c>
      <c r="P132">
        <v>0.98494029999999999</v>
      </c>
      <c r="Q132">
        <v>0.17285159999999999</v>
      </c>
      <c r="R132">
        <v>-3.904467E-3</v>
      </c>
      <c r="S132">
        <v>3.0529169999999999</v>
      </c>
      <c r="T132">
        <v>-3.6285520000000002E-2</v>
      </c>
      <c r="U132">
        <v>7.0922849999999996E-2</v>
      </c>
      <c r="V132">
        <v>1.9989090000000001E-2</v>
      </c>
      <c r="W132">
        <v>0.18121970000000001</v>
      </c>
      <c r="X132">
        <v>0.98323950000000004</v>
      </c>
      <c r="Y132">
        <v>-6.8757459999999899E-3</v>
      </c>
      <c r="Z132" s="1">
        <v>1.481321E-5</v>
      </c>
      <c r="AA132">
        <v>0.99997630000000004</v>
      </c>
      <c r="AB132">
        <v>17</v>
      </c>
      <c r="AC132">
        <v>94.137799999999999</v>
      </c>
      <c r="AD132">
        <v>-1.120877981559</v>
      </c>
      <c r="AE132">
        <v>2.1877999999999802</v>
      </c>
      <c r="AF132">
        <v>-0.64828816675759804</v>
      </c>
      <c r="AG132">
        <v>-1.120877981559</v>
      </c>
      <c r="AH132">
        <v>94.147646700251002</v>
      </c>
      <c r="AI132">
        <v>90.682088439172404</v>
      </c>
      <c r="AJ132">
        <v>90.394524877851893</v>
      </c>
      <c r="AK132">
        <v>94.156550617532602</v>
      </c>
      <c r="AL132">
        <v>79.559188366992501</v>
      </c>
      <c r="AM132">
        <v>88.835347085994599</v>
      </c>
      <c r="AN132">
        <v>1.0000000288736799</v>
      </c>
    </row>
    <row r="133" spans="1:40" x14ac:dyDescent="0.25">
      <c r="A133" t="str">
        <f>"20190303162458698"</f>
        <v>20190303162458698</v>
      </c>
      <c r="B133" t="str">
        <f>"1551601498692699"</f>
        <v>1551601498692699</v>
      </c>
      <c r="C133" t="s">
        <v>40</v>
      </c>
      <c r="D133">
        <v>5.2474679999999996</v>
      </c>
      <c r="E133">
        <v>0.48982779999999998</v>
      </c>
      <c r="F133" t="s">
        <v>41</v>
      </c>
      <c r="G133">
        <v>-372.3066</v>
      </c>
      <c r="H133" s="1">
        <v>-3.3760430000000001E-6</v>
      </c>
      <c r="I133">
        <v>369.09030000000001</v>
      </c>
      <c r="J133">
        <v>-457.05459999999999</v>
      </c>
      <c r="K133">
        <v>1.120854</v>
      </c>
      <c r="L133">
        <v>367.2167</v>
      </c>
      <c r="M133">
        <v>0.99982740000000003</v>
      </c>
      <c r="N133">
        <v>-8.5007490000000002E-3</v>
      </c>
      <c r="O133">
        <v>1.6520460000000001E-2</v>
      </c>
      <c r="P133">
        <v>0.98501559999999999</v>
      </c>
      <c r="Q133">
        <v>0.1723884</v>
      </c>
      <c r="R133">
        <v>-5.1825680000000002E-3</v>
      </c>
      <c r="S133">
        <v>3.0531920000000001</v>
      </c>
      <c r="T133">
        <v>-4.0295600000000001E-2</v>
      </c>
      <c r="U133">
        <v>6.7474370000000006E-2</v>
      </c>
      <c r="V133">
        <v>2.1438889999999999E-2</v>
      </c>
      <c r="W133">
        <v>0.18075579999999999</v>
      </c>
      <c r="X133">
        <v>0.98329429999999995</v>
      </c>
      <c r="Y133">
        <v>-5.5735669999999998E-3</v>
      </c>
      <c r="Z133" s="1">
        <v>-1.7082250000000001E-5</v>
      </c>
      <c r="AA133">
        <v>0.9999844</v>
      </c>
      <c r="AB133">
        <v>17</v>
      </c>
      <c r="AC133">
        <v>84.747999999999905</v>
      </c>
      <c r="AD133">
        <v>-1.1208573760430001</v>
      </c>
      <c r="AE133">
        <v>1.8736000000000099</v>
      </c>
      <c r="AF133">
        <v>-0.47313504579090399</v>
      </c>
      <c r="AG133">
        <v>-1.1208573760430001</v>
      </c>
      <c r="AH133">
        <v>84.752569521334294</v>
      </c>
      <c r="AI133">
        <v>90.757683846465994</v>
      </c>
      <c r="AJ133">
        <v>90.319852953250006</v>
      </c>
      <c r="AK133">
        <v>84.761301420504296</v>
      </c>
      <c r="AL133">
        <v>79.586213715873399</v>
      </c>
      <c r="AM133">
        <v>88.750970766479895</v>
      </c>
      <c r="AN133">
        <v>0.99999998282528002</v>
      </c>
    </row>
    <row r="134" spans="1:40" x14ac:dyDescent="0.25">
      <c r="A134" t="str">
        <f>"20190303162458719"</f>
        <v>20190303162458719</v>
      </c>
      <c r="B134" t="str">
        <f>"1551601498713195"</f>
        <v>1551601498713195</v>
      </c>
      <c r="C134" t="s">
        <v>40</v>
      </c>
      <c r="D134">
        <v>5.3059190000000003</v>
      </c>
      <c r="E134">
        <v>0.48985250000000002</v>
      </c>
      <c r="F134" t="s">
        <v>41</v>
      </c>
      <c r="G134">
        <v>-377.24860000000001</v>
      </c>
      <c r="H134" s="1">
        <v>-1.2939119999999999E-6</v>
      </c>
      <c r="I134">
        <v>368.87639999999999</v>
      </c>
      <c r="J134">
        <v>-456.8938</v>
      </c>
      <c r="K134">
        <v>1.1208530000000001</v>
      </c>
      <c r="L134">
        <v>367.21949999999998</v>
      </c>
      <c r="M134">
        <v>0.99982510000000002</v>
      </c>
      <c r="N134">
        <v>-8.5007809999999902E-3</v>
      </c>
      <c r="O134">
        <v>1.666492E-2</v>
      </c>
      <c r="P134">
        <v>0.98515030000000003</v>
      </c>
      <c r="Q134">
        <v>0.17156379999999999</v>
      </c>
      <c r="R134">
        <v>-6.7081900000000002E-3</v>
      </c>
      <c r="S134">
        <v>3.053436</v>
      </c>
      <c r="T134">
        <v>-4.2884709999999999E-2</v>
      </c>
      <c r="U134">
        <v>6.3507079999999994E-2</v>
      </c>
      <c r="V134">
        <v>2.3109589999999999E-2</v>
      </c>
      <c r="W134">
        <v>0.17993229999999999</v>
      </c>
      <c r="X134">
        <v>0.98340749999999999</v>
      </c>
      <c r="Y134">
        <v>-4.1288569999999997E-3</v>
      </c>
      <c r="Z134" s="1">
        <v>-4.5796330000000003E-5</v>
      </c>
      <c r="AA134">
        <v>0.99999150000000003</v>
      </c>
      <c r="AB134">
        <v>17</v>
      </c>
      <c r="AC134">
        <v>79.645199999999903</v>
      </c>
      <c r="AD134">
        <v>-1.1208542939120001</v>
      </c>
      <c r="AE134">
        <v>1.6569</v>
      </c>
      <c r="AF134">
        <v>-0.32927600097141602</v>
      </c>
      <c r="AG134">
        <v>-1.1208542939120001</v>
      </c>
      <c r="AH134">
        <v>79.645984802722495</v>
      </c>
      <c r="AI134">
        <v>90.806260766069499</v>
      </c>
      <c r="AJ134">
        <v>90.236873430744296</v>
      </c>
      <c r="AK134">
        <v>79.654551861324904</v>
      </c>
      <c r="AL134">
        <v>79.634183485126997</v>
      </c>
      <c r="AM134">
        <v>88.653825273005907</v>
      </c>
      <c r="AN134">
        <v>0.99999999839475395</v>
      </c>
    </row>
    <row r="135" spans="1:40" x14ac:dyDescent="0.25">
      <c r="A135" t="str">
        <f>"20190303162458740"</f>
        <v>20190303162458740</v>
      </c>
      <c r="B135" t="str">
        <f>"1551601498732715"</f>
        <v>1551601498732715</v>
      </c>
      <c r="C135" t="s">
        <v>40</v>
      </c>
      <c r="D135">
        <v>5.3193149999999996</v>
      </c>
      <c r="E135">
        <v>0.48942029999999997</v>
      </c>
      <c r="F135" t="s">
        <v>41</v>
      </c>
      <c r="G135">
        <v>-382.80610000000001</v>
      </c>
      <c r="H135" s="1">
        <v>-3.237403E-6</v>
      </c>
      <c r="I135">
        <v>368.66390000000001</v>
      </c>
      <c r="J135">
        <v>-456.72590000000002</v>
      </c>
      <c r="K135">
        <v>1.1208499999999999</v>
      </c>
      <c r="L135">
        <v>367.22239999999999</v>
      </c>
      <c r="M135">
        <v>0.99982260000000001</v>
      </c>
      <c r="N135">
        <v>-8.5018239999999998E-3</v>
      </c>
      <c r="O135">
        <v>1.681121E-2</v>
      </c>
      <c r="P135">
        <v>0.98538760000000003</v>
      </c>
      <c r="Q135">
        <v>0.1701493</v>
      </c>
      <c r="R135">
        <v>-7.7855390000000002E-3</v>
      </c>
      <c r="S135">
        <v>3.0537109999999998</v>
      </c>
      <c r="T135">
        <v>-4.6198839999999998E-2</v>
      </c>
      <c r="U135">
        <v>5.9539790000000002E-2</v>
      </c>
      <c r="V135">
        <v>2.4334229999999998E-2</v>
      </c>
      <c r="W135">
        <v>0.1785207</v>
      </c>
      <c r="X135">
        <v>0.98363520000000004</v>
      </c>
      <c r="Y135">
        <v>-2.6823329999999999E-3</v>
      </c>
      <c r="Z135" s="1">
        <v>-7.9660469999999999E-5</v>
      </c>
      <c r="AA135">
        <v>0.99999640000000001</v>
      </c>
      <c r="AB135">
        <v>17</v>
      </c>
      <c r="AC135">
        <v>73.919799999999995</v>
      </c>
      <c r="AD135">
        <v>-1.12085323740299</v>
      </c>
      <c r="AE135">
        <v>1.44150000000001</v>
      </c>
      <c r="AF135">
        <v>-0.19852453333968301</v>
      </c>
      <c r="AG135">
        <v>-1.12085323740299</v>
      </c>
      <c r="AH135">
        <v>73.916598841514698</v>
      </c>
      <c r="AI135">
        <v>90.868749480107994</v>
      </c>
      <c r="AJ135">
        <v>90.153884116942507</v>
      </c>
      <c r="AK135">
        <v>73.9253630918884</v>
      </c>
      <c r="AL135">
        <v>79.716393396879496</v>
      </c>
      <c r="AM135">
        <v>88.582844184398397</v>
      </c>
      <c r="AN135">
        <v>1.0000000008786101</v>
      </c>
    </row>
    <row r="136" spans="1:40" x14ac:dyDescent="0.25">
      <c r="A136" t="str">
        <f>"20190303162458769"</f>
        <v>20190303162458769</v>
      </c>
      <c r="B136" t="str">
        <f>"1551601498762974"</f>
        <v>1551601498762974</v>
      </c>
      <c r="C136" t="s">
        <v>40</v>
      </c>
      <c r="D136">
        <v>5.2582139999999997</v>
      </c>
      <c r="E136">
        <v>0.4779177</v>
      </c>
      <c r="F136" t="s">
        <v>41</v>
      </c>
      <c r="G136">
        <v>-390.49549999999999</v>
      </c>
      <c r="H136" s="1">
        <v>-4.2527069999999999E-6</v>
      </c>
      <c r="I136">
        <v>368.52820000000003</v>
      </c>
      <c r="J136">
        <v>-456.54829999999998</v>
      </c>
      <c r="K136">
        <v>1.120846</v>
      </c>
      <c r="L136">
        <v>367.22559999999999</v>
      </c>
      <c r="M136">
        <v>0.99982009999999999</v>
      </c>
      <c r="N136">
        <v>-8.50394199999999E-3</v>
      </c>
      <c r="O136">
        <v>1.6964360000000001E-2</v>
      </c>
      <c r="P136">
        <v>0.98559439999999998</v>
      </c>
      <c r="Q136">
        <v>0.16890169999999999</v>
      </c>
      <c r="R136">
        <v>-8.741703E-3</v>
      </c>
      <c r="S136">
        <v>3.0538940000000001</v>
      </c>
      <c r="T136">
        <v>-5.168271E-2</v>
      </c>
      <c r="U136">
        <v>6.0211180000000003E-2</v>
      </c>
      <c r="V136">
        <v>2.5443029999999998E-2</v>
      </c>
      <c r="W136">
        <v>0.1772772</v>
      </c>
      <c r="X136">
        <v>0.98383200000000004</v>
      </c>
      <c r="Y136">
        <v>-2.7478680000000001E-3</v>
      </c>
      <c r="Z136">
        <v>-1.078333E-4</v>
      </c>
      <c r="AA136">
        <v>0.9999962</v>
      </c>
      <c r="AB136">
        <v>17</v>
      </c>
      <c r="AC136">
        <v>66.052799999999905</v>
      </c>
      <c r="AD136">
        <v>-1.1208502527069999</v>
      </c>
      <c r="AE136">
        <v>1.3026000000000399</v>
      </c>
      <c r="AF136">
        <v>-0.18177640637245901</v>
      </c>
      <c r="AG136">
        <v>-1.1208502527069999</v>
      </c>
      <c r="AH136">
        <v>66.046382079342095</v>
      </c>
      <c r="AI136">
        <v>90.972249798496406</v>
      </c>
      <c r="AJ136">
        <v>90.157692128998306</v>
      </c>
      <c r="AK136">
        <v>66.056142286099004</v>
      </c>
      <c r="AL136">
        <v>79.788795381184499</v>
      </c>
      <c r="AM136">
        <v>88.518595267911195</v>
      </c>
      <c r="AN136">
        <v>0.99999997881971003</v>
      </c>
    </row>
    <row r="137" spans="1:40" x14ac:dyDescent="0.25">
      <c r="A137" t="str">
        <f>"20190303162458797"</f>
        <v>20190303162458797</v>
      </c>
      <c r="B137" t="str">
        <f>"1551601498782491"</f>
        <v>1551601498782491</v>
      </c>
      <c r="C137" t="s">
        <v>40</v>
      </c>
      <c r="D137">
        <v>5.2608290000000002</v>
      </c>
      <c r="E137">
        <v>0.4780529</v>
      </c>
      <c r="F137" t="s">
        <v>44</v>
      </c>
      <c r="G137">
        <v>-425.39359999999999</v>
      </c>
      <c r="H137">
        <v>-0.05</v>
      </c>
      <c r="I137">
        <v>368.7475</v>
      </c>
      <c r="J137">
        <v>-456.2971</v>
      </c>
      <c r="K137">
        <v>1.1208389999999999</v>
      </c>
      <c r="L137">
        <v>367.23009999999999</v>
      </c>
      <c r="M137">
        <v>0.99981609999999999</v>
      </c>
      <c r="N137">
        <v>-8.5082709999999995E-3</v>
      </c>
      <c r="O137">
        <v>1.7184169999999999E-2</v>
      </c>
      <c r="P137">
        <v>0.98596499999999998</v>
      </c>
      <c r="Q137">
        <v>0.1666955</v>
      </c>
      <c r="R137">
        <v>-9.2534269999999998E-3</v>
      </c>
      <c r="S137">
        <v>3.0649109999999999</v>
      </c>
      <c r="T137">
        <v>-0.1151843</v>
      </c>
      <c r="U137">
        <v>0.1497192</v>
      </c>
      <c r="V137">
        <v>2.6175009999999999E-2</v>
      </c>
      <c r="W137">
        <v>0.17507909999999999</v>
      </c>
      <c r="X137">
        <v>0.98420640000000004</v>
      </c>
      <c r="Y137">
        <v>-3.159969E-2</v>
      </c>
      <c r="Z137">
        <v>2.287894E-4</v>
      </c>
      <c r="AA137">
        <v>0.99950059999999996</v>
      </c>
      <c r="AB137">
        <v>17</v>
      </c>
      <c r="AC137">
        <v>30.903500000000001</v>
      </c>
      <c r="AD137">
        <v>-1.170839</v>
      </c>
      <c r="AE137">
        <v>1.5174000000000001</v>
      </c>
      <c r="AF137">
        <v>-0.98469563260623705</v>
      </c>
      <c r="AG137">
        <v>-1.170839</v>
      </c>
      <c r="AH137">
        <v>30.8807924035026</v>
      </c>
      <c r="AI137">
        <v>92.170215866967297</v>
      </c>
      <c r="AJ137">
        <v>91.826371321552301</v>
      </c>
      <c r="AK137">
        <v>30.918664733798199</v>
      </c>
      <c r="AL137">
        <v>79.916739036390098</v>
      </c>
      <c r="AM137">
        <v>88.476575472223999</v>
      </c>
      <c r="AN137">
        <v>1.00000003010313</v>
      </c>
    </row>
    <row r="138" spans="1:40" x14ac:dyDescent="0.25">
      <c r="A138" t="str">
        <f>"20190303162458821"</f>
        <v>20190303162458821</v>
      </c>
      <c r="B138" t="str">
        <f>"1551601498813722"</f>
        <v>1551601498813722</v>
      </c>
      <c r="C138" t="s">
        <v>40</v>
      </c>
      <c r="D138">
        <v>5.1398519999999897</v>
      </c>
      <c r="E138">
        <v>0.47860580000000003</v>
      </c>
      <c r="F138" t="s">
        <v>44</v>
      </c>
      <c r="G138">
        <v>-427.74770000000001</v>
      </c>
      <c r="H138">
        <v>-0.05</v>
      </c>
      <c r="I138">
        <v>368.60059999999999</v>
      </c>
      <c r="J138">
        <v>-456.11340000000001</v>
      </c>
      <c r="K138">
        <v>1.1208389999999999</v>
      </c>
      <c r="L138">
        <v>367.23340000000002</v>
      </c>
      <c r="M138">
        <v>0.99981330000000002</v>
      </c>
      <c r="N138">
        <v>-8.5122140000000006E-3</v>
      </c>
      <c r="O138">
        <v>1.7349E-2</v>
      </c>
      <c r="P138">
        <v>0.986043</v>
      </c>
      <c r="Q138">
        <v>0.16626279999999999</v>
      </c>
      <c r="R138">
        <v>-8.7122680000000004E-3</v>
      </c>
      <c r="S138">
        <v>3.065369</v>
      </c>
      <c r="T138">
        <v>-0.12571369999999901</v>
      </c>
      <c r="U138">
        <v>0.1471558</v>
      </c>
      <c r="V138">
        <v>2.579592E-2</v>
      </c>
      <c r="W138">
        <v>0.1746509</v>
      </c>
      <c r="X138">
        <v>0.98429239999999996</v>
      </c>
      <c r="Y138">
        <v>-3.0591920000000002E-2</v>
      </c>
      <c r="Z138">
        <v>1.939008E-4</v>
      </c>
      <c r="AA138">
        <v>0.99953190000000003</v>
      </c>
      <c r="AB138">
        <v>17</v>
      </c>
      <c r="AC138">
        <v>28.3657</v>
      </c>
      <c r="AD138">
        <v>-1.170839</v>
      </c>
      <c r="AE138">
        <v>1.36719999999996</v>
      </c>
      <c r="AF138">
        <v>-0.87337530567532795</v>
      </c>
      <c r="AG138">
        <v>-1.170839</v>
      </c>
      <c r="AH138">
        <v>28.336983515887599</v>
      </c>
      <c r="AI138">
        <v>92.364902767912696</v>
      </c>
      <c r="AJ138">
        <v>91.765356668059397</v>
      </c>
      <c r="AK138">
        <v>28.374606308602299</v>
      </c>
      <c r="AL138">
        <v>79.941656175187305</v>
      </c>
      <c r="AM138">
        <v>88.498760020016604</v>
      </c>
      <c r="AN138">
        <v>0.99999994752860599</v>
      </c>
    </row>
    <row r="139" spans="1:40" x14ac:dyDescent="0.25">
      <c r="A139" t="str">
        <f>"20190303162458864"</f>
        <v>20190303162458864</v>
      </c>
      <c r="B139" t="str">
        <f>"1551601498852763"</f>
        <v>1551601498852763</v>
      </c>
      <c r="C139" t="s">
        <v>40</v>
      </c>
      <c r="D139">
        <v>5.0744720000000001</v>
      </c>
      <c r="E139">
        <v>0.47911130000000002</v>
      </c>
      <c r="F139" t="s">
        <v>44</v>
      </c>
      <c r="G139">
        <v>-426.78379999999999</v>
      </c>
      <c r="H139">
        <v>-0.05</v>
      </c>
      <c r="I139">
        <v>368.61040000000003</v>
      </c>
      <c r="J139">
        <v>-455.77080000000001</v>
      </c>
      <c r="K139">
        <v>1.1208419999999999</v>
      </c>
      <c r="L139">
        <v>367.2398</v>
      </c>
      <c r="M139">
        <v>0.99980769999999997</v>
      </c>
      <c r="N139">
        <v>-8.5207470000000004E-3</v>
      </c>
      <c r="O139">
        <v>1.766115E-2</v>
      </c>
      <c r="P139">
        <v>0.98586459999999998</v>
      </c>
      <c r="Q139">
        <v>0.1674079</v>
      </c>
      <c r="R139">
        <v>-6.7710579999999999E-3</v>
      </c>
      <c r="S139">
        <v>3.064362</v>
      </c>
      <c r="T139">
        <v>-0.1223297</v>
      </c>
      <c r="U139">
        <v>0.14385990000000001</v>
      </c>
      <c r="V139">
        <v>2.4157419999999999E-2</v>
      </c>
      <c r="W139">
        <v>0.17580299999999999</v>
      </c>
      <c r="X139">
        <v>0.98412889999999997</v>
      </c>
      <c r="Y139">
        <v>-2.9225270000000001E-2</v>
      </c>
      <c r="Z139">
        <v>1.5354029999999999E-4</v>
      </c>
      <c r="AA139">
        <v>0.99957280000000004</v>
      </c>
      <c r="AB139">
        <v>17</v>
      </c>
      <c r="AC139">
        <v>28.986999999999998</v>
      </c>
      <c r="AD139">
        <v>-1.1708419999999999</v>
      </c>
      <c r="AE139">
        <v>1.37060000000002</v>
      </c>
      <c r="AF139">
        <v>-0.85702872719886103</v>
      </c>
      <c r="AG139">
        <v>-1.1708419999999999</v>
      </c>
      <c r="AH139">
        <v>28.959543391558402</v>
      </c>
      <c r="AI139">
        <v>92.314210504838798</v>
      </c>
      <c r="AJ139">
        <v>91.695116550810496</v>
      </c>
      <c r="AK139">
        <v>28.995870786644101</v>
      </c>
      <c r="AL139">
        <v>79.874608711303907</v>
      </c>
      <c r="AM139">
        <v>88.593842424847395</v>
      </c>
      <c r="AN139">
        <v>0.999999983782633</v>
      </c>
    </row>
    <row r="140" spans="1:40" x14ac:dyDescent="0.25">
      <c r="A140" t="str">
        <f>"20190303162458889"</f>
        <v>20190303162458889</v>
      </c>
      <c r="B140" t="str">
        <f>"1551601498883019"</f>
        <v>1551601498883019</v>
      </c>
      <c r="C140" t="s">
        <v>40</v>
      </c>
      <c r="D140">
        <v>5.016286</v>
      </c>
      <c r="E140">
        <v>0.47940949999999999</v>
      </c>
      <c r="F140" t="s">
        <v>44</v>
      </c>
      <c r="G140">
        <v>-424.40120000000002</v>
      </c>
      <c r="H140">
        <v>-0.05</v>
      </c>
      <c r="I140">
        <v>368.73070000000001</v>
      </c>
      <c r="J140">
        <v>-455.5729</v>
      </c>
      <c r="K140">
        <v>1.1208389999999999</v>
      </c>
      <c r="L140">
        <v>367.24349999999998</v>
      </c>
      <c r="M140">
        <v>0.99980460000000004</v>
      </c>
      <c r="N140">
        <v>-8.5262970000000004E-3</v>
      </c>
      <c r="O140">
        <v>1.7840060000000001E-2</v>
      </c>
      <c r="P140">
        <v>0.98586859999999998</v>
      </c>
      <c r="Q140">
        <v>0.16744129999999999</v>
      </c>
      <c r="R140">
        <v>-5.1500230000000001E-3</v>
      </c>
      <c r="S140">
        <v>3.0633539999999999</v>
      </c>
      <c r="T140">
        <v>-0.11433699999999999</v>
      </c>
      <c r="U140">
        <v>0.14559939999999999</v>
      </c>
      <c r="V140">
        <v>2.2713379999999998E-2</v>
      </c>
      <c r="W140">
        <v>0.1758419</v>
      </c>
      <c r="X140">
        <v>0.98415640000000004</v>
      </c>
      <c r="Y140">
        <v>-2.962973E-2</v>
      </c>
      <c r="Z140">
        <v>1.6573870000000001E-4</v>
      </c>
      <c r="AA140">
        <v>0.99956100000000003</v>
      </c>
      <c r="AB140">
        <v>17</v>
      </c>
      <c r="AC140">
        <v>31.171699999999898</v>
      </c>
      <c r="AD140">
        <v>-1.170839</v>
      </c>
      <c r="AE140">
        <v>1.4872000000000201</v>
      </c>
      <c r="AF140">
        <v>-0.929529717365154</v>
      </c>
      <c r="AG140">
        <v>-1.170839</v>
      </c>
      <c r="AH140">
        <v>31.149424865226798</v>
      </c>
      <c r="AI140">
        <v>92.151653214054406</v>
      </c>
      <c r="AJ140">
        <v>91.709255624804001</v>
      </c>
      <c r="AK140">
        <v>31.185277919136698</v>
      </c>
      <c r="AL140">
        <v>79.872345267522803</v>
      </c>
      <c r="AM140">
        <v>88.677903400658195</v>
      </c>
      <c r="AN140">
        <v>1.0000000455437901</v>
      </c>
    </row>
    <row r="141" spans="1:40" x14ac:dyDescent="0.25">
      <c r="A141" t="str">
        <f>"20190303162458911"</f>
        <v>20190303162458911</v>
      </c>
      <c r="B141" t="str">
        <f>"1551601498902540"</f>
        <v>1551601498902540</v>
      </c>
      <c r="C141" t="s">
        <v>40</v>
      </c>
      <c r="D141">
        <v>4.8069759999999997</v>
      </c>
      <c r="E141">
        <v>0.4795431</v>
      </c>
      <c r="F141" t="s">
        <v>44</v>
      </c>
      <c r="G141">
        <v>-423.2466</v>
      </c>
      <c r="H141">
        <v>-0.05</v>
      </c>
      <c r="I141">
        <v>368.81439999999998</v>
      </c>
      <c r="J141">
        <v>-455.40539999999999</v>
      </c>
      <c r="K141">
        <v>1.1208340000000001</v>
      </c>
      <c r="L141">
        <v>367.24669999999998</v>
      </c>
      <c r="M141">
        <v>0.99980190000000002</v>
      </c>
      <c r="N141">
        <v>-8.5291499999999992E-3</v>
      </c>
      <c r="O141">
        <v>1.798719E-2</v>
      </c>
      <c r="P141">
        <v>0.98594219999999999</v>
      </c>
      <c r="Q141">
        <v>0.1670401</v>
      </c>
      <c r="R141">
        <v>-3.9540720000000003E-3</v>
      </c>
      <c r="S141">
        <v>3.0626220000000002</v>
      </c>
      <c r="T141">
        <v>-0.1109266</v>
      </c>
      <c r="U141">
        <v>0.1488342</v>
      </c>
      <c r="V141">
        <v>2.1664800000000001E-2</v>
      </c>
      <c r="W141">
        <v>0.1754443</v>
      </c>
      <c r="X141">
        <v>0.98425099999999999</v>
      </c>
      <c r="Y141">
        <v>-3.0547399999999999E-2</v>
      </c>
      <c r="Z141">
        <v>1.8562219999999999E-4</v>
      </c>
      <c r="AA141">
        <v>0.99953329999999996</v>
      </c>
      <c r="AB141">
        <v>18</v>
      </c>
      <c r="AC141">
        <v>32.1587999999999</v>
      </c>
      <c r="AD141">
        <v>-1.1708339999999999</v>
      </c>
      <c r="AE141">
        <v>1.5677000000000001</v>
      </c>
      <c r="AF141">
        <v>-0.98767281381573402</v>
      </c>
      <c r="AG141">
        <v>-1.1708339999999999</v>
      </c>
      <c r="AH141">
        <v>32.139295690319202</v>
      </c>
      <c r="AI141">
        <v>92.085378032962694</v>
      </c>
      <c r="AJ141">
        <v>91.760202841300199</v>
      </c>
      <c r="AK141">
        <v>32.175777804312297</v>
      </c>
      <c r="AL141">
        <v>79.895485843554994</v>
      </c>
      <c r="AM141">
        <v>88.739039949908204</v>
      </c>
      <c r="AN141">
        <v>1.0000000484812599</v>
      </c>
    </row>
    <row r="142" spans="1:40" x14ac:dyDescent="0.25">
      <c r="A142" t="str">
        <f>"20190303162458933"</f>
        <v>20190303162458933</v>
      </c>
      <c r="B142" t="str">
        <f>"1551601498923035"</f>
        <v>1551601498923035</v>
      </c>
      <c r="C142" t="s">
        <v>40</v>
      </c>
      <c r="D142">
        <v>5.0112170000000003</v>
      </c>
      <c r="E142">
        <v>0.47974169999999999</v>
      </c>
      <c r="F142" t="s">
        <v>44</v>
      </c>
      <c r="G142">
        <v>-423.03739999999999</v>
      </c>
      <c r="H142">
        <v>-0.05</v>
      </c>
      <c r="I142">
        <v>368.83609999999999</v>
      </c>
      <c r="J142">
        <v>-455.22989999999999</v>
      </c>
      <c r="K142">
        <v>1.1208290000000001</v>
      </c>
      <c r="L142">
        <v>367.25</v>
      </c>
      <c r="M142">
        <v>0.9997994</v>
      </c>
      <c r="N142">
        <v>-8.5248990000000007E-3</v>
      </c>
      <c r="O142">
        <v>1.8130980000000001E-2</v>
      </c>
      <c r="P142">
        <v>0.98596689999999998</v>
      </c>
      <c r="Q142">
        <v>0.16691449999999999</v>
      </c>
      <c r="R142">
        <v>-3.0573850000000001E-3</v>
      </c>
      <c r="S142">
        <v>3.0621339999999999</v>
      </c>
      <c r="T142">
        <v>-0.1107653</v>
      </c>
      <c r="U142">
        <v>0.1503601</v>
      </c>
      <c r="V142">
        <v>2.091252E-2</v>
      </c>
      <c r="W142">
        <v>0.17531429999999901</v>
      </c>
      <c r="X142">
        <v>0.98429040000000001</v>
      </c>
      <c r="Y142">
        <v>-3.0908060000000001E-2</v>
      </c>
      <c r="Z142">
        <v>1.8969599999999999E-4</v>
      </c>
      <c r="AA142">
        <v>0.99952220000000003</v>
      </c>
      <c r="AB142">
        <v>18</v>
      </c>
      <c r="AC142">
        <v>32.192499999999903</v>
      </c>
      <c r="AD142">
        <v>-1.1708289999999999</v>
      </c>
      <c r="AE142">
        <v>1.5860999999999801</v>
      </c>
      <c r="AF142">
        <v>-1.00081592359784</v>
      </c>
      <c r="AG142">
        <v>-1.1708289999999999</v>
      </c>
      <c r="AH142">
        <v>32.173511977754401</v>
      </c>
      <c r="AI142">
        <v>92.083129154028796</v>
      </c>
      <c r="AJ142">
        <v>91.781715459606303</v>
      </c>
      <c r="AK142">
        <v>32.210360849311698</v>
      </c>
      <c r="AL142">
        <v>79.903051208278598</v>
      </c>
      <c r="AM142">
        <v>88.782860329814298</v>
      </c>
      <c r="AN142">
        <v>1.0000000144047001</v>
      </c>
    </row>
    <row r="143" spans="1:40" x14ac:dyDescent="0.25">
      <c r="A143" t="str">
        <f>"20190303162458955"</f>
        <v>20190303162458955</v>
      </c>
      <c r="B143" t="str">
        <f>"1551601498943063"</f>
        <v>1551601498943063</v>
      </c>
      <c r="C143" t="s">
        <v>40</v>
      </c>
      <c r="D143">
        <v>4.7554970000000001</v>
      </c>
      <c r="E143">
        <v>0.47988170000000002</v>
      </c>
      <c r="F143" t="s">
        <v>44</v>
      </c>
      <c r="G143">
        <v>-422.56180000000001</v>
      </c>
      <c r="H143">
        <v>-0.05</v>
      </c>
      <c r="I143">
        <v>368.85750000000002</v>
      </c>
      <c r="J143">
        <v>-455.05239999999998</v>
      </c>
      <c r="K143">
        <v>1.120816</v>
      </c>
      <c r="L143">
        <v>367.2534</v>
      </c>
      <c r="M143">
        <v>0.99979720000000005</v>
      </c>
      <c r="N143">
        <v>-8.5113080000000004E-3</v>
      </c>
      <c r="O143">
        <v>1.8262440000000001E-2</v>
      </c>
      <c r="P143">
        <v>0.98594550000000003</v>
      </c>
      <c r="Q143">
        <v>0.1670517</v>
      </c>
      <c r="R143">
        <v>-2.3908750000000002E-3</v>
      </c>
      <c r="S143">
        <v>3.0617679999999998</v>
      </c>
      <c r="T143">
        <v>-0.1097344</v>
      </c>
      <c r="U143">
        <v>0.150665299999999</v>
      </c>
      <c r="V143">
        <v>2.0378750000000001E-2</v>
      </c>
      <c r="W143">
        <v>0.1754378</v>
      </c>
      <c r="X143">
        <v>0.98427960000000003</v>
      </c>
      <c r="Y143">
        <v>-3.0882219999999998E-2</v>
      </c>
      <c r="Z143">
        <v>1.859672E-4</v>
      </c>
      <c r="AA143">
        <v>0.99952300000000005</v>
      </c>
      <c r="AB143">
        <v>18</v>
      </c>
      <c r="AC143">
        <v>32.490599999999901</v>
      </c>
      <c r="AD143">
        <v>-1.1708160000000001</v>
      </c>
      <c r="AE143">
        <v>1.6041000000000101</v>
      </c>
      <c r="AF143">
        <v>-1.00914620384537</v>
      </c>
      <c r="AG143">
        <v>-1.1708160000000001</v>
      </c>
      <c r="AH143">
        <v>32.472412090282901</v>
      </c>
      <c r="AI143">
        <v>92.063950164070405</v>
      </c>
      <c r="AJ143">
        <v>91.780009912139207</v>
      </c>
      <c r="AK143">
        <v>32.509179213381302</v>
      </c>
      <c r="AL143">
        <v>79.895863873726299</v>
      </c>
      <c r="AM143">
        <v>88.813904533977095</v>
      </c>
      <c r="AN143">
        <v>1.00000002304828</v>
      </c>
    </row>
    <row r="144" spans="1:40" x14ac:dyDescent="0.25">
      <c r="A144" t="str">
        <f>"20190303162458976"</f>
        <v>20190303162458976</v>
      </c>
      <c r="B144" t="str">
        <f>"1551601498962583"</f>
        <v>1551601498962583</v>
      </c>
      <c r="C144" t="s">
        <v>40</v>
      </c>
      <c r="D144">
        <v>4.762454</v>
      </c>
      <c r="E144">
        <v>0.48442560000000001</v>
      </c>
      <c r="F144" t="s">
        <v>44</v>
      </c>
      <c r="G144">
        <v>-421.9212</v>
      </c>
      <c r="H144">
        <v>-0.05</v>
      </c>
      <c r="I144">
        <v>368.89240000000001</v>
      </c>
      <c r="J144">
        <v>-454.88690000000003</v>
      </c>
      <c r="K144">
        <v>1.1207990000000001</v>
      </c>
      <c r="L144">
        <v>367.25650000000002</v>
      </c>
      <c r="M144">
        <v>0.99979530000000005</v>
      </c>
      <c r="N144">
        <v>-8.493858E-3</v>
      </c>
      <c r="O144">
        <v>1.837047E-2</v>
      </c>
      <c r="P144">
        <v>0.98594400000000004</v>
      </c>
      <c r="Q144">
        <v>0.16706360000000001</v>
      </c>
      <c r="R144">
        <v>-2.1125779999999999E-3</v>
      </c>
      <c r="S144">
        <v>3.061493</v>
      </c>
      <c r="T144">
        <v>-0.1081892</v>
      </c>
      <c r="U144">
        <v>0.1514587</v>
      </c>
      <c r="V144">
        <v>2.0211409999999999E-2</v>
      </c>
      <c r="W144">
        <v>0.1754317</v>
      </c>
      <c r="X144">
        <v>0.9842841</v>
      </c>
      <c r="Y144">
        <v>-3.103734E-2</v>
      </c>
      <c r="Z144">
        <v>1.8729320000000001E-4</v>
      </c>
      <c r="AA144">
        <v>0.99951820000000002</v>
      </c>
      <c r="AB144">
        <v>18</v>
      </c>
      <c r="AC144">
        <v>32.965699999999998</v>
      </c>
      <c r="AD144">
        <v>-1.1707989999999999</v>
      </c>
      <c r="AE144">
        <v>1.6358999999999899</v>
      </c>
      <c r="AF144">
        <v>-1.0287123573691701</v>
      </c>
      <c r="AG144">
        <v>-1.1707989999999999</v>
      </c>
      <c r="AH144">
        <v>32.948731709978098</v>
      </c>
      <c r="AI144">
        <v>92.034099496237005</v>
      </c>
      <c r="AJ144">
        <v>91.788285403148905</v>
      </c>
      <c r="AK144">
        <v>32.985571705045899</v>
      </c>
      <c r="AL144">
        <v>79.896218505402501</v>
      </c>
      <c r="AM144">
        <v>88.823646779216404</v>
      </c>
      <c r="AN144">
        <v>0.99999998598594397</v>
      </c>
    </row>
    <row r="145" spans="1:40" x14ac:dyDescent="0.25">
      <c r="A145" t="str">
        <f>"20190303162458998"</f>
        <v>20190303162458998</v>
      </c>
      <c r="B145" t="str">
        <f>"1551601498992839"</f>
        <v>1551601498992839</v>
      </c>
      <c r="C145" t="s">
        <v>40</v>
      </c>
      <c r="D145">
        <v>4.7226749999999997</v>
      </c>
      <c r="E145">
        <v>0.48727759999999998</v>
      </c>
      <c r="F145" t="s">
        <v>44</v>
      </c>
      <c r="G145">
        <v>-405.78739999999999</v>
      </c>
      <c r="H145">
        <v>-0.05</v>
      </c>
      <c r="I145">
        <v>369.125</v>
      </c>
      <c r="J145">
        <v>-454.71120000000002</v>
      </c>
      <c r="K145">
        <v>1.120773</v>
      </c>
      <c r="L145">
        <v>367.25990000000002</v>
      </c>
      <c r="M145">
        <v>0.99979359999999995</v>
      </c>
      <c r="N145">
        <v>-8.4721139999999993E-3</v>
      </c>
      <c r="O145">
        <v>1.8469510000000001E-2</v>
      </c>
      <c r="P145">
        <v>0.98583909999999997</v>
      </c>
      <c r="Q145">
        <v>0.16769189999999901</v>
      </c>
      <c r="R145">
        <v>-8.5044229999999997E-4</v>
      </c>
      <c r="S145">
        <v>3.0553279999999998</v>
      </c>
      <c r="T145">
        <v>-7.2855710000000004E-2</v>
      </c>
      <c r="U145">
        <v>0.116272</v>
      </c>
      <c r="V145">
        <v>1.904985E-2</v>
      </c>
      <c r="W145">
        <v>0.17603769999999999</v>
      </c>
      <c r="X145">
        <v>0.98419909999999999</v>
      </c>
      <c r="Y145">
        <v>-1.9559300000000002E-2</v>
      </c>
      <c r="Z145" s="1">
        <v>3.2277850000000001E-5</v>
      </c>
      <c r="AA145">
        <v>0.99980869999999999</v>
      </c>
      <c r="AB145">
        <v>18</v>
      </c>
      <c r="AC145">
        <v>48.9238</v>
      </c>
      <c r="AD145">
        <v>-1.1707730000000001</v>
      </c>
      <c r="AE145">
        <v>1.86509999999998</v>
      </c>
      <c r="AF145">
        <v>-0.96060154634781902</v>
      </c>
      <c r="AG145">
        <v>-1.1707730000000001</v>
      </c>
      <c r="AH145">
        <v>48.9219273942754</v>
      </c>
      <c r="AI145">
        <v>91.370645709006297</v>
      </c>
      <c r="AJ145">
        <v>91.124880920139802</v>
      </c>
      <c r="AK145">
        <v>48.945361830505703</v>
      </c>
      <c r="AL145">
        <v>79.860948706080293</v>
      </c>
      <c r="AM145">
        <v>88.891139270999105</v>
      </c>
      <c r="AN145">
        <v>1.00000001852356</v>
      </c>
    </row>
    <row r="146" spans="1:40" x14ac:dyDescent="0.25">
      <c r="A146" t="str">
        <f>"20190303162459153"</f>
        <v>20190303162459153</v>
      </c>
      <c r="B146" t="str">
        <f>"1551601499143125"</f>
        <v>1551601499143125</v>
      </c>
      <c r="C146" t="s">
        <v>40</v>
      </c>
      <c r="D146">
        <v>4.7990269999999997</v>
      </c>
      <c r="E146">
        <v>0.48727759999999998</v>
      </c>
      <c r="F146" t="s">
        <v>41</v>
      </c>
      <c r="G146">
        <v>-398.98309999999998</v>
      </c>
      <c r="H146" s="1">
        <v>-5.2111350000000003E-7</v>
      </c>
      <c r="I146">
        <v>369.03809999999999</v>
      </c>
      <c r="J146">
        <v>-453.4504</v>
      </c>
      <c r="K146">
        <v>1.1205609999999999</v>
      </c>
      <c r="L146">
        <v>367.28390000000002</v>
      </c>
      <c r="M146">
        <v>0.99979320000000005</v>
      </c>
      <c r="N146">
        <v>-7.5843150000000003E-3</v>
      </c>
      <c r="O146">
        <v>1.8870379999999999E-2</v>
      </c>
      <c r="P146">
        <v>0.98573730000000004</v>
      </c>
      <c r="Q146">
        <v>0.16822309999999999</v>
      </c>
      <c r="R146">
        <v>-4.8147290000000002E-3</v>
      </c>
      <c r="S146">
        <v>3.0536189999999999</v>
      </c>
      <c r="T146">
        <v>-6.1412689999999999E-2</v>
      </c>
      <c r="U146">
        <v>9.7442630000000002E-2</v>
      </c>
      <c r="V146">
        <v>2.341495E-2</v>
      </c>
      <c r="W146">
        <v>0.17569270000000001</v>
      </c>
      <c r="X146">
        <v>0.9841666</v>
      </c>
      <c r="Y146">
        <v>-1.3025159999999999E-2</v>
      </c>
      <c r="Z146" s="1">
        <v>-5.5893139999999998E-5</v>
      </c>
      <c r="AA146">
        <v>0.9999152</v>
      </c>
      <c r="AB146">
        <v>18</v>
      </c>
      <c r="AC146">
        <v>54.467300000000002</v>
      </c>
      <c r="AD146">
        <v>-1.1205615211135</v>
      </c>
      <c r="AE146">
        <v>1.75419999999996</v>
      </c>
      <c r="AF146">
        <v>-0.72573259447189797</v>
      </c>
      <c r="AG146">
        <v>-1.1205615211135</v>
      </c>
      <c r="AH146">
        <v>54.467674585194203</v>
      </c>
      <c r="AI146">
        <v>91.178473191009502</v>
      </c>
      <c r="AJ146">
        <v>90.763369367717402</v>
      </c>
      <c r="AK146">
        <v>54.484033630412199</v>
      </c>
      <c r="AL146">
        <v>79.881028937641503</v>
      </c>
      <c r="AM146">
        <v>88.637095824713697</v>
      </c>
      <c r="AN146">
        <v>1.00000004063617</v>
      </c>
    </row>
    <row r="147" spans="1:40" x14ac:dyDescent="0.25">
      <c r="A147" t="str">
        <f>"20190303162459175"</f>
        <v>20190303162459175</v>
      </c>
      <c r="B147" t="str">
        <f>"1551601499172405"</f>
        <v>1551601499172405</v>
      </c>
      <c r="C147" t="s">
        <v>40</v>
      </c>
      <c r="D147">
        <v>4.6906040000000004</v>
      </c>
      <c r="E147">
        <v>0.521119</v>
      </c>
      <c r="F147" t="s">
        <v>41</v>
      </c>
      <c r="G147">
        <v>-396.16460000000001</v>
      </c>
      <c r="H147" s="1">
        <v>-1.75732E-6</v>
      </c>
      <c r="I147">
        <v>368.88549999999998</v>
      </c>
      <c r="J147">
        <v>-453.26960000000003</v>
      </c>
      <c r="K147">
        <v>1.1205160000000001</v>
      </c>
      <c r="L147">
        <v>367.28739999999999</v>
      </c>
      <c r="M147">
        <v>0.99979450000000003</v>
      </c>
      <c r="N147">
        <v>-7.3158700000000004E-3</v>
      </c>
      <c r="O147">
        <v>1.8918859999999999E-2</v>
      </c>
      <c r="P147">
        <v>0.98564549999999995</v>
      </c>
      <c r="Q147">
        <v>0.16875399999999999</v>
      </c>
      <c r="R147">
        <v>-5.0390610000000001E-3</v>
      </c>
      <c r="S147">
        <v>3.0539860000000001</v>
      </c>
      <c r="T147">
        <v>-5.9738640000000003E-2</v>
      </c>
      <c r="U147">
        <v>8.5388179999999994E-2</v>
      </c>
      <c r="V147">
        <v>2.3684489999999999E-2</v>
      </c>
      <c r="W147">
        <v>0.17595839999999999</v>
      </c>
      <c r="X147">
        <v>0.9841126</v>
      </c>
      <c r="Y147">
        <v>-9.0307410000000001E-3</v>
      </c>
      <c r="Z147">
        <v>-1.1018699999999999E-4</v>
      </c>
      <c r="AA147">
        <v>0.99995919999999905</v>
      </c>
      <c r="AB147">
        <v>18</v>
      </c>
      <c r="AC147">
        <v>57.104999999999997</v>
      </c>
      <c r="AD147">
        <v>-1.12051775732</v>
      </c>
      <c r="AE147">
        <v>1.5980999999999801</v>
      </c>
      <c r="AF147">
        <v>-0.51722482221527599</v>
      </c>
      <c r="AG147">
        <v>-1.12051775732</v>
      </c>
      <c r="AH147">
        <v>57.103045062355399</v>
      </c>
      <c r="AI147">
        <v>91.124109362942306</v>
      </c>
      <c r="AJ147">
        <v>90.518956369835905</v>
      </c>
      <c r="AK147">
        <v>57.116379760578099</v>
      </c>
      <c r="AL147">
        <v>79.865563724869503</v>
      </c>
      <c r="AM147">
        <v>88.621337226697506</v>
      </c>
      <c r="AN147">
        <v>0.99999996153793902</v>
      </c>
    </row>
    <row r="148" spans="1:40" x14ac:dyDescent="0.25">
      <c r="A148" t="str">
        <f>"20190303162459198"</f>
        <v>20190303162459198</v>
      </c>
      <c r="B148" t="str">
        <f>"1551601499192901"</f>
        <v>1551601499192901</v>
      </c>
      <c r="C148" t="s">
        <v>40</v>
      </c>
      <c r="D148">
        <v>4.7097230000000003</v>
      </c>
      <c r="E148">
        <v>0.52273499999999995</v>
      </c>
      <c r="F148" t="s">
        <v>42</v>
      </c>
      <c r="G148">
        <v>-452.6182</v>
      </c>
      <c r="H148">
        <v>0.8082201</v>
      </c>
      <c r="I148">
        <v>367.24979999999999</v>
      </c>
      <c r="J148">
        <v>-453.0729</v>
      </c>
      <c r="K148">
        <v>1.120471</v>
      </c>
      <c r="L148">
        <v>367.2912</v>
      </c>
      <c r="M148">
        <v>0.9997954</v>
      </c>
      <c r="N148">
        <v>-7.0233939999999996E-3</v>
      </c>
      <c r="O148">
        <v>1.8974540000000002E-2</v>
      </c>
      <c r="P148">
        <v>0.98552819999999997</v>
      </c>
      <c r="Q148">
        <v>0.16943910000000001</v>
      </c>
      <c r="R148">
        <v>-4.9510759999999996E-3</v>
      </c>
      <c r="S148">
        <v>3.3147890000000002</v>
      </c>
      <c r="T148">
        <v>-1.5891470000000001</v>
      </c>
      <c r="U148">
        <v>-0.18926999999999999</v>
      </c>
      <c r="V148">
        <v>2.364836E-2</v>
      </c>
      <c r="W148">
        <v>0.1763555</v>
      </c>
      <c r="X148">
        <v>0.98404239999999998</v>
      </c>
      <c r="Y148">
        <v>6.6584069999999995E-2</v>
      </c>
      <c r="Z148">
        <v>-2.3866419999999999E-2</v>
      </c>
      <c r="AA148">
        <v>0.99749540000000003</v>
      </c>
      <c r="AB148">
        <v>19</v>
      </c>
      <c r="AC148">
        <v>0.45470000000000199</v>
      </c>
      <c r="AD148">
        <v>-0.3122509</v>
      </c>
      <c r="AE148">
        <v>-4.1400000000009998E-2</v>
      </c>
      <c r="AF148">
        <v>3.40807449737551E-2</v>
      </c>
      <c r="AG148">
        <v>-0.3122509</v>
      </c>
      <c r="AH148">
        <v>0.309212378537435</v>
      </c>
      <c r="AI148">
        <v>135.107179635085</v>
      </c>
      <c r="AJ148">
        <v>83.710365221180595</v>
      </c>
      <c r="AK148">
        <v>0.44076571641809198</v>
      </c>
      <c r="AL148">
        <v>79.842450271398903</v>
      </c>
      <c r="AM148">
        <v>88.623341362968603</v>
      </c>
      <c r="AN148">
        <v>0.99999997615434899</v>
      </c>
    </row>
    <row r="149" spans="1:40" x14ac:dyDescent="0.25">
      <c r="A149" t="str">
        <f>"20190303162459221"</f>
        <v>20190303162459221</v>
      </c>
      <c r="B149" t="str">
        <f>"1551601499212423"</f>
        <v>1551601499212423</v>
      </c>
      <c r="C149" t="s">
        <v>40</v>
      </c>
      <c r="D149">
        <v>4.7614340000000004</v>
      </c>
      <c r="E149">
        <v>0.52372039999999997</v>
      </c>
      <c r="F149" t="s">
        <v>42</v>
      </c>
      <c r="G149">
        <v>-452.28699999999998</v>
      </c>
      <c r="H149">
        <v>0.79251470000000002</v>
      </c>
      <c r="I149">
        <v>367.24290000000002</v>
      </c>
      <c r="J149">
        <v>-452.88170000000002</v>
      </c>
      <c r="K149">
        <v>1.1204400000000001</v>
      </c>
      <c r="L149">
        <v>367.29489999999998</v>
      </c>
      <c r="M149">
        <v>0.99979600000000002</v>
      </c>
      <c r="N149">
        <v>-6.7609999999999996E-3</v>
      </c>
      <c r="O149">
        <v>1.9031090000000001E-2</v>
      </c>
      <c r="P149">
        <v>0.98538320000000001</v>
      </c>
      <c r="Q149">
        <v>0.1702969</v>
      </c>
      <c r="R149">
        <v>-4.3945770000000002E-3</v>
      </c>
      <c r="S149">
        <v>3.2782290000000001</v>
      </c>
      <c r="T149">
        <v>-1.367902</v>
      </c>
      <c r="U149">
        <v>-0.2005005</v>
      </c>
      <c r="V149">
        <v>2.3143830000000001E-2</v>
      </c>
      <c r="W149">
        <v>0.1769539</v>
      </c>
      <c r="X149">
        <v>0.98394700000000002</v>
      </c>
      <c r="Y149">
        <v>7.2364680000000001E-2</v>
      </c>
      <c r="Z149">
        <v>-2.222857E-2</v>
      </c>
      <c r="AA149">
        <v>0.99713050000000003</v>
      </c>
      <c r="AB149">
        <v>19</v>
      </c>
      <c r="AC149">
        <v>0.59470000000004497</v>
      </c>
      <c r="AD149">
        <v>-0.32792529999999898</v>
      </c>
      <c r="AE149">
        <v>-5.1999999999963999E-2</v>
      </c>
      <c r="AF149">
        <v>4.86335071114131E-2</v>
      </c>
      <c r="AG149">
        <v>-0.32792529999999898</v>
      </c>
      <c r="AH149">
        <v>0.45600384400183402</v>
      </c>
      <c r="AI149">
        <v>125.567537489651</v>
      </c>
      <c r="AJ149">
        <v>83.912329424471693</v>
      </c>
      <c r="AK149">
        <v>0.56377276108241903</v>
      </c>
      <c r="AL149">
        <v>79.807616983541806</v>
      </c>
      <c r="AM149">
        <v>88.652570398433397</v>
      </c>
      <c r="AN149">
        <v>1.00000000920063</v>
      </c>
    </row>
    <row r="150" spans="1:40" x14ac:dyDescent="0.25">
      <c r="A150" t="str">
        <f>"20190303162459242"</f>
        <v>20190303162459242</v>
      </c>
      <c r="B150" t="str">
        <f>"1551601499233893"</f>
        <v>1551601499233893</v>
      </c>
      <c r="C150" t="s">
        <v>40</v>
      </c>
      <c r="D150">
        <v>4.7895469999999998</v>
      </c>
      <c r="E150">
        <v>0.52396969999999998</v>
      </c>
      <c r="F150" t="s">
        <v>42</v>
      </c>
      <c r="G150">
        <v>-452.1071</v>
      </c>
      <c r="H150">
        <v>0.81727019999999995</v>
      </c>
      <c r="I150">
        <v>367.24579999999997</v>
      </c>
      <c r="J150">
        <v>-452.69630000000001</v>
      </c>
      <c r="K150">
        <v>1.1204259999999999</v>
      </c>
      <c r="L150">
        <v>367.29840000000002</v>
      </c>
      <c r="M150">
        <v>0.99979660000000004</v>
      </c>
      <c r="N150">
        <v>-6.5356260000000001E-3</v>
      </c>
      <c r="O150">
        <v>1.9086100000000002E-2</v>
      </c>
      <c r="P150">
        <v>0.9851626</v>
      </c>
      <c r="Q150">
        <v>0.17158860000000001</v>
      </c>
      <c r="R150">
        <v>-3.5464120000000001E-3</v>
      </c>
      <c r="S150">
        <v>3.264465</v>
      </c>
      <c r="T150">
        <v>-1.2778890000000001</v>
      </c>
      <c r="U150">
        <v>-0.20635990000000001</v>
      </c>
      <c r="V150">
        <v>2.234475E-2</v>
      </c>
      <c r="W150">
        <v>0.17802290000000001</v>
      </c>
      <c r="X150">
        <v>0.9837726</v>
      </c>
      <c r="Y150">
        <v>7.5134989999999999E-2</v>
      </c>
      <c r="Z150">
        <v>-2.1503100000000001E-2</v>
      </c>
      <c r="AA150">
        <v>0.99694150000000004</v>
      </c>
      <c r="AB150">
        <v>19</v>
      </c>
      <c r="AC150">
        <v>0.58920000000000505</v>
      </c>
      <c r="AD150">
        <v>-0.30315579999999998</v>
      </c>
      <c r="AE150">
        <v>-5.2600000000040802E-2</v>
      </c>
      <c r="AF150">
        <v>5.0557760817870202E-2</v>
      </c>
      <c r="AG150">
        <v>-0.30315579999999998</v>
      </c>
      <c r="AH150">
        <v>0.46576166451179402</v>
      </c>
      <c r="AI150">
        <v>122.90612947245</v>
      </c>
      <c r="AJ150">
        <v>83.804881237158298</v>
      </c>
      <c r="AK150">
        <v>0.55802639219068695</v>
      </c>
      <c r="AL150">
        <v>79.745379389048296</v>
      </c>
      <c r="AM150">
        <v>88.698845874148802</v>
      </c>
      <c r="AN150">
        <v>0.99999998464386597</v>
      </c>
    </row>
    <row r="151" spans="1:40" x14ac:dyDescent="0.25">
      <c r="A151" t="str">
        <f>"20190303162459265"</f>
        <v>20190303162459265</v>
      </c>
      <c r="B151" t="str">
        <f>"1551601499263173"</f>
        <v>1551601499263173</v>
      </c>
      <c r="C151" t="s">
        <v>40</v>
      </c>
      <c r="D151">
        <v>4.8152039999999996</v>
      </c>
      <c r="E151">
        <v>0.52430980000000005</v>
      </c>
      <c r="F151" t="s">
        <v>42</v>
      </c>
      <c r="G151">
        <v>-451.93029999999999</v>
      </c>
      <c r="H151">
        <v>0.83204159999999905</v>
      </c>
      <c r="I151">
        <v>367.24979999999999</v>
      </c>
      <c r="J151">
        <v>-452.50639999999999</v>
      </c>
      <c r="K151">
        <v>1.1204160000000001</v>
      </c>
      <c r="L151">
        <v>367.30220000000003</v>
      </c>
      <c r="M151">
        <v>0.99979660000000004</v>
      </c>
      <c r="N151">
        <v>-6.3386319999999899E-3</v>
      </c>
      <c r="O151">
        <v>1.914356E-2</v>
      </c>
      <c r="P151">
        <v>0.98490549999999999</v>
      </c>
      <c r="Q151">
        <v>0.1730621</v>
      </c>
      <c r="R151">
        <v>-3.2813730000000002E-3</v>
      </c>
      <c r="S151">
        <v>3.2580870000000002</v>
      </c>
      <c r="T151">
        <v>-1.226615</v>
      </c>
      <c r="U151">
        <v>-0.20538329999999999</v>
      </c>
      <c r="V151">
        <v>2.213064E-2</v>
      </c>
      <c r="W151">
        <v>0.17930090000000001</v>
      </c>
      <c r="X151">
        <v>0.98354540000000001</v>
      </c>
      <c r="Y151">
        <v>7.5496300000000002E-2</v>
      </c>
      <c r="Z151">
        <v>-2.0821630000000001E-2</v>
      </c>
      <c r="AA151">
        <v>0.9969287</v>
      </c>
      <c r="AB151">
        <v>19</v>
      </c>
      <c r="AC151">
        <v>0.57609999999999595</v>
      </c>
      <c r="AD151">
        <v>-0.28837439999999998</v>
      </c>
      <c r="AE151">
        <v>-5.2400000000034197E-2</v>
      </c>
      <c r="AF151">
        <v>5.07960300278473E-2</v>
      </c>
      <c r="AG151">
        <v>-0.28837439999999998</v>
      </c>
      <c r="AH151">
        <v>0.46054291466952002</v>
      </c>
      <c r="AI151">
        <v>121.89762010950101</v>
      </c>
      <c r="AJ151">
        <v>83.705946643926197</v>
      </c>
      <c r="AK151">
        <v>0.54574701785190405</v>
      </c>
      <c r="AL151">
        <v>79.670958823348798</v>
      </c>
      <c r="AM151">
        <v>88.711011871527603</v>
      </c>
      <c r="AN151">
        <v>1.00000006591438</v>
      </c>
    </row>
    <row r="152" spans="1:40" x14ac:dyDescent="0.25">
      <c r="A152" t="str">
        <f>"20190303162459288"</f>
        <v>20190303162459288</v>
      </c>
      <c r="B152" t="str">
        <f>"1551601499282693"</f>
        <v>1551601499282693</v>
      </c>
      <c r="C152" t="s">
        <v>40</v>
      </c>
      <c r="D152">
        <v>4.8473059999999997</v>
      </c>
      <c r="E152">
        <v>0.52398859999999903</v>
      </c>
      <c r="F152" t="s">
        <v>42</v>
      </c>
      <c r="G152">
        <v>-451.75229999999999</v>
      </c>
      <c r="H152">
        <v>0.84730360000000005</v>
      </c>
      <c r="I152">
        <v>367.25420000000003</v>
      </c>
      <c r="J152">
        <v>-452.30399999999997</v>
      </c>
      <c r="K152">
        <v>1.1204080000000001</v>
      </c>
      <c r="L152">
        <v>367.30610000000001</v>
      </c>
      <c r="M152">
        <v>0.99979660000000004</v>
      </c>
      <c r="N152">
        <v>-6.1639779999999996E-3</v>
      </c>
      <c r="O152">
        <v>1.920475E-2</v>
      </c>
      <c r="P152">
        <v>0.98469280000000003</v>
      </c>
      <c r="Q152">
        <v>0.1742737</v>
      </c>
      <c r="R152">
        <v>-2.996547E-3</v>
      </c>
      <c r="S152">
        <v>3.2521969999999998</v>
      </c>
      <c r="T152">
        <v>-1.177762</v>
      </c>
      <c r="U152">
        <v>-0.2058411</v>
      </c>
      <c r="V152">
        <v>2.1901190000000001E-2</v>
      </c>
      <c r="W152">
        <v>0.18033940000000001</v>
      </c>
      <c r="X152">
        <v>0.98336060000000003</v>
      </c>
      <c r="Y152">
        <v>7.6231359999999998E-2</v>
      </c>
      <c r="Z152">
        <v>-2.0229090000000002E-2</v>
      </c>
      <c r="AA152">
        <v>0.99688489999999996</v>
      </c>
      <c r="AB152">
        <v>19</v>
      </c>
      <c r="AC152">
        <v>0.55170000000003905</v>
      </c>
      <c r="AD152">
        <v>-0.27310440000000002</v>
      </c>
      <c r="AE152">
        <v>-5.1899999999989101E-2</v>
      </c>
      <c r="AF152">
        <v>5.02743272429391E-2</v>
      </c>
      <c r="AG152">
        <v>-0.27310440000000002</v>
      </c>
      <c r="AH152">
        <v>0.44299793691358502</v>
      </c>
      <c r="AI152">
        <v>121.48994165990401</v>
      </c>
      <c r="AJ152">
        <v>83.525398189764999</v>
      </c>
      <c r="AK152">
        <v>0.52283907025850995</v>
      </c>
      <c r="AL152">
        <v>79.610470648840504</v>
      </c>
      <c r="AM152">
        <v>88.7241319880345</v>
      </c>
      <c r="AN152">
        <v>1.00000001547406</v>
      </c>
    </row>
    <row r="153" spans="1:40" x14ac:dyDescent="0.25">
      <c r="A153" t="str">
        <f>"20190303162459311"</f>
        <v>20190303162459311</v>
      </c>
      <c r="B153" t="str">
        <f>"1551601499303189"</f>
        <v>1551601499303189</v>
      </c>
      <c r="C153" t="s">
        <v>40</v>
      </c>
      <c r="D153">
        <v>4.8929080000000003</v>
      </c>
      <c r="E153">
        <v>0.52390930000000002</v>
      </c>
      <c r="F153" t="s">
        <v>42</v>
      </c>
      <c r="G153">
        <v>-451.57400000000001</v>
      </c>
      <c r="H153">
        <v>0.86063230000000002</v>
      </c>
      <c r="I153">
        <v>367.26029999999997</v>
      </c>
      <c r="J153">
        <v>-452.1062</v>
      </c>
      <c r="K153">
        <v>1.1204099999999999</v>
      </c>
      <c r="L153">
        <v>367.30990000000003</v>
      </c>
      <c r="M153">
        <v>0.99979629999999997</v>
      </c>
      <c r="N153">
        <v>-6.0221419999999899E-3</v>
      </c>
      <c r="O153">
        <v>1.9265279999999999E-2</v>
      </c>
      <c r="P153">
        <v>0.98449810000000004</v>
      </c>
      <c r="Q153">
        <v>0.17536740000000001</v>
      </c>
      <c r="R153">
        <v>-3.1223560000000002E-3</v>
      </c>
      <c r="S153">
        <v>3.2507320000000002</v>
      </c>
      <c r="T153">
        <v>-1.1567909999999999</v>
      </c>
      <c r="U153">
        <v>-0.20227049999999999</v>
      </c>
      <c r="V153">
        <v>2.2082069999999999E-2</v>
      </c>
      <c r="W153">
        <v>0.18129239999999999</v>
      </c>
      <c r="X153">
        <v>0.98318130000000004</v>
      </c>
      <c r="Y153">
        <v>7.5476390000000004E-2</v>
      </c>
      <c r="Z153">
        <v>-1.978562E-2</v>
      </c>
      <c r="AA153">
        <v>0.99695129999999998</v>
      </c>
      <c r="AB153">
        <v>19</v>
      </c>
      <c r="AC153">
        <v>0.53219999999998802</v>
      </c>
      <c r="AD153">
        <v>-0.2597777</v>
      </c>
      <c r="AE153">
        <v>-4.9600000000054899E-2</v>
      </c>
      <c r="AF153">
        <v>4.8409224830933399E-2</v>
      </c>
      <c r="AG153">
        <v>-0.2597777</v>
      </c>
      <c r="AH153">
        <v>0.42965653194049003</v>
      </c>
      <c r="AI153">
        <v>120.99810689708301</v>
      </c>
      <c r="AJ153">
        <v>83.571618161580403</v>
      </c>
      <c r="AK153">
        <v>0.50441316587213603</v>
      </c>
      <c r="AL153">
        <v>79.554952610633194</v>
      </c>
      <c r="AM153">
        <v>88.713363714151001</v>
      </c>
      <c r="AN153">
        <v>1.0000000103914599</v>
      </c>
    </row>
    <row r="154" spans="1:40" x14ac:dyDescent="0.25">
      <c r="A154" t="str">
        <f>"20190303162459334"</f>
        <v>20190303162459334</v>
      </c>
      <c r="B154" t="str">
        <f>"1551601499322710"</f>
        <v>1551601499322710</v>
      </c>
      <c r="C154" t="s">
        <v>40</v>
      </c>
      <c r="D154">
        <v>4.8998609999999996</v>
      </c>
      <c r="E154">
        <v>0.52442440000000001</v>
      </c>
      <c r="F154" t="s">
        <v>42</v>
      </c>
      <c r="G154">
        <v>-451.39569999999998</v>
      </c>
      <c r="H154">
        <v>0.87139789999999995</v>
      </c>
      <c r="I154">
        <v>367.26549999999997</v>
      </c>
      <c r="J154">
        <v>-451.90640000000002</v>
      </c>
      <c r="K154">
        <v>1.1204099999999999</v>
      </c>
      <c r="L154">
        <v>367.31380000000001</v>
      </c>
      <c r="M154">
        <v>0.99979580000000001</v>
      </c>
      <c r="N154">
        <v>-5.9022550000000003E-3</v>
      </c>
      <c r="O154">
        <v>1.9326570000000001E-2</v>
      </c>
      <c r="P154">
        <v>0.98433389999999998</v>
      </c>
      <c r="Q154">
        <v>0.1762716</v>
      </c>
      <c r="R154">
        <v>-3.881893E-3</v>
      </c>
      <c r="S154">
        <v>3.2494200000000002</v>
      </c>
      <c r="T154">
        <v>-1.138779</v>
      </c>
      <c r="U154">
        <v>-0.2015381</v>
      </c>
      <c r="V154">
        <v>2.2898169999999999E-2</v>
      </c>
      <c r="W154">
        <v>0.1820773</v>
      </c>
      <c r="X154">
        <v>0.98301760000000005</v>
      </c>
      <c r="Y154">
        <v>7.5504660000000001E-2</v>
      </c>
      <c r="Z154">
        <v>-1.9526910000000001E-2</v>
      </c>
      <c r="AA154">
        <v>0.99695429999999996</v>
      </c>
      <c r="AB154">
        <v>19</v>
      </c>
      <c r="AC154">
        <v>0.51070000000004201</v>
      </c>
      <c r="AD154">
        <v>-0.24901209999999999</v>
      </c>
      <c r="AE154">
        <v>-4.83000000000402E-2</v>
      </c>
      <c r="AF154">
        <v>4.7069868734739603E-2</v>
      </c>
      <c r="AG154">
        <v>-0.24901209999999999</v>
      </c>
      <c r="AH154">
        <v>0.41247671150576398</v>
      </c>
      <c r="AI154">
        <v>120.955624234892</v>
      </c>
      <c r="AJ154">
        <v>83.489841358312404</v>
      </c>
      <c r="AK154">
        <v>0.48410705016940703</v>
      </c>
      <c r="AL154">
        <v>79.509220284037994</v>
      </c>
      <c r="AM154">
        <v>88.665607527395807</v>
      </c>
      <c r="AN154">
        <v>1.0000000356371901</v>
      </c>
    </row>
    <row r="155" spans="1:40" x14ac:dyDescent="0.25">
      <c r="A155" t="str">
        <f>"20190303162459357"</f>
        <v>20190303162459357</v>
      </c>
      <c r="B155" t="str">
        <f>"1551601499352967"</f>
        <v>1551601499352967</v>
      </c>
      <c r="C155" t="s">
        <v>40</v>
      </c>
      <c r="D155">
        <v>4.8861650000000001</v>
      </c>
      <c r="E155">
        <v>0.52548409999999901</v>
      </c>
      <c r="F155" t="s">
        <v>42</v>
      </c>
      <c r="G155">
        <v>-451.21679999999998</v>
      </c>
      <c r="H155">
        <v>0.8811504</v>
      </c>
      <c r="I155">
        <v>367.26960000000003</v>
      </c>
      <c r="J155">
        <v>-451.70060000000001</v>
      </c>
      <c r="K155">
        <v>1.120409</v>
      </c>
      <c r="L155">
        <v>367.31790000000001</v>
      </c>
      <c r="M155">
        <v>0.99979510000000005</v>
      </c>
      <c r="N155">
        <v>-5.7984000000000004E-3</v>
      </c>
      <c r="O155">
        <v>1.939018E-2</v>
      </c>
      <c r="P155">
        <v>0.98421250000000005</v>
      </c>
      <c r="Q155">
        <v>0.1769271</v>
      </c>
      <c r="R155">
        <v>-4.7502880000000001E-3</v>
      </c>
      <c r="S155">
        <v>3.2487490000000001</v>
      </c>
      <c r="T155">
        <v>-1.1271789999999999</v>
      </c>
      <c r="U155">
        <v>-0.2076721</v>
      </c>
      <c r="V155">
        <v>2.3826279999999998E-2</v>
      </c>
      <c r="W155">
        <v>0.1826305</v>
      </c>
      <c r="X155">
        <v>0.98289289999999996</v>
      </c>
      <c r="Y155">
        <v>7.7447580000000002E-2</v>
      </c>
      <c r="Z155">
        <v>-1.9694670000000001E-2</v>
      </c>
      <c r="AA155">
        <v>0.99680190000000002</v>
      </c>
      <c r="AB155">
        <v>19</v>
      </c>
      <c r="AC155">
        <v>0.48380000000002998</v>
      </c>
      <c r="AD155">
        <v>-0.23925859999999899</v>
      </c>
      <c r="AE155">
        <v>-4.8299999999983301E-2</v>
      </c>
      <c r="AF155">
        <v>4.6428967788175797E-2</v>
      </c>
      <c r="AG155">
        <v>-0.23925859999999899</v>
      </c>
      <c r="AH155">
        <v>0.38865670942967001</v>
      </c>
      <c r="AI155">
        <v>121.43568636302</v>
      </c>
      <c r="AJ155">
        <v>83.187723628080505</v>
      </c>
      <c r="AK155">
        <v>0.45875305395008997</v>
      </c>
      <c r="AL155">
        <v>79.476983603221299</v>
      </c>
      <c r="AM155">
        <v>88.611366526290197</v>
      </c>
      <c r="AN155">
        <v>1.0000000220096401</v>
      </c>
    </row>
    <row r="156" spans="1:40" x14ac:dyDescent="0.25">
      <c r="A156" t="str">
        <f>"20190303162459401"</f>
        <v>20190303162459401</v>
      </c>
      <c r="B156" t="str">
        <f>"1551601499392982"</f>
        <v>1551601499392982</v>
      </c>
      <c r="C156" t="s">
        <v>40</v>
      </c>
      <c r="D156">
        <v>4.9458869999999999</v>
      </c>
      <c r="E156">
        <v>0.52671780000000001</v>
      </c>
      <c r="F156" t="s">
        <v>42</v>
      </c>
      <c r="G156">
        <v>-451.03629999999998</v>
      </c>
      <c r="H156">
        <v>0.89249480000000003</v>
      </c>
      <c r="I156">
        <v>367.27289999999999</v>
      </c>
      <c r="J156">
        <v>-451.31799999999998</v>
      </c>
      <c r="K156">
        <v>1.1204000000000001</v>
      </c>
      <c r="L156">
        <v>367.3254</v>
      </c>
      <c r="M156">
        <v>0.99979379999999995</v>
      </c>
      <c r="N156">
        <v>-5.6512740000000004E-3</v>
      </c>
      <c r="O156">
        <v>1.9507610000000002E-2</v>
      </c>
      <c r="P156">
        <v>0.98395900000000003</v>
      </c>
      <c r="Q156">
        <v>0.178304399999999</v>
      </c>
      <c r="R156">
        <v>-5.6905849999999997E-3</v>
      </c>
      <c r="S156">
        <v>3.2473450000000001</v>
      </c>
      <c r="T156">
        <v>-1.11409</v>
      </c>
      <c r="U156">
        <v>-0.21917719999999999</v>
      </c>
      <c r="V156">
        <v>2.4876590000000001E-2</v>
      </c>
      <c r="W156">
        <v>0.18386150000000001</v>
      </c>
      <c r="X156">
        <v>0.98263730000000005</v>
      </c>
      <c r="Y156">
        <v>8.1019540000000001E-2</v>
      </c>
      <c r="Z156">
        <v>-2.012628E-2</v>
      </c>
      <c r="AA156">
        <v>0.99650930000000004</v>
      </c>
      <c r="AB156">
        <v>20</v>
      </c>
      <c r="AC156">
        <v>0.28170000000005702</v>
      </c>
      <c r="AD156">
        <v>-0.2279052</v>
      </c>
      <c r="AE156">
        <v>-5.2500000000008998E-2</v>
      </c>
      <c r="AF156">
        <v>3.5517928518508303E-2</v>
      </c>
      <c r="AG156">
        <v>-0.2279052</v>
      </c>
      <c r="AH156">
        <v>0.17189019721159199</v>
      </c>
      <c r="AI156">
        <v>142.398300071054</v>
      </c>
      <c r="AJ156">
        <v>78.325194795581098</v>
      </c>
      <c r="AK156">
        <v>0.28766046535929402</v>
      </c>
      <c r="AL156">
        <v>79.405237172830198</v>
      </c>
      <c r="AM156">
        <v>88.549801404218101</v>
      </c>
      <c r="AN156">
        <v>0.999999979631783</v>
      </c>
    </row>
    <row r="157" spans="1:40" x14ac:dyDescent="0.25">
      <c r="A157" t="str">
        <f>"20190303162459423"</f>
        <v>20190303162459423</v>
      </c>
      <c r="B157" t="str">
        <f>"1551601499412502"</f>
        <v>1551601499412502</v>
      </c>
      <c r="C157" t="s">
        <v>40</v>
      </c>
      <c r="D157">
        <v>4.9813839999999896</v>
      </c>
      <c r="E157">
        <v>0.52715800000000002</v>
      </c>
      <c r="F157" t="s">
        <v>42</v>
      </c>
      <c r="G157">
        <v>-450.51839999999999</v>
      </c>
      <c r="H157">
        <v>0.8493001</v>
      </c>
      <c r="I157">
        <v>367.26839999999999</v>
      </c>
      <c r="J157">
        <v>-451.11559999999997</v>
      </c>
      <c r="K157">
        <v>1.1204019999999999</v>
      </c>
      <c r="L157">
        <v>367.32940000000002</v>
      </c>
      <c r="M157">
        <v>0.99979289999999998</v>
      </c>
      <c r="N157">
        <v>-5.5925860000000001E-3</v>
      </c>
      <c r="O157">
        <v>1.956923E-2</v>
      </c>
      <c r="P157">
        <v>0.9839099</v>
      </c>
      <c r="Q157">
        <v>0.17858350000000001</v>
      </c>
      <c r="R157">
        <v>-5.4267719999999998E-3</v>
      </c>
      <c r="S157">
        <v>3.2470699999999999</v>
      </c>
      <c r="T157">
        <v>-1.1008910000000001</v>
      </c>
      <c r="U157">
        <v>-0.22988890000000001</v>
      </c>
      <c r="V157">
        <v>2.467217E-2</v>
      </c>
      <c r="W157">
        <v>0.18408269999999999</v>
      </c>
      <c r="X157">
        <v>0.98260099999999995</v>
      </c>
      <c r="Y157">
        <v>8.4301570000000006E-2</v>
      </c>
      <c r="Z157">
        <v>-2.047001E-2</v>
      </c>
      <c r="AA157">
        <v>0.99622999999999995</v>
      </c>
      <c r="AB157">
        <v>20</v>
      </c>
      <c r="AC157">
        <v>0.59719999999998596</v>
      </c>
      <c r="AD157">
        <v>-0.27110190000000001</v>
      </c>
      <c r="AE157">
        <v>-6.1000000000035401E-2</v>
      </c>
      <c r="AF157">
        <v>6.0364142890852401E-2</v>
      </c>
      <c r="AG157">
        <v>-0.27110190000000001</v>
      </c>
      <c r="AH157">
        <v>0.49494849953775399</v>
      </c>
      <c r="AI157">
        <v>118.533317345418</v>
      </c>
      <c r="AJ157">
        <v>83.046521282166395</v>
      </c>
      <c r="AK157">
        <v>0.56755095553195201</v>
      </c>
      <c r="AL157">
        <v>79.392342849398105</v>
      </c>
      <c r="AM157">
        <v>88.561660075897805</v>
      </c>
      <c r="AN157">
        <v>0.99999994080639698</v>
      </c>
    </row>
    <row r="158" spans="1:40" x14ac:dyDescent="0.25">
      <c r="A158" t="str">
        <f>"20190303162459467"</f>
        <v>20190303162459467</v>
      </c>
      <c r="B158" t="str">
        <f>"1551601499462277"</f>
        <v>1551601499462277</v>
      </c>
      <c r="C158" t="s">
        <v>40</v>
      </c>
      <c r="D158">
        <v>5.0576949999999998</v>
      </c>
      <c r="E158">
        <v>0.52798020000000001</v>
      </c>
      <c r="F158" t="s">
        <v>42</v>
      </c>
      <c r="G158">
        <v>-450.33539999999999</v>
      </c>
      <c r="H158">
        <v>0.85680219999999896</v>
      </c>
      <c r="I158">
        <v>367.27319999999997</v>
      </c>
      <c r="J158">
        <v>-450.71780000000001</v>
      </c>
      <c r="K158">
        <v>1.120403</v>
      </c>
      <c r="L158">
        <v>367.3374</v>
      </c>
      <c r="M158">
        <v>0.99979099999999999</v>
      </c>
      <c r="N158">
        <v>-5.5121809999999997E-3</v>
      </c>
      <c r="O158">
        <v>1.9689979999999999E-2</v>
      </c>
      <c r="P158">
        <v>0.98375380000000001</v>
      </c>
      <c r="Q158">
        <v>0.1794637</v>
      </c>
      <c r="R158">
        <v>-4.5950770000000004E-3</v>
      </c>
      <c r="S158">
        <v>3.2468569999999999</v>
      </c>
      <c r="T158">
        <v>-1.096984</v>
      </c>
      <c r="U158">
        <v>-0.2332458</v>
      </c>
      <c r="V158">
        <v>2.3956209999999999E-2</v>
      </c>
      <c r="W158">
        <v>0.1848832</v>
      </c>
      <c r="X158">
        <v>0.98246849999999997</v>
      </c>
      <c r="Y158">
        <v>8.5422200000000004E-2</v>
      </c>
      <c r="Z158">
        <v>-2.0626390000000001E-2</v>
      </c>
      <c r="AA158">
        <v>0.99613130000000005</v>
      </c>
      <c r="AB158">
        <v>20</v>
      </c>
      <c r="AC158">
        <v>0.382400000000018</v>
      </c>
      <c r="AD158">
        <v>-0.26360080000000002</v>
      </c>
      <c r="AE158">
        <v>-6.4200000000027999E-2</v>
      </c>
      <c r="AF158">
        <v>4.9048974696297001E-2</v>
      </c>
      <c r="AG158">
        <v>-0.26360080000000002</v>
      </c>
      <c r="AH158">
        <v>0.260616839214665</v>
      </c>
      <c r="AI158">
        <v>134.827561842894</v>
      </c>
      <c r="AJ158">
        <v>79.341416695316298</v>
      </c>
      <c r="AK158">
        <v>0.37391485736948299</v>
      </c>
      <c r="AL158">
        <v>79.345677494121702</v>
      </c>
      <c r="AM158">
        <v>88.603194105353793</v>
      </c>
      <c r="AN158">
        <v>1.00000002556602</v>
      </c>
    </row>
    <row r="159" spans="1:40" x14ac:dyDescent="0.25">
      <c r="A159" t="str">
        <f>"20190303162459487"</f>
        <v>20190303162459487</v>
      </c>
      <c r="B159" t="str">
        <f>"1551601499482773"</f>
        <v>1551601499482773</v>
      </c>
      <c r="C159" t="s">
        <v>40</v>
      </c>
      <c r="D159">
        <v>5.0599759999999998</v>
      </c>
      <c r="E159">
        <v>0.52823779999999998</v>
      </c>
      <c r="F159" t="s">
        <v>42</v>
      </c>
      <c r="G159">
        <v>-449.96769999999998</v>
      </c>
      <c r="H159">
        <v>0.86862109999999904</v>
      </c>
      <c r="I159">
        <v>367.28269999999998</v>
      </c>
      <c r="J159">
        <v>-450.52719999999999</v>
      </c>
      <c r="K159">
        <v>1.1204050000000001</v>
      </c>
      <c r="L159">
        <v>367.34120000000001</v>
      </c>
      <c r="M159">
        <v>0.99979010000000001</v>
      </c>
      <c r="N159">
        <v>-5.4908509999999997E-3</v>
      </c>
      <c r="O159">
        <v>1.974762E-2</v>
      </c>
      <c r="P159">
        <v>0.98379550000000004</v>
      </c>
      <c r="Q159">
        <v>0.17922569999999999</v>
      </c>
      <c r="R159">
        <v>-5.0297850000000002E-3</v>
      </c>
      <c r="S159">
        <v>3.2472530000000002</v>
      </c>
      <c r="T159">
        <v>-1.0900030000000001</v>
      </c>
      <c r="U159">
        <v>-0.2366943</v>
      </c>
      <c r="V159">
        <v>2.444816E-2</v>
      </c>
      <c r="W159">
        <v>0.18462400000000001</v>
      </c>
      <c r="X159">
        <v>0.98250510000000002</v>
      </c>
      <c r="Y159">
        <v>8.6532680000000001E-2</v>
      </c>
      <c r="Z159">
        <v>-2.0701899999999999E-2</v>
      </c>
      <c r="AA159">
        <v>0.99603390000000003</v>
      </c>
      <c r="AB159">
        <v>20</v>
      </c>
      <c r="AC159">
        <v>0.55950000000001399</v>
      </c>
      <c r="AD159">
        <v>-0.25178389999999901</v>
      </c>
      <c r="AE159">
        <v>-5.8500000000037702E-2</v>
      </c>
      <c r="AF159">
        <v>5.7932301527293097E-2</v>
      </c>
      <c r="AG159">
        <v>-0.25178389999999901</v>
      </c>
      <c r="AH159">
        <v>0.46507067655804801</v>
      </c>
      <c r="AI159">
        <v>118.246310563878</v>
      </c>
      <c r="AJ159">
        <v>82.899431445833102</v>
      </c>
      <c r="AK159">
        <v>0.53201693399140904</v>
      </c>
      <c r="AL159">
        <v>79.360788455215598</v>
      </c>
      <c r="AM159">
        <v>88.574574953914393</v>
      </c>
      <c r="AN159">
        <v>1.00000000271469</v>
      </c>
    </row>
    <row r="160" spans="1:40" x14ac:dyDescent="0.25">
      <c r="A160" t="str">
        <f>"20190303162459513"</f>
        <v>20190303162459513</v>
      </c>
      <c r="B160" t="str">
        <f>"1551601499503269"</f>
        <v>1551601499503269</v>
      </c>
      <c r="C160" t="s">
        <v>40</v>
      </c>
      <c r="D160">
        <v>5.0989019999999998</v>
      </c>
      <c r="E160">
        <v>0.52845450000000005</v>
      </c>
      <c r="F160" t="s">
        <v>42</v>
      </c>
      <c r="G160">
        <v>-449.78399999999999</v>
      </c>
      <c r="H160">
        <v>0.87070319999999901</v>
      </c>
      <c r="I160">
        <v>367.28629999999998</v>
      </c>
      <c r="J160">
        <v>-450.3048</v>
      </c>
      <c r="K160">
        <v>1.120395</v>
      </c>
      <c r="L160">
        <v>367.34559999999999</v>
      </c>
      <c r="M160">
        <v>0.99978880000000003</v>
      </c>
      <c r="N160">
        <v>-5.4760540000000002E-3</v>
      </c>
      <c r="O160">
        <v>1.9815079999999999E-2</v>
      </c>
      <c r="P160">
        <v>0.98377809999999999</v>
      </c>
      <c r="Q160">
        <v>0.17929349999999999</v>
      </c>
      <c r="R160">
        <v>-5.8983839999999996E-3</v>
      </c>
      <c r="S160">
        <v>3.246918</v>
      </c>
      <c r="T160">
        <v>-1.090794</v>
      </c>
      <c r="U160">
        <v>-0.2380371</v>
      </c>
      <c r="V160">
        <v>2.5382579999999998E-2</v>
      </c>
      <c r="W160">
        <v>0.18467739999999999</v>
      </c>
      <c r="X160">
        <v>0.98247130000000005</v>
      </c>
      <c r="Y160">
        <v>8.6979529999999999E-2</v>
      </c>
      <c r="Z160">
        <v>-2.081332E-2</v>
      </c>
      <c r="AA160">
        <v>0.99599269999999995</v>
      </c>
      <c r="AB160">
        <v>20</v>
      </c>
      <c r="AC160">
        <v>0.52080000000000803</v>
      </c>
      <c r="AD160">
        <v>-0.24969179999999999</v>
      </c>
      <c r="AE160">
        <v>-5.9300000000007402E-2</v>
      </c>
      <c r="AF160">
        <v>5.6734114565203497E-2</v>
      </c>
      <c r="AG160">
        <v>-0.24969179999999999</v>
      </c>
      <c r="AH160">
        <v>0.42343658268205198</v>
      </c>
      <c r="AI160">
        <v>120.304432183995</v>
      </c>
      <c r="AJ160">
        <v>82.368678986871103</v>
      </c>
      <c r="AK160">
        <v>0.49483663394719701</v>
      </c>
      <c r="AL160">
        <v>79.3576746137431</v>
      </c>
      <c r="AM160">
        <v>88.520067439961807</v>
      </c>
      <c r="AN160">
        <v>0.99999993638095097</v>
      </c>
    </row>
    <row r="161" spans="1:40" x14ac:dyDescent="0.25">
      <c r="A161" t="str">
        <f>"20190303162459537"</f>
        <v>20190303162459537</v>
      </c>
      <c r="B161" t="str">
        <f>"1551601499532550"</f>
        <v>1551601499532550</v>
      </c>
      <c r="C161" t="s">
        <v>40</v>
      </c>
      <c r="D161">
        <v>5.1482929999999998</v>
      </c>
      <c r="E161">
        <v>0.52866169999999901</v>
      </c>
      <c r="F161" t="s">
        <v>42</v>
      </c>
      <c r="G161">
        <v>-449.59559999999999</v>
      </c>
      <c r="H161">
        <v>0.8823434</v>
      </c>
      <c r="I161">
        <v>367.29270000000002</v>
      </c>
      <c r="J161">
        <v>-450.07459999999998</v>
      </c>
      <c r="K161">
        <v>1.1203909999999999</v>
      </c>
      <c r="L161">
        <v>367.3503</v>
      </c>
      <c r="M161">
        <v>0.99978739999999999</v>
      </c>
      <c r="N161">
        <v>-5.46855E-3</v>
      </c>
      <c r="O161">
        <v>1.9884539999999999E-2</v>
      </c>
      <c r="P161">
        <v>0.98387769999999997</v>
      </c>
      <c r="Q161">
        <v>0.17872249999999901</v>
      </c>
      <c r="R161">
        <v>-6.5958019999999996E-3</v>
      </c>
      <c r="S161">
        <v>3.246613</v>
      </c>
      <c r="T161">
        <v>-1.089556</v>
      </c>
      <c r="U161">
        <v>-0.242981</v>
      </c>
      <c r="V161">
        <v>2.614998E-2</v>
      </c>
      <c r="W161">
        <v>0.1840996</v>
      </c>
      <c r="X161">
        <v>0.98255970000000004</v>
      </c>
      <c r="Y161">
        <v>8.8489120000000004E-2</v>
      </c>
      <c r="Z161">
        <v>-2.1064429999999999E-2</v>
      </c>
      <c r="AA161">
        <v>0.99585440000000003</v>
      </c>
      <c r="AB161">
        <v>20</v>
      </c>
      <c r="AC161">
        <v>0.47899999999998399</v>
      </c>
      <c r="AD161">
        <v>-0.238047599999999</v>
      </c>
      <c r="AE161">
        <v>-5.7599999999979397E-2</v>
      </c>
      <c r="AF161">
        <v>5.3973292458474403E-2</v>
      </c>
      <c r="AG161">
        <v>-0.238047599999999</v>
      </c>
      <c r="AH161">
        <v>0.38421921468645798</v>
      </c>
      <c r="AI161">
        <v>121.530695247365</v>
      </c>
      <c r="AJ161">
        <v>82.003684651239297</v>
      </c>
      <c r="AK161">
        <v>0.45519685971988699</v>
      </c>
      <c r="AL161">
        <v>79.3913586079629</v>
      </c>
      <c r="AM161">
        <v>88.475482062102699</v>
      </c>
      <c r="AN161">
        <v>1.00000002411912</v>
      </c>
    </row>
    <row r="162" spans="1:40" x14ac:dyDescent="0.25">
      <c r="A162" t="str">
        <f>"20190303162459557"</f>
        <v>20190303162459557</v>
      </c>
      <c r="B162" t="str">
        <f>"1551601499553046"</f>
        <v>1551601499553046</v>
      </c>
      <c r="C162" t="s">
        <v>40</v>
      </c>
      <c r="D162">
        <v>5.1115250000000003</v>
      </c>
      <c r="E162">
        <v>0.52866789999999997</v>
      </c>
      <c r="F162" t="s">
        <v>42</v>
      </c>
      <c r="G162">
        <v>-449.40550000000002</v>
      </c>
      <c r="H162">
        <v>0.89546119999999996</v>
      </c>
      <c r="I162">
        <v>367.2987</v>
      </c>
      <c r="J162">
        <v>-449.8895</v>
      </c>
      <c r="K162">
        <v>1.12039</v>
      </c>
      <c r="L162">
        <v>367.35410000000002</v>
      </c>
      <c r="M162">
        <v>0.99978619999999996</v>
      </c>
      <c r="N162">
        <v>-5.4668649999999996E-3</v>
      </c>
      <c r="O162">
        <v>1.994046E-2</v>
      </c>
      <c r="P162">
        <v>0.98397389999999996</v>
      </c>
      <c r="Q162">
        <v>0.17817720000000001</v>
      </c>
      <c r="R162">
        <v>-6.9268539999999997E-3</v>
      </c>
      <c r="S162">
        <v>3.2456969999999998</v>
      </c>
      <c r="T162">
        <v>-1.0911789999999999</v>
      </c>
      <c r="U162">
        <v>-0.24823000000000001</v>
      </c>
      <c r="V162">
        <v>2.6537930000000001E-2</v>
      </c>
      <c r="W162">
        <v>0.18355350000000001</v>
      </c>
      <c r="X162">
        <v>0.98265139999999995</v>
      </c>
      <c r="Y162">
        <v>9.0057020000000002E-2</v>
      </c>
      <c r="Z162">
        <v>-2.1376969999999999E-2</v>
      </c>
      <c r="AA162">
        <v>0.99570720000000001</v>
      </c>
      <c r="AB162">
        <v>21</v>
      </c>
      <c r="AC162">
        <v>0.48399999999998</v>
      </c>
      <c r="AD162">
        <v>-0.22492880000000001</v>
      </c>
      <c r="AE162">
        <v>-5.54000000000201E-2</v>
      </c>
      <c r="AF162">
        <v>5.3611429766757202E-2</v>
      </c>
      <c r="AG162">
        <v>-0.22492880000000001</v>
      </c>
      <c r="AH162">
        <v>0.39796161002531</v>
      </c>
      <c r="AI162">
        <v>119.255034285779</v>
      </c>
      <c r="AJ162">
        <v>82.327585407724399</v>
      </c>
      <c r="AK162">
        <v>0.46026144040644201</v>
      </c>
      <c r="AL162">
        <v>79.423189616229806</v>
      </c>
      <c r="AM162">
        <v>88.453020179116393</v>
      </c>
      <c r="AN162">
        <v>0.99999996150644599</v>
      </c>
    </row>
    <row r="163" spans="1:40" x14ac:dyDescent="0.25">
      <c r="A163" t="str">
        <f>"20190303162459577"</f>
        <v>20190303162459577</v>
      </c>
      <c r="B163" t="str">
        <f>"1551601499572565"</f>
        <v>1551601499572565</v>
      </c>
      <c r="C163" t="s">
        <v>40</v>
      </c>
      <c r="D163">
        <v>5.1792389999999999</v>
      </c>
      <c r="E163">
        <v>0.52864089999999997</v>
      </c>
      <c r="F163" t="s">
        <v>42</v>
      </c>
      <c r="G163">
        <v>-449.22</v>
      </c>
      <c r="H163">
        <v>0.89469869999999996</v>
      </c>
      <c r="I163">
        <v>367.30259999999998</v>
      </c>
      <c r="J163">
        <v>-449.69839999999999</v>
      </c>
      <c r="K163">
        <v>1.120379</v>
      </c>
      <c r="L163">
        <v>367.35789999999997</v>
      </c>
      <c r="M163">
        <v>0.99978509999999998</v>
      </c>
      <c r="N163">
        <v>-5.4681900000000004E-3</v>
      </c>
      <c r="O163">
        <v>1.9997850000000001E-2</v>
      </c>
      <c r="P163">
        <v>0.98404040000000004</v>
      </c>
      <c r="Q163">
        <v>0.17779239999999999</v>
      </c>
      <c r="R163">
        <v>-7.3813380000000003E-3</v>
      </c>
      <c r="S163">
        <v>3.245209</v>
      </c>
      <c r="T163">
        <v>-1.094044</v>
      </c>
      <c r="U163">
        <v>-0.24966430000000001</v>
      </c>
      <c r="V163">
        <v>2.704989E-2</v>
      </c>
      <c r="W163">
        <v>0.18317059999999999</v>
      </c>
      <c r="X163">
        <v>0.9827089</v>
      </c>
      <c r="Y163">
        <v>9.0502550000000001E-2</v>
      </c>
      <c r="Z163">
        <v>-2.1525329999999999E-2</v>
      </c>
      <c r="AA163">
        <v>0.99566359999999998</v>
      </c>
      <c r="AB163">
        <v>21</v>
      </c>
      <c r="AC163">
        <v>0.47839999999996502</v>
      </c>
      <c r="AD163">
        <v>-0.2256803</v>
      </c>
      <c r="AE163">
        <v>-5.5299999999988303E-2</v>
      </c>
      <c r="AF163">
        <v>5.3177958773965799E-2</v>
      </c>
      <c r="AG163">
        <v>-0.2256803</v>
      </c>
      <c r="AH163">
        <v>0.39127323452152801</v>
      </c>
      <c r="AI163">
        <v>119.74926372901299</v>
      </c>
      <c r="AJ163">
        <v>82.260350553058203</v>
      </c>
      <c r="AK163">
        <v>0.45481230981625098</v>
      </c>
      <c r="AL163">
        <v>79.445506674823704</v>
      </c>
      <c r="AM163">
        <v>88.423283551674004</v>
      </c>
      <c r="AN163">
        <v>0.99999997369629001</v>
      </c>
    </row>
    <row r="164" spans="1:40" x14ac:dyDescent="0.25">
      <c r="A164" t="str">
        <f>"20190303162459601"</f>
        <v>20190303162459601</v>
      </c>
      <c r="B164" t="str">
        <f>"1551601499593062"</f>
        <v>1551601499593062</v>
      </c>
      <c r="C164" t="s">
        <v>40</v>
      </c>
      <c r="D164">
        <v>5.1903839999999999</v>
      </c>
      <c r="E164">
        <v>0.52860439999999997</v>
      </c>
      <c r="F164" t="s">
        <v>42</v>
      </c>
      <c r="G164">
        <v>-449.03300000000002</v>
      </c>
      <c r="H164">
        <v>0.8953989</v>
      </c>
      <c r="I164">
        <v>367.3064</v>
      </c>
      <c r="J164">
        <v>-449.47789999999998</v>
      </c>
      <c r="K164">
        <v>1.120376</v>
      </c>
      <c r="L164">
        <v>367.36250000000001</v>
      </c>
      <c r="M164">
        <v>0.9997838</v>
      </c>
      <c r="N164">
        <v>-5.4730029999999997E-3</v>
      </c>
      <c r="O164">
        <v>2.0064120000000001E-2</v>
      </c>
      <c r="P164">
        <v>0.98410390000000003</v>
      </c>
      <c r="Q164">
        <v>0.17744119999999999</v>
      </c>
      <c r="R164">
        <v>-7.3586509999999999E-3</v>
      </c>
      <c r="S164">
        <v>3.2450260000000002</v>
      </c>
      <c r="T164">
        <v>-1.0971550000000001</v>
      </c>
      <c r="U164">
        <v>-0.2495117</v>
      </c>
      <c r="V164">
        <v>2.7093530000000001E-2</v>
      </c>
      <c r="W164">
        <v>0.18282409999999999</v>
      </c>
      <c r="X164">
        <v>0.98277219999999998</v>
      </c>
      <c r="Y164">
        <v>9.0488869999999999E-2</v>
      </c>
      <c r="Z164">
        <v>-2.1603440000000002E-2</v>
      </c>
      <c r="AA164">
        <v>0.99566310000000002</v>
      </c>
      <c r="AB164">
        <v>21</v>
      </c>
      <c r="AC164">
        <v>0.44489999999996099</v>
      </c>
      <c r="AD164">
        <v>-0.22497710000000001</v>
      </c>
      <c r="AE164">
        <v>-5.6100000000014902E-2</v>
      </c>
      <c r="AF164">
        <v>5.1941229616504901E-2</v>
      </c>
      <c r="AG164">
        <v>-0.22497710000000001</v>
      </c>
      <c r="AH164">
        <v>0.35446289923266799</v>
      </c>
      <c r="AI164">
        <v>122.12849671215599</v>
      </c>
      <c r="AJ164">
        <v>81.663492265354805</v>
      </c>
      <c r="AK164">
        <v>0.42303254460019102</v>
      </c>
      <c r="AL164">
        <v>79.465700461034203</v>
      </c>
      <c r="AM164">
        <v>88.420842766115001</v>
      </c>
      <c r="AN164">
        <v>0.99999995400075403</v>
      </c>
    </row>
    <row r="165" spans="1:40" x14ac:dyDescent="0.25">
      <c r="A165" t="str">
        <f>"20190303162459624"</f>
        <v>20190303162459624</v>
      </c>
      <c r="B165" t="str">
        <f>"1551601499612582"</f>
        <v>1551601499612582</v>
      </c>
      <c r="C165" t="s">
        <v>40</v>
      </c>
      <c r="D165">
        <v>5.1963150000000002</v>
      </c>
      <c r="E165">
        <v>0.52860189999999996</v>
      </c>
      <c r="F165" t="s">
        <v>42</v>
      </c>
      <c r="G165">
        <v>-448.67469999999997</v>
      </c>
      <c r="H165">
        <v>0.84824690000000003</v>
      </c>
      <c r="I165">
        <v>367.3005</v>
      </c>
      <c r="J165">
        <v>-449.26229999999998</v>
      </c>
      <c r="K165">
        <v>1.120379</v>
      </c>
      <c r="L165">
        <v>367.36680000000001</v>
      </c>
      <c r="M165">
        <v>0.99978250000000002</v>
      </c>
      <c r="N165">
        <v>-5.4801959999999997E-3</v>
      </c>
      <c r="O165">
        <v>2.0129020000000001E-2</v>
      </c>
      <c r="P165">
        <v>0.98403180000000001</v>
      </c>
      <c r="Q165">
        <v>0.17784330000000001</v>
      </c>
      <c r="R165">
        <v>-7.3179200000000003E-3</v>
      </c>
      <c r="S165">
        <v>3.2448730000000001</v>
      </c>
      <c r="T165">
        <v>-1.099458</v>
      </c>
      <c r="U165">
        <v>-0.2487183</v>
      </c>
      <c r="V165">
        <v>2.7114849999999999E-2</v>
      </c>
      <c r="W165">
        <v>0.18323239999999999</v>
      </c>
      <c r="X165">
        <v>0.9826956</v>
      </c>
      <c r="Y165">
        <v>9.0296479999999998E-2</v>
      </c>
      <c r="Z165">
        <v>-2.1636289999999999E-2</v>
      </c>
      <c r="AA165">
        <v>0.99567989999999995</v>
      </c>
      <c r="AB165">
        <v>21</v>
      </c>
      <c r="AC165">
        <v>0.587600000000009</v>
      </c>
      <c r="AD165">
        <v>-0.27213209999999899</v>
      </c>
      <c r="AE165">
        <v>-6.6300000000012405E-2</v>
      </c>
      <c r="AF165">
        <v>6.4462215278251994E-2</v>
      </c>
      <c r="AG165">
        <v>-0.27213209999999899</v>
      </c>
      <c r="AH165">
        <v>0.48370362628055602</v>
      </c>
      <c r="AI165">
        <v>119.147118341157</v>
      </c>
      <c r="AJ165">
        <v>82.409034553722606</v>
      </c>
      <c r="AK165">
        <v>0.558731111650273</v>
      </c>
      <c r="AL165">
        <v>79.441904955241895</v>
      </c>
      <c r="AM165">
        <v>88.419477623504093</v>
      </c>
      <c r="AN165">
        <v>0.999999984879821</v>
      </c>
    </row>
    <row r="166" spans="1:40" x14ac:dyDescent="0.25">
      <c r="A166" t="str">
        <f>"20190303162459645"</f>
        <v>20190303162459645</v>
      </c>
      <c r="B166" t="str">
        <f>"1551601499633078"</f>
        <v>1551601499633078</v>
      </c>
      <c r="C166" t="s">
        <v>40</v>
      </c>
      <c r="D166">
        <v>5.2032959999999999</v>
      </c>
      <c r="E166">
        <v>0.52856930000000002</v>
      </c>
      <c r="F166" t="s">
        <v>42</v>
      </c>
      <c r="G166">
        <v>-448.4821</v>
      </c>
      <c r="H166">
        <v>0.85612790000000005</v>
      </c>
      <c r="I166">
        <v>367.30720000000002</v>
      </c>
      <c r="J166">
        <v>-449.06169999999997</v>
      </c>
      <c r="K166">
        <v>1.1203780000000001</v>
      </c>
      <c r="L166">
        <v>367.37099999999998</v>
      </c>
      <c r="M166">
        <v>0.99978129999999998</v>
      </c>
      <c r="N166">
        <v>-5.4886290000000001E-3</v>
      </c>
      <c r="O166">
        <v>2.018961E-2</v>
      </c>
      <c r="P166">
        <v>0.98403019999999997</v>
      </c>
      <c r="Q166">
        <v>0.1778526</v>
      </c>
      <c r="R166">
        <v>-7.3030480000000004E-3</v>
      </c>
      <c r="S166">
        <v>3.245514</v>
      </c>
      <c r="T166">
        <v>-1.0992770000000001</v>
      </c>
      <c r="U166">
        <v>-0.24819949999999999</v>
      </c>
      <c r="V166">
        <v>2.7159550000000001E-2</v>
      </c>
      <c r="W166">
        <v>0.1832502</v>
      </c>
      <c r="X166">
        <v>0.98269099999999998</v>
      </c>
      <c r="Y166">
        <v>9.0190510000000002E-2</v>
      </c>
      <c r="Z166">
        <v>-2.163116E-2</v>
      </c>
      <c r="AA166">
        <v>0.99568959999999995</v>
      </c>
      <c r="AB166">
        <v>21</v>
      </c>
      <c r="AC166">
        <v>0.57959999999997003</v>
      </c>
      <c r="AD166">
        <v>-0.26425009999999999</v>
      </c>
      <c r="AE166">
        <v>-6.3799999999957793E-2</v>
      </c>
      <c r="AF166">
        <v>6.2627152084989396E-2</v>
      </c>
      <c r="AG166">
        <v>-0.26425009999999999</v>
      </c>
      <c r="AH166">
        <v>0.47968041810047901</v>
      </c>
      <c r="AI166">
        <v>118.645653006259</v>
      </c>
      <c r="AJ166">
        <v>82.561528724741393</v>
      </c>
      <c r="AK166">
        <v>0.55122008221520502</v>
      </c>
      <c r="AL166">
        <v>79.4408670368624</v>
      </c>
      <c r="AM166">
        <v>88.416865982164893</v>
      </c>
      <c r="AN166">
        <v>0.99999993921861896</v>
      </c>
    </row>
    <row r="167" spans="1:40" x14ac:dyDescent="0.25">
      <c r="A167" t="str">
        <f>"20190303162459666"</f>
        <v>20190303162459666</v>
      </c>
      <c r="B167" t="str">
        <f>"1551601499662866"</f>
        <v>1551601499662866</v>
      </c>
      <c r="C167" t="s">
        <v>40</v>
      </c>
      <c r="D167">
        <v>5.2453580000000004</v>
      </c>
      <c r="E167">
        <v>0.52851490000000001</v>
      </c>
      <c r="F167" t="s">
        <v>42</v>
      </c>
      <c r="G167">
        <v>-448.29050000000001</v>
      </c>
      <c r="H167">
        <v>0.85908909999999905</v>
      </c>
      <c r="I167">
        <v>367.31169999999997</v>
      </c>
      <c r="J167">
        <v>-448.85149999999999</v>
      </c>
      <c r="K167">
        <v>1.1203749999999999</v>
      </c>
      <c r="L167">
        <v>367.37529999999998</v>
      </c>
      <c r="M167">
        <v>0.9997798</v>
      </c>
      <c r="N167">
        <v>-5.4964999999999996E-3</v>
      </c>
      <c r="O167">
        <v>2.0253130000000001E-2</v>
      </c>
      <c r="P167">
        <v>0.98397860000000004</v>
      </c>
      <c r="Q167">
        <v>0.17814459999999999</v>
      </c>
      <c r="R167">
        <v>-7.1268429999999999E-3</v>
      </c>
      <c r="S167">
        <v>3.2456049999999999</v>
      </c>
      <c r="T167">
        <v>-1.099642</v>
      </c>
      <c r="U167">
        <v>-0.24810789999999999</v>
      </c>
      <c r="V167">
        <v>2.704465E-2</v>
      </c>
      <c r="W167">
        <v>0.18354980000000001</v>
      </c>
      <c r="X167">
        <v>0.98263829999999996</v>
      </c>
      <c r="Y167">
        <v>9.0215119999999996E-2</v>
      </c>
      <c r="Z167">
        <v>-2.1662259999999999E-2</v>
      </c>
      <c r="AA167">
        <v>0.99568670000000004</v>
      </c>
      <c r="AB167">
        <v>21</v>
      </c>
      <c r="AC167">
        <v>0.56099999999997796</v>
      </c>
      <c r="AD167">
        <v>-0.26128590000000002</v>
      </c>
      <c r="AE167">
        <v>-6.3600000000008095E-2</v>
      </c>
      <c r="AF167">
        <v>6.1728662155439297E-2</v>
      </c>
      <c r="AG167">
        <v>-0.26128590000000002</v>
      </c>
      <c r="AH167">
        <v>0.46088809310310602</v>
      </c>
      <c r="AI167">
        <v>119.33167239500401</v>
      </c>
      <c r="AJ167">
        <v>82.371535460678004</v>
      </c>
      <c r="AK167">
        <v>0.53338408640915302</v>
      </c>
      <c r="AL167">
        <v>79.423405530270003</v>
      </c>
      <c r="AM167">
        <v>88.423475629072001</v>
      </c>
      <c r="AN167">
        <v>0.99999998540027601</v>
      </c>
    </row>
    <row r="168" spans="1:40" x14ac:dyDescent="0.25">
      <c r="A168" t="str">
        <f>"20190303162459689"</f>
        <v>20190303162459689</v>
      </c>
      <c r="B168" t="str">
        <f>"1551601499683361"</f>
        <v>1551601499683361</v>
      </c>
      <c r="C168" t="s">
        <v>40</v>
      </c>
      <c r="D168">
        <v>5.2595130000000001</v>
      </c>
      <c r="E168">
        <v>0.52847730000000004</v>
      </c>
      <c r="F168" t="s">
        <v>42</v>
      </c>
      <c r="G168">
        <v>-448.09690000000001</v>
      </c>
      <c r="H168">
        <v>0.86467280000000002</v>
      </c>
      <c r="I168">
        <v>367.31740000000002</v>
      </c>
      <c r="J168">
        <v>-448.63470000000001</v>
      </c>
      <c r="K168">
        <v>1.120371</v>
      </c>
      <c r="L168">
        <v>367.37979999999999</v>
      </c>
      <c r="M168">
        <v>0.99977859999999996</v>
      </c>
      <c r="N168">
        <v>-5.4978589999999999E-3</v>
      </c>
      <c r="O168">
        <v>2.0318220000000001E-2</v>
      </c>
      <c r="P168">
        <v>0.98398129999999995</v>
      </c>
      <c r="Q168">
        <v>0.17815249999999999</v>
      </c>
      <c r="R168">
        <v>-6.5273390000000001E-3</v>
      </c>
      <c r="S168">
        <v>3.2462460000000002</v>
      </c>
      <c r="T168">
        <v>-1.1000430000000001</v>
      </c>
      <c r="U168">
        <v>-0.24780269999999999</v>
      </c>
      <c r="V168">
        <v>2.650928E-2</v>
      </c>
      <c r="W168">
        <v>0.18355920000000001</v>
      </c>
      <c r="X168">
        <v>0.98265119999999895</v>
      </c>
      <c r="Y168">
        <v>9.0168979999999996E-2</v>
      </c>
      <c r="Z168">
        <v>-2.1679150000000001E-2</v>
      </c>
      <c r="AA168">
        <v>0.99569050000000003</v>
      </c>
      <c r="AB168">
        <v>21</v>
      </c>
      <c r="AC168">
        <v>0.53780000000000405</v>
      </c>
      <c r="AD168">
        <v>-0.25569819999999899</v>
      </c>
      <c r="AE168">
        <v>-6.2399999999968203E-2</v>
      </c>
      <c r="AF168">
        <v>5.9943831314670099E-2</v>
      </c>
      <c r="AG168">
        <v>-0.25569819999999899</v>
      </c>
      <c r="AH168">
        <v>0.438592241628802</v>
      </c>
      <c r="AI168">
        <v>120.011915360272</v>
      </c>
      <c r="AJ168">
        <v>82.217418453127493</v>
      </c>
      <c r="AK168">
        <v>0.51121227177455297</v>
      </c>
      <c r="AL168">
        <v>79.422858346593102</v>
      </c>
      <c r="AM168">
        <v>88.454689153576993</v>
      </c>
      <c r="AN168">
        <v>1.00000005134609</v>
      </c>
    </row>
    <row r="169" spans="1:40" x14ac:dyDescent="0.25">
      <c r="A169" t="str">
        <f>"20190303162459711"</f>
        <v>20190303162459711</v>
      </c>
      <c r="B169" t="str">
        <f>"1551601499702882"</f>
        <v>1551601499702882</v>
      </c>
      <c r="C169" t="s">
        <v>40</v>
      </c>
      <c r="D169">
        <v>5.2792009999999996</v>
      </c>
      <c r="E169">
        <v>0.52843830000000003</v>
      </c>
      <c r="F169" t="s">
        <v>42</v>
      </c>
      <c r="G169">
        <v>-447.90179999999998</v>
      </c>
      <c r="H169">
        <v>0.87182969999999904</v>
      </c>
      <c r="I169">
        <v>367.32400000000001</v>
      </c>
      <c r="J169">
        <v>-448.41890000000001</v>
      </c>
      <c r="K169">
        <v>1.1203689999999999</v>
      </c>
      <c r="L169">
        <v>367.3843</v>
      </c>
      <c r="M169">
        <v>0.99977709999999997</v>
      </c>
      <c r="N169">
        <v>-5.4928479999999998E-3</v>
      </c>
      <c r="O169">
        <v>2.0383499999999999E-2</v>
      </c>
      <c r="P169">
        <v>0.98384769999999999</v>
      </c>
      <c r="Q169">
        <v>0.17889869999999999</v>
      </c>
      <c r="R169">
        <v>-6.251398E-3</v>
      </c>
      <c r="S169">
        <v>3.2465820000000001</v>
      </c>
      <c r="T169">
        <v>-1.1008599999999999</v>
      </c>
      <c r="U169">
        <v>-0.24627689999999999</v>
      </c>
      <c r="V169">
        <v>2.6294620000000001E-2</v>
      </c>
      <c r="W169">
        <v>0.18429970000000001</v>
      </c>
      <c r="X169">
        <v>0.98251829999999996</v>
      </c>
      <c r="Y169">
        <v>8.9771909999999996E-2</v>
      </c>
      <c r="Z169">
        <v>-2.1647050000000001E-2</v>
      </c>
      <c r="AA169">
        <v>0.99572709999999998</v>
      </c>
      <c r="AB169">
        <v>21</v>
      </c>
      <c r="AC169">
        <v>0.51710000000002698</v>
      </c>
      <c r="AD169">
        <v>-0.24853929999999999</v>
      </c>
      <c r="AE169">
        <v>-6.0299999999983797E-2</v>
      </c>
      <c r="AF169">
        <v>5.7681411150778399E-2</v>
      </c>
      <c r="AG169">
        <v>-0.24853929999999999</v>
      </c>
      <c r="AH169">
        <v>0.42003144930791397</v>
      </c>
      <c r="AI169">
        <v>120.379436415009</v>
      </c>
      <c r="AJ169">
        <v>82.1806851235567</v>
      </c>
      <c r="AK169">
        <v>0.49145228379217198</v>
      </c>
      <c r="AL169">
        <v>79.379693851076794</v>
      </c>
      <c r="AM169">
        <v>88.466989143435299</v>
      </c>
      <c r="AN169">
        <v>0.99999999814796203</v>
      </c>
    </row>
    <row r="170" spans="1:40" x14ac:dyDescent="0.25">
      <c r="A170" t="str">
        <f>"20190303162459737"</f>
        <v>20190303162459737</v>
      </c>
      <c r="B170" t="str">
        <f>"1551601499733137"</f>
        <v>1551601499733137</v>
      </c>
      <c r="C170" t="s">
        <v>40</v>
      </c>
      <c r="D170">
        <v>5.2968760000000001</v>
      </c>
      <c r="E170">
        <v>0.52838339999999995</v>
      </c>
      <c r="F170" t="s">
        <v>42</v>
      </c>
      <c r="G170">
        <v>-447.70569999999998</v>
      </c>
      <c r="H170">
        <v>0.87889589999999995</v>
      </c>
      <c r="I170">
        <v>367.33030000000002</v>
      </c>
      <c r="J170">
        <v>-448.17739999999998</v>
      </c>
      <c r="K170">
        <v>1.1203650000000001</v>
      </c>
      <c r="L170">
        <v>367.38929999999999</v>
      </c>
      <c r="M170">
        <v>0.99977570000000004</v>
      </c>
      <c r="N170">
        <v>-5.4845060000000001E-3</v>
      </c>
      <c r="O170">
        <v>2.0456240000000001E-2</v>
      </c>
      <c r="P170">
        <v>0.98378849999999995</v>
      </c>
      <c r="Q170">
        <v>0.17926600000000001</v>
      </c>
      <c r="R170">
        <v>-4.9078460000000004E-3</v>
      </c>
      <c r="S170">
        <v>3.2475890000000001</v>
      </c>
      <c r="T170">
        <v>-1.099369</v>
      </c>
      <c r="U170">
        <v>-0.2456055</v>
      </c>
      <c r="V170">
        <v>2.5021350000000001E-2</v>
      </c>
      <c r="W170">
        <v>0.18465870000000001</v>
      </c>
      <c r="X170">
        <v>0.98248420000000003</v>
      </c>
      <c r="Y170">
        <v>8.9639800000000006E-2</v>
      </c>
      <c r="Z170">
        <v>-2.1614520000000002E-2</v>
      </c>
      <c r="AA170">
        <v>0.99573970000000001</v>
      </c>
      <c r="AB170">
        <v>22</v>
      </c>
      <c r="AC170">
        <v>0.47169999999999801</v>
      </c>
      <c r="AD170">
        <v>-0.24146909999999999</v>
      </c>
      <c r="AE170">
        <v>-5.8999999999969001E-2</v>
      </c>
      <c r="AF170">
        <v>5.4559651844648102E-2</v>
      </c>
      <c r="AG170">
        <v>-0.24146909999999999</v>
      </c>
      <c r="AH170">
        <v>0.373917123090381</v>
      </c>
      <c r="AI170">
        <v>122.57921449378399</v>
      </c>
      <c r="AJ170">
        <v>81.6983431620272</v>
      </c>
      <c r="AK170">
        <v>0.448439624480717</v>
      </c>
      <c r="AL170">
        <v>79.358766054128907</v>
      </c>
      <c r="AM170">
        <v>88.541138951807199</v>
      </c>
      <c r="AN170">
        <v>1.00000005334557</v>
      </c>
    </row>
    <row r="171" spans="1:40" x14ac:dyDescent="0.25">
      <c r="A171" t="str">
        <f>"20190303162459759"</f>
        <v>20190303162459759</v>
      </c>
      <c r="B171" t="str">
        <f>"1551601499753164"</f>
        <v>1551601499753164</v>
      </c>
      <c r="C171" t="s">
        <v>40</v>
      </c>
      <c r="D171">
        <v>5.2736359999999998</v>
      </c>
      <c r="E171">
        <v>0.52834250000000005</v>
      </c>
      <c r="F171" t="s">
        <v>42</v>
      </c>
      <c r="G171">
        <v>-447.5059</v>
      </c>
      <c r="H171">
        <v>0.89302459999999995</v>
      </c>
      <c r="I171">
        <v>367.33969999999999</v>
      </c>
      <c r="J171">
        <v>-447.96609999999998</v>
      </c>
      <c r="K171">
        <v>1.12036</v>
      </c>
      <c r="L171">
        <v>367.39359999999999</v>
      </c>
      <c r="M171">
        <v>0.99977459999999996</v>
      </c>
      <c r="N171">
        <v>-5.4780250000000001E-3</v>
      </c>
      <c r="O171">
        <v>2.0519679999999998E-2</v>
      </c>
      <c r="P171">
        <v>0.98374660000000003</v>
      </c>
      <c r="Q171">
        <v>0.17950539999999901</v>
      </c>
      <c r="R171">
        <v>-4.5631559999999996E-3</v>
      </c>
      <c r="S171">
        <v>3.2486570000000001</v>
      </c>
      <c r="T171">
        <v>-1.0997619999999999</v>
      </c>
      <c r="U171">
        <v>-0.23919679999999999</v>
      </c>
      <c r="V171">
        <v>2.4738139999999999E-2</v>
      </c>
      <c r="W171">
        <v>0.18489159999999999</v>
      </c>
      <c r="X171">
        <v>0.98244750000000003</v>
      </c>
      <c r="Y171">
        <v>8.7822559999999994E-2</v>
      </c>
      <c r="Z171">
        <v>-2.1332859999999999E-2</v>
      </c>
      <c r="AA171">
        <v>0.99590769999999995</v>
      </c>
      <c r="AB171">
        <v>22</v>
      </c>
      <c r="AC171">
        <v>0.46019999999998601</v>
      </c>
      <c r="AD171">
        <v>-0.22733539999999999</v>
      </c>
      <c r="AE171">
        <v>-5.3899999999998699E-2</v>
      </c>
      <c r="AF171">
        <v>5.10442468383756E-2</v>
      </c>
      <c r="AG171">
        <v>-0.22733539999999999</v>
      </c>
      <c r="AH171">
        <v>0.36994219729278199</v>
      </c>
      <c r="AI171">
        <v>121.330905712017</v>
      </c>
      <c r="AJ171">
        <v>82.143990957888903</v>
      </c>
      <c r="AK171">
        <v>0.43720033001619402</v>
      </c>
      <c r="AL171">
        <v>79.345187326988494</v>
      </c>
      <c r="AM171">
        <v>88.557590539011201</v>
      </c>
      <c r="AN171">
        <v>0.99999998478873398</v>
      </c>
    </row>
    <row r="172" spans="1:40" x14ac:dyDescent="0.25">
      <c r="A172" t="str">
        <f>"20190303162459782"</f>
        <v>20190303162459782</v>
      </c>
      <c r="B172" t="str">
        <f>"1551601499775612"</f>
        <v>1551601499775612</v>
      </c>
      <c r="C172" t="s">
        <v>40</v>
      </c>
      <c r="D172">
        <v>5.2972710000000003</v>
      </c>
      <c r="E172">
        <v>0.52831689999999998</v>
      </c>
      <c r="F172" t="s">
        <v>42</v>
      </c>
      <c r="G172">
        <v>-447.13499999999999</v>
      </c>
      <c r="H172">
        <v>0.8389993</v>
      </c>
      <c r="I172">
        <v>367.33229999999998</v>
      </c>
      <c r="J172">
        <v>-447.73579999999998</v>
      </c>
      <c r="K172">
        <v>1.1203529999999999</v>
      </c>
      <c r="L172">
        <v>367.39850000000001</v>
      </c>
      <c r="M172">
        <v>0.99977309999999997</v>
      </c>
      <c r="N172">
        <v>-5.4733069999999898E-3</v>
      </c>
      <c r="O172">
        <v>2.0589429999999999E-2</v>
      </c>
      <c r="P172">
        <v>0.98379090000000002</v>
      </c>
      <c r="Q172">
        <v>0.17926520000000001</v>
      </c>
      <c r="R172">
        <v>-4.4405520000000004E-3</v>
      </c>
      <c r="S172">
        <v>3.2491759999999998</v>
      </c>
      <c r="T172">
        <v>-1.0999840000000001</v>
      </c>
      <c r="U172">
        <v>-0.2381287</v>
      </c>
      <c r="V172">
        <v>2.468499E-2</v>
      </c>
      <c r="W172">
        <v>0.18464649999999999</v>
      </c>
      <c r="X172">
        <v>0.98249500000000001</v>
      </c>
      <c r="Y172">
        <v>8.7564890000000006E-2</v>
      </c>
      <c r="Z172">
        <v>-2.1313309999999999E-2</v>
      </c>
      <c r="AA172">
        <v>0.9959308</v>
      </c>
      <c r="AB172">
        <v>22</v>
      </c>
      <c r="AC172">
        <v>0.60079999999999201</v>
      </c>
      <c r="AD172">
        <v>-0.28135369999999998</v>
      </c>
      <c r="AE172">
        <v>-6.6200000000037507E-2</v>
      </c>
      <c r="AF172">
        <v>6.4566480680726304E-2</v>
      </c>
      <c r="AG172">
        <v>-0.28135369999999998</v>
      </c>
      <c r="AH172">
        <v>0.49258074973520699</v>
      </c>
      <c r="AI172">
        <v>119.524542056933</v>
      </c>
      <c r="AJ172">
        <v>82.532360045291895</v>
      </c>
      <c r="AK172">
        <v>0.57093303455036004</v>
      </c>
      <c r="AL172">
        <v>79.359477277170697</v>
      </c>
      <c r="AM172">
        <v>88.560757813063404</v>
      </c>
      <c r="AN172">
        <v>1.00000005185927</v>
      </c>
    </row>
    <row r="173" spans="1:40" x14ac:dyDescent="0.25">
      <c r="A173" t="str">
        <f>"20190303162459802"</f>
        <v>20190303162459802</v>
      </c>
      <c r="B173" t="str">
        <f>"1551601499793180"</f>
        <v>1551601499793180</v>
      </c>
      <c r="C173" t="s">
        <v>40</v>
      </c>
      <c r="D173">
        <v>5.308071</v>
      </c>
      <c r="E173">
        <v>0.52829190000000004</v>
      </c>
      <c r="F173" t="s">
        <v>42</v>
      </c>
      <c r="G173">
        <v>-446.9341</v>
      </c>
      <c r="H173">
        <v>0.84863199999999905</v>
      </c>
      <c r="I173">
        <v>367.33969999999999</v>
      </c>
      <c r="J173">
        <v>-447.53370000000001</v>
      </c>
      <c r="K173">
        <v>1.120347</v>
      </c>
      <c r="L173">
        <v>367.40269999999998</v>
      </c>
      <c r="M173">
        <v>0.99977179999999999</v>
      </c>
      <c r="N173">
        <v>-5.4711810000000003E-3</v>
      </c>
      <c r="O173">
        <v>2.065036E-2</v>
      </c>
      <c r="P173">
        <v>0.98382709999999995</v>
      </c>
      <c r="Q173">
        <v>0.17906529999999901</v>
      </c>
      <c r="R173">
        <v>-4.477389E-3</v>
      </c>
      <c r="S173">
        <v>3.2490540000000001</v>
      </c>
      <c r="T173">
        <v>-1.10128</v>
      </c>
      <c r="U173">
        <v>-0.2388306</v>
      </c>
      <c r="V173">
        <v>2.4782229999999999E-2</v>
      </c>
      <c r="W173">
        <v>0.184445</v>
      </c>
      <c r="X173">
        <v>0.98253040000000003</v>
      </c>
      <c r="Y173">
        <v>8.7810940000000004E-2</v>
      </c>
      <c r="Z173">
        <v>-2.1398469999999999E-2</v>
      </c>
      <c r="AA173">
        <v>0.99590730000000005</v>
      </c>
      <c r="AB173">
        <v>22</v>
      </c>
      <c r="AC173">
        <v>0.59960000000000901</v>
      </c>
      <c r="AD173">
        <v>-0.27171499999999998</v>
      </c>
      <c r="AE173">
        <v>-6.2999999999988093E-2</v>
      </c>
      <c r="AF173">
        <v>6.2644792079888698E-2</v>
      </c>
      <c r="AG173">
        <v>-0.27171499999999998</v>
      </c>
      <c r="AH173">
        <v>0.49718654799927597</v>
      </c>
      <c r="AI173">
        <v>118.467348474228</v>
      </c>
      <c r="AJ173">
        <v>82.818657184210494</v>
      </c>
      <c r="AK173">
        <v>0.57004199381376197</v>
      </c>
      <c r="AL173">
        <v>79.3712241420005</v>
      </c>
      <c r="AM173">
        <v>88.555142734416194</v>
      </c>
      <c r="AN173">
        <v>1.00000005193646</v>
      </c>
    </row>
    <row r="174" spans="1:40" x14ac:dyDescent="0.25">
      <c r="A174" t="str">
        <f>"20190303162459828"</f>
        <v>20190303162459828</v>
      </c>
      <c r="B174" t="str">
        <f>"1551601499822460"</f>
        <v>1551601499822460</v>
      </c>
      <c r="C174" t="s">
        <v>40</v>
      </c>
      <c r="D174">
        <v>5.3487920000000004</v>
      </c>
      <c r="E174">
        <v>0.5282578</v>
      </c>
      <c r="F174" t="s">
        <v>42</v>
      </c>
      <c r="G174">
        <v>-446.73570000000001</v>
      </c>
      <c r="H174">
        <v>0.84941219999999995</v>
      </c>
      <c r="I174">
        <v>367.34370000000001</v>
      </c>
      <c r="J174">
        <v>-447.27859999999998</v>
      </c>
      <c r="K174">
        <v>1.1203449999999999</v>
      </c>
      <c r="L174">
        <v>367.40809999999999</v>
      </c>
      <c r="M174">
        <v>0.99977020000000005</v>
      </c>
      <c r="N174">
        <v>-5.4715839999999998E-3</v>
      </c>
      <c r="O174">
        <v>2.072707E-2</v>
      </c>
      <c r="P174">
        <v>0.98392550000000001</v>
      </c>
      <c r="Q174">
        <v>0.1785109</v>
      </c>
      <c r="R174">
        <v>-4.9566089999999998E-3</v>
      </c>
      <c r="S174">
        <v>3.2489620000000001</v>
      </c>
      <c r="T174">
        <v>-1.1030690000000001</v>
      </c>
      <c r="U174">
        <v>-0.23880000000000001</v>
      </c>
      <c r="V174">
        <v>2.533877E-2</v>
      </c>
      <c r="W174">
        <v>0.1838919</v>
      </c>
      <c r="X174">
        <v>0.98261980000000004</v>
      </c>
      <c r="Y174">
        <v>8.7853959999999995E-2</v>
      </c>
      <c r="Z174">
        <v>-2.1463909999999999E-2</v>
      </c>
      <c r="AA174">
        <v>0.99590210000000001</v>
      </c>
      <c r="AB174">
        <v>22</v>
      </c>
      <c r="AC174">
        <v>0.54289999999997396</v>
      </c>
      <c r="AD174">
        <v>-0.27093279999999997</v>
      </c>
      <c r="AE174">
        <v>-6.4399999999977794E-2</v>
      </c>
      <c r="AF174">
        <v>6.0725367160763398E-2</v>
      </c>
      <c r="AG174">
        <v>-0.27093279999999997</v>
      </c>
      <c r="AH174">
        <v>0.43469155514672297</v>
      </c>
      <c r="AI174">
        <v>121.68627908336801</v>
      </c>
      <c r="AJ174">
        <v>82.047383466724199</v>
      </c>
      <c r="AK174">
        <v>0.51579928310198897</v>
      </c>
      <c r="AL174">
        <v>79.403465147033103</v>
      </c>
      <c r="AM174">
        <v>88.5228438235075</v>
      </c>
      <c r="AN174">
        <v>0.99999997775138105</v>
      </c>
    </row>
    <row r="175" spans="1:40" x14ac:dyDescent="0.25">
      <c r="A175" t="str">
        <f>"20190303162459847"</f>
        <v>20190303162459847</v>
      </c>
      <c r="B175" t="str">
        <f>"1551601499842445"</f>
        <v>1551601499842445</v>
      </c>
      <c r="C175" t="s">
        <v>40</v>
      </c>
      <c r="D175">
        <v>5.353364</v>
      </c>
      <c r="E175">
        <v>0.52824479999999996</v>
      </c>
      <c r="F175" t="s">
        <v>42</v>
      </c>
      <c r="G175">
        <v>-446.53039999999999</v>
      </c>
      <c r="H175">
        <v>0.86557830000000002</v>
      </c>
      <c r="I175">
        <v>367.3528</v>
      </c>
      <c r="J175">
        <v>-447.0874</v>
      </c>
      <c r="K175">
        <v>1.1203399999999999</v>
      </c>
      <c r="L175">
        <v>367.41210000000001</v>
      </c>
      <c r="M175">
        <v>0.99976900000000002</v>
      </c>
      <c r="N175">
        <v>-5.4741269999999996E-3</v>
      </c>
      <c r="O175">
        <v>2.0784469999999999E-2</v>
      </c>
      <c r="P175">
        <v>0.98395909999999998</v>
      </c>
      <c r="Q175">
        <v>0.17832290000000001</v>
      </c>
      <c r="R175">
        <v>-5.0845580000000003E-3</v>
      </c>
      <c r="S175">
        <v>3.248535</v>
      </c>
      <c r="T175">
        <v>-1.106177</v>
      </c>
      <c r="U175">
        <v>-0.23953250000000001</v>
      </c>
      <c r="V175">
        <v>2.5523649999999998E-2</v>
      </c>
      <c r="W175">
        <v>0.18370639999999999</v>
      </c>
      <c r="X175">
        <v>0.98264969999999996</v>
      </c>
      <c r="Y175">
        <v>8.8092379999999998E-2</v>
      </c>
      <c r="Z175">
        <v>-2.1582210000000001E-2</v>
      </c>
      <c r="AA175">
        <v>0.9958785</v>
      </c>
      <c r="AB175">
        <v>22</v>
      </c>
      <c r="AC175">
        <v>0.55700000000001604</v>
      </c>
      <c r="AD175">
        <v>-0.25476169999999898</v>
      </c>
      <c r="AE175">
        <v>-5.9300000000007402E-2</v>
      </c>
      <c r="AF175">
        <v>5.8718234164049601E-2</v>
      </c>
      <c r="AG175">
        <v>-0.25476169999999898</v>
      </c>
      <c r="AH175">
        <v>0.46040972296507199</v>
      </c>
      <c r="AI175">
        <v>118.76198889881</v>
      </c>
      <c r="AJ175">
        <v>82.732032964001803</v>
      </c>
      <c r="AK175">
        <v>0.529460544149428</v>
      </c>
      <c r="AL175">
        <v>79.414277588240196</v>
      </c>
      <c r="AM175">
        <v>88.512116087992993</v>
      </c>
      <c r="AN175">
        <v>0.999999965510185</v>
      </c>
    </row>
    <row r="176" spans="1:40" x14ac:dyDescent="0.25">
      <c r="A176" t="str">
        <f>"20190303162459868"</f>
        <v>20190303162459868</v>
      </c>
      <c r="B176" t="str">
        <f>"1551601499862941"</f>
        <v>1551601499862941</v>
      </c>
      <c r="C176" t="s">
        <v>40</v>
      </c>
      <c r="D176">
        <v>5.3676490000000001</v>
      </c>
      <c r="E176">
        <v>0.5282654</v>
      </c>
      <c r="F176" t="s">
        <v>42</v>
      </c>
      <c r="G176">
        <v>-446.33150000000001</v>
      </c>
      <c r="H176">
        <v>0.86256359999999999</v>
      </c>
      <c r="I176">
        <v>367.35599999999999</v>
      </c>
      <c r="J176">
        <v>-446.87150000000003</v>
      </c>
      <c r="K176">
        <v>1.120333</v>
      </c>
      <c r="L176">
        <v>367.41669999999999</v>
      </c>
      <c r="M176">
        <v>0.99976770000000004</v>
      </c>
      <c r="N176">
        <v>-5.4793419999999999E-3</v>
      </c>
      <c r="O176">
        <v>2.0849179999999998E-2</v>
      </c>
      <c r="P176">
        <v>0.98402860000000003</v>
      </c>
      <c r="Q176">
        <v>0.1779337</v>
      </c>
      <c r="R176">
        <v>-5.2665439999999997E-3</v>
      </c>
      <c r="S176">
        <v>3.248383</v>
      </c>
      <c r="T176">
        <v>-1.107685</v>
      </c>
      <c r="U176">
        <v>-0.23910519999999999</v>
      </c>
      <c r="V176">
        <v>2.5770439999999999E-2</v>
      </c>
      <c r="W176">
        <v>0.18332290000000001</v>
      </c>
      <c r="X176">
        <v>0.98271489999999995</v>
      </c>
      <c r="Y176">
        <v>8.8013960000000002E-2</v>
      </c>
      <c r="Z176">
        <v>-2.1618970000000001E-2</v>
      </c>
      <c r="AA176">
        <v>0.99588460000000001</v>
      </c>
      <c r="AB176">
        <v>22</v>
      </c>
      <c r="AC176">
        <v>0.54000000000002002</v>
      </c>
      <c r="AD176">
        <v>-0.25776939999999898</v>
      </c>
      <c r="AE176">
        <v>-6.0699999999996999E-2</v>
      </c>
      <c r="AF176">
        <v>5.8730062610595102E-2</v>
      </c>
      <c r="AG176">
        <v>-0.25776939999999898</v>
      </c>
      <c r="AH176">
        <v>0.43968003293316898</v>
      </c>
      <c r="AI176">
        <v>120.161073129161</v>
      </c>
      <c r="AJ176">
        <v>82.391777764716295</v>
      </c>
      <c r="AK176">
        <v>0.51304270308690403</v>
      </c>
      <c r="AL176">
        <v>79.436630374364199</v>
      </c>
      <c r="AM176">
        <v>88.497835817575904</v>
      </c>
      <c r="AN176">
        <v>0.99999998796210599</v>
      </c>
    </row>
    <row r="177" spans="1:40" x14ac:dyDescent="0.25">
      <c r="A177" t="str">
        <f>"20190303162459891"</f>
        <v>20190303162459891</v>
      </c>
      <c r="B177" t="str">
        <f>"1551601499882462"</f>
        <v>1551601499882462</v>
      </c>
      <c r="C177" t="s">
        <v>40</v>
      </c>
      <c r="D177">
        <v>5.3739379999999999</v>
      </c>
      <c r="E177">
        <v>0.52828339999999996</v>
      </c>
      <c r="F177" t="s">
        <v>42</v>
      </c>
      <c r="G177">
        <v>-446.12889999999999</v>
      </c>
      <c r="H177">
        <v>0.86661529999999998</v>
      </c>
      <c r="I177">
        <v>367.36200000000002</v>
      </c>
      <c r="J177">
        <v>-446.64479999999998</v>
      </c>
      <c r="K177">
        <v>1.120322</v>
      </c>
      <c r="L177">
        <v>367.42149999999998</v>
      </c>
      <c r="M177">
        <v>0.99976620000000005</v>
      </c>
      <c r="N177">
        <v>-5.4870250000000004E-3</v>
      </c>
      <c r="O177">
        <v>2.0917229999999998E-2</v>
      </c>
      <c r="P177">
        <v>0.98413689999999998</v>
      </c>
      <c r="Q177">
        <v>0.17731839999999999</v>
      </c>
      <c r="R177">
        <v>-5.7193390000000004E-3</v>
      </c>
      <c r="S177">
        <v>3.2480769999999999</v>
      </c>
      <c r="T177">
        <v>-1.109739</v>
      </c>
      <c r="U177">
        <v>-0.2389221</v>
      </c>
      <c r="V177">
        <v>2.6292309999999999E-2</v>
      </c>
      <c r="W177">
        <v>0.18271580000000001</v>
      </c>
      <c r="X177">
        <v>0.98281410000000002</v>
      </c>
      <c r="Y177">
        <v>8.8006029999999999E-2</v>
      </c>
      <c r="Z177">
        <v>-2.1679739999999999E-2</v>
      </c>
      <c r="AA177">
        <v>0.99588399999999999</v>
      </c>
      <c r="AB177">
        <v>22</v>
      </c>
      <c r="AC177">
        <v>0.51589999999998704</v>
      </c>
      <c r="AD177">
        <v>-0.25370670000000001</v>
      </c>
      <c r="AE177">
        <v>-5.9500000000014097E-2</v>
      </c>
      <c r="AF177">
        <v>5.6737031574415703E-2</v>
      </c>
      <c r="AG177">
        <v>-0.25370670000000001</v>
      </c>
      <c r="AH177">
        <v>0.41539988954470902</v>
      </c>
      <c r="AI177">
        <v>121.17958145552799</v>
      </c>
      <c r="AJ177">
        <v>82.222431749721906</v>
      </c>
      <c r="AK177">
        <v>0.49004412924809398</v>
      </c>
      <c r="AL177">
        <v>79.472011886339004</v>
      </c>
      <c r="AM177">
        <v>88.467584888763398</v>
      </c>
      <c r="AN177">
        <v>0.99999995214679105</v>
      </c>
    </row>
    <row r="178" spans="1:40" x14ac:dyDescent="0.25">
      <c r="A178" t="str">
        <f>"20190303162459914"</f>
        <v>20190303162459914</v>
      </c>
      <c r="B178" t="str">
        <f>"1551601499902957"</f>
        <v>1551601499902957</v>
      </c>
      <c r="C178" t="s">
        <v>40</v>
      </c>
      <c r="D178">
        <v>5.4009999999999998</v>
      </c>
      <c r="E178">
        <v>0.5283293</v>
      </c>
      <c r="F178" t="s">
        <v>42</v>
      </c>
      <c r="G178">
        <v>-445.92430000000002</v>
      </c>
      <c r="H178">
        <v>0.8735638</v>
      </c>
      <c r="I178">
        <v>367.36770000000001</v>
      </c>
      <c r="J178">
        <v>-446.40820000000002</v>
      </c>
      <c r="K178">
        <v>1.1203160000000001</v>
      </c>
      <c r="L178">
        <v>367.42649999999998</v>
      </c>
      <c r="M178">
        <v>0.9997646</v>
      </c>
      <c r="N178">
        <v>-5.4970890000000001E-3</v>
      </c>
      <c r="O178">
        <v>2.0988079999999999E-2</v>
      </c>
      <c r="P178">
        <v>0.98411610000000005</v>
      </c>
      <c r="Q178">
        <v>0.17741170000000001</v>
      </c>
      <c r="R178">
        <v>-6.3795960000000004E-3</v>
      </c>
      <c r="S178">
        <v>3.2473749999999999</v>
      </c>
      <c r="T178">
        <v>-1.1122270000000001</v>
      </c>
      <c r="U178">
        <v>-0.2407532</v>
      </c>
      <c r="V178">
        <v>2.7021429999999999E-2</v>
      </c>
      <c r="W178">
        <v>0.18281849999999999</v>
      </c>
      <c r="X178">
        <v>0.98277530000000002</v>
      </c>
      <c r="Y178">
        <v>8.858415E-2</v>
      </c>
      <c r="Z178">
        <v>-2.1850709999999999E-2</v>
      </c>
      <c r="AA178">
        <v>0.99582899999999996</v>
      </c>
      <c r="AB178">
        <v>22</v>
      </c>
      <c r="AC178">
        <v>0.48390000000000499</v>
      </c>
      <c r="AD178">
        <v>-0.2467522</v>
      </c>
      <c r="AE178">
        <v>-5.8799999999962403E-2</v>
      </c>
      <c r="AF178">
        <v>5.4880746462150298E-2</v>
      </c>
      <c r="AG178">
        <v>-0.2467522</v>
      </c>
      <c r="AH178">
        <v>0.38413016616233803</v>
      </c>
      <c r="AI178">
        <v>122.452641492049</v>
      </c>
      <c r="AJ178">
        <v>81.869165543349993</v>
      </c>
      <c r="AK178">
        <v>0.45984185226335</v>
      </c>
      <c r="AL178">
        <v>79.466027584408806</v>
      </c>
      <c r="AM178">
        <v>88.425047989511896</v>
      </c>
      <c r="AN178">
        <v>1.00000002595579</v>
      </c>
    </row>
    <row r="179" spans="1:40" x14ac:dyDescent="0.25">
      <c r="A179" t="str">
        <f>"20190303162459938"</f>
        <v>20190303162459938</v>
      </c>
      <c r="B179" t="str">
        <f>"1551601499933213"</f>
        <v>1551601499933213</v>
      </c>
      <c r="C179" t="s">
        <v>40</v>
      </c>
      <c r="D179">
        <v>5.358568</v>
      </c>
      <c r="E179">
        <v>0.52837529999999999</v>
      </c>
      <c r="F179" t="s">
        <v>42</v>
      </c>
      <c r="G179">
        <v>-445.7174</v>
      </c>
      <c r="H179">
        <v>0.88382839999999996</v>
      </c>
      <c r="I179">
        <v>367.37459999999999</v>
      </c>
      <c r="J179">
        <v>-446.16809999999998</v>
      </c>
      <c r="K179">
        <v>1.1203160000000001</v>
      </c>
      <c r="L179">
        <v>367.4316</v>
      </c>
      <c r="M179">
        <v>0.99976310000000002</v>
      </c>
      <c r="N179">
        <v>-5.5091630000000001E-3</v>
      </c>
      <c r="O179">
        <v>2.1059810000000002E-2</v>
      </c>
      <c r="P179">
        <v>0.98421939999999997</v>
      </c>
      <c r="Q179">
        <v>0.17682989999999901</v>
      </c>
      <c r="R179">
        <v>-6.5974120000000004E-3</v>
      </c>
      <c r="S179">
        <v>3.2473139999999998</v>
      </c>
      <c r="T179">
        <v>-1.111874</v>
      </c>
      <c r="U179">
        <v>-0.24368290000000001</v>
      </c>
      <c r="V179">
        <v>2.7311889999999998E-2</v>
      </c>
      <c r="W179">
        <v>0.1822493</v>
      </c>
      <c r="X179">
        <v>0.982873</v>
      </c>
      <c r="Y179">
        <v>8.9497720000000003E-2</v>
      </c>
      <c r="Z179">
        <v>-2.2022170000000001E-2</v>
      </c>
      <c r="AA179">
        <v>0.9957435</v>
      </c>
      <c r="AB179">
        <v>23</v>
      </c>
      <c r="AC179">
        <v>0.450699999999983</v>
      </c>
      <c r="AD179">
        <v>-0.23648759999999999</v>
      </c>
      <c r="AE179">
        <v>-5.7000000000016302E-2</v>
      </c>
      <c r="AF179">
        <v>5.2305098752057397E-2</v>
      </c>
      <c r="AG179">
        <v>-0.23648759999999999</v>
      </c>
      <c r="AH179">
        <v>0.35358286510861597</v>
      </c>
      <c r="AI179">
        <v>123.48990186760101</v>
      </c>
      <c r="AJ179">
        <v>81.585327625137893</v>
      </c>
      <c r="AK179">
        <v>0.42858260674885101</v>
      </c>
      <c r="AL179">
        <v>79.499197766272701</v>
      </c>
      <c r="AM179">
        <v>88.408285262030006</v>
      </c>
      <c r="AN179">
        <v>1.0000000404074301</v>
      </c>
    </row>
    <row r="180" spans="1:40" x14ac:dyDescent="0.25">
      <c r="A180" t="str">
        <f>"20190303162459970"</f>
        <v>20190303162459970</v>
      </c>
      <c r="B180" t="str">
        <f>"1551601499962495"</f>
        <v>1551601499962495</v>
      </c>
      <c r="C180" t="s">
        <v>40</v>
      </c>
      <c r="D180">
        <v>5.3819330000000001</v>
      </c>
      <c r="E180">
        <v>0.528362</v>
      </c>
      <c r="F180" t="s">
        <v>42</v>
      </c>
      <c r="G180">
        <v>-445.50959999999998</v>
      </c>
      <c r="H180">
        <v>0.8943757</v>
      </c>
      <c r="I180">
        <v>367.3818</v>
      </c>
      <c r="J180">
        <v>-445.84530000000001</v>
      </c>
      <c r="K180">
        <v>1.1203149999999999</v>
      </c>
      <c r="L180">
        <v>367.43849999999998</v>
      </c>
      <c r="M180">
        <v>0.99976100000000001</v>
      </c>
      <c r="N180">
        <v>-5.5282589999999998E-3</v>
      </c>
      <c r="O180">
        <v>2.1156500000000002E-2</v>
      </c>
      <c r="P180">
        <v>0.98416789999999998</v>
      </c>
      <c r="Q180">
        <v>0.1770996</v>
      </c>
      <c r="R180">
        <v>-7.0421590000000001E-3</v>
      </c>
      <c r="S180">
        <v>3.246613</v>
      </c>
      <c r="T180">
        <v>-1.1139490000000001</v>
      </c>
      <c r="U180">
        <v>-0.24368290000000001</v>
      </c>
      <c r="V180">
        <v>2.7850239999999998E-2</v>
      </c>
      <c r="W180">
        <v>0.1825377</v>
      </c>
      <c r="X180">
        <v>0.98280440000000002</v>
      </c>
      <c r="Y180">
        <v>8.9574539999999994E-2</v>
      </c>
      <c r="Z180">
        <v>-2.211051E-2</v>
      </c>
      <c r="AA180">
        <v>0.99573469999999997</v>
      </c>
      <c r="AB180">
        <v>23</v>
      </c>
      <c r="AC180">
        <v>0.33570000000003097</v>
      </c>
      <c r="AD180">
        <v>-0.22593929999999901</v>
      </c>
      <c r="AE180">
        <v>-5.66999999999779E-2</v>
      </c>
      <c r="AF180">
        <v>4.4285518129299498E-2</v>
      </c>
      <c r="AG180">
        <v>-0.22593929999999901</v>
      </c>
      <c r="AH180">
        <v>0.23217238914253699</v>
      </c>
      <c r="AI180">
        <v>133.70892419295399</v>
      </c>
      <c r="AJ180">
        <v>79.200889074766494</v>
      </c>
      <c r="AK180">
        <v>0.326976746391275</v>
      </c>
      <c r="AL180">
        <v>79.482392049467606</v>
      </c>
      <c r="AM180">
        <v>88.376814051649703</v>
      </c>
      <c r="AN180">
        <v>1.0000000682243499</v>
      </c>
    </row>
    <row r="181" spans="1:40" x14ac:dyDescent="0.25">
      <c r="A181" t="str">
        <f>"20190303162459992"</f>
        <v>20190303162459992</v>
      </c>
      <c r="B181" t="str">
        <f>"1551601499982990"</f>
        <v>1551601499982990</v>
      </c>
      <c r="C181" t="s">
        <v>40</v>
      </c>
      <c r="D181">
        <v>5.3998330000000001</v>
      </c>
      <c r="E181">
        <v>0.52834550000000002</v>
      </c>
      <c r="F181" t="s">
        <v>42</v>
      </c>
      <c r="G181">
        <v>-445.10930000000002</v>
      </c>
      <c r="H181">
        <v>0.86790650000000003</v>
      </c>
      <c r="I181">
        <v>367.38290000000001</v>
      </c>
      <c r="J181">
        <v>-445.60820000000001</v>
      </c>
      <c r="K181">
        <v>1.120312</v>
      </c>
      <c r="L181">
        <v>367.4436</v>
      </c>
      <c r="M181">
        <v>0.99975939999999996</v>
      </c>
      <c r="N181">
        <v>-5.5438319999999899E-3</v>
      </c>
      <c r="O181">
        <v>2.1227329999999999E-2</v>
      </c>
      <c r="P181">
        <v>0.98417710000000003</v>
      </c>
      <c r="Q181">
        <v>0.17704010000000001</v>
      </c>
      <c r="R181">
        <v>-7.2502290000000004E-3</v>
      </c>
      <c r="S181">
        <v>3.246918</v>
      </c>
      <c r="T181">
        <v>-1.113583</v>
      </c>
      <c r="U181">
        <v>-0.2436218</v>
      </c>
      <c r="V181">
        <v>2.8128029999999998E-2</v>
      </c>
      <c r="W181">
        <v>0.18249309999999999</v>
      </c>
      <c r="X181">
        <v>0.98280469999999998</v>
      </c>
      <c r="Y181">
        <v>8.9618089999999997E-2</v>
      </c>
      <c r="Z181">
        <v>-2.2132720000000002E-2</v>
      </c>
      <c r="AA181">
        <v>0.99573029999999996</v>
      </c>
      <c r="AB181">
        <v>23</v>
      </c>
      <c r="AC181">
        <v>0.49889999999999102</v>
      </c>
      <c r="AD181">
        <v>-0.25240549999999901</v>
      </c>
      <c r="AE181">
        <v>-6.0699999999996999E-2</v>
      </c>
      <c r="AF181">
        <v>5.69201019146897E-2</v>
      </c>
      <c r="AG181">
        <v>-0.25240549999999901</v>
      </c>
      <c r="AH181">
        <v>0.39729193473602498</v>
      </c>
      <c r="AI181">
        <v>122.16551134695101</v>
      </c>
      <c r="AJ181">
        <v>81.846704901383802</v>
      </c>
      <c r="AK181">
        <v>0.47411951640754302</v>
      </c>
      <c r="AL181">
        <v>79.484990350255401</v>
      </c>
      <c r="AM181">
        <v>88.360633004169401</v>
      </c>
      <c r="AN181">
        <v>0.99999999798068995</v>
      </c>
    </row>
    <row r="182" spans="1:40" x14ac:dyDescent="0.25">
      <c r="A182" t="str">
        <f>"20190303162500016"</f>
        <v>20190303162500016</v>
      </c>
      <c r="B182" t="str">
        <f>"1551601500012269"</f>
        <v>1551601500012269</v>
      </c>
      <c r="C182" t="s">
        <v>40</v>
      </c>
      <c r="D182">
        <v>5.4030880000000003</v>
      </c>
      <c r="E182">
        <v>0.5283388</v>
      </c>
      <c r="F182" t="s">
        <v>42</v>
      </c>
      <c r="G182">
        <v>-444.89920000000001</v>
      </c>
      <c r="H182">
        <v>0.87706019999999896</v>
      </c>
      <c r="I182">
        <v>367.38990000000001</v>
      </c>
      <c r="J182">
        <v>-445.3732</v>
      </c>
      <c r="K182">
        <v>1.120323</v>
      </c>
      <c r="L182">
        <v>367.44869999999997</v>
      </c>
      <c r="M182">
        <v>0.99975780000000003</v>
      </c>
      <c r="N182">
        <v>-5.5604909999999999E-3</v>
      </c>
      <c r="O182">
        <v>2.1297679999999999E-2</v>
      </c>
      <c r="P182">
        <v>0.98412750000000004</v>
      </c>
      <c r="Q182">
        <v>0.17732579999999901</v>
      </c>
      <c r="R182">
        <v>-7.0029330000000002E-3</v>
      </c>
      <c r="S182">
        <v>3.2467959999999998</v>
      </c>
      <c r="T182">
        <v>-1.113901</v>
      </c>
      <c r="U182">
        <v>-0.24493409999999999</v>
      </c>
      <c r="V182">
        <v>2.7948710000000002E-2</v>
      </c>
      <c r="W182">
        <v>0.1827955</v>
      </c>
      <c r="X182">
        <v>0.9827536</v>
      </c>
      <c r="Y182">
        <v>9.0057830000000005E-2</v>
      </c>
      <c r="Z182">
        <v>-2.2237139999999999E-2</v>
      </c>
      <c r="AA182">
        <v>0.99568829999999997</v>
      </c>
      <c r="AB182">
        <v>23</v>
      </c>
      <c r="AC182">
        <v>0.47399999999998899</v>
      </c>
      <c r="AD182">
        <v>-0.2432628</v>
      </c>
      <c r="AE182">
        <v>-5.8799999999962403E-2</v>
      </c>
      <c r="AF182">
        <v>5.4694428813699E-2</v>
      </c>
      <c r="AG182">
        <v>-0.2432628</v>
      </c>
      <c r="AH182">
        <v>0.37529128621810898</v>
      </c>
      <c r="AI182">
        <v>122.67697650488</v>
      </c>
      <c r="AJ182">
        <v>81.708169566579002</v>
      </c>
      <c r="AK182">
        <v>0.450568329910502</v>
      </c>
      <c r="AL182">
        <v>79.467367503664505</v>
      </c>
      <c r="AM182">
        <v>88.370993889047497</v>
      </c>
      <c r="AN182">
        <v>0.99999998176193605</v>
      </c>
    </row>
    <row r="183" spans="1:40" x14ac:dyDescent="0.25">
      <c r="A183" t="str">
        <f>"20190303162500037"</f>
        <v>20190303162500037</v>
      </c>
      <c r="B183" t="str">
        <f>"1551601500032765"</f>
        <v>1551601500032765</v>
      </c>
      <c r="C183" t="s">
        <v>40</v>
      </c>
      <c r="D183">
        <v>5.3772169999999999</v>
      </c>
      <c r="E183">
        <v>0.52831349999999999</v>
      </c>
      <c r="F183" t="s">
        <v>42</v>
      </c>
      <c r="G183">
        <v>-444.6884</v>
      </c>
      <c r="H183">
        <v>0.88558440000000005</v>
      </c>
      <c r="I183">
        <v>367.39679999999998</v>
      </c>
      <c r="J183">
        <v>-445.14449999999999</v>
      </c>
      <c r="K183">
        <v>1.1203209999999999</v>
      </c>
      <c r="L183">
        <v>367.45359999999999</v>
      </c>
      <c r="M183">
        <v>0.99975619999999998</v>
      </c>
      <c r="N183">
        <v>-5.5776699999999999E-3</v>
      </c>
      <c r="O183">
        <v>2.1366E-2</v>
      </c>
      <c r="P183">
        <v>0.98406150000000003</v>
      </c>
      <c r="Q183">
        <v>0.17769660000000001</v>
      </c>
      <c r="R183">
        <v>-6.8433230000000001E-3</v>
      </c>
      <c r="S183">
        <v>3.2471920000000001</v>
      </c>
      <c r="T183">
        <v>-1.1131169999999999</v>
      </c>
      <c r="U183">
        <v>-0.24453739999999999</v>
      </c>
      <c r="V183">
        <v>2.7854739999999999E-2</v>
      </c>
      <c r="W183">
        <v>0.18318229999999999</v>
      </c>
      <c r="X183">
        <v>0.98268429999999996</v>
      </c>
      <c r="Y183">
        <v>9.0005070000000006E-2</v>
      </c>
      <c r="Z183">
        <v>-2.2233840000000001E-2</v>
      </c>
      <c r="AA183">
        <v>0.9956931</v>
      </c>
      <c r="AB183">
        <v>23</v>
      </c>
      <c r="AC183">
        <v>0.45609999999999201</v>
      </c>
      <c r="AD183">
        <v>-0.23473659999999899</v>
      </c>
      <c r="AE183">
        <v>-5.6800000000009697E-2</v>
      </c>
      <c r="AF183">
        <v>5.2768579960639897E-2</v>
      </c>
      <c r="AG183">
        <v>-0.23473659999999899</v>
      </c>
      <c r="AH183">
        <v>0.360700659873949</v>
      </c>
      <c r="AI183">
        <v>122.77851014094</v>
      </c>
      <c r="AJ183">
        <v>81.676975167947305</v>
      </c>
      <c r="AK183">
        <v>0.43357901291935802</v>
      </c>
      <c r="AL183">
        <v>79.444825457898403</v>
      </c>
      <c r="AM183">
        <v>88.376353614486504</v>
      </c>
      <c r="AN183">
        <v>1.0000000375201199</v>
      </c>
    </row>
    <row r="184" spans="1:40" x14ac:dyDescent="0.25">
      <c r="A184" t="str">
        <f>"20190303162500060"</f>
        <v>20190303162500060</v>
      </c>
      <c r="B184" t="str">
        <f>"1551601500052285"</f>
        <v>1551601500052285</v>
      </c>
      <c r="C184" t="s">
        <v>40</v>
      </c>
      <c r="D184">
        <v>5.4129120000000004</v>
      </c>
      <c r="E184">
        <v>0.52829150000000002</v>
      </c>
      <c r="F184" t="s">
        <v>42</v>
      </c>
      <c r="G184">
        <v>-444.4776</v>
      </c>
      <c r="H184">
        <v>0.89192159999999998</v>
      </c>
      <c r="I184">
        <v>367.40339999999998</v>
      </c>
      <c r="J184">
        <v>-444.9119</v>
      </c>
      <c r="K184">
        <v>1.120317</v>
      </c>
      <c r="L184">
        <v>367.45859999999999</v>
      </c>
      <c r="M184">
        <v>0.9997547</v>
      </c>
      <c r="N184">
        <v>-5.5962069999999997E-3</v>
      </c>
      <c r="O184">
        <v>2.143515E-2</v>
      </c>
      <c r="P184">
        <v>0.98409270000000004</v>
      </c>
      <c r="Q184">
        <v>0.17753749999999999</v>
      </c>
      <c r="R184">
        <v>-6.4928709999999999E-3</v>
      </c>
      <c r="S184">
        <v>3.2477719999999999</v>
      </c>
      <c r="T184">
        <v>-1.1122669999999999</v>
      </c>
      <c r="U184">
        <v>-0.24420169999999999</v>
      </c>
      <c r="V184">
        <v>2.7572960000000001E-2</v>
      </c>
      <c r="W184">
        <v>0.18304210000000001</v>
      </c>
      <c r="X184">
        <v>0.98271830000000004</v>
      </c>
      <c r="Y184">
        <v>8.9968030000000004E-2</v>
      </c>
      <c r="Z184">
        <v>-2.223106E-2</v>
      </c>
      <c r="AA184">
        <v>0.99569649999999998</v>
      </c>
      <c r="AB184">
        <v>23</v>
      </c>
      <c r="AC184">
        <v>0.43430000000000701</v>
      </c>
      <c r="AD184">
        <v>-0.2283954</v>
      </c>
      <c r="AE184">
        <v>-5.5200000000013398E-2</v>
      </c>
      <c r="AF184">
        <v>5.0698339852964798E-2</v>
      </c>
      <c r="AG184">
        <v>-0.2283954</v>
      </c>
      <c r="AH184">
        <v>0.34037750209783002</v>
      </c>
      <c r="AI184">
        <v>123.571613728107</v>
      </c>
      <c r="AJ184">
        <v>81.528226586870701</v>
      </c>
      <c r="AK184">
        <v>0.41302738933315902</v>
      </c>
      <c r="AL184">
        <v>79.452995737884095</v>
      </c>
      <c r="AM184">
        <v>88.392825424539694</v>
      </c>
      <c r="AN184">
        <v>0.99999996782523004</v>
      </c>
    </row>
    <row r="185" spans="1:40" x14ac:dyDescent="0.25">
      <c r="A185" t="str">
        <f>"20190303162500081"</f>
        <v>20190303162500081</v>
      </c>
      <c r="B185" t="str">
        <f>"1551601500073758"</f>
        <v>1551601500073758</v>
      </c>
      <c r="C185" t="s">
        <v>40</v>
      </c>
      <c r="D185">
        <v>5.4090809999999996</v>
      </c>
      <c r="E185">
        <v>0.52827539999999995</v>
      </c>
      <c r="F185" t="s">
        <v>42</v>
      </c>
      <c r="G185">
        <v>-444.0797</v>
      </c>
      <c r="H185">
        <v>0.83512540000000002</v>
      </c>
      <c r="I185">
        <v>367.39620000000002</v>
      </c>
      <c r="J185">
        <v>-444.68579999999997</v>
      </c>
      <c r="K185">
        <v>1.120322</v>
      </c>
      <c r="L185">
        <v>367.46359999999999</v>
      </c>
      <c r="M185">
        <v>0.99975309999999995</v>
      </c>
      <c r="N185">
        <v>-5.6147269999999999E-3</v>
      </c>
      <c r="O185">
        <v>2.1502629999999998E-2</v>
      </c>
      <c r="P185">
        <v>0.98404159999999996</v>
      </c>
      <c r="Q185">
        <v>0.17784820000000001</v>
      </c>
      <c r="R185">
        <v>-5.688678E-3</v>
      </c>
      <c r="S185">
        <v>3.247681</v>
      </c>
      <c r="T185">
        <v>-1.113027</v>
      </c>
      <c r="U185">
        <v>-0.2432251</v>
      </c>
      <c r="V185">
        <v>2.683412E-2</v>
      </c>
      <c r="W185">
        <v>0.18337030000000001</v>
      </c>
      <c r="X185">
        <v>0.98267760000000004</v>
      </c>
      <c r="Y185">
        <v>8.9739940000000004E-2</v>
      </c>
      <c r="Z185">
        <v>-2.2230110000000001E-2</v>
      </c>
      <c r="AA185">
        <v>0.99571710000000002</v>
      </c>
      <c r="AB185">
        <v>23</v>
      </c>
      <c r="AC185">
        <v>0.606099999999969</v>
      </c>
      <c r="AD185">
        <v>-0.28519659999999902</v>
      </c>
      <c r="AE185">
        <v>-6.7399999999963697E-2</v>
      </c>
      <c r="AF185">
        <v>6.5985810540867607E-2</v>
      </c>
      <c r="AG185">
        <v>-0.28519659999999902</v>
      </c>
      <c r="AH185">
        <v>0.49602619420508598</v>
      </c>
      <c r="AI185">
        <v>119.68062567912401</v>
      </c>
      <c r="AJ185">
        <v>82.422496341362404</v>
      </c>
      <c r="AK185">
        <v>0.57596285746728204</v>
      </c>
      <c r="AL185">
        <v>79.433867864632902</v>
      </c>
      <c r="AM185">
        <v>88.435804543361598</v>
      </c>
      <c r="AN185">
        <v>1.0000000012300101</v>
      </c>
    </row>
    <row r="186" spans="1:40" x14ac:dyDescent="0.25">
      <c r="A186" t="str">
        <f>"20190303162500104"</f>
        <v>20190303162500104</v>
      </c>
      <c r="B186" t="str">
        <f>"1551601500093277"</f>
        <v>1551601500093277</v>
      </c>
      <c r="C186" t="s">
        <v>40</v>
      </c>
      <c r="D186">
        <v>5.409891</v>
      </c>
      <c r="E186">
        <v>0.52825580000000005</v>
      </c>
      <c r="F186" t="s">
        <v>42</v>
      </c>
      <c r="G186">
        <v>-443.86669999999998</v>
      </c>
      <c r="H186">
        <v>0.83985449999999995</v>
      </c>
      <c r="I186">
        <v>367.40249999999997</v>
      </c>
      <c r="J186">
        <v>-444.44240000000002</v>
      </c>
      <c r="K186">
        <v>1.120325</v>
      </c>
      <c r="L186">
        <v>367.46890000000002</v>
      </c>
      <c r="M186">
        <v>0.99975150000000002</v>
      </c>
      <c r="N186">
        <v>-5.6352479999999998E-3</v>
      </c>
      <c r="O186">
        <v>2.1575110000000002E-2</v>
      </c>
      <c r="P186">
        <v>0.98401559999999999</v>
      </c>
      <c r="Q186">
        <v>0.17801059999999999</v>
      </c>
      <c r="R186">
        <v>-5.0834870000000002E-3</v>
      </c>
      <c r="S186">
        <v>3.248291</v>
      </c>
      <c r="T186">
        <v>-1.1122449999999999</v>
      </c>
      <c r="U186">
        <v>-0.24078369999999999</v>
      </c>
      <c r="V186">
        <v>2.6299619999999999E-2</v>
      </c>
      <c r="W186">
        <v>0.1835531</v>
      </c>
      <c r="X186">
        <v>0.98265789999999997</v>
      </c>
      <c r="Y186">
        <v>8.9097419999999997E-2</v>
      </c>
      <c r="Z186">
        <v>-2.2127580000000001E-2</v>
      </c>
      <c r="AA186">
        <v>0.99577709999999997</v>
      </c>
      <c r="AB186">
        <v>24</v>
      </c>
      <c r="AC186">
        <v>0.57570000000003996</v>
      </c>
      <c r="AD186">
        <v>-0.28047050000000001</v>
      </c>
      <c r="AE186">
        <v>-6.6400000000044201E-2</v>
      </c>
      <c r="AF186">
        <v>6.3849950685403403E-2</v>
      </c>
      <c r="AG186">
        <v>-0.28047050000000001</v>
      </c>
      <c r="AH186">
        <v>0.465175326314062</v>
      </c>
      <c r="AI186">
        <v>120.851320914463</v>
      </c>
      <c r="AJ186">
        <v>82.184421523894201</v>
      </c>
      <c r="AK186">
        <v>0.54692650492015205</v>
      </c>
      <c r="AL186">
        <v>79.423213122974303</v>
      </c>
      <c r="AM186">
        <v>88.466915498615094</v>
      </c>
      <c r="AN186">
        <v>0.99999997948208197</v>
      </c>
    </row>
    <row r="187" spans="1:40" x14ac:dyDescent="0.25">
      <c r="A187" t="str">
        <f>"20190303162500124"</f>
        <v>20190303162500124</v>
      </c>
      <c r="B187" t="str">
        <f>"1551601500112797"</f>
        <v>1551601500112797</v>
      </c>
      <c r="C187" t="s">
        <v>40</v>
      </c>
      <c r="D187">
        <v>5.4117879999999996</v>
      </c>
      <c r="E187">
        <v>0.5282521</v>
      </c>
      <c r="F187" t="s">
        <v>42</v>
      </c>
      <c r="G187">
        <v>-443.65100000000001</v>
      </c>
      <c r="H187">
        <v>0.84938549999999902</v>
      </c>
      <c r="I187">
        <v>367.41070000000002</v>
      </c>
      <c r="J187">
        <v>-444.22550000000001</v>
      </c>
      <c r="K187">
        <v>1.120331</v>
      </c>
      <c r="L187">
        <v>367.47370000000001</v>
      </c>
      <c r="M187">
        <v>0.99974989999999997</v>
      </c>
      <c r="N187">
        <v>-5.6541289999999999E-3</v>
      </c>
      <c r="O187">
        <v>2.1639970000000001E-2</v>
      </c>
      <c r="P187">
        <v>0.98397389999999996</v>
      </c>
      <c r="Q187">
        <v>0.17824999999999999</v>
      </c>
      <c r="R187">
        <v>-4.7449479999999997E-3</v>
      </c>
      <c r="S187">
        <v>3.2486570000000001</v>
      </c>
      <c r="T187">
        <v>-1.1121490000000001</v>
      </c>
      <c r="U187">
        <v>-0.23904420000000001</v>
      </c>
      <c r="V187">
        <v>2.602382E-2</v>
      </c>
      <c r="W187">
        <v>0.1838109</v>
      </c>
      <c r="X187">
        <v>0.98261710000000002</v>
      </c>
      <c r="Y187">
        <v>8.8647779999999995E-2</v>
      </c>
      <c r="Z187">
        <v>-2.2069450000000001E-2</v>
      </c>
      <c r="AA187">
        <v>0.99581850000000005</v>
      </c>
      <c r="AB187">
        <v>24</v>
      </c>
      <c r="AC187">
        <v>0.57450000000000001</v>
      </c>
      <c r="AD187">
        <v>-0.27094550000000001</v>
      </c>
      <c r="AE187">
        <v>-6.2999999999988093E-2</v>
      </c>
      <c r="AF187">
        <v>6.1828752274774697E-2</v>
      </c>
      <c r="AG187">
        <v>-0.27094550000000001</v>
      </c>
      <c r="AH187">
        <v>0.46975776065388303</v>
      </c>
      <c r="AI187">
        <v>119.76287218162599</v>
      </c>
      <c r="AJ187">
        <v>82.501921878903403</v>
      </c>
      <c r="AK187">
        <v>0.54580821931577495</v>
      </c>
      <c r="AL187">
        <v>79.408187100324398</v>
      </c>
      <c r="AM187">
        <v>88.482922203776496</v>
      </c>
      <c r="AN187">
        <v>1.0000000256893</v>
      </c>
    </row>
    <row r="188" spans="1:40" x14ac:dyDescent="0.25">
      <c r="A188" t="str">
        <f>"20190303162500149"</f>
        <v>20190303162500149</v>
      </c>
      <c r="B188" t="str">
        <f>"1551601500143053"</f>
        <v>1551601500143053</v>
      </c>
      <c r="C188" t="s">
        <v>40</v>
      </c>
      <c r="D188">
        <v>5.4211859999999996</v>
      </c>
      <c r="E188">
        <v>0.52824169999999904</v>
      </c>
      <c r="F188" t="s">
        <v>42</v>
      </c>
      <c r="G188">
        <v>-443.4375</v>
      </c>
      <c r="H188">
        <v>0.85070630000000003</v>
      </c>
      <c r="I188">
        <v>367.41579999999999</v>
      </c>
      <c r="J188">
        <v>-443.96319999999997</v>
      </c>
      <c r="K188">
        <v>1.1203339999999999</v>
      </c>
      <c r="L188">
        <v>367.4794</v>
      </c>
      <c r="M188">
        <v>0.99974810000000003</v>
      </c>
      <c r="N188">
        <v>-5.677423E-3</v>
      </c>
      <c r="O188">
        <v>2.171793E-2</v>
      </c>
      <c r="P188">
        <v>0.98394979999999999</v>
      </c>
      <c r="Q188">
        <v>0.17839070000000001</v>
      </c>
      <c r="R188">
        <v>-4.4612369999999998E-3</v>
      </c>
      <c r="S188">
        <v>3.2490839999999999</v>
      </c>
      <c r="T188">
        <v>-1.111785</v>
      </c>
      <c r="U188">
        <v>-0.23785400000000001</v>
      </c>
      <c r="V188">
        <v>2.581611E-2</v>
      </c>
      <c r="W188">
        <v>0.183974</v>
      </c>
      <c r="X188">
        <v>0.98259200000000002</v>
      </c>
      <c r="Y188">
        <v>8.8369939999999994E-2</v>
      </c>
      <c r="Z188">
        <v>-2.2039280000000001E-2</v>
      </c>
      <c r="AA188">
        <v>0.9958439</v>
      </c>
      <c r="AB188">
        <v>24</v>
      </c>
      <c r="AC188">
        <v>0.52569999999997197</v>
      </c>
      <c r="AD188">
        <v>-0.26962769999999903</v>
      </c>
      <c r="AE188">
        <v>-6.3600000000008095E-2</v>
      </c>
      <c r="AF188">
        <v>5.9560414048398798E-2</v>
      </c>
      <c r="AG188">
        <v>-0.26962769999999903</v>
      </c>
      <c r="AH188">
        <v>0.41627064278318598</v>
      </c>
      <c r="AI188">
        <v>122.66767063663499</v>
      </c>
      <c r="AJ188">
        <v>81.857329273029407</v>
      </c>
      <c r="AK188">
        <v>0.499527564376615</v>
      </c>
      <c r="AL188">
        <v>79.398679445980804</v>
      </c>
      <c r="AM188">
        <v>88.494986794009293</v>
      </c>
      <c r="AN188">
        <v>0.99999997133776497</v>
      </c>
    </row>
    <row r="189" spans="1:40" x14ac:dyDescent="0.25">
      <c r="A189" t="str">
        <f>"20190303162500172"</f>
        <v>20190303162500172</v>
      </c>
      <c r="B189" t="str">
        <f>"1551601500162574"</f>
        <v>1551601500162574</v>
      </c>
      <c r="C189" t="s">
        <v>40</v>
      </c>
      <c r="D189">
        <v>5.407959</v>
      </c>
      <c r="E189">
        <v>0.52822569999999902</v>
      </c>
      <c r="F189" t="s">
        <v>42</v>
      </c>
      <c r="G189">
        <v>-443.21800000000002</v>
      </c>
      <c r="H189">
        <v>0.86533300000000002</v>
      </c>
      <c r="I189">
        <v>367.42520000000002</v>
      </c>
      <c r="J189">
        <v>-443.71449999999999</v>
      </c>
      <c r="K189">
        <v>1.1203350000000001</v>
      </c>
      <c r="L189">
        <v>367.48489999999998</v>
      </c>
      <c r="M189">
        <v>0.99974629999999998</v>
      </c>
      <c r="N189">
        <v>-5.6999249999999998E-3</v>
      </c>
      <c r="O189">
        <v>2.1791720000000001E-2</v>
      </c>
      <c r="P189">
        <v>0.98399879999999995</v>
      </c>
      <c r="Q189">
        <v>0.17811109999999999</v>
      </c>
      <c r="R189">
        <v>-4.8001540000000001E-3</v>
      </c>
      <c r="S189">
        <v>3.2494809999999998</v>
      </c>
      <c r="T189">
        <v>-1.112034</v>
      </c>
      <c r="U189">
        <v>-0.23599239999999999</v>
      </c>
      <c r="V189">
        <v>2.6228339999999999E-2</v>
      </c>
      <c r="W189">
        <v>0.18371709999999999</v>
      </c>
      <c r="X189">
        <v>0.98262919999999998</v>
      </c>
      <c r="Y189">
        <v>8.7889030000000007E-2</v>
      </c>
      <c r="Z189">
        <v>-2.1985129999999999E-2</v>
      </c>
      <c r="AA189">
        <v>0.99588759999999998</v>
      </c>
      <c r="AB189">
        <v>24</v>
      </c>
      <c r="AC189">
        <v>0.49649999999996902</v>
      </c>
      <c r="AD189">
        <v>-0.25500200000000001</v>
      </c>
      <c r="AE189">
        <v>-5.9699999999963803E-2</v>
      </c>
      <c r="AF189">
        <v>5.5955719333116397E-2</v>
      </c>
      <c r="AG189">
        <v>-0.25500200000000001</v>
      </c>
      <c r="AH189">
        <v>0.39291381744198001</v>
      </c>
      <c r="AI189">
        <v>122.72153702560399</v>
      </c>
      <c r="AJ189">
        <v>81.894882941516897</v>
      </c>
      <c r="AK189">
        <v>0.47173968506679198</v>
      </c>
      <c r="AL189">
        <v>79.413654509855505</v>
      </c>
      <c r="AM189">
        <v>88.471024015923803</v>
      </c>
      <c r="AN189">
        <v>1.0000000216720999</v>
      </c>
    </row>
    <row r="190" spans="1:40" x14ac:dyDescent="0.25">
      <c r="A190" t="str">
        <f>"20190303162500195"</f>
        <v>20190303162500195</v>
      </c>
      <c r="B190" t="str">
        <f>"1551601500183069"</f>
        <v>1551601500183069</v>
      </c>
      <c r="C190" t="s">
        <v>40</v>
      </c>
      <c r="D190">
        <v>5.4296810000000004</v>
      </c>
      <c r="E190">
        <v>0.52824329999999997</v>
      </c>
      <c r="F190" t="s">
        <v>42</v>
      </c>
      <c r="G190">
        <v>-442.99950000000001</v>
      </c>
      <c r="H190">
        <v>0.87523649999999997</v>
      </c>
      <c r="I190">
        <v>367.43239999999997</v>
      </c>
      <c r="J190">
        <v>-443.46249999999998</v>
      </c>
      <c r="K190">
        <v>1.1203259999999999</v>
      </c>
      <c r="L190">
        <v>367.4905</v>
      </c>
      <c r="M190">
        <v>0.99974470000000004</v>
      </c>
      <c r="N190">
        <v>-5.7230989999999997E-3</v>
      </c>
      <c r="O190">
        <v>2.186652E-2</v>
      </c>
      <c r="P190">
        <v>0.98405640000000005</v>
      </c>
      <c r="Q190">
        <v>0.1777965</v>
      </c>
      <c r="R190">
        <v>-4.6584119999999998E-3</v>
      </c>
      <c r="S190">
        <v>3.2492369999999999</v>
      </c>
      <c r="T190">
        <v>-1.113834</v>
      </c>
      <c r="U190">
        <v>-0.2372437</v>
      </c>
      <c r="V190">
        <v>2.6161380000000001E-2</v>
      </c>
      <c r="W190">
        <v>0.18342600000000001</v>
      </c>
      <c r="X190">
        <v>0.98268529999999998</v>
      </c>
      <c r="Y190">
        <v>8.83018E-2</v>
      </c>
      <c r="Z190">
        <v>-2.211488E-2</v>
      </c>
      <c r="AA190">
        <v>0.99584819999999996</v>
      </c>
      <c r="AB190">
        <v>24</v>
      </c>
      <c r="AC190">
        <v>0.462999999999965</v>
      </c>
      <c r="AD190">
        <v>-0.24508949999999999</v>
      </c>
      <c r="AE190">
        <v>-5.8100000000024403E-2</v>
      </c>
      <c r="AF190">
        <v>5.3461994260301397E-2</v>
      </c>
      <c r="AG190">
        <v>-0.24508949999999999</v>
      </c>
      <c r="AH190">
        <v>0.36180754816788402</v>
      </c>
      <c r="AI190">
        <v>123.82709320763</v>
      </c>
      <c r="AJ190">
        <v>81.594590666364596</v>
      </c>
      <c r="AK190">
        <v>0.44026327322614001</v>
      </c>
      <c r="AL190">
        <v>79.430620953709706</v>
      </c>
      <c r="AM190">
        <v>88.475012613365294</v>
      </c>
      <c r="AN190">
        <v>0.99999995705779599</v>
      </c>
    </row>
    <row r="191" spans="1:40" x14ac:dyDescent="0.25">
      <c r="A191" t="str">
        <f>"20190303162500215"</f>
        <v>20190303162500215</v>
      </c>
      <c r="B191" t="str">
        <f>"1551601500202590"</f>
        <v>1551601500202590</v>
      </c>
      <c r="C191" t="s">
        <v>40</v>
      </c>
      <c r="D191">
        <v>5.4356609999999996</v>
      </c>
      <c r="E191">
        <v>0.52825349999999904</v>
      </c>
      <c r="F191" t="s">
        <v>42</v>
      </c>
      <c r="G191">
        <v>-442.77969999999999</v>
      </c>
      <c r="H191">
        <v>0.88602809999999899</v>
      </c>
      <c r="I191">
        <v>367.44040000000001</v>
      </c>
      <c r="J191">
        <v>-443.25650000000002</v>
      </c>
      <c r="K191">
        <v>1.1203240000000001</v>
      </c>
      <c r="L191">
        <v>367.49509999999998</v>
      </c>
      <c r="M191">
        <v>0.99974320000000005</v>
      </c>
      <c r="N191">
        <v>-5.7423229999999997E-3</v>
      </c>
      <c r="O191">
        <v>2.1927680000000001E-2</v>
      </c>
      <c r="P191">
        <v>0.98406439999999995</v>
      </c>
      <c r="Q191">
        <v>0.17775489999999999</v>
      </c>
      <c r="R191">
        <v>-4.5370109999999996E-3</v>
      </c>
      <c r="S191">
        <v>3.248901</v>
      </c>
      <c r="T191">
        <v>-1.114873</v>
      </c>
      <c r="U191">
        <v>-0.23721310000000001</v>
      </c>
      <c r="V191">
        <v>2.6100149999999999E-2</v>
      </c>
      <c r="W191">
        <v>0.1834026</v>
      </c>
      <c r="X191">
        <v>0.98269130000000005</v>
      </c>
      <c r="Y191">
        <v>8.8342290000000004E-2</v>
      </c>
      <c r="Z191">
        <v>-2.2163809999999999E-2</v>
      </c>
      <c r="AA191">
        <v>0.99584360000000005</v>
      </c>
      <c r="AB191">
        <v>24</v>
      </c>
      <c r="AC191">
        <v>0.47680000000002498</v>
      </c>
      <c r="AD191">
        <v>-0.234295899999999</v>
      </c>
      <c r="AE191">
        <v>-5.4699999999968399E-2</v>
      </c>
      <c r="AF191">
        <v>5.2604838556120102E-2</v>
      </c>
      <c r="AG191">
        <v>-0.234295899999999</v>
      </c>
      <c r="AH191">
        <v>0.38397356805043797</v>
      </c>
      <c r="AI191">
        <v>121.154662897723</v>
      </c>
      <c r="AJ191">
        <v>82.198974363971899</v>
      </c>
      <c r="AK191">
        <v>0.45287695763607799</v>
      </c>
      <c r="AL191">
        <v>79.431984857318298</v>
      </c>
      <c r="AM191">
        <v>88.478589410406101</v>
      </c>
      <c r="AN191">
        <v>0.99999996130623503</v>
      </c>
    </row>
    <row r="192" spans="1:40" x14ac:dyDescent="0.25">
      <c r="A192" t="str">
        <f>"20190303162500248"</f>
        <v>20190303162500248</v>
      </c>
      <c r="B192" t="str">
        <f>"1551601500242606"</f>
        <v>1551601500242606</v>
      </c>
      <c r="C192" t="s">
        <v>40</v>
      </c>
      <c r="D192">
        <v>5.4288210000000001</v>
      </c>
      <c r="E192">
        <v>0.52822690000000005</v>
      </c>
      <c r="F192" t="s">
        <v>42</v>
      </c>
      <c r="G192">
        <v>-442.56439999999998</v>
      </c>
      <c r="H192">
        <v>0.88283009999999995</v>
      </c>
      <c r="I192">
        <v>367.44439999999997</v>
      </c>
      <c r="J192">
        <v>-442.89690000000002</v>
      </c>
      <c r="K192">
        <v>1.1203270000000001</v>
      </c>
      <c r="L192">
        <v>367.50310000000002</v>
      </c>
      <c r="M192">
        <v>0.99974059999999998</v>
      </c>
      <c r="N192">
        <v>-5.7763419999999899E-3</v>
      </c>
      <c r="O192">
        <v>2.2034450000000001E-2</v>
      </c>
      <c r="P192">
        <v>0.98414979999999996</v>
      </c>
      <c r="Q192">
        <v>0.1772753</v>
      </c>
      <c r="R192">
        <v>-4.7881620000000003E-3</v>
      </c>
      <c r="S192">
        <v>3.248901</v>
      </c>
      <c r="T192">
        <v>-1.114897</v>
      </c>
      <c r="U192">
        <v>-0.23702999999999999</v>
      </c>
      <c r="V192">
        <v>2.645807E-2</v>
      </c>
      <c r="W192">
        <v>0.18295719999999999</v>
      </c>
      <c r="X192">
        <v>0.98276479999999999</v>
      </c>
      <c r="Y192">
        <v>8.8383909999999996E-2</v>
      </c>
      <c r="Z192">
        <v>-2.220718E-2</v>
      </c>
      <c r="AA192">
        <v>0.99583889999999997</v>
      </c>
      <c r="AB192">
        <v>24</v>
      </c>
      <c r="AC192">
        <v>0.33250000000003799</v>
      </c>
      <c r="AD192">
        <v>-0.23749690000000001</v>
      </c>
      <c r="AE192">
        <v>-5.87000000000443E-2</v>
      </c>
      <c r="AF192">
        <v>4.4162185212847198E-2</v>
      </c>
      <c r="AG192">
        <v>-0.23749690000000001</v>
      </c>
      <c r="AH192">
        <v>0.22152287873854501</v>
      </c>
      <c r="AI192">
        <v>136.43585430348699</v>
      </c>
      <c r="AJ192">
        <v>78.725484011262296</v>
      </c>
      <c r="AK192">
        <v>0.32776128800850801</v>
      </c>
      <c r="AL192">
        <v>79.457944148508702</v>
      </c>
      <c r="AM192">
        <v>88.457851100221305</v>
      </c>
      <c r="AN192">
        <v>1.0000000093095001</v>
      </c>
    </row>
    <row r="193" spans="1:40" x14ac:dyDescent="0.25">
      <c r="A193" t="str">
        <f>"20190303162500271"</f>
        <v>20190303162500271</v>
      </c>
      <c r="B193" t="str">
        <f>"1551601500263101"</f>
        <v>1551601500263101</v>
      </c>
      <c r="C193" t="s">
        <v>40</v>
      </c>
      <c r="D193">
        <v>5.4330350000000003</v>
      </c>
      <c r="E193">
        <v>0.52821309999999999</v>
      </c>
      <c r="F193" t="s">
        <v>42</v>
      </c>
      <c r="G193">
        <v>-442.1377</v>
      </c>
      <c r="H193">
        <v>0.85905089999999995</v>
      </c>
      <c r="I193">
        <v>367.447</v>
      </c>
      <c r="J193">
        <v>-442.6379</v>
      </c>
      <c r="K193">
        <v>1.120325</v>
      </c>
      <c r="L193">
        <v>367.50880000000001</v>
      </c>
      <c r="M193">
        <v>0.99973880000000004</v>
      </c>
      <c r="N193">
        <v>-5.8011649999999996E-3</v>
      </c>
      <c r="O193">
        <v>2.2110910000000001E-2</v>
      </c>
      <c r="P193">
        <v>0.98407829999999996</v>
      </c>
      <c r="Q193">
        <v>0.17766779999999999</v>
      </c>
      <c r="R193">
        <v>-4.9309990000000001E-3</v>
      </c>
      <c r="S193">
        <v>3.248535</v>
      </c>
      <c r="T193">
        <v>-1.1178330000000001</v>
      </c>
      <c r="U193">
        <v>-0.23702999999999999</v>
      </c>
      <c r="V193">
        <v>2.6674260000000002E-2</v>
      </c>
      <c r="W193">
        <v>0.18337349999999999</v>
      </c>
      <c r="X193">
        <v>0.98268129999999998</v>
      </c>
      <c r="Y193">
        <v>8.8427389999999995E-2</v>
      </c>
      <c r="Z193">
        <v>-2.2297640000000001E-2</v>
      </c>
      <c r="AA193">
        <v>0.99583299999999997</v>
      </c>
      <c r="AB193">
        <v>24</v>
      </c>
      <c r="AC193">
        <v>0.50020000000000597</v>
      </c>
      <c r="AD193">
        <v>-0.26127410000000001</v>
      </c>
      <c r="AE193">
        <v>-6.1800000000062E-2</v>
      </c>
      <c r="AF193">
        <v>5.7415369450879203E-2</v>
      </c>
      <c r="AG193">
        <v>-0.26127410000000001</v>
      </c>
      <c r="AH193">
        <v>0.393077192830877</v>
      </c>
      <c r="AI193">
        <v>123.33331211577701</v>
      </c>
      <c r="AJ193">
        <v>81.689779960527602</v>
      </c>
      <c r="AK193">
        <v>0.47546856836576801</v>
      </c>
      <c r="AL193">
        <v>79.433680776121307</v>
      </c>
      <c r="AM193">
        <v>88.445124252342694</v>
      </c>
      <c r="AN193">
        <v>0.999999947009242</v>
      </c>
    </row>
    <row r="194" spans="1:40" x14ac:dyDescent="0.25">
      <c r="A194" t="str">
        <f>"20190303162500294"</f>
        <v>20190303162500294</v>
      </c>
      <c r="B194" t="str">
        <f>"1551601500283598"</f>
        <v>1551601500283598</v>
      </c>
      <c r="C194" t="s">
        <v>40</v>
      </c>
      <c r="D194">
        <v>5.4579050000000002</v>
      </c>
      <c r="E194">
        <v>0.5281981</v>
      </c>
      <c r="F194" t="s">
        <v>42</v>
      </c>
      <c r="G194">
        <v>-441.91379999999998</v>
      </c>
      <c r="H194">
        <v>0.87134969999999901</v>
      </c>
      <c r="I194">
        <v>367.45569999999998</v>
      </c>
      <c r="J194">
        <v>-442.392</v>
      </c>
      <c r="K194">
        <v>1.120314</v>
      </c>
      <c r="L194">
        <v>367.51429999999999</v>
      </c>
      <c r="M194">
        <v>0.99973710000000005</v>
      </c>
      <c r="N194">
        <v>-5.8249859999999999E-3</v>
      </c>
      <c r="O194">
        <v>2.218285E-2</v>
      </c>
      <c r="P194">
        <v>0.98406720000000003</v>
      </c>
      <c r="Q194">
        <v>0.1777299</v>
      </c>
      <c r="R194">
        <v>-4.9268819999999996E-3</v>
      </c>
      <c r="S194">
        <v>3.2490540000000001</v>
      </c>
      <c r="T194">
        <v>-1.1172059999999999</v>
      </c>
      <c r="U194">
        <v>-0.2371521</v>
      </c>
      <c r="V194">
        <v>2.6740710000000001E-2</v>
      </c>
      <c r="W194">
        <v>0.18345929999999999</v>
      </c>
      <c r="X194">
        <v>0.98266350000000002</v>
      </c>
      <c r="Y194">
        <v>8.8523829999999998E-2</v>
      </c>
      <c r="Z194">
        <v>-2.2323079999999999E-2</v>
      </c>
      <c r="AA194">
        <v>0.99582389999999998</v>
      </c>
      <c r="AB194">
        <v>24</v>
      </c>
      <c r="AC194">
        <v>0.478200000000015</v>
      </c>
      <c r="AD194">
        <v>-0.2489643</v>
      </c>
      <c r="AE194">
        <v>-5.86000000000126E-2</v>
      </c>
      <c r="AF194">
        <v>5.4610283201218697E-2</v>
      </c>
      <c r="AG194">
        <v>-0.2489643</v>
      </c>
      <c r="AH194">
        <v>0.37629524008999998</v>
      </c>
      <c r="AI194">
        <v>123.21518956998899</v>
      </c>
      <c r="AJ194">
        <v>81.742533313628897</v>
      </c>
      <c r="AK194">
        <v>0.45449269897347999</v>
      </c>
      <c r="AL194">
        <v>79.428680177447305</v>
      </c>
      <c r="AM194">
        <v>88.441224486609201</v>
      </c>
      <c r="AN194">
        <v>0.99999996728002105</v>
      </c>
    </row>
    <row r="195" spans="1:40" x14ac:dyDescent="0.25">
      <c r="A195" t="str">
        <f>"20190303162500314"</f>
        <v>20190303162500314</v>
      </c>
      <c r="B195" t="str">
        <f>"1551601500303118"</f>
        <v>1551601500303118</v>
      </c>
      <c r="C195" t="s">
        <v>40</v>
      </c>
      <c r="D195">
        <v>5.4517239999999996</v>
      </c>
      <c r="E195">
        <v>0.52818080000000001</v>
      </c>
      <c r="F195" t="s">
        <v>42</v>
      </c>
      <c r="G195">
        <v>-441.69080000000002</v>
      </c>
      <c r="H195">
        <v>0.87913249999999998</v>
      </c>
      <c r="I195">
        <v>367.46260000000001</v>
      </c>
      <c r="J195">
        <v>-442.16039999999998</v>
      </c>
      <c r="K195">
        <v>1.1203179999999999</v>
      </c>
      <c r="L195">
        <v>367.51960000000003</v>
      </c>
      <c r="M195">
        <v>0.99973540000000005</v>
      </c>
      <c r="N195">
        <v>-5.8476029999999998E-3</v>
      </c>
      <c r="O195">
        <v>2.2250430000000002E-2</v>
      </c>
      <c r="P195">
        <v>0.98403969999999996</v>
      </c>
      <c r="Q195">
        <v>0.1778932</v>
      </c>
      <c r="R195">
        <v>-4.5062419999999997E-3</v>
      </c>
      <c r="S195">
        <v>3.2491759999999998</v>
      </c>
      <c r="T195">
        <v>-1.1174900000000001</v>
      </c>
      <c r="U195">
        <v>-0.2378845</v>
      </c>
      <c r="V195">
        <v>2.6386010000000001E-2</v>
      </c>
      <c r="W195">
        <v>0.1836449</v>
      </c>
      <c r="X195">
        <v>0.98263840000000002</v>
      </c>
      <c r="Y195">
        <v>8.8789720000000003E-2</v>
      </c>
      <c r="Z195">
        <v>-2.2395399999999999E-2</v>
      </c>
      <c r="AA195">
        <v>0.99579859999999998</v>
      </c>
      <c r="AB195">
        <v>25</v>
      </c>
      <c r="AC195">
        <v>0.469599999999957</v>
      </c>
      <c r="AD195">
        <v>-0.241185499999999</v>
      </c>
      <c r="AE195">
        <v>-5.7000000000016302E-2</v>
      </c>
      <c r="AF195">
        <v>5.3521743935514898E-2</v>
      </c>
      <c r="AG195">
        <v>-0.241185499999999</v>
      </c>
      <c r="AH195">
        <v>0.37161349519567599</v>
      </c>
      <c r="AI195">
        <v>122.716444381099</v>
      </c>
      <c r="AJ195">
        <v>81.804316715507497</v>
      </c>
      <c r="AK195">
        <v>0.44624165235407498</v>
      </c>
      <c r="AL195">
        <v>79.417862077688099</v>
      </c>
      <c r="AM195">
        <v>88.461851470480894</v>
      </c>
      <c r="AN195">
        <v>0.99999994798714298</v>
      </c>
    </row>
    <row r="196" spans="1:40" x14ac:dyDescent="0.25">
      <c r="A196" t="str">
        <f>"20190303162500336"</f>
        <v>20190303162500336</v>
      </c>
      <c r="B196" t="str">
        <f>"1551601500333374"</f>
        <v>1551601500333374</v>
      </c>
      <c r="C196" t="s">
        <v>40</v>
      </c>
      <c r="D196">
        <v>5.4519209999999996</v>
      </c>
      <c r="E196">
        <v>0.52820769999999995</v>
      </c>
      <c r="F196" t="s">
        <v>42</v>
      </c>
      <c r="G196">
        <v>-441.46850000000001</v>
      </c>
      <c r="H196">
        <v>0.88241179999999997</v>
      </c>
      <c r="I196">
        <v>367.46890000000002</v>
      </c>
      <c r="J196">
        <v>-441.91980000000001</v>
      </c>
      <c r="K196">
        <v>1.1203209999999999</v>
      </c>
      <c r="L196">
        <v>367.52499999999998</v>
      </c>
      <c r="M196">
        <v>0.99973369999999995</v>
      </c>
      <c r="N196">
        <v>-5.8712390000000003E-3</v>
      </c>
      <c r="O196">
        <v>2.2318370000000001E-2</v>
      </c>
      <c r="P196">
        <v>0.98399440000000005</v>
      </c>
      <c r="Q196">
        <v>0.17815239999999999</v>
      </c>
      <c r="R196">
        <v>-4.1498469999999999E-3</v>
      </c>
      <c r="S196">
        <v>3.2495419999999999</v>
      </c>
      <c r="T196">
        <v>-1.1173550000000001</v>
      </c>
      <c r="U196">
        <v>-0.23721310000000001</v>
      </c>
      <c r="V196">
        <v>2.609591E-2</v>
      </c>
      <c r="W196">
        <v>0.18392710000000001</v>
      </c>
      <c r="X196">
        <v>0.98259339999999995</v>
      </c>
      <c r="Y196">
        <v>8.8651419999999995E-2</v>
      </c>
      <c r="Z196">
        <v>-2.2390009999999998E-2</v>
      </c>
      <c r="AA196">
        <v>0.995811</v>
      </c>
      <c r="AB196">
        <v>25</v>
      </c>
      <c r="AC196">
        <v>0.45130000000000298</v>
      </c>
      <c r="AD196">
        <v>-0.23790919999999899</v>
      </c>
      <c r="AE196">
        <v>-5.6099999999958003E-2</v>
      </c>
      <c r="AF196">
        <v>5.1943057463790902E-2</v>
      </c>
      <c r="AG196">
        <v>-0.23790919999999899</v>
      </c>
      <c r="AH196">
        <v>0.35325820333097802</v>
      </c>
      <c r="AI196">
        <v>123.67578359314599</v>
      </c>
      <c r="AJ196">
        <v>81.635174122183898</v>
      </c>
      <c r="AK196">
        <v>0.42905737015457202</v>
      </c>
      <c r="AL196">
        <v>79.401413385676904</v>
      </c>
      <c r="AM196">
        <v>88.478684960371595</v>
      </c>
      <c r="AN196">
        <v>0.99999998217834796</v>
      </c>
    </row>
    <row r="197" spans="1:40" x14ac:dyDescent="0.25">
      <c r="A197" t="str">
        <f>"20190303162500362"</f>
        <v>20190303162500362</v>
      </c>
      <c r="B197" t="str">
        <f>"1551601500352894"</f>
        <v>1551601500352894</v>
      </c>
      <c r="C197" t="s">
        <v>40</v>
      </c>
      <c r="D197">
        <v>5.4517920000000002</v>
      </c>
      <c r="E197">
        <v>0.52821249999999997</v>
      </c>
      <c r="F197" t="s">
        <v>42</v>
      </c>
      <c r="G197">
        <v>-441.24450000000002</v>
      </c>
      <c r="H197">
        <v>0.88821849999999902</v>
      </c>
      <c r="I197">
        <v>367.47559999999999</v>
      </c>
      <c r="J197">
        <v>-441.63780000000003</v>
      </c>
      <c r="K197">
        <v>1.120317</v>
      </c>
      <c r="L197">
        <v>367.53140000000002</v>
      </c>
      <c r="M197">
        <v>0.99973179999999995</v>
      </c>
      <c r="N197">
        <v>-5.8989389999999997E-3</v>
      </c>
      <c r="O197">
        <v>2.239462E-2</v>
      </c>
      <c r="P197">
        <v>0.98407610000000001</v>
      </c>
      <c r="Q197">
        <v>0.17770239999999901</v>
      </c>
      <c r="R197">
        <v>-4.0462420000000002E-3</v>
      </c>
      <c r="S197">
        <v>3.2500309999999999</v>
      </c>
      <c r="T197">
        <v>-1.116994</v>
      </c>
      <c r="U197">
        <v>-0.23449710000000001</v>
      </c>
      <c r="V197">
        <v>2.6069910000000002E-2</v>
      </c>
      <c r="W197">
        <v>0.18350430000000001</v>
      </c>
      <c r="X197">
        <v>0.98267320000000002</v>
      </c>
      <c r="Y197">
        <v>8.7931490000000001E-2</v>
      </c>
      <c r="Z197">
        <v>-2.2284000000000002E-2</v>
      </c>
      <c r="AA197">
        <v>0.99587729999999997</v>
      </c>
      <c r="AB197">
        <v>25</v>
      </c>
      <c r="AC197">
        <v>0.39330000000000997</v>
      </c>
      <c r="AD197">
        <v>-0.23209850000000001</v>
      </c>
      <c r="AE197">
        <v>-5.5800000000033302E-2</v>
      </c>
      <c r="AF197">
        <v>4.8154754753772802E-2</v>
      </c>
      <c r="AG197">
        <v>-0.23209850000000001</v>
      </c>
      <c r="AH197">
        <v>0.29219973670987498</v>
      </c>
      <c r="AI197">
        <v>128.087321201648</v>
      </c>
      <c r="AJ197">
        <v>80.641725248968697</v>
      </c>
      <c r="AK197">
        <v>0.376256933811147</v>
      </c>
      <c r="AL197">
        <v>79.426058151252704</v>
      </c>
      <c r="AM197">
        <v>88.480323333519905</v>
      </c>
      <c r="AN197">
        <v>1.0000000431620599</v>
      </c>
    </row>
    <row r="198" spans="1:40" x14ac:dyDescent="0.25">
      <c r="A198" t="str">
        <f>"20190303162500385"</f>
        <v>20190303162500385</v>
      </c>
      <c r="B198" t="str">
        <f>"1551601500373391"</f>
        <v>1551601500373391</v>
      </c>
      <c r="C198" t="s">
        <v>40</v>
      </c>
      <c r="D198">
        <v>5.4632569999999996</v>
      </c>
      <c r="E198">
        <v>0.52818089999999995</v>
      </c>
      <c r="F198" t="s">
        <v>42</v>
      </c>
      <c r="G198">
        <v>-440.8175</v>
      </c>
      <c r="H198">
        <v>0.83788909999999905</v>
      </c>
      <c r="I198">
        <v>367.47250000000003</v>
      </c>
      <c r="J198">
        <v>-441.387</v>
      </c>
      <c r="K198">
        <v>1.1203149999999999</v>
      </c>
      <c r="L198">
        <v>367.53710000000001</v>
      </c>
      <c r="M198">
        <v>0.99973020000000001</v>
      </c>
      <c r="N198">
        <v>-5.9238059999999898E-3</v>
      </c>
      <c r="O198">
        <v>2.245956E-2</v>
      </c>
      <c r="P198">
        <v>0.98404179999999997</v>
      </c>
      <c r="Q198">
        <v>0.17787439999999999</v>
      </c>
      <c r="R198">
        <v>-4.7236810000000004E-3</v>
      </c>
      <c r="S198">
        <v>3.2496339999999999</v>
      </c>
      <c r="T198">
        <v>-1.119005</v>
      </c>
      <c r="U198">
        <v>-0.23251340000000001</v>
      </c>
      <c r="V198">
        <v>2.6811209999999999E-2</v>
      </c>
      <c r="W198">
        <v>0.18370020000000001</v>
      </c>
      <c r="X198">
        <v>0.98261659999999995</v>
      </c>
      <c r="Y198">
        <v>8.7403140000000004E-2</v>
      </c>
      <c r="Z198">
        <v>-2.2256729999999999E-2</v>
      </c>
      <c r="AA198">
        <v>0.99592440000000004</v>
      </c>
      <c r="AB198">
        <v>25</v>
      </c>
      <c r="AC198">
        <v>0.56949999999994805</v>
      </c>
      <c r="AD198">
        <v>-0.28242590000000001</v>
      </c>
      <c r="AE198">
        <v>-6.4599999999984406E-2</v>
      </c>
      <c r="AF198">
        <v>6.2257752902762899E-2</v>
      </c>
      <c r="AG198">
        <v>-0.28242590000000001</v>
      </c>
      <c r="AH198">
        <v>0.45695220082215499</v>
      </c>
      <c r="AI198">
        <v>121.48357553894201</v>
      </c>
      <c r="AJ198">
        <v>82.241470393020805</v>
      </c>
      <c r="AK198">
        <v>0.54078251693589596</v>
      </c>
      <c r="AL198">
        <v>79.414639272219404</v>
      </c>
      <c r="AM198">
        <v>88.437042361266094</v>
      </c>
      <c r="AN198">
        <v>0.999999993528631</v>
      </c>
    </row>
    <row r="199" spans="1:40" x14ac:dyDescent="0.25">
      <c r="A199" t="str">
        <f>"20190303162500407"</f>
        <v>20190303162500407</v>
      </c>
      <c r="B199" t="str">
        <f>"1551601500402670"</f>
        <v>1551601500402670</v>
      </c>
      <c r="C199" t="s">
        <v>40</v>
      </c>
      <c r="D199">
        <v>5.4862440000000001</v>
      </c>
      <c r="E199">
        <v>0.52816949999999996</v>
      </c>
      <c r="F199" t="s">
        <v>42</v>
      </c>
      <c r="G199">
        <v>-440.59</v>
      </c>
      <c r="H199">
        <v>0.84597269999999902</v>
      </c>
      <c r="I199">
        <v>367.47910000000002</v>
      </c>
      <c r="J199">
        <v>-441.13380000000001</v>
      </c>
      <c r="K199">
        <v>1.120261</v>
      </c>
      <c r="L199">
        <v>367.5428</v>
      </c>
      <c r="M199">
        <v>0.9997298</v>
      </c>
      <c r="N199">
        <v>-5.7605249999999998E-3</v>
      </c>
      <c r="O199">
        <v>2.2522850000000001E-2</v>
      </c>
      <c r="P199">
        <v>0.98405989999999999</v>
      </c>
      <c r="Q199">
        <v>0.17775969999999999</v>
      </c>
      <c r="R199">
        <v>-5.2595860000000001E-3</v>
      </c>
      <c r="S199">
        <v>3.2497250000000002</v>
      </c>
      <c r="T199">
        <v>-1.1185620000000001</v>
      </c>
      <c r="U199">
        <v>-0.23538210000000001</v>
      </c>
      <c r="V199">
        <v>2.741058E-2</v>
      </c>
      <c r="W199">
        <v>0.18342510000000001</v>
      </c>
      <c r="X199">
        <v>0.98265150000000001</v>
      </c>
      <c r="Y199">
        <v>8.8290430000000003E-2</v>
      </c>
      <c r="Z199">
        <v>-2.2415129999999998E-2</v>
      </c>
      <c r="AA199">
        <v>0.99584249999999996</v>
      </c>
      <c r="AB199">
        <v>25</v>
      </c>
      <c r="AC199">
        <v>0.54380000000003204</v>
      </c>
      <c r="AD199">
        <v>-0.27428829999999998</v>
      </c>
      <c r="AE199">
        <v>-6.3699999999982895E-2</v>
      </c>
      <c r="AF199">
        <v>6.0698593426618902E-2</v>
      </c>
      <c r="AG199">
        <v>-0.27428829999999998</v>
      </c>
      <c r="AH199">
        <v>0.43344636169987699</v>
      </c>
      <c r="AI199">
        <v>122.075081127263</v>
      </c>
      <c r="AJ199">
        <v>82.0283019622604</v>
      </c>
      <c r="AK199">
        <v>0.51652118952829096</v>
      </c>
      <c r="AL199">
        <v>79.430674284112399</v>
      </c>
      <c r="AM199">
        <v>88.402176765498893</v>
      </c>
      <c r="AN199">
        <v>1.0000000388290899</v>
      </c>
    </row>
    <row r="200" spans="1:40" x14ac:dyDescent="0.25">
      <c r="A200" t="str">
        <f>"20190303162500429"</f>
        <v>20190303162500429</v>
      </c>
      <c r="B200" t="str">
        <f>"1551601500423166"</f>
        <v>1551601500423166</v>
      </c>
      <c r="C200" t="s">
        <v>40</v>
      </c>
      <c r="D200">
        <v>5.4800389999999997</v>
      </c>
      <c r="E200">
        <v>0.52815299999999998</v>
      </c>
      <c r="F200" t="s">
        <v>42</v>
      </c>
      <c r="G200">
        <v>-440.36</v>
      </c>
      <c r="H200">
        <v>0.85372039999999905</v>
      </c>
      <c r="I200">
        <v>367.48590000000002</v>
      </c>
      <c r="J200">
        <v>-440.88499999999999</v>
      </c>
      <c r="K200">
        <v>1.1200870000000001</v>
      </c>
      <c r="L200">
        <v>367.54860000000002</v>
      </c>
      <c r="M200">
        <v>0.99973100000000004</v>
      </c>
      <c r="N200">
        <v>-5.3056639999999999E-3</v>
      </c>
      <c r="O200">
        <v>2.258247E-2</v>
      </c>
      <c r="P200">
        <v>0.9840314</v>
      </c>
      <c r="Q200">
        <v>0.17790410000000001</v>
      </c>
      <c r="R200">
        <v>-5.7099749999999999E-3</v>
      </c>
      <c r="S200">
        <v>3.2495419999999999</v>
      </c>
      <c r="T200">
        <v>-1.119445</v>
      </c>
      <c r="U200">
        <v>-0.23727419999999999</v>
      </c>
      <c r="V200">
        <v>2.7919759999999998E-2</v>
      </c>
      <c r="W200">
        <v>0.18312229999999999</v>
      </c>
      <c r="X200">
        <v>0.98269359999999994</v>
      </c>
      <c r="Y200">
        <v>8.8886039999999999E-2</v>
      </c>
      <c r="Z200">
        <v>-2.2542670000000001E-2</v>
      </c>
      <c r="AA200">
        <v>0.99578670000000002</v>
      </c>
      <c r="AB200">
        <v>25</v>
      </c>
      <c r="AC200">
        <v>0.52499999999997704</v>
      </c>
      <c r="AD200">
        <v>-0.26636660000000001</v>
      </c>
      <c r="AE200">
        <v>-6.2700000000006598E-2</v>
      </c>
      <c r="AF200">
        <v>5.9451283675090498E-2</v>
      </c>
      <c r="AG200">
        <v>-0.26636660000000001</v>
      </c>
      <c r="AH200">
        <v>0.41749122801690502</v>
      </c>
      <c r="AI200">
        <v>122.278353328462</v>
      </c>
      <c r="AJ200">
        <v>81.895496128208194</v>
      </c>
      <c r="AK200">
        <v>0.49878306526709498</v>
      </c>
      <c r="AL200">
        <v>79.448321962301094</v>
      </c>
      <c r="AM200">
        <v>88.372581042846903</v>
      </c>
      <c r="AN200">
        <v>1.00000000061835</v>
      </c>
    </row>
    <row r="201" spans="1:40" x14ac:dyDescent="0.25">
      <c r="A201" t="str">
        <f>"20190303162500451"</f>
        <v>20190303162500451</v>
      </c>
      <c r="B201" t="str">
        <f>"1551601500442686"</f>
        <v>1551601500442686</v>
      </c>
      <c r="C201" t="s">
        <v>40</v>
      </c>
      <c r="D201">
        <v>5.4243230000000002</v>
      </c>
      <c r="E201">
        <v>0.52401790000000004</v>
      </c>
      <c r="F201" t="s">
        <v>42</v>
      </c>
      <c r="G201">
        <v>-440.12880000000001</v>
      </c>
      <c r="H201">
        <v>0.8595988</v>
      </c>
      <c r="I201">
        <v>367.49270000000001</v>
      </c>
      <c r="J201">
        <v>-440.6266</v>
      </c>
      <c r="K201">
        <v>1.119794</v>
      </c>
      <c r="L201">
        <v>367.55450000000002</v>
      </c>
      <c r="M201">
        <v>0.99973100000000004</v>
      </c>
      <c r="N201">
        <v>-5.0207749999999999E-3</v>
      </c>
      <c r="O201">
        <v>2.2641189999999999E-2</v>
      </c>
      <c r="P201">
        <v>0.98399199999999998</v>
      </c>
      <c r="Q201">
        <v>0.1781247</v>
      </c>
      <c r="R201">
        <v>-5.5898989999999997E-3</v>
      </c>
      <c r="S201">
        <v>3.2496339999999999</v>
      </c>
      <c r="T201">
        <v>-1.119359</v>
      </c>
      <c r="U201">
        <v>-0.23846439999999999</v>
      </c>
      <c r="V201">
        <v>2.785748E-2</v>
      </c>
      <c r="W201">
        <v>0.18306230000000001</v>
      </c>
      <c r="X201">
        <v>0.98270650000000004</v>
      </c>
      <c r="Y201">
        <v>8.9282689999999998E-2</v>
      </c>
      <c r="Z201">
        <v>-2.2620089999999999E-2</v>
      </c>
      <c r="AA201">
        <v>0.99574940000000001</v>
      </c>
      <c r="AB201">
        <v>25</v>
      </c>
      <c r="AC201">
        <v>0.49779999999998298</v>
      </c>
      <c r="AD201">
        <v>-0.26019519999999902</v>
      </c>
      <c r="AE201">
        <v>-6.1800000000005101E-2</v>
      </c>
      <c r="AF201">
        <v>5.7566374731075801E-2</v>
      </c>
      <c r="AG201">
        <v>-0.26019519999999902</v>
      </c>
      <c r="AH201">
        <v>0.39105622894643699</v>
      </c>
      <c r="AI201">
        <v>123.35575224459301</v>
      </c>
      <c r="AJ201">
        <v>81.625780877200398</v>
      </c>
      <c r="AK201">
        <v>0.47322341848277799</v>
      </c>
      <c r="AL201">
        <v>79.451818334301706</v>
      </c>
      <c r="AM201">
        <v>88.376230649250502</v>
      </c>
      <c r="AN201">
        <v>0.99999995500774397</v>
      </c>
    </row>
    <row r="202" spans="1:40" x14ac:dyDescent="0.25">
      <c r="A202" t="str">
        <f>"20190303162500540"</f>
        <v>20190303162500540</v>
      </c>
      <c r="B202" t="str">
        <f>"1551601500532478"</f>
        <v>1551601500532478</v>
      </c>
      <c r="C202" t="s">
        <v>40</v>
      </c>
      <c r="D202">
        <v>5.6895300000000004</v>
      </c>
      <c r="E202">
        <v>0.50380459999999905</v>
      </c>
      <c r="F202" t="s">
        <v>44</v>
      </c>
      <c r="G202">
        <v>-425.58609999999999</v>
      </c>
      <c r="H202">
        <v>-0.05</v>
      </c>
      <c r="I202">
        <v>367.26499999999999</v>
      </c>
      <c r="J202">
        <v>-439.6035</v>
      </c>
      <c r="K202">
        <v>1.1169180000000001</v>
      </c>
      <c r="L202">
        <v>367.5779</v>
      </c>
      <c r="M202">
        <v>0.99971019999999999</v>
      </c>
      <c r="N202">
        <v>-7.6937630000000002E-3</v>
      </c>
      <c r="O202">
        <v>2.2816670000000001E-2</v>
      </c>
      <c r="P202">
        <v>0.98431780000000002</v>
      </c>
      <c r="Q202">
        <v>0.1763769</v>
      </c>
      <c r="R202">
        <v>-3.1414239999999999E-3</v>
      </c>
      <c r="S202">
        <v>3.0935969999999999</v>
      </c>
      <c r="T202">
        <v>-0.25298290000000001</v>
      </c>
      <c r="U202">
        <v>-6.6467289999999998E-2</v>
      </c>
      <c r="V202">
        <v>2.5594229999999999E-2</v>
      </c>
      <c r="W202">
        <v>0.183943</v>
      </c>
      <c r="X202">
        <v>0.98260360000000002</v>
      </c>
      <c r="Y202">
        <v>4.4063570000000003E-2</v>
      </c>
      <c r="Z202">
        <v>-3.6555749999999999E-3</v>
      </c>
      <c r="AA202">
        <v>0.99902210000000002</v>
      </c>
      <c r="AB202">
        <v>26</v>
      </c>
      <c r="AC202">
        <v>14.0174</v>
      </c>
      <c r="AD202">
        <v>-1.1669179999999999</v>
      </c>
      <c r="AE202">
        <v>-0.312900000000013</v>
      </c>
      <c r="AF202">
        <v>0.62830622961936</v>
      </c>
      <c r="AG202">
        <v>-1.1669179999999999</v>
      </c>
      <c r="AH202">
        <v>13.9102581763141</v>
      </c>
      <c r="AI202">
        <v>94.790398033063994</v>
      </c>
      <c r="AJ202">
        <v>87.4137904006095</v>
      </c>
      <c r="AK202">
        <v>13.9732511917813</v>
      </c>
      <c r="AL202">
        <v>79.400486367341102</v>
      </c>
      <c r="AM202">
        <v>88.507933564672797</v>
      </c>
      <c r="AN202">
        <v>0.99999996329562502</v>
      </c>
    </row>
    <row r="203" spans="1:40" x14ac:dyDescent="0.25">
      <c r="A203" t="str">
        <f>"20190303162500562"</f>
        <v>20190303162500562</v>
      </c>
      <c r="B203" t="str">
        <f>"1551601500553951"</f>
        <v>1551601500553951</v>
      </c>
      <c r="C203" t="s">
        <v>40</v>
      </c>
      <c r="D203">
        <v>5.6463859999999997</v>
      </c>
      <c r="E203">
        <v>0.50345969999999995</v>
      </c>
      <c r="F203" t="s">
        <v>44</v>
      </c>
      <c r="G203">
        <v>-422.39789999999999</v>
      </c>
      <c r="H203">
        <v>-0.05</v>
      </c>
      <c r="I203">
        <v>367.3664</v>
      </c>
      <c r="J203">
        <v>-439.32569999999998</v>
      </c>
      <c r="K203">
        <v>1.115656</v>
      </c>
      <c r="L203">
        <v>367.58429999999998</v>
      </c>
      <c r="M203">
        <v>0.99969240000000004</v>
      </c>
      <c r="N203">
        <v>-9.6584860000000008E-3</v>
      </c>
      <c r="O203">
        <v>2.2840860000000001E-2</v>
      </c>
      <c r="P203">
        <v>0.98474649999999997</v>
      </c>
      <c r="Q203">
        <v>0.17398079999999999</v>
      </c>
      <c r="R203">
        <v>-2.2936979999999998E-3</v>
      </c>
      <c r="S203">
        <v>3.0852050000000002</v>
      </c>
      <c r="T203">
        <v>-0.20924390000000001</v>
      </c>
      <c r="U203">
        <v>-3.7933349999999998E-2</v>
      </c>
      <c r="V203">
        <v>2.4783550000000001E-2</v>
      </c>
      <c r="W203">
        <v>0.18348130000000001</v>
      </c>
      <c r="X203">
        <v>0.98271070000000005</v>
      </c>
      <c r="Y203">
        <v>3.500085E-2</v>
      </c>
      <c r="Z203">
        <v>-2.681592E-3</v>
      </c>
      <c r="AA203">
        <v>0.99938369999999999</v>
      </c>
      <c r="AB203">
        <v>26</v>
      </c>
      <c r="AC203">
        <v>16.927799999999898</v>
      </c>
      <c r="AD203">
        <v>-1.165656</v>
      </c>
      <c r="AE203">
        <v>-0.21789999999998599</v>
      </c>
      <c r="AF203">
        <v>0.60165428623844797</v>
      </c>
      <c r="AG203">
        <v>-1.165656</v>
      </c>
      <c r="AH203">
        <v>16.838574808115698</v>
      </c>
      <c r="AI203">
        <v>93.957484627579106</v>
      </c>
      <c r="AJ203">
        <v>87.953651488228203</v>
      </c>
      <c r="AK203">
        <v>16.889592752905401</v>
      </c>
      <c r="AL203">
        <v>79.4273978886675</v>
      </c>
      <c r="AM203">
        <v>88.555330800963503</v>
      </c>
      <c r="AN203">
        <v>0.99999996584739004</v>
      </c>
    </row>
    <row r="204" spans="1:40" x14ac:dyDescent="0.25">
      <c r="A204" t="str">
        <f>"20190303162500607"</f>
        <v>20190303162500607</v>
      </c>
      <c r="B204" t="str">
        <f>"1551601500592990"</f>
        <v>1551601500592990</v>
      </c>
      <c r="C204" t="s">
        <v>40</v>
      </c>
      <c r="D204">
        <v>5.503476</v>
      </c>
      <c r="E204">
        <v>0.50328509999999904</v>
      </c>
      <c r="F204" t="s">
        <v>44</v>
      </c>
      <c r="G204">
        <v>-422.32100000000003</v>
      </c>
      <c r="H204">
        <v>-0.05</v>
      </c>
      <c r="I204">
        <v>367.4058</v>
      </c>
      <c r="J204">
        <v>-438.80380000000002</v>
      </c>
      <c r="K204">
        <v>1.1128340000000001</v>
      </c>
      <c r="L204">
        <v>367.59629999999999</v>
      </c>
      <c r="M204">
        <v>0.99964730000000002</v>
      </c>
      <c r="N204">
        <v>-1.352043E-2</v>
      </c>
      <c r="O204">
        <v>2.2863809999999998E-2</v>
      </c>
      <c r="P204">
        <v>0.98551270000000002</v>
      </c>
      <c r="Q204">
        <v>0.16959929999999901</v>
      </c>
      <c r="R204">
        <v>1.150536E-3</v>
      </c>
      <c r="S204">
        <v>3.083771</v>
      </c>
      <c r="T204">
        <v>-0.21138979999999999</v>
      </c>
      <c r="U204">
        <v>-3.2379150000000002E-2</v>
      </c>
      <c r="V204">
        <v>2.1386700000000002E-2</v>
      </c>
      <c r="W204">
        <v>0.18290480000000001</v>
      </c>
      <c r="X204">
        <v>0.98289800000000005</v>
      </c>
      <c r="Y204">
        <v>3.3233209999999999E-2</v>
      </c>
      <c r="Z204">
        <v>-2.6191880000000002E-3</v>
      </c>
      <c r="AA204">
        <v>0.9994442</v>
      </c>
      <c r="AB204">
        <v>26</v>
      </c>
      <c r="AC204">
        <v>16.482800000000001</v>
      </c>
      <c r="AD204">
        <v>-1.1628339999999999</v>
      </c>
      <c r="AE204">
        <v>-0.19049999999998499</v>
      </c>
      <c r="AF204">
        <v>0.564534844480305</v>
      </c>
      <c r="AG204">
        <v>-1.1628339999999999</v>
      </c>
      <c r="AH204">
        <v>16.39255851223</v>
      </c>
      <c r="AI204">
        <v>94.055180682305902</v>
      </c>
      <c r="AJ204">
        <v>88.027599797412506</v>
      </c>
      <c r="AK204">
        <v>16.443444197584402</v>
      </c>
      <c r="AL204">
        <v>79.460998066795298</v>
      </c>
      <c r="AM204">
        <v>88.753508176093106</v>
      </c>
      <c r="AN204">
        <v>1.0000000176019599</v>
      </c>
    </row>
    <row r="205" spans="1:40" x14ac:dyDescent="0.25">
      <c r="A205" t="str">
        <f>"20190303162500629"</f>
        <v>20190303162500629</v>
      </c>
      <c r="B205" t="str">
        <f>"1551601500623246"</f>
        <v>1551601500623246</v>
      </c>
      <c r="C205" t="s">
        <v>40</v>
      </c>
      <c r="D205">
        <v>5.4989739999999996</v>
      </c>
      <c r="E205">
        <v>0.50317009999999995</v>
      </c>
      <c r="F205" t="s">
        <v>44</v>
      </c>
      <c r="G205">
        <v>-422.64729999999997</v>
      </c>
      <c r="H205">
        <v>-0.05</v>
      </c>
      <c r="I205">
        <v>367.4896</v>
      </c>
      <c r="J205">
        <v>-438.54360000000003</v>
      </c>
      <c r="K205">
        <v>1.1112470000000001</v>
      </c>
      <c r="L205">
        <v>367.60230000000001</v>
      </c>
      <c r="M205">
        <v>0.99962680000000004</v>
      </c>
      <c r="N205">
        <v>-1.4958279999999999E-2</v>
      </c>
      <c r="O205">
        <v>2.2861260000000001E-2</v>
      </c>
      <c r="P205">
        <v>0.98566819999999999</v>
      </c>
      <c r="Q205">
        <v>0.16867119999999999</v>
      </c>
      <c r="R205">
        <v>2.9026619999999999E-3</v>
      </c>
      <c r="S205">
        <v>3.082306</v>
      </c>
      <c r="T205">
        <v>-0.22184419999999999</v>
      </c>
      <c r="U205">
        <v>-2.035522E-2</v>
      </c>
      <c r="V205">
        <v>1.963811E-2</v>
      </c>
      <c r="W205">
        <v>0.18339269999999999</v>
      </c>
      <c r="X205">
        <v>0.98284360000000004</v>
      </c>
      <c r="Y205">
        <v>2.9336549999999999E-2</v>
      </c>
      <c r="Z205">
        <v>-2.5756580000000002E-3</v>
      </c>
      <c r="AA205">
        <v>0.99956630000000002</v>
      </c>
      <c r="AB205">
        <v>26</v>
      </c>
      <c r="AC205">
        <v>15.8963</v>
      </c>
      <c r="AD205">
        <v>-1.1612469999999999</v>
      </c>
      <c r="AE205">
        <v>-0.11270000000001799</v>
      </c>
      <c r="AF205">
        <v>0.47359341883925998</v>
      </c>
      <c r="AG205">
        <v>-1.1612469999999999</v>
      </c>
      <c r="AH205">
        <v>15.8052273047377</v>
      </c>
      <c r="AI205">
        <v>94.200226039133796</v>
      </c>
      <c r="AJ205">
        <v>88.283682555374398</v>
      </c>
      <c r="AK205">
        <v>15.8549044612638</v>
      </c>
      <c r="AL205">
        <v>79.432562712709398</v>
      </c>
      <c r="AM205">
        <v>88.855330473114407</v>
      </c>
      <c r="AN205">
        <v>1.0000000399193101</v>
      </c>
    </row>
    <row r="206" spans="1:40" x14ac:dyDescent="0.25">
      <c r="A206" t="str">
        <f>"20190303162500651"</f>
        <v>20190303162500651</v>
      </c>
      <c r="B206" t="str">
        <f>"1551601500642766"</f>
        <v>1551601500642766</v>
      </c>
      <c r="C206" t="s">
        <v>40</v>
      </c>
      <c r="D206">
        <v>5.6609410000000002</v>
      </c>
      <c r="E206">
        <v>0.50306549999999906</v>
      </c>
      <c r="F206" t="s">
        <v>44</v>
      </c>
      <c r="G206">
        <v>-422.28140000000002</v>
      </c>
      <c r="H206">
        <v>-0.05</v>
      </c>
      <c r="I206">
        <v>367.52820000000003</v>
      </c>
      <c r="J206">
        <v>-438.28500000000003</v>
      </c>
      <c r="K206">
        <v>1.1095410000000001</v>
      </c>
      <c r="L206">
        <v>367.60820000000001</v>
      </c>
      <c r="M206">
        <v>0.99961290000000003</v>
      </c>
      <c r="N206">
        <v>-1.5868190000000001E-2</v>
      </c>
      <c r="O206">
        <v>2.285512E-2</v>
      </c>
      <c r="P206">
        <v>0.98589859999999896</v>
      </c>
      <c r="Q206">
        <v>0.1672797</v>
      </c>
      <c r="R206">
        <v>4.6686369999999998E-3</v>
      </c>
      <c r="S206">
        <v>3.0812680000000001</v>
      </c>
      <c r="T206">
        <v>-0.22002640000000001</v>
      </c>
      <c r="U206">
        <v>-1.403809E-2</v>
      </c>
      <c r="V206">
        <v>1.7875370000000002E-2</v>
      </c>
      <c r="W206">
        <v>0.18290010000000001</v>
      </c>
      <c r="X206">
        <v>0.98296899999999998</v>
      </c>
      <c r="Y206">
        <v>2.7292299999999999E-2</v>
      </c>
      <c r="Z206">
        <v>-2.4575999999999999E-3</v>
      </c>
      <c r="AA206">
        <v>0.99962450000000003</v>
      </c>
      <c r="AB206">
        <v>26</v>
      </c>
      <c r="AC206">
        <v>16.003599999999999</v>
      </c>
      <c r="AD206">
        <v>-1.1595409999999999</v>
      </c>
      <c r="AE206">
        <v>-7.9999999999984001E-2</v>
      </c>
      <c r="AF206">
        <v>0.44346134166673301</v>
      </c>
      <c r="AG206">
        <v>-1.1595409999999999</v>
      </c>
      <c r="AH206">
        <v>15.914047627754901</v>
      </c>
      <c r="AI206">
        <v>94.165751297060098</v>
      </c>
      <c r="AJ206">
        <v>88.403807112976907</v>
      </c>
      <c r="AK206">
        <v>15.962396599216699</v>
      </c>
      <c r="AL206">
        <v>79.461271951899306</v>
      </c>
      <c r="AM206">
        <v>88.958186491666495</v>
      </c>
      <c r="AN206">
        <v>1.00000001519682</v>
      </c>
    </row>
    <row r="207" spans="1:40" x14ac:dyDescent="0.25">
      <c r="A207" t="str">
        <f>"20190303162500673"</f>
        <v>20190303162500673</v>
      </c>
      <c r="B207" t="str">
        <f>"1551601500663262"</f>
        <v>1551601500663262</v>
      </c>
      <c r="C207" t="s">
        <v>40</v>
      </c>
      <c r="D207">
        <v>5.6592129999999896</v>
      </c>
      <c r="E207">
        <v>0.50317749999999895</v>
      </c>
      <c r="F207" t="s">
        <v>44</v>
      </c>
      <c r="G207">
        <v>-422.11750000000001</v>
      </c>
      <c r="H207">
        <v>-0.05</v>
      </c>
      <c r="I207">
        <v>367.5643</v>
      </c>
      <c r="J207">
        <v>-438.01799999999997</v>
      </c>
      <c r="K207">
        <v>1.1076870000000001</v>
      </c>
      <c r="L207">
        <v>367.61430000000001</v>
      </c>
      <c r="M207">
        <v>0.99960119999999997</v>
      </c>
      <c r="N207">
        <v>-1.6624880000000002E-2</v>
      </c>
      <c r="O207">
        <v>2.2831509999999999E-2</v>
      </c>
      <c r="P207">
        <v>0.98613240000000002</v>
      </c>
      <c r="Q207">
        <v>0.16586389999999901</v>
      </c>
      <c r="R207">
        <v>5.7116919999999896E-3</v>
      </c>
      <c r="S207">
        <v>3.080444</v>
      </c>
      <c r="T207">
        <v>-0.22093080000000001</v>
      </c>
      <c r="U207">
        <v>-8.3618159999999993E-3</v>
      </c>
      <c r="V207">
        <v>1.6822119999999999E-2</v>
      </c>
      <c r="W207">
        <v>0.18223200000000001</v>
      </c>
      <c r="X207">
        <v>0.98311170000000003</v>
      </c>
      <c r="Y207">
        <v>2.5433230000000001E-2</v>
      </c>
      <c r="Z207">
        <v>-2.3786749999999998E-3</v>
      </c>
      <c r="AA207">
        <v>0.9996737</v>
      </c>
      <c r="AB207">
        <v>26</v>
      </c>
      <c r="AC207">
        <v>15.900499999999999</v>
      </c>
      <c r="AD207">
        <v>-1.1576869999999999</v>
      </c>
      <c r="AE207">
        <v>-5.0000000000011299E-2</v>
      </c>
      <c r="AF207">
        <v>0.41089139743838499</v>
      </c>
      <c r="AG207">
        <v>-1.1576869999999999</v>
      </c>
      <c r="AH207">
        <v>15.8113963404244</v>
      </c>
      <c r="AI207">
        <v>94.186231189976297</v>
      </c>
      <c r="AJ207">
        <v>88.511387295375698</v>
      </c>
      <c r="AK207">
        <v>15.859045531318801</v>
      </c>
      <c r="AL207">
        <v>79.500205967921204</v>
      </c>
      <c r="AM207">
        <v>89.019702005511206</v>
      </c>
      <c r="AN207">
        <v>1.0000000501110899</v>
      </c>
    </row>
    <row r="208" spans="1:40" x14ac:dyDescent="0.25">
      <c r="A208" t="str">
        <f>"20190303162500695"</f>
        <v>20190303162500695</v>
      </c>
      <c r="B208" t="str">
        <f>"1551601500682782"</f>
        <v>1551601500682782</v>
      </c>
      <c r="C208" t="s">
        <v>40</v>
      </c>
      <c r="D208">
        <v>5.3762910000000002</v>
      </c>
      <c r="E208">
        <v>0.50298480000000001</v>
      </c>
      <c r="F208" t="s">
        <v>44</v>
      </c>
      <c r="G208">
        <v>-422.15649999999999</v>
      </c>
      <c r="H208">
        <v>-0.05</v>
      </c>
      <c r="I208">
        <v>367.57729999999998</v>
      </c>
      <c r="J208">
        <v>-437.75920000000002</v>
      </c>
      <c r="K208">
        <v>1.105775</v>
      </c>
      <c r="L208">
        <v>367.62020000000001</v>
      </c>
      <c r="M208">
        <v>0.99959180000000003</v>
      </c>
      <c r="N208">
        <v>-1.726335E-2</v>
      </c>
      <c r="O208">
        <v>2.2770700000000001E-2</v>
      </c>
      <c r="P208">
        <v>0.98613209999999996</v>
      </c>
      <c r="Q208">
        <v>0.16581650000000001</v>
      </c>
      <c r="R208">
        <v>6.9929659999999998E-3</v>
      </c>
      <c r="S208">
        <v>3.0800779999999999</v>
      </c>
      <c r="T208">
        <v>-0.22480620000000001</v>
      </c>
      <c r="U208">
        <v>-7.1716310000000004E-3</v>
      </c>
      <c r="V208">
        <v>1.549407E-2</v>
      </c>
      <c r="W208">
        <v>0.18281149999999999</v>
      </c>
      <c r="X208">
        <v>0.98302590000000001</v>
      </c>
      <c r="Y208">
        <v>2.4984289999999999E-2</v>
      </c>
      <c r="Z208">
        <v>-2.3934920000000001E-3</v>
      </c>
      <c r="AA208">
        <v>0.99968500000000005</v>
      </c>
      <c r="AB208">
        <v>27</v>
      </c>
      <c r="AC208">
        <v>15.6027</v>
      </c>
      <c r="AD208">
        <v>-1.155775</v>
      </c>
      <c r="AE208">
        <v>-4.2900000000031399E-2</v>
      </c>
      <c r="AF208">
        <v>0.39605298823874002</v>
      </c>
      <c r="AG208">
        <v>-1.155775</v>
      </c>
      <c r="AH208">
        <v>15.512557092894999</v>
      </c>
      <c r="AI208">
        <v>94.259610403097597</v>
      </c>
      <c r="AJ208">
        <v>88.537492178668899</v>
      </c>
      <c r="AK208">
        <v>15.560594506009201</v>
      </c>
      <c r="AL208">
        <v>79.466435417407297</v>
      </c>
      <c r="AM208">
        <v>89.097001090424897</v>
      </c>
      <c r="AN208">
        <v>1.00000001540411</v>
      </c>
    </row>
    <row r="209" spans="1:40" x14ac:dyDescent="0.25">
      <c r="A209" t="str">
        <f>"20190303162500717"</f>
        <v>20190303162500717</v>
      </c>
      <c r="B209" t="str">
        <f>"1551601500703277"</f>
        <v>1551601500703277</v>
      </c>
      <c r="C209" t="s">
        <v>40</v>
      </c>
      <c r="D209">
        <v>5.4224909999999999</v>
      </c>
      <c r="E209">
        <v>0.50292499999999996</v>
      </c>
      <c r="F209" t="s">
        <v>44</v>
      </c>
      <c r="G209">
        <v>-421.79329999999999</v>
      </c>
      <c r="H209">
        <v>-0.05</v>
      </c>
      <c r="I209">
        <v>367.60759999999999</v>
      </c>
      <c r="J209">
        <v>-437.48919999999998</v>
      </c>
      <c r="K209">
        <v>1.1035919999999999</v>
      </c>
      <c r="L209">
        <v>367.62630000000001</v>
      </c>
      <c r="M209">
        <v>0.99958740000000001</v>
      </c>
      <c r="N209">
        <v>-1.7665980000000001E-2</v>
      </c>
      <c r="O209">
        <v>2.2645370000000001E-2</v>
      </c>
      <c r="P209">
        <v>0.98609360000000001</v>
      </c>
      <c r="Q209">
        <v>0.16603999999999999</v>
      </c>
      <c r="R209">
        <v>7.0677930000000002E-3</v>
      </c>
      <c r="S209">
        <v>3.0797119999999998</v>
      </c>
      <c r="T209">
        <v>-0.222942</v>
      </c>
      <c r="U209">
        <v>-2.4108889999999998E-3</v>
      </c>
      <c r="V209">
        <v>1.531571E-2</v>
      </c>
      <c r="W209">
        <v>0.1834288</v>
      </c>
      <c r="X209">
        <v>0.9829137</v>
      </c>
      <c r="Y209">
        <v>2.3321720000000001E-2</v>
      </c>
      <c r="Z209">
        <v>-2.286738E-3</v>
      </c>
      <c r="AA209">
        <v>0.99972539999999999</v>
      </c>
      <c r="AB209">
        <v>27</v>
      </c>
      <c r="AC209">
        <v>15.6958999999999</v>
      </c>
      <c r="AD209">
        <v>-1.153592</v>
      </c>
      <c r="AE209">
        <v>-1.8700000000023899E-2</v>
      </c>
      <c r="AF209">
        <v>0.37217975839588902</v>
      </c>
      <c r="AG209">
        <v>-1.153592</v>
      </c>
      <c r="AH209">
        <v>15.6071448646283</v>
      </c>
      <c r="AI209">
        <v>94.2260961367856</v>
      </c>
      <c r="AJ209">
        <v>88.633940494097502</v>
      </c>
      <c r="AK209">
        <v>15.6541452369817</v>
      </c>
      <c r="AL209">
        <v>79.430458415030898</v>
      </c>
      <c r="AM209">
        <v>89.107292396705702</v>
      </c>
      <c r="AN209">
        <v>1.00000001864496</v>
      </c>
    </row>
    <row r="210" spans="1:40" x14ac:dyDescent="0.25">
      <c r="A210" t="str">
        <f>"20190303162500741"</f>
        <v>20190303162500741</v>
      </c>
      <c r="B210" t="str">
        <f>"1551601500732558"</f>
        <v>1551601500732558</v>
      </c>
      <c r="C210" t="s">
        <v>40</v>
      </c>
      <c r="D210">
        <v>5.2023239999999999</v>
      </c>
      <c r="E210">
        <v>0.50277380000000005</v>
      </c>
      <c r="F210" t="s">
        <v>44</v>
      </c>
      <c r="G210">
        <v>-421.21899999999999</v>
      </c>
      <c r="H210">
        <v>-0.05</v>
      </c>
      <c r="I210">
        <v>367.61880000000002</v>
      </c>
      <c r="J210">
        <v>-437.21679999999998</v>
      </c>
      <c r="K210">
        <v>1.101156</v>
      </c>
      <c r="L210">
        <v>367.63220000000001</v>
      </c>
      <c r="M210">
        <v>0.99959240000000005</v>
      </c>
      <c r="N210">
        <v>-1.7663229999999999E-2</v>
      </c>
      <c r="O210">
        <v>2.2432520000000001E-2</v>
      </c>
      <c r="P210">
        <v>0.98604270000000005</v>
      </c>
      <c r="Q210">
        <v>0.16635159999999999</v>
      </c>
      <c r="R210">
        <v>6.8453719999999997E-3</v>
      </c>
      <c r="S210">
        <v>3.079132</v>
      </c>
      <c r="T210">
        <v>-0.2183175</v>
      </c>
      <c r="U210">
        <v>-1.403809E-3</v>
      </c>
      <c r="V210">
        <v>1.5356099999999999E-2</v>
      </c>
      <c r="W210">
        <v>0.18373439999999999</v>
      </c>
      <c r="X210">
        <v>0.98285599999999995</v>
      </c>
      <c r="Y210">
        <v>2.2788579999999999E-2</v>
      </c>
      <c r="Z210">
        <v>-2.2009709999999999E-3</v>
      </c>
      <c r="AA210">
        <v>0.99973789999999996</v>
      </c>
      <c r="AB210">
        <v>27</v>
      </c>
      <c r="AC210">
        <v>15.9977999999999</v>
      </c>
      <c r="AD210">
        <v>-1.1511559999999901</v>
      </c>
      <c r="AE210">
        <v>-1.339999999999E-2</v>
      </c>
      <c r="AF210">
        <v>0.370405662920402</v>
      </c>
      <c r="AG210">
        <v>-1.1511559999999901</v>
      </c>
      <c r="AH210">
        <v>15.911087546937701</v>
      </c>
      <c r="AI210">
        <v>94.136982276470903</v>
      </c>
      <c r="AJ210">
        <v>88.666411171952106</v>
      </c>
      <c r="AK210">
        <v>15.956975509719101</v>
      </c>
      <c r="AL210">
        <v>79.412646197053704</v>
      </c>
      <c r="AM210">
        <v>89.104886027777496</v>
      </c>
      <c r="AN210">
        <v>1.0000000281432799</v>
      </c>
    </row>
    <row r="211" spans="1:40" x14ac:dyDescent="0.25">
      <c r="A211" t="str">
        <f>"20190303162500762"</f>
        <v>20190303162500762</v>
      </c>
      <c r="B211" t="str">
        <f>"1551601500753054"</f>
        <v>1551601500753054</v>
      </c>
      <c r="C211" t="s">
        <v>40</v>
      </c>
      <c r="D211">
        <v>5.1061500000000004</v>
      </c>
      <c r="E211">
        <v>0.5394717</v>
      </c>
      <c r="F211" t="s">
        <v>44</v>
      </c>
      <c r="G211">
        <v>-420.55549999999999</v>
      </c>
      <c r="H211">
        <v>-0.05</v>
      </c>
      <c r="I211">
        <v>367.62729999999999</v>
      </c>
      <c r="J211">
        <v>-436.94470000000001</v>
      </c>
      <c r="K211">
        <v>1.0985499999999999</v>
      </c>
      <c r="L211">
        <v>367.63810000000001</v>
      </c>
      <c r="M211">
        <v>0.99960369999999998</v>
      </c>
      <c r="N211">
        <v>-1.7382020000000001E-2</v>
      </c>
      <c r="O211">
        <v>2.2144520000000001E-2</v>
      </c>
      <c r="P211">
        <v>0.98598710000000001</v>
      </c>
      <c r="Q211">
        <v>0.16670750000000001</v>
      </c>
      <c r="R211">
        <v>6.1888119999999897E-3</v>
      </c>
      <c r="S211">
        <v>3.0783689999999999</v>
      </c>
      <c r="T211">
        <v>-0.21268919999999999</v>
      </c>
      <c r="U211">
        <v>-9.1552729999999996E-4</v>
      </c>
      <c r="V211">
        <v>1.576207E-2</v>
      </c>
      <c r="W211">
        <v>0.18380940000000001</v>
      </c>
      <c r="X211">
        <v>0.98283549999999997</v>
      </c>
      <c r="Y211">
        <v>2.234891E-2</v>
      </c>
      <c r="Z211">
        <v>-2.109138E-3</v>
      </c>
      <c r="AA211">
        <v>0.99974799999999997</v>
      </c>
      <c r="AB211">
        <v>27</v>
      </c>
      <c r="AC211">
        <v>16.389199999999999</v>
      </c>
      <c r="AD211">
        <v>-1.14855</v>
      </c>
      <c r="AE211">
        <v>-1.08000000000174E-2</v>
      </c>
      <c r="AF211">
        <v>0.371956406914902</v>
      </c>
      <c r="AG211">
        <v>-1.14855</v>
      </c>
      <c r="AH211">
        <v>16.304864824216899</v>
      </c>
      <c r="AI211">
        <v>94.028338279379099</v>
      </c>
      <c r="AJ211">
        <v>88.693160800978006</v>
      </c>
      <c r="AK211">
        <v>16.3494995521921</v>
      </c>
      <c r="AL211">
        <v>79.408274035823695</v>
      </c>
      <c r="AM211">
        <v>89.081206697715302</v>
      </c>
      <c r="AN211">
        <v>0.99999997921964701</v>
      </c>
    </row>
    <row r="212" spans="1:40" x14ac:dyDescent="0.25">
      <c r="A212" t="str">
        <f>"20190303162500787"</f>
        <v>20190303162500787</v>
      </c>
      <c r="B212" t="str">
        <f>"1551601500772574"</f>
        <v>1551601500772574</v>
      </c>
      <c r="C212" t="s">
        <v>40</v>
      </c>
      <c r="D212">
        <v>4.9347560000000001</v>
      </c>
      <c r="E212">
        <v>0.55061629999999995</v>
      </c>
      <c r="F212" t="s">
        <v>44</v>
      </c>
      <c r="G212">
        <v>-416.23599999999999</v>
      </c>
      <c r="H212">
        <v>-0.05</v>
      </c>
      <c r="I212">
        <v>365.64499999999998</v>
      </c>
      <c r="J212">
        <v>-436.66140000000001</v>
      </c>
      <c r="K212">
        <v>1.0957539999999999</v>
      </c>
      <c r="L212">
        <v>367.64389999999997</v>
      </c>
      <c r="M212">
        <v>0.99961880000000003</v>
      </c>
      <c r="N212">
        <v>-1.6997559999999998E-2</v>
      </c>
      <c r="O212">
        <v>2.1763129999999999E-2</v>
      </c>
      <c r="P212">
        <v>0.98597539999999995</v>
      </c>
      <c r="Q212">
        <v>0.16682420000000001</v>
      </c>
      <c r="R212">
        <v>4.7451409999999996E-3</v>
      </c>
      <c r="S212">
        <v>3.0732729999999999</v>
      </c>
      <c r="T212">
        <v>-0.1704503</v>
      </c>
      <c r="U212">
        <v>-0.29577639999999999</v>
      </c>
      <c r="V212">
        <v>1.6863079999999999E-2</v>
      </c>
      <c r="W212">
        <v>0.1835437</v>
      </c>
      <c r="X212">
        <v>0.98286689999999999</v>
      </c>
      <c r="Y212">
        <v>0.11719259999999999</v>
      </c>
      <c r="Z212">
        <v>-5.0740189999999999E-3</v>
      </c>
      <c r="AA212">
        <v>0.99309619999999998</v>
      </c>
      <c r="AB212">
        <v>27</v>
      </c>
      <c r="AC212">
        <v>20.4254</v>
      </c>
      <c r="AD212">
        <v>-1.1457539999999999</v>
      </c>
      <c r="AE212">
        <v>-1.9988999999999899</v>
      </c>
      <c r="AF212">
        <v>2.43542063328678</v>
      </c>
      <c r="AG212">
        <v>-1.1457539999999999</v>
      </c>
      <c r="AH212">
        <v>20.313739488464702</v>
      </c>
      <c r="AI212">
        <v>93.205322641644003</v>
      </c>
      <c r="AJ212">
        <v>83.1634219233555</v>
      </c>
      <c r="AK212">
        <v>20.491267356968599</v>
      </c>
      <c r="AL212">
        <v>79.423761211775201</v>
      </c>
      <c r="AM212">
        <v>89.017070849363705</v>
      </c>
      <c r="AN212">
        <v>0.99999999819619301</v>
      </c>
    </row>
    <row r="213" spans="1:40" x14ac:dyDescent="0.25">
      <c r="A213" t="str">
        <f>"20190303162500806"</f>
        <v>20190303162500806</v>
      </c>
      <c r="B213" t="str">
        <f>"1551601500802832"</f>
        <v>1551601500802832</v>
      </c>
      <c r="C213" t="s">
        <v>40</v>
      </c>
      <c r="D213">
        <v>4.794537</v>
      </c>
      <c r="E213">
        <v>0.55494790000000005</v>
      </c>
      <c r="F213" t="s">
        <v>44</v>
      </c>
      <c r="G213">
        <v>-411.38900000000001</v>
      </c>
      <c r="H213">
        <v>-0.05</v>
      </c>
      <c r="I213">
        <v>364.44290000000001</v>
      </c>
      <c r="J213">
        <v>-436.41559999999998</v>
      </c>
      <c r="K213">
        <v>1.093323</v>
      </c>
      <c r="L213">
        <v>367.64890000000003</v>
      </c>
      <c r="M213">
        <v>0.99963489999999999</v>
      </c>
      <c r="N213">
        <v>-1.657055E-2</v>
      </c>
      <c r="O213">
        <v>2.1346810000000001E-2</v>
      </c>
      <c r="P213">
        <v>0.9858962</v>
      </c>
      <c r="Q213">
        <v>0.1673345</v>
      </c>
      <c r="R213">
        <v>2.8399990000000002E-3</v>
      </c>
      <c r="S213">
        <v>3.0681150000000001</v>
      </c>
      <c r="T213">
        <v>-0.139097</v>
      </c>
      <c r="U213">
        <v>-0.38861079999999998</v>
      </c>
      <c r="V213">
        <v>1.8382300000000001E-2</v>
      </c>
      <c r="W213">
        <v>0.1836285</v>
      </c>
      <c r="X213">
        <v>0.98282380000000003</v>
      </c>
      <c r="Y213">
        <v>0.14659710000000001</v>
      </c>
      <c r="Z213">
        <v>-5.1401210000000001E-3</v>
      </c>
      <c r="AA213">
        <v>0.98918289999999998</v>
      </c>
      <c r="AB213">
        <v>27</v>
      </c>
      <c r="AC213">
        <v>25.026599999999899</v>
      </c>
      <c r="AD213">
        <v>-1.1433229999999901</v>
      </c>
      <c r="AE213">
        <v>-3.2060000000000102</v>
      </c>
      <c r="AF213">
        <v>3.73191766468564</v>
      </c>
      <c r="AG213">
        <v>-1.1433229999999901</v>
      </c>
      <c r="AH213">
        <v>24.9013170239588</v>
      </c>
      <c r="AI213">
        <v>92.599846906870297</v>
      </c>
      <c r="AJ213">
        <v>81.476615208483693</v>
      </c>
      <c r="AK213">
        <v>25.2053563050797</v>
      </c>
      <c r="AL213">
        <v>79.418818310076801</v>
      </c>
      <c r="AM213">
        <v>88.928490112847896</v>
      </c>
      <c r="AN213">
        <v>0.99999997840598898</v>
      </c>
    </row>
    <row r="214" spans="1:40" x14ac:dyDescent="0.25">
      <c r="A214" t="str">
        <f>"20190303162500831"</f>
        <v>20190303162500831</v>
      </c>
      <c r="B214" t="str">
        <f>"1551601500823327"</f>
        <v>1551601500823327</v>
      </c>
      <c r="C214" t="s">
        <v>40</v>
      </c>
      <c r="D214">
        <v>4.765117</v>
      </c>
      <c r="E214">
        <v>0.55617209999999995</v>
      </c>
      <c r="F214" t="s">
        <v>44</v>
      </c>
      <c r="G214">
        <v>-406.6925</v>
      </c>
      <c r="H214">
        <v>-0.05</v>
      </c>
      <c r="I214">
        <v>363.49079999999998</v>
      </c>
      <c r="J214">
        <v>-436.1223</v>
      </c>
      <c r="K214">
        <v>1.0904689999999999</v>
      </c>
      <c r="L214">
        <v>367.65440000000001</v>
      </c>
      <c r="M214">
        <v>0.99965859999999995</v>
      </c>
      <c r="N214">
        <v>-1.590049E-2</v>
      </c>
      <c r="O214">
        <v>2.073231E-2</v>
      </c>
      <c r="P214">
        <v>0.98568659999999997</v>
      </c>
      <c r="Q214">
        <v>0.1685846</v>
      </c>
      <c r="R214">
        <v>1.1993660000000001E-3</v>
      </c>
      <c r="S214">
        <v>3.0641479999999999</v>
      </c>
      <c r="T214">
        <v>-0.117865</v>
      </c>
      <c r="U214">
        <v>-0.42864989999999997</v>
      </c>
      <c r="V214">
        <v>1.9443430000000001E-2</v>
      </c>
      <c r="W214">
        <v>0.1842116</v>
      </c>
      <c r="X214">
        <v>0.98269430000000002</v>
      </c>
      <c r="Y214">
        <v>0.1588792</v>
      </c>
      <c r="Z214">
        <v>-4.7754470000000004E-3</v>
      </c>
      <c r="AA214">
        <v>0.98728649999999996</v>
      </c>
      <c r="AB214">
        <v>27</v>
      </c>
      <c r="AC214">
        <v>29.4298</v>
      </c>
      <c r="AD214">
        <v>-1.140469</v>
      </c>
      <c r="AE214">
        <v>-4.1636000000000299</v>
      </c>
      <c r="AF214">
        <v>4.7659130696296597</v>
      </c>
      <c r="AG214">
        <v>-1.140469</v>
      </c>
      <c r="AH214">
        <v>29.294012358543299</v>
      </c>
      <c r="AI214">
        <v>92.200598200180096</v>
      </c>
      <c r="AJ214">
        <v>80.759374184525697</v>
      </c>
      <c r="AK214">
        <v>29.7010733306006</v>
      </c>
      <c r="AL214">
        <v>79.384829817250903</v>
      </c>
      <c r="AM214">
        <v>88.866502899632394</v>
      </c>
      <c r="AN214">
        <v>1.0000000238986</v>
      </c>
    </row>
    <row r="215" spans="1:40" x14ac:dyDescent="0.25">
      <c r="A215" t="str">
        <f>"20190303162500851"</f>
        <v>20190303162500851</v>
      </c>
      <c r="B215" t="str">
        <f>"1551601500842847"</f>
        <v>1551601500842847</v>
      </c>
      <c r="C215" t="s">
        <v>40</v>
      </c>
      <c r="D215">
        <v>4.6864359999999996</v>
      </c>
      <c r="E215">
        <v>0.55703069999999999</v>
      </c>
      <c r="F215" t="s">
        <v>44</v>
      </c>
      <c r="G215">
        <v>-402.83749999999998</v>
      </c>
      <c r="H215">
        <v>-0.05</v>
      </c>
      <c r="I215">
        <v>362.8424</v>
      </c>
      <c r="J215">
        <v>-435.87430000000001</v>
      </c>
      <c r="K215">
        <v>1.088155</v>
      </c>
      <c r="L215">
        <v>367.65899999999999</v>
      </c>
      <c r="M215">
        <v>0.99968170000000001</v>
      </c>
      <c r="N215">
        <v>-1.522306E-2</v>
      </c>
      <c r="O215">
        <v>2.0120720000000002E-2</v>
      </c>
      <c r="P215">
        <v>0.98550059999999995</v>
      </c>
      <c r="Q215">
        <v>0.1696714</v>
      </c>
      <c r="R215" s="1">
        <v>-9.9028460000000006E-5</v>
      </c>
      <c r="S215">
        <v>3.0620419999999999</v>
      </c>
      <c r="T215">
        <v>-0.1049175</v>
      </c>
      <c r="U215">
        <v>-0.44268800000000003</v>
      </c>
      <c r="V215">
        <v>2.016211E-2</v>
      </c>
      <c r="W215">
        <v>0.18462590000000001</v>
      </c>
      <c r="X215">
        <v>0.98260210000000003</v>
      </c>
      <c r="Y215">
        <v>0.16283259999999999</v>
      </c>
      <c r="Z215">
        <v>-4.402095E-3</v>
      </c>
      <c r="AA215">
        <v>0.98664390000000002</v>
      </c>
      <c r="AB215">
        <v>27</v>
      </c>
      <c r="AC215">
        <v>33.036799999999999</v>
      </c>
      <c r="AD215">
        <v>-1.138155</v>
      </c>
      <c r="AE215">
        <v>-4.8165999999999896</v>
      </c>
      <c r="AF215">
        <v>5.4740640704883798</v>
      </c>
      <c r="AG215">
        <v>-1.138155</v>
      </c>
      <c r="AH215">
        <v>32.894955968899197</v>
      </c>
      <c r="AI215">
        <v>91.954765229636806</v>
      </c>
      <c r="AJ215">
        <v>80.551962360144998</v>
      </c>
      <c r="AK215">
        <v>33.366733469844696</v>
      </c>
      <c r="AL215">
        <v>79.360678308625396</v>
      </c>
      <c r="AM215">
        <v>88.824507169741196</v>
      </c>
      <c r="AN215">
        <v>1.0000000602774299</v>
      </c>
    </row>
    <row r="216" spans="1:40" x14ac:dyDescent="0.25">
      <c r="A216" t="str">
        <f>"20190303162500875"</f>
        <v>20190303162500875</v>
      </c>
      <c r="B216" t="str">
        <f>"1551601500862366"</f>
        <v>1551601500862366</v>
      </c>
      <c r="C216" t="s">
        <v>40</v>
      </c>
      <c r="D216">
        <v>4.6304629999999998</v>
      </c>
      <c r="E216">
        <v>0.55747590000000002</v>
      </c>
      <c r="F216" t="s">
        <v>44</v>
      </c>
      <c r="G216">
        <v>-399.43979999999999</v>
      </c>
      <c r="H216">
        <v>-0.05</v>
      </c>
      <c r="I216">
        <v>362.25080000000003</v>
      </c>
      <c r="J216">
        <v>-435.6003</v>
      </c>
      <c r="K216">
        <v>1.0857509999999999</v>
      </c>
      <c r="L216">
        <v>367.66379999999998</v>
      </c>
      <c r="M216">
        <v>0.99970840000000005</v>
      </c>
      <c r="N216">
        <v>-1.4428669999999999E-2</v>
      </c>
      <c r="O216">
        <v>1.936879E-2</v>
      </c>
      <c r="P216">
        <v>0.985267</v>
      </c>
      <c r="Q216">
        <v>0.17102000000000001</v>
      </c>
      <c r="R216">
        <v>-1.0860679999999999E-3</v>
      </c>
      <c r="S216">
        <v>3.060486</v>
      </c>
      <c r="T216">
        <v>-9.560478E-2</v>
      </c>
      <c r="U216">
        <v>-0.45428469999999999</v>
      </c>
      <c r="V216">
        <v>2.0433239999999998E-2</v>
      </c>
      <c r="W216">
        <v>0.1851864</v>
      </c>
      <c r="X216">
        <v>0.982491</v>
      </c>
      <c r="Y216">
        <v>0.16584090000000001</v>
      </c>
      <c r="Z216">
        <v>-4.1029700000000001E-3</v>
      </c>
      <c r="AA216">
        <v>0.98614400000000002</v>
      </c>
      <c r="AB216">
        <v>27</v>
      </c>
      <c r="AC216">
        <v>36.160499999999999</v>
      </c>
      <c r="AD216">
        <v>-1.135751</v>
      </c>
      <c r="AE216">
        <v>-5.4129999999999496</v>
      </c>
      <c r="AF216">
        <v>6.1065502348551099</v>
      </c>
      <c r="AG216">
        <v>-1.135751</v>
      </c>
      <c r="AH216">
        <v>36.014111704931203</v>
      </c>
      <c r="AI216">
        <v>91.780894189509695</v>
      </c>
      <c r="AJ216">
        <v>80.3764624350475</v>
      </c>
      <c r="AK216">
        <v>36.545808624246803</v>
      </c>
      <c r="AL216">
        <v>79.328000344928995</v>
      </c>
      <c r="AM216">
        <v>88.808569580800693</v>
      </c>
      <c r="AN216">
        <v>1.0000000425614199</v>
      </c>
    </row>
    <row r="217" spans="1:40" x14ac:dyDescent="0.25">
      <c r="A217" t="str">
        <f>"20190303162500897"</f>
        <v>20190303162500897</v>
      </c>
      <c r="B217" t="str">
        <f>"1551601500892622"</f>
        <v>1551601500892622</v>
      </c>
      <c r="C217" t="s">
        <v>40</v>
      </c>
      <c r="D217">
        <v>4.5782379999999998</v>
      </c>
      <c r="E217">
        <v>0.55800260000000002</v>
      </c>
      <c r="F217" t="s">
        <v>44</v>
      </c>
      <c r="G217">
        <v>-398.7448</v>
      </c>
      <c r="H217">
        <v>-0.05</v>
      </c>
      <c r="I217">
        <v>362.11110000000002</v>
      </c>
      <c r="J217">
        <v>-435.3168</v>
      </c>
      <c r="K217">
        <v>1.0834820000000001</v>
      </c>
      <c r="L217">
        <v>367.66840000000002</v>
      </c>
      <c r="M217">
        <v>0.9997357</v>
      </c>
      <c r="N217">
        <v>-1.361941E-2</v>
      </c>
      <c r="O217">
        <v>1.8527809999999999E-2</v>
      </c>
      <c r="P217">
        <v>0.98510109999999995</v>
      </c>
      <c r="Q217">
        <v>0.1719628</v>
      </c>
      <c r="R217">
        <v>-2.217166E-3</v>
      </c>
      <c r="S217">
        <v>3.0606990000000001</v>
      </c>
      <c r="T217">
        <v>-9.4319700000000006E-2</v>
      </c>
      <c r="U217">
        <v>-0.46112059999999999</v>
      </c>
      <c r="V217">
        <v>2.0759690000000001E-2</v>
      </c>
      <c r="W217">
        <v>0.1853283</v>
      </c>
      <c r="X217">
        <v>0.98245729999999998</v>
      </c>
      <c r="Y217">
        <v>0.16715920000000001</v>
      </c>
      <c r="Z217">
        <v>-4.0226740000000004E-3</v>
      </c>
      <c r="AA217">
        <v>0.98592170000000001</v>
      </c>
      <c r="AB217">
        <v>27</v>
      </c>
      <c r="AC217">
        <v>36.571999999999903</v>
      </c>
      <c r="AD217">
        <v>-1.1334819999999901</v>
      </c>
      <c r="AE217">
        <v>-5.5572999999999899</v>
      </c>
      <c r="AF217">
        <v>6.2281601263894499</v>
      </c>
      <c r="AG217">
        <v>-1.1334819999999901</v>
      </c>
      <c r="AH217">
        <v>36.428544304541298</v>
      </c>
      <c r="AI217">
        <v>91.756721858288799</v>
      </c>
      <c r="AJ217">
        <v>80.297990438494097</v>
      </c>
      <c r="AK217">
        <v>36.974499322535799</v>
      </c>
      <c r="AL217">
        <v>79.319725805356398</v>
      </c>
      <c r="AM217">
        <v>88.789498899754093</v>
      </c>
      <c r="AN217">
        <v>0.99999994491653599</v>
      </c>
    </row>
    <row r="218" spans="1:40" x14ac:dyDescent="0.25">
      <c r="A218" t="str">
        <f>"20190303162500917"</f>
        <v>20190303162500917</v>
      </c>
      <c r="B218" t="str">
        <f>"1551601500913118"</f>
        <v>1551601500913118</v>
      </c>
      <c r="C218" t="s">
        <v>40</v>
      </c>
      <c r="D218">
        <v>4.5185550000000001</v>
      </c>
      <c r="E218">
        <v>0.55814049999999904</v>
      </c>
      <c r="F218" t="s">
        <v>41</v>
      </c>
      <c r="G218">
        <v>-399.04680000000002</v>
      </c>
      <c r="H218" s="1">
        <v>-2.3068340000000002E-6</v>
      </c>
      <c r="I218">
        <v>362.11320000000001</v>
      </c>
      <c r="J218">
        <v>-435.05799999999999</v>
      </c>
      <c r="K218">
        <v>1.0816319999999999</v>
      </c>
      <c r="L218">
        <v>367.67230000000001</v>
      </c>
      <c r="M218">
        <v>0.99975959999999997</v>
      </c>
      <c r="N218">
        <v>-1.292428E-2</v>
      </c>
      <c r="O218">
        <v>1.7716329999999999E-2</v>
      </c>
      <c r="P218">
        <v>0.98494539999999997</v>
      </c>
      <c r="Q218">
        <v>0.17282539999999999</v>
      </c>
      <c r="R218">
        <v>-3.715903E-3</v>
      </c>
      <c r="S218">
        <v>3.0603030000000002</v>
      </c>
      <c r="T218">
        <v>-9.1419340000000002E-2</v>
      </c>
      <c r="U218">
        <v>-0.46871950000000001</v>
      </c>
      <c r="V218">
        <v>2.1474320000000002E-2</v>
      </c>
      <c r="W218">
        <v>0.18550259999999999</v>
      </c>
      <c r="X218">
        <v>0.98240910000000004</v>
      </c>
      <c r="Y218">
        <v>0.16877700000000001</v>
      </c>
      <c r="Z218">
        <v>-3.901767E-3</v>
      </c>
      <c r="AA218">
        <v>0.98564649999999998</v>
      </c>
      <c r="AB218">
        <v>27</v>
      </c>
      <c r="AC218">
        <v>36.011200000000002</v>
      </c>
      <c r="AD218">
        <v>-1.081634306834</v>
      </c>
      <c r="AE218">
        <v>-5.5590999999999999</v>
      </c>
      <c r="AF218">
        <v>6.1908117825778</v>
      </c>
      <c r="AG218">
        <v>-1.081634306834</v>
      </c>
      <c r="AH218">
        <v>35.875439945176602</v>
      </c>
      <c r="AI218">
        <v>91.701791039424904</v>
      </c>
      <c r="AJ218">
        <v>80.209231738593701</v>
      </c>
      <c r="AK218">
        <v>36.421741783733999</v>
      </c>
      <c r="AL218">
        <v>79.309563528430601</v>
      </c>
      <c r="AM218">
        <v>88.747780332337896</v>
      </c>
      <c r="AN218">
        <v>1.00000000039451</v>
      </c>
    </row>
    <row r="219" spans="1:40" x14ac:dyDescent="0.25">
      <c r="A219" t="str">
        <f>"20190303162500941"</f>
        <v>20190303162500941</v>
      </c>
      <c r="B219" t="str">
        <f>"1551601500932638"</f>
        <v>1551601500932638</v>
      </c>
      <c r="C219" t="s">
        <v>40</v>
      </c>
      <c r="D219">
        <v>4.514132</v>
      </c>
      <c r="E219">
        <v>0.55831219999999904</v>
      </c>
      <c r="F219" t="s">
        <v>41</v>
      </c>
      <c r="G219">
        <v>-397.90820000000002</v>
      </c>
      <c r="H219" s="1">
        <v>-2.74566E-6</v>
      </c>
      <c r="I219">
        <v>361.92009999999999</v>
      </c>
      <c r="J219">
        <v>-434.77010000000001</v>
      </c>
      <c r="K219">
        <v>1.0798430000000001</v>
      </c>
      <c r="L219">
        <v>367.6764</v>
      </c>
      <c r="M219">
        <v>0.99978460000000002</v>
      </c>
      <c r="N219">
        <v>-1.222027E-2</v>
      </c>
      <c r="O219">
        <v>1.6778149999999999E-2</v>
      </c>
      <c r="P219">
        <v>0.9848751</v>
      </c>
      <c r="Q219">
        <v>0.173166299999999</v>
      </c>
      <c r="R219">
        <v>-5.9208230000000004E-3</v>
      </c>
      <c r="S219">
        <v>3.059723</v>
      </c>
      <c r="T219">
        <v>-8.90851E-2</v>
      </c>
      <c r="U219">
        <v>-0.47375489999999998</v>
      </c>
      <c r="V219">
        <v>2.2763889999999998E-2</v>
      </c>
      <c r="W219">
        <v>0.18514700000000001</v>
      </c>
      <c r="X219">
        <v>0.98244710000000002</v>
      </c>
      <c r="Y219">
        <v>0.16947029999999999</v>
      </c>
      <c r="Z219">
        <v>-3.7758459999999998E-3</v>
      </c>
      <c r="AA219">
        <v>0.98552810000000002</v>
      </c>
      <c r="AB219">
        <v>27</v>
      </c>
      <c r="AC219">
        <v>36.861899999999899</v>
      </c>
      <c r="AD219">
        <v>-1.0798457456599999</v>
      </c>
      <c r="AE219">
        <v>-5.7563000000000004</v>
      </c>
      <c r="AF219">
        <v>6.3686750135041104</v>
      </c>
      <c r="AG219">
        <v>-1.0798457456599999</v>
      </c>
      <c r="AH219">
        <v>36.729353839737598</v>
      </c>
      <c r="AI219">
        <v>91.659270399849404</v>
      </c>
      <c r="AJ219">
        <v>80.163022995673401</v>
      </c>
      <c r="AK219">
        <v>37.293049241738103</v>
      </c>
      <c r="AL219">
        <v>79.330296581369794</v>
      </c>
      <c r="AM219">
        <v>88.672659845151202</v>
      </c>
      <c r="AN219">
        <v>0.99999995529767005</v>
      </c>
    </row>
    <row r="220" spans="1:40" x14ac:dyDescent="0.25">
      <c r="A220" t="str">
        <f>"20190303162500969"</f>
        <v>20190303162500969</v>
      </c>
      <c r="B220" t="str">
        <f>"1551601500962970"</f>
        <v>1551601500962970</v>
      </c>
      <c r="C220" t="s">
        <v>40</v>
      </c>
      <c r="D220">
        <v>4.5334430000000001</v>
      </c>
      <c r="E220">
        <v>0.55832280000000001</v>
      </c>
      <c r="F220" t="s">
        <v>41</v>
      </c>
      <c r="G220">
        <v>-397.06979999999999</v>
      </c>
      <c r="H220" s="1">
        <v>-3.0780340000000001E-6</v>
      </c>
      <c r="I220">
        <v>361.7432</v>
      </c>
      <c r="J220">
        <v>-434.4205</v>
      </c>
      <c r="K220">
        <v>1.0779920000000001</v>
      </c>
      <c r="L220">
        <v>367.68099999999998</v>
      </c>
      <c r="M220">
        <v>0.99981240000000005</v>
      </c>
      <c r="N220">
        <v>-1.1467740000000001E-2</v>
      </c>
      <c r="O220">
        <v>1.561687E-2</v>
      </c>
      <c r="P220">
        <v>0.98474399999999995</v>
      </c>
      <c r="Q220">
        <v>0.17384089999999999</v>
      </c>
      <c r="R220">
        <v>-7.6695390000000004E-3</v>
      </c>
      <c r="S220">
        <v>3.0586549999999999</v>
      </c>
      <c r="T220">
        <v>-8.7608580000000005E-2</v>
      </c>
      <c r="U220">
        <v>-0.4813538</v>
      </c>
      <c r="V220">
        <v>2.3370889999999998E-2</v>
      </c>
      <c r="W220">
        <v>0.18507899999999999</v>
      </c>
      <c r="X220">
        <v>0.98244569999999998</v>
      </c>
      <c r="Y220">
        <v>0.17077139999999999</v>
      </c>
      <c r="Z220">
        <v>-3.6824000000000002E-3</v>
      </c>
      <c r="AA220">
        <v>0.98530379999999995</v>
      </c>
      <c r="AB220">
        <v>28</v>
      </c>
      <c r="AC220">
        <v>37.350700000000003</v>
      </c>
      <c r="AD220">
        <v>-1.077995078034</v>
      </c>
      <c r="AE220">
        <v>-5.9377999999999798</v>
      </c>
      <c r="AF220">
        <v>6.5151218926551904</v>
      </c>
      <c r="AG220">
        <v>-1.077995078034</v>
      </c>
      <c r="AH220">
        <v>37.223166557825799</v>
      </c>
      <c r="AI220">
        <v>91.634014397811299</v>
      </c>
      <c r="AJ220">
        <v>80.072159811358702</v>
      </c>
      <c r="AK220">
        <v>37.804404707071598</v>
      </c>
      <c r="AL220">
        <v>79.334261632994398</v>
      </c>
      <c r="AM220">
        <v>88.637277500670905</v>
      </c>
      <c r="AN220">
        <v>0.99999999409444096</v>
      </c>
    </row>
    <row r="221" spans="1:40" x14ac:dyDescent="0.25">
      <c r="A221" t="str">
        <f>"20190303162500990"</f>
        <v>20190303162500990</v>
      </c>
      <c r="B221" t="str">
        <f>"1551601500982484"</f>
        <v>1551601500982484</v>
      </c>
      <c r="C221" t="s">
        <v>40</v>
      </c>
      <c r="D221">
        <v>4.5451199999999998</v>
      </c>
      <c r="E221">
        <v>0.55817430000000001</v>
      </c>
      <c r="F221" t="s">
        <v>41</v>
      </c>
      <c r="G221">
        <v>-395.89249999999998</v>
      </c>
      <c r="H221" s="1">
        <v>-3.5324639999999999E-6</v>
      </c>
      <c r="I221">
        <v>361.54109999999997</v>
      </c>
      <c r="J221">
        <v>-434.17200000000003</v>
      </c>
      <c r="K221">
        <v>1.076862</v>
      </c>
      <c r="L221">
        <v>367.68400000000003</v>
      </c>
      <c r="M221">
        <v>0.9998302</v>
      </c>
      <c r="N221">
        <v>-1.099748E-2</v>
      </c>
      <c r="O221">
        <v>1.479194E-2</v>
      </c>
      <c r="P221">
        <v>0.98469819999999997</v>
      </c>
      <c r="Q221">
        <v>0.174075799999999</v>
      </c>
      <c r="R221">
        <v>-8.2120089999999993E-3</v>
      </c>
      <c r="S221">
        <v>3.057709</v>
      </c>
      <c r="T221">
        <v>-8.5553050000000005E-2</v>
      </c>
      <c r="U221">
        <v>-0.48727419999999999</v>
      </c>
      <c r="V221">
        <v>2.3098489999999999E-2</v>
      </c>
      <c r="W221">
        <v>0.18485219999999999</v>
      </c>
      <c r="X221">
        <v>0.9824948</v>
      </c>
      <c r="Y221">
        <v>0.17187069999999999</v>
      </c>
      <c r="Z221">
        <v>-3.5898800000000002E-3</v>
      </c>
      <c r="AA221">
        <v>0.98511300000000002</v>
      </c>
      <c r="AB221">
        <v>28</v>
      </c>
      <c r="AC221">
        <v>38.279499999999899</v>
      </c>
      <c r="AD221">
        <v>-1.076865532464</v>
      </c>
      <c r="AE221">
        <v>-6.1429000000000498</v>
      </c>
      <c r="AF221">
        <v>6.70331835251603</v>
      </c>
      <c r="AG221">
        <v>-1.076865532464</v>
      </c>
      <c r="AH221">
        <v>38.155003161789899</v>
      </c>
      <c r="AI221">
        <v>91.592281090753701</v>
      </c>
      <c r="AJ221">
        <v>80.035595079559101</v>
      </c>
      <c r="AK221">
        <v>38.754333726518702</v>
      </c>
      <c r="AL221">
        <v>79.347484044619904</v>
      </c>
      <c r="AM221">
        <v>88.653222145871496</v>
      </c>
      <c r="AN221">
        <v>0.999999954056078</v>
      </c>
    </row>
    <row r="222" spans="1:40" x14ac:dyDescent="0.25">
      <c r="A222" t="str">
        <f>"20190303162501010"</f>
        <v>20190303162501010</v>
      </c>
      <c r="B222" t="str">
        <f>"1551601501002979"</f>
        <v>1551601501002979</v>
      </c>
      <c r="C222" t="s">
        <v>40</v>
      </c>
      <c r="D222">
        <v>4.5026229999999998</v>
      </c>
      <c r="E222">
        <v>0.55540290000000003</v>
      </c>
      <c r="F222" t="s">
        <v>41</v>
      </c>
      <c r="G222">
        <v>-395.8295</v>
      </c>
      <c r="H222" s="1">
        <v>-3.5489960000000001E-6</v>
      </c>
      <c r="I222">
        <v>361.55950000000001</v>
      </c>
      <c r="J222">
        <v>-433.91609999999997</v>
      </c>
      <c r="K222">
        <v>1.075855</v>
      </c>
      <c r="L222">
        <v>367.68689999999998</v>
      </c>
      <c r="M222">
        <v>0.99984689999999998</v>
      </c>
      <c r="N222">
        <v>-1.056612E-2</v>
      </c>
      <c r="O222">
        <v>1.395798E-2</v>
      </c>
      <c r="P222">
        <v>0.98465480000000005</v>
      </c>
      <c r="Q222">
        <v>0.1743229</v>
      </c>
      <c r="R222">
        <v>-8.1800220000000003E-3</v>
      </c>
      <c r="S222">
        <v>3.057709</v>
      </c>
      <c r="T222">
        <v>-8.5876820000000006E-2</v>
      </c>
      <c r="U222">
        <v>-0.48840329999999899</v>
      </c>
      <c r="V222">
        <v>2.224025E-2</v>
      </c>
      <c r="W222">
        <v>0.18467700000000001</v>
      </c>
      <c r="X222">
        <v>0.98254759999999997</v>
      </c>
      <c r="Y222">
        <v>0.17140439999999901</v>
      </c>
      <c r="Z222">
        <v>-3.545931E-3</v>
      </c>
      <c r="AA222">
        <v>0.98519440000000003</v>
      </c>
      <c r="AB222">
        <v>28</v>
      </c>
      <c r="AC222">
        <v>38.086599999999898</v>
      </c>
      <c r="AD222">
        <v>-1.075858548996</v>
      </c>
      <c r="AE222">
        <v>-6.1273999999999598</v>
      </c>
      <c r="AF222">
        <v>6.6532697027049297</v>
      </c>
      <c r="AG222">
        <v>-1.075858548996</v>
      </c>
      <c r="AH222">
        <v>37.967827003876302</v>
      </c>
      <c r="AI222">
        <v>91.598754194157706</v>
      </c>
      <c r="AJ222">
        <v>80.060723491397297</v>
      </c>
      <c r="AK222">
        <v>38.561371302777303</v>
      </c>
      <c r="AL222">
        <v>79.357698668260298</v>
      </c>
      <c r="AM222">
        <v>88.703314831776694</v>
      </c>
      <c r="AN222">
        <v>1.00000000465741</v>
      </c>
    </row>
    <row r="223" spans="1:40" x14ac:dyDescent="0.25">
      <c r="A223" t="str">
        <f>"20190303162501032"</f>
        <v>20190303162501032</v>
      </c>
      <c r="B223" t="str">
        <f>"1551601501022501"</f>
        <v>1551601501022501</v>
      </c>
      <c r="C223" t="s">
        <v>40</v>
      </c>
      <c r="D223">
        <v>4.5085519999999999</v>
      </c>
      <c r="E223">
        <v>0.48623349999999999</v>
      </c>
      <c r="F223" t="s">
        <v>41</v>
      </c>
      <c r="G223">
        <v>-395.22989999999999</v>
      </c>
      <c r="H223" s="1">
        <v>-3.69401E-6</v>
      </c>
      <c r="I223">
        <v>361.78129999999999</v>
      </c>
      <c r="J223">
        <v>-433.6456</v>
      </c>
      <c r="K223">
        <v>1.0749420000000001</v>
      </c>
      <c r="L223">
        <v>367.68979999999999</v>
      </c>
      <c r="M223">
        <v>0.99986249999999999</v>
      </c>
      <c r="N223">
        <v>-1.0162579999999999E-2</v>
      </c>
      <c r="O223">
        <v>1.3104599999999999E-2</v>
      </c>
      <c r="P223">
        <v>0.98465250000000004</v>
      </c>
      <c r="Q223">
        <v>0.1743603</v>
      </c>
      <c r="R223">
        <v>-7.6242000000000002E-3</v>
      </c>
      <c r="S223">
        <v>3.057922</v>
      </c>
      <c r="T223">
        <v>-8.5040210000000005E-2</v>
      </c>
      <c r="U223">
        <v>-0.46679690000000001</v>
      </c>
      <c r="V223">
        <v>2.083639E-2</v>
      </c>
      <c r="W223">
        <v>0.1843217</v>
      </c>
      <c r="X223">
        <v>0.98264510000000005</v>
      </c>
      <c r="Y223">
        <v>0.16375880000000001</v>
      </c>
      <c r="Z223">
        <v>-3.330628E-3</v>
      </c>
      <c r="AA223">
        <v>0.98649480000000001</v>
      </c>
      <c r="AB223">
        <v>28</v>
      </c>
      <c r="AC223">
        <v>38.415700000000001</v>
      </c>
      <c r="AD223">
        <v>-1.07494569401</v>
      </c>
      <c r="AE223">
        <v>-5.9085000000000001</v>
      </c>
      <c r="AF223">
        <v>6.4065406359160901</v>
      </c>
      <c r="AG223">
        <v>-1.07494569401</v>
      </c>
      <c r="AH223">
        <v>38.305668616469198</v>
      </c>
      <c r="AI223">
        <v>91.585421113546303</v>
      </c>
      <c r="AJ223">
        <v>80.505281599785206</v>
      </c>
      <c r="AK223">
        <v>38.852587035092903</v>
      </c>
      <c r="AL223">
        <v>79.378411590112705</v>
      </c>
      <c r="AM223">
        <v>88.785259979690593</v>
      </c>
      <c r="AN223">
        <v>1.0000000183965601</v>
      </c>
    </row>
    <row r="224" spans="1:40" x14ac:dyDescent="0.25">
      <c r="A224" t="str">
        <f>"20190303162501055"</f>
        <v>20190303162501055</v>
      </c>
      <c r="B224" t="str">
        <f>"1551601501042996"</f>
        <v>1551601501042996</v>
      </c>
      <c r="C224" t="s">
        <v>40</v>
      </c>
      <c r="D224">
        <v>4.454199</v>
      </c>
      <c r="E224">
        <v>0.48641430000000002</v>
      </c>
      <c r="F224" t="s">
        <v>41</v>
      </c>
      <c r="G224">
        <v>-382.87709999999998</v>
      </c>
      <c r="H224" s="1">
        <v>-3.1251419999999998E-6</v>
      </c>
      <c r="I224">
        <v>369.12520000000001</v>
      </c>
      <c r="J224">
        <v>-433.36250000000001</v>
      </c>
      <c r="K224">
        <v>1.0741259999999999</v>
      </c>
      <c r="L224">
        <v>367.69260000000003</v>
      </c>
      <c r="M224">
        <v>0.99987709999999996</v>
      </c>
      <c r="N224">
        <v>-9.7922849999999995E-3</v>
      </c>
      <c r="O224">
        <v>1.2248449999999999E-2</v>
      </c>
      <c r="P224">
        <v>0.98451920000000004</v>
      </c>
      <c r="Q224">
        <v>0.175125</v>
      </c>
      <c r="R224">
        <v>-7.3031369999999899E-3</v>
      </c>
      <c r="S224">
        <v>3.0588679999999999</v>
      </c>
      <c r="T224">
        <v>-6.4766760000000007E-2</v>
      </c>
      <c r="U224">
        <v>8.6486820000000006E-2</v>
      </c>
      <c r="V224">
        <v>1.9661399999999999E-2</v>
      </c>
      <c r="W224">
        <v>0.18472430000000001</v>
      </c>
      <c r="X224">
        <v>0.98259370000000001</v>
      </c>
      <c r="Y224">
        <v>-1.601211E-2</v>
      </c>
      <c r="Z224">
        <v>1.085655E-4</v>
      </c>
      <c r="AA224">
        <v>0.99987179999999998</v>
      </c>
      <c r="AB224">
        <v>28</v>
      </c>
      <c r="AC224">
        <v>50.485399999999998</v>
      </c>
      <c r="AD224">
        <v>-1.074129125142</v>
      </c>
      <c r="AE224">
        <v>1.4325999999999699</v>
      </c>
      <c r="AF224">
        <v>-0.81372696264526301</v>
      </c>
      <c r="AG224">
        <v>-1.074129125142</v>
      </c>
      <c r="AH224">
        <v>50.476329721945</v>
      </c>
      <c r="AI224">
        <v>91.218903730243397</v>
      </c>
      <c r="AJ224">
        <v>90.923583046403294</v>
      </c>
      <c r="AK224">
        <v>50.4943142061136</v>
      </c>
      <c r="AL224">
        <v>79.354941175105495</v>
      </c>
      <c r="AM224">
        <v>88.8536819157884</v>
      </c>
      <c r="AN224">
        <v>1.00000000847007</v>
      </c>
    </row>
    <row r="225" spans="1:40" x14ac:dyDescent="0.25">
      <c r="A225" t="str">
        <f>"20190303162501078"</f>
        <v>20190303162501078</v>
      </c>
      <c r="B225" t="str">
        <f>"1551601501073252"</f>
        <v>1551601501073252</v>
      </c>
      <c r="C225" t="s">
        <v>40</v>
      </c>
      <c r="D225">
        <v>4.393624</v>
      </c>
      <c r="E225">
        <v>0.48737520000000001</v>
      </c>
      <c r="F225" t="s">
        <v>41</v>
      </c>
      <c r="G225">
        <v>-385.34980000000002</v>
      </c>
      <c r="H225" s="1">
        <v>-2.079547E-6</v>
      </c>
      <c r="I225">
        <v>369.03949999999998</v>
      </c>
      <c r="J225">
        <v>-433.07209999999998</v>
      </c>
      <c r="K225">
        <v>1.0734239999999999</v>
      </c>
      <c r="L225">
        <v>367.69529999999997</v>
      </c>
      <c r="M225">
        <v>0.99989019999999995</v>
      </c>
      <c r="N225">
        <v>-9.4638410000000006E-3</v>
      </c>
      <c r="O225">
        <v>1.1413599999999999E-2</v>
      </c>
      <c r="P225">
        <v>0.98436140000000005</v>
      </c>
      <c r="Q225">
        <v>0.17599509999999999</v>
      </c>
      <c r="R225">
        <v>-7.6594039999999999E-3</v>
      </c>
      <c r="S225">
        <v>3.060028</v>
      </c>
      <c r="T225">
        <v>-6.8458080000000004E-2</v>
      </c>
      <c r="U225">
        <v>8.5845950000000004E-2</v>
      </c>
      <c r="V225">
        <v>1.9182939999999999E-2</v>
      </c>
      <c r="W225">
        <v>0.1852721</v>
      </c>
      <c r="X225">
        <v>0.98250000000000004</v>
      </c>
      <c r="Y225">
        <v>-1.662653E-2</v>
      </c>
      <c r="Z225">
        <v>1.173795E-4</v>
      </c>
      <c r="AA225">
        <v>0.99986180000000002</v>
      </c>
      <c r="AB225">
        <v>28</v>
      </c>
      <c r="AC225">
        <v>47.722299999999898</v>
      </c>
      <c r="AD225">
        <v>-1.0734260795470001</v>
      </c>
      <c r="AE225">
        <v>1.3442000000000001</v>
      </c>
      <c r="AF225">
        <v>-0.79900093642838399</v>
      </c>
      <c r="AG225">
        <v>-1.0734260795470001</v>
      </c>
      <c r="AH225">
        <v>47.710414457243402</v>
      </c>
      <c r="AI225">
        <v>91.288687010023395</v>
      </c>
      <c r="AJ225">
        <v>90.959436278017193</v>
      </c>
      <c r="AK225">
        <v>47.729176545658198</v>
      </c>
      <c r="AL225">
        <v>79.323003096215899</v>
      </c>
      <c r="AM225">
        <v>88.881463746096102</v>
      </c>
      <c r="AN225">
        <v>0.99999999311272603</v>
      </c>
    </row>
    <row r="226" spans="1:40" x14ac:dyDescent="0.25">
      <c r="A226" t="str">
        <f>"20190303162501097"</f>
        <v>20190303162501097</v>
      </c>
      <c r="B226" t="str">
        <f>"1551601501083012"</f>
        <v>1551601501083012</v>
      </c>
      <c r="C226" t="s">
        <v>40</v>
      </c>
      <c r="D226">
        <v>4.3946740000000002</v>
      </c>
      <c r="E226">
        <v>0.48769040000000002</v>
      </c>
      <c r="F226" t="s">
        <v>41</v>
      </c>
      <c r="G226">
        <v>-386.15050000000002</v>
      </c>
      <c r="H226" s="1">
        <v>-1.7648959999999999E-6</v>
      </c>
      <c r="I226">
        <v>368.87689999999998</v>
      </c>
      <c r="J226">
        <v>-432.83190000000002</v>
      </c>
      <c r="K226">
        <v>1.0729390000000001</v>
      </c>
      <c r="L226">
        <v>367.69729999999998</v>
      </c>
      <c r="M226">
        <v>0.9998996</v>
      </c>
      <c r="N226">
        <v>-9.231866E-3</v>
      </c>
      <c r="O226">
        <v>1.0761710000000001E-2</v>
      </c>
      <c r="P226">
        <v>0.98434849999999996</v>
      </c>
      <c r="Q226">
        <v>0.17605660000000001</v>
      </c>
      <c r="R226">
        <v>-7.8889319999999995E-3</v>
      </c>
      <c r="S226">
        <v>3.0608219999999999</v>
      </c>
      <c r="T226">
        <v>-7.0022230000000005E-2</v>
      </c>
      <c r="U226">
        <v>7.7087399999999903E-2</v>
      </c>
      <c r="V226">
        <v>1.875916E-2</v>
      </c>
      <c r="W226">
        <v>0.1851072</v>
      </c>
      <c r="X226">
        <v>0.9825393</v>
      </c>
      <c r="Y226">
        <v>-1.441272E-2</v>
      </c>
      <c r="Z226" s="1">
        <v>8.4586299999999905E-5</v>
      </c>
      <c r="AA226">
        <v>0.99989609999999995</v>
      </c>
      <c r="AB226">
        <v>28</v>
      </c>
      <c r="AC226">
        <v>46.681399999999996</v>
      </c>
      <c r="AD226">
        <v>-1.0729407648960001</v>
      </c>
      <c r="AE226">
        <v>1.17959999999999</v>
      </c>
      <c r="AF226">
        <v>-0.67678134812546198</v>
      </c>
      <c r="AG226">
        <v>-1.0729407648960001</v>
      </c>
      <c r="AH226">
        <v>46.666754198026702</v>
      </c>
      <c r="AI226">
        <v>91.316947998166398</v>
      </c>
      <c r="AJ226">
        <v>90.830869800088394</v>
      </c>
      <c r="AK226">
        <v>46.683992784006698</v>
      </c>
      <c r="AL226">
        <v>79.332617857377599</v>
      </c>
      <c r="AM226">
        <v>88.9062115640386</v>
      </c>
      <c r="AN226">
        <v>1.0000000288101101</v>
      </c>
    </row>
    <row r="227" spans="1:40" x14ac:dyDescent="0.25">
      <c r="A227" t="str">
        <f>"20190303162501121"</f>
        <v>20190303162501121</v>
      </c>
      <c r="B227" t="str">
        <f>"1551601501113268"</f>
        <v>1551601501113268</v>
      </c>
      <c r="C227" t="s">
        <v>40</v>
      </c>
      <c r="D227">
        <v>4.4178050000000004</v>
      </c>
      <c r="E227">
        <v>0.48825580000000002</v>
      </c>
      <c r="F227" t="s">
        <v>41</v>
      </c>
      <c r="G227">
        <v>-386.03089999999997</v>
      </c>
      <c r="H227" s="1">
        <v>-1.82524E-6</v>
      </c>
      <c r="I227">
        <v>368.82600000000002</v>
      </c>
      <c r="J227">
        <v>-432.52710000000002</v>
      </c>
      <c r="K227">
        <v>1.0724199999999999</v>
      </c>
      <c r="L227">
        <v>367.69979999999998</v>
      </c>
      <c r="M227">
        <v>0.99990979999999996</v>
      </c>
      <c r="N227">
        <v>-8.9784200000000008E-3</v>
      </c>
      <c r="O227">
        <v>9.9873510000000002E-3</v>
      </c>
      <c r="P227">
        <v>0.98434069999999996</v>
      </c>
      <c r="Q227">
        <v>0.17604900000000001</v>
      </c>
      <c r="R227">
        <v>-8.94789E-3</v>
      </c>
      <c r="S227">
        <v>3.0608219999999999</v>
      </c>
      <c r="T227">
        <v>-7.0170999999999997E-2</v>
      </c>
      <c r="U227">
        <v>7.3822020000000002E-2</v>
      </c>
      <c r="V227">
        <v>1.903968E-2</v>
      </c>
      <c r="W227">
        <v>0.18485180000000001</v>
      </c>
      <c r="X227">
        <v>0.98258199999999996</v>
      </c>
      <c r="Y227">
        <v>-1.4121119999999999E-2</v>
      </c>
      <c r="Z227" s="1">
        <v>8.6000750000000002E-5</v>
      </c>
      <c r="AA227">
        <v>0.99990029999999996</v>
      </c>
      <c r="AB227">
        <v>28</v>
      </c>
      <c r="AC227">
        <v>46.496200000000002</v>
      </c>
      <c r="AD227">
        <v>-1.07242182524</v>
      </c>
      <c r="AE227">
        <v>1.1261999999999801</v>
      </c>
      <c r="AF227">
        <v>-0.66139958518129605</v>
      </c>
      <c r="AG227">
        <v>-1.07242182524</v>
      </c>
      <c r="AH227">
        <v>46.480416816411399</v>
      </c>
      <c r="AI227">
        <v>91.321591592336802</v>
      </c>
      <c r="AJ227">
        <v>90.815243278525898</v>
      </c>
      <c r="AK227">
        <v>46.497491173286598</v>
      </c>
      <c r="AL227">
        <v>79.347508313140395</v>
      </c>
      <c r="AM227">
        <v>88.889907607267105</v>
      </c>
      <c r="AN227">
        <v>1.0000000420508699</v>
      </c>
    </row>
    <row r="228" spans="1:40" x14ac:dyDescent="0.25">
      <c r="A228" t="str">
        <f>"20190303162501147"</f>
        <v>20190303162501147</v>
      </c>
      <c r="B228" t="str">
        <f>"1551601501132789"</f>
        <v>1551601501132789</v>
      </c>
      <c r="C228" t="s">
        <v>40</v>
      </c>
      <c r="D228">
        <v>4.3797689999999996</v>
      </c>
      <c r="E228">
        <v>0.48843769999999997</v>
      </c>
      <c r="F228" t="s">
        <v>41</v>
      </c>
      <c r="G228">
        <v>-384.19130000000001</v>
      </c>
      <c r="H228" s="1">
        <v>-2.6285790000000002E-6</v>
      </c>
      <c r="I228">
        <v>368.74610000000001</v>
      </c>
      <c r="J228">
        <v>-432.19740000000002</v>
      </c>
      <c r="K228">
        <v>1.0719730000000001</v>
      </c>
      <c r="L228">
        <v>367.7022</v>
      </c>
      <c r="M228">
        <v>0.99991920000000001</v>
      </c>
      <c r="N228">
        <v>-8.7535670000000003E-3</v>
      </c>
      <c r="O228">
        <v>9.2178039999999996E-3</v>
      </c>
      <c r="P228">
        <v>0.98434429999999995</v>
      </c>
      <c r="Q228">
        <v>0.17596329999999999</v>
      </c>
      <c r="R228">
        <v>-1.016538E-2</v>
      </c>
      <c r="S228">
        <v>3.060425</v>
      </c>
      <c r="T228">
        <v>-6.7901370000000003E-2</v>
      </c>
      <c r="U228">
        <v>6.6253660000000006E-2</v>
      </c>
      <c r="V228">
        <v>1.948109E-2</v>
      </c>
      <c r="W228">
        <v>0.18454670000000001</v>
      </c>
      <c r="X228">
        <v>0.98263069999999997</v>
      </c>
      <c r="Y228">
        <v>-1.2423099999999999E-2</v>
      </c>
      <c r="Z228" s="1">
        <v>6.8391360000000001E-5</v>
      </c>
      <c r="AA228">
        <v>0.9999228</v>
      </c>
      <c r="AB228">
        <v>28</v>
      </c>
      <c r="AC228">
        <v>48.006100000000004</v>
      </c>
      <c r="AD228">
        <v>-1.0719756285789901</v>
      </c>
      <c r="AE228">
        <v>1.0439000000000001</v>
      </c>
      <c r="AF228">
        <v>-0.60102832313660504</v>
      </c>
      <c r="AG228">
        <v>-1.0719756285789901</v>
      </c>
      <c r="AH228">
        <v>47.989765397361502</v>
      </c>
      <c r="AI228">
        <v>91.279536425434898</v>
      </c>
      <c r="AJ228">
        <v>90.717540202274606</v>
      </c>
      <c r="AK228">
        <v>48.005499160901103</v>
      </c>
      <c r="AL228">
        <v>79.365295309288797</v>
      </c>
      <c r="AM228">
        <v>88.864234514847496</v>
      </c>
      <c r="AN228">
        <v>1.00000004496548</v>
      </c>
    </row>
    <row r="229" spans="1:40" x14ac:dyDescent="0.25">
      <c r="A229" t="str">
        <f>"20190303162501166"</f>
        <v>20190303162501166</v>
      </c>
      <c r="B229" t="str">
        <f>"1551601501153284"</f>
        <v>1551601501153284</v>
      </c>
      <c r="C229" t="s">
        <v>40</v>
      </c>
      <c r="D229">
        <v>4.3980090000000001</v>
      </c>
      <c r="E229">
        <v>0.48846830000000002</v>
      </c>
      <c r="F229" t="s">
        <v>41</v>
      </c>
      <c r="G229">
        <v>-382.95749999999998</v>
      </c>
      <c r="H229" s="1">
        <v>-3.1652990000000002E-6</v>
      </c>
      <c r="I229">
        <v>368.70429999999999</v>
      </c>
      <c r="J229">
        <v>-431.94319999999999</v>
      </c>
      <c r="K229">
        <v>1.0716939999999999</v>
      </c>
      <c r="L229">
        <v>367.70400000000001</v>
      </c>
      <c r="M229">
        <v>0.99992539999999996</v>
      </c>
      <c r="N229">
        <v>-8.6081809999999995E-3</v>
      </c>
      <c r="O229">
        <v>8.6636819999999903E-3</v>
      </c>
      <c r="P229">
        <v>0.98433139999999997</v>
      </c>
      <c r="Q229">
        <v>0.17598639999999999</v>
      </c>
      <c r="R229">
        <v>-1.09797E-2</v>
      </c>
      <c r="S229">
        <v>3.0603030000000002</v>
      </c>
      <c r="T229">
        <v>-6.6624160000000002E-2</v>
      </c>
      <c r="U229">
        <v>6.2286380000000002E-2</v>
      </c>
      <c r="V229">
        <v>1.9736509999999999E-2</v>
      </c>
      <c r="W229">
        <v>0.18442810000000001</v>
      </c>
      <c r="X229">
        <v>0.98264779999999996</v>
      </c>
      <c r="Y229">
        <v>-1.1682720000000001E-2</v>
      </c>
      <c r="Z229" s="1">
        <v>6.3443399999999996E-5</v>
      </c>
      <c r="AA229">
        <v>0.99993180000000004</v>
      </c>
      <c r="AB229">
        <v>28</v>
      </c>
      <c r="AC229">
        <v>48.985700000000001</v>
      </c>
      <c r="AD229">
        <v>-1.0716971652989999</v>
      </c>
      <c r="AE229">
        <v>1.00029999999998</v>
      </c>
      <c r="AF229">
        <v>-0.57557481990234804</v>
      </c>
      <c r="AG229">
        <v>-1.0716971652989999</v>
      </c>
      <c r="AH229">
        <v>48.969099399836303</v>
      </c>
      <c r="AI229">
        <v>91.253641289232107</v>
      </c>
      <c r="AJ229">
        <v>90.673414251796004</v>
      </c>
      <c r="AK229">
        <v>48.984206814221899</v>
      </c>
      <c r="AL229">
        <v>79.3722085298661</v>
      </c>
      <c r="AM229">
        <v>88.849367289563105</v>
      </c>
      <c r="AN229">
        <v>0.99999997637071403</v>
      </c>
    </row>
    <row r="230" spans="1:40" x14ac:dyDescent="0.25">
      <c r="A230" t="str">
        <f>"20190303162501189"</f>
        <v>20190303162501189</v>
      </c>
      <c r="B230" t="str">
        <f>"1551601501182564"</f>
        <v>1551601501182564</v>
      </c>
      <c r="C230" t="s">
        <v>40</v>
      </c>
      <c r="D230">
        <v>4.4329739999999997</v>
      </c>
      <c r="E230">
        <v>0.48861549999999998</v>
      </c>
      <c r="F230" t="s">
        <v>41</v>
      </c>
      <c r="G230">
        <v>-381.98790000000002</v>
      </c>
      <c r="H230" s="1">
        <v>-3.586564E-6</v>
      </c>
      <c r="I230">
        <v>368.67439999999999</v>
      </c>
      <c r="J230">
        <v>-431.6619</v>
      </c>
      <c r="K230">
        <v>1.071428</v>
      </c>
      <c r="L230">
        <v>367.70580000000001</v>
      </c>
      <c r="M230">
        <v>0.99993129999999997</v>
      </c>
      <c r="N230">
        <v>-8.4733209999999903E-3</v>
      </c>
      <c r="O230">
        <v>8.0949730000000001E-3</v>
      </c>
      <c r="P230">
        <v>0.98437920000000001</v>
      </c>
      <c r="Q230">
        <v>0.17569499999999999</v>
      </c>
      <c r="R230">
        <v>-1.13516E-2</v>
      </c>
      <c r="S230">
        <v>3.0601500000000001</v>
      </c>
      <c r="T230">
        <v>-6.564963E-2</v>
      </c>
      <c r="U230">
        <v>5.9448239999999999E-2</v>
      </c>
      <c r="V230">
        <v>1.9534050000000001E-2</v>
      </c>
      <c r="W230">
        <v>0.1840058</v>
      </c>
      <c r="X230">
        <v>0.98273100000000002</v>
      </c>
      <c r="Y230">
        <v>-1.132559E-2</v>
      </c>
      <c r="Z230" s="1">
        <v>6.4416969999999906E-5</v>
      </c>
      <c r="AA230">
        <v>0.99993589999999999</v>
      </c>
      <c r="AB230">
        <v>28</v>
      </c>
      <c r="AC230">
        <v>49.6739999999999</v>
      </c>
      <c r="AD230">
        <v>-1.0714315865640001</v>
      </c>
      <c r="AE230">
        <v>0.96859999999998003</v>
      </c>
      <c r="AF230">
        <v>-0.566180817021395</v>
      </c>
      <c r="AG230">
        <v>-1.0714315865640001</v>
      </c>
      <c r="AH230">
        <v>49.657120038988197</v>
      </c>
      <c r="AI230">
        <v>91.235975748360104</v>
      </c>
      <c r="AJ230">
        <v>90.653247018851303</v>
      </c>
      <c r="AK230">
        <v>49.671904502734002</v>
      </c>
      <c r="AL230">
        <v>79.396825737087596</v>
      </c>
      <c r="AM230">
        <v>88.861263913685505</v>
      </c>
      <c r="AN230">
        <v>0.99999996595202001</v>
      </c>
    </row>
    <row r="231" spans="1:40" x14ac:dyDescent="0.25">
      <c r="A231" t="str">
        <f>"20190303162501211"</f>
        <v>20190303162501211</v>
      </c>
      <c r="B231" t="str">
        <f>"1551601501203060"</f>
        <v>1551601501203060</v>
      </c>
      <c r="C231" t="s">
        <v>40</v>
      </c>
      <c r="D231">
        <v>4.4405919999999997</v>
      </c>
      <c r="E231">
        <v>0.48863610000000002</v>
      </c>
      <c r="F231" t="s">
        <v>41</v>
      </c>
      <c r="G231">
        <v>-383.17559999999997</v>
      </c>
      <c r="H231" s="1">
        <v>-3.0907739999999998E-6</v>
      </c>
      <c r="I231">
        <v>368.59690000000001</v>
      </c>
      <c r="J231">
        <v>-431.3707</v>
      </c>
      <c r="K231">
        <v>1.0712109999999999</v>
      </c>
      <c r="L231">
        <v>367.70760000000001</v>
      </c>
      <c r="M231">
        <v>0.99993650000000001</v>
      </c>
      <c r="N231">
        <v>-8.35989E-3</v>
      </c>
      <c r="O231">
        <v>7.5567439999999998E-3</v>
      </c>
      <c r="P231">
        <v>0.98441290000000004</v>
      </c>
      <c r="Q231">
        <v>0.1754878</v>
      </c>
      <c r="R231">
        <v>-1.162903E-2</v>
      </c>
      <c r="S231">
        <v>3.0603639999999999</v>
      </c>
      <c r="T231">
        <v>-6.7626710000000007E-2</v>
      </c>
      <c r="U231">
        <v>5.6243899999999999E-2</v>
      </c>
      <c r="V231">
        <v>1.926603E-2</v>
      </c>
      <c r="W231">
        <v>0.18368989999999999</v>
      </c>
      <c r="X231">
        <v>0.98279539999999999</v>
      </c>
      <c r="Y231">
        <v>-1.081589E-2</v>
      </c>
      <c r="Z231" s="1">
        <v>6.0918680000000002E-5</v>
      </c>
      <c r="AA231">
        <v>0.99994150000000004</v>
      </c>
      <c r="AB231">
        <v>28</v>
      </c>
      <c r="AC231">
        <v>48.195099999999996</v>
      </c>
      <c r="AD231">
        <v>-1.071214090774</v>
      </c>
      <c r="AE231">
        <v>0.88929999999999099</v>
      </c>
      <c r="AF231">
        <v>-0.52480466868756004</v>
      </c>
      <c r="AG231">
        <v>-1.071214090774</v>
      </c>
      <c r="AH231">
        <v>48.176652003617498</v>
      </c>
      <c r="AI231">
        <v>91.273693636739495</v>
      </c>
      <c r="AJ231">
        <v>90.624117742457003</v>
      </c>
      <c r="AK231">
        <v>48.191417470813398</v>
      </c>
      <c r="AL231">
        <v>79.415239476912603</v>
      </c>
      <c r="AM231">
        <v>88.876957667105401</v>
      </c>
      <c r="AN231">
        <v>0.99999997876756497</v>
      </c>
    </row>
    <row r="232" spans="1:40" x14ac:dyDescent="0.25">
      <c r="A232" t="str">
        <f>"20190303162501233"</f>
        <v>20190303162501233</v>
      </c>
      <c r="B232" t="str">
        <f>"1551601501222580"</f>
        <v>1551601501222580</v>
      </c>
      <c r="C232" t="s">
        <v>40</v>
      </c>
      <c r="D232">
        <v>4.4614089999999997</v>
      </c>
      <c r="E232">
        <v>0.488647</v>
      </c>
      <c r="F232" t="s">
        <v>41</v>
      </c>
      <c r="G232">
        <v>-383.13929999999999</v>
      </c>
      <c r="H232" s="1">
        <v>-3.1111339999999998E-6</v>
      </c>
      <c r="I232">
        <v>368.56990000000002</v>
      </c>
      <c r="J232">
        <v>-431.09370000000001</v>
      </c>
      <c r="K232">
        <v>1.071048</v>
      </c>
      <c r="L232">
        <v>367.70920000000001</v>
      </c>
      <c r="M232">
        <v>0.99994079999999996</v>
      </c>
      <c r="N232">
        <v>-8.2726980000000002E-3</v>
      </c>
      <c r="O232">
        <v>7.0908990000000003E-3</v>
      </c>
      <c r="P232">
        <v>0.98441710000000004</v>
      </c>
      <c r="Q232">
        <v>0.17548900000000001</v>
      </c>
      <c r="R232">
        <v>-1.1258809999999999E-2</v>
      </c>
      <c r="S232">
        <v>3.0603030000000002</v>
      </c>
      <c r="T232">
        <v>-6.7968959999999995E-2</v>
      </c>
      <c r="U232">
        <v>5.4718019999999999E-2</v>
      </c>
      <c r="V232">
        <v>1.8422290000000001E-2</v>
      </c>
      <c r="W232">
        <v>0.1836074</v>
      </c>
      <c r="X232">
        <v>0.98282700000000001</v>
      </c>
      <c r="Y232">
        <v>-1.078366E-2</v>
      </c>
      <c r="Z232" s="1">
        <v>6.5545859999999894E-5</v>
      </c>
      <c r="AA232">
        <v>0.99994179999999999</v>
      </c>
      <c r="AB232">
        <v>29</v>
      </c>
      <c r="AC232">
        <v>47.9544</v>
      </c>
      <c r="AD232">
        <v>-1.071051111134</v>
      </c>
      <c r="AE232">
        <v>0.86070000000000801</v>
      </c>
      <c r="AF232">
        <v>-0.52036747344824397</v>
      </c>
      <c r="AG232">
        <v>-1.071051111134</v>
      </c>
      <c r="AH232">
        <v>47.935393141459997</v>
      </c>
      <c r="AI232">
        <v>91.279907838839605</v>
      </c>
      <c r="AJ232">
        <v>90.621955657091107</v>
      </c>
      <c r="AK232">
        <v>47.950180900768402</v>
      </c>
      <c r="AL232">
        <v>79.420048232113501</v>
      </c>
      <c r="AM232">
        <v>88.926163124275703</v>
      </c>
      <c r="AN232">
        <v>0.99999998501630105</v>
      </c>
    </row>
    <row r="233" spans="1:40" x14ac:dyDescent="0.25">
      <c r="A233" t="str">
        <f>"20190303162501277"</f>
        <v>20190303162501277</v>
      </c>
      <c r="B233" t="str">
        <f>"1551601501262596"</f>
        <v>1551601501262596</v>
      </c>
      <c r="C233" t="s">
        <v>40</v>
      </c>
      <c r="D233">
        <v>4.4479540000000002</v>
      </c>
      <c r="E233">
        <v>0.48860049999999999</v>
      </c>
      <c r="F233" t="s">
        <v>41</v>
      </c>
      <c r="G233">
        <v>-382.90460000000002</v>
      </c>
      <c r="H233" s="1">
        <v>-3.2071339999999998E-6</v>
      </c>
      <c r="I233">
        <v>368.59629999999999</v>
      </c>
      <c r="J233">
        <v>-430.5367</v>
      </c>
      <c r="K233">
        <v>1.0707930000000001</v>
      </c>
      <c r="L233">
        <v>367.7122</v>
      </c>
      <c r="M233">
        <v>0.99994720000000004</v>
      </c>
      <c r="N233">
        <v>-8.1510650000000007E-3</v>
      </c>
      <c r="O233">
        <v>6.2727130000000001E-3</v>
      </c>
      <c r="P233">
        <v>0.98456670000000002</v>
      </c>
      <c r="Q233">
        <v>0.17456949999999999</v>
      </c>
      <c r="R233">
        <v>-1.2410650000000001E-2</v>
      </c>
      <c r="S233">
        <v>3.0602719999999999</v>
      </c>
      <c r="T233">
        <v>-6.8017599999999998E-2</v>
      </c>
      <c r="U233">
        <v>5.6335450000000002E-2</v>
      </c>
      <c r="V233">
        <v>1.8741150000000002E-2</v>
      </c>
      <c r="W233">
        <v>0.18257229999999999</v>
      </c>
      <c r="X233">
        <v>0.98301380000000005</v>
      </c>
      <c r="Y233">
        <v>-1.2129829999999999E-2</v>
      </c>
      <c r="Z233" s="1">
        <v>9.5956800000000003E-5</v>
      </c>
      <c r="AA233">
        <v>0.99992639999999999</v>
      </c>
      <c r="AB233">
        <v>29</v>
      </c>
      <c r="AC233">
        <v>47.632099999999902</v>
      </c>
      <c r="AD233">
        <v>-1.070796207134</v>
      </c>
      <c r="AE233">
        <v>0.88409999999998901</v>
      </c>
      <c r="AF233">
        <v>-0.58499467461168297</v>
      </c>
      <c r="AG233">
        <v>-1.070796207134</v>
      </c>
      <c r="AH233">
        <v>47.612654746876103</v>
      </c>
      <c r="AI233">
        <v>91.288252779912398</v>
      </c>
      <c r="AJ233">
        <v>90.703931331343199</v>
      </c>
      <c r="AK233">
        <v>47.628286924177303</v>
      </c>
      <c r="AL233">
        <v>79.480375041018505</v>
      </c>
      <c r="AM233">
        <v>88.907788752797501</v>
      </c>
      <c r="AN233">
        <v>1.0000000032105201</v>
      </c>
    </row>
    <row r="234" spans="1:40" x14ac:dyDescent="0.25">
      <c r="A234" t="str">
        <f>"20190303162501297"</f>
        <v>20190303162501297</v>
      </c>
      <c r="B234" t="str">
        <f>"1551601501292852"</f>
        <v>1551601501292852</v>
      </c>
      <c r="C234" t="s">
        <v>40</v>
      </c>
      <c r="D234">
        <v>4.5306160000000002</v>
      </c>
      <c r="E234">
        <v>0.48876770000000003</v>
      </c>
      <c r="F234" t="s">
        <v>41</v>
      </c>
      <c r="G234">
        <v>-384.57150000000001</v>
      </c>
      <c r="H234" s="1">
        <v>-2.510987E-6</v>
      </c>
      <c r="I234">
        <v>368.4896</v>
      </c>
      <c r="J234">
        <v>-430.26330000000002</v>
      </c>
      <c r="K234">
        <v>1.0706979999999999</v>
      </c>
      <c r="L234">
        <v>367.71359999999999</v>
      </c>
      <c r="M234">
        <v>0.99994959999999999</v>
      </c>
      <c r="N234">
        <v>-8.1123730000000008E-3</v>
      </c>
      <c r="O234">
        <v>5.916531E-3</v>
      </c>
      <c r="P234">
        <v>0.98460400000000003</v>
      </c>
      <c r="Q234">
        <v>0.17434169999999999</v>
      </c>
      <c r="R234">
        <v>-1.2640240000000001E-2</v>
      </c>
      <c r="S234">
        <v>3.060333</v>
      </c>
      <c r="T234">
        <v>-7.1292880000000003E-2</v>
      </c>
      <c r="U234">
        <v>5.1757810000000001E-2</v>
      </c>
      <c r="V234">
        <v>1.860993E-2</v>
      </c>
      <c r="W234">
        <v>0.18230850000000001</v>
      </c>
      <c r="X234">
        <v>0.98306519999999997</v>
      </c>
      <c r="Y234">
        <v>-1.099055E-2</v>
      </c>
      <c r="Z234" s="1">
        <v>8.2773639999999898E-5</v>
      </c>
      <c r="AA234">
        <v>0.99993960000000004</v>
      </c>
      <c r="AB234">
        <v>29</v>
      </c>
      <c r="AC234">
        <v>45.691800000000001</v>
      </c>
      <c r="AD234">
        <v>-1.070700510987</v>
      </c>
      <c r="AE234">
        <v>0.77600000000001002</v>
      </c>
      <c r="AF234">
        <v>-0.50536315228269901</v>
      </c>
      <c r="AG234">
        <v>-1.070700510987</v>
      </c>
      <c r="AH234">
        <v>45.670520675041502</v>
      </c>
      <c r="AI234">
        <v>91.342915095224001</v>
      </c>
      <c r="AJ234">
        <v>90.633975562714397</v>
      </c>
      <c r="AK234">
        <v>45.685864884330599</v>
      </c>
      <c r="AL234">
        <v>79.495747134979496</v>
      </c>
      <c r="AM234">
        <v>88.915490953907295</v>
      </c>
      <c r="AN234">
        <v>0.99999995305894596</v>
      </c>
    </row>
    <row r="235" spans="1:40" x14ac:dyDescent="0.25">
      <c r="A235" t="str">
        <f>"20190303162501320"</f>
        <v>20190303162501320</v>
      </c>
      <c r="B235" t="str">
        <f>"1551601501313348"</f>
        <v>1551601501313348</v>
      </c>
      <c r="C235" t="s">
        <v>40</v>
      </c>
      <c r="D235">
        <v>4.4134669999999998</v>
      </c>
      <c r="E235">
        <v>0.50256520000000005</v>
      </c>
      <c r="F235" t="s">
        <v>41</v>
      </c>
      <c r="G235">
        <v>-383.94490000000002</v>
      </c>
      <c r="H235" s="1">
        <v>-2.7859080000000001E-6</v>
      </c>
      <c r="I235">
        <v>368.45499999999998</v>
      </c>
      <c r="J235">
        <v>-429.96949999999998</v>
      </c>
      <c r="K235">
        <v>1.0706230000000001</v>
      </c>
      <c r="L235">
        <v>367.7149</v>
      </c>
      <c r="M235">
        <v>0.9999519</v>
      </c>
      <c r="N235">
        <v>-8.0852110000000001E-3</v>
      </c>
      <c r="O235">
        <v>5.5625240000000001E-3</v>
      </c>
      <c r="P235">
        <v>0.98466989999999999</v>
      </c>
      <c r="Q235">
        <v>0.1739465</v>
      </c>
      <c r="R235">
        <v>-1.297014E-2</v>
      </c>
      <c r="S235">
        <v>3.0599980000000002</v>
      </c>
      <c r="T235">
        <v>-7.0735220000000001E-2</v>
      </c>
      <c r="U235">
        <v>4.8980709999999997E-2</v>
      </c>
      <c r="V235">
        <v>1.858224E-2</v>
      </c>
      <c r="W235">
        <v>0.18188789999999999</v>
      </c>
      <c r="X235">
        <v>0.98314369999999995</v>
      </c>
      <c r="Y235">
        <v>-1.043936E-2</v>
      </c>
      <c r="Z235" s="1">
        <v>7.926024E-5</v>
      </c>
      <c r="AA235">
        <v>0.99994550000000004</v>
      </c>
      <c r="AB235">
        <v>29</v>
      </c>
      <c r="AC235">
        <v>46.0245999999999</v>
      </c>
      <c r="AD235">
        <v>-1.0706257859079999</v>
      </c>
      <c r="AE235">
        <v>0.74009999999998399</v>
      </c>
      <c r="AF235">
        <v>-0.48380552327608001</v>
      </c>
      <c r="AG235">
        <v>-1.0706257859079999</v>
      </c>
      <c r="AH235">
        <v>46.003117994151303</v>
      </c>
      <c r="AI235">
        <v>91.333124364859003</v>
      </c>
      <c r="AJ235">
        <v>90.602545955416403</v>
      </c>
      <c r="AK235">
        <v>46.018117872655502</v>
      </c>
      <c r="AL235">
        <v>79.520256236274903</v>
      </c>
      <c r="AM235">
        <v>88.917190671203102</v>
      </c>
      <c r="AN235">
        <v>1.00000002132975</v>
      </c>
    </row>
    <row r="236" spans="1:40" x14ac:dyDescent="0.25">
      <c r="A236" t="str">
        <f>"20190303162501343"</f>
        <v>20190303162501343</v>
      </c>
      <c r="B236" t="str">
        <f>"1551601501332868"</f>
        <v>1551601501332868</v>
      </c>
      <c r="C236" t="s">
        <v>40</v>
      </c>
      <c r="D236">
        <v>4.4048759999999998</v>
      </c>
      <c r="E236">
        <v>0.50616499999999998</v>
      </c>
      <c r="F236" t="s">
        <v>41</v>
      </c>
      <c r="G236">
        <v>-378.85489999999999</v>
      </c>
      <c r="H236" s="1">
        <v>-1.1572779999999999E-6</v>
      </c>
      <c r="I236">
        <v>366.67910000000001</v>
      </c>
      <c r="J236">
        <v>-429.66669999999999</v>
      </c>
      <c r="K236">
        <v>1.070554</v>
      </c>
      <c r="L236">
        <v>367.71620000000001</v>
      </c>
      <c r="M236">
        <v>0.99995400000000001</v>
      </c>
      <c r="N236">
        <v>-8.0701060000000005E-3</v>
      </c>
      <c r="O236">
        <v>5.2212919999999998E-3</v>
      </c>
      <c r="P236">
        <v>0.98478699999999997</v>
      </c>
      <c r="Q236">
        <v>0.1732612</v>
      </c>
      <c r="R236">
        <v>-1.323681E-2</v>
      </c>
      <c r="S236">
        <v>3.057159</v>
      </c>
      <c r="T236">
        <v>-6.4033870000000007E-2</v>
      </c>
      <c r="U236">
        <v>-6.1950680000000001E-2</v>
      </c>
      <c r="V236">
        <v>1.8506149999999999E-2</v>
      </c>
      <c r="W236">
        <v>0.18118909999999999</v>
      </c>
      <c r="X236">
        <v>0.98327410000000004</v>
      </c>
      <c r="Y236">
        <v>2.5471919999999999E-2</v>
      </c>
      <c r="Z236">
        <v>-4.367245E-4</v>
      </c>
      <c r="AA236">
        <v>0.99967550000000005</v>
      </c>
      <c r="AB236">
        <v>29</v>
      </c>
      <c r="AC236">
        <v>50.811799999999998</v>
      </c>
      <c r="AD236">
        <v>-1.0705551572779901</v>
      </c>
      <c r="AE236">
        <v>-1.0370999999999999</v>
      </c>
      <c r="AF236">
        <v>1.3018200526086301</v>
      </c>
      <c r="AG236">
        <v>-1.0705551572779901</v>
      </c>
      <c r="AH236">
        <v>50.783158706726603</v>
      </c>
      <c r="AI236">
        <v>91.207271753594</v>
      </c>
      <c r="AJ236">
        <v>88.531551316643899</v>
      </c>
      <c r="AK236">
        <v>50.811121145146302</v>
      </c>
      <c r="AL236">
        <v>79.560970420893497</v>
      </c>
      <c r="AM236">
        <v>88.921766455795193</v>
      </c>
      <c r="AN236">
        <v>0.99999996163871996</v>
      </c>
    </row>
    <row r="237" spans="1:40" x14ac:dyDescent="0.25">
      <c r="A237" t="str">
        <f>"20190303162501367"</f>
        <v>20190303162501367</v>
      </c>
      <c r="B237" t="str">
        <f>"1551601501352389"</f>
        <v>1551601501352389</v>
      </c>
      <c r="C237" t="s">
        <v>40</v>
      </c>
      <c r="D237">
        <v>4.4188020000000003</v>
      </c>
      <c r="E237">
        <v>0.50689470000000003</v>
      </c>
      <c r="F237" t="s">
        <v>41</v>
      </c>
      <c r="G237">
        <v>-383.6857</v>
      </c>
      <c r="H237" s="1">
        <v>-3.272369E-6</v>
      </c>
      <c r="I237">
        <v>366.33940000000001</v>
      </c>
      <c r="J237">
        <v>-429.36529999999999</v>
      </c>
      <c r="K237">
        <v>1.070497</v>
      </c>
      <c r="L237">
        <v>367.71749999999997</v>
      </c>
      <c r="M237">
        <v>0.9999555</v>
      </c>
      <c r="N237">
        <v>-8.0638489999999997E-3</v>
      </c>
      <c r="O237">
        <v>4.8957059999999997E-3</v>
      </c>
      <c r="P237">
        <v>0.98489450000000001</v>
      </c>
      <c r="Q237">
        <v>0.1726694</v>
      </c>
      <c r="R237">
        <v>-1.2955090000000001E-2</v>
      </c>
      <c r="S237">
        <v>3.0576479999999999</v>
      </c>
      <c r="T237">
        <v>-7.1190000000000003E-2</v>
      </c>
      <c r="U237">
        <v>-9.1552729999999999E-2</v>
      </c>
      <c r="V237">
        <v>1.7899020000000002E-2</v>
      </c>
      <c r="W237">
        <v>0.18059359999999999</v>
      </c>
      <c r="X237">
        <v>0.98339489999999996</v>
      </c>
      <c r="Y237">
        <v>3.4808850000000002E-2</v>
      </c>
      <c r="Z237">
        <v>-6.1996040000000005E-4</v>
      </c>
      <c r="AA237">
        <v>0.9993938</v>
      </c>
      <c r="AB237">
        <v>29</v>
      </c>
      <c r="AC237">
        <v>45.679599999999901</v>
      </c>
      <c r="AD237">
        <v>-1.070500272369</v>
      </c>
      <c r="AE237">
        <v>-1.3780999999999599</v>
      </c>
      <c r="AF237">
        <v>1.60084626517072</v>
      </c>
      <c r="AG237">
        <v>-1.070500272369</v>
      </c>
      <c r="AH237">
        <v>45.647258957551699</v>
      </c>
      <c r="AI237">
        <v>91.342605137529304</v>
      </c>
      <c r="AJ237">
        <v>87.991464074646004</v>
      </c>
      <c r="AK237">
        <v>45.687864142851303</v>
      </c>
      <c r="AL237">
        <v>79.595662523993298</v>
      </c>
      <c r="AM237">
        <v>88.957260122842598</v>
      </c>
      <c r="AN237">
        <v>0.99999997631196402</v>
      </c>
    </row>
    <row r="238" spans="1:40" x14ac:dyDescent="0.25">
      <c r="A238" t="str">
        <f>"20190303162501389"</f>
        <v>20190303162501389</v>
      </c>
      <c r="B238" t="str">
        <f>"1551601501382644"</f>
        <v>1551601501382644</v>
      </c>
      <c r="C238" t="s">
        <v>40</v>
      </c>
      <c r="D238">
        <v>4.4104809999999999</v>
      </c>
      <c r="E238">
        <v>0.50705250000000002</v>
      </c>
      <c r="F238" t="s">
        <v>41</v>
      </c>
      <c r="G238">
        <v>-383.21719999999999</v>
      </c>
      <c r="H238" s="1">
        <v>-3.488227E-6</v>
      </c>
      <c r="I238">
        <v>366.25569999999999</v>
      </c>
      <c r="J238">
        <v>-429.07389999999998</v>
      </c>
      <c r="K238">
        <v>1.070443</v>
      </c>
      <c r="L238">
        <v>367.71859999999998</v>
      </c>
      <c r="M238">
        <v>0.99995710000000004</v>
      </c>
      <c r="N238">
        <v>-8.0650909999999999E-3</v>
      </c>
      <c r="O238">
        <v>4.5887039999999999E-3</v>
      </c>
      <c r="P238">
        <v>0.98488330000000002</v>
      </c>
      <c r="Q238">
        <v>0.17274890000000001</v>
      </c>
      <c r="R238">
        <v>-1.276329E-2</v>
      </c>
      <c r="S238">
        <v>3.0571899999999999</v>
      </c>
      <c r="T238">
        <v>-7.0917729999999998E-2</v>
      </c>
      <c r="U238">
        <v>-9.6832280000000007E-2</v>
      </c>
      <c r="V238">
        <v>1.740133E-2</v>
      </c>
      <c r="W238">
        <v>0.18067469999999999</v>
      </c>
      <c r="X238">
        <v>0.98338899999999996</v>
      </c>
      <c r="Y238">
        <v>3.6230320000000003E-2</v>
      </c>
      <c r="Z238">
        <v>-6.3563110000000003E-4</v>
      </c>
      <c r="AA238">
        <v>0.99934330000000005</v>
      </c>
      <c r="AB238">
        <v>29</v>
      </c>
      <c r="AC238">
        <v>45.856699999999897</v>
      </c>
      <c r="AD238">
        <v>-1.0704464882269999</v>
      </c>
      <c r="AE238">
        <v>-1.4628999999999901</v>
      </c>
      <c r="AF238">
        <v>1.6724038498698901</v>
      </c>
      <c r="AG238">
        <v>-1.0704464882269999</v>
      </c>
      <c r="AH238">
        <v>45.824559301707303</v>
      </c>
      <c r="AI238">
        <v>91.337277048873304</v>
      </c>
      <c r="AJ238">
        <v>87.909872464664502</v>
      </c>
      <c r="AK238">
        <v>45.867559620247</v>
      </c>
      <c r="AL238">
        <v>79.590938785571595</v>
      </c>
      <c r="AM238">
        <v>88.986241738457593</v>
      </c>
      <c r="AN238">
        <v>1.0000000394134201</v>
      </c>
    </row>
    <row r="239" spans="1:40" x14ac:dyDescent="0.25">
      <c r="A239" t="str">
        <f>"20190303162501411"</f>
        <v>20190303162501411</v>
      </c>
      <c r="B239" t="str">
        <f>"1551601501403141"</f>
        <v>1551601501403141</v>
      </c>
      <c r="C239" t="s">
        <v>40</v>
      </c>
      <c r="D239">
        <v>4.4068849999999999</v>
      </c>
      <c r="E239">
        <v>0.50736490000000001</v>
      </c>
      <c r="F239" t="s">
        <v>41</v>
      </c>
      <c r="G239">
        <v>-380.36700000000002</v>
      </c>
      <c r="H239" s="1">
        <v>-4.7270760000000002E-6</v>
      </c>
      <c r="I239">
        <v>366.16480000000001</v>
      </c>
      <c r="J239">
        <v>-428.78280000000001</v>
      </c>
      <c r="K239">
        <v>1.0704039999999999</v>
      </c>
      <c r="L239">
        <v>367.71960000000001</v>
      </c>
      <c r="M239">
        <v>0.99995820000000002</v>
      </c>
      <c r="N239">
        <v>-8.0740940000000004E-3</v>
      </c>
      <c r="O239">
        <v>4.2886169999999998E-3</v>
      </c>
      <c r="P239">
        <v>0.98491260000000003</v>
      </c>
      <c r="Q239">
        <v>0.17254159999999999</v>
      </c>
      <c r="R239">
        <v>-1.328794E-2</v>
      </c>
      <c r="S239">
        <v>3.05661</v>
      </c>
      <c r="T239">
        <v>-6.7175979999999996E-2</v>
      </c>
      <c r="U239">
        <v>-9.7503660000000006E-2</v>
      </c>
      <c r="V239">
        <v>1.7628120000000001E-2</v>
      </c>
      <c r="W239">
        <v>0.18047679999999999</v>
      </c>
      <c r="X239">
        <v>0.98342130000000005</v>
      </c>
      <c r="Y239">
        <v>3.6157000000000002E-2</v>
      </c>
      <c r="Z239">
        <v>-6.0280130000000003E-4</v>
      </c>
      <c r="AA239">
        <v>0.99934599999999996</v>
      </c>
      <c r="AB239">
        <v>29</v>
      </c>
      <c r="AC239">
        <v>48.415799999999997</v>
      </c>
      <c r="AD239">
        <v>-1.0704087270759901</v>
      </c>
      <c r="AE239">
        <v>-1.5548</v>
      </c>
      <c r="AF239">
        <v>1.7615691379779299</v>
      </c>
      <c r="AG239">
        <v>-1.0704087270759901</v>
      </c>
      <c r="AH239">
        <v>48.385060653921201</v>
      </c>
      <c r="AI239">
        <v>91.266492453931207</v>
      </c>
      <c r="AJ239">
        <v>87.914936617904999</v>
      </c>
      <c r="AK239">
        <v>48.428947904683099</v>
      </c>
      <c r="AL239">
        <v>79.602467135689693</v>
      </c>
      <c r="AM239">
        <v>88.973066050835698</v>
      </c>
      <c r="AN239">
        <v>1.00000003962333</v>
      </c>
    </row>
    <row r="240" spans="1:40" x14ac:dyDescent="0.25">
      <c r="A240" t="str">
        <f>"20190303162501436"</f>
        <v>20190303162501436</v>
      </c>
      <c r="B240" t="str">
        <f>"1551601501426564"</f>
        <v>1551601501426564</v>
      </c>
      <c r="C240" t="s">
        <v>40</v>
      </c>
      <c r="D240">
        <v>4.4113389999999999</v>
      </c>
      <c r="E240">
        <v>0.5075634</v>
      </c>
      <c r="F240" t="s">
        <v>41</v>
      </c>
      <c r="G240">
        <v>-381.3</v>
      </c>
      <c r="H240" s="1">
        <v>-4.3303540000000001E-6</v>
      </c>
      <c r="I240">
        <v>366.1447</v>
      </c>
      <c r="J240">
        <v>-428.45049999999998</v>
      </c>
      <c r="K240">
        <v>1.070373</v>
      </c>
      <c r="L240">
        <v>367.72070000000002</v>
      </c>
      <c r="M240">
        <v>0.9999595</v>
      </c>
      <c r="N240">
        <v>-8.0912250000000005E-3</v>
      </c>
      <c r="O240">
        <v>3.9533270000000004E-3</v>
      </c>
      <c r="P240">
        <v>0.98495330000000003</v>
      </c>
      <c r="Q240">
        <v>0.17228099999999999</v>
      </c>
      <c r="R240">
        <v>-1.3657399999999899E-2</v>
      </c>
      <c r="S240">
        <v>3.056702</v>
      </c>
      <c r="T240">
        <v>-6.8907380000000004E-2</v>
      </c>
      <c r="U240">
        <v>-0.10137939999999999</v>
      </c>
      <c r="V240">
        <v>1.766504E-2</v>
      </c>
      <c r="W240">
        <v>0.18023339999999999</v>
      </c>
      <c r="X240">
        <v>0.98346529999999999</v>
      </c>
      <c r="Y240">
        <v>3.708587E-2</v>
      </c>
      <c r="Z240">
        <v>-6.2506059999999997E-4</v>
      </c>
      <c r="AA240">
        <v>0.99931190000000003</v>
      </c>
      <c r="AB240">
        <v>29</v>
      </c>
      <c r="AC240">
        <v>47.150499999999901</v>
      </c>
      <c r="AD240">
        <v>-1.0703773303540001</v>
      </c>
      <c r="AE240">
        <v>-1.5760000000000201</v>
      </c>
      <c r="AF240">
        <v>1.76148835345323</v>
      </c>
      <c r="AG240">
        <v>-1.0703773303540001</v>
      </c>
      <c r="AH240">
        <v>47.119644925428602</v>
      </c>
      <c r="AI240">
        <v>91.300408173790302</v>
      </c>
      <c r="AJ240">
        <v>87.859090983594299</v>
      </c>
      <c r="AK240">
        <v>47.164705943609498</v>
      </c>
      <c r="AL240">
        <v>79.616645687842706</v>
      </c>
      <c r="AM240">
        <v>88.970961752984493</v>
      </c>
      <c r="AN240">
        <v>1.00000006420892</v>
      </c>
    </row>
    <row r="241" spans="1:40" x14ac:dyDescent="0.25">
      <c r="A241" t="str">
        <f>"20190303162501457"</f>
        <v>20190303162501457</v>
      </c>
      <c r="B241" t="str">
        <f>"1551601501443156"</f>
        <v>1551601501443156</v>
      </c>
      <c r="C241" t="s">
        <v>40</v>
      </c>
      <c r="D241">
        <v>4.4399220000000001</v>
      </c>
      <c r="E241">
        <v>0.50786609999999999</v>
      </c>
      <c r="F241" t="s">
        <v>41</v>
      </c>
      <c r="G241">
        <v>-380.77960000000002</v>
      </c>
      <c r="H241" s="1">
        <v>-4.5624139999999997E-6</v>
      </c>
      <c r="I241">
        <v>366.09519999999998</v>
      </c>
      <c r="J241">
        <v>-428.17489999999998</v>
      </c>
      <c r="K241">
        <v>1.0703480000000001</v>
      </c>
      <c r="L241">
        <v>367.72149999999999</v>
      </c>
      <c r="M241">
        <v>0.99996039999999997</v>
      </c>
      <c r="N241">
        <v>-8.1115240000000002E-3</v>
      </c>
      <c r="O241">
        <v>3.6842530000000002E-3</v>
      </c>
      <c r="P241">
        <v>0.98502769999999995</v>
      </c>
      <c r="Q241">
        <v>0.1718131</v>
      </c>
      <c r="R241">
        <v>-1.4175989999999999E-2</v>
      </c>
      <c r="S241">
        <v>3.0564269999999998</v>
      </c>
      <c r="T241">
        <v>-6.8627359999999998E-2</v>
      </c>
      <c r="U241">
        <v>-0.1042175</v>
      </c>
      <c r="V241">
        <v>1.7915810000000001E-2</v>
      </c>
      <c r="W241">
        <v>0.17978640000000001</v>
      </c>
      <c r="X241">
        <v>0.98354249999999999</v>
      </c>
      <c r="Y241">
        <v>3.7746710000000003E-2</v>
      </c>
      <c r="Z241">
        <v>-6.2957759999999997E-4</v>
      </c>
      <c r="AA241">
        <v>0.99928709999999998</v>
      </c>
      <c r="AB241">
        <v>29</v>
      </c>
      <c r="AC241">
        <v>47.395299999999899</v>
      </c>
      <c r="AD241">
        <v>-1.07035256241399</v>
      </c>
      <c r="AE241">
        <v>-1.6263000000000101</v>
      </c>
      <c r="AF241">
        <v>1.7999940230770599</v>
      </c>
      <c r="AG241">
        <v>-1.07035256241399</v>
      </c>
      <c r="AH241">
        <v>47.3648580250712</v>
      </c>
      <c r="AI241">
        <v>91.293618035677</v>
      </c>
      <c r="AJ241">
        <v>87.823651122191606</v>
      </c>
      <c r="AK241">
        <v>47.411131697378103</v>
      </c>
      <c r="AL241">
        <v>79.642681409360804</v>
      </c>
      <c r="AM241">
        <v>88.956438803058901</v>
      </c>
      <c r="AN241">
        <v>0.99999998758958297</v>
      </c>
    </row>
    <row r="242" spans="1:40" x14ac:dyDescent="0.25">
      <c r="A242" t="str">
        <f>"20190303162501478"</f>
        <v>20190303162501478</v>
      </c>
      <c r="B242" t="str">
        <f>"1551601501472597"</f>
        <v>1551601501472597</v>
      </c>
      <c r="C242" t="s">
        <v>40</v>
      </c>
      <c r="D242">
        <v>4.4392909999999999</v>
      </c>
      <c r="E242">
        <v>0.50859540000000003</v>
      </c>
      <c r="F242" t="s">
        <v>41</v>
      </c>
      <c r="G242">
        <v>-383.38740000000001</v>
      </c>
      <c r="H242" s="1">
        <v>-3.4362479999999999E-6</v>
      </c>
      <c r="I242">
        <v>366.13720000000001</v>
      </c>
      <c r="J242">
        <v>-427.9024</v>
      </c>
      <c r="K242">
        <v>1.070338</v>
      </c>
      <c r="L242">
        <v>367.72219999999999</v>
      </c>
      <c r="M242">
        <v>0.99996110000000005</v>
      </c>
      <c r="N242">
        <v>-8.1421169999999904E-3</v>
      </c>
      <c r="O242">
        <v>3.4308989999999998E-3</v>
      </c>
      <c r="P242">
        <v>0.98493310000000001</v>
      </c>
      <c r="Q242">
        <v>0.17234070000000001</v>
      </c>
      <c r="R242">
        <v>-1.434098E-2</v>
      </c>
      <c r="S242">
        <v>3.0567630000000001</v>
      </c>
      <c r="T242">
        <v>-7.3051690000000002E-2</v>
      </c>
      <c r="U242">
        <v>-0.10812380000000001</v>
      </c>
      <c r="V242">
        <v>1.782738E-2</v>
      </c>
      <c r="W242">
        <v>0.18034359999999999</v>
      </c>
      <c r="X242">
        <v>0.98344209999999999</v>
      </c>
      <c r="Y242">
        <v>3.8763289999999999E-2</v>
      </c>
      <c r="Z242">
        <v>-6.7490210000000004E-4</v>
      </c>
      <c r="AA242">
        <v>0.99924820000000003</v>
      </c>
      <c r="AB242">
        <v>29</v>
      </c>
      <c r="AC242">
        <v>44.514999999999901</v>
      </c>
      <c r="AD242">
        <v>-1.0703414362479999</v>
      </c>
      <c r="AE242">
        <v>-1.58499999999997</v>
      </c>
      <c r="AF242">
        <v>1.7367193890006101</v>
      </c>
      <c r="AG242">
        <v>-1.0703414362479999</v>
      </c>
      <c r="AH242">
        <v>44.483614704078398</v>
      </c>
      <c r="AI242">
        <v>91.377306191859802</v>
      </c>
      <c r="AJ242">
        <v>87.764206438669206</v>
      </c>
      <c r="AK242">
        <v>44.530369436679699</v>
      </c>
      <c r="AL242">
        <v>79.610225799022899</v>
      </c>
      <c r="AM242">
        <v>88.961482559826294</v>
      </c>
      <c r="AN242">
        <v>0.99999999679551699</v>
      </c>
    </row>
    <row r="243" spans="1:40" x14ac:dyDescent="0.25">
      <c r="A243" t="str">
        <f>"20190303162501499"</f>
        <v>20190303162501499</v>
      </c>
      <c r="B243" t="str">
        <f>"1551601501493094"</f>
        <v>1551601501493094</v>
      </c>
      <c r="C243" t="s">
        <v>40</v>
      </c>
      <c r="D243">
        <v>4.3990049999999998</v>
      </c>
      <c r="E243">
        <v>0.50873539999999995</v>
      </c>
      <c r="F243" t="s">
        <v>41</v>
      </c>
      <c r="G243">
        <v>-386.54039999999998</v>
      </c>
      <c r="H243" s="1">
        <v>-2.080177E-6</v>
      </c>
      <c r="I243">
        <v>366.17059999999998</v>
      </c>
      <c r="J243">
        <v>-427.62110000000001</v>
      </c>
      <c r="K243">
        <v>1.0703389999999999</v>
      </c>
      <c r="L243">
        <v>367.72289999999998</v>
      </c>
      <c r="M243">
        <v>0.9999614</v>
      </c>
      <c r="N243">
        <v>-8.19047E-3</v>
      </c>
      <c r="O243">
        <v>3.1881909999999999E-3</v>
      </c>
      <c r="P243">
        <v>0.98472389999999999</v>
      </c>
      <c r="Q243">
        <v>0.17347899999999999</v>
      </c>
      <c r="R243">
        <v>-1.496195E-2</v>
      </c>
      <c r="S243">
        <v>3.0581049999999999</v>
      </c>
      <c r="T243">
        <v>-7.9135659999999997E-2</v>
      </c>
      <c r="U243">
        <v>-0.1147156</v>
      </c>
      <c r="V243">
        <v>1.8203069999999998E-2</v>
      </c>
      <c r="W243">
        <v>0.1815282</v>
      </c>
      <c r="X243">
        <v>0.98321720000000001</v>
      </c>
      <c r="Y243">
        <v>4.0653080000000001E-2</v>
      </c>
      <c r="Z243">
        <v>-7.4866579999999998E-4</v>
      </c>
      <c r="AA243">
        <v>0.99917299999999998</v>
      </c>
      <c r="AB243">
        <v>29</v>
      </c>
      <c r="AC243">
        <v>41.0807</v>
      </c>
      <c r="AD243">
        <v>-1.0703410801769999</v>
      </c>
      <c r="AE243">
        <v>-1.5523</v>
      </c>
      <c r="AF243">
        <v>1.68212934630921</v>
      </c>
      <c r="AG243">
        <v>-1.0703410801769999</v>
      </c>
      <c r="AH243">
        <v>41.047716821540703</v>
      </c>
      <c r="AI243">
        <v>91.492427436762796</v>
      </c>
      <c r="AJ243">
        <v>87.653340486589798</v>
      </c>
      <c r="AK243">
        <v>41.096109857589099</v>
      </c>
      <c r="AL243">
        <v>79.541213682528607</v>
      </c>
      <c r="AM243">
        <v>88.939359535134201</v>
      </c>
      <c r="AN243">
        <v>0.99999995076425097</v>
      </c>
    </row>
    <row r="244" spans="1:40" x14ac:dyDescent="0.25">
      <c r="A244" t="str">
        <f>"20190303162501544"</f>
        <v>20190303162501544</v>
      </c>
      <c r="B244" t="str">
        <f>"1551601501533110"</f>
        <v>1551601501533110</v>
      </c>
      <c r="C244" t="s">
        <v>40</v>
      </c>
      <c r="D244">
        <v>4.3799769999999896</v>
      </c>
      <c r="E244">
        <v>0.50904199999999999</v>
      </c>
      <c r="F244" t="s">
        <v>41</v>
      </c>
      <c r="G244">
        <v>-386.38749999999999</v>
      </c>
      <c r="H244" s="1">
        <v>-2.1473979999999999E-6</v>
      </c>
      <c r="I244">
        <v>366.1472</v>
      </c>
      <c r="J244">
        <v>-427.02539999999999</v>
      </c>
      <c r="K244">
        <v>1.0703720000000001</v>
      </c>
      <c r="L244">
        <v>367.72430000000003</v>
      </c>
      <c r="M244">
        <v>0.9999614</v>
      </c>
      <c r="N244">
        <v>-8.3470379999999993E-3</v>
      </c>
      <c r="O244">
        <v>2.743325E-3</v>
      </c>
      <c r="P244">
        <v>0.98484839999999996</v>
      </c>
      <c r="Q244">
        <v>0.17257749999999999</v>
      </c>
      <c r="R244">
        <v>-1.7041690000000002E-2</v>
      </c>
      <c r="S244">
        <v>3.0587770000000001</v>
      </c>
      <c r="T244">
        <v>-7.9399590000000006E-2</v>
      </c>
      <c r="U244">
        <v>-0.11688229999999999</v>
      </c>
      <c r="V244">
        <v>1.9827919999999999E-2</v>
      </c>
      <c r="W244">
        <v>0.18078259999999999</v>
      </c>
      <c r="X244">
        <v>0.98332319999999995</v>
      </c>
      <c r="Y244">
        <v>4.0906909999999998E-2</v>
      </c>
      <c r="Z244">
        <v>-7.4976209999999999E-4</v>
      </c>
      <c r="AA244">
        <v>0.99916269999999996</v>
      </c>
      <c r="AB244">
        <v>30</v>
      </c>
      <c r="AC244">
        <v>40.637900000000002</v>
      </c>
      <c r="AD244">
        <v>-1.070374147398</v>
      </c>
      <c r="AE244">
        <v>-1.5771000000000299</v>
      </c>
      <c r="AF244">
        <v>1.6874120189602999</v>
      </c>
      <c r="AG244">
        <v>-1.070374147398</v>
      </c>
      <c r="AH244">
        <v>40.605292495012101</v>
      </c>
      <c r="AI244">
        <v>91.508691814251804</v>
      </c>
      <c r="AJ244">
        <v>87.620359705723502</v>
      </c>
      <c r="AK244">
        <v>40.654431969253203</v>
      </c>
      <c r="AL244">
        <v>79.584652704589999</v>
      </c>
      <c r="AM244">
        <v>88.844833317676105</v>
      </c>
      <c r="AN244">
        <v>1.0000000052662601</v>
      </c>
    </row>
    <row r="245" spans="1:40" x14ac:dyDescent="0.25">
      <c r="A245" t="str">
        <f>"20190303162501566"</f>
        <v>20190303162501566</v>
      </c>
      <c r="B245" t="str">
        <f>"1551601501552630"</f>
        <v>1551601501552630</v>
      </c>
      <c r="C245" t="s">
        <v>40</v>
      </c>
      <c r="D245">
        <v>4.3872809999999998</v>
      </c>
      <c r="E245">
        <v>0.50916279999999903</v>
      </c>
      <c r="F245" t="s">
        <v>41</v>
      </c>
      <c r="G245">
        <v>-390.12290000000002</v>
      </c>
      <c r="H245" s="1">
        <v>-4.8224879999999997E-6</v>
      </c>
      <c r="I245">
        <v>366.21730000000002</v>
      </c>
      <c r="J245">
        <v>-426.73680000000002</v>
      </c>
      <c r="K245">
        <v>1.070392</v>
      </c>
      <c r="L245">
        <v>367.72489999999999</v>
      </c>
      <c r="M245">
        <v>0.99996119999999999</v>
      </c>
      <c r="N245">
        <v>-8.4442670000000001E-3</v>
      </c>
      <c r="O245">
        <v>2.561771E-3</v>
      </c>
      <c r="P245">
        <v>0.98500670000000001</v>
      </c>
      <c r="Q245">
        <v>0.17159759999999999</v>
      </c>
      <c r="R245">
        <v>-1.7774290000000002E-2</v>
      </c>
      <c r="S245">
        <v>3.0595400000000001</v>
      </c>
      <c r="T245">
        <v>-8.8743329999999995E-2</v>
      </c>
      <c r="U245">
        <v>-0.12493899999999999</v>
      </c>
      <c r="V245">
        <v>2.0373970000000002E-2</v>
      </c>
      <c r="W245">
        <v>0.17990030000000001</v>
      </c>
      <c r="X245">
        <v>0.98347379999999995</v>
      </c>
      <c r="Y245">
        <v>4.3337420000000001E-2</v>
      </c>
      <c r="Z245">
        <v>-8.6386199999999996E-4</v>
      </c>
      <c r="AA245">
        <v>0.99906010000000001</v>
      </c>
      <c r="AB245">
        <v>30</v>
      </c>
      <c r="AC245">
        <v>36.613900000000001</v>
      </c>
      <c r="AD245">
        <v>-1.0703968224880001</v>
      </c>
      <c r="AE245">
        <v>-1.5075999999999601</v>
      </c>
      <c r="AF245">
        <v>1.6000296313723601</v>
      </c>
      <c r="AG245">
        <v>-1.0703968224880001</v>
      </c>
      <c r="AH245">
        <v>36.578707834418502</v>
      </c>
      <c r="AI245">
        <v>91.6745584688733</v>
      </c>
      <c r="AJ245">
        <v>87.495358693158195</v>
      </c>
      <c r="AK245">
        <v>36.629328563524197</v>
      </c>
      <c r="AL245">
        <v>79.636047024934399</v>
      </c>
      <c r="AM245">
        <v>88.813211352269306</v>
      </c>
      <c r="AN245">
        <v>0.99999996594004403</v>
      </c>
    </row>
    <row r="246" spans="1:40" x14ac:dyDescent="0.25">
      <c r="A246" t="str">
        <f>"20190303162501588"</f>
        <v>20190303162501588</v>
      </c>
      <c r="B246" t="str">
        <f>"1551601501573126"</f>
        <v>1551601501573126</v>
      </c>
      <c r="C246" t="s">
        <v>40</v>
      </c>
      <c r="D246">
        <v>4.3693239999999998</v>
      </c>
      <c r="E246">
        <v>0.50926479999999996</v>
      </c>
      <c r="F246" t="s">
        <v>41</v>
      </c>
      <c r="G246">
        <v>-391.89949999999999</v>
      </c>
      <c r="H246" s="1">
        <v>-4.0515089999999997E-6</v>
      </c>
      <c r="I246">
        <v>366.26679999999999</v>
      </c>
      <c r="J246">
        <v>-426.43340000000001</v>
      </c>
      <c r="K246">
        <v>1.0704180000000001</v>
      </c>
      <c r="L246">
        <v>367.72550000000001</v>
      </c>
      <c r="M246">
        <v>0.99996039999999997</v>
      </c>
      <c r="N246">
        <v>-8.5723120000000003E-3</v>
      </c>
      <c r="O246">
        <v>2.3973689999999999E-3</v>
      </c>
      <c r="P246">
        <v>0.98510469999999895</v>
      </c>
      <c r="Q246">
        <v>0.17101479999999999</v>
      </c>
      <c r="R246">
        <v>-1.7976820000000001E-2</v>
      </c>
      <c r="S246">
        <v>3.0597530000000002</v>
      </c>
      <c r="T246">
        <v>-9.4012620000000005E-2</v>
      </c>
      <c r="U246">
        <v>-0.12805179999999999</v>
      </c>
      <c r="V246">
        <v>2.0406480000000001E-2</v>
      </c>
      <c r="W246">
        <v>0.17944489999999999</v>
      </c>
      <c r="X246">
        <v>0.9835564</v>
      </c>
      <c r="Y246">
        <v>4.4181770000000002E-2</v>
      </c>
      <c r="Z246">
        <v>-9.2088429999999995E-4</v>
      </c>
      <c r="AA246">
        <v>0.99902310000000005</v>
      </c>
      <c r="AB246">
        <v>30</v>
      </c>
      <c r="AC246">
        <v>34.533900000000003</v>
      </c>
      <c r="AD246">
        <v>-1.0704220515089999</v>
      </c>
      <c r="AE246">
        <v>-1.4587000000000201</v>
      </c>
      <c r="AF246">
        <v>1.5400123893311299</v>
      </c>
      <c r="AG246">
        <v>-1.0704220515089999</v>
      </c>
      <c r="AH246">
        <v>34.497218764235797</v>
      </c>
      <c r="AI246">
        <v>91.775506365713795</v>
      </c>
      <c r="AJ246">
        <v>87.443919572482301</v>
      </c>
      <c r="AK246">
        <v>34.5481626717716</v>
      </c>
      <c r="AL246">
        <v>79.662571984294601</v>
      </c>
      <c r="AM246">
        <v>88.811417977855101</v>
      </c>
      <c r="AN246">
        <v>1.00000004427147</v>
      </c>
    </row>
    <row r="247" spans="1:40" x14ac:dyDescent="0.25">
      <c r="A247" t="str">
        <f>"20190303162501613"</f>
        <v>20190303162501613</v>
      </c>
      <c r="B247" t="str">
        <f>"1551601501602406"</f>
        <v>1551601501602406</v>
      </c>
      <c r="C247" t="s">
        <v>40</v>
      </c>
      <c r="D247">
        <v>4.3802479999999999</v>
      </c>
      <c r="E247">
        <v>0.50934199999999996</v>
      </c>
      <c r="F247" t="s">
        <v>41</v>
      </c>
      <c r="G247">
        <v>-392.67939999999999</v>
      </c>
      <c r="H247" s="1">
        <v>-3.7110510000000001E-6</v>
      </c>
      <c r="I247">
        <v>366.3</v>
      </c>
      <c r="J247">
        <v>-426.1198</v>
      </c>
      <c r="K247">
        <v>1.07046</v>
      </c>
      <c r="L247">
        <v>367.726</v>
      </c>
      <c r="M247">
        <v>0.99995919999999905</v>
      </c>
      <c r="N247">
        <v>-8.7591349999999995E-3</v>
      </c>
      <c r="O247">
        <v>2.2607399999999998E-3</v>
      </c>
      <c r="P247">
        <v>0.98533249999999994</v>
      </c>
      <c r="Q247">
        <v>0.1696841</v>
      </c>
      <c r="R247">
        <v>-1.8092509999999999E-2</v>
      </c>
      <c r="S247">
        <v>3.0598749999999999</v>
      </c>
      <c r="T247">
        <v>-9.7035880000000005E-2</v>
      </c>
      <c r="U247">
        <v>-0.1292114</v>
      </c>
      <c r="V247">
        <v>2.037868E-2</v>
      </c>
      <c r="W247">
        <v>0.17830109999999999</v>
      </c>
      <c r="X247">
        <v>0.98376490000000005</v>
      </c>
      <c r="Y247">
        <v>4.4419720000000003E-2</v>
      </c>
      <c r="Z247">
        <v>-9.5038299999999996E-4</v>
      </c>
      <c r="AA247">
        <v>0.99901249999999997</v>
      </c>
      <c r="AB247">
        <v>30</v>
      </c>
      <c r="AC247">
        <v>33.440399999999997</v>
      </c>
      <c r="AD247">
        <v>-1.070463711051</v>
      </c>
      <c r="AE247">
        <v>-1.42599999999998</v>
      </c>
      <c r="AF247">
        <v>1.5000649554405101</v>
      </c>
      <c r="AG247">
        <v>-1.070463711051</v>
      </c>
      <c r="AH247">
        <v>33.4029244171142</v>
      </c>
      <c r="AI247">
        <v>91.833683136840307</v>
      </c>
      <c r="AJ247">
        <v>87.428677750735304</v>
      </c>
      <c r="AK247">
        <v>33.453720974544197</v>
      </c>
      <c r="AL247">
        <v>79.729180447029904</v>
      </c>
      <c r="AM247">
        <v>88.813288228375896</v>
      </c>
      <c r="AN247">
        <v>0.99999997566588095</v>
      </c>
    </row>
    <row r="248" spans="1:40" x14ac:dyDescent="0.25">
      <c r="A248" t="str">
        <f>"20190303162501635"</f>
        <v>20190303162501635</v>
      </c>
      <c r="B248" t="str">
        <f>"1551601501622902"</f>
        <v>1551601501622902</v>
      </c>
      <c r="C248" t="s">
        <v>40</v>
      </c>
      <c r="D248">
        <v>4.3497560000000002</v>
      </c>
      <c r="E248">
        <v>0.50943479999999997</v>
      </c>
      <c r="F248" t="s">
        <v>41</v>
      </c>
      <c r="G248">
        <v>-394.10210000000001</v>
      </c>
      <c r="H248" s="1">
        <v>-3.0888590000000001E-6</v>
      </c>
      <c r="I248">
        <v>366.36689999999999</v>
      </c>
      <c r="J248">
        <v>-425.81900000000002</v>
      </c>
      <c r="K248">
        <v>1.070514</v>
      </c>
      <c r="L248">
        <v>367.72660000000002</v>
      </c>
      <c r="M248">
        <v>0.9999574</v>
      </c>
      <c r="N248">
        <v>-8.9949019999999904E-3</v>
      </c>
      <c r="O248">
        <v>2.1569480000000001E-3</v>
      </c>
      <c r="P248">
        <v>0.98548789999999997</v>
      </c>
      <c r="Q248">
        <v>0.1688644</v>
      </c>
      <c r="R248">
        <v>-1.7274979999999999E-2</v>
      </c>
      <c r="S248">
        <v>3.0599059999999998</v>
      </c>
      <c r="T248">
        <v>-0.1023033</v>
      </c>
      <c r="U248">
        <v>-0.12988279999999999</v>
      </c>
      <c r="V248">
        <v>1.9450329999999998E-2</v>
      </c>
      <c r="W248">
        <v>0.17771589999999901</v>
      </c>
      <c r="X248">
        <v>0.98388960000000003</v>
      </c>
      <c r="Y248">
        <v>4.4531300000000003E-2</v>
      </c>
      <c r="Z248">
        <v>-9.9699129999999991E-4</v>
      </c>
      <c r="AA248">
        <v>0.99900750000000005</v>
      </c>
      <c r="AB248">
        <v>30</v>
      </c>
      <c r="AC248">
        <v>31.716899999999999</v>
      </c>
      <c r="AD248">
        <v>-1.0705170888590001</v>
      </c>
      <c r="AE248">
        <v>-1.3597000000000301</v>
      </c>
      <c r="AF248">
        <v>1.4264891991750599</v>
      </c>
      <c r="AG248">
        <v>-1.0705170888590001</v>
      </c>
      <c r="AH248">
        <v>31.677871584603601</v>
      </c>
      <c r="AI248">
        <v>91.933550185784895</v>
      </c>
      <c r="AJ248">
        <v>87.421650242642301</v>
      </c>
      <c r="AK248">
        <v>31.728038489694502</v>
      </c>
      <c r="AL248">
        <v>79.763254390334097</v>
      </c>
      <c r="AM248">
        <v>88.867477937637901</v>
      </c>
      <c r="AN248">
        <v>1.0000000007190299</v>
      </c>
    </row>
    <row r="249" spans="1:40" x14ac:dyDescent="0.25">
      <c r="A249" t="str">
        <f>"20190303162501657"</f>
        <v>20190303162501657</v>
      </c>
      <c r="B249" t="str">
        <f>"1551601501653158"</f>
        <v>1551601501653158</v>
      </c>
      <c r="C249" t="s">
        <v>40</v>
      </c>
      <c r="D249">
        <v>4.3910400000000003</v>
      </c>
      <c r="E249">
        <v>0.48088239999999999</v>
      </c>
      <c r="F249" t="s">
        <v>41</v>
      </c>
      <c r="G249">
        <v>-394.83909999999997</v>
      </c>
      <c r="H249" s="1">
        <v>-2.7627880000000001E-6</v>
      </c>
      <c r="I249">
        <v>366.42270000000002</v>
      </c>
      <c r="J249">
        <v>-425.52699999999999</v>
      </c>
      <c r="K249">
        <v>1.0705830000000001</v>
      </c>
      <c r="L249">
        <v>367.72710000000001</v>
      </c>
      <c r="M249">
        <v>0.99995489999999998</v>
      </c>
      <c r="N249">
        <v>-9.2788000000000002E-3</v>
      </c>
      <c r="O249">
        <v>2.080424E-3</v>
      </c>
      <c r="P249">
        <v>0.98547560000000001</v>
      </c>
      <c r="Q249">
        <v>0.16902539999999999</v>
      </c>
      <c r="R249">
        <v>-1.6386230000000002E-2</v>
      </c>
      <c r="S249">
        <v>3.0599980000000002</v>
      </c>
      <c r="T249">
        <v>-0.10573879999999999</v>
      </c>
      <c r="U249">
        <v>-0.12878419999999999</v>
      </c>
      <c r="V249">
        <v>1.8478109999999999E-2</v>
      </c>
      <c r="W249">
        <v>0.1781575</v>
      </c>
      <c r="X249">
        <v>0.98382849999999999</v>
      </c>
      <c r="Y249">
        <v>4.4093720000000003E-2</v>
      </c>
      <c r="Z249">
        <v>-1.018555E-3</v>
      </c>
      <c r="AA249">
        <v>0.99902690000000005</v>
      </c>
      <c r="AB249">
        <v>30</v>
      </c>
      <c r="AC249">
        <v>30.687899999999999</v>
      </c>
      <c r="AD249">
        <v>-1.070585762788</v>
      </c>
      <c r="AE249">
        <v>-1.30439999999998</v>
      </c>
      <c r="AF249">
        <v>1.3665835602383201</v>
      </c>
      <c r="AG249">
        <v>-1.070585762788</v>
      </c>
      <c r="AH249">
        <v>30.647887004982099</v>
      </c>
      <c r="AI249">
        <v>91.998646744895595</v>
      </c>
      <c r="AJ249">
        <v>87.446883070697297</v>
      </c>
      <c r="AK249">
        <v>30.697014225698702</v>
      </c>
      <c r="AL249">
        <v>79.737542524257606</v>
      </c>
      <c r="AM249">
        <v>88.924006315629299</v>
      </c>
      <c r="AN249">
        <v>1.00000002638383</v>
      </c>
    </row>
    <row r="250" spans="1:40" x14ac:dyDescent="0.25">
      <c r="A250" t="str">
        <f>"20190303162501676"</f>
        <v>20190303162501676</v>
      </c>
      <c r="B250" t="str">
        <f>"1551601501672678"</f>
        <v>1551601501672678</v>
      </c>
      <c r="C250" t="s">
        <v>40</v>
      </c>
      <c r="D250">
        <v>4.4111880000000001</v>
      </c>
      <c r="E250">
        <v>0.47404930000000001</v>
      </c>
      <c r="F250" t="s">
        <v>44</v>
      </c>
      <c r="G250">
        <v>-400.94589999999999</v>
      </c>
      <c r="H250">
        <v>-0.05</v>
      </c>
      <c r="I250">
        <v>368.5333</v>
      </c>
      <c r="J250">
        <v>-425.2645</v>
      </c>
      <c r="K250">
        <v>1.0706450000000001</v>
      </c>
      <c r="L250">
        <v>367.7276</v>
      </c>
      <c r="M250">
        <v>0.99995210000000001</v>
      </c>
      <c r="N250">
        <v>-9.5837409999999998E-3</v>
      </c>
      <c r="O250">
        <v>2.0273000000000001E-3</v>
      </c>
      <c r="P250">
        <v>0.98542649999999998</v>
      </c>
      <c r="Q250">
        <v>0.16935120000000001</v>
      </c>
      <c r="R250">
        <v>-1.5960100000000001E-2</v>
      </c>
      <c r="S250">
        <v>3.069855</v>
      </c>
      <c r="T250">
        <v>-0.13994570000000001</v>
      </c>
      <c r="U250">
        <v>0.1006775</v>
      </c>
      <c r="V250">
        <v>1.7996479999999999E-2</v>
      </c>
      <c r="W250">
        <v>0.17878339999999901</v>
      </c>
      <c r="X250">
        <v>0.98372389999999998</v>
      </c>
      <c r="Y250">
        <v>-3.0714269999999998E-2</v>
      </c>
      <c r="Z250">
        <v>7.7392170000000003E-4</v>
      </c>
      <c r="AA250">
        <v>0.99952790000000002</v>
      </c>
      <c r="AB250">
        <v>30</v>
      </c>
      <c r="AC250">
        <v>24.3186</v>
      </c>
      <c r="AD250">
        <v>-1.1206449999999999</v>
      </c>
      <c r="AE250">
        <v>0.80570000000000097</v>
      </c>
      <c r="AF250">
        <v>-0.75479391386040995</v>
      </c>
      <c r="AG250">
        <v>-1.1206449999999999</v>
      </c>
      <c r="AH250">
        <v>24.2687046077031</v>
      </c>
      <c r="AI250">
        <v>92.642567277018102</v>
      </c>
      <c r="AJ250">
        <v>91.781412327544601</v>
      </c>
      <c r="AK250">
        <v>24.306286890522198</v>
      </c>
      <c r="AL250">
        <v>79.701096144219093</v>
      </c>
      <c r="AM250">
        <v>88.951934235348602</v>
      </c>
      <c r="AN250">
        <v>1.00000004441957</v>
      </c>
    </row>
    <row r="251" spans="1:40" x14ac:dyDescent="0.25">
      <c r="A251" t="str">
        <f>"20190303162501700"</f>
        <v>20190303162501700</v>
      </c>
      <c r="B251" t="str">
        <f>"1551601501693174"</f>
        <v>1551601501693174</v>
      </c>
      <c r="C251" t="s">
        <v>40</v>
      </c>
      <c r="D251">
        <v>4.3415339999999896</v>
      </c>
      <c r="E251">
        <v>0.47344510000000001</v>
      </c>
      <c r="F251" t="s">
        <v>44</v>
      </c>
      <c r="G251">
        <v>-402.42489999999998</v>
      </c>
      <c r="H251">
        <v>-0.05</v>
      </c>
      <c r="I251">
        <v>368.88709999999998</v>
      </c>
      <c r="J251">
        <v>-424.95519999999999</v>
      </c>
      <c r="K251">
        <v>1.070719</v>
      </c>
      <c r="L251">
        <v>367.72820000000002</v>
      </c>
      <c r="M251">
        <v>0.99994819999999995</v>
      </c>
      <c r="N251">
        <v>-1.0002270000000001E-2</v>
      </c>
      <c r="O251">
        <v>1.9655089999999998E-3</v>
      </c>
      <c r="P251">
        <v>0.98543800000000004</v>
      </c>
      <c r="Q251">
        <v>0.16932440000000001</v>
      </c>
      <c r="R251">
        <v>-1.55388E-2</v>
      </c>
      <c r="S251">
        <v>3.072845</v>
      </c>
      <c r="T251">
        <v>-0.15077160000000001</v>
      </c>
      <c r="U251">
        <v>0.1560059</v>
      </c>
      <c r="V251">
        <v>1.7511280000000001E-2</v>
      </c>
      <c r="W251">
        <v>0.17916899999999999</v>
      </c>
      <c r="X251">
        <v>0.98366240000000005</v>
      </c>
      <c r="Y251">
        <v>-4.8671859999999997E-2</v>
      </c>
      <c r="Z251">
        <v>1.3596509999999999E-3</v>
      </c>
      <c r="AA251">
        <v>0.99881390000000003</v>
      </c>
      <c r="AB251">
        <v>30</v>
      </c>
      <c r="AC251">
        <v>22.5303</v>
      </c>
      <c r="AD251">
        <v>-1.120719</v>
      </c>
      <c r="AE251">
        <v>1.1588999999999501</v>
      </c>
      <c r="AF251">
        <v>-1.11186816434066</v>
      </c>
      <c r="AG251">
        <v>-1.120719</v>
      </c>
      <c r="AH251">
        <v>22.477065258259199</v>
      </c>
      <c r="AI251">
        <v>92.850955417633301</v>
      </c>
      <c r="AJ251">
        <v>92.831929661259593</v>
      </c>
      <c r="AK251">
        <v>22.532437163251601</v>
      </c>
      <c r="AL251">
        <v>79.678639283657205</v>
      </c>
      <c r="AM251">
        <v>88.980121158942097</v>
      </c>
      <c r="AN251">
        <v>0.99999994633099698</v>
      </c>
    </row>
    <row r="252" spans="1:40" x14ac:dyDescent="0.25">
      <c r="A252" t="str">
        <f>"20190303162501723"</f>
        <v>20190303162501723</v>
      </c>
      <c r="B252" t="str">
        <f>"1551601501712694"</f>
        <v>1551601501712694</v>
      </c>
      <c r="C252" t="s">
        <v>40</v>
      </c>
      <c r="D252">
        <v>4.3245040000000001</v>
      </c>
      <c r="E252">
        <v>0.47369050000000001</v>
      </c>
      <c r="F252" t="s">
        <v>44</v>
      </c>
      <c r="G252">
        <v>-402.65640000000002</v>
      </c>
      <c r="H252">
        <v>-0.05</v>
      </c>
      <c r="I252">
        <v>368.9074</v>
      </c>
      <c r="J252">
        <v>-424.65109999999999</v>
      </c>
      <c r="K252">
        <v>1.070794</v>
      </c>
      <c r="L252">
        <v>367.7287</v>
      </c>
      <c r="M252">
        <v>0.99994360000000004</v>
      </c>
      <c r="N252">
        <v>-1.046556E-2</v>
      </c>
      <c r="O252">
        <v>1.901528E-3</v>
      </c>
      <c r="P252">
        <v>0.98551730000000004</v>
      </c>
      <c r="Q252">
        <v>0.16887959999999999</v>
      </c>
      <c r="R252">
        <v>-1.535749E-2</v>
      </c>
      <c r="S252">
        <v>3.0733950000000001</v>
      </c>
      <c r="T252">
        <v>-0.15446660000000001</v>
      </c>
      <c r="U252">
        <v>0.1625366</v>
      </c>
      <c r="V252">
        <v>1.726449E-2</v>
      </c>
      <c r="W252">
        <v>0.1791808</v>
      </c>
      <c r="X252">
        <v>0.98366469999999995</v>
      </c>
      <c r="Y252">
        <v>-5.0836310000000003E-2</v>
      </c>
      <c r="Z252">
        <v>1.4666499999999999E-3</v>
      </c>
      <c r="AA252">
        <v>0.99870590000000004</v>
      </c>
      <c r="AB252">
        <v>30</v>
      </c>
      <c r="AC252">
        <v>21.994699999999899</v>
      </c>
      <c r="AD252">
        <v>-1.1207940000000001</v>
      </c>
      <c r="AE252">
        <v>1.1786999999999901</v>
      </c>
      <c r="AF252">
        <v>-1.13393603031353</v>
      </c>
      <c r="AG252">
        <v>-1.1207940000000001</v>
      </c>
      <c r="AH252">
        <v>21.940093812428</v>
      </c>
      <c r="AI252">
        <v>92.920480691449796</v>
      </c>
      <c r="AJ252">
        <v>92.958601436960294</v>
      </c>
      <c r="AK252">
        <v>21.997947781768602</v>
      </c>
      <c r="AL252">
        <v>79.677952965006597</v>
      </c>
      <c r="AM252">
        <v>88.994493895623194</v>
      </c>
      <c r="AN252">
        <v>1.0000000318648401</v>
      </c>
    </row>
    <row r="253" spans="1:40" x14ac:dyDescent="0.25">
      <c r="A253" t="str">
        <f>"20190303162501747"</f>
        <v>20190303162501747</v>
      </c>
      <c r="B253" t="str">
        <f>"1551601501742950"</f>
        <v>1551601501742950</v>
      </c>
      <c r="C253" t="s">
        <v>40</v>
      </c>
      <c r="D253">
        <v>4.342841</v>
      </c>
      <c r="E253">
        <v>0.47402060000000001</v>
      </c>
      <c r="F253" t="s">
        <v>44</v>
      </c>
      <c r="G253">
        <v>-402.18529999999998</v>
      </c>
      <c r="H253">
        <v>-0.05</v>
      </c>
      <c r="I253">
        <v>368.90940000000001</v>
      </c>
      <c r="J253">
        <v>-424.33019999999999</v>
      </c>
      <c r="K253">
        <v>1.07087</v>
      </c>
      <c r="L253">
        <v>367.72919999999999</v>
      </c>
      <c r="M253">
        <v>0.9999382</v>
      </c>
      <c r="N253">
        <v>-1.0974670000000001E-2</v>
      </c>
      <c r="O253">
        <v>1.8304250000000001E-3</v>
      </c>
      <c r="P253">
        <v>0.98554949999999997</v>
      </c>
      <c r="Q253">
        <v>0.16863880000000001</v>
      </c>
      <c r="R253">
        <v>-1.591855E-2</v>
      </c>
      <c r="S253">
        <v>3.0729060000000001</v>
      </c>
      <c r="T253">
        <v>-0.153304</v>
      </c>
      <c r="U253">
        <v>0.161499</v>
      </c>
      <c r="V253">
        <v>1.775438E-2</v>
      </c>
      <c r="W253">
        <v>0.17944160000000001</v>
      </c>
      <c r="X253">
        <v>0.98360840000000005</v>
      </c>
      <c r="Y253">
        <v>-5.0580050000000001E-2</v>
      </c>
      <c r="Z253">
        <v>1.4668680000000001E-3</v>
      </c>
      <c r="AA253">
        <v>0.99871889999999997</v>
      </c>
      <c r="AB253">
        <v>30</v>
      </c>
      <c r="AC253">
        <v>22.1449</v>
      </c>
      <c r="AD253">
        <v>-1.12087</v>
      </c>
      <c r="AE253">
        <v>1.1802000000000099</v>
      </c>
      <c r="AF253">
        <v>-1.1367569914934501</v>
      </c>
      <c r="AG253">
        <v>-1.12087</v>
      </c>
      <c r="AH253">
        <v>22.090589588850801</v>
      </c>
      <c r="AI253">
        <v>92.900848306351094</v>
      </c>
      <c r="AJ253">
        <v>92.945778300776297</v>
      </c>
      <c r="AK253">
        <v>22.1481988973743</v>
      </c>
      <c r="AL253">
        <v>79.662763667021395</v>
      </c>
      <c r="AM253">
        <v>88.9659090080347</v>
      </c>
      <c r="AN253">
        <v>0.99999999518515204</v>
      </c>
    </row>
    <row r="254" spans="1:40" x14ac:dyDescent="0.25">
      <c r="A254" t="str">
        <f>"20190303162501766"</f>
        <v>20190303162501766</v>
      </c>
      <c r="B254" t="str">
        <f>"1551601501762976"</f>
        <v>1551601501762976</v>
      </c>
      <c r="C254" t="s">
        <v>40</v>
      </c>
      <c r="D254">
        <v>4.3115540000000001</v>
      </c>
      <c r="E254">
        <v>0.47417239999999999</v>
      </c>
      <c r="F254" t="s">
        <v>44</v>
      </c>
      <c r="G254">
        <v>-402.2285</v>
      </c>
      <c r="H254">
        <v>-0.05</v>
      </c>
      <c r="I254">
        <v>368.86020000000002</v>
      </c>
      <c r="J254">
        <v>-424.07220000000001</v>
      </c>
      <c r="K254">
        <v>1.0709249999999999</v>
      </c>
      <c r="L254">
        <v>367.7296</v>
      </c>
      <c r="M254">
        <v>0.99993359999999998</v>
      </c>
      <c r="N254">
        <v>-1.1385889999999999E-2</v>
      </c>
      <c r="O254">
        <v>1.76979E-3</v>
      </c>
      <c r="P254">
        <v>0.98557130000000004</v>
      </c>
      <c r="Q254">
        <v>0.1684505</v>
      </c>
      <c r="R254">
        <v>-1.654665E-2</v>
      </c>
      <c r="S254">
        <v>3.0731809999999999</v>
      </c>
      <c r="T254">
        <v>-0.15585399999999999</v>
      </c>
      <c r="U254">
        <v>0.15725710000000001</v>
      </c>
      <c r="V254">
        <v>1.8323030000000001E-2</v>
      </c>
      <c r="W254">
        <v>0.17965780000000001</v>
      </c>
      <c r="X254">
        <v>0.9835585</v>
      </c>
      <c r="Y254">
        <v>-4.9260239999999997E-2</v>
      </c>
      <c r="Z254">
        <v>1.4588209999999999E-3</v>
      </c>
      <c r="AA254">
        <v>0.99878489999999998</v>
      </c>
      <c r="AB254">
        <v>30</v>
      </c>
      <c r="AC254">
        <v>21.843699999999998</v>
      </c>
      <c r="AD254">
        <v>-1.1209249999999999</v>
      </c>
      <c r="AE254">
        <v>1.13060000000001</v>
      </c>
      <c r="AF254">
        <v>-1.0890767549171101</v>
      </c>
      <c r="AG254">
        <v>-1.1209249999999999</v>
      </c>
      <c r="AH254">
        <v>21.788444577506301</v>
      </c>
      <c r="AI254">
        <v>92.941367965935001</v>
      </c>
      <c r="AJ254">
        <v>92.861499018548997</v>
      </c>
      <c r="AK254">
        <v>21.844424417704101</v>
      </c>
      <c r="AL254">
        <v>79.650171639239105</v>
      </c>
      <c r="AM254">
        <v>88.932741811009095</v>
      </c>
      <c r="AN254">
        <v>0.99999999072573498</v>
      </c>
    </row>
    <row r="255" spans="1:40" x14ac:dyDescent="0.25">
      <c r="A255" t="str">
        <f>"20190303162501791"</f>
        <v>20190303162501791</v>
      </c>
      <c r="B255" t="str">
        <f>"1551601501782496"</f>
        <v>1551601501782496</v>
      </c>
      <c r="C255" t="s">
        <v>40</v>
      </c>
      <c r="D255">
        <v>4.3053140000000001</v>
      </c>
      <c r="E255">
        <v>0.47421390000000002</v>
      </c>
      <c r="F255" t="s">
        <v>44</v>
      </c>
      <c r="G255">
        <v>-401.99329999999998</v>
      </c>
      <c r="H255">
        <v>-0.05</v>
      </c>
      <c r="I255">
        <v>368.839</v>
      </c>
      <c r="J255">
        <v>-423.7586</v>
      </c>
      <c r="K255">
        <v>1.0709789999999999</v>
      </c>
      <c r="L255">
        <v>367.73009999999999</v>
      </c>
      <c r="M255">
        <v>0.99992820000000004</v>
      </c>
      <c r="N255">
        <v>-1.1870220000000001E-2</v>
      </c>
      <c r="O255">
        <v>1.690766E-3</v>
      </c>
      <c r="P255">
        <v>0.98550280000000001</v>
      </c>
      <c r="Q255">
        <v>0.16875989999999999</v>
      </c>
      <c r="R255">
        <v>-1.745474E-2</v>
      </c>
      <c r="S255">
        <v>3.0732119999999998</v>
      </c>
      <c r="T255">
        <v>-0.156024</v>
      </c>
      <c r="U255">
        <v>0.1544189</v>
      </c>
      <c r="V255">
        <v>1.9154520000000001E-2</v>
      </c>
      <c r="W255">
        <v>0.18044209999999999</v>
      </c>
      <c r="X255">
        <v>0.98339909999999997</v>
      </c>
      <c r="Y255">
        <v>-4.8419110000000001E-2</v>
      </c>
      <c r="Z255">
        <v>1.4496429999999901E-3</v>
      </c>
      <c r="AA255">
        <v>0.99882599999999999</v>
      </c>
      <c r="AB255">
        <v>30</v>
      </c>
      <c r="AC255">
        <v>21.7653</v>
      </c>
      <c r="AD255">
        <v>-1.1209789999999999</v>
      </c>
      <c r="AE255">
        <v>1.1089</v>
      </c>
      <c r="AF255">
        <v>-1.06926684165715</v>
      </c>
      <c r="AG255">
        <v>-1.1209789999999999</v>
      </c>
      <c r="AH255">
        <v>21.709706642664202</v>
      </c>
      <c r="AI255">
        <v>92.9522656614499</v>
      </c>
      <c r="AJ255">
        <v>92.819706902155303</v>
      </c>
      <c r="AK255">
        <v>21.7649095566154</v>
      </c>
      <c r="AL255">
        <v>79.604488262619</v>
      </c>
      <c r="AM255">
        <v>88.884141345043602</v>
      </c>
      <c r="AN255">
        <v>1.0000000184848199</v>
      </c>
    </row>
    <row r="256" spans="1:40" x14ac:dyDescent="0.25">
      <c r="A256" t="str">
        <f>"20190303162501813"</f>
        <v>20190303162501813</v>
      </c>
      <c r="B256" t="str">
        <f>"1551601501802992"</f>
        <v>1551601501802992</v>
      </c>
      <c r="C256" t="s">
        <v>40</v>
      </c>
      <c r="D256">
        <v>4.3250169999999999</v>
      </c>
      <c r="E256">
        <v>0.47432960000000002</v>
      </c>
      <c r="F256" t="s">
        <v>44</v>
      </c>
      <c r="G256">
        <v>-401.3648</v>
      </c>
      <c r="H256">
        <v>-0.05</v>
      </c>
      <c r="I256">
        <v>368.83350000000002</v>
      </c>
      <c r="J256">
        <v>-423.45209999999997</v>
      </c>
      <c r="K256">
        <v>1.0710280000000001</v>
      </c>
      <c r="L256">
        <v>367.73050000000001</v>
      </c>
      <c r="M256">
        <v>0.99992289999999995</v>
      </c>
      <c r="N256">
        <v>-1.2310939999999999E-2</v>
      </c>
      <c r="O256">
        <v>1.608478E-3</v>
      </c>
      <c r="P256">
        <v>0.98548480000000005</v>
      </c>
      <c r="Q256">
        <v>0.16886660000000001</v>
      </c>
      <c r="R256">
        <v>-1.7430749999999998E-2</v>
      </c>
      <c r="S256">
        <v>3.0731809999999999</v>
      </c>
      <c r="T256">
        <v>-0.15383629999999901</v>
      </c>
      <c r="U256">
        <v>0.15142820000000001</v>
      </c>
      <c r="V256">
        <v>1.9051660000000002E-2</v>
      </c>
      <c r="W256">
        <v>0.18098239999999999</v>
      </c>
      <c r="X256">
        <v>0.9833018</v>
      </c>
      <c r="Y256">
        <v>-4.753479E-2</v>
      </c>
      <c r="Z256">
        <v>1.420656E-3</v>
      </c>
      <c r="AA256">
        <v>0.9988686</v>
      </c>
      <c r="AB256">
        <v>29</v>
      </c>
      <c r="AC256">
        <v>22.0872999999999</v>
      </c>
      <c r="AD256">
        <v>-1.1210279999999999</v>
      </c>
      <c r="AE256">
        <v>1.103</v>
      </c>
      <c r="AF256">
        <v>-1.0647330028028901</v>
      </c>
      <c r="AG256">
        <v>-1.1210279999999999</v>
      </c>
      <c r="AH256">
        <v>22.032431118054099</v>
      </c>
      <c r="AI256">
        <v>92.909354604542798</v>
      </c>
      <c r="AJ256">
        <v>92.766707126252101</v>
      </c>
      <c r="AK256">
        <v>22.086610901535799</v>
      </c>
      <c r="AL256">
        <v>79.573013082656601</v>
      </c>
      <c r="AM256">
        <v>88.890022219842507</v>
      </c>
      <c r="AN256">
        <v>1.0000000123708701</v>
      </c>
    </row>
    <row r="257" spans="1:40" x14ac:dyDescent="0.25">
      <c r="A257" t="str">
        <f>"20190303162501836"</f>
        <v>20190303162501836</v>
      </c>
      <c r="B257" t="str">
        <f>"1551601501822512"</f>
        <v>1551601501822512</v>
      </c>
      <c r="C257" t="s">
        <v>40</v>
      </c>
      <c r="D257">
        <v>4.3553230000000003</v>
      </c>
      <c r="E257">
        <v>0.47453659999999998</v>
      </c>
      <c r="F257" t="s">
        <v>44</v>
      </c>
      <c r="G257">
        <v>-401.18180000000001</v>
      </c>
      <c r="H257">
        <v>-0.05</v>
      </c>
      <c r="I257">
        <v>368.81849999999997</v>
      </c>
      <c r="J257">
        <v>-423.16030000000001</v>
      </c>
      <c r="K257">
        <v>1.071054</v>
      </c>
      <c r="L257">
        <v>367.73090000000002</v>
      </c>
      <c r="M257">
        <v>0.99991830000000004</v>
      </c>
      <c r="N257">
        <v>-1.269232E-2</v>
      </c>
      <c r="O257">
        <v>1.523609E-3</v>
      </c>
      <c r="P257">
        <v>0.98539869999999996</v>
      </c>
      <c r="Q257">
        <v>0.1694138</v>
      </c>
      <c r="R257">
        <v>-1.6989669999999998E-2</v>
      </c>
      <c r="S257">
        <v>3.0733640000000002</v>
      </c>
      <c r="T257">
        <v>-0.15470449999999999</v>
      </c>
      <c r="U257">
        <v>0.15014649999999999</v>
      </c>
      <c r="V257">
        <v>1.8528960000000001E-2</v>
      </c>
      <c r="W257">
        <v>0.18190290000000001</v>
      </c>
      <c r="X257">
        <v>0.98314190000000001</v>
      </c>
      <c r="Y257">
        <v>-4.7200319999999997E-2</v>
      </c>
      <c r="Z257">
        <v>1.4291950000000001E-3</v>
      </c>
      <c r="AA257">
        <v>0.99888440000000001</v>
      </c>
      <c r="AB257">
        <v>29</v>
      </c>
      <c r="AC257">
        <v>21.9785</v>
      </c>
      <c r="AD257">
        <v>-1.121054</v>
      </c>
      <c r="AE257">
        <v>1.0875999999999499</v>
      </c>
      <c r="AF257">
        <v>-1.0513807060631599</v>
      </c>
      <c r="AG257">
        <v>-1.121054</v>
      </c>
      <c r="AH257">
        <v>21.923233381825899</v>
      </c>
      <c r="AI257">
        <v>92.923940099919093</v>
      </c>
      <c r="AJ257">
        <v>92.745651508362897</v>
      </c>
      <c r="AK257">
        <v>21.977040869370999</v>
      </c>
      <c r="AL257">
        <v>79.519381902568895</v>
      </c>
      <c r="AM257">
        <v>88.920292648128694</v>
      </c>
      <c r="AN257">
        <v>0.99999999146134999</v>
      </c>
    </row>
    <row r="258" spans="1:40" x14ac:dyDescent="0.25">
      <c r="A258" t="str">
        <f>"20190303162501857"</f>
        <v>20190303162501857</v>
      </c>
      <c r="B258" t="str">
        <f>"1551601501843008"</f>
        <v>1551601501843008</v>
      </c>
      <c r="C258" t="s">
        <v>40</v>
      </c>
      <c r="D258">
        <v>4.3239190000000001</v>
      </c>
      <c r="E258">
        <v>0.47461920000000002</v>
      </c>
      <c r="F258" t="s">
        <v>44</v>
      </c>
      <c r="G258">
        <v>-400.72399999999999</v>
      </c>
      <c r="H258">
        <v>-0.05</v>
      </c>
      <c r="I258">
        <v>368.82279999999997</v>
      </c>
      <c r="J258">
        <v>-422.88389999999998</v>
      </c>
      <c r="K258">
        <v>1.0710759999999999</v>
      </c>
      <c r="L258">
        <v>367.7312</v>
      </c>
      <c r="M258">
        <v>0.99991439999999998</v>
      </c>
      <c r="N258">
        <v>-1.301654E-2</v>
      </c>
      <c r="O258">
        <v>1.4366649999999999E-3</v>
      </c>
      <c r="P258">
        <v>0.9854387</v>
      </c>
      <c r="Q258">
        <v>0.16924069999999999</v>
      </c>
      <c r="R258">
        <v>-1.6382750000000001E-2</v>
      </c>
      <c r="S258">
        <v>3.0734249999999999</v>
      </c>
      <c r="T258">
        <v>-0.15356739999999999</v>
      </c>
      <c r="U258">
        <v>0.1495667</v>
      </c>
      <c r="V258">
        <v>1.7838360000000001E-2</v>
      </c>
      <c r="W258">
        <v>0.18204909999999999</v>
      </c>
      <c r="X258">
        <v>0.98312759999999999</v>
      </c>
      <c r="Y258">
        <v>-4.7098870000000001E-2</v>
      </c>
      <c r="Z258">
        <v>1.4292E-3</v>
      </c>
      <c r="AA258">
        <v>0.99888920000000003</v>
      </c>
      <c r="AB258">
        <v>29</v>
      </c>
      <c r="AC258">
        <v>22.1599</v>
      </c>
      <c r="AD258">
        <v>-1.121076</v>
      </c>
      <c r="AE258">
        <v>1.0915999999999699</v>
      </c>
      <c r="AF258">
        <v>-1.0570609578624499</v>
      </c>
      <c r="AG258">
        <v>-1.121076</v>
      </c>
      <c r="AH258">
        <v>22.105007393064</v>
      </c>
      <c r="AI258">
        <v>92.900012969620903</v>
      </c>
      <c r="AJ258">
        <v>92.737797276392101</v>
      </c>
      <c r="AK258">
        <v>22.158644839290702</v>
      </c>
      <c r="AL258">
        <v>79.510862896747895</v>
      </c>
      <c r="AM258">
        <v>88.960510719642897</v>
      </c>
      <c r="AN258">
        <v>0.99999997989002898</v>
      </c>
    </row>
    <row r="259" spans="1:40" x14ac:dyDescent="0.25">
      <c r="A259" t="str">
        <f>"20190303162501879"</f>
        <v>20190303162501879</v>
      </c>
      <c r="B259" t="str">
        <f>"1551601501873264"</f>
        <v>1551601501873264</v>
      </c>
      <c r="C259" t="s">
        <v>40</v>
      </c>
      <c r="D259">
        <v>4.4117069999999998</v>
      </c>
      <c r="E259">
        <v>0.47477959999999902</v>
      </c>
      <c r="F259" t="s">
        <v>44</v>
      </c>
      <c r="G259">
        <v>-400.56479999999999</v>
      </c>
      <c r="H259">
        <v>-0.05</v>
      </c>
      <c r="I259">
        <v>368.82330000000002</v>
      </c>
      <c r="J259">
        <v>-422.60469999999998</v>
      </c>
      <c r="K259">
        <v>1.07108799999999</v>
      </c>
      <c r="L259">
        <v>367.73149999999998</v>
      </c>
      <c r="M259">
        <v>0.99991050000000004</v>
      </c>
      <c r="N259">
        <v>-1.330863E-2</v>
      </c>
      <c r="O259">
        <v>1.342312E-3</v>
      </c>
      <c r="P259">
        <v>0.98552079999999997</v>
      </c>
      <c r="Q259">
        <v>0.1687804</v>
      </c>
      <c r="R259">
        <v>-1.617793E-2</v>
      </c>
      <c r="S259">
        <v>3.073334</v>
      </c>
      <c r="T259">
        <v>-0.15437149999999999</v>
      </c>
      <c r="U259">
        <v>0.15039060000000001</v>
      </c>
      <c r="V259">
        <v>1.7542530000000001E-2</v>
      </c>
      <c r="W259">
        <v>0.1818775</v>
      </c>
      <c r="X259">
        <v>0.9831647</v>
      </c>
      <c r="Y259">
        <v>-4.7460049999999997E-2</v>
      </c>
      <c r="Z259">
        <v>1.4572560000000001E-3</v>
      </c>
      <c r="AA259">
        <v>0.99887210000000004</v>
      </c>
      <c r="AB259">
        <v>29</v>
      </c>
      <c r="AC259">
        <v>22.0398999999999</v>
      </c>
      <c r="AD259">
        <v>-1.1210880000000001</v>
      </c>
      <c r="AE259">
        <v>1.0918000000000301</v>
      </c>
      <c r="AF259">
        <v>-1.05947741271882</v>
      </c>
      <c r="AG259">
        <v>-1.1210880000000001</v>
      </c>
      <c r="AH259">
        <v>21.984602537756899</v>
      </c>
      <c r="AI259">
        <v>92.915847691336793</v>
      </c>
      <c r="AJ259">
        <v>92.759051743249898</v>
      </c>
      <c r="AK259">
        <v>22.038649673583699</v>
      </c>
      <c r="AL259">
        <v>79.520861955264095</v>
      </c>
      <c r="AM259">
        <v>88.977784408374504</v>
      </c>
      <c r="AN259">
        <v>0.99999999634557002</v>
      </c>
    </row>
    <row r="260" spans="1:40" x14ac:dyDescent="0.25">
      <c r="A260" t="str">
        <f>"20190303162501901"</f>
        <v>20190303162501901</v>
      </c>
      <c r="B260" t="str">
        <f>"1551601501892784"</f>
        <v>1551601501892784</v>
      </c>
      <c r="C260" t="s">
        <v>40</v>
      </c>
      <c r="D260">
        <v>4.3093949999999897</v>
      </c>
      <c r="E260">
        <v>0.50390879999999905</v>
      </c>
      <c r="F260" t="s">
        <v>44</v>
      </c>
      <c r="G260">
        <v>-400.98739999999998</v>
      </c>
      <c r="H260">
        <v>-0.05</v>
      </c>
      <c r="I260">
        <v>368.77949999999998</v>
      </c>
      <c r="J260">
        <v>-422.3039</v>
      </c>
      <c r="K260">
        <v>1.071097</v>
      </c>
      <c r="L260">
        <v>367.73180000000002</v>
      </c>
      <c r="M260">
        <v>0.99990710000000005</v>
      </c>
      <c r="N260">
        <v>-1.3583639999999999E-2</v>
      </c>
      <c r="O260">
        <v>1.2323550000000001E-3</v>
      </c>
      <c r="P260">
        <v>0.98555619999999999</v>
      </c>
      <c r="Q260">
        <v>0.16861029999999999</v>
      </c>
      <c r="R260">
        <v>-1.581024E-2</v>
      </c>
      <c r="S260">
        <v>3.0738530000000002</v>
      </c>
      <c r="T260">
        <v>-0.1594121</v>
      </c>
      <c r="U260">
        <v>0.14901729999999899</v>
      </c>
      <c r="V260">
        <v>1.7068549999999998E-2</v>
      </c>
      <c r="W260">
        <v>0.1819779</v>
      </c>
      <c r="X260">
        <v>0.98315450000000004</v>
      </c>
      <c r="Y260">
        <v>-4.7112220000000003E-2</v>
      </c>
      <c r="Z260">
        <v>1.493444E-3</v>
      </c>
      <c r="AA260">
        <v>0.99888849999999996</v>
      </c>
      <c r="AB260">
        <v>29</v>
      </c>
      <c r="AC260">
        <v>21.316500000000001</v>
      </c>
      <c r="AD260">
        <v>-1.121097</v>
      </c>
      <c r="AE260">
        <v>1.0476999999999601</v>
      </c>
      <c r="AF260">
        <v>-1.0186165690035001</v>
      </c>
      <c r="AG260">
        <v>-1.121097</v>
      </c>
      <c r="AH260">
        <v>21.259113740864599</v>
      </c>
      <c r="AI260">
        <v>93.015237551926504</v>
      </c>
      <c r="AJ260">
        <v>92.743191929455094</v>
      </c>
      <c r="AK260">
        <v>21.313009061253499</v>
      </c>
      <c r="AL260">
        <v>79.515012200944</v>
      </c>
      <c r="AM260">
        <v>89.0053876153316</v>
      </c>
      <c r="AN260">
        <v>1.0000000311788799</v>
      </c>
    </row>
    <row r="261" spans="1:40" x14ac:dyDescent="0.25">
      <c r="A261" t="str">
        <f>"20190303162501923"</f>
        <v>20190303162501923</v>
      </c>
      <c r="B261" t="str">
        <f>"1551601501913280"</f>
        <v>1551601501913280</v>
      </c>
      <c r="C261" t="s">
        <v>40</v>
      </c>
      <c r="D261">
        <v>4.3070559999999896</v>
      </c>
      <c r="E261">
        <v>0.52793459999999903</v>
      </c>
      <c r="F261" t="s">
        <v>42</v>
      </c>
      <c r="G261">
        <v>-421.37259999999998</v>
      </c>
      <c r="H261">
        <v>0.96021909999999999</v>
      </c>
      <c r="I261">
        <v>367.70679999999999</v>
      </c>
      <c r="J261">
        <v>-422.0231</v>
      </c>
      <c r="K261">
        <v>1.0711079999999999</v>
      </c>
      <c r="L261">
        <v>367.73200000000003</v>
      </c>
      <c r="M261">
        <v>0.99990400000000002</v>
      </c>
      <c r="N261">
        <v>-1.3808900000000001E-2</v>
      </c>
      <c r="O261">
        <v>1.125769E-3</v>
      </c>
      <c r="P261">
        <v>0.98552609999999996</v>
      </c>
      <c r="Q261">
        <v>0.1688299</v>
      </c>
      <c r="R261">
        <v>-1.5314589999999999E-2</v>
      </c>
      <c r="S261">
        <v>3.1058349999999999</v>
      </c>
      <c r="T261">
        <v>-0.36970140000000001</v>
      </c>
      <c r="U261">
        <v>-8.3587649999999999E-2</v>
      </c>
      <c r="V261">
        <v>1.6469549999999999E-2</v>
      </c>
      <c r="W261">
        <v>0.1824181</v>
      </c>
      <c r="X261">
        <v>0.98308309999999999</v>
      </c>
      <c r="Y261">
        <v>2.780353E-2</v>
      </c>
      <c r="Z261">
        <v>-1.9594539999999998E-3</v>
      </c>
      <c r="AA261">
        <v>0.99961149999999999</v>
      </c>
      <c r="AB261">
        <v>29</v>
      </c>
      <c r="AC261">
        <v>0.65050000000002195</v>
      </c>
      <c r="AD261">
        <v>-0.1108889</v>
      </c>
      <c r="AE261">
        <v>-2.5199999999983898E-2</v>
      </c>
      <c r="AF261">
        <v>2.52011424967814E-2</v>
      </c>
      <c r="AG261">
        <v>-0.1108889</v>
      </c>
      <c r="AH261">
        <v>0.632129648764435</v>
      </c>
      <c r="AI261">
        <v>99.941916194454095</v>
      </c>
      <c r="AJ261">
        <v>87.716995467524598</v>
      </c>
      <c r="AK261">
        <v>0.64227668381578495</v>
      </c>
      <c r="AL261">
        <v>79.489360869838606</v>
      </c>
      <c r="AM261">
        <v>89.040215990314394</v>
      </c>
      <c r="AN261">
        <v>0.99999999539521101</v>
      </c>
    </row>
    <row r="262" spans="1:40" x14ac:dyDescent="0.25">
      <c r="A262" t="str">
        <f>"20190303162501948"</f>
        <v>20190303162501948</v>
      </c>
      <c r="B262" t="str">
        <f>"1551601501942560"</f>
        <v>1551601501942560</v>
      </c>
      <c r="C262" t="s">
        <v>40</v>
      </c>
      <c r="D262">
        <v>4.3060019999999897</v>
      </c>
      <c r="E262">
        <v>0.52780059999999995</v>
      </c>
      <c r="F262" t="s">
        <v>42</v>
      </c>
      <c r="G262">
        <v>-421.17320000000001</v>
      </c>
      <c r="H262">
        <v>0.83346030000000004</v>
      </c>
      <c r="I262">
        <v>367.65820000000002</v>
      </c>
      <c r="J262">
        <v>-421.70260000000002</v>
      </c>
      <c r="K262">
        <v>1.071113</v>
      </c>
      <c r="L262">
        <v>367.73219999999998</v>
      </c>
      <c r="M262">
        <v>0.99990109999999999</v>
      </c>
      <c r="N262">
        <v>-1.4031409999999999E-2</v>
      </c>
      <c r="O262">
        <v>1.000351E-3</v>
      </c>
      <c r="P262">
        <v>0.98554790000000003</v>
      </c>
      <c r="Q262">
        <v>0.16873959999999999</v>
      </c>
      <c r="R262">
        <v>-1.491575E-2</v>
      </c>
      <c r="S262">
        <v>3.1926570000000001</v>
      </c>
      <c r="T262">
        <v>-0.89273740000000001</v>
      </c>
      <c r="U262">
        <v>-0.27664179999999999</v>
      </c>
      <c r="V262">
        <v>1.594814E-2</v>
      </c>
      <c r="W262">
        <v>0.1825475</v>
      </c>
      <c r="X262">
        <v>0.98306769999999999</v>
      </c>
      <c r="Y262">
        <v>8.3924899999999997E-2</v>
      </c>
      <c r="Z262">
        <v>-1.2354179999999999E-2</v>
      </c>
      <c r="AA262">
        <v>0.99639549999999999</v>
      </c>
      <c r="AB262">
        <v>29</v>
      </c>
      <c r="AC262">
        <v>0.52940000000000897</v>
      </c>
      <c r="AD262">
        <v>-0.237652699999999</v>
      </c>
      <c r="AE262">
        <v>-7.3999999999955393E-2</v>
      </c>
      <c r="AF262">
        <v>6.2229463220165003E-2</v>
      </c>
      <c r="AG262">
        <v>-0.237652699999999</v>
      </c>
      <c r="AH262">
        <v>0.441967404804048</v>
      </c>
      <c r="AI262">
        <v>118.033664067415</v>
      </c>
      <c r="AJ262">
        <v>81.985381520096794</v>
      </c>
      <c r="AK262">
        <v>0.50565452516435105</v>
      </c>
      <c r="AL262">
        <v>79.481820419480698</v>
      </c>
      <c r="AM262">
        <v>89.070581848574804</v>
      </c>
      <c r="AN262">
        <v>1.0000000178544901</v>
      </c>
    </row>
    <row r="263" spans="1:40" x14ac:dyDescent="0.25">
      <c r="A263" t="str">
        <f>"20190303162501967"</f>
        <v>20190303162501967</v>
      </c>
      <c r="B263" t="str">
        <f>"1551601501963056"</f>
        <v>1551601501963056</v>
      </c>
      <c r="C263" t="s">
        <v>40</v>
      </c>
      <c r="D263">
        <v>4.2523720000000003</v>
      </c>
      <c r="E263">
        <v>0.52755369999999902</v>
      </c>
      <c r="F263" t="s">
        <v>42</v>
      </c>
      <c r="G263">
        <v>-420.91210000000001</v>
      </c>
      <c r="H263">
        <v>0.83792900000000003</v>
      </c>
      <c r="I263">
        <v>367.66430000000003</v>
      </c>
      <c r="J263">
        <v>-421.44369999999998</v>
      </c>
      <c r="K263">
        <v>1.071121</v>
      </c>
      <c r="L263">
        <v>367.73239999999998</v>
      </c>
      <c r="M263">
        <v>0.99989899999999998</v>
      </c>
      <c r="N263">
        <v>-1.4187719999999999E-2</v>
      </c>
      <c r="O263">
        <v>8.9657089999999897E-4</v>
      </c>
      <c r="P263">
        <v>0.98558310000000005</v>
      </c>
      <c r="Q263">
        <v>0.16852049999999999</v>
      </c>
      <c r="R263">
        <v>-1.507205E-2</v>
      </c>
      <c r="S263">
        <v>3.2014770000000001</v>
      </c>
      <c r="T263">
        <v>-0.94429030000000003</v>
      </c>
      <c r="U263">
        <v>-0.27416990000000002</v>
      </c>
      <c r="V263">
        <v>1.6002829999999999E-2</v>
      </c>
      <c r="W263">
        <v>0.18248229999999999</v>
      </c>
      <c r="X263">
        <v>0.98307889999999998</v>
      </c>
      <c r="Y263">
        <v>8.2519480000000006E-2</v>
      </c>
      <c r="Z263">
        <v>-1.274079E-2</v>
      </c>
      <c r="AA263">
        <v>0.99650799999999995</v>
      </c>
      <c r="AB263">
        <v>29</v>
      </c>
      <c r="AC263">
        <v>0.53159999999996899</v>
      </c>
      <c r="AD263">
        <v>-0.23319199999999901</v>
      </c>
      <c r="AE263">
        <v>-6.8099999999958499E-2</v>
      </c>
      <c r="AF263">
        <v>5.7660551414482702E-2</v>
      </c>
      <c r="AG263">
        <v>-0.23319199999999901</v>
      </c>
      <c r="AH263">
        <v>0.44692794730865798</v>
      </c>
      <c r="AI263">
        <v>117.360548439491</v>
      </c>
      <c r="AJ263">
        <v>82.648575319909696</v>
      </c>
      <c r="AK263">
        <v>0.50739317904259695</v>
      </c>
      <c r="AL263">
        <v>79.485619755622295</v>
      </c>
      <c r="AM263">
        <v>89.067405835689698</v>
      </c>
      <c r="AN263">
        <v>1.00000000200325</v>
      </c>
    </row>
    <row r="264" spans="1:40" x14ac:dyDescent="0.25">
      <c r="A264" t="str">
        <f>"20190303162501991"</f>
        <v>20190303162501991</v>
      </c>
      <c r="B264" t="str">
        <f>"1551601501982576"</f>
        <v>1551601501982576</v>
      </c>
      <c r="C264" t="s">
        <v>40</v>
      </c>
      <c r="D264">
        <v>4.2638339999999904</v>
      </c>
      <c r="E264">
        <v>0.52778999999999998</v>
      </c>
      <c r="F264" t="s">
        <v>42</v>
      </c>
      <c r="G264">
        <v>-420.6533</v>
      </c>
      <c r="H264">
        <v>0.83739240000000004</v>
      </c>
      <c r="I264">
        <v>367.66480000000001</v>
      </c>
      <c r="J264">
        <v>-421.14280000000002</v>
      </c>
      <c r="K264">
        <v>1.0711250000000001</v>
      </c>
      <c r="L264">
        <v>367.73250000000002</v>
      </c>
      <c r="M264">
        <v>0.99989689999999998</v>
      </c>
      <c r="N264">
        <v>-1.4345460000000001E-2</v>
      </c>
      <c r="O264">
        <v>7.7507300000000004E-4</v>
      </c>
      <c r="P264">
        <v>0.98568579999999995</v>
      </c>
      <c r="Q264">
        <v>0.1678943</v>
      </c>
      <c r="R264">
        <v>-1.533907E-2</v>
      </c>
      <c r="S264">
        <v>3.2016300000000002</v>
      </c>
      <c r="T264">
        <v>-0.94684919999999995</v>
      </c>
      <c r="U264">
        <v>-0.27233889999999999</v>
      </c>
      <c r="V264">
        <v>1.6150419999999999E-2</v>
      </c>
      <c r="W264">
        <v>0.18201300000000001</v>
      </c>
      <c r="X264">
        <v>0.98316349999999997</v>
      </c>
      <c r="Y264">
        <v>8.1842460000000006E-2</v>
      </c>
      <c r="Z264">
        <v>-1.2642459999999999E-2</v>
      </c>
      <c r="AA264">
        <v>0.99656509999999998</v>
      </c>
      <c r="AB264">
        <v>29</v>
      </c>
      <c r="AC264">
        <v>0.48950000000001997</v>
      </c>
      <c r="AD264">
        <v>-0.23373260000000001</v>
      </c>
      <c r="AE264">
        <v>-6.7700000000001995E-2</v>
      </c>
      <c r="AF264">
        <v>5.5633174580548499E-2</v>
      </c>
      <c r="AG264">
        <v>-0.23373260000000001</v>
      </c>
      <c r="AH264">
        <v>0.39996686967697198</v>
      </c>
      <c r="AI264">
        <v>120.06258262733</v>
      </c>
      <c r="AJ264">
        <v>82.081282335024795</v>
      </c>
      <c r="AK264">
        <v>0.46658276356490602</v>
      </c>
      <c r="AL264">
        <v>79.512966822436297</v>
      </c>
      <c r="AM264">
        <v>89.058887272843094</v>
      </c>
      <c r="AN264">
        <v>1.0000000179837101</v>
      </c>
    </row>
    <row r="265" spans="1:40" x14ac:dyDescent="0.25">
      <c r="A265" t="str">
        <f>"20190303162502014"</f>
        <v>20190303162502014</v>
      </c>
      <c r="B265" t="str">
        <f>"1551601502003073"</f>
        <v>1551601502003073</v>
      </c>
      <c r="C265" t="s">
        <v>40</v>
      </c>
      <c r="D265">
        <v>4.221533</v>
      </c>
      <c r="E265">
        <v>0.52777869999999905</v>
      </c>
      <c r="F265" t="s">
        <v>42</v>
      </c>
      <c r="G265">
        <v>-420.39</v>
      </c>
      <c r="H265">
        <v>0.84899519999999995</v>
      </c>
      <c r="I265">
        <v>367.66759999999999</v>
      </c>
      <c r="J265">
        <v>-420.84179999999998</v>
      </c>
      <c r="K265">
        <v>1.0711329999999999</v>
      </c>
      <c r="L265">
        <v>367.73259999999999</v>
      </c>
      <c r="M265">
        <v>0.99989499999999998</v>
      </c>
      <c r="N265">
        <v>-1.448092E-2</v>
      </c>
      <c r="O265">
        <v>6.5308079999999995E-4</v>
      </c>
      <c r="P265">
        <v>0.98569549999999995</v>
      </c>
      <c r="Q265">
        <v>0.16780249999999999</v>
      </c>
      <c r="R265">
        <v>-1.5714760000000001E-2</v>
      </c>
      <c r="S265">
        <v>3.2001339999999998</v>
      </c>
      <c r="T265">
        <v>-0.94428959999999995</v>
      </c>
      <c r="U265">
        <v>-0.2756653</v>
      </c>
      <c r="V265">
        <v>1.6405920000000001E-2</v>
      </c>
      <c r="W265">
        <v>0.1820543</v>
      </c>
      <c r="X265">
        <v>0.98315160000000001</v>
      </c>
      <c r="Y265">
        <v>8.2766629999999994E-2</v>
      </c>
      <c r="Z265">
        <v>-1.272829E-2</v>
      </c>
      <c r="AA265">
        <v>0.99648769999999998</v>
      </c>
      <c r="AB265">
        <v>29</v>
      </c>
      <c r="AC265">
        <v>0.45179999999999099</v>
      </c>
      <c r="AD265">
        <v>-0.222137799999999</v>
      </c>
      <c r="AE265">
        <v>-6.4999999999997699E-2</v>
      </c>
      <c r="AF265">
        <v>5.2791854798358302E-2</v>
      </c>
      <c r="AG265">
        <v>-0.222137799999999</v>
      </c>
      <c r="AH265">
        <v>0.36525131796861499</v>
      </c>
      <c r="AI265">
        <v>121.044710541157</v>
      </c>
      <c r="AJ265">
        <v>81.775669137637706</v>
      </c>
      <c r="AK265">
        <v>0.43074436432726698</v>
      </c>
      <c r="AL265">
        <v>79.510560060504403</v>
      </c>
      <c r="AM265">
        <v>89.043990021212807</v>
      </c>
      <c r="AN265">
        <v>0.99999999547104801</v>
      </c>
    </row>
    <row r="266" spans="1:40" x14ac:dyDescent="0.25">
      <c r="A266" t="str">
        <f>"20190303162502036"</f>
        <v>20190303162502036</v>
      </c>
      <c r="B266" t="str">
        <f>"1551601502033329"</f>
        <v>1551601502033329</v>
      </c>
      <c r="C266" t="s">
        <v>40</v>
      </c>
      <c r="D266">
        <v>4.2378920000000004</v>
      </c>
      <c r="E266">
        <v>0.52849729999999995</v>
      </c>
      <c r="F266" t="s">
        <v>42</v>
      </c>
      <c r="G266">
        <v>-420.12670000000003</v>
      </c>
      <c r="H266">
        <v>0.86082049999999999</v>
      </c>
      <c r="I266">
        <v>367.67009999999999</v>
      </c>
      <c r="J266">
        <v>-420.55919999999998</v>
      </c>
      <c r="K266">
        <v>1.0711379999999999</v>
      </c>
      <c r="L266">
        <v>367.73270000000002</v>
      </c>
      <c r="M266">
        <v>0.99989349999999999</v>
      </c>
      <c r="N266">
        <v>-1.4589690000000001E-2</v>
      </c>
      <c r="O266">
        <v>5.3819779999999997E-4</v>
      </c>
      <c r="P266">
        <v>0.98582559999999997</v>
      </c>
      <c r="Q266">
        <v>0.16699839999999999</v>
      </c>
      <c r="R266">
        <v>-1.611464E-2</v>
      </c>
      <c r="S266">
        <v>3.1992799999999999</v>
      </c>
      <c r="T266">
        <v>-0.94086809999999998</v>
      </c>
      <c r="U266">
        <v>-0.27713009999999999</v>
      </c>
      <c r="V266">
        <v>1.6692470000000001E-2</v>
      </c>
      <c r="W266">
        <v>0.18135889999999999</v>
      </c>
      <c r="X266">
        <v>0.98327529999999996</v>
      </c>
      <c r="Y266">
        <v>8.3138390000000006E-2</v>
      </c>
      <c r="Z266">
        <v>-1.27183E-2</v>
      </c>
      <c r="AA266">
        <v>0.99645689999999998</v>
      </c>
      <c r="AB266">
        <v>29</v>
      </c>
      <c r="AC266">
        <v>0.43249999999994698</v>
      </c>
      <c r="AD266">
        <v>-0.21031749999999999</v>
      </c>
      <c r="AE266">
        <v>-6.26000000000317E-2</v>
      </c>
      <c r="AF266">
        <v>5.1016413011888202E-2</v>
      </c>
      <c r="AG266">
        <v>-0.21031749999999999</v>
      </c>
      <c r="AH266">
        <v>0.35113636949425298</v>
      </c>
      <c r="AI266">
        <v>120.65687796786</v>
      </c>
      <c r="AJ266">
        <v>81.733370198326</v>
      </c>
      <c r="AK266">
        <v>0.41247166591713202</v>
      </c>
      <c r="AL266">
        <v>79.551078131228095</v>
      </c>
      <c r="AM266">
        <v>89.027417633457105</v>
      </c>
      <c r="AN266">
        <v>1.0000000023769999</v>
      </c>
    </row>
    <row r="267" spans="1:40" x14ac:dyDescent="0.25">
      <c r="A267" t="str">
        <f>"20190303162502057"</f>
        <v>20190303162502057</v>
      </c>
      <c r="B267" t="str">
        <f>"1551601502052849"</f>
        <v>1551601502052849</v>
      </c>
      <c r="C267" t="s">
        <v>40</v>
      </c>
      <c r="D267">
        <v>4.2707220000000001</v>
      </c>
      <c r="E267">
        <v>0.52898999999999996</v>
      </c>
      <c r="F267" t="s">
        <v>42</v>
      </c>
      <c r="G267">
        <v>-419.86610000000002</v>
      </c>
      <c r="H267">
        <v>0.86760740000000003</v>
      </c>
      <c r="I267">
        <v>367.67110000000002</v>
      </c>
      <c r="J267">
        <v>-420.291</v>
      </c>
      <c r="K267">
        <v>1.0711360000000001</v>
      </c>
      <c r="L267">
        <v>367.73270000000002</v>
      </c>
      <c r="M267">
        <v>0.99989220000000001</v>
      </c>
      <c r="N267">
        <v>-1.4678719999999999E-2</v>
      </c>
      <c r="O267">
        <v>4.3018409999999999E-4</v>
      </c>
      <c r="P267">
        <v>0.98590299999999997</v>
      </c>
      <c r="Q267">
        <v>0.166487</v>
      </c>
      <c r="R267">
        <v>-1.666494E-2</v>
      </c>
      <c r="S267">
        <v>3.1975709999999999</v>
      </c>
      <c r="T267">
        <v>-0.93891239999999998</v>
      </c>
      <c r="U267">
        <v>-0.28448489999999999</v>
      </c>
      <c r="V267">
        <v>1.713636E-2</v>
      </c>
      <c r="W267">
        <v>0.18093590000000001</v>
      </c>
      <c r="X267">
        <v>0.98334560000000004</v>
      </c>
      <c r="Y267">
        <v>8.5271509999999995E-2</v>
      </c>
      <c r="Z267">
        <v>-1.2995659999999999E-2</v>
      </c>
      <c r="AA267">
        <v>0.99627299999999996</v>
      </c>
      <c r="AB267">
        <v>29</v>
      </c>
      <c r="AC267">
        <v>0.42489999999997902</v>
      </c>
      <c r="AD267">
        <v>-0.2035286</v>
      </c>
      <c r="AE267">
        <v>-6.1599999999998503E-2</v>
      </c>
      <c r="AF267">
        <v>5.0446418153644403E-2</v>
      </c>
      <c r="AG267">
        <v>-0.2035286</v>
      </c>
      <c r="AH267">
        <v>0.34691442314200499</v>
      </c>
      <c r="AI267">
        <v>120.138434382844</v>
      </c>
      <c r="AJ267">
        <v>81.726349106970005</v>
      </c>
      <c r="AK267">
        <v>0.40536199761009001</v>
      </c>
      <c r="AL267">
        <v>79.575722054866901</v>
      </c>
      <c r="AM267">
        <v>89.001631032008106</v>
      </c>
      <c r="AN267">
        <v>1.0000000118911001</v>
      </c>
    </row>
    <row r="268" spans="1:40" x14ac:dyDescent="0.25">
      <c r="A268" t="str">
        <f>"20190303162502079"</f>
        <v>20190303162502079</v>
      </c>
      <c r="B268" t="str">
        <f>"1551601502072369"</f>
        <v>1551601502072369</v>
      </c>
      <c r="C268" t="s">
        <v>40</v>
      </c>
      <c r="D268">
        <v>4.206639</v>
      </c>
      <c r="E268">
        <v>0.52977289999999999</v>
      </c>
      <c r="F268" t="s">
        <v>42</v>
      </c>
      <c r="G268">
        <v>-419.60739999999998</v>
      </c>
      <c r="H268">
        <v>0.8710601</v>
      </c>
      <c r="I268">
        <v>367.67009999999999</v>
      </c>
      <c r="J268">
        <v>-420.0102</v>
      </c>
      <c r="K268">
        <v>1.071145</v>
      </c>
      <c r="L268">
        <v>367.73270000000002</v>
      </c>
      <c r="M268">
        <v>0.99989119999999998</v>
      </c>
      <c r="N268">
        <v>-1.4758790000000001E-2</v>
      </c>
      <c r="O268">
        <v>3.1734679999999998E-4</v>
      </c>
      <c r="P268">
        <v>0.98585210000000001</v>
      </c>
      <c r="Q268">
        <v>0.16676529999999901</v>
      </c>
      <c r="R268">
        <v>-1.6892810000000001E-2</v>
      </c>
      <c r="S268">
        <v>3.1959840000000002</v>
      </c>
      <c r="T268">
        <v>-0.93540570000000001</v>
      </c>
      <c r="U268">
        <v>-0.29077150000000002</v>
      </c>
      <c r="V268">
        <v>1.7253350000000001E-2</v>
      </c>
      <c r="W268">
        <v>0.1812928</v>
      </c>
      <c r="X268">
        <v>0.98327779999999998</v>
      </c>
      <c r="Y268">
        <v>8.7094110000000002E-2</v>
      </c>
      <c r="Z268">
        <v>-1.320345E-2</v>
      </c>
      <c r="AA268">
        <v>0.99611260000000001</v>
      </c>
      <c r="AB268">
        <v>29</v>
      </c>
      <c r="AC268">
        <v>0.40280000000001298</v>
      </c>
      <c r="AD268">
        <v>-0.20008489999999901</v>
      </c>
      <c r="AE268">
        <v>-6.26000000000317E-2</v>
      </c>
      <c r="AF268">
        <v>5.0549189625113101E-2</v>
      </c>
      <c r="AG268">
        <v>-0.20008489999999901</v>
      </c>
      <c r="AH268">
        <v>0.32458010472753501</v>
      </c>
      <c r="AI268">
        <v>121.345592310754</v>
      </c>
      <c r="AJ268">
        <v>81.148025362121402</v>
      </c>
      <c r="AK268">
        <v>0.38463155378193198</v>
      </c>
      <c r="AL268">
        <v>79.554929140360997</v>
      </c>
      <c r="AM268">
        <v>88.994747260446402</v>
      </c>
      <c r="AN268">
        <v>0.99999999469545098</v>
      </c>
    </row>
    <row r="269" spans="1:40" x14ac:dyDescent="0.25">
      <c r="A269" t="str">
        <f>"20190303162502102"</f>
        <v>20190303162502102</v>
      </c>
      <c r="B269" t="str">
        <f>"1551601502092865"</f>
        <v>1551601502092865</v>
      </c>
      <c r="C269" t="s">
        <v>40</v>
      </c>
      <c r="D269">
        <v>4.1878060000000001</v>
      </c>
      <c r="E269">
        <v>0.53052959999999905</v>
      </c>
      <c r="F269" t="s">
        <v>42</v>
      </c>
      <c r="G269">
        <v>-419.12009999999998</v>
      </c>
      <c r="H269">
        <v>0.811164</v>
      </c>
      <c r="I269">
        <v>367.64960000000002</v>
      </c>
      <c r="J269">
        <v>-419.71370000000002</v>
      </c>
      <c r="K269">
        <v>1.071151</v>
      </c>
      <c r="L269">
        <v>367.73259999999999</v>
      </c>
      <c r="M269">
        <v>0.9998901</v>
      </c>
      <c r="N269">
        <v>-1.4830110000000001E-2</v>
      </c>
      <c r="O269">
        <v>1.9844129999999999E-4</v>
      </c>
      <c r="P269">
        <v>0.98585179999999994</v>
      </c>
      <c r="Q269">
        <v>0.166790299999999</v>
      </c>
      <c r="R269">
        <v>-1.6654519999999999E-2</v>
      </c>
      <c r="S269">
        <v>3.195862</v>
      </c>
      <c r="T269">
        <v>-0.93351569999999995</v>
      </c>
      <c r="U269">
        <v>-0.29788209999999998</v>
      </c>
      <c r="V269">
        <v>1.6897909999999999E-2</v>
      </c>
      <c r="W269">
        <v>0.18138760000000001</v>
      </c>
      <c r="X269">
        <v>0.98326650000000004</v>
      </c>
      <c r="Y269">
        <v>8.9107649999999997E-2</v>
      </c>
      <c r="Z269">
        <v>-1.345206E-2</v>
      </c>
      <c r="AA269">
        <v>0.99593109999999996</v>
      </c>
      <c r="AB269">
        <v>29</v>
      </c>
      <c r="AC269">
        <v>0.59360000000003699</v>
      </c>
      <c r="AD269">
        <v>-0.25998700000000002</v>
      </c>
      <c r="AE269">
        <v>-8.2999999999969903E-2</v>
      </c>
      <c r="AF269">
        <v>6.9955591403607506E-2</v>
      </c>
      <c r="AG269">
        <v>-0.25998700000000002</v>
      </c>
      <c r="AH269">
        <v>0.49958592347075698</v>
      </c>
      <c r="AI269">
        <v>117.265530509969</v>
      </c>
      <c r="AJ269">
        <v>82.028864118707205</v>
      </c>
      <c r="AK269">
        <v>0.56751486312497301</v>
      </c>
      <c r="AL269">
        <v>79.549406041138198</v>
      </c>
      <c r="AM269">
        <v>89.015441258071107</v>
      </c>
      <c r="AN269">
        <v>1.00000000540918</v>
      </c>
    </row>
    <row r="270" spans="1:40" x14ac:dyDescent="0.25">
      <c r="A270" t="str">
        <f>"20190303162502124"</f>
        <v>20190303162502124</v>
      </c>
      <c r="B270" t="str">
        <f>"1551601502113360"</f>
        <v>1551601502113360</v>
      </c>
      <c r="C270" t="s">
        <v>40</v>
      </c>
      <c r="D270">
        <v>4.1879819999999999</v>
      </c>
      <c r="E270">
        <v>0.53111430000000004</v>
      </c>
      <c r="F270" t="s">
        <v>42</v>
      </c>
      <c r="G270">
        <v>-418.86070000000001</v>
      </c>
      <c r="H270">
        <v>0.82069989999999904</v>
      </c>
      <c r="I270">
        <v>367.65170000000001</v>
      </c>
      <c r="J270">
        <v>-419.43509999999998</v>
      </c>
      <c r="K270">
        <v>1.0711599999999999</v>
      </c>
      <c r="L270">
        <v>367.73250000000002</v>
      </c>
      <c r="M270">
        <v>0.99988920000000003</v>
      </c>
      <c r="N270">
        <v>-1.4887320000000001E-2</v>
      </c>
      <c r="O270" s="1">
        <v>8.679483E-5</v>
      </c>
      <c r="P270">
        <v>0.98598969999999997</v>
      </c>
      <c r="Q270">
        <v>0.16597990000000001</v>
      </c>
      <c r="R270">
        <v>-1.6588289999999999E-2</v>
      </c>
      <c r="S270">
        <v>3.1966860000000001</v>
      </c>
      <c r="T270">
        <v>-0.93851240000000002</v>
      </c>
      <c r="U270">
        <v>-0.30300899999999997</v>
      </c>
      <c r="V270">
        <v>1.6721280000000002E-2</v>
      </c>
      <c r="W270">
        <v>0.18063580000000001</v>
      </c>
      <c r="X270">
        <v>0.9834079</v>
      </c>
      <c r="Y270">
        <v>9.0462340000000002E-2</v>
      </c>
      <c r="Z270">
        <v>-1.369069E-2</v>
      </c>
      <c r="AA270">
        <v>0.99580570000000002</v>
      </c>
      <c r="AB270">
        <v>29</v>
      </c>
      <c r="AC270">
        <v>0.57439999999996805</v>
      </c>
      <c r="AD270">
        <v>-0.25046010000000002</v>
      </c>
      <c r="AE270">
        <v>-8.0800000000010599E-2</v>
      </c>
      <c r="AF270">
        <v>6.8144935844112006E-2</v>
      </c>
      <c r="AG270">
        <v>-0.25046010000000002</v>
      </c>
      <c r="AH270">
        <v>0.484131610914731</v>
      </c>
      <c r="AI270">
        <v>117.12555903767201</v>
      </c>
      <c r="AJ270">
        <v>81.987852263939601</v>
      </c>
      <c r="AK270">
        <v>0.54932450396837396</v>
      </c>
      <c r="AL270">
        <v>79.593204415586797</v>
      </c>
      <c r="AM270">
        <v>89.025870690961099</v>
      </c>
      <c r="AN270">
        <v>0.99999999561444397</v>
      </c>
    </row>
    <row r="271" spans="1:40" x14ac:dyDescent="0.25">
      <c r="A271" t="str">
        <f>"20190303162502146"</f>
        <v>20190303162502146</v>
      </c>
      <c r="B271" t="str">
        <f>"1551601502142641"</f>
        <v>1551601502142641</v>
      </c>
      <c r="C271" t="s">
        <v>40</v>
      </c>
      <c r="D271">
        <v>4.1226770000000004</v>
      </c>
      <c r="E271">
        <v>0.53184010000000004</v>
      </c>
      <c r="F271" t="s">
        <v>42</v>
      </c>
      <c r="G271">
        <v>-418.60359999999997</v>
      </c>
      <c r="H271">
        <v>0.82540999999999998</v>
      </c>
      <c r="I271">
        <v>367.65269999999998</v>
      </c>
      <c r="J271">
        <v>-419.15640000000002</v>
      </c>
      <c r="K271">
        <v>1.0711649999999999</v>
      </c>
      <c r="L271">
        <v>367.73250000000002</v>
      </c>
      <c r="M271">
        <v>0.99988860000000002</v>
      </c>
      <c r="N271">
        <v>-1.493601E-2</v>
      </c>
      <c r="O271" s="1">
        <v>-2.5678709999999999E-5</v>
      </c>
      <c r="P271">
        <v>0.98615390000000003</v>
      </c>
      <c r="Q271">
        <v>0.16500860000000001</v>
      </c>
      <c r="R271">
        <v>-1.652464E-2</v>
      </c>
      <c r="S271">
        <v>3.1965029999999999</v>
      </c>
      <c r="T271">
        <v>-0.94470319999999997</v>
      </c>
      <c r="U271">
        <v>-0.30618289999999998</v>
      </c>
      <c r="V271">
        <v>1.6546169999999999E-2</v>
      </c>
      <c r="W271">
        <v>0.1797155</v>
      </c>
      <c r="X271">
        <v>0.98357950000000005</v>
      </c>
      <c r="Y271">
        <v>9.1253360000000006E-2</v>
      </c>
      <c r="Z271">
        <v>-1.3864990000000001E-2</v>
      </c>
      <c r="AA271">
        <v>0.99573120000000004</v>
      </c>
      <c r="AB271">
        <v>29</v>
      </c>
      <c r="AC271">
        <v>0.55280000000004703</v>
      </c>
      <c r="AD271">
        <v>-0.245754999999999</v>
      </c>
      <c r="AE271">
        <v>-7.9800000000034205E-2</v>
      </c>
      <c r="AF271">
        <v>6.6844519578824202E-2</v>
      </c>
      <c r="AG271">
        <v>-0.245754999999999</v>
      </c>
      <c r="AH271">
        <v>0.46313737430457802</v>
      </c>
      <c r="AI271">
        <v>117.70795952546401</v>
      </c>
      <c r="AJ271">
        <v>81.787225859007506</v>
      </c>
      <c r="AK271">
        <v>0.52854511377976299</v>
      </c>
      <c r="AL271">
        <v>79.646811435031793</v>
      </c>
      <c r="AM271">
        <v>89.036238255264905</v>
      </c>
      <c r="AN271">
        <v>1.00000003475108</v>
      </c>
    </row>
    <row r="272" spans="1:40" x14ac:dyDescent="0.25">
      <c r="A272" t="str">
        <f>"20190303162502168"</f>
        <v>20190303162502168</v>
      </c>
      <c r="B272" t="str">
        <f>"1551601502163136"</f>
        <v>1551601502163136</v>
      </c>
      <c r="C272" t="s">
        <v>40</v>
      </c>
      <c r="D272">
        <v>4.1093019999999996</v>
      </c>
      <c r="E272">
        <v>0.53223589999999998</v>
      </c>
      <c r="F272" t="s">
        <v>42</v>
      </c>
      <c r="G272">
        <v>-418.34690000000001</v>
      </c>
      <c r="H272">
        <v>0.83061589999999996</v>
      </c>
      <c r="I272">
        <v>367.6542</v>
      </c>
      <c r="J272">
        <v>-418.88139999999999</v>
      </c>
      <c r="K272">
        <v>1.0711710000000001</v>
      </c>
      <c r="L272">
        <v>367.73230000000001</v>
      </c>
      <c r="M272">
        <v>0.99988779999999999</v>
      </c>
      <c r="N272">
        <v>-1.497685E-2</v>
      </c>
      <c r="O272">
        <v>-1.366025E-4</v>
      </c>
      <c r="P272">
        <v>0.98641880000000004</v>
      </c>
      <c r="Q272">
        <v>0.1633657</v>
      </c>
      <c r="R272">
        <v>-1.701275E-2</v>
      </c>
      <c r="S272">
        <v>3.195862</v>
      </c>
      <c r="T272">
        <v>-0.94969389999999998</v>
      </c>
      <c r="U272">
        <v>-0.3080444</v>
      </c>
      <c r="V272">
        <v>1.692455E-2</v>
      </c>
      <c r="W272">
        <v>0.17811669999999999</v>
      </c>
      <c r="X272">
        <v>0.98386379999999996</v>
      </c>
      <c r="Y272">
        <v>9.1678570000000001E-2</v>
      </c>
      <c r="Z272">
        <v>-1.3970369999999999E-2</v>
      </c>
      <c r="AA272">
        <v>0.99569059999999998</v>
      </c>
      <c r="AB272">
        <v>29</v>
      </c>
      <c r="AC272">
        <v>0.53449999999997999</v>
      </c>
      <c r="AD272">
        <v>-0.24055509999999899</v>
      </c>
      <c r="AE272">
        <v>-7.8100000000006206E-2</v>
      </c>
      <c r="AF272">
        <v>6.5113827843592598E-2</v>
      </c>
      <c r="AG272">
        <v>-0.24055509999999899</v>
      </c>
      <c r="AH272">
        <v>0.44605131111995899</v>
      </c>
      <c r="AI272">
        <v>118.086310030295</v>
      </c>
      <c r="AJ272">
        <v>81.694720209253404</v>
      </c>
      <c r="AK272">
        <v>0.51094846987175602</v>
      </c>
      <c r="AL272">
        <v>79.739917791902997</v>
      </c>
      <c r="AM272">
        <v>89.014487927480701</v>
      </c>
      <c r="AN272">
        <v>0.99999998808101598</v>
      </c>
    </row>
    <row r="273" spans="1:40" x14ac:dyDescent="0.25">
      <c r="A273" t="str">
        <f>"20190303162502190"</f>
        <v>20190303162502190</v>
      </c>
      <c r="B273" t="str">
        <f>"1551601502182657"</f>
        <v>1551601502182657</v>
      </c>
      <c r="C273" t="s">
        <v>40</v>
      </c>
      <c r="D273">
        <v>4.1441140000000001</v>
      </c>
      <c r="E273">
        <v>0.53262189999999998</v>
      </c>
      <c r="F273" t="s">
        <v>42</v>
      </c>
      <c r="G273">
        <v>-418.09109999999998</v>
      </c>
      <c r="H273">
        <v>0.83463809999999905</v>
      </c>
      <c r="I273">
        <v>367.65440000000001</v>
      </c>
      <c r="J273">
        <v>-418.5865</v>
      </c>
      <c r="K273">
        <v>1.0711809999999999</v>
      </c>
      <c r="L273">
        <v>367.7321</v>
      </c>
      <c r="M273">
        <v>0.99988739999999998</v>
      </c>
      <c r="N273">
        <v>-1.5013790000000001E-2</v>
      </c>
      <c r="O273">
        <v>-2.5537249999999997E-4</v>
      </c>
      <c r="P273">
        <v>0.9864579</v>
      </c>
      <c r="Q273">
        <v>0.16302720000000001</v>
      </c>
      <c r="R273">
        <v>-1.7989450000000001E-2</v>
      </c>
      <c r="S273">
        <v>3.1942140000000001</v>
      </c>
      <c r="T273">
        <v>-0.95602370000000003</v>
      </c>
      <c r="U273">
        <v>-0.31350709999999998</v>
      </c>
      <c r="V273">
        <v>1.7783670000000001E-2</v>
      </c>
      <c r="W273">
        <v>0.17781449999999999</v>
      </c>
      <c r="X273">
        <v>0.98390330000000004</v>
      </c>
      <c r="Y273">
        <v>9.3175720000000004E-2</v>
      </c>
      <c r="Z273">
        <v>-1.425994E-2</v>
      </c>
      <c r="AA273">
        <v>0.99554750000000003</v>
      </c>
      <c r="AB273">
        <v>28</v>
      </c>
      <c r="AC273">
        <v>0.49540000000001699</v>
      </c>
      <c r="AD273">
        <v>-0.2365429</v>
      </c>
      <c r="AE273">
        <v>-7.7699999999992997E-2</v>
      </c>
      <c r="AF273">
        <v>6.3454155385881103E-2</v>
      </c>
      <c r="AG273">
        <v>-0.2365429</v>
      </c>
      <c r="AH273">
        <v>0.40524738801332899</v>
      </c>
      <c r="AI273">
        <v>119.97090749477699</v>
      </c>
      <c r="AJ273">
        <v>81.100813108302802</v>
      </c>
      <c r="AK273">
        <v>0.47350229024553903</v>
      </c>
      <c r="AL273">
        <v>79.757513373123402</v>
      </c>
      <c r="AM273">
        <v>88.964513790671802</v>
      </c>
      <c r="AN273">
        <v>0.99999997953990405</v>
      </c>
    </row>
    <row r="274" spans="1:40" x14ac:dyDescent="0.25">
      <c r="A274" t="str">
        <f>"20190303162502214"</f>
        <v>20190303162502214</v>
      </c>
      <c r="B274" t="str">
        <f>"1551601502203152"</f>
        <v>1551601502203152</v>
      </c>
      <c r="C274" t="s">
        <v>40</v>
      </c>
      <c r="D274">
        <v>4.0589690000000003</v>
      </c>
      <c r="E274">
        <v>0.53290700000000002</v>
      </c>
      <c r="F274" t="s">
        <v>42</v>
      </c>
      <c r="G274">
        <v>-417.83300000000003</v>
      </c>
      <c r="H274">
        <v>0.84553679999999998</v>
      </c>
      <c r="I274">
        <v>367.65589999999997</v>
      </c>
      <c r="J274">
        <v>-418.28730000000002</v>
      </c>
      <c r="K274">
        <v>1.0711889999999999</v>
      </c>
      <c r="L274">
        <v>367.7319</v>
      </c>
      <c r="M274">
        <v>0.99988679999999996</v>
      </c>
      <c r="N274">
        <v>-1.504496E-2</v>
      </c>
      <c r="O274">
        <v>-3.7517449999999999E-4</v>
      </c>
      <c r="P274">
        <v>0.98637249999999999</v>
      </c>
      <c r="Q274">
        <v>0.16342989999999999</v>
      </c>
      <c r="R274">
        <v>-1.8967620000000001E-2</v>
      </c>
      <c r="S274">
        <v>3.1933590000000001</v>
      </c>
      <c r="T274">
        <v>-0.95627930000000005</v>
      </c>
      <c r="U274">
        <v>-0.32232670000000002</v>
      </c>
      <c r="V274">
        <v>1.8644310000000001E-2</v>
      </c>
      <c r="W274">
        <v>0.17824670000000001</v>
      </c>
      <c r="X274">
        <v>0.98380919999999905</v>
      </c>
      <c r="Y274">
        <v>9.5690830000000004E-2</v>
      </c>
      <c r="Z274">
        <v>-1.462049E-2</v>
      </c>
      <c r="AA274">
        <v>0.99530379999999996</v>
      </c>
      <c r="AB274">
        <v>28</v>
      </c>
      <c r="AC274">
        <v>0.45429999999998899</v>
      </c>
      <c r="AD274">
        <v>-0.225652199999999</v>
      </c>
      <c r="AE274">
        <v>-7.60000000000218E-2</v>
      </c>
      <c r="AF274">
        <v>6.1152980359457702E-2</v>
      </c>
      <c r="AG274">
        <v>-0.225652199999999</v>
      </c>
      <c r="AH274">
        <v>0.36639472213939001</v>
      </c>
      <c r="AI274">
        <v>121.27737511505001</v>
      </c>
      <c r="AJ274">
        <v>80.524411769523596</v>
      </c>
      <c r="AK274">
        <v>0.43463052675034802</v>
      </c>
      <c r="AL274">
        <v>79.732348531775102</v>
      </c>
      <c r="AM274">
        <v>88.914309382559907</v>
      </c>
      <c r="AN274">
        <v>1.0000000191804499</v>
      </c>
    </row>
    <row r="275" spans="1:40" x14ac:dyDescent="0.25">
      <c r="A275" t="str">
        <f>"20190303162502237"</f>
        <v>20190303162502237</v>
      </c>
      <c r="B275" t="str">
        <f>"1551601502232433"</f>
        <v>1551601502232433</v>
      </c>
      <c r="C275" t="s">
        <v>40</v>
      </c>
      <c r="D275">
        <v>3.9807700000000001</v>
      </c>
      <c r="E275">
        <v>0.53327480000000005</v>
      </c>
      <c r="F275" t="s">
        <v>42</v>
      </c>
      <c r="G275">
        <v>-417.57459999999998</v>
      </c>
      <c r="H275">
        <v>0.85778709999999903</v>
      </c>
      <c r="I275">
        <v>367.65879999999999</v>
      </c>
      <c r="J275">
        <v>-418.00209999999998</v>
      </c>
      <c r="K275">
        <v>1.0711930000000001</v>
      </c>
      <c r="L275">
        <v>367.73169999999999</v>
      </c>
      <c r="M275">
        <v>0.99988630000000001</v>
      </c>
      <c r="N275">
        <v>-1.5069539999999999E-2</v>
      </c>
      <c r="O275">
        <v>-4.9002750000000004E-4</v>
      </c>
      <c r="P275">
        <v>0.9863961</v>
      </c>
      <c r="Q275">
        <v>0.16324640000000001</v>
      </c>
      <c r="R275">
        <v>-1.9327799999999999E-2</v>
      </c>
      <c r="S275">
        <v>3.1936040000000001</v>
      </c>
      <c r="T275">
        <v>-0.95632980000000001</v>
      </c>
      <c r="U275">
        <v>-0.32727050000000002</v>
      </c>
      <c r="V275">
        <v>1.8890690000000002E-2</v>
      </c>
      <c r="W275">
        <v>0.17808759999999901</v>
      </c>
      <c r="X275">
        <v>0.98383330000000002</v>
      </c>
      <c r="Y275">
        <v>9.7037380000000006E-2</v>
      </c>
      <c r="Z275">
        <v>-1.479576E-2</v>
      </c>
      <c r="AA275">
        <v>0.99517080000000002</v>
      </c>
      <c r="AB275">
        <v>28</v>
      </c>
      <c r="AC275">
        <v>0.42750000000000898</v>
      </c>
      <c r="AD275">
        <v>-0.21340590000000001</v>
      </c>
      <c r="AE275">
        <v>-7.29000000000041E-2</v>
      </c>
      <c r="AF275">
        <v>5.8519697117629603E-2</v>
      </c>
      <c r="AG275">
        <v>-0.21340590000000001</v>
      </c>
      <c r="AH275">
        <v>0.34418892283880698</v>
      </c>
      <c r="AI275">
        <v>121.43550579198499</v>
      </c>
      <c r="AJ275">
        <v>80.350728279594406</v>
      </c>
      <c r="AK275">
        <v>0.40918534640244297</v>
      </c>
      <c r="AL275">
        <v>79.741612383390802</v>
      </c>
      <c r="AM275">
        <v>88.899992688656496</v>
      </c>
      <c r="AN275">
        <v>1.00000000681566</v>
      </c>
    </row>
    <row r="276" spans="1:40" x14ac:dyDescent="0.25">
      <c r="A276" t="str">
        <f>"20190303162502259"</f>
        <v>20190303162502259</v>
      </c>
      <c r="B276" t="str">
        <f>"1551601502252929"</f>
        <v>1551601502252929</v>
      </c>
      <c r="C276" t="s">
        <v>40</v>
      </c>
      <c r="D276">
        <v>4.0290019999999904</v>
      </c>
      <c r="E276">
        <v>0.53348240000000002</v>
      </c>
      <c r="F276" t="s">
        <v>42</v>
      </c>
      <c r="G276">
        <v>-417.31810000000002</v>
      </c>
      <c r="H276">
        <v>0.86596519999999999</v>
      </c>
      <c r="I276">
        <v>367.66090000000003</v>
      </c>
      <c r="J276">
        <v>-417.71870000000001</v>
      </c>
      <c r="K276">
        <v>1.0711930000000001</v>
      </c>
      <c r="L276">
        <v>367.73140000000001</v>
      </c>
      <c r="M276">
        <v>0.99988600000000005</v>
      </c>
      <c r="N276">
        <v>-1.508959E-2</v>
      </c>
      <c r="O276">
        <v>-6.0425129999999998E-4</v>
      </c>
      <c r="P276">
        <v>0.98645749999999999</v>
      </c>
      <c r="Q276">
        <v>0.16286629999999999</v>
      </c>
      <c r="R276">
        <v>-1.9407049999999999E-2</v>
      </c>
      <c r="S276">
        <v>3.193451</v>
      </c>
      <c r="T276">
        <v>-0.95816829999999997</v>
      </c>
      <c r="U276">
        <v>-0.33090209999999998</v>
      </c>
      <c r="V276">
        <v>1.885686E-2</v>
      </c>
      <c r="W276">
        <v>0.1777282</v>
      </c>
      <c r="X276">
        <v>0.98389890000000002</v>
      </c>
      <c r="Y276">
        <v>9.7992659999999995E-2</v>
      </c>
      <c r="Z276">
        <v>-1.4938089999999999E-2</v>
      </c>
      <c r="AA276">
        <v>0.99507500000000004</v>
      </c>
      <c r="AB276">
        <v>28</v>
      </c>
      <c r="AC276">
        <v>0.40059999999999701</v>
      </c>
      <c r="AD276">
        <v>-0.20522779999999999</v>
      </c>
      <c r="AE276">
        <v>-7.04999999999813E-2</v>
      </c>
      <c r="AF276">
        <v>5.60016595899199E-2</v>
      </c>
      <c r="AG276">
        <v>-0.20522779999999999</v>
      </c>
      <c r="AH276">
        <v>0.31934697420168201</v>
      </c>
      <c r="AI276">
        <v>122.333365574243</v>
      </c>
      <c r="AJ276">
        <v>80.053572581436299</v>
      </c>
      <c r="AK276">
        <v>0.38371490158897198</v>
      </c>
      <c r="AL276">
        <v>79.762537932235205</v>
      </c>
      <c r="AM276">
        <v>88.902035323306094</v>
      </c>
      <c r="AN276">
        <v>0.99999996983275397</v>
      </c>
    </row>
    <row r="277" spans="1:40" x14ac:dyDescent="0.25">
      <c r="A277" t="str">
        <f>"20190303162502280"</f>
        <v>20190303162502280</v>
      </c>
      <c r="B277" t="str">
        <f>"1551601502272450"</f>
        <v>1551601502272450</v>
      </c>
      <c r="C277" t="s">
        <v>40</v>
      </c>
      <c r="D277">
        <v>4.0345420000000001</v>
      </c>
      <c r="E277">
        <v>0.53368179999999998</v>
      </c>
      <c r="F277" t="s">
        <v>42</v>
      </c>
      <c r="G277">
        <v>-416.83870000000002</v>
      </c>
      <c r="H277">
        <v>0.80627760000000004</v>
      </c>
      <c r="I277">
        <v>367.6397</v>
      </c>
      <c r="J277">
        <v>-417.44979999999998</v>
      </c>
      <c r="K277">
        <v>1.0711949999999999</v>
      </c>
      <c r="L277">
        <v>367.7312</v>
      </c>
      <c r="M277">
        <v>0.99988560000000004</v>
      </c>
      <c r="N277">
        <v>-1.51051E-2</v>
      </c>
      <c r="O277">
        <v>-7.1283719999999998E-4</v>
      </c>
      <c r="P277">
        <v>0.98638139999999996</v>
      </c>
      <c r="Q277">
        <v>0.16336210000000001</v>
      </c>
      <c r="R277">
        <v>-1.909802E-2</v>
      </c>
      <c r="S277">
        <v>3.1933289999999999</v>
      </c>
      <c r="T277">
        <v>-0.96127530000000005</v>
      </c>
      <c r="U277">
        <v>-0.33221440000000002</v>
      </c>
      <c r="V277">
        <v>1.844088E-2</v>
      </c>
      <c r="W277">
        <v>0.17823820000000001</v>
      </c>
      <c r="X277">
        <v>0.98381450000000004</v>
      </c>
      <c r="Y277">
        <v>9.8257049999999999E-2</v>
      </c>
      <c r="Z277">
        <v>-1.499384E-2</v>
      </c>
      <c r="AA277">
        <v>0.99504809999999999</v>
      </c>
      <c r="AB277">
        <v>28</v>
      </c>
      <c r="AC277">
        <v>0.61109999999996401</v>
      </c>
      <c r="AD277">
        <v>-0.26491740000000003</v>
      </c>
      <c r="AE277">
        <v>-9.1499999999996307E-2</v>
      </c>
      <c r="AF277">
        <v>7.6924816296250198E-2</v>
      </c>
      <c r="AG277">
        <v>-0.26491740000000003</v>
      </c>
      <c r="AH277">
        <v>0.51626987694128401</v>
      </c>
      <c r="AI277">
        <v>116.909360273441</v>
      </c>
      <c r="AJ277">
        <v>81.525211941025105</v>
      </c>
      <c r="AK277">
        <v>0.58534882080853401</v>
      </c>
      <c r="AL277">
        <v>79.732842714157897</v>
      </c>
      <c r="AM277">
        <v>88.926158459945597</v>
      </c>
      <c r="AN277">
        <v>0.99999994620233001</v>
      </c>
    </row>
    <row r="278" spans="1:40" x14ac:dyDescent="0.25">
      <c r="A278" t="str">
        <f>"20190303162502302"</f>
        <v>20190303162502302</v>
      </c>
      <c r="B278" t="str">
        <f>"1551601502293921"</f>
        <v>1551601502293921</v>
      </c>
      <c r="C278" t="s">
        <v>40</v>
      </c>
      <c r="D278">
        <v>4.0395969999999997</v>
      </c>
      <c r="E278">
        <v>0.53386339999999999</v>
      </c>
      <c r="F278" t="s">
        <v>42</v>
      </c>
      <c r="G278">
        <v>-416.58539999999999</v>
      </c>
      <c r="H278">
        <v>0.81099319999999997</v>
      </c>
      <c r="I278">
        <v>367.64069999999998</v>
      </c>
      <c r="J278">
        <v>-417.17450000000002</v>
      </c>
      <c r="K278">
        <v>1.0712029999999999</v>
      </c>
      <c r="L278">
        <v>367.73090000000002</v>
      </c>
      <c r="M278">
        <v>0.99988540000000004</v>
      </c>
      <c r="N278">
        <v>-1.5117999999999999E-2</v>
      </c>
      <c r="O278">
        <v>-8.244999E-4</v>
      </c>
      <c r="P278">
        <v>0.98625050000000003</v>
      </c>
      <c r="Q278">
        <v>0.16419919999999999</v>
      </c>
      <c r="R278">
        <v>-1.8676499999999999E-2</v>
      </c>
      <c r="S278">
        <v>3.1942439999999999</v>
      </c>
      <c r="T278">
        <v>-0.96157780000000004</v>
      </c>
      <c r="U278">
        <v>-0.33316040000000002</v>
      </c>
      <c r="V278">
        <v>1.790916E-2</v>
      </c>
      <c r="W278">
        <v>0.179086</v>
      </c>
      <c r="X278">
        <v>0.98367039999999994</v>
      </c>
      <c r="Y278">
        <v>9.8405430000000002E-2</v>
      </c>
      <c r="Z278">
        <v>-1.49865E-2</v>
      </c>
      <c r="AA278">
        <v>0.99503359999999996</v>
      </c>
      <c r="AB278">
        <v>28</v>
      </c>
      <c r="AC278">
        <v>0.58910000000003004</v>
      </c>
      <c r="AD278">
        <v>-0.26020979999999999</v>
      </c>
      <c r="AE278">
        <v>-9.0200000000038402E-2</v>
      </c>
      <c r="AF278">
        <v>7.5349808963399698E-2</v>
      </c>
      <c r="AG278">
        <v>-0.26020979999999999</v>
      </c>
      <c r="AH278">
        <v>0.49483985034678901</v>
      </c>
      <c r="AI278">
        <v>117.46785701235</v>
      </c>
      <c r="AJ278">
        <v>81.3420158426608</v>
      </c>
      <c r="AK278">
        <v>0.56413935443123797</v>
      </c>
      <c r="AL278">
        <v>79.683473518681296</v>
      </c>
      <c r="AM278">
        <v>88.956961673928802</v>
      </c>
      <c r="AN278">
        <v>0.99999999462203204</v>
      </c>
    </row>
    <row r="279" spans="1:40" x14ac:dyDescent="0.25">
      <c r="A279" t="str">
        <f>"20190303162502324"</f>
        <v>20190303162502324</v>
      </c>
      <c r="B279" t="str">
        <f>"1551601502312465"</f>
        <v>1551601502312465</v>
      </c>
      <c r="C279" t="s">
        <v>40</v>
      </c>
      <c r="D279">
        <v>4.0619110000000003</v>
      </c>
      <c r="E279">
        <v>0.53401709999999902</v>
      </c>
      <c r="F279" t="s">
        <v>42</v>
      </c>
      <c r="G279">
        <v>-416.33170000000001</v>
      </c>
      <c r="H279">
        <v>0.81790940000000001</v>
      </c>
      <c r="I279">
        <v>367.64280000000002</v>
      </c>
      <c r="J279">
        <v>-416.90190000000001</v>
      </c>
      <c r="K279">
        <v>1.0712159999999999</v>
      </c>
      <c r="L279">
        <v>367.73050000000001</v>
      </c>
      <c r="M279">
        <v>0.99988509999999997</v>
      </c>
      <c r="N279">
        <v>-1.512812E-2</v>
      </c>
      <c r="O279">
        <v>-9.3424480000000004E-4</v>
      </c>
      <c r="P279">
        <v>0.98615240000000004</v>
      </c>
      <c r="Q279">
        <v>0.1647062</v>
      </c>
      <c r="R279">
        <v>-1.937148E-2</v>
      </c>
      <c r="S279">
        <v>3.1953740000000002</v>
      </c>
      <c r="T279">
        <v>-0.9603566</v>
      </c>
      <c r="U279">
        <v>-0.33364870000000002</v>
      </c>
      <c r="V279">
        <v>1.849636E-2</v>
      </c>
      <c r="W279">
        <v>0.1796016</v>
      </c>
      <c r="X279">
        <v>0.98356560000000004</v>
      </c>
      <c r="Y279">
        <v>9.8427619999999993E-2</v>
      </c>
      <c r="Z279">
        <v>-1.493766E-2</v>
      </c>
      <c r="AA279">
        <v>0.99503209999999997</v>
      </c>
      <c r="AB279">
        <v>28</v>
      </c>
      <c r="AC279">
        <v>0.57019999999999904</v>
      </c>
      <c r="AD279">
        <v>-0.25330659999999899</v>
      </c>
      <c r="AE279">
        <v>-8.7699999999983902E-2</v>
      </c>
      <c r="AF279">
        <v>7.3078408986304896E-2</v>
      </c>
      <c r="AG279">
        <v>-0.25330659999999899</v>
      </c>
      <c r="AH279">
        <v>0.47810737931569097</v>
      </c>
      <c r="AI279">
        <v>117.642333011966</v>
      </c>
      <c r="AJ279">
        <v>81.309637409266202</v>
      </c>
      <c r="AK279">
        <v>0.54597742958811701</v>
      </c>
      <c r="AL279">
        <v>79.653445730968897</v>
      </c>
      <c r="AM279">
        <v>88.922656033662605</v>
      </c>
      <c r="AN279">
        <v>1.0000000697795799</v>
      </c>
    </row>
    <row r="280" spans="1:40" x14ac:dyDescent="0.25">
      <c r="A280" t="str">
        <f>"20190303162502346"</f>
        <v>20190303162502346</v>
      </c>
      <c r="B280" t="str">
        <f>"1551601502342721"</f>
        <v>1551601502342721</v>
      </c>
      <c r="C280" t="s">
        <v>40</v>
      </c>
      <c r="D280">
        <v>4.0359119999999997</v>
      </c>
      <c r="E280">
        <v>0.53407039999999995</v>
      </c>
      <c r="F280" t="s">
        <v>42</v>
      </c>
      <c r="G280">
        <v>-416.07900000000001</v>
      </c>
      <c r="H280">
        <v>0.82366109999999904</v>
      </c>
      <c r="I280">
        <v>367.64339999999999</v>
      </c>
      <c r="J280">
        <v>-416.61930000000001</v>
      </c>
      <c r="K280">
        <v>1.0712140000000001</v>
      </c>
      <c r="L280">
        <v>367.73009999999999</v>
      </c>
      <c r="M280">
        <v>0.99988489999999997</v>
      </c>
      <c r="N280">
        <v>-1.5136149999999999E-2</v>
      </c>
      <c r="O280">
        <v>-1.048022E-3</v>
      </c>
      <c r="P280">
        <v>0.98600160000000003</v>
      </c>
      <c r="Q280">
        <v>0.16557559999999999</v>
      </c>
      <c r="R280">
        <v>-1.964747E-2</v>
      </c>
      <c r="S280">
        <v>3.196075</v>
      </c>
      <c r="T280">
        <v>-0.96140130000000001</v>
      </c>
      <c r="U280">
        <v>-0.33700560000000002</v>
      </c>
      <c r="V280">
        <v>1.866027E-2</v>
      </c>
      <c r="W280">
        <v>0.18047679999999999</v>
      </c>
      <c r="X280">
        <v>0.9834022</v>
      </c>
      <c r="Y280">
        <v>9.9283570000000002E-2</v>
      </c>
      <c r="Z280">
        <v>-1.5049750000000001E-2</v>
      </c>
      <c r="AA280">
        <v>0.99494530000000003</v>
      </c>
      <c r="AB280">
        <v>28</v>
      </c>
      <c r="AC280">
        <v>0.540300000000002</v>
      </c>
      <c r="AD280">
        <v>-0.24755289999999999</v>
      </c>
      <c r="AE280">
        <v>-8.6700000000007493E-2</v>
      </c>
      <c r="AF280">
        <v>7.1500603034981597E-2</v>
      </c>
      <c r="AG280">
        <v>-0.24755289999999999</v>
      </c>
      <c r="AH280">
        <v>0.44858491517350801</v>
      </c>
      <c r="AI280">
        <v>118.589219970594</v>
      </c>
      <c r="AJ280">
        <v>80.943722957556304</v>
      </c>
      <c r="AK280">
        <v>0.51732311049671797</v>
      </c>
      <c r="AL280">
        <v>79.6024665508033</v>
      </c>
      <c r="AM280">
        <v>88.912930616030494</v>
      </c>
      <c r="AN280">
        <v>0.99999998398977596</v>
      </c>
    </row>
    <row r="281" spans="1:40" x14ac:dyDescent="0.25">
      <c r="A281" t="str">
        <f>"20190303162502369"</f>
        <v>20190303162502369</v>
      </c>
      <c r="B281" t="str">
        <f>"1551601502363217"</f>
        <v>1551601502363217</v>
      </c>
      <c r="C281" t="s">
        <v>40</v>
      </c>
      <c r="D281">
        <v>4.048457</v>
      </c>
      <c r="E281">
        <v>0.53407039999999995</v>
      </c>
      <c r="F281" t="s">
        <v>42</v>
      </c>
      <c r="G281">
        <v>-415.82549999999998</v>
      </c>
      <c r="H281">
        <v>0.83230590000000004</v>
      </c>
      <c r="I281">
        <v>367.64640000000003</v>
      </c>
      <c r="J281">
        <v>-416.34309999999999</v>
      </c>
      <c r="K281">
        <v>1.0712269999999999</v>
      </c>
      <c r="L281">
        <v>367.72969999999998</v>
      </c>
      <c r="M281">
        <v>0.99988480000000002</v>
      </c>
      <c r="N281">
        <v>-1.5141969999999999E-2</v>
      </c>
      <c r="O281">
        <v>-1.1596309999999999E-3</v>
      </c>
      <c r="P281">
        <v>0.98586030000000002</v>
      </c>
      <c r="Q281">
        <v>0.1664456</v>
      </c>
      <c r="R281">
        <v>-1.938749E-2</v>
      </c>
      <c r="S281">
        <v>3.1975099999999999</v>
      </c>
      <c r="T281">
        <v>-0.96251629999999999</v>
      </c>
      <c r="U281">
        <v>-0.33691409999999899</v>
      </c>
      <c r="V281">
        <v>1.8290250000000001E-2</v>
      </c>
      <c r="W281">
        <v>0.18135000000000001</v>
      </c>
      <c r="X281">
        <v>0.98324849999999997</v>
      </c>
      <c r="Y281">
        <v>9.9104230000000001E-2</v>
      </c>
      <c r="Z281">
        <v>-1.5000970000000001E-2</v>
      </c>
      <c r="AA281">
        <v>0.99496399999999996</v>
      </c>
      <c r="AB281">
        <v>28</v>
      </c>
      <c r="AC281">
        <v>0.51760000000001505</v>
      </c>
      <c r="AD281">
        <v>-0.2389211</v>
      </c>
      <c r="AE281">
        <v>-8.3299999999951496E-2</v>
      </c>
      <c r="AF281">
        <v>6.84775532011484E-2</v>
      </c>
      <c r="AG281">
        <v>-0.2389211</v>
      </c>
      <c r="AH281">
        <v>0.42866654340436999</v>
      </c>
      <c r="AI281">
        <v>118.82753457254501</v>
      </c>
      <c r="AJ281">
        <v>80.923941197047</v>
      </c>
      <c r="AK281">
        <v>0.49550728829339802</v>
      </c>
      <c r="AL281">
        <v>79.551596470507604</v>
      </c>
      <c r="AM281">
        <v>88.9343148938448</v>
      </c>
      <c r="AN281">
        <v>0.99999998424865599</v>
      </c>
    </row>
    <row r="282" spans="1:40" x14ac:dyDescent="0.25">
      <c r="A282" t="str">
        <f>"20190303162502392"</f>
        <v>20190303162502392</v>
      </c>
      <c r="B282" t="str">
        <f>"1551601502382737"</f>
        <v>1551601502382737</v>
      </c>
      <c r="C282" t="s">
        <v>40</v>
      </c>
      <c r="D282">
        <v>4.0721489999999996</v>
      </c>
      <c r="E282">
        <v>0.53406019999999998</v>
      </c>
      <c r="F282" t="s">
        <v>42</v>
      </c>
      <c r="G282">
        <v>-415.57299999999998</v>
      </c>
      <c r="H282">
        <v>0.83986899999999998</v>
      </c>
      <c r="I282">
        <v>367.64789999999999</v>
      </c>
      <c r="J282">
        <v>-416.05459999999999</v>
      </c>
      <c r="K282">
        <v>1.071242</v>
      </c>
      <c r="L282">
        <v>367.72919999999999</v>
      </c>
      <c r="M282">
        <v>0.99988449999999995</v>
      </c>
      <c r="N282">
        <v>-1.514632E-2</v>
      </c>
      <c r="O282">
        <v>-1.2761179999999999E-3</v>
      </c>
      <c r="P282">
        <v>0.98555689999999996</v>
      </c>
      <c r="Q282">
        <v>0.16831889999999999</v>
      </c>
      <c r="R282">
        <v>-1.862045E-2</v>
      </c>
      <c r="S282">
        <v>3.198639</v>
      </c>
      <c r="T282">
        <v>-0.96104840000000002</v>
      </c>
      <c r="U282">
        <v>-0.33789059999999999</v>
      </c>
      <c r="V282">
        <v>1.7409190000000001E-2</v>
      </c>
      <c r="W282">
        <v>0.1832231</v>
      </c>
      <c r="X282">
        <v>0.98291719999999905</v>
      </c>
      <c r="Y282">
        <v>9.9265660000000006E-2</v>
      </c>
      <c r="Z282">
        <v>-1.4967879999999999E-2</v>
      </c>
      <c r="AA282">
        <v>0.99494839999999996</v>
      </c>
      <c r="AB282">
        <v>28</v>
      </c>
      <c r="AC282">
        <v>0.48159999999995701</v>
      </c>
      <c r="AD282">
        <v>-0.231372999999999</v>
      </c>
      <c r="AE282">
        <v>-8.1299999999998804E-2</v>
      </c>
      <c r="AF282">
        <v>6.58970846472373E-2</v>
      </c>
      <c r="AG282">
        <v>-0.231372999999999</v>
      </c>
      <c r="AH282">
        <v>0.393415573516604</v>
      </c>
      <c r="AI282">
        <v>120.115147535085</v>
      </c>
      <c r="AJ282">
        <v>80.491231429809503</v>
      </c>
      <c r="AK282">
        <v>0.46114174000994901</v>
      </c>
      <c r="AL282">
        <v>79.442447177490294</v>
      </c>
      <c r="AM282">
        <v>88.985297208318599</v>
      </c>
      <c r="AN282">
        <v>1.0000000031629499</v>
      </c>
    </row>
    <row r="283" spans="1:40" x14ac:dyDescent="0.25">
      <c r="A283" t="str">
        <f>"20190303162502416"</f>
        <v>20190303162502416</v>
      </c>
      <c r="B283" t="str">
        <f>"1551601502412993"</f>
        <v>1551601502412993</v>
      </c>
      <c r="C283" t="s">
        <v>40</v>
      </c>
      <c r="D283">
        <v>4.1111120000000003</v>
      </c>
      <c r="E283">
        <v>0.53400990000000004</v>
      </c>
      <c r="F283" t="s">
        <v>42</v>
      </c>
      <c r="G283">
        <v>-415.31920000000002</v>
      </c>
      <c r="H283">
        <v>0.851498599999999</v>
      </c>
      <c r="I283">
        <v>367.65199999999999</v>
      </c>
      <c r="J283">
        <v>-415.7491</v>
      </c>
      <c r="K283">
        <v>1.0712539999999999</v>
      </c>
      <c r="L283">
        <v>367.7287</v>
      </c>
      <c r="M283">
        <v>0.9998842</v>
      </c>
      <c r="N283">
        <v>-1.514919E-2</v>
      </c>
      <c r="O283">
        <v>-1.399626E-3</v>
      </c>
      <c r="P283">
        <v>0.98529860000000002</v>
      </c>
      <c r="Q283">
        <v>0.16989660000000001</v>
      </c>
      <c r="R283">
        <v>-1.7935159999999999E-2</v>
      </c>
      <c r="S283">
        <v>3.200958</v>
      </c>
      <c r="T283">
        <v>-0.95646949999999997</v>
      </c>
      <c r="U283">
        <v>-0.33621220000000002</v>
      </c>
      <c r="V283">
        <v>1.660292E-2</v>
      </c>
      <c r="W283">
        <v>0.1848002</v>
      </c>
      <c r="X283">
        <v>0.98263590000000001</v>
      </c>
      <c r="Y283">
        <v>9.8632010000000006E-2</v>
      </c>
      <c r="Z283">
        <v>-1.47622E-2</v>
      </c>
      <c r="AA283">
        <v>0.99501450000000002</v>
      </c>
      <c r="AB283">
        <v>28</v>
      </c>
      <c r="AC283">
        <v>0.42989999999997502</v>
      </c>
      <c r="AD283">
        <v>-0.21975539999999999</v>
      </c>
      <c r="AE283">
        <v>-7.6700000000016602E-2</v>
      </c>
      <c r="AF283">
        <v>6.0721046394580397E-2</v>
      </c>
      <c r="AG283">
        <v>-0.21975539999999999</v>
      </c>
      <c r="AH283">
        <v>0.34311569017336802</v>
      </c>
      <c r="AI283">
        <v>122.238427510386</v>
      </c>
      <c r="AJ283">
        <v>79.964294803091093</v>
      </c>
      <c r="AK283">
        <v>0.4119561361936</v>
      </c>
      <c r="AL283">
        <v>79.350516597511302</v>
      </c>
      <c r="AM283">
        <v>89.032004902441997</v>
      </c>
      <c r="AN283">
        <v>1.00000004142068</v>
      </c>
    </row>
    <row r="284" spans="1:40" x14ac:dyDescent="0.25">
      <c r="A284" t="str">
        <f>"20190303162502440"</f>
        <v>20190303162502440</v>
      </c>
      <c r="B284" t="str">
        <f>"1551601502432512"</f>
        <v>1551601502432512</v>
      </c>
      <c r="C284" t="s">
        <v>40</v>
      </c>
      <c r="D284">
        <v>4.1453119999999997</v>
      </c>
      <c r="E284">
        <v>0.53399339999999995</v>
      </c>
      <c r="F284" t="s">
        <v>42</v>
      </c>
      <c r="G284">
        <v>-415.06360000000001</v>
      </c>
      <c r="H284">
        <v>0.86712429999999996</v>
      </c>
      <c r="I284">
        <v>367.6574</v>
      </c>
      <c r="J284">
        <v>-415.47289999999998</v>
      </c>
      <c r="K284">
        <v>1.0712630000000001</v>
      </c>
      <c r="L284">
        <v>367.72820000000002</v>
      </c>
      <c r="M284">
        <v>0.999884</v>
      </c>
      <c r="N284">
        <v>-1.5150449999999999E-2</v>
      </c>
      <c r="O284">
        <v>-1.510969E-3</v>
      </c>
      <c r="P284">
        <v>0.98507489999999998</v>
      </c>
      <c r="Q284">
        <v>0.1712254</v>
      </c>
      <c r="R284">
        <v>-1.758502E-2</v>
      </c>
      <c r="S284">
        <v>3.203217</v>
      </c>
      <c r="T284">
        <v>-0.95406250000000004</v>
      </c>
      <c r="U284">
        <v>-0.33166499999999999</v>
      </c>
      <c r="V284">
        <v>1.6143749999999998E-2</v>
      </c>
      <c r="W284">
        <v>0.18612619999999999</v>
      </c>
      <c r="X284">
        <v>0.98239319999999997</v>
      </c>
      <c r="Y284">
        <v>9.7148830000000005E-2</v>
      </c>
      <c r="Z284">
        <v>-1.44621E-2</v>
      </c>
      <c r="AA284">
        <v>0.99516479999999996</v>
      </c>
      <c r="AB284">
        <v>28</v>
      </c>
      <c r="AC284">
        <v>0.40929999999997302</v>
      </c>
      <c r="AD284">
        <v>-0.20413869999999901</v>
      </c>
      <c r="AE284">
        <v>-7.0800000000019694E-2</v>
      </c>
      <c r="AF284">
        <v>5.6528364094766602E-2</v>
      </c>
      <c r="AG284">
        <v>-0.20413869999999901</v>
      </c>
      <c r="AH284">
        <v>0.32976084985053999</v>
      </c>
      <c r="AI284">
        <v>121.38948890269801</v>
      </c>
      <c r="AJ284">
        <v>80.272770388165497</v>
      </c>
      <c r="AK284">
        <v>0.391931477275136</v>
      </c>
      <c r="AL284">
        <v>79.273200514655798</v>
      </c>
      <c r="AM284">
        <v>89.058538381011104</v>
      </c>
      <c r="AN284">
        <v>0.99999999119837102</v>
      </c>
    </row>
    <row r="285" spans="1:40" x14ac:dyDescent="0.25">
      <c r="A285" t="str">
        <f>"20190303162502461"</f>
        <v>20190303162502461</v>
      </c>
      <c r="B285" t="str">
        <f>"1551601502453009"</f>
        <v>1551601502453009</v>
      </c>
      <c r="C285" t="s">
        <v>40</v>
      </c>
      <c r="D285">
        <v>4.161321</v>
      </c>
      <c r="E285">
        <v>0.5339682</v>
      </c>
      <c r="F285" t="s">
        <v>42</v>
      </c>
      <c r="G285">
        <v>-414.59179999999998</v>
      </c>
      <c r="H285">
        <v>0.80961240000000001</v>
      </c>
      <c r="I285">
        <v>367.637</v>
      </c>
      <c r="J285">
        <v>-415.19760000000002</v>
      </c>
      <c r="K285">
        <v>1.0712809999999999</v>
      </c>
      <c r="L285">
        <v>367.7276</v>
      </c>
      <c r="M285">
        <v>0.999884</v>
      </c>
      <c r="N285">
        <v>-1.515062E-2</v>
      </c>
      <c r="O285">
        <v>-1.6222980000000001E-3</v>
      </c>
      <c r="P285">
        <v>0.9849194</v>
      </c>
      <c r="Q285">
        <v>0.17212349999999901</v>
      </c>
      <c r="R285">
        <v>-1.7537170000000001E-2</v>
      </c>
      <c r="S285">
        <v>3.204987</v>
      </c>
      <c r="T285">
        <v>-0.95174009999999998</v>
      </c>
      <c r="U285">
        <v>-0.32992549999999998</v>
      </c>
      <c r="V285">
        <v>1.5986449999999999E-2</v>
      </c>
      <c r="W285">
        <v>0.18702240000000001</v>
      </c>
      <c r="X285">
        <v>0.98222549999999997</v>
      </c>
      <c r="Y285">
        <v>9.6504989999999999E-2</v>
      </c>
      <c r="Z285">
        <v>-1.429425E-2</v>
      </c>
      <c r="AA285">
        <v>0.99522980000000005</v>
      </c>
      <c r="AB285">
        <v>28</v>
      </c>
      <c r="AC285">
        <v>0.60580000000004397</v>
      </c>
      <c r="AD285">
        <v>-0.26166859999999897</v>
      </c>
      <c r="AE285">
        <v>-9.0600000000051695E-2</v>
      </c>
      <c r="AF285">
        <v>7.5786697190723507E-2</v>
      </c>
      <c r="AG285">
        <v>-0.26166859999999897</v>
      </c>
      <c r="AH285">
        <v>0.51243259035853905</v>
      </c>
      <c r="AI285">
        <v>116.800411034788</v>
      </c>
      <c r="AJ285">
        <v>81.587171879927993</v>
      </c>
      <c r="AK285">
        <v>0.58034579291884303</v>
      </c>
      <c r="AL285">
        <v>79.220933712300607</v>
      </c>
      <c r="AM285">
        <v>89.067550935726601</v>
      </c>
      <c r="AN285">
        <v>0.99999993876780402</v>
      </c>
    </row>
    <row r="286" spans="1:40" x14ac:dyDescent="0.25">
      <c r="A286" t="str">
        <f>"20190303162502483"</f>
        <v>20190303162502483</v>
      </c>
      <c r="B286" t="str">
        <f>"1551601502472529"</f>
        <v>1551601502472529</v>
      </c>
      <c r="C286" t="s">
        <v>40</v>
      </c>
      <c r="D286">
        <v>4.1954669999999998</v>
      </c>
      <c r="E286">
        <v>0.53394969999999997</v>
      </c>
      <c r="F286" t="s">
        <v>42</v>
      </c>
      <c r="G286">
        <v>-414.3415</v>
      </c>
      <c r="H286">
        <v>0.81748069999999995</v>
      </c>
      <c r="I286">
        <v>367.6395</v>
      </c>
      <c r="J286">
        <v>-414.92570000000001</v>
      </c>
      <c r="K286">
        <v>1.0712919999999999</v>
      </c>
      <c r="L286">
        <v>367.72710000000001</v>
      </c>
      <c r="M286">
        <v>0.99988379999999999</v>
      </c>
      <c r="N286">
        <v>-1.5149869999999999E-2</v>
      </c>
      <c r="O286">
        <v>-1.7325439999999999E-3</v>
      </c>
      <c r="P286">
        <v>0.9846511</v>
      </c>
      <c r="Q286">
        <v>0.1736145</v>
      </c>
      <c r="R286">
        <v>-1.7906470000000001E-2</v>
      </c>
      <c r="S286">
        <v>3.2061459999999999</v>
      </c>
      <c r="T286">
        <v>-0.95038800000000001</v>
      </c>
      <c r="U286">
        <v>-0.33007809999999999</v>
      </c>
      <c r="V286">
        <v>1.624753E-2</v>
      </c>
      <c r="W286">
        <v>0.1885085</v>
      </c>
      <c r="X286">
        <v>0.98193719999999995</v>
      </c>
      <c r="Y286">
        <v>9.6427750000000007E-2</v>
      </c>
      <c r="Z286">
        <v>-1.422899E-2</v>
      </c>
      <c r="AA286">
        <v>0.99523830000000002</v>
      </c>
      <c r="AB286">
        <v>28</v>
      </c>
      <c r="AC286">
        <v>0.58420000000000905</v>
      </c>
      <c r="AD286">
        <v>-0.25381130000000002</v>
      </c>
      <c r="AE286">
        <v>-8.7600000000008907E-2</v>
      </c>
      <c r="AF286">
        <v>7.3094107051501003E-2</v>
      </c>
      <c r="AG286">
        <v>-0.25381130000000002</v>
      </c>
      <c r="AH286">
        <v>0.493287814569078</v>
      </c>
      <c r="AI286">
        <v>116.97484434390699</v>
      </c>
      <c r="AJ286">
        <v>81.571390832026907</v>
      </c>
      <c r="AK286">
        <v>0.55954963363019306</v>
      </c>
      <c r="AL286">
        <v>79.134245809744996</v>
      </c>
      <c r="AM286">
        <v>89.052047367096094</v>
      </c>
      <c r="AN286">
        <v>1.00000005077359</v>
      </c>
    </row>
    <row r="287" spans="1:40" x14ac:dyDescent="0.25">
      <c r="A287" t="str">
        <f>"20190303162502506"</f>
        <v>20190303162502506</v>
      </c>
      <c r="B287" t="str">
        <f>"1551601502502785"</f>
        <v>1551601502502785</v>
      </c>
      <c r="C287" t="s">
        <v>40</v>
      </c>
      <c r="D287">
        <v>4.2648409999999997</v>
      </c>
      <c r="E287">
        <v>0.53395539999999997</v>
      </c>
      <c r="F287" t="s">
        <v>42</v>
      </c>
      <c r="G287">
        <v>-414.09160000000003</v>
      </c>
      <c r="H287">
        <v>0.82508749999999997</v>
      </c>
      <c r="I287">
        <v>367.64030000000002</v>
      </c>
      <c r="J287">
        <v>-414.64420000000001</v>
      </c>
      <c r="K287">
        <v>1.071302</v>
      </c>
      <c r="L287">
        <v>367.72640000000001</v>
      </c>
      <c r="M287">
        <v>0.99988359999999998</v>
      </c>
      <c r="N287">
        <v>-1.514827E-2</v>
      </c>
      <c r="O287">
        <v>-1.846246E-3</v>
      </c>
      <c r="P287">
        <v>0.98455440000000005</v>
      </c>
      <c r="Q287">
        <v>0.1741404</v>
      </c>
      <c r="R287">
        <v>-1.8102190000000001E-2</v>
      </c>
      <c r="S287">
        <v>3.207703</v>
      </c>
      <c r="T287">
        <v>-0.94704259999999996</v>
      </c>
      <c r="U287">
        <v>-0.331787099999999</v>
      </c>
      <c r="V287">
        <v>1.6331620000000002E-2</v>
      </c>
      <c r="W287">
        <v>0.18903110000000001</v>
      </c>
      <c r="X287">
        <v>0.98183529999999997</v>
      </c>
      <c r="Y287">
        <v>9.6810149999999998E-2</v>
      </c>
      <c r="Z287">
        <v>-1.4203820000000001E-2</v>
      </c>
      <c r="AA287">
        <v>0.99520149999999996</v>
      </c>
      <c r="AB287">
        <v>28</v>
      </c>
      <c r="AC287">
        <v>0.55259999999998399</v>
      </c>
      <c r="AD287">
        <v>-0.2462145</v>
      </c>
      <c r="AE287">
        <v>-8.6099999999987603E-2</v>
      </c>
      <c r="AF287">
        <v>7.1266880552331796E-2</v>
      </c>
      <c r="AG287">
        <v>-0.2462145</v>
      </c>
      <c r="AH287">
        <v>0.46301800979834901</v>
      </c>
      <c r="AI287">
        <v>117.725110901997</v>
      </c>
      <c r="AJ287">
        <v>81.249807470210698</v>
      </c>
      <c r="AK287">
        <v>0.52923173154255898</v>
      </c>
      <c r="AL287">
        <v>79.103754483237495</v>
      </c>
      <c r="AM287">
        <v>89.047043213136206</v>
      </c>
      <c r="AN287">
        <v>1.0000000174525601</v>
      </c>
    </row>
    <row r="288" spans="1:40" x14ac:dyDescent="0.25">
      <c r="A288" t="str">
        <f>"20190303162502528"</f>
        <v>20190303162502528</v>
      </c>
      <c r="B288" t="str">
        <f>"1551601502522305"</f>
        <v>1551601502522305</v>
      </c>
      <c r="C288" t="s">
        <v>40</v>
      </c>
      <c r="D288">
        <v>4.306038</v>
      </c>
      <c r="E288">
        <v>0.53395329999999996</v>
      </c>
      <c r="F288" t="s">
        <v>42</v>
      </c>
      <c r="G288">
        <v>-413.8417</v>
      </c>
      <c r="H288">
        <v>0.83434649999999999</v>
      </c>
      <c r="I288">
        <v>367.64339999999999</v>
      </c>
      <c r="J288">
        <v>-414.38130000000001</v>
      </c>
      <c r="K288">
        <v>1.071304</v>
      </c>
      <c r="L288">
        <v>367.72590000000002</v>
      </c>
      <c r="M288">
        <v>0.99988350000000004</v>
      </c>
      <c r="N288">
        <v>-1.5146140000000001E-2</v>
      </c>
      <c r="O288">
        <v>-1.9525549999999999E-3</v>
      </c>
      <c r="P288">
        <v>0.98443619999999998</v>
      </c>
      <c r="Q288">
        <v>0.1748044</v>
      </c>
      <c r="R288">
        <v>-1.8153280000000001E-2</v>
      </c>
      <c r="S288">
        <v>3.208466</v>
      </c>
      <c r="T288">
        <v>-0.9473395</v>
      </c>
      <c r="U288">
        <v>-0.332428</v>
      </c>
      <c r="V288">
        <v>1.6278190000000001E-2</v>
      </c>
      <c r="W288">
        <v>0.18969130000000001</v>
      </c>
      <c r="X288">
        <v>0.98170880000000005</v>
      </c>
      <c r="Y288">
        <v>9.6877400000000002E-2</v>
      </c>
      <c r="Z288">
        <v>-1.4185720000000001E-2</v>
      </c>
      <c r="AA288">
        <v>0.99519519999999995</v>
      </c>
      <c r="AB288">
        <v>28</v>
      </c>
      <c r="AC288">
        <v>0.53960000000000696</v>
      </c>
      <c r="AD288">
        <v>-0.23695749999999999</v>
      </c>
      <c r="AE288">
        <v>-8.2500000000038598E-2</v>
      </c>
      <c r="AF288">
        <v>6.8532239487188396E-2</v>
      </c>
      <c r="AG288">
        <v>-0.23695749999999999</v>
      </c>
      <c r="AH288">
        <v>0.45417713289966599</v>
      </c>
      <c r="AI288">
        <v>117.288722052051</v>
      </c>
      <c r="AJ288">
        <v>81.419190685532598</v>
      </c>
      <c r="AK288">
        <v>0.51683884597071506</v>
      </c>
      <c r="AL288">
        <v>79.065230276875596</v>
      </c>
      <c r="AM288">
        <v>89.050037932622303</v>
      </c>
      <c r="AN288">
        <v>0.99999996838140204</v>
      </c>
    </row>
    <row r="289" spans="1:40" x14ac:dyDescent="0.25">
      <c r="A289" t="str">
        <f>"20190303162502549"</f>
        <v>20190303162502549</v>
      </c>
      <c r="B289" t="str">
        <f>"1551601502543776"</f>
        <v>1551601502543776</v>
      </c>
      <c r="C289" t="s">
        <v>40</v>
      </c>
      <c r="D289">
        <v>4.3068039999999996</v>
      </c>
      <c r="E289">
        <v>0.52729219999999999</v>
      </c>
      <c r="F289" t="s">
        <v>42</v>
      </c>
      <c r="G289">
        <v>-413.59390000000002</v>
      </c>
      <c r="H289">
        <v>0.8391324</v>
      </c>
      <c r="I289">
        <v>367.64400000000001</v>
      </c>
      <c r="J289">
        <v>-414.11869999999999</v>
      </c>
      <c r="K289">
        <v>1.071312</v>
      </c>
      <c r="L289">
        <v>367.72519999999997</v>
      </c>
      <c r="M289">
        <v>0.99988319999999997</v>
      </c>
      <c r="N289">
        <v>-1.5143480000000001E-2</v>
      </c>
      <c r="O289">
        <v>-2.0587370000000002E-3</v>
      </c>
      <c r="P289">
        <v>0.98423680000000002</v>
      </c>
      <c r="Q289">
        <v>0.17597170000000001</v>
      </c>
      <c r="R289">
        <v>-1.766421E-2</v>
      </c>
      <c r="S289">
        <v>3.2093509999999998</v>
      </c>
      <c r="T289">
        <v>-0.94620970000000004</v>
      </c>
      <c r="U289">
        <v>-0.33251950000000002</v>
      </c>
      <c r="V289">
        <v>1.5685259999999999E-2</v>
      </c>
      <c r="W289">
        <v>0.1908532</v>
      </c>
      <c r="X289">
        <v>0.98149330000000001</v>
      </c>
      <c r="Y289">
        <v>9.6791470000000004E-2</v>
      </c>
      <c r="Z289">
        <v>-1.4124619999999999E-2</v>
      </c>
      <c r="AA289">
        <v>0.99520439999999999</v>
      </c>
      <c r="AB289">
        <v>28</v>
      </c>
      <c r="AC289">
        <v>0.52479999999996996</v>
      </c>
      <c r="AD289">
        <v>-0.23217960000000001</v>
      </c>
      <c r="AE289">
        <v>-8.1199999999967007E-2</v>
      </c>
      <c r="AF289">
        <v>6.72618343373379E-2</v>
      </c>
      <c r="AG289">
        <v>-0.23217960000000001</v>
      </c>
      <c r="AH289">
        <v>0.44072015856360602</v>
      </c>
      <c r="AI289">
        <v>117.509977273193</v>
      </c>
      <c r="AJ289">
        <v>81.322590762525806</v>
      </c>
      <c r="AK289">
        <v>0.50265871043772203</v>
      </c>
      <c r="AL289">
        <v>78.997420231720596</v>
      </c>
      <c r="AM289">
        <v>89.084433176298901</v>
      </c>
      <c r="AN289">
        <v>1.0000000346381901</v>
      </c>
    </row>
    <row r="290" spans="1:40" x14ac:dyDescent="0.25">
      <c r="A290" t="str">
        <f>"20190303162502572"</f>
        <v>20190303162502572</v>
      </c>
      <c r="B290" t="str">
        <f>"1551601502563298"</f>
        <v>1551601502563298</v>
      </c>
      <c r="C290" t="s">
        <v>40</v>
      </c>
      <c r="D290">
        <v>4.4168900000000004</v>
      </c>
      <c r="E290">
        <v>0.50960179999999999</v>
      </c>
      <c r="F290" t="s">
        <v>42</v>
      </c>
      <c r="G290">
        <v>-413.33139999999997</v>
      </c>
      <c r="H290">
        <v>0.87731840000000005</v>
      </c>
      <c r="I290">
        <v>367.65660000000003</v>
      </c>
      <c r="J290">
        <v>-413.83980000000003</v>
      </c>
      <c r="K290">
        <v>1.071323</v>
      </c>
      <c r="L290">
        <v>367.72449999999998</v>
      </c>
      <c r="M290">
        <v>0.99988310000000002</v>
      </c>
      <c r="N290">
        <v>-1.514014E-2</v>
      </c>
      <c r="O290">
        <v>-2.171943E-3</v>
      </c>
      <c r="P290">
        <v>0.98401070000000002</v>
      </c>
      <c r="Q290">
        <v>0.1773286</v>
      </c>
      <c r="R290">
        <v>-1.6667870000000001E-2</v>
      </c>
      <c r="S290">
        <v>3.1833499999999999</v>
      </c>
      <c r="T290">
        <v>-0.78442480000000003</v>
      </c>
      <c r="U290">
        <v>-0.27676390000000001</v>
      </c>
      <c r="V290">
        <v>1.4578030000000001E-2</v>
      </c>
      <c r="W290">
        <v>0.1922034</v>
      </c>
      <c r="X290">
        <v>0.98124679999999997</v>
      </c>
      <c r="Y290">
        <v>8.1919809999999996E-2</v>
      </c>
      <c r="Z290">
        <v>-1.00635E-2</v>
      </c>
      <c r="AA290">
        <v>0.99658809999999998</v>
      </c>
      <c r="AB290">
        <v>27</v>
      </c>
      <c r="AC290">
        <v>0.50840000000005103</v>
      </c>
      <c r="AD290">
        <v>-0.194004599999999</v>
      </c>
      <c r="AE290">
        <v>-6.7899999999951804E-2</v>
      </c>
      <c r="AF290">
        <v>5.8435411796208002E-2</v>
      </c>
      <c r="AG290">
        <v>-0.194004599999999</v>
      </c>
      <c r="AH290">
        <v>0.44489693359566801</v>
      </c>
      <c r="AI290">
        <v>113.381382624121</v>
      </c>
      <c r="AJ290">
        <v>82.517265152607195</v>
      </c>
      <c r="AK290">
        <v>0.48886170201375001</v>
      </c>
      <c r="AL290">
        <v>78.918599601635904</v>
      </c>
      <c r="AM290">
        <v>89.148839875969401</v>
      </c>
      <c r="AN290">
        <v>0.99999997422024001</v>
      </c>
    </row>
    <row r="291" spans="1:40" x14ac:dyDescent="0.25">
      <c r="A291" t="str">
        <f>"20190303162502593"</f>
        <v>20190303162502593</v>
      </c>
      <c r="B291" t="str">
        <f>"1551601502582817"</f>
        <v>1551601502582817</v>
      </c>
      <c r="C291" t="s">
        <v>40</v>
      </c>
      <c r="D291">
        <v>4.4191289999999999</v>
      </c>
      <c r="E291">
        <v>0.50258029999999998</v>
      </c>
      <c r="F291" t="s">
        <v>42</v>
      </c>
      <c r="G291">
        <v>-413.03590000000003</v>
      </c>
      <c r="H291">
        <v>0.97862320000000003</v>
      </c>
      <c r="I291">
        <v>367.69009999999997</v>
      </c>
      <c r="J291">
        <v>-413.56920000000002</v>
      </c>
      <c r="K291">
        <v>1.071339</v>
      </c>
      <c r="L291">
        <v>367.72379999999998</v>
      </c>
      <c r="M291">
        <v>0.99988290000000002</v>
      </c>
      <c r="N291">
        <v>-1.5136419999999999E-2</v>
      </c>
      <c r="O291">
        <v>-2.281337E-3</v>
      </c>
      <c r="P291">
        <v>0.98378350000000003</v>
      </c>
      <c r="Q291">
        <v>0.1786065</v>
      </c>
      <c r="R291">
        <v>-1.6434270000000001E-2</v>
      </c>
      <c r="S291">
        <v>3.111237</v>
      </c>
      <c r="T291">
        <v>-0.35901670000000002</v>
      </c>
      <c r="U291">
        <v>-0.13174439999999901</v>
      </c>
      <c r="V291">
        <v>1.4237349999999999E-2</v>
      </c>
      <c r="W291">
        <v>0.1934737</v>
      </c>
      <c r="X291">
        <v>0.98100220000000005</v>
      </c>
      <c r="Y291">
        <v>3.974047E-2</v>
      </c>
      <c r="Z291">
        <v>-2.358499E-3</v>
      </c>
      <c r="AA291">
        <v>0.99920730000000002</v>
      </c>
      <c r="AB291">
        <v>27</v>
      </c>
      <c r="AC291">
        <v>0.533299999999997</v>
      </c>
      <c r="AD291">
        <v>-9.2715800000000001E-2</v>
      </c>
      <c r="AE291">
        <v>-3.3700000000010201E-2</v>
      </c>
      <c r="AF291">
        <v>3.1533821298570401E-2</v>
      </c>
      <c r="AG291">
        <v>-9.2715800000000001E-2</v>
      </c>
      <c r="AH291">
        <v>0.51778768486243798</v>
      </c>
      <c r="AI291">
        <v>100.13349169874699</v>
      </c>
      <c r="AJ291">
        <v>86.514930409058707</v>
      </c>
      <c r="AK291">
        <v>0.52696744496271597</v>
      </c>
      <c r="AL291">
        <v>78.844425342506796</v>
      </c>
      <c r="AM291">
        <v>89.168520926024698</v>
      </c>
      <c r="AN291">
        <v>1.00000004556577</v>
      </c>
    </row>
    <row r="292" spans="1:40" x14ac:dyDescent="0.25">
      <c r="A292" t="str">
        <f>"20190303162502616"</f>
        <v>20190303162502616</v>
      </c>
      <c r="B292" t="str">
        <f>"1551601502613074"</f>
        <v>1551601502613074</v>
      </c>
      <c r="C292" t="s">
        <v>40</v>
      </c>
      <c r="D292">
        <v>4.4829910000000002</v>
      </c>
      <c r="E292">
        <v>0.4978477</v>
      </c>
      <c r="F292" t="s">
        <v>41</v>
      </c>
      <c r="G292">
        <v>-398.09629999999999</v>
      </c>
      <c r="H292" s="1">
        <v>-1.23651E-6</v>
      </c>
      <c r="I292">
        <v>367.35149999999999</v>
      </c>
      <c r="J292">
        <v>-413.29160000000002</v>
      </c>
      <c r="K292">
        <v>1.0713429999999999</v>
      </c>
      <c r="L292">
        <v>367.72309999999999</v>
      </c>
      <c r="M292">
        <v>0.99988259999999995</v>
      </c>
      <c r="N292">
        <v>-1.5132380000000001E-2</v>
      </c>
      <c r="O292">
        <v>-2.3933560000000001E-3</v>
      </c>
      <c r="P292">
        <v>0.98363990000000001</v>
      </c>
      <c r="Q292">
        <v>0.1793594</v>
      </c>
      <c r="R292">
        <v>-1.6814289999999999E-2</v>
      </c>
      <c r="S292">
        <v>3.0870359999999999</v>
      </c>
      <c r="T292">
        <v>-0.21374380000000001</v>
      </c>
      <c r="U292">
        <v>-7.4279789999999998E-2</v>
      </c>
      <c r="V292">
        <v>1.450772E-2</v>
      </c>
      <c r="W292">
        <v>0.19422030000000001</v>
      </c>
      <c r="X292">
        <v>0.98085060000000002</v>
      </c>
      <c r="Y292">
        <v>2.1602349999999999E-2</v>
      </c>
      <c r="Z292">
        <v>-7.8127079999999998E-4</v>
      </c>
      <c r="AA292">
        <v>0.9997663</v>
      </c>
      <c r="AB292">
        <v>27</v>
      </c>
      <c r="AC292">
        <v>15.1953</v>
      </c>
      <c r="AD292">
        <v>-1.0713442365100001</v>
      </c>
      <c r="AE292">
        <v>-0.37159999999999999</v>
      </c>
      <c r="AF292">
        <v>0.33356983875671897</v>
      </c>
      <c r="AG292">
        <v>-1.0713442365100001</v>
      </c>
      <c r="AH292">
        <v>15.121024987616501</v>
      </c>
      <c r="AI292">
        <v>94.051725487085406</v>
      </c>
      <c r="AJ292">
        <v>88.7362599700636</v>
      </c>
      <c r="AK292">
        <v>15.162600172350199</v>
      </c>
      <c r="AL292">
        <v>78.800820128331097</v>
      </c>
      <c r="AM292">
        <v>89.152602325478298</v>
      </c>
      <c r="AN292">
        <v>0.99999994919602198</v>
      </c>
    </row>
    <row r="293" spans="1:40" x14ac:dyDescent="0.25">
      <c r="A293" t="str">
        <f>"20190303162502640"</f>
        <v>20190303162502640</v>
      </c>
      <c r="B293" t="str">
        <f>"1551601502632593"</f>
        <v>1551601502632593</v>
      </c>
      <c r="C293" t="s">
        <v>40</v>
      </c>
      <c r="D293">
        <v>4.5222470000000001</v>
      </c>
      <c r="E293">
        <v>0.49547799999999997</v>
      </c>
      <c r="F293" t="s">
        <v>41</v>
      </c>
      <c r="G293">
        <v>-366.27140000000003</v>
      </c>
      <c r="H293" s="1">
        <v>-2.0171440000000001E-6</v>
      </c>
      <c r="I293">
        <v>367.16250000000002</v>
      </c>
      <c r="J293">
        <v>-413.01299999999998</v>
      </c>
      <c r="K293">
        <v>1.071334</v>
      </c>
      <c r="L293">
        <v>367.72230000000002</v>
      </c>
      <c r="M293">
        <v>0.99988250000000001</v>
      </c>
      <c r="N293">
        <v>-1.512785E-2</v>
      </c>
      <c r="O293">
        <v>-2.5069089999999999E-3</v>
      </c>
      <c r="P293">
        <v>0.98389479999999996</v>
      </c>
      <c r="Q293">
        <v>0.1778739</v>
      </c>
      <c r="R293">
        <v>-1.767459E-2</v>
      </c>
      <c r="S293">
        <v>3.0619809999999998</v>
      </c>
      <c r="T293">
        <v>-6.9766399999999895E-2</v>
      </c>
      <c r="U293">
        <v>-3.649902E-2</v>
      </c>
      <c r="V293">
        <v>1.525494E-2</v>
      </c>
      <c r="W293">
        <v>0.19273489999999999</v>
      </c>
      <c r="X293">
        <v>0.98113229999999996</v>
      </c>
      <c r="Y293">
        <v>9.4081770000000002E-3</v>
      </c>
      <c r="Z293">
        <v>-1.5916230000000001E-4</v>
      </c>
      <c r="AA293">
        <v>0.9999557</v>
      </c>
      <c r="AB293">
        <v>27</v>
      </c>
      <c r="AC293">
        <v>46.741599999999998</v>
      </c>
      <c r="AD293">
        <v>-1.0713360171439901</v>
      </c>
      <c r="AE293">
        <v>-0.55979999999999497</v>
      </c>
      <c r="AF293">
        <v>0.44237553498427901</v>
      </c>
      <c r="AG293">
        <v>-1.0713360171439901</v>
      </c>
      <c r="AH293">
        <v>46.718316923315598</v>
      </c>
      <c r="AI293">
        <v>91.3136073735579</v>
      </c>
      <c r="AJ293">
        <v>89.457482732822299</v>
      </c>
      <c r="AK293">
        <v>46.732692979572001</v>
      </c>
      <c r="AL293">
        <v>78.887567214868099</v>
      </c>
      <c r="AM293">
        <v>89.10921977017</v>
      </c>
      <c r="AN293">
        <v>1.00000002248785</v>
      </c>
    </row>
    <row r="294" spans="1:40" x14ac:dyDescent="0.25">
      <c r="A294" t="str">
        <f>"20190303162502661"</f>
        <v>20190303162502661</v>
      </c>
      <c r="B294" t="str">
        <f>"1551601502653089"</f>
        <v>1551601502653089</v>
      </c>
      <c r="C294" t="s">
        <v>40</v>
      </c>
      <c r="D294">
        <v>4.5529919999999997</v>
      </c>
      <c r="E294">
        <v>0.49443160000000003</v>
      </c>
      <c r="F294" t="s">
        <v>41</v>
      </c>
      <c r="G294">
        <v>-324.32819999999998</v>
      </c>
      <c r="H294" s="1">
        <v>-2.8537919999999999E-6</v>
      </c>
      <c r="I294">
        <v>367.14550000000003</v>
      </c>
      <c r="J294">
        <v>-412.74149999999997</v>
      </c>
      <c r="K294">
        <v>1.071318</v>
      </c>
      <c r="L294">
        <v>367.72149999999999</v>
      </c>
      <c r="M294">
        <v>0.9998823</v>
      </c>
      <c r="N294">
        <v>-1.51231E-2</v>
      </c>
      <c r="O294">
        <v>-2.6170099999999999E-3</v>
      </c>
      <c r="P294">
        <v>0.98426159999999996</v>
      </c>
      <c r="Q294">
        <v>0.1757513</v>
      </c>
      <c r="R294">
        <v>-1.8454370000000001E-2</v>
      </c>
      <c r="S294">
        <v>3.0554199999999998</v>
      </c>
      <c r="T294">
        <v>-3.69103E-2</v>
      </c>
      <c r="U294">
        <v>-1.986694E-2</v>
      </c>
      <c r="V294">
        <v>1.592491E-2</v>
      </c>
      <c r="W294">
        <v>0.190613</v>
      </c>
      <c r="X294">
        <v>0.98153610000000002</v>
      </c>
      <c r="Y294">
        <v>3.884158E-3</v>
      </c>
      <c r="Z294" s="1">
        <v>-6.080144E-5</v>
      </c>
      <c r="AA294">
        <v>0.9999924</v>
      </c>
      <c r="AB294">
        <v>27</v>
      </c>
      <c r="AC294">
        <v>88.413299999999893</v>
      </c>
      <c r="AD294">
        <v>-1.071320853792</v>
      </c>
      <c r="AE294">
        <v>-0.57599999999996498</v>
      </c>
      <c r="AF294">
        <v>0.34454250726102098</v>
      </c>
      <c r="AG294">
        <v>-1.071320853792</v>
      </c>
      <c r="AH294">
        <v>88.401525620528403</v>
      </c>
      <c r="AI294">
        <v>90.694317119021804</v>
      </c>
      <c r="AJ294">
        <v>89.776692410736899</v>
      </c>
      <c r="AK294">
        <v>88.408688317087993</v>
      </c>
      <c r="AL294">
        <v>79.011439858843602</v>
      </c>
      <c r="AM294">
        <v>89.070487489971697</v>
      </c>
      <c r="AN294">
        <v>1.00000001706535</v>
      </c>
    </row>
    <row r="295" spans="1:40" x14ac:dyDescent="0.25">
      <c r="A295" t="str">
        <f>"20190303162502683"</f>
        <v>20190303162502683</v>
      </c>
      <c r="B295" t="str">
        <f>"1551601502673585"</f>
        <v>1551601502673585</v>
      </c>
      <c r="C295" t="s">
        <v>40</v>
      </c>
      <c r="D295">
        <v>4.5547469999999999</v>
      </c>
      <c r="E295">
        <v>0.49429879999999998</v>
      </c>
      <c r="F295" t="s">
        <v>44</v>
      </c>
      <c r="G295">
        <v>-280.64370000000002</v>
      </c>
      <c r="H295">
        <v>-0.05</v>
      </c>
      <c r="I295">
        <v>367.14960000000002</v>
      </c>
      <c r="J295">
        <v>-412.48</v>
      </c>
      <c r="K295">
        <v>1.071315</v>
      </c>
      <c r="L295">
        <v>367.72070000000002</v>
      </c>
      <c r="M295">
        <v>0.99988200000000005</v>
      </c>
      <c r="N295">
        <v>-1.5118299999999999E-2</v>
      </c>
      <c r="O295">
        <v>-2.7227039999999998E-3</v>
      </c>
      <c r="P295">
        <v>0.98446420000000001</v>
      </c>
      <c r="Q295">
        <v>0.1745342</v>
      </c>
      <c r="R295">
        <v>-1.919738E-2</v>
      </c>
      <c r="S295">
        <v>3.0523380000000002</v>
      </c>
      <c r="T295">
        <v>-2.59099E-2</v>
      </c>
      <c r="U295">
        <v>-1.3214109999999999E-2</v>
      </c>
      <c r="V295">
        <v>1.6562830000000001E-2</v>
      </c>
      <c r="W295">
        <v>0.18939439999999999</v>
      </c>
      <c r="X295">
        <v>0.98176140000000001</v>
      </c>
      <c r="Y295">
        <v>1.60603E-3</v>
      </c>
      <c r="Z295" s="1">
        <v>-3.7012160000000002E-5</v>
      </c>
      <c r="AA295">
        <v>0.99999870000000002</v>
      </c>
      <c r="AB295">
        <v>27</v>
      </c>
      <c r="AC295">
        <v>131.83629999999999</v>
      </c>
      <c r="AD295">
        <v>-1.1213150000000001</v>
      </c>
      <c r="AE295">
        <v>-0.57110000000000105</v>
      </c>
      <c r="AF295">
        <v>0.21209028847407699</v>
      </c>
      <c r="AG295">
        <v>-1.1213150000000001</v>
      </c>
      <c r="AH295">
        <v>131.82782994797901</v>
      </c>
      <c r="AI295">
        <v>90.487340074800997</v>
      </c>
      <c r="AJ295">
        <v>89.907820162665601</v>
      </c>
      <c r="AK295">
        <v>131.83276936487701</v>
      </c>
      <c r="AL295">
        <v>79.082555876684694</v>
      </c>
      <c r="AM295">
        <v>89.033481821601001</v>
      </c>
      <c r="AN295">
        <v>1.0000000063094601</v>
      </c>
    </row>
    <row r="296" spans="1:40" x14ac:dyDescent="0.25">
      <c r="A296" t="str">
        <f>"20190303162502703"</f>
        <v>20190303162502703</v>
      </c>
      <c r="B296" t="str">
        <f>"1551601502693106"</f>
        <v>1551601502693106</v>
      </c>
      <c r="C296" t="s">
        <v>40</v>
      </c>
      <c r="D296">
        <v>4.5896739999999996</v>
      </c>
      <c r="E296">
        <v>0.49423450000000002</v>
      </c>
      <c r="F296" t="s">
        <v>41</v>
      </c>
      <c r="G296">
        <v>-259.07830000000001</v>
      </c>
      <c r="H296" s="1">
        <v>-1.0102939999999999E-6</v>
      </c>
      <c r="I296">
        <v>366.94569999999999</v>
      </c>
      <c r="J296">
        <v>-412.23039999999997</v>
      </c>
      <c r="K296">
        <v>1.071323</v>
      </c>
      <c r="L296">
        <v>367.7199</v>
      </c>
      <c r="M296">
        <v>0.99988189999999999</v>
      </c>
      <c r="N296">
        <v>-1.511353E-2</v>
      </c>
      <c r="O296">
        <v>-2.823983E-3</v>
      </c>
      <c r="P296">
        <v>0.98426170000000002</v>
      </c>
      <c r="Q296">
        <v>0.1757126</v>
      </c>
      <c r="R296">
        <v>-1.8821350000000001E-2</v>
      </c>
      <c r="S296">
        <v>3.0508120000000001</v>
      </c>
      <c r="T296">
        <v>-2.1306039999999998E-2</v>
      </c>
      <c r="U296">
        <v>-1.5411380000000001E-2</v>
      </c>
      <c r="V296">
        <v>1.6087819999999999E-2</v>
      </c>
      <c r="W296">
        <v>0.19056480000000001</v>
      </c>
      <c r="X296">
        <v>0.98154280000000005</v>
      </c>
      <c r="Y296">
        <v>2.227134E-3</v>
      </c>
      <c r="Z296" s="1">
        <v>-4.757009E-5</v>
      </c>
      <c r="AA296">
        <v>0.99999749999999998</v>
      </c>
      <c r="AB296">
        <v>27</v>
      </c>
      <c r="AC296">
        <v>153.152099999999</v>
      </c>
      <c r="AD296">
        <v>-1.071324010294</v>
      </c>
      <c r="AE296">
        <v>-0.77420000000000699</v>
      </c>
      <c r="AF296">
        <v>0.34163190999378001</v>
      </c>
      <c r="AG296">
        <v>-1.071324010294</v>
      </c>
      <c r="AH296">
        <v>153.14618214596999</v>
      </c>
      <c r="AI296">
        <v>90.400801309308903</v>
      </c>
      <c r="AJ296">
        <v>89.872187253728399</v>
      </c>
      <c r="AK296">
        <v>153.15031032741501</v>
      </c>
      <c r="AL296">
        <v>79.014253054401195</v>
      </c>
      <c r="AM296">
        <v>89.060986786350099</v>
      </c>
      <c r="AN296">
        <v>1.0000000145916099</v>
      </c>
    </row>
    <row r="297" spans="1:40" x14ac:dyDescent="0.25">
      <c r="A297" t="str">
        <f>"20190303162502726"</f>
        <v>20190303162502726</v>
      </c>
      <c r="B297" t="str">
        <f>"1551601502712625"</f>
        <v>1551601502712625</v>
      </c>
      <c r="C297" t="s">
        <v>40</v>
      </c>
      <c r="D297">
        <v>4.6405050000000001</v>
      </c>
      <c r="E297">
        <v>0.49402810000000003</v>
      </c>
      <c r="F297" t="s">
        <v>45</v>
      </c>
      <c r="G297">
        <v>-179.99510000000001</v>
      </c>
      <c r="H297">
        <v>5.484344E-2</v>
      </c>
      <c r="I297">
        <v>366.6046</v>
      </c>
      <c r="J297">
        <v>-411.96379999999999</v>
      </c>
      <c r="K297">
        <v>1.0713220000000001</v>
      </c>
      <c r="L297">
        <v>367.71899999999999</v>
      </c>
      <c r="M297">
        <v>0.99988160000000004</v>
      </c>
      <c r="N297">
        <v>-1.510824E-2</v>
      </c>
      <c r="O297">
        <v>-2.9325279999999998E-3</v>
      </c>
      <c r="P297">
        <v>0.98427359999999997</v>
      </c>
      <c r="Q297">
        <v>0.1757628</v>
      </c>
      <c r="R297">
        <v>-1.7688740000000001E-2</v>
      </c>
      <c r="S297">
        <v>3.0500790000000002</v>
      </c>
      <c r="T297">
        <v>-1.3350010000000001E-2</v>
      </c>
      <c r="U297">
        <v>-1.464844E-2</v>
      </c>
      <c r="V297">
        <v>1.484826E-2</v>
      </c>
      <c r="W297">
        <v>0.19061020000000001</v>
      </c>
      <c r="X297">
        <v>0.98155349999999997</v>
      </c>
      <c r="Y297">
        <v>1.869826E-3</v>
      </c>
      <c r="Z297" s="1">
        <v>-4.9691010000000003E-5</v>
      </c>
      <c r="AA297">
        <v>0.99999830000000001</v>
      </c>
      <c r="AB297">
        <v>27</v>
      </c>
      <c r="AC297">
        <v>231.96870000000001</v>
      </c>
      <c r="AD297">
        <v>-1.0164785599999999</v>
      </c>
      <c r="AE297">
        <v>-1.1143999999999801</v>
      </c>
      <c r="AF297">
        <v>0.43405453922985299</v>
      </c>
      <c r="AG297">
        <v>-1.0164785599999999</v>
      </c>
      <c r="AH297">
        <v>231.96651669130401</v>
      </c>
      <c r="AI297">
        <v>90.251068376406806</v>
      </c>
      <c r="AJ297">
        <v>89.892788560584506</v>
      </c>
      <c r="AK297">
        <v>231.96914988399399</v>
      </c>
      <c r="AL297">
        <v>79.011603051924894</v>
      </c>
      <c r="AM297">
        <v>89.133335323359304</v>
      </c>
      <c r="AN297">
        <v>0.99999999626565805</v>
      </c>
    </row>
    <row r="298" spans="1:40" x14ac:dyDescent="0.25">
      <c r="A298" t="str">
        <f>"20190303162502749"</f>
        <v>20190303162502749</v>
      </c>
      <c r="B298" t="str">
        <f>"1551601502742881"</f>
        <v>1551601502742881</v>
      </c>
      <c r="C298" t="s">
        <v>40</v>
      </c>
      <c r="D298">
        <v>4.661232</v>
      </c>
      <c r="E298">
        <v>0.4937491</v>
      </c>
      <c r="F298" t="s">
        <v>43</v>
      </c>
      <c r="G298">
        <v>-158.19499999999999</v>
      </c>
      <c r="H298">
        <v>0.34049559999999901</v>
      </c>
      <c r="I298">
        <v>366.9622</v>
      </c>
      <c r="J298">
        <v>-411.68040000000002</v>
      </c>
      <c r="K298">
        <v>1.0713200000000001</v>
      </c>
      <c r="L298">
        <v>367.71809999999999</v>
      </c>
      <c r="M298">
        <v>0.99988129999999997</v>
      </c>
      <c r="N298">
        <v>-1.51025E-2</v>
      </c>
      <c r="O298">
        <v>-3.047864E-3</v>
      </c>
      <c r="P298">
        <v>0.98445340000000003</v>
      </c>
      <c r="Q298">
        <v>0.174848799999999</v>
      </c>
      <c r="R298">
        <v>-1.671665E-2</v>
      </c>
      <c r="S298">
        <v>3.049347</v>
      </c>
      <c r="T298">
        <v>-8.7807179999999999E-3</v>
      </c>
      <c r="U298">
        <v>-9.0942379999999993E-3</v>
      </c>
      <c r="V298">
        <v>1.3761560000000001E-2</v>
      </c>
      <c r="W298">
        <v>0.1896941</v>
      </c>
      <c r="X298">
        <v>0.98174680000000003</v>
      </c>
      <c r="Y298" s="1">
        <v>-6.5639630000000003E-5</v>
      </c>
      <c r="Z298" s="1">
        <v>-3.6666799999999999E-5</v>
      </c>
      <c r="AA298">
        <v>1</v>
      </c>
      <c r="AB298">
        <v>27</v>
      </c>
      <c r="AC298">
        <v>253.4854</v>
      </c>
      <c r="AD298">
        <v>-0.73082440000000004</v>
      </c>
      <c r="AE298">
        <v>-0.75589999999999602</v>
      </c>
      <c r="AF298">
        <v>-1.67805249464326E-2</v>
      </c>
      <c r="AG298">
        <v>-0.73082440000000004</v>
      </c>
      <c r="AH298">
        <v>253.48441948390999</v>
      </c>
      <c r="AI298">
        <v>90.165189788223998</v>
      </c>
      <c r="AJ298">
        <v>90.003792948134603</v>
      </c>
      <c r="AK298">
        <v>253.48547356206601</v>
      </c>
      <c r="AL298">
        <v>79.065067295218299</v>
      </c>
      <c r="AM298">
        <v>89.196913428874595</v>
      </c>
      <c r="AN298">
        <v>1.0000000057093399</v>
      </c>
    </row>
    <row r="299" spans="1:40" x14ac:dyDescent="0.25">
      <c r="A299" t="str">
        <f>"20190303162502772"</f>
        <v>20190303162502772</v>
      </c>
      <c r="B299" t="str">
        <f>"1551601502763377"</f>
        <v>1551601502763377</v>
      </c>
      <c r="C299" t="s">
        <v>40</v>
      </c>
      <c r="D299">
        <v>4.6795479999999996</v>
      </c>
      <c r="E299">
        <v>0.49333179999999999</v>
      </c>
      <c r="F299" t="s">
        <v>43</v>
      </c>
      <c r="G299">
        <v>-158.19499999999999</v>
      </c>
      <c r="H299">
        <v>0.271312099999999</v>
      </c>
      <c r="I299">
        <v>367.38830000000002</v>
      </c>
      <c r="J299">
        <v>-411.40469999999999</v>
      </c>
      <c r="K299">
        <v>1.0713189999999999</v>
      </c>
      <c r="L299">
        <v>367.71710000000002</v>
      </c>
      <c r="M299">
        <v>0.99988109999999997</v>
      </c>
      <c r="N299">
        <v>-1.509684E-2</v>
      </c>
      <c r="O299">
        <v>-3.1595130000000001E-3</v>
      </c>
      <c r="P299">
        <v>0.98460199999999998</v>
      </c>
      <c r="Q299">
        <v>0.17406679999999999</v>
      </c>
      <c r="R299">
        <v>-1.6118469999999999E-2</v>
      </c>
      <c r="S299">
        <v>3.0489809999999999</v>
      </c>
      <c r="T299">
        <v>-9.6216200000000009E-3</v>
      </c>
      <c r="U299">
        <v>-3.9672850000000001E-3</v>
      </c>
      <c r="V299">
        <v>1.3052909999999999E-2</v>
      </c>
      <c r="W299">
        <v>0.18890889999999999</v>
      </c>
      <c r="X299">
        <v>0.9819078</v>
      </c>
      <c r="Y299">
        <v>-1.858415E-3</v>
      </c>
      <c r="Z299" s="1">
        <v>-2.0770130000000002E-5</v>
      </c>
      <c r="AA299">
        <v>0.99999830000000001</v>
      </c>
      <c r="AB299">
        <v>27</v>
      </c>
      <c r="AC299">
        <v>253.2097</v>
      </c>
      <c r="AD299">
        <v>-0.80000689999999997</v>
      </c>
      <c r="AE299">
        <v>-0.32880000000000098</v>
      </c>
      <c r="AF299">
        <v>-0.47130741480875699</v>
      </c>
      <c r="AG299">
        <v>-0.80000689999999997</v>
      </c>
      <c r="AH299">
        <v>253.20694727818201</v>
      </c>
      <c r="AI299">
        <v>90.181024997616106</v>
      </c>
      <c r="AJ299">
        <v>90.106647526167293</v>
      </c>
      <c r="AK299">
        <v>253.208649717295</v>
      </c>
      <c r="AL299">
        <v>79.110883628609798</v>
      </c>
      <c r="AM299">
        <v>89.238388161928</v>
      </c>
      <c r="AN299">
        <v>0.99999993932975695</v>
      </c>
    </row>
    <row r="300" spans="1:40" x14ac:dyDescent="0.25">
      <c r="A300" t="str">
        <f>"20190303162502795"</f>
        <v>20190303162502795</v>
      </c>
      <c r="B300" t="str">
        <f>"1551601502782897"</f>
        <v>1551601502782897</v>
      </c>
      <c r="C300" t="s">
        <v>40</v>
      </c>
      <c r="D300">
        <v>4.6821519999999897</v>
      </c>
      <c r="E300">
        <v>0.4928401</v>
      </c>
      <c r="F300" t="s">
        <v>43</v>
      </c>
      <c r="G300">
        <v>-158.78319999999999</v>
      </c>
      <c r="H300">
        <v>9.7199439999999998E-2</v>
      </c>
      <c r="I300">
        <v>367.83600000000001</v>
      </c>
      <c r="J300">
        <v>-411.13220000000001</v>
      </c>
      <c r="K300">
        <v>1.071323</v>
      </c>
      <c r="L300">
        <v>367.71609999999998</v>
      </c>
      <c r="M300">
        <v>0.99988080000000001</v>
      </c>
      <c r="N300">
        <v>-1.5091159999999999E-2</v>
      </c>
      <c r="O300">
        <v>-3.2701990000000001E-3</v>
      </c>
      <c r="P300">
        <v>0.98468840000000002</v>
      </c>
      <c r="Q300">
        <v>0.17358180000000001</v>
      </c>
      <c r="R300">
        <v>-1.6076739999999999E-2</v>
      </c>
      <c r="S300">
        <v>3.0490110000000001</v>
      </c>
      <c r="T300">
        <v>-1.175606E-2</v>
      </c>
      <c r="U300">
        <v>1.4343260000000001E-3</v>
      </c>
      <c r="V300">
        <v>1.2901269999999999E-2</v>
      </c>
      <c r="W300">
        <v>0.18841959999999999</v>
      </c>
      <c r="X300">
        <v>0.98200390000000004</v>
      </c>
      <c r="Y300">
        <v>-3.740649E-3</v>
      </c>
      <c r="Z300" s="1">
        <v>-1.3067970000000001E-6</v>
      </c>
      <c r="AA300">
        <v>0.99999300000000002</v>
      </c>
      <c r="AB300">
        <v>27</v>
      </c>
      <c r="AC300">
        <v>252.34899999999999</v>
      </c>
      <c r="AD300">
        <v>-0.97412356</v>
      </c>
      <c r="AE300">
        <v>0.119900000000029</v>
      </c>
      <c r="AF300">
        <v>-0.94521068647319995</v>
      </c>
      <c r="AG300">
        <v>-0.97412356</v>
      </c>
      <c r="AH300">
        <v>252.34349796015599</v>
      </c>
      <c r="AI300">
        <v>90.221176691258094</v>
      </c>
      <c r="AJ300">
        <v>90.214613533711997</v>
      </c>
      <c r="AK300">
        <v>252.347148394269</v>
      </c>
      <c r="AL300">
        <v>79.139432052502301</v>
      </c>
      <c r="AM300">
        <v>89.247308693969202</v>
      </c>
      <c r="AN300">
        <v>1.0000000240234901</v>
      </c>
    </row>
    <row r="301" spans="1:40" x14ac:dyDescent="0.25">
      <c r="A301" t="str">
        <f>"20190303162502819"</f>
        <v>20190303162502819</v>
      </c>
      <c r="B301" t="str">
        <f>"1551601502803394"</f>
        <v>1551601502803394</v>
      </c>
      <c r="C301" t="s">
        <v>40</v>
      </c>
      <c r="D301">
        <v>4.7291379999999998</v>
      </c>
      <c r="E301">
        <v>0.49219859999999999</v>
      </c>
      <c r="F301" t="s">
        <v>41</v>
      </c>
      <c r="G301">
        <v>-222.19139999999999</v>
      </c>
      <c r="H301" s="1">
        <v>-3.6088920000000001E-6</v>
      </c>
      <c r="I301">
        <v>368.0564</v>
      </c>
      <c r="J301">
        <v>-410.8578</v>
      </c>
      <c r="K301">
        <v>1.0713189999999999</v>
      </c>
      <c r="L301">
        <v>367.71510000000001</v>
      </c>
      <c r="M301">
        <v>0.99988049999999995</v>
      </c>
      <c r="N301">
        <v>-1.5085390000000001E-2</v>
      </c>
      <c r="O301">
        <v>-3.3817209999999999E-3</v>
      </c>
      <c r="P301">
        <v>0.98477060000000005</v>
      </c>
      <c r="Q301">
        <v>0.17302089999999901</v>
      </c>
      <c r="R301">
        <v>-1.7046459999999999E-2</v>
      </c>
      <c r="S301">
        <v>3.0497740000000002</v>
      </c>
      <c r="T301">
        <v>-1.7292740000000001E-2</v>
      </c>
      <c r="U301">
        <v>5.493164E-3</v>
      </c>
      <c r="V301">
        <v>1.376087E-2</v>
      </c>
      <c r="W301">
        <v>0.18785479999999999</v>
      </c>
      <c r="X301">
        <v>0.98210039999999998</v>
      </c>
      <c r="Y301">
        <v>-5.1828029999999997E-3</v>
      </c>
      <c r="Z301" s="1">
        <v>2.1945849999999999E-5</v>
      </c>
      <c r="AA301">
        <v>0.99998659999999995</v>
      </c>
      <c r="AB301">
        <v>27</v>
      </c>
      <c r="AC301">
        <v>188.66640000000001</v>
      </c>
      <c r="AD301">
        <v>-1.071322608892</v>
      </c>
      <c r="AE301">
        <v>0.341299999999989</v>
      </c>
      <c r="AF301">
        <v>-0.97935619911320904</v>
      </c>
      <c r="AG301">
        <v>-1.071322608892</v>
      </c>
      <c r="AH301">
        <v>188.65808353430899</v>
      </c>
      <c r="AI301">
        <v>90.325354609895101</v>
      </c>
      <c r="AJ301">
        <v>90.297429464761393</v>
      </c>
      <c r="AK301">
        <v>188.66366728529201</v>
      </c>
      <c r="AL301">
        <v>79.172380731580404</v>
      </c>
      <c r="AM301">
        <v>89.197242784780997</v>
      </c>
      <c r="AN301">
        <v>0.99999999155317798</v>
      </c>
    </row>
    <row r="302" spans="1:40" x14ac:dyDescent="0.25">
      <c r="A302" t="str">
        <f>"20190303162502841"</f>
        <v>20190303162502841</v>
      </c>
      <c r="B302" t="str">
        <f>"1551601502832673"</f>
        <v>1551601502832673</v>
      </c>
      <c r="C302" t="s">
        <v>40</v>
      </c>
      <c r="D302">
        <v>4.8119339999999999</v>
      </c>
      <c r="E302">
        <v>0.49148370000000002</v>
      </c>
      <c r="F302" t="s">
        <v>44</v>
      </c>
      <c r="G302">
        <v>-282.30079999999998</v>
      </c>
      <c r="H302">
        <v>-0.05</v>
      </c>
      <c r="I302">
        <v>368.04289999999997</v>
      </c>
      <c r="J302">
        <v>-410.58839999999998</v>
      </c>
      <c r="K302">
        <v>1.071321</v>
      </c>
      <c r="L302">
        <v>367.71409999999997</v>
      </c>
      <c r="M302">
        <v>0.99988030000000006</v>
      </c>
      <c r="N302">
        <v>-1.507961E-2</v>
      </c>
      <c r="O302">
        <v>-3.491812E-3</v>
      </c>
      <c r="P302">
        <v>0.98490299999999997</v>
      </c>
      <c r="Q302">
        <v>0.17214409999999999</v>
      </c>
      <c r="R302">
        <v>-1.824547E-2</v>
      </c>
      <c r="S302">
        <v>3.0512079999999999</v>
      </c>
      <c r="T302">
        <v>-2.6613709999999999E-2</v>
      </c>
      <c r="U302">
        <v>7.7819819999999998E-3</v>
      </c>
      <c r="V302">
        <v>1.485036E-2</v>
      </c>
      <c r="W302">
        <v>0.18697369999999999</v>
      </c>
      <c r="X302">
        <v>0.98225269999999998</v>
      </c>
      <c r="Y302">
        <v>-6.041935E-3</v>
      </c>
      <c r="Z302" s="1">
        <v>4.9706780000000002E-5</v>
      </c>
      <c r="AA302">
        <v>0.99998180000000003</v>
      </c>
      <c r="AB302">
        <v>27</v>
      </c>
      <c r="AC302">
        <v>128.2876</v>
      </c>
      <c r="AD302">
        <v>-1.121321</v>
      </c>
      <c r="AE302">
        <v>0.32880000000000098</v>
      </c>
      <c r="AF302">
        <v>-0.77674572849017298</v>
      </c>
      <c r="AG302">
        <v>-1.121321</v>
      </c>
      <c r="AH302">
        <v>128.27586934360301</v>
      </c>
      <c r="AI302">
        <v>90.500827996799202</v>
      </c>
      <c r="AJ302">
        <v>90.346937489495602</v>
      </c>
      <c r="AK302">
        <v>128.28312184605099</v>
      </c>
      <c r="AL302">
        <v>79.223775139507396</v>
      </c>
      <c r="AM302">
        <v>89.133829682874804</v>
      </c>
      <c r="AN302">
        <v>1.00000003217055</v>
      </c>
    </row>
    <row r="303" spans="1:40" x14ac:dyDescent="0.25">
      <c r="A303" t="str">
        <f>"20190303162502862"</f>
        <v>20190303162502862</v>
      </c>
      <c r="B303" t="str">
        <f>"1551601502853169"</f>
        <v>1551601502853169</v>
      </c>
      <c r="C303" t="s">
        <v>40</v>
      </c>
      <c r="D303">
        <v>4.7799360000000002</v>
      </c>
      <c r="E303">
        <v>0.49114439999999998</v>
      </c>
      <c r="F303" t="s">
        <v>44</v>
      </c>
      <c r="G303">
        <v>-313.62139999999999</v>
      </c>
      <c r="H303">
        <v>-0.05</v>
      </c>
      <c r="I303">
        <v>368.01170000000002</v>
      </c>
      <c r="J303">
        <v>-410.31900000000002</v>
      </c>
      <c r="K303">
        <v>1.0713239999999999</v>
      </c>
      <c r="L303">
        <v>367.71300000000002</v>
      </c>
      <c r="M303">
        <v>0.99987999999999999</v>
      </c>
      <c r="N303">
        <v>-1.507374E-2</v>
      </c>
      <c r="O303">
        <v>-3.6015460000000002E-3</v>
      </c>
      <c r="P303">
        <v>0.98511360000000003</v>
      </c>
      <c r="Q303">
        <v>0.17076649999999999</v>
      </c>
      <c r="R303">
        <v>-1.9754830000000001E-2</v>
      </c>
      <c r="S303">
        <v>3.0523380000000002</v>
      </c>
      <c r="T303">
        <v>-3.5297040000000002E-2</v>
      </c>
      <c r="U303">
        <v>9.3688959999999998E-3</v>
      </c>
      <c r="V303">
        <v>1.6250379999999998E-2</v>
      </c>
      <c r="W303">
        <v>0.18559349999999999</v>
      </c>
      <c r="X303">
        <v>0.98249219999999904</v>
      </c>
      <c r="Y303">
        <v>-6.6702710000000002E-3</v>
      </c>
      <c r="Z303" s="1">
        <v>7.6199979999999994E-5</v>
      </c>
      <c r="AA303">
        <v>0.99997780000000003</v>
      </c>
      <c r="AB303">
        <v>27</v>
      </c>
      <c r="AC303">
        <v>96.697599999999994</v>
      </c>
      <c r="AD303">
        <v>-1.121324</v>
      </c>
      <c r="AE303">
        <v>0.29869999999999602</v>
      </c>
      <c r="AF303">
        <v>-0.64691146321833204</v>
      </c>
      <c r="AG303">
        <v>-1.121324</v>
      </c>
      <c r="AH303">
        <v>96.682895825104495</v>
      </c>
      <c r="AI303">
        <v>90.664469281012998</v>
      </c>
      <c r="AJ303">
        <v>90.383364018191699</v>
      </c>
      <c r="AK303">
        <v>96.691562233124699</v>
      </c>
      <c r="AL303">
        <v>79.304263003669206</v>
      </c>
      <c r="AM303">
        <v>89.052416601038402</v>
      </c>
      <c r="AN303">
        <v>0.99999997257661599</v>
      </c>
    </row>
    <row r="304" spans="1:40" x14ac:dyDescent="0.25">
      <c r="A304" t="str">
        <f>"20190303162502883"</f>
        <v>20190303162502883</v>
      </c>
      <c r="B304" t="str">
        <f>"1551601502872690"</f>
        <v>1551601502872690</v>
      </c>
      <c r="C304" t="s">
        <v>40</v>
      </c>
      <c r="D304">
        <v>4.763776</v>
      </c>
      <c r="E304">
        <v>0.49080570000000001</v>
      </c>
      <c r="F304" t="s">
        <v>41</v>
      </c>
      <c r="G304">
        <v>-334.62830000000002</v>
      </c>
      <c r="H304" s="1">
        <v>-2.589387E-6</v>
      </c>
      <c r="I304">
        <v>367.91039999999998</v>
      </c>
      <c r="J304">
        <v>-410.07440000000003</v>
      </c>
      <c r="K304">
        <v>1.071323</v>
      </c>
      <c r="L304">
        <v>367.71199999999999</v>
      </c>
      <c r="M304">
        <v>0.99987969999999904</v>
      </c>
      <c r="N304">
        <v>-1.506831E-2</v>
      </c>
      <c r="O304">
        <v>-3.701153E-3</v>
      </c>
      <c r="P304">
        <v>0.98532260000000005</v>
      </c>
      <c r="Q304">
        <v>0.16943279999999999</v>
      </c>
      <c r="R304">
        <v>-2.0787699999999999E-2</v>
      </c>
      <c r="S304">
        <v>3.0529790000000001</v>
      </c>
      <c r="T304">
        <v>-4.3211819999999998E-2</v>
      </c>
      <c r="U304">
        <v>7.9650880000000004E-3</v>
      </c>
      <c r="V304">
        <v>1.7183940000000002E-2</v>
      </c>
      <c r="W304">
        <v>0.18425800000000001</v>
      </c>
      <c r="X304">
        <v>0.98272769999999998</v>
      </c>
      <c r="Y304">
        <v>-6.3091830000000003E-3</v>
      </c>
      <c r="Z304" s="1">
        <v>8.8799739999999999E-5</v>
      </c>
      <c r="AA304">
        <v>0.99998010000000004</v>
      </c>
      <c r="AB304">
        <v>27</v>
      </c>
      <c r="AC304">
        <v>75.446100000000001</v>
      </c>
      <c r="AD304">
        <v>-1.071325589387</v>
      </c>
      <c r="AE304">
        <v>0.198399999999992</v>
      </c>
      <c r="AF304">
        <v>-0.47757158797681099</v>
      </c>
      <c r="AG304">
        <v>-1.071325589387</v>
      </c>
      <c r="AH304">
        <v>75.429639467508196</v>
      </c>
      <c r="AI304">
        <v>90.813699737081606</v>
      </c>
      <c r="AJ304">
        <v>90.362754892984</v>
      </c>
      <c r="AK304">
        <v>75.438758760589295</v>
      </c>
      <c r="AL304">
        <v>79.382124900871403</v>
      </c>
      <c r="AM304">
        <v>88.998230222796195</v>
      </c>
      <c r="AN304">
        <v>1.0000000153526001</v>
      </c>
    </row>
    <row r="305" spans="1:40" x14ac:dyDescent="0.25">
      <c r="A305" t="str">
        <f>"20190303162502905"</f>
        <v>20190303162502905</v>
      </c>
      <c r="B305" t="str">
        <f>"1551601502893185"</f>
        <v>1551601502893185</v>
      </c>
      <c r="C305" t="s">
        <v>40</v>
      </c>
      <c r="D305">
        <v>4.7536639999999997</v>
      </c>
      <c r="E305">
        <v>0.49054249999999999</v>
      </c>
      <c r="F305" t="s">
        <v>41</v>
      </c>
      <c r="G305">
        <v>-346.57170000000002</v>
      </c>
      <c r="H305" s="1">
        <v>-1.9085809999999999E-6</v>
      </c>
      <c r="I305">
        <v>367.8827</v>
      </c>
      <c r="J305">
        <v>-409.81169999999997</v>
      </c>
      <c r="K305">
        <v>1.0713200000000001</v>
      </c>
      <c r="L305">
        <v>367.71089999999998</v>
      </c>
      <c r="M305">
        <v>0.99987939999999997</v>
      </c>
      <c r="N305">
        <v>-1.506238E-2</v>
      </c>
      <c r="O305">
        <v>-3.8077900000000001E-3</v>
      </c>
      <c r="P305">
        <v>0.98532710000000001</v>
      </c>
      <c r="Q305">
        <v>0.16925009999999999</v>
      </c>
      <c r="R305">
        <v>-2.2025670000000001E-2</v>
      </c>
      <c r="S305">
        <v>3.0537109999999998</v>
      </c>
      <c r="T305">
        <v>-5.1517720000000003E-2</v>
      </c>
      <c r="U305">
        <v>8.2092290000000002E-3</v>
      </c>
      <c r="V305">
        <v>1.831677E-2</v>
      </c>
      <c r="W305">
        <v>0.18406910000000001</v>
      </c>
      <c r="X305">
        <v>0.98274260000000002</v>
      </c>
      <c r="Y305">
        <v>-6.4947039999999996E-3</v>
      </c>
      <c r="Z305">
        <v>1.105804E-4</v>
      </c>
      <c r="AA305">
        <v>0.9999789</v>
      </c>
      <c r="AB305">
        <v>27</v>
      </c>
      <c r="AC305">
        <v>63.239999999999903</v>
      </c>
      <c r="AD305">
        <v>-1.071321908581</v>
      </c>
      <c r="AE305">
        <v>0.17180000000001799</v>
      </c>
      <c r="AF305">
        <v>-0.412512308842932</v>
      </c>
      <c r="AG305">
        <v>-1.071321908581</v>
      </c>
      <c r="AH305">
        <v>63.220744026971801</v>
      </c>
      <c r="AI305">
        <v>90.970805454723305</v>
      </c>
      <c r="AJ305">
        <v>90.373846895400703</v>
      </c>
      <c r="AK305">
        <v>63.231166147404302</v>
      </c>
      <c r="AL305">
        <v>79.393136015222197</v>
      </c>
      <c r="AM305">
        <v>88.9322207922649</v>
      </c>
      <c r="AN305">
        <v>0.99999997774640104</v>
      </c>
    </row>
    <row r="306" spans="1:40" x14ac:dyDescent="0.25">
      <c r="A306" t="str">
        <f>"20190303162502928"</f>
        <v>20190303162502928</v>
      </c>
      <c r="B306" t="str">
        <f>"1551601502912705"</f>
        <v>1551601502912705</v>
      </c>
      <c r="C306" t="s">
        <v>40</v>
      </c>
      <c r="D306">
        <v>4.795623</v>
      </c>
      <c r="E306">
        <v>0.49032829999999999</v>
      </c>
      <c r="F306" t="s">
        <v>41</v>
      </c>
      <c r="G306">
        <v>-351.19310000000002</v>
      </c>
      <c r="H306" s="1">
        <v>-4.0756810000000003E-6</v>
      </c>
      <c r="I306">
        <v>367.83909999999997</v>
      </c>
      <c r="J306">
        <v>-409.55079999999998</v>
      </c>
      <c r="K306">
        <v>1.0713220000000001</v>
      </c>
      <c r="L306">
        <v>367.70979999999997</v>
      </c>
      <c r="M306">
        <v>0.99987899999999996</v>
      </c>
      <c r="N306">
        <v>-1.5056430000000001E-2</v>
      </c>
      <c r="O306">
        <v>-3.9138300000000001E-3</v>
      </c>
      <c r="P306">
        <v>0.98540220000000001</v>
      </c>
      <c r="Q306">
        <v>0.16858529999999999</v>
      </c>
      <c r="R306">
        <v>-2.3704099999999999E-2</v>
      </c>
      <c r="S306">
        <v>3.0544129999999998</v>
      </c>
      <c r="T306">
        <v>-5.582297E-2</v>
      </c>
      <c r="U306">
        <v>6.6833500000000002E-3</v>
      </c>
      <c r="V306">
        <v>1.9890040000000001E-2</v>
      </c>
      <c r="W306">
        <v>0.1833998</v>
      </c>
      <c r="X306">
        <v>0.98283719999999997</v>
      </c>
      <c r="Y306">
        <v>-6.1004589999999999E-3</v>
      </c>
      <c r="Z306">
        <v>1.1427E-4</v>
      </c>
      <c r="AA306">
        <v>0.99998140000000002</v>
      </c>
      <c r="AB306">
        <v>27</v>
      </c>
      <c r="AC306">
        <v>58.357699999999902</v>
      </c>
      <c r="AD306">
        <v>-1.0713260756809999</v>
      </c>
      <c r="AE306">
        <v>0.1293</v>
      </c>
      <c r="AF306">
        <v>-0.35760649894782898</v>
      </c>
      <c r="AG306">
        <v>-1.0713260756809999</v>
      </c>
      <c r="AH306">
        <v>58.337086541363703</v>
      </c>
      <c r="AI306">
        <v>91.0520650644401</v>
      </c>
      <c r="AJ306">
        <v>90.351218884837294</v>
      </c>
      <c r="AK306">
        <v>58.3480187161747</v>
      </c>
      <c r="AL306">
        <v>79.432148798786997</v>
      </c>
      <c r="AM306">
        <v>88.840642369211096</v>
      </c>
      <c r="AN306">
        <v>1.0000000310175401</v>
      </c>
    </row>
    <row r="307" spans="1:40" x14ac:dyDescent="0.25">
      <c r="A307" t="str">
        <f>"20190303162502950"</f>
        <v>20190303162502950</v>
      </c>
      <c r="B307" t="str">
        <f>"1551601502942962"</f>
        <v>1551601502942962</v>
      </c>
      <c r="C307" t="s">
        <v>40</v>
      </c>
      <c r="D307">
        <v>4.8034339999999904</v>
      </c>
      <c r="E307">
        <v>0.4900351</v>
      </c>
      <c r="F307" t="s">
        <v>41</v>
      </c>
      <c r="G307">
        <v>-357.31670000000003</v>
      </c>
      <c r="H307" s="1">
        <v>-1.4601E-6</v>
      </c>
      <c r="I307">
        <v>367.77499999999998</v>
      </c>
      <c r="J307">
        <v>-409.28320000000002</v>
      </c>
      <c r="K307">
        <v>1.0713170000000001</v>
      </c>
      <c r="L307">
        <v>367.70859999999999</v>
      </c>
      <c r="M307">
        <v>0.99987870000000001</v>
      </c>
      <c r="N307">
        <v>-1.5050289999999999E-2</v>
      </c>
      <c r="O307">
        <v>-4.0224889999999998E-3</v>
      </c>
      <c r="P307">
        <v>0.98551650000000002</v>
      </c>
      <c r="Q307">
        <v>0.16781969999999999</v>
      </c>
      <c r="R307">
        <v>-2.43751E-2</v>
      </c>
      <c r="S307">
        <v>3.0552670000000002</v>
      </c>
      <c r="T307">
        <v>-6.2663559999999993E-2</v>
      </c>
      <c r="U307">
        <v>3.8146970000000001E-3</v>
      </c>
      <c r="V307">
        <v>2.0452910000000001E-2</v>
      </c>
      <c r="W307">
        <v>0.1826296</v>
      </c>
      <c r="X307">
        <v>0.98296899999999998</v>
      </c>
      <c r="Y307">
        <v>-5.2695140000000003E-3</v>
      </c>
      <c r="Z307">
        <v>1.156476E-4</v>
      </c>
      <c r="AA307">
        <v>0.99998609999999999</v>
      </c>
      <c r="AB307">
        <v>27</v>
      </c>
      <c r="AC307">
        <v>51.966500000000003</v>
      </c>
      <c r="AD307">
        <v>-1.0713184601000001</v>
      </c>
      <c r="AE307">
        <v>6.6399999999987303E-2</v>
      </c>
      <c r="AF307">
        <v>-0.27534078456189498</v>
      </c>
      <c r="AG307">
        <v>-1.0713184601000001</v>
      </c>
      <c r="AH307">
        <v>51.943736241214097</v>
      </c>
      <c r="AI307">
        <v>91.181518071924401</v>
      </c>
      <c r="AJ307">
        <v>90.303707785976997</v>
      </c>
      <c r="AK307">
        <v>51.9555124167534</v>
      </c>
      <c r="AL307">
        <v>79.477035536743799</v>
      </c>
      <c r="AM307">
        <v>88.808002746007404</v>
      </c>
      <c r="AN307">
        <v>0.99999997364231297</v>
      </c>
    </row>
    <row r="308" spans="1:40" x14ac:dyDescent="0.25">
      <c r="A308" t="str">
        <f>"20190303162502973"</f>
        <v>20190303162502973</v>
      </c>
      <c r="B308" t="str">
        <f>"1551601502963457"</f>
        <v>1551601502963457</v>
      </c>
      <c r="C308" t="s">
        <v>40</v>
      </c>
      <c r="D308">
        <v>4.7401960000000001</v>
      </c>
      <c r="E308">
        <v>0.4897628</v>
      </c>
      <c r="F308" t="s">
        <v>41</v>
      </c>
      <c r="G308">
        <v>-363.5498</v>
      </c>
      <c r="H308" s="1">
        <v>-3.07691E-6</v>
      </c>
      <c r="I308">
        <v>367.77019999999999</v>
      </c>
      <c r="J308">
        <v>-409.01549999999997</v>
      </c>
      <c r="K308">
        <v>1.0713159999999999</v>
      </c>
      <c r="L308">
        <v>367.70740000000001</v>
      </c>
      <c r="M308">
        <v>0.9998785</v>
      </c>
      <c r="N308">
        <v>-1.5044109999999999E-2</v>
      </c>
      <c r="O308">
        <v>-4.1312720000000001E-3</v>
      </c>
      <c r="P308">
        <v>0.98569969999999996</v>
      </c>
      <c r="Q308">
        <v>0.16662279999999999</v>
      </c>
      <c r="R308">
        <v>-2.516883E-2</v>
      </c>
      <c r="S308">
        <v>3.0563660000000001</v>
      </c>
      <c r="T308">
        <v>-7.1596259999999995E-2</v>
      </c>
      <c r="U308">
        <v>4.1198729999999996E-3</v>
      </c>
      <c r="V308">
        <v>2.113835E-2</v>
      </c>
      <c r="W308">
        <v>0.1814297</v>
      </c>
      <c r="X308">
        <v>0.98317670000000001</v>
      </c>
      <c r="Y308">
        <v>-5.4770749999999997E-3</v>
      </c>
      <c r="Z308">
        <v>1.399637E-4</v>
      </c>
      <c r="AA308">
        <v>0.99998500000000001</v>
      </c>
      <c r="AB308">
        <v>26</v>
      </c>
      <c r="AC308">
        <v>45.465699999999899</v>
      </c>
      <c r="AD308">
        <v>-1.0713190769099901</v>
      </c>
      <c r="AE308">
        <v>6.2799999999981496E-2</v>
      </c>
      <c r="AF308">
        <v>-0.25051276715748</v>
      </c>
      <c r="AG308">
        <v>-1.0713190769099901</v>
      </c>
      <c r="AH308">
        <v>45.439823116695102</v>
      </c>
      <c r="AI308">
        <v>91.350572156079593</v>
      </c>
      <c r="AJ308">
        <v>90.315872243168997</v>
      </c>
      <c r="AK308">
        <v>45.453140772531803</v>
      </c>
      <c r="AL308">
        <v>79.546953076948</v>
      </c>
      <c r="AM308">
        <v>88.768327529024106</v>
      </c>
      <c r="AN308">
        <v>0.99999999465285105</v>
      </c>
    </row>
    <row r="309" spans="1:40" x14ac:dyDescent="0.25">
      <c r="A309" t="str">
        <f>"20190303162502995"</f>
        <v>20190303162502995</v>
      </c>
      <c r="B309" t="str">
        <f>"1551601502982986"</f>
        <v>1551601502982986</v>
      </c>
      <c r="C309" t="s">
        <v>40</v>
      </c>
      <c r="D309">
        <v>4.8227000000000002</v>
      </c>
      <c r="E309">
        <v>0.48953629999999998</v>
      </c>
      <c r="F309" t="s">
        <v>41</v>
      </c>
      <c r="G309">
        <v>-367.57929999999999</v>
      </c>
      <c r="H309" s="1">
        <v>-1.350521E-6</v>
      </c>
      <c r="I309">
        <v>367.75740000000002</v>
      </c>
      <c r="J309">
        <v>-408.75360000000001</v>
      </c>
      <c r="K309">
        <v>1.0713090000000001</v>
      </c>
      <c r="L309">
        <v>367.70620000000002</v>
      </c>
      <c r="M309">
        <v>0.99987789999999999</v>
      </c>
      <c r="N309">
        <v>-1.5038019999999999E-2</v>
      </c>
      <c r="O309">
        <v>-4.2381399999999996E-3</v>
      </c>
      <c r="P309">
        <v>0.98589579999999999</v>
      </c>
      <c r="Q309">
        <v>0.16543939999999999</v>
      </c>
      <c r="R309">
        <v>-2.528335E-2</v>
      </c>
      <c r="S309">
        <v>3.057007</v>
      </c>
      <c r="T309">
        <v>-7.9037670000000004E-2</v>
      </c>
      <c r="U309">
        <v>3.692627E-3</v>
      </c>
      <c r="V309">
        <v>2.114634E-2</v>
      </c>
      <c r="W309">
        <v>0.18024319999999999</v>
      </c>
      <c r="X309">
        <v>0.98339469999999995</v>
      </c>
      <c r="Y309">
        <v>-5.4434030000000003E-3</v>
      </c>
      <c r="Z309">
        <v>1.571233E-4</v>
      </c>
      <c r="AA309">
        <v>0.99998520000000002</v>
      </c>
      <c r="AB309">
        <v>26</v>
      </c>
      <c r="AC309">
        <v>41.174300000000002</v>
      </c>
      <c r="AD309">
        <v>-1.071310350521</v>
      </c>
      <c r="AE309">
        <v>5.1199999999994299E-2</v>
      </c>
      <c r="AF309">
        <v>-0.22556902318406</v>
      </c>
      <c r="AG309">
        <v>-1.071310350521</v>
      </c>
      <c r="AH309">
        <v>41.145858086080302</v>
      </c>
      <c r="AI309">
        <v>91.491444772078395</v>
      </c>
      <c r="AJ309">
        <v>90.314102661734694</v>
      </c>
      <c r="AK309">
        <v>41.160420611203797</v>
      </c>
      <c r="AL309">
        <v>79.616073719213801</v>
      </c>
      <c r="AM309">
        <v>88.768135175069702</v>
      </c>
      <c r="AN309">
        <v>0.99999995741486103</v>
      </c>
    </row>
    <row r="310" spans="1:40" x14ac:dyDescent="0.25">
      <c r="A310" t="str">
        <f>"20190303162503018"</f>
        <v>20190303162503018</v>
      </c>
      <c r="B310" t="str">
        <f>"1551601503013234"</f>
        <v>1551601503013234</v>
      </c>
      <c r="C310" t="s">
        <v>40</v>
      </c>
      <c r="D310">
        <v>4.800109</v>
      </c>
      <c r="E310">
        <v>0.48951149999999999</v>
      </c>
      <c r="F310" t="s">
        <v>41</v>
      </c>
      <c r="G310">
        <v>-370.13630000000001</v>
      </c>
      <c r="H310" s="1">
        <v>-4.5416330000000001E-6</v>
      </c>
      <c r="I310">
        <v>367.76819999999998</v>
      </c>
      <c r="J310">
        <v>-408.4923</v>
      </c>
      <c r="K310">
        <v>1.071305</v>
      </c>
      <c r="L310">
        <v>367.70499999999998</v>
      </c>
      <c r="M310">
        <v>0.99987760000000003</v>
      </c>
      <c r="N310">
        <v>-1.5031900000000001E-2</v>
      </c>
      <c r="O310">
        <v>-4.3442999999999997E-3</v>
      </c>
      <c r="P310">
        <v>0.98606199999999999</v>
      </c>
      <c r="Q310">
        <v>0.16445370000000001</v>
      </c>
      <c r="R310">
        <v>-2.5245099999999999E-2</v>
      </c>
      <c r="S310">
        <v>3.0572810000000001</v>
      </c>
      <c r="T310">
        <v>-8.4814429999999996E-2</v>
      </c>
      <c r="U310">
        <v>4.9133299999999996E-3</v>
      </c>
      <c r="V310">
        <v>2.100219E-2</v>
      </c>
      <c r="W310">
        <v>0.17925439999999901</v>
      </c>
      <c r="X310">
        <v>0.98357859999999997</v>
      </c>
      <c r="Y310">
        <v>-5.9479800000000003E-3</v>
      </c>
      <c r="Z310">
        <v>1.824025E-4</v>
      </c>
      <c r="AA310">
        <v>0.99998229999999999</v>
      </c>
      <c r="AB310">
        <v>26</v>
      </c>
      <c r="AC310">
        <v>38.356000000000002</v>
      </c>
      <c r="AD310">
        <v>-1.0713095416330001</v>
      </c>
      <c r="AE310">
        <v>6.3199999999994802E-2</v>
      </c>
      <c r="AF310">
        <v>-0.229669029621836</v>
      </c>
      <c r="AG310">
        <v>-1.0713095416330001</v>
      </c>
      <c r="AH310">
        <v>38.325464868192199</v>
      </c>
      <c r="AI310">
        <v>91.601139988085507</v>
      </c>
      <c r="AJ310">
        <v>90.343346352393297</v>
      </c>
      <c r="AK310">
        <v>38.341122953823302</v>
      </c>
      <c r="AL310">
        <v>79.673666756636095</v>
      </c>
      <c r="AM310">
        <v>88.776758651509297</v>
      </c>
      <c r="AN310">
        <v>1.00000004714105</v>
      </c>
    </row>
    <row r="311" spans="1:40" x14ac:dyDescent="0.25">
      <c r="A311" t="str">
        <f>"20190303162503194"</f>
        <v>20190303162503194</v>
      </c>
      <c r="B311" t="str">
        <f>"1551601503183057"</f>
        <v>1551601503183057</v>
      </c>
      <c r="C311" t="s">
        <v>40</v>
      </c>
      <c r="D311">
        <v>4.8855709999999997</v>
      </c>
      <c r="E311">
        <v>0.49039860000000002</v>
      </c>
      <c r="F311" t="s">
        <v>41</v>
      </c>
      <c r="G311">
        <v>-372.42720000000003</v>
      </c>
      <c r="H311" s="1">
        <v>-3.5587299999999999E-6</v>
      </c>
      <c r="I311">
        <v>367.76900000000001</v>
      </c>
      <c r="J311">
        <v>-406.4332</v>
      </c>
      <c r="K311">
        <v>1.0712969999999999</v>
      </c>
      <c r="L311">
        <v>367.6943</v>
      </c>
      <c r="M311">
        <v>0.99987440000000005</v>
      </c>
      <c r="N311">
        <v>-1.4982509999999999E-2</v>
      </c>
      <c r="O311">
        <v>-5.185449E-3</v>
      </c>
      <c r="P311">
        <v>0.98676200000000003</v>
      </c>
      <c r="Q311">
        <v>0.16059179999999901</v>
      </c>
      <c r="R311">
        <v>-2.2608300000000001E-2</v>
      </c>
      <c r="S311">
        <v>3.0576780000000001</v>
      </c>
      <c r="T311">
        <v>-9.0827580000000005E-2</v>
      </c>
      <c r="U311">
        <v>5.432129E-3</v>
      </c>
      <c r="V311">
        <v>1.753039E-2</v>
      </c>
      <c r="W311">
        <v>0.17535519999999999</v>
      </c>
      <c r="X311">
        <v>0.98434909999999998</v>
      </c>
      <c r="Y311">
        <v>-6.9573710000000004E-3</v>
      </c>
      <c r="Z311">
        <v>2.3176140000000001E-4</v>
      </c>
      <c r="AA311">
        <v>0.99997570000000002</v>
      </c>
      <c r="AB311">
        <v>26</v>
      </c>
      <c r="AC311">
        <v>34.005999999999901</v>
      </c>
      <c r="AD311">
        <v>-1.07130055873</v>
      </c>
      <c r="AE311">
        <v>7.4700000000007094E-2</v>
      </c>
      <c r="AF311">
        <v>-0.25080624007507502</v>
      </c>
      <c r="AG311">
        <v>-1.07130055873</v>
      </c>
      <c r="AH311">
        <v>33.971440285859202</v>
      </c>
      <c r="AI311">
        <v>91.806193490381006</v>
      </c>
      <c r="AJ311">
        <v>90.422998784582802</v>
      </c>
      <c r="AK311">
        <v>33.989253356802301</v>
      </c>
      <c r="AL311">
        <v>79.900670338827794</v>
      </c>
      <c r="AM311">
        <v>88.979720515982507</v>
      </c>
      <c r="AN311">
        <v>0.99999995570569999</v>
      </c>
    </row>
    <row r="312" spans="1:40" x14ac:dyDescent="0.25">
      <c r="A312" t="str">
        <f>"20190303162503217"</f>
        <v>20190303162503217</v>
      </c>
      <c r="B312" t="str">
        <f>"1551601503213314"</f>
        <v>1551601503213314</v>
      </c>
      <c r="C312" t="s">
        <v>40</v>
      </c>
      <c r="D312">
        <v>4.9354050000000003</v>
      </c>
      <c r="E312">
        <v>0.4927994</v>
      </c>
      <c r="F312" t="s">
        <v>41</v>
      </c>
      <c r="G312">
        <v>-374.99939999999998</v>
      </c>
      <c r="H312" s="1">
        <v>-2.462057E-6</v>
      </c>
      <c r="I312">
        <v>367.73059999999998</v>
      </c>
      <c r="J312">
        <v>-406.17340000000002</v>
      </c>
      <c r="K312">
        <v>1.071302</v>
      </c>
      <c r="L312">
        <v>367.69279999999998</v>
      </c>
      <c r="M312">
        <v>0.99987389999999998</v>
      </c>
      <c r="N312">
        <v>-1.497619E-2</v>
      </c>
      <c r="O312">
        <v>-5.2910190000000001E-3</v>
      </c>
      <c r="P312">
        <v>0.98638669999999995</v>
      </c>
      <c r="Q312">
        <v>0.1630557</v>
      </c>
      <c r="R312">
        <v>-2.1315529999999999E-2</v>
      </c>
      <c r="S312">
        <v>3.057312</v>
      </c>
      <c r="T312">
        <v>-0.10419630000000001</v>
      </c>
      <c r="U312">
        <v>3.540039E-3</v>
      </c>
      <c r="V312">
        <v>1.6135960000000001E-2</v>
      </c>
      <c r="W312">
        <v>0.17780789999999999</v>
      </c>
      <c r="X312">
        <v>0.9839329</v>
      </c>
      <c r="Y312">
        <v>-6.443135E-3</v>
      </c>
      <c r="Z312">
        <v>2.5907149999999999E-4</v>
      </c>
      <c r="AA312">
        <v>0.99997919999999996</v>
      </c>
      <c r="AB312">
        <v>26</v>
      </c>
      <c r="AC312">
        <v>31.173999999999999</v>
      </c>
      <c r="AD312">
        <v>-1.071304462057</v>
      </c>
      <c r="AE312">
        <v>3.7800000000004198E-2</v>
      </c>
      <c r="AF312">
        <v>-0.20252101738342301</v>
      </c>
      <c r="AG312">
        <v>-1.071304462057</v>
      </c>
      <c r="AH312">
        <v>31.136592032029899</v>
      </c>
      <c r="AI312">
        <v>91.970534323025404</v>
      </c>
      <c r="AJ312">
        <v>90.372662361972601</v>
      </c>
      <c r="AK312">
        <v>31.155674786176199</v>
      </c>
      <c r="AL312">
        <v>79.757897706468796</v>
      </c>
      <c r="AM312">
        <v>89.060464856098505</v>
      </c>
      <c r="AN312">
        <v>0.99999998510497001</v>
      </c>
    </row>
    <row r="313" spans="1:40" x14ac:dyDescent="0.25">
      <c r="A313" t="str">
        <f>"20190303162503241"</f>
        <v>20190303162503241</v>
      </c>
      <c r="B313" t="str">
        <f>"1551601503232833"</f>
        <v>1551601503232833</v>
      </c>
      <c r="C313" t="s">
        <v>40</v>
      </c>
      <c r="D313">
        <v>5.0061600000000004</v>
      </c>
      <c r="E313">
        <v>0.4939962</v>
      </c>
      <c r="F313" t="s">
        <v>41</v>
      </c>
      <c r="G313">
        <v>-373.35410000000002</v>
      </c>
      <c r="H313" s="1">
        <v>-3.1968480000000001E-6</v>
      </c>
      <c r="I313">
        <v>367.56729999999999</v>
      </c>
      <c r="J313">
        <v>-405.892</v>
      </c>
      <c r="K313">
        <v>1.071321</v>
      </c>
      <c r="L313">
        <v>367.69119999999998</v>
      </c>
      <c r="M313">
        <v>0.99987349999999997</v>
      </c>
      <c r="N313">
        <v>-1.4969349999999999E-2</v>
      </c>
      <c r="O313">
        <v>-5.4063490000000004E-3</v>
      </c>
      <c r="P313">
        <v>0.98590449999999996</v>
      </c>
      <c r="Q313">
        <v>0.1660606</v>
      </c>
      <c r="R313">
        <v>-2.0407660000000001E-2</v>
      </c>
      <c r="S313">
        <v>3.057617</v>
      </c>
      <c r="T313">
        <v>-9.9808220000000003E-2</v>
      </c>
      <c r="U313">
        <v>-1.1688230000000001E-2</v>
      </c>
      <c r="V313">
        <v>1.511757E-2</v>
      </c>
      <c r="W313">
        <v>0.1807985</v>
      </c>
      <c r="X313">
        <v>0.98340399999999994</v>
      </c>
      <c r="Y313">
        <v>-1.5822639999999999E-3</v>
      </c>
      <c r="Z313">
        <v>1.3317090000000001E-4</v>
      </c>
      <c r="AA313">
        <v>0.99999870000000002</v>
      </c>
      <c r="AB313">
        <v>26</v>
      </c>
      <c r="AC313">
        <v>32.537899999999901</v>
      </c>
      <c r="AD313">
        <v>-1.0713241968480001</v>
      </c>
      <c r="AE313">
        <v>-0.123899999999991</v>
      </c>
      <c r="AF313">
        <v>-5.1976392166488403E-2</v>
      </c>
      <c r="AG313">
        <v>-1.0713241968480001</v>
      </c>
      <c r="AH313">
        <v>32.502858986356301</v>
      </c>
      <c r="AI313">
        <v>91.887835836862806</v>
      </c>
      <c r="AJ313">
        <v>90.091623489743199</v>
      </c>
      <c r="AK313">
        <v>32.520551646106099</v>
      </c>
      <c r="AL313">
        <v>79.583726729076602</v>
      </c>
      <c r="AM313">
        <v>89.119278815313905</v>
      </c>
      <c r="AN313">
        <v>1.0000000328704699</v>
      </c>
    </row>
    <row r="314" spans="1:40" x14ac:dyDescent="0.25">
      <c r="A314" t="str">
        <f>"20190303162503264"</f>
        <v>20190303162503264</v>
      </c>
      <c r="B314" t="str">
        <f>"1551601503253330"</f>
        <v>1551601503253330</v>
      </c>
      <c r="C314" t="s">
        <v>40</v>
      </c>
      <c r="D314">
        <v>4.9631589999999903</v>
      </c>
      <c r="E314">
        <v>0.49499779999999999</v>
      </c>
      <c r="F314" t="s">
        <v>41</v>
      </c>
      <c r="G314">
        <v>-371.59359999999998</v>
      </c>
      <c r="H314" s="1">
        <v>-3.9663060000000002E-6</v>
      </c>
      <c r="I314">
        <v>367.48719999999997</v>
      </c>
      <c r="J314">
        <v>-405.63069999999999</v>
      </c>
      <c r="K314">
        <v>1.0713410000000001</v>
      </c>
      <c r="L314">
        <v>367.68970000000002</v>
      </c>
      <c r="M314">
        <v>0.99987289999999995</v>
      </c>
      <c r="N314">
        <v>-1.496305E-2</v>
      </c>
      <c r="O314">
        <v>-5.5126300000000001E-3</v>
      </c>
      <c r="P314">
        <v>0.98535589999999995</v>
      </c>
      <c r="Q314">
        <v>0.16935339999999999</v>
      </c>
      <c r="R314">
        <v>-1.9834029999999999E-2</v>
      </c>
      <c r="S314">
        <v>3.0585939999999998</v>
      </c>
      <c r="T314">
        <v>-9.5536469999999998E-2</v>
      </c>
      <c r="U314">
        <v>-1.818848E-2</v>
      </c>
      <c r="V314">
        <v>1.444263E-2</v>
      </c>
      <c r="W314">
        <v>0.18407660000000001</v>
      </c>
      <c r="X314">
        <v>0.98280579999999995</v>
      </c>
      <c r="Y314">
        <v>4.3375100000000002E-4</v>
      </c>
      <c r="Z314" s="1">
        <v>7.9645640000000005E-5</v>
      </c>
      <c r="AA314">
        <v>0.99999990000000005</v>
      </c>
      <c r="AB314">
        <v>26</v>
      </c>
      <c r="AC314">
        <v>34.037100000000002</v>
      </c>
      <c r="AD314">
        <v>-1.071344966306</v>
      </c>
      <c r="AE314">
        <v>-0.20250000000004301</v>
      </c>
      <c r="AF314">
        <v>1.48272952819381E-2</v>
      </c>
      <c r="AG314">
        <v>-1.071344966306</v>
      </c>
      <c r="AH314">
        <v>34.004011668082001</v>
      </c>
      <c r="AI314">
        <v>91.804588262536697</v>
      </c>
      <c r="AJ314">
        <v>89.975016436422294</v>
      </c>
      <c r="AK314">
        <v>34.020887839804701</v>
      </c>
      <c r="AL314">
        <v>79.392699197978601</v>
      </c>
      <c r="AM314">
        <v>89.158081703514895</v>
      </c>
      <c r="AN314">
        <v>1.00000001237125</v>
      </c>
    </row>
    <row r="315" spans="1:40" x14ac:dyDescent="0.25">
      <c r="A315" t="str">
        <f>"20190303162503288"</f>
        <v>20190303162503288</v>
      </c>
      <c r="B315" t="str">
        <f>"1551601503272850"</f>
        <v>1551601503272850</v>
      </c>
      <c r="C315" t="s">
        <v>40</v>
      </c>
      <c r="D315">
        <v>4.9960870000000002</v>
      </c>
      <c r="E315">
        <v>0.49593029999999999</v>
      </c>
      <c r="F315" t="s">
        <v>41</v>
      </c>
      <c r="G315">
        <v>-369.3143</v>
      </c>
      <c r="H315" s="1">
        <v>-8.0918319999999996E-7</v>
      </c>
      <c r="I315">
        <v>367.39980000000003</v>
      </c>
      <c r="J315">
        <v>-405.37970000000001</v>
      </c>
      <c r="K315">
        <v>1.0713509999999999</v>
      </c>
      <c r="L315">
        <v>367.68819999999999</v>
      </c>
      <c r="M315">
        <v>0.99987239999999999</v>
      </c>
      <c r="N315">
        <v>-1.495705E-2</v>
      </c>
      <c r="O315">
        <v>-5.6155700000000003E-3</v>
      </c>
      <c r="P315">
        <v>0.98490080000000002</v>
      </c>
      <c r="Q315">
        <v>0.1719591</v>
      </c>
      <c r="R315">
        <v>-2.001354E-2</v>
      </c>
      <c r="S315">
        <v>3.059631</v>
      </c>
      <c r="T315">
        <v>-9.0259549999999994E-2</v>
      </c>
      <c r="U315">
        <v>-2.4414060000000001E-2</v>
      </c>
      <c r="V315">
        <v>1.452407E-2</v>
      </c>
      <c r="W315">
        <v>0.18666969999999999</v>
      </c>
      <c r="X315">
        <v>0.98231539999999995</v>
      </c>
      <c r="Y315">
        <v>2.36206E-3</v>
      </c>
      <c r="Z315" s="1">
        <v>2.9128179999999999E-5</v>
      </c>
      <c r="AA315">
        <v>0.99999720000000003</v>
      </c>
      <c r="AB315">
        <v>26</v>
      </c>
      <c r="AC315">
        <v>36.065399999999997</v>
      </c>
      <c r="AD315">
        <v>-1.0713518091831999</v>
      </c>
      <c r="AE315">
        <v>-0.28839999999996702</v>
      </c>
      <c r="AF315">
        <v>8.5769340973394004E-2</v>
      </c>
      <c r="AG315">
        <v>-1.0713518091831999</v>
      </c>
      <c r="AH315">
        <v>36.034654719305799</v>
      </c>
      <c r="AI315">
        <v>91.702963072013901</v>
      </c>
      <c r="AJ315">
        <v>89.863625390405005</v>
      </c>
      <c r="AK315">
        <v>36.050679491772101</v>
      </c>
      <c r="AL315">
        <v>79.241505248539895</v>
      </c>
      <c r="AM315">
        <v>89.152912313531601</v>
      </c>
      <c r="AN315">
        <v>1.0000000352923</v>
      </c>
    </row>
    <row r="316" spans="1:40" x14ac:dyDescent="0.25">
      <c r="A316" t="str">
        <f>"20190303162503307"</f>
        <v>20190303162503307</v>
      </c>
      <c r="B316" t="str">
        <f>"1551601503293346"</f>
        <v>1551601503293346</v>
      </c>
      <c r="C316" t="s">
        <v>40</v>
      </c>
      <c r="D316">
        <v>5.0328819999999999</v>
      </c>
      <c r="E316">
        <v>0.49672119999999997</v>
      </c>
      <c r="F316" t="s">
        <v>41</v>
      </c>
      <c r="G316">
        <v>-367.68439999999998</v>
      </c>
      <c r="H316" s="1">
        <v>-1.392815E-6</v>
      </c>
      <c r="I316">
        <v>367.29079999999999</v>
      </c>
      <c r="J316">
        <v>-405.13929999999999</v>
      </c>
      <c r="K316">
        <v>1.071359</v>
      </c>
      <c r="L316">
        <v>367.68669999999997</v>
      </c>
      <c r="M316">
        <v>0.99987199999999998</v>
      </c>
      <c r="N316">
        <v>-1.495118E-2</v>
      </c>
      <c r="O316">
        <v>-5.7141020000000004E-3</v>
      </c>
      <c r="P316">
        <v>0.98443899999999995</v>
      </c>
      <c r="Q316">
        <v>0.17448159999999999</v>
      </c>
      <c r="R316">
        <v>-2.089061E-2</v>
      </c>
      <c r="S316">
        <v>3.0605159999999998</v>
      </c>
      <c r="T316">
        <v>-8.6984039999999999E-2</v>
      </c>
      <c r="U316">
        <v>-3.225708E-2</v>
      </c>
      <c r="V316">
        <v>1.5307039999999999E-2</v>
      </c>
      <c r="W316">
        <v>0.1891786</v>
      </c>
      <c r="X316">
        <v>0.98182340000000001</v>
      </c>
      <c r="Y316">
        <v>4.8221169999999999E-3</v>
      </c>
      <c r="Z316" s="1">
        <v>-2.7636480000000001E-5</v>
      </c>
      <c r="AA316">
        <v>0.9999884</v>
      </c>
      <c r="AB316">
        <v>26</v>
      </c>
      <c r="AC316">
        <v>37.454900000000002</v>
      </c>
      <c r="AD316">
        <v>-1.071360392815</v>
      </c>
      <c r="AE316">
        <v>-0.39589999999998299</v>
      </c>
      <c r="AF316">
        <v>0.18169986497989499</v>
      </c>
      <c r="AG316">
        <v>-1.071360392815</v>
      </c>
      <c r="AH316">
        <v>37.425932771245698</v>
      </c>
      <c r="AI316">
        <v>91.639690514931601</v>
      </c>
      <c r="AJ316">
        <v>89.7218358277796</v>
      </c>
      <c r="AK316">
        <v>37.441704978940699</v>
      </c>
      <c r="AL316">
        <v>79.095148080866494</v>
      </c>
      <c r="AM316">
        <v>89.106807047001396</v>
      </c>
      <c r="AN316">
        <v>1.0000000184795399</v>
      </c>
    </row>
    <row r="317" spans="1:40" x14ac:dyDescent="0.25">
      <c r="A317" t="str">
        <f>"20190303162503330"</f>
        <v>20190303162503330</v>
      </c>
      <c r="B317" t="str">
        <f>"1551601503322626"</f>
        <v>1551601503322626</v>
      </c>
      <c r="C317" t="s">
        <v>40</v>
      </c>
      <c r="D317">
        <v>5.0457429999999999</v>
      </c>
      <c r="E317">
        <v>0.49792910000000001</v>
      </c>
      <c r="F317" t="s">
        <v>41</v>
      </c>
      <c r="G317">
        <v>-365.8972</v>
      </c>
      <c r="H317" s="1">
        <v>-2.1792779999999999E-6</v>
      </c>
      <c r="I317">
        <v>367.15339999999998</v>
      </c>
      <c r="J317">
        <v>-404.87549999999999</v>
      </c>
      <c r="K317">
        <v>1.071367</v>
      </c>
      <c r="L317">
        <v>367.68509999999998</v>
      </c>
      <c r="M317">
        <v>0.99987139999999997</v>
      </c>
      <c r="N317">
        <v>-1.49447E-2</v>
      </c>
      <c r="O317">
        <v>-5.8221649999999998E-3</v>
      </c>
      <c r="P317">
        <v>0.98418439999999996</v>
      </c>
      <c r="Q317">
        <v>0.17584540000000001</v>
      </c>
      <c r="R317">
        <v>-2.1445539999999999E-2</v>
      </c>
      <c r="S317">
        <v>3.0613709999999998</v>
      </c>
      <c r="T317">
        <v>-8.3579180000000003E-2</v>
      </c>
      <c r="U317">
        <v>-4.1595460000000001E-2</v>
      </c>
      <c r="V317">
        <v>1.5757009999999998E-2</v>
      </c>
      <c r="W317">
        <v>0.1905326</v>
      </c>
      <c r="X317">
        <v>0.98155440000000005</v>
      </c>
      <c r="Y317">
        <v>7.7594079999999998E-3</v>
      </c>
      <c r="Z317" s="1">
        <v>-9.1991839999999998E-5</v>
      </c>
      <c r="AA317">
        <v>0.99996989999999997</v>
      </c>
      <c r="AB317">
        <v>26</v>
      </c>
      <c r="AC317">
        <v>38.978299999999898</v>
      </c>
      <c r="AD317">
        <v>-1.071369179278</v>
      </c>
      <c r="AE317">
        <v>-0.53169999999999995</v>
      </c>
      <c r="AF317">
        <v>0.30449754787438699</v>
      </c>
      <c r="AG317">
        <v>-1.071369179278</v>
      </c>
      <c r="AH317">
        <v>38.951313092562899</v>
      </c>
      <c r="AI317">
        <v>91.575494640166298</v>
      </c>
      <c r="AJ317">
        <v>89.552105754583806</v>
      </c>
      <c r="AK317">
        <v>38.967234214270697</v>
      </c>
      <c r="AL317">
        <v>79.016132223524593</v>
      </c>
      <c r="AM317">
        <v>89.080303006592999</v>
      </c>
      <c r="AN317">
        <v>0.99999999759312996</v>
      </c>
    </row>
    <row r="318" spans="1:40" x14ac:dyDescent="0.25">
      <c r="A318" t="str">
        <f>"20190303162503352"</f>
        <v>20190303162503352</v>
      </c>
      <c r="B318" t="str">
        <f>"1551601503344098"</f>
        <v>1551601503344098</v>
      </c>
      <c r="C318" t="s">
        <v>40</v>
      </c>
      <c r="D318">
        <v>5.048108</v>
      </c>
      <c r="E318">
        <v>0.49856929999999999</v>
      </c>
      <c r="F318" t="s">
        <v>41</v>
      </c>
      <c r="G318">
        <v>-366.02870000000001</v>
      </c>
      <c r="H318" s="1">
        <v>-2.1488710000000001E-6</v>
      </c>
      <c r="I318">
        <v>367.00670000000002</v>
      </c>
      <c r="J318">
        <v>-404.61250000000001</v>
      </c>
      <c r="K318">
        <v>1.0713779999999999</v>
      </c>
      <c r="L318">
        <v>367.68340000000001</v>
      </c>
      <c r="M318">
        <v>0.99987099999999995</v>
      </c>
      <c r="N318">
        <v>-1.493821E-2</v>
      </c>
      <c r="O318">
        <v>-5.9299899999999996E-3</v>
      </c>
      <c r="P318">
        <v>0.98386099999999999</v>
      </c>
      <c r="Q318">
        <v>0.17763099999999901</v>
      </c>
      <c r="R318">
        <v>-2.1561960000000002E-2</v>
      </c>
      <c r="S318">
        <v>3.0621339999999999</v>
      </c>
      <c r="T318">
        <v>-8.4451680000000001E-2</v>
      </c>
      <c r="U318">
        <v>-5.3466800000000002E-2</v>
      </c>
      <c r="V318">
        <v>1.576963E-2</v>
      </c>
      <c r="W318">
        <v>0.19230630000000001</v>
      </c>
      <c r="X318">
        <v>0.98120830000000003</v>
      </c>
      <c r="Y318">
        <v>1.152164E-2</v>
      </c>
      <c r="Z318">
        <v>-1.700068E-4</v>
      </c>
      <c r="AA318">
        <v>0.99993359999999998</v>
      </c>
      <c r="AB318">
        <v>26</v>
      </c>
      <c r="AC318">
        <v>38.583799999999997</v>
      </c>
      <c r="AD318">
        <v>-1.071380148871</v>
      </c>
      <c r="AE318">
        <v>-0.67669999999998198</v>
      </c>
      <c r="AF318">
        <v>0.44751610925601298</v>
      </c>
      <c r="AG318">
        <v>-1.071380148871</v>
      </c>
      <c r="AH318">
        <v>38.557414532129599</v>
      </c>
      <c r="AI318">
        <v>91.591539248468706</v>
      </c>
      <c r="AJ318">
        <v>89.335027170066695</v>
      </c>
      <c r="AK318">
        <v>38.574892631009597</v>
      </c>
      <c r="AL318">
        <v>78.9125927659327</v>
      </c>
      <c r="AM318">
        <v>89.079241928538494</v>
      </c>
      <c r="AN318">
        <v>1.0000000611194499</v>
      </c>
    </row>
    <row r="319" spans="1:40" x14ac:dyDescent="0.25">
      <c r="A319" t="str">
        <f>"20190303162503375"</f>
        <v>20190303162503375</v>
      </c>
      <c r="B319" t="str">
        <f>"1551601503362641"</f>
        <v>1551601503362641</v>
      </c>
      <c r="C319" t="s">
        <v>40</v>
      </c>
      <c r="D319">
        <v>5.0820679999999996</v>
      </c>
      <c r="E319">
        <v>0.49920160000000002</v>
      </c>
      <c r="F319" t="s">
        <v>41</v>
      </c>
      <c r="G319">
        <v>-365.10759999999999</v>
      </c>
      <c r="H319" s="1">
        <v>-2.5583530000000001E-6</v>
      </c>
      <c r="I319">
        <v>366.92599999999999</v>
      </c>
      <c r="J319">
        <v>-404.37150000000003</v>
      </c>
      <c r="K319">
        <v>1.0713839999999999</v>
      </c>
      <c r="L319">
        <v>367.68189999999998</v>
      </c>
      <c r="M319">
        <v>0.99987040000000005</v>
      </c>
      <c r="N319">
        <v>-1.493213E-2</v>
      </c>
      <c r="O319">
        <v>-6.0281669999999897E-3</v>
      </c>
      <c r="P319">
        <v>0.98357680000000003</v>
      </c>
      <c r="Q319">
        <v>0.1791509</v>
      </c>
      <c r="R319">
        <v>-2.1941809999999999E-2</v>
      </c>
      <c r="S319">
        <v>3.0629270000000002</v>
      </c>
      <c r="T319">
        <v>-8.3067059999999998E-2</v>
      </c>
      <c r="U319">
        <v>-5.8715820000000002E-2</v>
      </c>
      <c r="V319">
        <v>1.6055050000000001E-2</v>
      </c>
      <c r="W319">
        <v>0.19381609999999999</v>
      </c>
      <c r="X319">
        <v>0.98090650000000001</v>
      </c>
      <c r="Y319">
        <v>1.3131200000000001E-2</v>
      </c>
      <c r="Z319">
        <v>-2.0265959999999999E-4</v>
      </c>
      <c r="AA319">
        <v>0.99991379999999996</v>
      </c>
      <c r="AB319">
        <v>26</v>
      </c>
      <c r="AC319">
        <v>39.2639</v>
      </c>
      <c r="AD319">
        <v>-1.071386558353</v>
      </c>
      <c r="AE319">
        <v>-0.75589999999999602</v>
      </c>
      <c r="AF319">
        <v>0.51878441125416697</v>
      </c>
      <c r="AG319">
        <v>-1.071386558353</v>
      </c>
      <c r="AH319">
        <v>39.238538619007898</v>
      </c>
      <c r="AI319">
        <v>91.563904299517404</v>
      </c>
      <c r="AJ319">
        <v>89.242519560737193</v>
      </c>
      <c r="AK319">
        <v>39.256590776303497</v>
      </c>
      <c r="AL319">
        <v>78.8244282907459</v>
      </c>
      <c r="AM319">
        <v>89.062291387536206</v>
      </c>
      <c r="AN319">
        <v>1.0000000034959799</v>
      </c>
    </row>
    <row r="320" spans="1:40" x14ac:dyDescent="0.25">
      <c r="A320" t="str">
        <f>"20190303162503396"</f>
        <v>20190303162503396</v>
      </c>
      <c r="B320" t="str">
        <f>"1551601503383138"</f>
        <v>1551601503383138</v>
      </c>
      <c r="C320" t="s">
        <v>40</v>
      </c>
      <c r="D320">
        <v>5.1027459999999998</v>
      </c>
      <c r="E320">
        <v>0.49977569999999999</v>
      </c>
      <c r="F320" t="s">
        <v>41</v>
      </c>
      <c r="G320">
        <v>-364.34129999999999</v>
      </c>
      <c r="H320" s="1">
        <v>-2.9022049999999999E-6</v>
      </c>
      <c r="I320">
        <v>366.8408</v>
      </c>
      <c r="J320">
        <v>-404.11919999999998</v>
      </c>
      <c r="K320">
        <v>1.071396</v>
      </c>
      <c r="L320">
        <v>367.68020000000001</v>
      </c>
      <c r="M320">
        <v>0.99986989999999998</v>
      </c>
      <c r="N320">
        <v>-1.492574E-2</v>
      </c>
      <c r="O320">
        <v>-6.1319349999999998E-3</v>
      </c>
      <c r="P320">
        <v>0.98347370000000001</v>
      </c>
      <c r="Q320">
        <v>0.17958550000000001</v>
      </c>
      <c r="R320">
        <v>-2.2999619999999998E-2</v>
      </c>
      <c r="S320">
        <v>3.06366</v>
      </c>
      <c r="T320">
        <v>-8.1997039999999993E-2</v>
      </c>
      <c r="U320">
        <v>-6.4361570000000007E-2</v>
      </c>
      <c r="V320">
        <v>1.701099E-2</v>
      </c>
      <c r="W320">
        <v>0.19424230000000001</v>
      </c>
      <c r="X320">
        <v>0.98080610000000001</v>
      </c>
      <c r="Y320">
        <v>1.4863909999999999E-2</v>
      </c>
      <c r="Z320">
        <v>-2.3727789999999999E-4</v>
      </c>
      <c r="AA320">
        <v>0.99988949999999999</v>
      </c>
      <c r="AB320">
        <v>25</v>
      </c>
      <c r="AC320">
        <v>39.777899999999903</v>
      </c>
      <c r="AD320">
        <v>-1.0713989022049999</v>
      </c>
      <c r="AE320">
        <v>-0.83940000000001103</v>
      </c>
      <c r="AF320">
        <v>0.59501009885201805</v>
      </c>
      <c r="AG320">
        <v>-1.0713989022049999</v>
      </c>
      <c r="AH320">
        <v>39.753472644535101</v>
      </c>
      <c r="AI320">
        <v>91.543636436306301</v>
      </c>
      <c r="AJ320">
        <v>89.142489455473196</v>
      </c>
      <c r="AK320">
        <v>39.772358742287203</v>
      </c>
      <c r="AL320">
        <v>78.799536013594206</v>
      </c>
      <c r="AM320">
        <v>89.006368107936893</v>
      </c>
      <c r="AN320">
        <v>1.0000000253436301</v>
      </c>
    </row>
    <row r="321" spans="1:40" x14ac:dyDescent="0.25">
      <c r="A321" t="str">
        <f>"20190303162503420"</f>
        <v>20190303162503420</v>
      </c>
      <c r="B321" t="str">
        <f>"1551601503413394"</f>
        <v>1551601503413394</v>
      </c>
      <c r="C321" t="s">
        <v>40</v>
      </c>
      <c r="D321">
        <v>5.1433799999999996</v>
      </c>
      <c r="E321">
        <v>0.50062410000000002</v>
      </c>
      <c r="F321" t="s">
        <v>41</v>
      </c>
      <c r="G321">
        <v>-365.2432</v>
      </c>
      <c r="H321" s="1">
        <v>-2.529259E-6</v>
      </c>
      <c r="I321">
        <v>366.76209999999998</v>
      </c>
      <c r="J321">
        <v>-403.85739999999998</v>
      </c>
      <c r="K321">
        <v>1.071401</v>
      </c>
      <c r="L321">
        <v>367.67849999999999</v>
      </c>
      <c r="M321">
        <v>0.99986929999999996</v>
      </c>
      <c r="N321">
        <v>-1.491931E-2</v>
      </c>
      <c r="O321">
        <v>-6.2391670000000003E-3</v>
      </c>
      <c r="P321">
        <v>0.98348780000000002</v>
      </c>
      <c r="Q321">
        <v>0.179376799999999</v>
      </c>
      <c r="R321">
        <v>-2.3996199999999999E-2</v>
      </c>
      <c r="S321">
        <v>3.0641479999999999</v>
      </c>
      <c r="T321">
        <v>-8.444583E-2</v>
      </c>
      <c r="U321">
        <v>-7.2357179999999993E-2</v>
      </c>
      <c r="V321">
        <v>1.79020999999999E-2</v>
      </c>
      <c r="W321">
        <v>0.19402759999999999</v>
      </c>
      <c r="X321">
        <v>0.9808327</v>
      </c>
      <c r="Y321">
        <v>1.7359309999999999E-2</v>
      </c>
      <c r="Z321">
        <v>-2.8986799999999998E-4</v>
      </c>
      <c r="AA321">
        <v>0.99984930000000005</v>
      </c>
      <c r="AB321">
        <v>25</v>
      </c>
      <c r="AC321">
        <v>38.614199999999897</v>
      </c>
      <c r="AD321">
        <v>-1.0714035292590001</v>
      </c>
      <c r="AE321">
        <v>-0.91640000000000998</v>
      </c>
      <c r="AF321">
        <v>0.67491561707908898</v>
      </c>
      <c r="AG321">
        <v>-1.0714035292590001</v>
      </c>
      <c r="AH321">
        <v>38.5894746717061</v>
      </c>
      <c r="AI321">
        <v>91.590116360353207</v>
      </c>
      <c r="AJ321">
        <v>88.998020196647204</v>
      </c>
      <c r="AK321">
        <v>38.610244392530497</v>
      </c>
      <c r="AL321">
        <v>78.812075592602795</v>
      </c>
      <c r="AM321">
        <v>88.954356948686296</v>
      </c>
      <c r="AN321">
        <v>0.99999999006772899</v>
      </c>
    </row>
    <row r="322" spans="1:40" x14ac:dyDescent="0.25">
      <c r="A322" t="str">
        <f>"20190303162503444"</f>
        <v>20190303162503444</v>
      </c>
      <c r="B322" t="str">
        <f>"1551601503433890"</f>
        <v>1551601503433890</v>
      </c>
      <c r="C322" t="s">
        <v>40</v>
      </c>
      <c r="D322">
        <v>5.1199560000000002</v>
      </c>
      <c r="E322">
        <v>0.5011565</v>
      </c>
      <c r="F322" t="s">
        <v>41</v>
      </c>
      <c r="G322">
        <v>-367.60039999999998</v>
      </c>
      <c r="H322" s="1">
        <v>-1.5763719999999999E-6</v>
      </c>
      <c r="I322">
        <v>366.70839999999998</v>
      </c>
      <c r="J322">
        <v>-403.584</v>
      </c>
      <c r="K322">
        <v>1.071394</v>
      </c>
      <c r="L322">
        <v>367.67669999999998</v>
      </c>
      <c r="M322">
        <v>0.9998686</v>
      </c>
      <c r="N322">
        <v>-1.49126E-2</v>
      </c>
      <c r="O322">
        <v>-6.3516329999999998E-3</v>
      </c>
      <c r="P322">
        <v>0.98357159999999999</v>
      </c>
      <c r="Q322">
        <v>0.17881629999999901</v>
      </c>
      <c r="R322">
        <v>-2.4727539999999999E-2</v>
      </c>
      <c r="S322">
        <v>3.06488</v>
      </c>
      <c r="T322">
        <v>-9.0567830000000002E-2</v>
      </c>
      <c r="U322">
        <v>-8.2000729999999994E-2</v>
      </c>
      <c r="V322">
        <v>1.852175E-2</v>
      </c>
      <c r="W322">
        <v>0.19346250000000001</v>
      </c>
      <c r="X322">
        <v>0.98093280000000005</v>
      </c>
      <c r="Y322">
        <v>2.038208E-2</v>
      </c>
      <c r="Z322">
        <v>-3.6017550000000002E-4</v>
      </c>
      <c r="AA322">
        <v>0.99979220000000002</v>
      </c>
      <c r="AB322">
        <v>25</v>
      </c>
      <c r="AC322">
        <v>35.983600000000003</v>
      </c>
      <c r="AD322">
        <v>-1.071395576372</v>
      </c>
      <c r="AE322">
        <v>-0.96829999999999905</v>
      </c>
      <c r="AF322">
        <v>0.739045710387779</v>
      </c>
      <c r="AG322">
        <v>-1.071395576372</v>
      </c>
      <c r="AH322">
        <v>35.957171126345102</v>
      </c>
      <c r="AI322">
        <v>91.706344936653394</v>
      </c>
      <c r="AJ322">
        <v>88.822536992219298</v>
      </c>
      <c r="AK322">
        <v>35.9807202881262</v>
      </c>
      <c r="AL322">
        <v>78.845078628270201</v>
      </c>
      <c r="AM322">
        <v>88.918282663668705</v>
      </c>
      <c r="AN322">
        <v>0.99999997612257596</v>
      </c>
    </row>
    <row r="323" spans="1:40" x14ac:dyDescent="0.25">
      <c r="A323" t="str">
        <f>"20190303162503470"</f>
        <v>20190303162503470</v>
      </c>
      <c r="B323" t="str">
        <f>"1551601503463170"</f>
        <v>1551601503463170</v>
      </c>
      <c r="C323" t="s">
        <v>40</v>
      </c>
      <c r="D323">
        <v>5.1364539999999996</v>
      </c>
      <c r="E323">
        <v>0.50187349999999997</v>
      </c>
      <c r="F323" t="s">
        <v>41</v>
      </c>
      <c r="G323">
        <v>-369.41669999999999</v>
      </c>
      <c r="H323" s="1">
        <v>-9.6258650000000005E-7</v>
      </c>
      <c r="I323">
        <v>366.69220000000001</v>
      </c>
      <c r="J323">
        <v>-403.3252</v>
      </c>
      <c r="K323">
        <v>1.071391</v>
      </c>
      <c r="L323">
        <v>367.67489999999998</v>
      </c>
      <c r="M323">
        <v>0.99986819999999998</v>
      </c>
      <c r="N323">
        <v>-1.4904219999999999E-2</v>
      </c>
      <c r="O323">
        <v>-6.4575419999999897E-3</v>
      </c>
      <c r="P323">
        <v>0.98364830000000003</v>
      </c>
      <c r="Q323">
        <v>0.17832010000000001</v>
      </c>
      <c r="R323">
        <v>-2.5259719999999999E-2</v>
      </c>
      <c r="S323">
        <v>3.065369</v>
      </c>
      <c r="T323">
        <v>-9.6121789999999999E-2</v>
      </c>
      <c r="U323">
        <v>-8.8317870000000007E-2</v>
      </c>
      <c r="V323">
        <v>1.894935E-2</v>
      </c>
      <c r="W323">
        <v>0.19295860000000001</v>
      </c>
      <c r="X323">
        <v>0.98102389999999995</v>
      </c>
      <c r="Y323">
        <v>2.232806E-2</v>
      </c>
      <c r="Z323">
        <v>-4.1023740000000001E-4</v>
      </c>
      <c r="AA323">
        <v>0.99975060000000004</v>
      </c>
      <c r="AB323">
        <v>25</v>
      </c>
      <c r="AC323">
        <v>33.908499999999997</v>
      </c>
      <c r="AD323">
        <v>-1.0713919625865</v>
      </c>
      <c r="AE323">
        <v>-0.98269999999996505</v>
      </c>
      <c r="AF323">
        <v>0.76292862174701304</v>
      </c>
      <c r="AG323">
        <v>-1.0713919625865</v>
      </c>
      <c r="AH323">
        <v>33.880343570717798</v>
      </c>
      <c r="AI323">
        <v>91.810791717877393</v>
      </c>
      <c r="AJ323">
        <v>88.710012968697001</v>
      </c>
      <c r="AK323">
        <v>33.905864113590397</v>
      </c>
      <c r="AL323">
        <v>78.874504655157594</v>
      </c>
      <c r="AM323">
        <v>88.893418619744295</v>
      </c>
      <c r="AN323">
        <v>0.99999999577529597</v>
      </c>
    </row>
    <row r="324" spans="1:40" x14ac:dyDescent="0.25">
      <c r="A324" t="str">
        <f>"20190303162503494"</f>
        <v>20190303162503494</v>
      </c>
      <c r="B324" t="str">
        <f>"1551601503482690"</f>
        <v>1551601503482690</v>
      </c>
      <c r="C324" t="s">
        <v>40</v>
      </c>
      <c r="D324">
        <v>5.201708</v>
      </c>
      <c r="E324">
        <v>0.50235490000000005</v>
      </c>
      <c r="F324" t="s">
        <v>41</v>
      </c>
      <c r="G324">
        <v>-371.52589999999998</v>
      </c>
      <c r="H324" s="1">
        <v>-4.1375020000000003E-6</v>
      </c>
      <c r="I324">
        <v>366.6857</v>
      </c>
      <c r="J324">
        <v>-403.01760000000002</v>
      </c>
      <c r="K324">
        <v>1.071388</v>
      </c>
      <c r="L324">
        <v>367.6728</v>
      </c>
      <c r="M324">
        <v>0.99986770000000003</v>
      </c>
      <c r="N324">
        <v>-1.487496E-2</v>
      </c>
      <c r="O324">
        <v>-6.5837889999999996E-3</v>
      </c>
      <c r="P324">
        <v>0.98357000000000006</v>
      </c>
      <c r="Q324">
        <v>0.17866699999999999</v>
      </c>
      <c r="R324">
        <v>-2.585378E-2</v>
      </c>
      <c r="S324">
        <v>3.0661930000000002</v>
      </c>
      <c r="T324">
        <v>-0.1033075</v>
      </c>
      <c r="U324">
        <v>-9.5367430000000003E-2</v>
      </c>
      <c r="V324">
        <v>1.9419280000000001E-2</v>
      </c>
      <c r="W324">
        <v>0.1932758</v>
      </c>
      <c r="X324">
        <v>0.9809523</v>
      </c>
      <c r="Y324">
        <v>2.448699E-2</v>
      </c>
      <c r="Z324">
        <v>-4.707488E-4</v>
      </c>
      <c r="AA324">
        <v>0.99970000000000003</v>
      </c>
      <c r="AB324">
        <v>25</v>
      </c>
      <c r="AC324">
        <v>31.491700000000002</v>
      </c>
      <c r="AD324">
        <v>-1.0713921375019999</v>
      </c>
      <c r="AE324">
        <v>-0.98709999999999798</v>
      </c>
      <c r="AF324">
        <v>0.77882038868474901</v>
      </c>
      <c r="AG324">
        <v>-1.0713921375019999</v>
      </c>
      <c r="AH324">
        <v>31.461137736936799</v>
      </c>
      <c r="AI324">
        <v>91.949826355489293</v>
      </c>
      <c r="AJ324">
        <v>88.581932737782907</v>
      </c>
      <c r="AK324">
        <v>31.489008082387102</v>
      </c>
      <c r="AL324">
        <v>78.855982128986994</v>
      </c>
      <c r="AM324">
        <v>88.865900541016302</v>
      </c>
      <c r="AN324">
        <v>1.00000002908832</v>
      </c>
    </row>
    <row r="325" spans="1:40" x14ac:dyDescent="0.25">
      <c r="A325" t="str">
        <f>"20190303162503513"</f>
        <v>20190303162503513</v>
      </c>
      <c r="B325" t="str">
        <f>"1551601503503186"</f>
        <v>1551601503503186</v>
      </c>
      <c r="C325" t="s">
        <v>40</v>
      </c>
      <c r="D325">
        <v>5.1896630000000004</v>
      </c>
      <c r="E325">
        <v>0.50279289999999999</v>
      </c>
      <c r="F325" t="s">
        <v>41</v>
      </c>
      <c r="G325">
        <v>-372.05110000000002</v>
      </c>
      <c r="H325" s="1">
        <v>-3.9174960000000001E-6</v>
      </c>
      <c r="I325">
        <v>366.6558</v>
      </c>
      <c r="J325">
        <v>-402.7996</v>
      </c>
      <c r="K325">
        <v>1.071375</v>
      </c>
      <c r="L325">
        <v>367.6712</v>
      </c>
      <c r="M325">
        <v>0.99986810000000004</v>
      </c>
      <c r="N325">
        <v>-1.481036E-2</v>
      </c>
      <c r="O325">
        <v>-6.6734250000000002E-3</v>
      </c>
      <c r="P325">
        <v>0.98352530000000005</v>
      </c>
      <c r="Q325">
        <v>0.17879990000000001</v>
      </c>
      <c r="R325">
        <v>-2.661931E-2</v>
      </c>
      <c r="S325">
        <v>3.0667420000000001</v>
      </c>
      <c r="T325">
        <v>-0.1061043</v>
      </c>
      <c r="U325">
        <v>-0.10070800000000001</v>
      </c>
      <c r="V325">
        <v>2.0097190000000001E-2</v>
      </c>
      <c r="W325">
        <v>0.1933445</v>
      </c>
      <c r="X325">
        <v>0.98092509999999999</v>
      </c>
      <c r="Y325">
        <v>2.6128769999999999E-2</v>
      </c>
      <c r="Z325">
        <v>-5.1343319999999995E-4</v>
      </c>
      <c r="AA325">
        <v>0.99965850000000001</v>
      </c>
      <c r="AB325">
        <v>25</v>
      </c>
      <c r="AC325">
        <v>30.7484999999999</v>
      </c>
      <c r="AD325">
        <v>-1.071378917496</v>
      </c>
      <c r="AE325">
        <v>-1.0153999999999901</v>
      </c>
      <c r="AF325">
        <v>0.80917576398581603</v>
      </c>
      <c r="AG325">
        <v>-1.071378917496</v>
      </c>
      <c r="AH325">
        <v>30.717340181005401</v>
      </c>
      <c r="AI325">
        <v>91.996896671142395</v>
      </c>
      <c r="AJ325">
        <v>88.491027015902802</v>
      </c>
      <c r="AK325">
        <v>30.746668209701799</v>
      </c>
      <c r="AL325">
        <v>78.851970158506802</v>
      </c>
      <c r="AM325">
        <v>88.826288477335297</v>
      </c>
      <c r="AN325">
        <v>1.0000000222680701</v>
      </c>
    </row>
    <row r="326" spans="1:40" x14ac:dyDescent="0.25">
      <c r="A326" t="str">
        <f>"20190303162503532"</f>
        <v>20190303162503532</v>
      </c>
      <c r="B326" t="str">
        <f>"1551601503522706"</f>
        <v>1551601503522706</v>
      </c>
      <c r="C326" t="s">
        <v>40</v>
      </c>
      <c r="D326">
        <v>5.1681319999999999</v>
      </c>
      <c r="E326">
        <v>0.50320429999999905</v>
      </c>
      <c r="F326" t="s">
        <v>41</v>
      </c>
      <c r="G326">
        <v>-372.67809999999997</v>
      </c>
      <c r="H326" s="1">
        <v>-3.653382E-6</v>
      </c>
      <c r="I326">
        <v>366.62849999999997</v>
      </c>
      <c r="J326">
        <v>-402.5924</v>
      </c>
      <c r="K326">
        <v>1.0713469999999901</v>
      </c>
      <c r="L326">
        <v>367.66969999999998</v>
      </c>
      <c r="M326">
        <v>0.99986929999999996</v>
      </c>
      <c r="N326">
        <v>-1.469178E-2</v>
      </c>
      <c r="O326">
        <v>-6.7602879999999997E-3</v>
      </c>
      <c r="P326">
        <v>0.98362819999999995</v>
      </c>
      <c r="Q326">
        <v>0.17814749999999999</v>
      </c>
      <c r="R326">
        <v>-2.719541E-2</v>
      </c>
      <c r="S326">
        <v>3.0672609999999998</v>
      </c>
      <c r="T326">
        <v>-0.109098</v>
      </c>
      <c r="U326">
        <v>-0.10617070000000001</v>
      </c>
      <c r="V326">
        <v>2.058697E-2</v>
      </c>
      <c r="W326">
        <v>0.19257769999999999</v>
      </c>
      <c r="X326">
        <v>0.98106579999999999</v>
      </c>
      <c r="Y326">
        <v>2.7812320000000001E-2</v>
      </c>
      <c r="Z326">
        <v>-5.5777110000000002E-4</v>
      </c>
      <c r="AA326">
        <v>0.99961299999999997</v>
      </c>
      <c r="AB326">
        <v>25</v>
      </c>
      <c r="AC326">
        <v>29.914300000000001</v>
      </c>
      <c r="AD326">
        <v>-1.0713506533820001</v>
      </c>
      <c r="AE326">
        <v>-1.0411999999999999</v>
      </c>
      <c r="AF326">
        <v>0.83785174318224098</v>
      </c>
      <c r="AG326">
        <v>-1.0713506533820001</v>
      </c>
      <c r="AH326">
        <v>29.882373829655201</v>
      </c>
      <c r="AI326">
        <v>92.052497822654402</v>
      </c>
      <c r="AJ326">
        <v>88.393943025563701</v>
      </c>
      <c r="AK326">
        <v>29.913308968773698</v>
      </c>
      <c r="AL326">
        <v>78.896746362032005</v>
      </c>
      <c r="AM326">
        <v>88.797865132312097</v>
      </c>
      <c r="AN326">
        <v>1.00000004890035</v>
      </c>
    </row>
    <row r="327" spans="1:40" x14ac:dyDescent="0.25">
      <c r="A327" t="str">
        <f>"20190303162503555"</f>
        <v>20190303162503555</v>
      </c>
      <c r="B327" t="str">
        <f>"1551601503543202"</f>
        <v>1551601503543202</v>
      </c>
      <c r="C327" t="s">
        <v>40</v>
      </c>
      <c r="D327">
        <v>5.27006</v>
      </c>
      <c r="E327">
        <v>0.5035115</v>
      </c>
      <c r="F327" t="s">
        <v>41</v>
      </c>
      <c r="G327">
        <v>-373.83940000000001</v>
      </c>
      <c r="H327" s="1">
        <v>-3.1552939999999999E-6</v>
      </c>
      <c r="I327">
        <v>366.62790000000001</v>
      </c>
      <c r="J327">
        <v>-402.33179999999999</v>
      </c>
      <c r="K327">
        <v>1.0712930000000001</v>
      </c>
      <c r="L327">
        <v>367.6678</v>
      </c>
      <c r="M327">
        <v>0.99987179999999998</v>
      </c>
      <c r="N327">
        <v>-1.4470230000000001E-2</v>
      </c>
      <c r="O327">
        <v>-6.8656300000000002E-3</v>
      </c>
      <c r="P327">
        <v>0.98356140000000003</v>
      </c>
      <c r="Q327">
        <v>0.17833540000000001</v>
      </c>
      <c r="R327">
        <v>-2.8351149999999999E-2</v>
      </c>
      <c r="S327">
        <v>3.0675659999999998</v>
      </c>
      <c r="T327">
        <v>-0.11429880000000001</v>
      </c>
      <c r="U327">
        <v>-0.11114499999999999</v>
      </c>
      <c r="V327">
        <v>2.164077E-2</v>
      </c>
      <c r="W327">
        <v>0.19254689999999999</v>
      </c>
      <c r="X327">
        <v>0.98104910000000001</v>
      </c>
      <c r="Y327">
        <v>2.9319410000000001E-2</v>
      </c>
      <c r="Z327">
        <v>-6.0183890000000003E-4</v>
      </c>
      <c r="AA327">
        <v>0.99956990000000001</v>
      </c>
      <c r="AB327">
        <v>25</v>
      </c>
      <c r="AC327">
        <v>28.4923999999999</v>
      </c>
      <c r="AD327">
        <v>-1.0712961552939999</v>
      </c>
      <c r="AE327">
        <v>-1.0398999999999801</v>
      </c>
      <c r="AF327">
        <v>0.84304650039464502</v>
      </c>
      <c r="AG327">
        <v>-1.0712961552939999</v>
      </c>
      <c r="AH327">
        <v>28.458689767847201</v>
      </c>
      <c r="AI327">
        <v>92.154874427488394</v>
      </c>
      <c r="AJ327">
        <v>88.303193690390103</v>
      </c>
      <c r="AK327">
        <v>28.4913219447035</v>
      </c>
      <c r="AL327">
        <v>78.898544000523799</v>
      </c>
      <c r="AM327">
        <v>88.736328555733806</v>
      </c>
      <c r="AN327">
        <v>0.99999998411830604</v>
      </c>
    </row>
    <row r="328" spans="1:40" x14ac:dyDescent="0.25">
      <c r="A328" t="str">
        <f>"20190303162503575"</f>
        <v>20190303162503575</v>
      </c>
      <c r="B328" t="str">
        <f>"1551601503562722"</f>
        <v>1551601503562722</v>
      </c>
      <c r="C328" t="s">
        <v>40</v>
      </c>
      <c r="D328">
        <v>5.0871779999999998</v>
      </c>
      <c r="E328">
        <v>0.50374339999999995</v>
      </c>
      <c r="F328" t="s">
        <v>41</v>
      </c>
      <c r="G328">
        <v>-373.94549999999998</v>
      </c>
      <c r="H328" s="1">
        <v>-3.1177639999999999E-6</v>
      </c>
      <c r="I328">
        <v>366.58280000000002</v>
      </c>
      <c r="J328">
        <v>-402.10489999999999</v>
      </c>
      <c r="K328">
        <v>1.0712360000000001</v>
      </c>
      <c r="L328">
        <v>367.66609999999997</v>
      </c>
      <c r="M328">
        <v>0.99987459999999995</v>
      </c>
      <c r="N328">
        <v>-1.4234689999999999E-2</v>
      </c>
      <c r="O328">
        <v>-6.9583269999999899E-3</v>
      </c>
      <c r="P328">
        <v>0.98365899999999995</v>
      </c>
      <c r="Q328">
        <v>0.17779049999999999</v>
      </c>
      <c r="R328">
        <v>-2.838829E-2</v>
      </c>
      <c r="S328">
        <v>3.0677490000000001</v>
      </c>
      <c r="T328">
        <v>-0.1157762</v>
      </c>
      <c r="U328">
        <v>-0.11724850000000001</v>
      </c>
      <c r="V328">
        <v>2.1585790000000001E-2</v>
      </c>
      <c r="W328">
        <v>0.1917719</v>
      </c>
      <c r="X328">
        <v>0.98120209999999997</v>
      </c>
      <c r="Y328">
        <v>3.1208320000000001E-2</v>
      </c>
      <c r="Z328">
        <v>-6.4738890000000002E-4</v>
      </c>
      <c r="AA328">
        <v>0.99951270000000003</v>
      </c>
      <c r="AB328">
        <v>25</v>
      </c>
      <c r="AC328">
        <v>28.159400000000002</v>
      </c>
      <c r="AD328">
        <v>-1.0712391177639999</v>
      </c>
      <c r="AE328">
        <v>-1.08329999999995</v>
      </c>
      <c r="AF328">
        <v>0.88603126406143895</v>
      </c>
      <c r="AG328">
        <v>-1.0712391177639999</v>
      </c>
      <c r="AH328">
        <v>28.1256138530748</v>
      </c>
      <c r="AI328">
        <v>92.1801279650238</v>
      </c>
      <c r="AJ328">
        <v>88.195628064213295</v>
      </c>
      <c r="AK328">
        <v>28.159949560689899</v>
      </c>
      <c r="AL328">
        <v>78.943791480258099</v>
      </c>
      <c r="AM328">
        <v>88.7397344527445</v>
      </c>
      <c r="AN328">
        <v>0.99999998450197103</v>
      </c>
    </row>
    <row r="329" spans="1:40" x14ac:dyDescent="0.25">
      <c r="A329" t="str">
        <f>"20190303162503597"</f>
        <v>20190303162503597</v>
      </c>
      <c r="B329" t="str">
        <f>"1551601503592978"</f>
        <v>1551601503592978</v>
      </c>
      <c r="C329" t="s">
        <v>40</v>
      </c>
      <c r="D329">
        <v>5.0539949999999996</v>
      </c>
      <c r="E329">
        <v>0.50403880000000001</v>
      </c>
      <c r="F329" t="s">
        <v>41</v>
      </c>
      <c r="G329">
        <v>-374.39479999999998</v>
      </c>
      <c r="H329" s="1">
        <v>-2.9238880000000002E-6</v>
      </c>
      <c r="I329">
        <v>366.58909999999997</v>
      </c>
      <c r="J329">
        <v>-401.85449999999997</v>
      </c>
      <c r="K329">
        <v>1.071191</v>
      </c>
      <c r="L329">
        <v>367.66430000000003</v>
      </c>
      <c r="M329">
        <v>0.99987749999999997</v>
      </c>
      <c r="N329">
        <v>-1.3973050000000001E-2</v>
      </c>
      <c r="O329">
        <v>-7.0626409999999997E-3</v>
      </c>
      <c r="P329">
        <v>0.98374079999999997</v>
      </c>
      <c r="Q329">
        <v>0.1773188</v>
      </c>
      <c r="R329">
        <v>-2.8496359999999998E-2</v>
      </c>
      <c r="S329">
        <v>3.0678100000000001</v>
      </c>
      <c r="T329">
        <v>-0.118598</v>
      </c>
      <c r="U329">
        <v>-0.119232199999999</v>
      </c>
      <c r="V329">
        <v>2.1589730000000001E-2</v>
      </c>
      <c r="W329">
        <v>0.1910451</v>
      </c>
      <c r="X329">
        <v>0.98134379999999999</v>
      </c>
      <c r="Y329">
        <v>3.1747169999999998E-2</v>
      </c>
      <c r="Z329">
        <v>-6.6102079999999996E-4</v>
      </c>
      <c r="AA329">
        <v>0.99949569999999999</v>
      </c>
      <c r="AB329">
        <v>25</v>
      </c>
      <c r="AC329">
        <v>27.459700000000002</v>
      </c>
      <c r="AD329">
        <v>-1.0711939238879999</v>
      </c>
      <c r="AE329">
        <v>-1.0752000000000499</v>
      </c>
      <c r="AF329">
        <v>0.87987934282949598</v>
      </c>
      <c r="AG329">
        <v>-1.0711939238879999</v>
      </c>
      <c r="AH329">
        <v>27.424939352219301</v>
      </c>
      <c r="AI329">
        <v>92.235636405441497</v>
      </c>
      <c r="AJ329">
        <v>88.162399358122798</v>
      </c>
      <c r="AK329">
        <v>27.4599516123649</v>
      </c>
      <c r="AL329">
        <v>78.986218686218095</v>
      </c>
      <c r="AM329">
        <v>88.739686442928601</v>
      </c>
      <c r="AN329">
        <v>1.00000000023696</v>
      </c>
    </row>
    <row r="330" spans="1:40" x14ac:dyDescent="0.25">
      <c r="A330" t="str">
        <f>"20190303162503620"</f>
        <v>20190303162503620</v>
      </c>
      <c r="B330" t="str">
        <f>"1551601503613474"</f>
        <v>1551601503613474</v>
      </c>
      <c r="C330" t="s">
        <v>40</v>
      </c>
      <c r="D330">
        <v>5.040019</v>
      </c>
      <c r="E330">
        <v>0.50419179999999997</v>
      </c>
      <c r="F330" t="s">
        <v>41</v>
      </c>
      <c r="G330">
        <v>-374.7013</v>
      </c>
      <c r="H330" s="1">
        <v>-2.7929789999999998E-6</v>
      </c>
      <c r="I330">
        <v>366.58589999999998</v>
      </c>
      <c r="J330">
        <v>-401.60050000000001</v>
      </c>
      <c r="K330">
        <v>1.071161</v>
      </c>
      <c r="L330">
        <v>367.66239999999999</v>
      </c>
      <c r="M330">
        <v>0.99988010000000005</v>
      </c>
      <c r="N330">
        <v>-1.372877E-2</v>
      </c>
      <c r="O330">
        <v>-7.172108E-3</v>
      </c>
      <c r="P330">
        <v>0.98379190000000005</v>
      </c>
      <c r="Q330">
        <v>0.17701220000000001</v>
      </c>
      <c r="R330">
        <v>-2.8642560000000001E-2</v>
      </c>
      <c r="S330">
        <v>3.0679020000000001</v>
      </c>
      <c r="T330">
        <v>-0.12102839999999999</v>
      </c>
      <c r="U330">
        <v>-0.1218262</v>
      </c>
      <c r="V330">
        <v>2.162656E-2</v>
      </c>
      <c r="W330">
        <v>0.19049930000000001</v>
      </c>
      <c r="X330">
        <v>0.98144909999999996</v>
      </c>
      <c r="Y330">
        <v>3.2478849999999997E-2</v>
      </c>
      <c r="Z330">
        <v>-6.7900860000000003E-4</v>
      </c>
      <c r="AA330">
        <v>0.99947220000000003</v>
      </c>
      <c r="AB330">
        <v>25</v>
      </c>
      <c r="AC330">
        <v>26.8992</v>
      </c>
      <c r="AD330">
        <v>-1.0711637929790001</v>
      </c>
      <c r="AE330">
        <v>-1.07650000000001</v>
      </c>
      <c r="AF330">
        <v>0.88213356783358199</v>
      </c>
      <c r="AG330">
        <v>-1.0711637929790001</v>
      </c>
      <c r="AH330">
        <v>26.863698697596199</v>
      </c>
      <c r="AI330">
        <v>92.2821749054295</v>
      </c>
      <c r="AJ330">
        <v>88.119232345772303</v>
      </c>
      <c r="AK330">
        <v>26.899514107472701</v>
      </c>
      <c r="AL330">
        <v>79.018075949268507</v>
      </c>
      <c r="AM330">
        <v>88.737672570832103</v>
      </c>
      <c r="AN330">
        <v>1.0000000136443601</v>
      </c>
    </row>
    <row r="331" spans="1:40" x14ac:dyDescent="0.25">
      <c r="A331" t="str">
        <f>"20190303162503644"</f>
        <v>20190303162503644</v>
      </c>
      <c r="B331" t="str">
        <f>"1551601503632994"</f>
        <v>1551601503632994</v>
      </c>
      <c r="C331" t="s">
        <v>40</v>
      </c>
      <c r="D331">
        <v>5.0430479999999998</v>
      </c>
      <c r="E331">
        <v>0.50434230000000002</v>
      </c>
      <c r="F331" t="s">
        <v>41</v>
      </c>
      <c r="G331">
        <v>-374.94900000000001</v>
      </c>
      <c r="H331" s="1">
        <v>-2.6861439999999999E-6</v>
      </c>
      <c r="I331">
        <v>366.58909999999997</v>
      </c>
      <c r="J331">
        <v>-401.3288</v>
      </c>
      <c r="K331">
        <v>1.0711379999999999</v>
      </c>
      <c r="L331">
        <v>367.66030000000001</v>
      </c>
      <c r="M331">
        <v>0.99988239999999995</v>
      </c>
      <c r="N331">
        <v>-1.349318E-2</v>
      </c>
      <c r="O331">
        <v>-7.2879030000000001E-3</v>
      </c>
      <c r="P331">
        <v>0.98379519999999998</v>
      </c>
      <c r="Q331">
        <v>0.17693929999999999</v>
      </c>
      <c r="R331">
        <v>-2.8972620000000001E-2</v>
      </c>
      <c r="S331">
        <v>3.067993</v>
      </c>
      <c r="T331">
        <v>-0.123307</v>
      </c>
      <c r="U331">
        <v>-0.123535199999999</v>
      </c>
      <c r="V331">
        <v>2.1842500000000001E-2</v>
      </c>
      <c r="W331">
        <v>0.19019549999999999</v>
      </c>
      <c r="X331">
        <v>0.98150320000000002</v>
      </c>
      <c r="Y331">
        <v>3.2916580000000001E-2</v>
      </c>
      <c r="Z331">
        <v>-6.8885979999999995E-4</v>
      </c>
      <c r="AA331">
        <v>0.99945779999999995</v>
      </c>
      <c r="AB331">
        <v>25</v>
      </c>
      <c r="AC331">
        <v>26.3797999999999</v>
      </c>
      <c r="AD331">
        <v>-1.0711406861439901</v>
      </c>
      <c r="AE331">
        <v>-1.0712000000000299</v>
      </c>
      <c r="AF331">
        <v>0.87745631019408898</v>
      </c>
      <c r="AG331">
        <v>-1.0711406861439901</v>
      </c>
      <c r="AH331">
        <v>26.343544871439502</v>
      </c>
      <c r="AI331">
        <v>92.327101126433405</v>
      </c>
      <c r="AJ331">
        <v>88.092285463110599</v>
      </c>
      <c r="AK331">
        <v>26.3799095589685</v>
      </c>
      <c r="AL331">
        <v>79.035806176430697</v>
      </c>
      <c r="AM331">
        <v>88.725142691408493</v>
      </c>
      <c r="AN331">
        <v>0.99999997731836898</v>
      </c>
    </row>
    <row r="332" spans="1:40" x14ac:dyDescent="0.25">
      <c r="A332" t="str">
        <f>"20190303162503667"</f>
        <v>20190303162503667</v>
      </c>
      <c r="B332" t="str">
        <f>"1551601503663249"</f>
        <v>1551601503663249</v>
      </c>
      <c r="C332" t="s">
        <v>40</v>
      </c>
      <c r="D332">
        <v>5.0650360000000001</v>
      </c>
      <c r="E332">
        <v>0.52601909999999996</v>
      </c>
      <c r="F332" t="s">
        <v>41</v>
      </c>
      <c r="G332">
        <v>-374.96589999999998</v>
      </c>
      <c r="H332" s="1">
        <v>-2.6811180000000001E-6</v>
      </c>
      <c r="I332">
        <v>366.57670000000002</v>
      </c>
      <c r="J332">
        <v>-401.08319999999998</v>
      </c>
      <c r="K332">
        <v>1.071231</v>
      </c>
      <c r="L332">
        <v>367.65839999999997</v>
      </c>
      <c r="M332">
        <v>0.99987879999999996</v>
      </c>
      <c r="N332">
        <v>-1.370729E-2</v>
      </c>
      <c r="O332">
        <v>-7.3857949999999997E-3</v>
      </c>
      <c r="P332">
        <v>0.98405529999999997</v>
      </c>
      <c r="Q332">
        <v>0.17549879999999901</v>
      </c>
      <c r="R332">
        <v>-2.8902589999999999E-2</v>
      </c>
      <c r="S332">
        <v>3.0681150000000001</v>
      </c>
      <c r="T332">
        <v>-0.1246588</v>
      </c>
      <c r="U332">
        <v>-0.12609860000000001</v>
      </c>
      <c r="V332">
        <v>2.1673560000000001E-2</v>
      </c>
      <c r="W332">
        <v>0.18896879999999999</v>
      </c>
      <c r="X332">
        <v>0.9817439</v>
      </c>
      <c r="Y332">
        <v>3.3649239999999997E-2</v>
      </c>
      <c r="Z332">
        <v>-7.1523059999999996E-4</v>
      </c>
      <c r="AA332">
        <v>0.99943349999999997</v>
      </c>
      <c r="AB332">
        <v>25</v>
      </c>
      <c r="AC332">
        <v>26.1173</v>
      </c>
      <c r="AD332">
        <v>-1.0712336811180001</v>
      </c>
      <c r="AE332">
        <v>-1.0816999999999499</v>
      </c>
      <c r="AF332">
        <v>0.88726522876571201</v>
      </c>
      <c r="AG332">
        <v>-1.0712336811180001</v>
      </c>
      <c r="AH332">
        <v>26.0807760658581</v>
      </c>
      <c r="AI332">
        <v>92.350668597243697</v>
      </c>
      <c r="AJ332">
        <v>88.051555120610601</v>
      </c>
      <c r="AK332">
        <v>26.117841820931002</v>
      </c>
      <c r="AL332">
        <v>79.107389528962102</v>
      </c>
      <c r="AM332">
        <v>88.735309858018098</v>
      </c>
      <c r="AN332">
        <v>1.00000001788186</v>
      </c>
    </row>
    <row r="333" spans="1:40" x14ac:dyDescent="0.25">
      <c r="A333" t="str">
        <f>"20190303162503688"</f>
        <v>20190303162503688</v>
      </c>
      <c r="B333" t="str">
        <f>"1551601503682770"</f>
        <v>1551601503682770</v>
      </c>
      <c r="C333" t="s">
        <v>40</v>
      </c>
      <c r="D333">
        <v>5.019183</v>
      </c>
      <c r="E333">
        <v>0.52818129999999996</v>
      </c>
      <c r="F333" t="s">
        <v>42</v>
      </c>
      <c r="G333">
        <v>-400.27350000000001</v>
      </c>
      <c r="H333">
        <v>0.89698299999999997</v>
      </c>
      <c r="I333">
        <v>367.58109999999999</v>
      </c>
      <c r="J333">
        <v>-400.84390000000002</v>
      </c>
      <c r="K333">
        <v>1.0716810000000001</v>
      </c>
      <c r="L333">
        <v>367.65649999999999</v>
      </c>
      <c r="M333">
        <v>0.99986370000000002</v>
      </c>
      <c r="N333">
        <v>-1.4725520000000001E-2</v>
      </c>
      <c r="O333">
        <v>-7.4722759999999999E-3</v>
      </c>
      <c r="P333">
        <v>0.98447249999999997</v>
      </c>
      <c r="Q333">
        <v>0.17319019999999999</v>
      </c>
      <c r="R333">
        <v>-2.8628299999999999E-2</v>
      </c>
      <c r="S333">
        <v>3.161041</v>
      </c>
      <c r="T333">
        <v>-0.68024130000000005</v>
      </c>
      <c r="U333">
        <v>-0.30258180000000001</v>
      </c>
      <c r="V333">
        <v>2.1308219999999999E-2</v>
      </c>
      <c r="W333">
        <v>0.187667</v>
      </c>
      <c r="X333">
        <v>0.98200149999999997</v>
      </c>
      <c r="Y333">
        <v>8.5905919999999997E-2</v>
      </c>
      <c r="Z333">
        <v>-8.2826089999999998E-3</v>
      </c>
      <c r="AA333">
        <v>0.99626879999999995</v>
      </c>
      <c r="AB333">
        <v>25</v>
      </c>
      <c r="AC333">
        <v>0.57040000000000601</v>
      </c>
      <c r="AD333">
        <v>-0.17469799999999899</v>
      </c>
      <c r="AE333">
        <v>-7.5400000000001896E-2</v>
      </c>
      <c r="AF333">
        <v>6.5130710036961498E-2</v>
      </c>
      <c r="AG333">
        <v>-0.17469799999999899</v>
      </c>
      <c r="AH333">
        <v>0.52275377935590595</v>
      </c>
      <c r="AI333">
        <v>108.34675606244799</v>
      </c>
      <c r="AJ333">
        <v>82.898026540956593</v>
      </c>
      <c r="AK333">
        <v>0.55500713006663405</v>
      </c>
      <c r="AL333">
        <v>79.183335201683207</v>
      </c>
      <c r="AM333">
        <v>88.756947398896301</v>
      </c>
      <c r="AN333">
        <v>0.99999994456540697</v>
      </c>
    </row>
    <row r="334" spans="1:40" x14ac:dyDescent="0.25">
      <c r="A334" t="str">
        <f>"20190303162503711"</f>
        <v>20190303162503711</v>
      </c>
      <c r="B334" t="str">
        <f>"1551601503703265"</f>
        <v>1551601503703265</v>
      </c>
      <c r="C334" t="s">
        <v>40</v>
      </c>
      <c r="D334">
        <v>4.9917160000000003</v>
      </c>
      <c r="E334">
        <v>0.52788900000000005</v>
      </c>
      <c r="F334" t="s">
        <v>42</v>
      </c>
      <c r="G334">
        <v>-400.07279999999997</v>
      </c>
      <c r="H334">
        <v>0.86301159999999999</v>
      </c>
      <c r="I334">
        <v>367.57870000000003</v>
      </c>
      <c r="J334">
        <v>-400.6035</v>
      </c>
      <c r="K334">
        <v>1.0724450000000001</v>
      </c>
      <c r="L334">
        <v>367.65460000000002</v>
      </c>
      <c r="M334">
        <v>0.99985230000000003</v>
      </c>
      <c r="N334">
        <v>-1.543748E-2</v>
      </c>
      <c r="O334">
        <v>-7.5607089999999997E-3</v>
      </c>
      <c r="P334">
        <v>0.98475119999999905</v>
      </c>
      <c r="Q334">
        <v>0.1714618</v>
      </c>
      <c r="R334">
        <v>-2.9431059999999998E-2</v>
      </c>
      <c r="S334">
        <v>3.18988</v>
      </c>
      <c r="T334">
        <v>-0.86330750000000001</v>
      </c>
      <c r="U334">
        <v>-0.3203125</v>
      </c>
      <c r="V334">
        <v>2.2020560000000002E-2</v>
      </c>
      <c r="W334">
        <v>0.18664249999999999</v>
      </c>
      <c r="X334">
        <v>0.98218110000000003</v>
      </c>
      <c r="Y334">
        <v>8.9257110000000001E-2</v>
      </c>
      <c r="Z334">
        <v>-1.0649530000000001E-2</v>
      </c>
      <c r="AA334">
        <v>0.9959517</v>
      </c>
      <c r="AB334">
        <v>25</v>
      </c>
      <c r="AC334">
        <v>0.53070000000002404</v>
      </c>
      <c r="AD334">
        <v>-0.20943339999999999</v>
      </c>
      <c r="AE334">
        <v>-7.5899999999990003E-2</v>
      </c>
      <c r="AF334">
        <v>6.2366722552883898E-2</v>
      </c>
      <c r="AG334">
        <v>-0.20943339999999999</v>
      </c>
      <c r="AH334">
        <v>0.46091564108230298</v>
      </c>
      <c r="AI334">
        <v>114.241187069163</v>
      </c>
      <c r="AJ334">
        <v>82.2940814387877</v>
      </c>
      <c r="AK334">
        <v>0.51009331039708705</v>
      </c>
      <c r="AL334">
        <v>79.243091412179297</v>
      </c>
      <c r="AM334">
        <v>88.715640308021307</v>
      </c>
      <c r="AN334">
        <v>1.0000000205330799</v>
      </c>
    </row>
    <row r="335" spans="1:40" x14ac:dyDescent="0.25">
      <c r="A335" t="str">
        <f>"20190303162503732"</f>
        <v>20190303162503732</v>
      </c>
      <c r="B335" t="str">
        <f>"1551601503723762"</f>
        <v>1551601503723762</v>
      </c>
      <c r="C335" t="s">
        <v>40</v>
      </c>
      <c r="D335">
        <v>4.9753740000000004</v>
      </c>
      <c r="E335">
        <v>0.52800829999999999</v>
      </c>
      <c r="F335" t="s">
        <v>42</v>
      </c>
      <c r="G335">
        <v>-399.85980000000001</v>
      </c>
      <c r="H335">
        <v>0.85656599999999905</v>
      </c>
      <c r="I335">
        <v>367.58</v>
      </c>
      <c r="J335">
        <v>-400.36360000000002</v>
      </c>
      <c r="K335">
        <v>1.0731980000000001</v>
      </c>
      <c r="L335">
        <v>367.65260000000001</v>
      </c>
      <c r="M335">
        <v>0.99986489999999995</v>
      </c>
      <c r="N335">
        <v>-1.4550169999999999E-2</v>
      </c>
      <c r="O335">
        <v>-7.6555109999999899E-3</v>
      </c>
      <c r="P335">
        <v>0.98477040000000005</v>
      </c>
      <c r="Q335">
        <v>0.17115129999999901</v>
      </c>
      <c r="R335">
        <v>-3.0571540000000001E-2</v>
      </c>
      <c r="S335">
        <v>3.1985169999999998</v>
      </c>
      <c r="T335">
        <v>-0.92853300000000005</v>
      </c>
      <c r="U335">
        <v>-0.32135010000000003</v>
      </c>
      <c r="V335">
        <v>2.306853E-2</v>
      </c>
      <c r="W335">
        <v>0.18546000000000001</v>
      </c>
      <c r="X335">
        <v>0.98238099999999995</v>
      </c>
      <c r="Y335">
        <v>8.880586E-2</v>
      </c>
      <c r="Z335">
        <v>-1.119794E-2</v>
      </c>
      <c r="AA335">
        <v>0.99598600000000004</v>
      </c>
      <c r="AB335">
        <v>24</v>
      </c>
      <c r="AC335">
        <v>0.50380000000001202</v>
      </c>
      <c r="AD335">
        <v>-0.21663199999999999</v>
      </c>
      <c r="AE335">
        <v>-7.2600000000022605E-2</v>
      </c>
      <c r="AF335">
        <v>5.8198776430758201E-2</v>
      </c>
      <c r="AG335">
        <v>-0.21663199999999999</v>
      </c>
      <c r="AH335">
        <v>0.42699694794035897</v>
      </c>
      <c r="AI335">
        <v>116.688252660961</v>
      </c>
      <c r="AJ335">
        <v>82.238533105478197</v>
      </c>
      <c r="AK335">
        <v>0.48233071077054501</v>
      </c>
      <c r="AL335">
        <v>79.312047413845804</v>
      </c>
      <c r="AM335">
        <v>88.654812595435601</v>
      </c>
      <c r="AN335">
        <v>0.99999999891867997</v>
      </c>
    </row>
    <row r="336" spans="1:40" x14ac:dyDescent="0.25">
      <c r="A336" t="str">
        <f>"20190303162503754"</f>
        <v>20190303162503754</v>
      </c>
      <c r="B336" t="str">
        <f>"1551601503743281"</f>
        <v>1551601503743281</v>
      </c>
      <c r="C336" t="s">
        <v>40</v>
      </c>
      <c r="D336">
        <v>4.9503839999999997</v>
      </c>
      <c r="E336">
        <v>0.52837159999999905</v>
      </c>
      <c r="F336" t="s">
        <v>42</v>
      </c>
      <c r="G336">
        <v>-399.64069999999998</v>
      </c>
      <c r="H336">
        <v>0.85745930000000004</v>
      </c>
      <c r="I336">
        <v>367.57900000000001</v>
      </c>
      <c r="J336">
        <v>-400.1277</v>
      </c>
      <c r="K336">
        <v>1.073996</v>
      </c>
      <c r="L336">
        <v>367.65069999999997</v>
      </c>
      <c r="M336">
        <v>0.99989269999999997</v>
      </c>
      <c r="N336">
        <v>-1.2440410000000001E-2</v>
      </c>
      <c r="O336">
        <v>-7.7471049999999998E-3</v>
      </c>
      <c r="P336">
        <v>0.9846239</v>
      </c>
      <c r="Q336">
        <v>0.17190540000000001</v>
      </c>
      <c r="R336">
        <v>-3.1056170000000001E-2</v>
      </c>
      <c r="S336">
        <v>3.202423</v>
      </c>
      <c r="T336">
        <v>-0.9558257</v>
      </c>
      <c r="U336">
        <v>-0.32522579999999901</v>
      </c>
      <c r="V336">
        <v>2.3466379999999998E-2</v>
      </c>
      <c r="W336">
        <v>0.18413889999999999</v>
      </c>
      <c r="X336">
        <v>0.9826201</v>
      </c>
      <c r="Y336">
        <v>8.9596899999999993E-2</v>
      </c>
      <c r="Z336">
        <v>-1.146224E-2</v>
      </c>
      <c r="AA336">
        <v>0.99591209999999997</v>
      </c>
      <c r="AB336">
        <v>24</v>
      </c>
      <c r="AC336">
        <v>0.48700000000002303</v>
      </c>
      <c r="AD336">
        <v>-0.216536699999999</v>
      </c>
      <c r="AE336">
        <v>-7.1699999999964306E-2</v>
      </c>
      <c r="AF336">
        <v>5.6911972682459303E-2</v>
      </c>
      <c r="AG336">
        <v>-0.216536699999999</v>
      </c>
      <c r="AH336">
        <v>0.40849510384550802</v>
      </c>
      <c r="AI336">
        <v>117.70006104940801</v>
      </c>
      <c r="AJ336">
        <v>82.0685455135756</v>
      </c>
      <c r="AK336">
        <v>0.465827612907662</v>
      </c>
      <c r="AL336">
        <v>79.389067816154295</v>
      </c>
      <c r="AM336">
        <v>88.631954488368095</v>
      </c>
      <c r="AN336">
        <v>1.00000003320376</v>
      </c>
    </row>
    <row r="337" spans="1:40" x14ac:dyDescent="0.25">
      <c r="A337" t="str">
        <f>"20190303162503776"</f>
        <v>20190303162503776</v>
      </c>
      <c r="B337" t="str">
        <f>"1551601503772562"</f>
        <v>1551601503772562</v>
      </c>
      <c r="C337" t="s">
        <v>40</v>
      </c>
      <c r="D337">
        <v>4.9125170000000002</v>
      </c>
      <c r="E337">
        <v>0.52878829999999999</v>
      </c>
      <c r="F337" t="s">
        <v>42</v>
      </c>
      <c r="G337">
        <v>-399.41849999999999</v>
      </c>
      <c r="H337">
        <v>0.86038359999999903</v>
      </c>
      <c r="I337">
        <v>367.5779</v>
      </c>
      <c r="J337">
        <v>-399.88400000000001</v>
      </c>
      <c r="K337">
        <v>1.0750999999999999</v>
      </c>
      <c r="L337">
        <v>367.64870000000002</v>
      </c>
      <c r="M337">
        <v>0.99991859999999999</v>
      </c>
      <c r="N337">
        <v>-1.0070040000000001E-2</v>
      </c>
      <c r="O337">
        <v>-7.843292E-3</v>
      </c>
      <c r="P337">
        <v>0.98435609999999996</v>
      </c>
      <c r="Q337">
        <v>0.1731801</v>
      </c>
      <c r="R337">
        <v>-3.2436390000000002E-2</v>
      </c>
      <c r="S337">
        <v>3.2050480000000001</v>
      </c>
      <c r="T337">
        <v>-0.96540999999999999</v>
      </c>
      <c r="U337">
        <v>-0.32928469999999999</v>
      </c>
      <c r="V337">
        <v>2.4754120000000001E-2</v>
      </c>
      <c r="W337">
        <v>0.18308060000000001</v>
      </c>
      <c r="X337">
        <v>0.98278620000000005</v>
      </c>
      <c r="Y337">
        <v>9.059847E-2</v>
      </c>
      <c r="Z337">
        <v>-1.155515E-2</v>
      </c>
      <c r="AA337">
        <v>0.9958205</v>
      </c>
      <c r="AB337">
        <v>25</v>
      </c>
      <c r="AC337">
        <v>0.46550000000002001</v>
      </c>
      <c r="AD337">
        <v>-0.2147164</v>
      </c>
      <c r="AE337">
        <v>-7.0800000000019694E-2</v>
      </c>
      <c r="AF337">
        <v>5.5587218501077597E-2</v>
      </c>
      <c r="AG337">
        <v>-0.2147164</v>
      </c>
      <c r="AH337">
        <v>0.38581148620149502</v>
      </c>
      <c r="AI337">
        <v>118.847901797771</v>
      </c>
      <c r="AJ337">
        <v>81.801318975870402</v>
      </c>
      <c r="AK337">
        <v>0.44502086936980101</v>
      </c>
      <c r="AL337">
        <v>79.450752209775203</v>
      </c>
      <c r="AM337">
        <v>88.557156397147907</v>
      </c>
      <c r="AN337">
        <v>0.99999999373188697</v>
      </c>
    </row>
    <row r="338" spans="1:40" x14ac:dyDescent="0.25">
      <c r="A338" t="str">
        <f>"20190303162503798"</f>
        <v>20190303162503798</v>
      </c>
      <c r="B338" t="str">
        <f>"1551601503793059"</f>
        <v>1551601503793059</v>
      </c>
      <c r="C338" t="s">
        <v>40</v>
      </c>
      <c r="D338">
        <v>4.9145979999999998</v>
      </c>
      <c r="E338">
        <v>0.52891449999999995</v>
      </c>
      <c r="F338" t="s">
        <v>42</v>
      </c>
      <c r="G338">
        <v>-399.19420000000002</v>
      </c>
      <c r="H338">
        <v>0.86647960000000002</v>
      </c>
      <c r="I338">
        <v>367.57600000000002</v>
      </c>
      <c r="J338">
        <v>-399.63310000000001</v>
      </c>
      <c r="K338">
        <v>1.076546</v>
      </c>
      <c r="L338">
        <v>367.64659999999998</v>
      </c>
      <c r="M338">
        <v>0.99993739999999998</v>
      </c>
      <c r="N338">
        <v>-7.8883900000000003E-3</v>
      </c>
      <c r="O338">
        <v>-7.9484489999999998E-3</v>
      </c>
      <c r="P338">
        <v>0.98405189999999998</v>
      </c>
      <c r="Q338">
        <v>0.17440149999999999</v>
      </c>
      <c r="R338">
        <v>-3.5017149999999997E-2</v>
      </c>
      <c r="S338">
        <v>3.207214</v>
      </c>
      <c r="T338">
        <v>-0.96998130000000005</v>
      </c>
      <c r="U338">
        <v>-0.33685300000000001</v>
      </c>
      <c r="V338">
        <v>2.7231789999999999E-2</v>
      </c>
      <c r="W338">
        <v>0.18215509999999999</v>
      </c>
      <c r="X338">
        <v>0.98289260000000001</v>
      </c>
      <c r="Y338">
        <v>9.2667410000000006E-2</v>
      </c>
      <c r="Z338">
        <v>-1.1762099999999999E-2</v>
      </c>
      <c r="AA338">
        <v>0.99562759999999995</v>
      </c>
      <c r="AB338">
        <v>25</v>
      </c>
      <c r="AC338">
        <v>0.43889999999998902</v>
      </c>
      <c r="AD338">
        <v>-0.21006639999999999</v>
      </c>
      <c r="AE338">
        <v>-7.0600000000013097E-2</v>
      </c>
      <c r="AF338">
        <v>5.4859084448620199E-2</v>
      </c>
      <c r="AG338">
        <v>-0.21006639999999999</v>
      </c>
      <c r="AH338">
        <v>0.35923118954560601</v>
      </c>
      <c r="AI338">
        <v>120.030699033643</v>
      </c>
      <c r="AJ338">
        <v>81.317301625932998</v>
      </c>
      <c r="AK338">
        <v>0.41974332525705699</v>
      </c>
      <c r="AL338">
        <v>79.504686025380295</v>
      </c>
      <c r="AM338">
        <v>88.412982665372894</v>
      </c>
      <c r="AN338">
        <v>0.99999995698868605</v>
      </c>
    </row>
    <row r="339" spans="1:40" x14ac:dyDescent="0.25">
      <c r="A339" t="str">
        <f>"20190303162503823"</f>
        <v>20190303162503823</v>
      </c>
      <c r="B339" t="str">
        <f>"1551601503812579"</f>
        <v>1551601503812579</v>
      </c>
      <c r="C339" t="s">
        <v>40</v>
      </c>
      <c r="D339">
        <v>4.899705</v>
      </c>
      <c r="E339">
        <v>0.52937009999999995</v>
      </c>
      <c r="F339" t="s">
        <v>42</v>
      </c>
      <c r="G339">
        <v>-398.77080000000001</v>
      </c>
      <c r="H339">
        <v>0.81546470000000004</v>
      </c>
      <c r="I339">
        <v>367.55349999999999</v>
      </c>
      <c r="J339">
        <v>-399.35579999999999</v>
      </c>
      <c r="K339">
        <v>1.078328</v>
      </c>
      <c r="L339">
        <v>367.64429999999999</v>
      </c>
      <c r="M339">
        <v>0.99995089999999998</v>
      </c>
      <c r="N339">
        <v>-5.756906E-3</v>
      </c>
      <c r="O339">
        <v>-8.0704350000000008E-3</v>
      </c>
      <c r="P339">
        <v>0.98354030000000003</v>
      </c>
      <c r="Q339">
        <v>0.1760592</v>
      </c>
      <c r="R339">
        <v>-4.064338E-2</v>
      </c>
      <c r="S339">
        <v>3.2084959999999998</v>
      </c>
      <c r="T339">
        <v>-0.97141290000000002</v>
      </c>
      <c r="U339">
        <v>-0.3459778</v>
      </c>
      <c r="V339">
        <v>3.2739509999999999E-2</v>
      </c>
      <c r="W339">
        <v>0.18171390000000001</v>
      </c>
      <c r="X339">
        <v>0.98280630000000002</v>
      </c>
      <c r="Y339">
        <v>9.5222639999999997E-2</v>
      </c>
      <c r="Z339">
        <v>-1.2003929999999999E-2</v>
      </c>
      <c r="AA339">
        <v>0.99538360000000004</v>
      </c>
      <c r="AB339">
        <v>25</v>
      </c>
      <c r="AC339">
        <v>0.58499999999997898</v>
      </c>
      <c r="AD339">
        <v>-0.26286330000000002</v>
      </c>
      <c r="AE339">
        <v>-9.0800000000001505E-2</v>
      </c>
      <c r="AF339">
        <v>7.1900217102602901E-2</v>
      </c>
      <c r="AG339">
        <v>-0.26286330000000002</v>
      </c>
      <c r="AH339">
        <v>0.48925441987040902</v>
      </c>
      <c r="AI339">
        <v>117.993495851059</v>
      </c>
      <c r="AJ339">
        <v>81.639726472049901</v>
      </c>
      <c r="AK339">
        <v>0.56003271607025096</v>
      </c>
      <c r="AL339">
        <v>79.5303946422314</v>
      </c>
      <c r="AM339">
        <v>88.092052999982798</v>
      </c>
      <c r="AN339">
        <v>1.0000000201439601</v>
      </c>
    </row>
    <row r="340" spans="1:40" x14ac:dyDescent="0.25">
      <c r="A340" t="str">
        <f>"20190303162503844"</f>
        <v>20190303162503844</v>
      </c>
      <c r="B340" t="str">
        <f>"1551601503833074"</f>
        <v>1551601503833074</v>
      </c>
      <c r="C340" t="s">
        <v>40</v>
      </c>
      <c r="D340">
        <v>4.8885079999999999</v>
      </c>
      <c r="E340">
        <v>0.52955269999999899</v>
      </c>
      <c r="F340" t="s">
        <v>42</v>
      </c>
      <c r="G340">
        <v>-398.54199999999997</v>
      </c>
      <c r="H340">
        <v>0.8315728</v>
      </c>
      <c r="I340">
        <v>367.55070000000001</v>
      </c>
      <c r="J340">
        <v>-399.12279999999998</v>
      </c>
      <c r="K340">
        <v>1.079836</v>
      </c>
      <c r="L340">
        <v>367.64229999999998</v>
      </c>
      <c r="M340">
        <v>0.99995829999999997</v>
      </c>
      <c r="N340">
        <v>-4.0817379999999997E-3</v>
      </c>
      <c r="O340">
        <v>-8.1725080000000002E-3</v>
      </c>
      <c r="P340">
        <v>0.98309219999999997</v>
      </c>
      <c r="Q340">
        <v>0.1769327</v>
      </c>
      <c r="R340">
        <v>-4.7168059999999998E-2</v>
      </c>
      <c r="S340">
        <v>3.2091059999999998</v>
      </c>
      <c r="T340">
        <v>-0.97303709999999999</v>
      </c>
      <c r="U340">
        <v>-0.36889650000000002</v>
      </c>
      <c r="V340">
        <v>3.9166430000000002E-2</v>
      </c>
      <c r="W340">
        <v>0.1809383</v>
      </c>
      <c r="X340">
        <v>0.98271430000000004</v>
      </c>
      <c r="Y340">
        <v>0.10184749999999999</v>
      </c>
      <c r="Z340">
        <v>-1.2884659999999999E-2</v>
      </c>
      <c r="AA340">
        <v>0.99471659999999995</v>
      </c>
      <c r="AB340">
        <v>25</v>
      </c>
      <c r="AC340">
        <v>0.58080000000000997</v>
      </c>
      <c r="AD340">
        <v>-0.24826319999999899</v>
      </c>
      <c r="AE340">
        <v>-9.1599999999971204E-2</v>
      </c>
      <c r="AF340">
        <v>7.3709434117851302E-2</v>
      </c>
      <c r="AG340">
        <v>-0.24826319999999899</v>
      </c>
      <c r="AH340">
        <v>0.49354100944359702</v>
      </c>
      <c r="AI340">
        <v>116.45065044828</v>
      </c>
      <c r="AJ340">
        <v>81.505764582273002</v>
      </c>
      <c r="AK340">
        <v>0.55736022925466999</v>
      </c>
      <c r="AL340">
        <v>79.575582497034603</v>
      </c>
      <c r="AM340">
        <v>87.717664156486506</v>
      </c>
      <c r="AN340">
        <v>1.00000003653516</v>
      </c>
    </row>
    <row r="341" spans="1:40" x14ac:dyDescent="0.25">
      <c r="A341" t="str">
        <f>"20190303162503868"</f>
        <v>20190303162503868</v>
      </c>
      <c r="B341" t="str">
        <f>"1551601503863330"</f>
        <v>1551601503863330</v>
      </c>
      <c r="C341" t="s">
        <v>40</v>
      </c>
      <c r="D341">
        <v>4.9120280000000003</v>
      </c>
      <c r="E341">
        <v>0.5295358</v>
      </c>
      <c r="F341" t="s">
        <v>42</v>
      </c>
      <c r="G341">
        <v>-398.31819999999999</v>
      </c>
      <c r="H341">
        <v>0.83395109999999995</v>
      </c>
      <c r="I341">
        <v>367.54379999999998</v>
      </c>
      <c r="J341">
        <v>-398.86079999999998</v>
      </c>
      <c r="K341">
        <v>1.081488</v>
      </c>
      <c r="L341">
        <v>367.64</v>
      </c>
      <c r="M341">
        <v>0.99996300000000005</v>
      </c>
      <c r="N341">
        <v>-2.361756E-3</v>
      </c>
      <c r="O341">
        <v>-8.2842780000000008E-3</v>
      </c>
      <c r="P341">
        <v>0.98255409999999999</v>
      </c>
      <c r="Q341">
        <v>0.17807870000000001</v>
      </c>
      <c r="R341">
        <v>-5.3626809999999997E-2</v>
      </c>
      <c r="S341">
        <v>3.2092900000000002</v>
      </c>
      <c r="T341">
        <v>-0.98078319999999997</v>
      </c>
      <c r="U341">
        <v>-0.39196779999999998</v>
      </c>
      <c r="V341">
        <v>4.551935E-2</v>
      </c>
      <c r="W341">
        <v>0.18039150000000001</v>
      </c>
      <c r="X341">
        <v>0.982541</v>
      </c>
      <c r="Y341">
        <v>0.1084551</v>
      </c>
      <c r="Z341">
        <v>-1.3830490000000001E-2</v>
      </c>
      <c r="AA341">
        <v>0.99400509999999997</v>
      </c>
      <c r="AB341">
        <v>25</v>
      </c>
      <c r="AC341">
        <v>0.54259999999999298</v>
      </c>
      <c r="AD341">
        <v>-0.247536899999999</v>
      </c>
      <c r="AE341">
        <v>-9.6200000000010194E-2</v>
      </c>
      <c r="AF341">
        <v>7.6304815307454699E-2</v>
      </c>
      <c r="AG341">
        <v>-0.247536899999999</v>
      </c>
      <c r="AH341">
        <v>0.45214441347683298</v>
      </c>
      <c r="AI341">
        <v>118.361929407825</v>
      </c>
      <c r="AJ341">
        <v>80.420906129825795</v>
      </c>
      <c r="AK341">
        <v>0.52108685680894395</v>
      </c>
      <c r="AL341">
        <v>79.607435188942901</v>
      </c>
      <c r="AM341">
        <v>87.347486627825901</v>
      </c>
      <c r="AN341">
        <v>0.999999960588835</v>
      </c>
    </row>
    <row r="342" spans="1:40" x14ac:dyDescent="0.25">
      <c r="A342" t="str">
        <f>"20190303162503890"</f>
        <v>20190303162503890</v>
      </c>
      <c r="B342" t="str">
        <f>"1551601503883826"</f>
        <v>1551601503883826</v>
      </c>
      <c r="C342" t="s">
        <v>40</v>
      </c>
      <c r="D342">
        <v>4.9074960000000001</v>
      </c>
      <c r="E342">
        <v>0.52944789999999997</v>
      </c>
      <c r="F342" t="s">
        <v>42</v>
      </c>
      <c r="G342">
        <v>-398.09109999999998</v>
      </c>
      <c r="H342">
        <v>0.84438539999999995</v>
      </c>
      <c r="I342">
        <v>367.54109999999997</v>
      </c>
      <c r="J342">
        <v>-398.60640000000001</v>
      </c>
      <c r="K342">
        <v>1.0831459999999999</v>
      </c>
      <c r="L342">
        <v>367.6377</v>
      </c>
      <c r="M342">
        <v>0.99996399999999996</v>
      </c>
      <c r="N342">
        <v>-1.308682E-3</v>
      </c>
      <c r="O342">
        <v>-8.3931309999999999E-3</v>
      </c>
      <c r="P342">
        <v>0.9821472</v>
      </c>
      <c r="Q342">
        <v>0.17896509999999999</v>
      </c>
      <c r="R342">
        <v>-5.795322E-2</v>
      </c>
      <c r="S342">
        <v>3.2100219999999999</v>
      </c>
      <c r="T342">
        <v>-0.98884989999999995</v>
      </c>
      <c r="U342">
        <v>-0.41195680000000001</v>
      </c>
      <c r="V342">
        <v>4.9742149999999999E-2</v>
      </c>
      <c r="W342">
        <v>0.18024129999999999</v>
      </c>
      <c r="X342">
        <v>0.98236389999999996</v>
      </c>
      <c r="Y342">
        <v>0.1141112</v>
      </c>
      <c r="Z342">
        <v>-1.4682600000000001E-2</v>
      </c>
      <c r="AA342">
        <v>0.9933594</v>
      </c>
      <c r="AB342">
        <v>25</v>
      </c>
      <c r="AC342">
        <v>0.51530000000002396</v>
      </c>
      <c r="AD342">
        <v>-0.23876059999999999</v>
      </c>
      <c r="AE342">
        <v>-9.66000000000235E-2</v>
      </c>
      <c r="AF342">
        <v>7.6421861820832104E-2</v>
      </c>
      <c r="AG342">
        <v>-0.23876059999999999</v>
      </c>
      <c r="AH342">
        <v>0.42744195992315198</v>
      </c>
      <c r="AI342">
        <v>118.804679527529</v>
      </c>
      <c r="AJ342">
        <v>79.863255732727893</v>
      </c>
      <c r="AK342">
        <v>0.49553360549963499</v>
      </c>
      <c r="AL342">
        <v>79.616185049494206</v>
      </c>
      <c r="AM342">
        <v>87.101294883802694</v>
      </c>
      <c r="AN342">
        <v>1.0000000198677601</v>
      </c>
    </row>
    <row r="343" spans="1:40" x14ac:dyDescent="0.25">
      <c r="A343" t="str">
        <f>"20190303162503911"</f>
        <v>20190303162503911</v>
      </c>
      <c r="B343" t="str">
        <f>"1551601503903346"</f>
        <v>1551601503903346</v>
      </c>
      <c r="C343" t="s">
        <v>40</v>
      </c>
      <c r="D343">
        <v>4.8978960000000002</v>
      </c>
      <c r="E343">
        <v>0.52923569999999998</v>
      </c>
      <c r="F343" t="s">
        <v>42</v>
      </c>
      <c r="G343">
        <v>-397.86649999999997</v>
      </c>
      <c r="H343">
        <v>0.85433340000000002</v>
      </c>
      <c r="I343">
        <v>367.53949999999998</v>
      </c>
      <c r="J343">
        <v>-398.37580000000003</v>
      </c>
      <c r="K343">
        <v>1.084999</v>
      </c>
      <c r="L343">
        <v>367.63569999999999</v>
      </c>
      <c r="M343">
        <v>0.99996300000000005</v>
      </c>
      <c r="N343">
        <v>-1.291096E-3</v>
      </c>
      <c r="O343">
        <v>-8.4950400000000006E-3</v>
      </c>
      <c r="P343">
        <v>0.98174720000000004</v>
      </c>
      <c r="Q343">
        <v>0.18001629999999999</v>
      </c>
      <c r="R343">
        <v>-6.1371210000000002E-2</v>
      </c>
      <c r="S343">
        <v>3.2103579999999998</v>
      </c>
      <c r="T343">
        <v>-0.99277340000000003</v>
      </c>
      <c r="U343">
        <v>-0.42471310000000001</v>
      </c>
      <c r="V343">
        <v>5.3063319999999997E-2</v>
      </c>
      <c r="W343">
        <v>0.18127450000000001</v>
      </c>
      <c r="X343">
        <v>0.98199990000000004</v>
      </c>
      <c r="Y343">
        <v>0.117684</v>
      </c>
      <c r="Z343">
        <v>-1.5241319999999999E-2</v>
      </c>
      <c r="AA343">
        <v>0.99293410000000004</v>
      </c>
      <c r="AB343">
        <v>25</v>
      </c>
      <c r="AC343">
        <v>0.50930000000005204</v>
      </c>
      <c r="AD343">
        <v>-0.2306656</v>
      </c>
      <c r="AE343">
        <v>-9.6200000000010194E-2</v>
      </c>
      <c r="AF343">
        <v>7.6682399981258503E-2</v>
      </c>
      <c r="AG343">
        <v>-0.2306656</v>
      </c>
      <c r="AH343">
        <v>0.42577123504699899</v>
      </c>
      <c r="AI343">
        <v>118.065696747771</v>
      </c>
      <c r="AJ343">
        <v>79.7903461963176</v>
      </c>
      <c r="AK343">
        <v>0.49027334629132402</v>
      </c>
      <c r="AL343">
        <v>79.555995184086598</v>
      </c>
      <c r="AM343">
        <v>86.906974896854393</v>
      </c>
      <c r="AN343">
        <v>0.99999998193984097</v>
      </c>
    </row>
    <row r="344" spans="1:40" x14ac:dyDescent="0.25">
      <c r="A344" t="str">
        <f>"20190303162503933"</f>
        <v>20190303162503933</v>
      </c>
      <c r="B344" t="str">
        <f>"1551601503922866"</f>
        <v>1551601503922866</v>
      </c>
      <c r="C344" t="s">
        <v>40</v>
      </c>
      <c r="D344">
        <v>4.879238</v>
      </c>
      <c r="E344">
        <v>0.5290551</v>
      </c>
      <c r="F344" t="s">
        <v>42</v>
      </c>
      <c r="G344">
        <v>-397.64589999999998</v>
      </c>
      <c r="H344">
        <v>0.85890940000000005</v>
      </c>
      <c r="I344">
        <v>367.53719999999998</v>
      </c>
      <c r="J344">
        <v>-398.1327</v>
      </c>
      <c r="K344">
        <v>1.087277</v>
      </c>
      <c r="L344">
        <v>367.63350000000003</v>
      </c>
      <c r="M344">
        <v>0.99996189999999996</v>
      </c>
      <c r="N344">
        <v>-1.6059780000000001E-3</v>
      </c>
      <c r="O344">
        <v>-8.6041360000000001E-3</v>
      </c>
      <c r="P344">
        <v>0.98145039999999995</v>
      </c>
      <c r="Q344">
        <v>0.18078079999999999</v>
      </c>
      <c r="R344">
        <v>-6.3825499999999993E-2</v>
      </c>
      <c r="S344">
        <v>3.21109</v>
      </c>
      <c r="T344">
        <v>-0.99456509999999998</v>
      </c>
      <c r="U344">
        <v>-0.43283080000000002</v>
      </c>
      <c r="V344">
        <v>5.5413379999999998E-2</v>
      </c>
      <c r="W344">
        <v>0.18234739999999999</v>
      </c>
      <c r="X344">
        <v>0.98167150000000003</v>
      </c>
      <c r="Y344">
        <v>0.1198946</v>
      </c>
      <c r="Z344">
        <v>-1.5585699999999999E-2</v>
      </c>
      <c r="AA344">
        <v>0.99266430000000005</v>
      </c>
      <c r="AB344">
        <v>25</v>
      </c>
      <c r="AC344">
        <v>0.486800000000016</v>
      </c>
      <c r="AD344">
        <v>-0.2283676</v>
      </c>
      <c r="AE344">
        <v>-9.6300000000042005E-2</v>
      </c>
      <c r="AF344">
        <v>7.6010095256777904E-2</v>
      </c>
      <c r="AG344">
        <v>-0.2283676</v>
      </c>
      <c r="AH344">
        <v>0.40239013205252999</v>
      </c>
      <c r="AI344">
        <v>119.14691125650199</v>
      </c>
      <c r="AJ344">
        <v>79.303067147792305</v>
      </c>
      <c r="AK344">
        <v>0.46887857029721203</v>
      </c>
      <c r="AL344">
        <v>79.493481632807004</v>
      </c>
      <c r="AM344">
        <v>86.7691971927661</v>
      </c>
      <c r="AN344">
        <v>1.0000000754410101</v>
      </c>
    </row>
    <row r="345" spans="1:40" x14ac:dyDescent="0.25">
      <c r="A345" t="str">
        <f>"20190303162503956"</f>
        <v>20190303162503956</v>
      </c>
      <c r="B345" t="str">
        <f>"1551601503943362"</f>
        <v>1551601503943362</v>
      </c>
      <c r="C345" t="s">
        <v>40</v>
      </c>
      <c r="D345">
        <v>4.9021179999999998</v>
      </c>
      <c r="E345">
        <v>0.52878649999999905</v>
      </c>
      <c r="F345" t="s">
        <v>42</v>
      </c>
      <c r="G345">
        <v>-397.42340000000002</v>
      </c>
      <c r="H345">
        <v>0.86728640000000001</v>
      </c>
      <c r="I345">
        <v>367.5367</v>
      </c>
      <c r="J345">
        <v>-397.89400000000001</v>
      </c>
      <c r="K345">
        <v>1.08962</v>
      </c>
      <c r="L345">
        <v>367.63130000000001</v>
      </c>
      <c r="M345">
        <v>0.99996090000000004</v>
      </c>
      <c r="N345">
        <v>-1.56272299999999E-3</v>
      </c>
      <c r="O345">
        <v>-8.7115100000000004E-3</v>
      </c>
      <c r="P345">
        <v>0.98131659999999998</v>
      </c>
      <c r="Q345">
        <v>0.18118790000000001</v>
      </c>
      <c r="R345">
        <v>-6.4723470000000005E-2</v>
      </c>
      <c r="S345">
        <v>3.2117610000000001</v>
      </c>
      <c r="T345">
        <v>-0.99599749999999998</v>
      </c>
      <c r="U345">
        <v>-0.43661499999999998</v>
      </c>
      <c r="V345">
        <v>5.620795E-2</v>
      </c>
      <c r="W345">
        <v>0.18271109999999999</v>
      </c>
      <c r="X345">
        <v>0.98155859999999995</v>
      </c>
      <c r="Y345">
        <v>0.1208588</v>
      </c>
      <c r="Z345">
        <v>-1.571378E-2</v>
      </c>
      <c r="AA345">
        <v>0.99254529999999996</v>
      </c>
      <c r="AB345">
        <v>25</v>
      </c>
      <c r="AC345">
        <v>0.47059999999999003</v>
      </c>
      <c r="AD345">
        <v>-0.22233359999999999</v>
      </c>
      <c r="AE345">
        <v>-9.4600000000014006E-2</v>
      </c>
      <c r="AF345">
        <v>7.4511330296220105E-2</v>
      </c>
      <c r="AG345">
        <v>-0.22233359999999999</v>
      </c>
      <c r="AH345">
        <v>0.38813658627020498</v>
      </c>
      <c r="AI345">
        <v>119.35997190208001</v>
      </c>
      <c r="AJ345">
        <v>79.133025676813105</v>
      </c>
      <c r="AK345">
        <v>0.45346904815319</v>
      </c>
      <c r="AL345">
        <v>79.472286110185394</v>
      </c>
      <c r="AM345">
        <v>86.722595001610003</v>
      </c>
      <c r="AN345">
        <v>0.99999998247018596</v>
      </c>
    </row>
    <row r="346" spans="1:40" x14ac:dyDescent="0.25">
      <c r="A346" t="str">
        <f>"20190303162503978"</f>
        <v>20190303162503978</v>
      </c>
      <c r="B346" t="str">
        <f>"1551601503972642"</f>
        <v>1551601503972642</v>
      </c>
      <c r="C346" t="s">
        <v>40</v>
      </c>
      <c r="D346">
        <v>4.8810589999999996</v>
      </c>
      <c r="E346">
        <v>0.5366303</v>
      </c>
      <c r="F346" t="s">
        <v>42</v>
      </c>
      <c r="G346">
        <v>-397.19920000000002</v>
      </c>
      <c r="H346">
        <v>0.87391289999999999</v>
      </c>
      <c r="I346">
        <v>367.53699999999998</v>
      </c>
      <c r="J346">
        <v>-397.64179999999999</v>
      </c>
      <c r="K346">
        <v>1.092203</v>
      </c>
      <c r="L346">
        <v>367.62900000000002</v>
      </c>
      <c r="M346">
        <v>0.99996030000000002</v>
      </c>
      <c r="N346">
        <v>-1.373139E-3</v>
      </c>
      <c r="O346">
        <v>-8.8226999999999993E-3</v>
      </c>
      <c r="P346">
        <v>0.98110529999999996</v>
      </c>
      <c r="Q346">
        <v>0.18252869999999999</v>
      </c>
      <c r="R346">
        <v>-6.4156359999999996E-2</v>
      </c>
      <c r="S346">
        <v>3.212494</v>
      </c>
      <c r="T346">
        <v>-0.99735689999999999</v>
      </c>
      <c r="U346">
        <v>-0.4360657</v>
      </c>
      <c r="V346">
        <v>5.5534970000000003E-2</v>
      </c>
      <c r="W346">
        <v>0.18386520000000001</v>
      </c>
      <c r="X346">
        <v>0.98138139999999996</v>
      </c>
      <c r="Y346">
        <v>0.1205629</v>
      </c>
      <c r="Z346">
        <v>-1.563923E-2</v>
      </c>
      <c r="AA346">
        <v>0.99258250000000003</v>
      </c>
      <c r="AB346">
        <v>25</v>
      </c>
      <c r="AC346">
        <v>0.44259999999997002</v>
      </c>
      <c r="AD346">
        <v>-0.21829009999999999</v>
      </c>
      <c r="AE346">
        <v>-9.2000000000041299E-2</v>
      </c>
      <c r="AF346">
        <v>7.1434925301383595E-2</v>
      </c>
      <c r="AG346">
        <v>-0.21829009999999999</v>
      </c>
      <c r="AH346">
        <v>0.35955630447626402</v>
      </c>
      <c r="AI346">
        <v>120.772580660191</v>
      </c>
      <c r="AJ346">
        <v>78.763071389243095</v>
      </c>
      <c r="AK346">
        <v>0.42665472269676402</v>
      </c>
      <c r="AL346">
        <v>79.405021703481793</v>
      </c>
      <c r="AM346">
        <v>86.761168026752401</v>
      </c>
      <c r="AN346">
        <v>0.99999999846495002</v>
      </c>
    </row>
    <row r="347" spans="1:40" x14ac:dyDescent="0.25">
      <c r="A347" t="str">
        <f>"20190303162504000"</f>
        <v>20190303162504000</v>
      </c>
      <c r="B347" t="str">
        <f>"1551601503993139"</f>
        <v>1551601503993139</v>
      </c>
      <c r="C347" t="s">
        <v>40</v>
      </c>
      <c r="D347">
        <v>4.8771309999999897</v>
      </c>
      <c r="E347">
        <v>0.53857339999999998</v>
      </c>
      <c r="F347" t="s">
        <v>42</v>
      </c>
      <c r="G347">
        <v>-396.92349999999999</v>
      </c>
      <c r="H347">
        <v>0.98567459999999996</v>
      </c>
      <c r="I347">
        <v>367.51459999999997</v>
      </c>
      <c r="J347">
        <v>-397.38380000000001</v>
      </c>
      <c r="K347">
        <v>1.095037</v>
      </c>
      <c r="L347">
        <v>367.6266</v>
      </c>
      <c r="M347">
        <v>0.99995889999999998</v>
      </c>
      <c r="N347">
        <v>-1.562812E-3</v>
      </c>
      <c r="O347">
        <v>-8.928241E-3</v>
      </c>
      <c r="P347">
        <v>0.98108110000000004</v>
      </c>
      <c r="Q347">
        <v>0.18358679999999999</v>
      </c>
      <c r="R347">
        <v>-6.1446979999999998E-2</v>
      </c>
      <c r="S347">
        <v>3.111389</v>
      </c>
      <c r="T347">
        <v>-0.46166249999999998</v>
      </c>
      <c r="U347">
        <v>-0.4934692</v>
      </c>
      <c r="V347">
        <v>5.2723279999999997E-2</v>
      </c>
      <c r="W347">
        <v>0.18511</v>
      </c>
      <c r="X347">
        <v>0.98130249999999997</v>
      </c>
      <c r="Y347">
        <v>0.14633270000000001</v>
      </c>
      <c r="Z347">
        <v>-9.5514239999999993E-3</v>
      </c>
      <c r="AA347">
        <v>0.98918930000000005</v>
      </c>
      <c r="AB347">
        <v>25</v>
      </c>
      <c r="AC347">
        <v>0.46030000000001697</v>
      </c>
      <c r="AD347">
        <v>-0.1093624</v>
      </c>
      <c r="AE347">
        <v>-0.112000000000023</v>
      </c>
      <c r="AF347">
        <v>0.10242715860332199</v>
      </c>
      <c r="AG347">
        <v>-0.1093624</v>
      </c>
      <c r="AH347">
        <v>0.437942143333448</v>
      </c>
      <c r="AI347">
        <v>103.666635595787</v>
      </c>
      <c r="AJ347">
        <v>76.836121768371399</v>
      </c>
      <c r="AK347">
        <v>0.46286583181393398</v>
      </c>
      <c r="AL347">
        <v>79.332454582248005</v>
      </c>
      <c r="AM347">
        <v>86.924577556189206</v>
      </c>
      <c r="AN347">
        <v>1.0000000264301001</v>
      </c>
    </row>
    <row r="348" spans="1:40" x14ac:dyDescent="0.25">
      <c r="A348" t="str">
        <f>"20190303162504023"</f>
        <v>20190303162504023</v>
      </c>
      <c r="B348" t="str">
        <f>"1551601504013634"</f>
        <v>1551601504013634</v>
      </c>
      <c r="C348" t="s">
        <v>40</v>
      </c>
      <c r="D348">
        <v>4.8816300000000004</v>
      </c>
      <c r="E348">
        <v>0.53966719999999901</v>
      </c>
      <c r="F348" t="s">
        <v>42</v>
      </c>
      <c r="G348">
        <v>-396.4545</v>
      </c>
      <c r="H348">
        <v>1.0227520000000001</v>
      </c>
      <c r="I348">
        <v>367.47489999999999</v>
      </c>
      <c r="J348">
        <v>-397.13029999999998</v>
      </c>
      <c r="K348">
        <v>1.097904</v>
      </c>
      <c r="L348">
        <v>367.62430000000001</v>
      </c>
      <c r="M348">
        <v>0.99995690000000004</v>
      </c>
      <c r="N348">
        <v>-2.1969730000000001E-3</v>
      </c>
      <c r="O348">
        <v>-9.0287949999999992E-3</v>
      </c>
      <c r="P348">
        <v>0.98119840000000003</v>
      </c>
      <c r="Q348">
        <v>0.18384220000000001</v>
      </c>
      <c r="R348">
        <v>-5.875263E-2</v>
      </c>
      <c r="S348">
        <v>3.0713200000000001</v>
      </c>
      <c r="T348">
        <v>-0.23916419999999999</v>
      </c>
      <c r="U348">
        <v>-0.49975589999999998</v>
      </c>
      <c r="V348">
        <v>4.9929559999999998E-2</v>
      </c>
      <c r="W348">
        <v>0.18598809999999999</v>
      </c>
      <c r="X348">
        <v>0.9812826</v>
      </c>
      <c r="Y348">
        <v>0.1512529</v>
      </c>
      <c r="Z348">
        <v>-5.3317590000000002E-3</v>
      </c>
      <c r="AA348">
        <v>0.98848069999999999</v>
      </c>
      <c r="AB348">
        <v>25</v>
      </c>
      <c r="AC348">
        <v>0.67579999999998097</v>
      </c>
      <c r="AD348">
        <v>-7.5151999999999802E-2</v>
      </c>
      <c r="AE348">
        <v>-0.14940000000001399</v>
      </c>
      <c r="AF348">
        <v>0.14162247593524899</v>
      </c>
      <c r="AG348">
        <v>-7.5151999999999802E-2</v>
      </c>
      <c r="AH348">
        <v>0.66923097702527101</v>
      </c>
      <c r="AI348">
        <v>96.269543039560901</v>
      </c>
      <c r="AJ348">
        <v>78.051366208483401</v>
      </c>
      <c r="AK348">
        <v>0.68816774801223402</v>
      </c>
      <c r="AL348">
        <v>79.281254182951102</v>
      </c>
      <c r="AM348">
        <v>87.087191716146904</v>
      </c>
      <c r="AN348">
        <v>1.00000003768308</v>
      </c>
    </row>
    <row r="349" spans="1:40" x14ac:dyDescent="0.25">
      <c r="A349" t="str">
        <f>"20190303162504045"</f>
        <v>20190303162504045</v>
      </c>
      <c r="B349" t="str">
        <f>"1551601504033154"</f>
        <v>1551601504033154</v>
      </c>
      <c r="C349" t="s">
        <v>40</v>
      </c>
      <c r="D349">
        <v>4.9450779999999996</v>
      </c>
      <c r="E349">
        <v>0.54034879999999996</v>
      </c>
      <c r="F349" t="s">
        <v>41</v>
      </c>
      <c r="G349">
        <v>-375.80340000000001</v>
      </c>
      <c r="H349" s="1">
        <v>-2.8716519999999999E-6</v>
      </c>
      <c r="I349">
        <v>364.1386</v>
      </c>
      <c r="J349">
        <v>-396.87430000000001</v>
      </c>
      <c r="K349">
        <v>1.1007129999999901</v>
      </c>
      <c r="L349">
        <v>367.62180000000001</v>
      </c>
      <c r="M349">
        <v>0.99995369999999995</v>
      </c>
      <c r="N349">
        <v>-3.0334239999999998E-3</v>
      </c>
      <c r="O349">
        <v>-9.131531E-3</v>
      </c>
      <c r="P349">
        <v>0.98150409999999999</v>
      </c>
      <c r="Q349">
        <v>0.1826671</v>
      </c>
      <c r="R349">
        <v>-5.7295989999999998E-2</v>
      </c>
      <c r="S349">
        <v>3.0570680000000001</v>
      </c>
      <c r="T349">
        <v>-0.1573775</v>
      </c>
      <c r="U349">
        <v>-0.49963380000000002</v>
      </c>
      <c r="V349">
        <v>4.8369059999999998E-2</v>
      </c>
      <c r="W349">
        <v>0.18563479999999999</v>
      </c>
      <c r="X349">
        <v>0.98142759999999996</v>
      </c>
      <c r="Y349">
        <v>0.152079399999999</v>
      </c>
      <c r="Z349">
        <v>-3.6794430000000001E-3</v>
      </c>
      <c r="AA349">
        <v>0.98836139999999995</v>
      </c>
      <c r="AB349">
        <v>25</v>
      </c>
      <c r="AC349">
        <v>21.070899999999899</v>
      </c>
      <c r="AD349">
        <v>-1.10071587165199</v>
      </c>
      <c r="AE349">
        <v>-3.4832000000000098</v>
      </c>
      <c r="AF349">
        <v>3.2819265583556598</v>
      </c>
      <c r="AG349">
        <v>-1.10071587165199</v>
      </c>
      <c r="AH349">
        <v>21.045924476335099</v>
      </c>
      <c r="AI349">
        <v>92.958192202137198</v>
      </c>
      <c r="AJ349">
        <v>81.136613361371502</v>
      </c>
      <c r="AK349">
        <v>21.328702595989</v>
      </c>
      <c r="AL349">
        <v>79.301855023619595</v>
      </c>
      <c r="AM349">
        <v>87.178495446213603</v>
      </c>
      <c r="AN349">
        <v>0.99999998948904101</v>
      </c>
    </row>
    <row r="350" spans="1:40" x14ac:dyDescent="0.25">
      <c r="A350" t="str">
        <f>"20190303162504069"</f>
        <v>20190303162504069</v>
      </c>
      <c r="B350" t="str">
        <f>"1551601504052674"</f>
        <v>1551601504052674</v>
      </c>
      <c r="C350" t="s">
        <v>40</v>
      </c>
      <c r="D350">
        <v>4.9126289999999999</v>
      </c>
      <c r="E350">
        <v>0.54064269999999903</v>
      </c>
      <c r="F350" t="s">
        <v>41</v>
      </c>
      <c r="G350">
        <v>-372.14819999999997</v>
      </c>
      <c r="H350" s="1">
        <v>-4.425032E-6</v>
      </c>
      <c r="I350">
        <v>363.5598</v>
      </c>
      <c r="J350">
        <v>-396.62599999999998</v>
      </c>
      <c r="K350">
        <v>1.1032420000000001</v>
      </c>
      <c r="L350">
        <v>367.61950000000002</v>
      </c>
      <c r="M350">
        <v>0.99995009999999995</v>
      </c>
      <c r="N350">
        <v>-3.8417690000000001E-3</v>
      </c>
      <c r="O350">
        <v>-9.233247E-3</v>
      </c>
      <c r="P350">
        <v>0.98192809999999997</v>
      </c>
      <c r="Q350">
        <v>0.18066689999999999</v>
      </c>
      <c r="R350">
        <v>-5.6365690000000003E-2</v>
      </c>
      <c r="S350">
        <v>3.052521</v>
      </c>
      <c r="T350">
        <v>-0.1358869</v>
      </c>
      <c r="U350">
        <v>-0.50146480000000004</v>
      </c>
      <c r="V350">
        <v>4.7334750000000002E-2</v>
      </c>
      <c r="W350">
        <v>0.18443000000000001</v>
      </c>
      <c r="X350">
        <v>0.9817051</v>
      </c>
      <c r="Y350">
        <v>0.1528351</v>
      </c>
      <c r="Z350">
        <v>-3.3004409999999999E-3</v>
      </c>
      <c r="AA350">
        <v>0.98824619999999996</v>
      </c>
      <c r="AB350">
        <v>25</v>
      </c>
      <c r="AC350">
        <v>24.477799999999998</v>
      </c>
      <c r="AD350">
        <v>-1.103246425032</v>
      </c>
      <c r="AE350">
        <v>-4.0597000000000198</v>
      </c>
      <c r="AF350">
        <v>3.8259516658729602</v>
      </c>
      <c r="AG350">
        <v>-1.103246425032</v>
      </c>
      <c r="AH350">
        <v>24.465871035549998</v>
      </c>
      <c r="AI350">
        <v>92.550944819155106</v>
      </c>
      <c r="AJ350">
        <v>81.112118624588604</v>
      </c>
      <c r="AK350">
        <v>24.787777317704599</v>
      </c>
      <c r="AL350">
        <v>79.372097521009096</v>
      </c>
      <c r="AM350">
        <v>87.239514612365895</v>
      </c>
      <c r="AN350">
        <v>0.99999995341178505</v>
      </c>
    </row>
    <row r="351" spans="1:40" x14ac:dyDescent="0.25">
      <c r="A351" t="str">
        <f>"20190303162504090"</f>
        <v>20190303162504090</v>
      </c>
      <c r="B351" t="str">
        <f>"1551601504082930"</f>
        <v>1551601504082930</v>
      </c>
      <c r="C351" t="s">
        <v>40</v>
      </c>
      <c r="D351">
        <v>4.9200330000000001</v>
      </c>
      <c r="E351">
        <v>0.54086210000000001</v>
      </c>
      <c r="F351" t="s">
        <v>41</v>
      </c>
      <c r="G351">
        <v>-369.58800000000002</v>
      </c>
      <c r="H351" s="1">
        <v>-1.841921E-6</v>
      </c>
      <c r="I351">
        <v>363.16829999999999</v>
      </c>
      <c r="J351">
        <v>-396.36970000000002</v>
      </c>
      <c r="K351">
        <v>1.105629</v>
      </c>
      <c r="L351">
        <v>367.61700000000002</v>
      </c>
      <c r="M351">
        <v>0.99994590000000005</v>
      </c>
      <c r="N351">
        <v>-4.6193329999999998E-3</v>
      </c>
      <c r="O351">
        <v>-9.33258E-3</v>
      </c>
      <c r="P351">
        <v>0.98233910000000002</v>
      </c>
      <c r="Q351">
        <v>0.17864949999999999</v>
      </c>
      <c r="R351">
        <v>-5.5630029999999997E-2</v>
      </c>
      <c r="S351">
        <v>3.0492859999999999</v>
      </c>
      <c r="T351">
        <v>-0.1244209</v>
      </c>
      <c r="U351">
        <v>-0.50198359999999997</v>
      </c>
      <c r="V351">
        <v>4.6496830000000003E-2</v>
      </c>
      <c r="W351">
        <v>0.18317810000000001</v>
      </c>
      <c r="X351">
        <v>0.98197950000000001</v>
      </c>
      <c r="Y351">
        <v>0.1530888</v>
      </c>
      <c r="Z351">
        <v>-3.122021E-3</v>
      </c>
      <c r="AA351">
        <v>0.98820750000000002</v>
      </c>
      <c r="AB351">
        <v>25</v>
      </c>
      <c r="AC351">
        <v>26.781700000000001</v>
      </c>
      <c r="AD351">
        <v>-1.1056308419209999</v>
      </c>
      <c r="AE351">
        <v>-4.4486999999999703</v>
      </c>
      <c r="AF351">
        <v>4.1916093563035899</v>
      </c>
      <c r="AG351">
        <v>-1.1056308419209999</v>
      </c>
      <c r="AH351">
        <v>26.7776404356336</v>
      </c>
      <c r="AI351">
        <v>92.335947949383097</v>
      </c>
      <c r="AJ351">
        <v>81.103461118123704</v>
      </c>
      <c r="AK351">
        <v>27.126261000265799</v>
      </c>
      <c r="AL351">
        <v>79.445069360766297</v>
      </c>
      <c r="AM351">
        <v>87.289063758195994</v>
      </c>
      <c r="AN351">
        <v>0.99999995496995298</v>
      </c>
    </row>
    <row r="352" spans="1:40" x14ac:dyDescent="0.25">
      <c r="A352" t="str">
        <f>"20190303162504134"</f>
        <v>20190303162504134</v>
      </c>
      <c r="B352" t="str">
        <f>"1551601504122947"</f>
        <v>1551601504122947</v>
      </c>
      <c r="C352" t="s">
        <v>40</v>
      </c>
      <c r="D352">
        <v>4.9517300000000004</v>
      </c>
      <c r="E352">
        <v>0.54093590000000003</v>
      </c>
      <c r="F352" t="s">
        <v>41</v>
      </c>
      <c r="G352">
        <v>-368.24119999999999</v>
      </c>
      <c r="H352" s="1">
        <v>-2.3496910000000001E-6</v>
      </c>
      <c r="I352">
        <v>362.98239999999998</v>
      </c>
      <c r="J352">
        <v>-395.88139999999999</v>
      </c>
      <c r="K352">
        <v>1.109524</v>
      </c>
      <c r="L352">
        <v>367.61219999999997</v>
      </c>
      <c r="M352">
        <v>0.99993710000000002</v>
      </c>
      <c r="N352">
        <v>-5.9747419999999999E-3</v>
      </c>
      <c r="O352">
        <v>-9.4940210000000001E-3</v>
      </c>
      <c r="P352">
        <v>0.98299809999999999</v>
      </c>
      <c r="Q352">
        <v>0.17577889999999999</v>
      </c>
      <c r="R352">
        <v>-5.3073290000000002E-2</v>
      </c>
      <c r="S352">
        <v>3.047272</v>
      </c>
      <c r="T352">
        <v>-0.1197771</v>
      </c>
      <c r="U352">
        <v>-0.50207520000000005</v>
      </c>
      <c r="V352">
        <v>4.376994E-2</v>
      </c>
      <c r="W352">
        <v>0.18164359999999999</v>
      </c>
      <c r="X352">
        <v>0.98238990000000004</v>
      </c>
      <c r="Y352">
        <v>0.15306739999999999</v>
      </c>
      <c r="Z352">
        <v>-3.133397E-3</v>
      </c>
      <c r="AA352">
        <v>0.98821079999999994</v>
      </c>
      <c r="AB352">
        <v>25</v>
      </c>
      <c r="AC352">
        <v>27.6402</v>
      </c>
      <c r="AD352">
        <v>-1.1095263496909999</v>
      </c>
      <c r="AE352">
        <v>-4.6297999999999799</v>
      </c>
      <c r="AF352">
        <v>4.3603356884675897</v>
      </c>
      <c r="AG352">
        <v>-1.1095263496909999</v>
      </c>
      <c r="AH352">
        <v>27.639588561165699</v>
      </c>
      <c r="AI352">
        <v>92.270717867521995</v>
      </c>
      <c r="AJ352">
        <v>81.035079160542494</v>
      </c>
      <c r="AK352">
        <v>28.003400362586401</v>
      </c>
      <c r="AL352">
        <v>79.534491127809105</v>
      </c>
      <c r="AM352">
        <v>87.4488994994488</v>
      </c>
      <c r="AN352">
        <v>1.0000000603452801</v>
      </c>
    </row>
    <row r="353" spans="1:40" x14ac:dyDescent="0.25">
      <c r="A353" t="str">
        <f>"20190303162504155"</f>
        <v>20190303162504155</v>
      </c>
      <c r="B353" t="str">
        <f>"1551601504143442"</f>
        <v>1551601504143442</v>
      </c>
      <c r="C353" t="s">
        <v>40</v>
      </c>
      <c r="D353">
        <v>4.9458919999999997</v>
      </c>
      <c r="E353">
        <v>0.54120219999999997</v>
      </c>
      <c r="F353" t="s">
        <v>41</v>
      </c>
      <c r="G353">
        <v>-367.97820000000002</v>
      </c>
      <c r="H353" s="1">
        <v>-2.4143619999999999E-6</v>
      </c>
      <c r="I353">
        <v>363.07569999999998</v>
      </c>
      <c r="J353">
        <v>-395.64769999999999</v>
      </c>
      <c r="K353">
        <v>1.111084</v>
      </c>
      <c r="L353">
        <v>367.60989999999998</v>
      </c>
      <c r="M353">
        <v>0.99993290000000001</v>
      </c>
      <c r="N353">
        <v>-6.5603479999999997E-3</v>
      </c>
      <c r="O353">
        <v>-9.5606700000000003E-3</v>
      </c>
      <c r="P353">
        <v>0.98314789999999996</v>
      </c>
      <c r="Q353">
        <v>0.17529420000000001</v>
      </c>
      <c r="R353">
        <v>-5.1890409999999998E-2</v>
      </c>
      <c r="S353">
        <v>3.0467529999999998</v>
      </c>
      <c r="T353">
        <v>-0.1211492</v>
      </c>
      <c r="U353">
        <v>-0.49533080000000002</v>
      </c>
      <c r="V353">
        <v>4.25163E-2</v>
      </c>
      <c r="W353">
        <v>0.18173639999999999</v>
      </c>
      <c r="X353">
        <v>0.98242770000000001</v>
      </c>
      <c r="Y353">
        <v>0.150894899999999</v>
      </c>
      <c r="Z353">
        <v>-3.1625870000000001E-3</v>
      </c>
      <c r="AA353">
        <v>0.9885448</v>
      </c>
      <c r="AB353">
        <v>25</v>
      </c>
      <c r="AC353">
        <v>27.6694999999999</v>
      </c>
      <c r="AD353">
        <v>-1.1110864143619901</v>
      </c>
      <c r="AE353">
        <v>-4.5341999999999896</v>
      </c>
      <c r="AF353">
        <v>4.2627543067170501</v>
      </c>
      <c r="AG353">
        <v>-1.1110864143619901</v>
      </c>
      <c r="AH353">
        <v>27.668138772088199</v>
      </c>
      <c r="AI353">
        <v>92.272838093266401</v>
      </c>
      <c r="AJ353">
        <v>81.241462658472301</v>
      </c>
      <c r="AK353">
        <v>28.0166288195269</v>
      </c>
      <c r="AL353">
        <v>79.529083130587296</v>
      </c>
      <c r="AM353">
        <v>87.521969833955794</v>
      </c>
      <c r="AN353">
        <v>0.99999997028896903</v>
      </c>
    </row>
    <row r="354" spans="1:40" x14ac:dyDescent="0.25">
      <c r="A354" t="str">
        <f>"20190303162504178"</f>
        <v>20190303162504178</v>
      </c>
      <c r="B354" t="str">
        <f>"1551601504173698"</f>
        <v>1551601504173698</v>
      </c>
      <c r="C354" t="s">
        <v>40</v>
      </c>
      <c r="D354">
        <v>4.9699660000000003</v>
      </c>
      <c r="E354">
        <v>0.54165669999999899</v>
      </c>
      <c r="F354" t="s">
        <v>41</v>
      </c>
      <c r="G354">
        <v>-367.66500000000002</v>
      </c>
      <c r="H354" s="1">
        <v>-2.5202949999999999E-6</v>
      </c>
      <c r="I354">
        <v>363.07810000000001</v>
      </c>
      <c r="J354">
        <v>-395.38600000000002</v>
      </c>
      <c r="K354">
        <v>1.112633</v>
      </c>
      <c r="L354">
        <v>367.60730000000001</v>
      </c>
      <c r="M354">
        <v>0.99992820000000004</v>
      </c>
      <c r="N354">
        <v>-7.1591429999999998E-3</v>
      </c>
      <c r="O354">
        <v>-9.6262080000000007E-3</v>
      </c>
      <c r="P354">
        <v>0.98310620000000004</v>
      </c>
      <c r="Q354">
        <v>0.17572889999999999</v>
      </c>
      <c r="R354">
        <v>-5.1204189999999997E-2</v>
      </c>
      <c r="S354">
        <v>3.0469360000000001</v>
      </c>
      <c r="T354">
        <v>-0.120982199999999</v>
      </c>
      <c r="U354">
        <v>-0.49343870000000001</v>
      </c>
      <c r="V354">
        <v>4.1762279999999999E-2</v>
      </c>
      <c r="W354">
        <v>0.18276039999999999</v>
      </c>
      <c r="X354">
        <v>0.98227010000000003</v>
      </c>
      <c r="Y354">
        <v>0.15022149999999901</v>
      </c>
      <c r="Z354">
        <v>-3.1923149999999998E-3</v>
      </c>
      <c r="AA354">
        <v>0.98864719999999995</v>
      </c>
      <c r="AB354">
        <v>25</v>
      </c>
      <c r="AC354">
        <v>27.720999999999901</v>
      </c>
      <c r="AD354">
        <v>-1.112635520295</v>
      </c>
      <c r="AE354">
        <v>-4.5292000000000003</v>
      </c>
      <c r="AF354">
        <v>4.2554580507888602</v>
      </c>
      <c r="AG354">
        <v>-1.112635520295</v>
      </c>
      <c r="AH354">
        <v>27.7198208874944</v>
      </c>
      <c r="AI354">
        <v>92.271952265737696</v>
      </c>
      <c r="AJ354">
        <v>81.272273220296995</v>
      </c>
      <c r="AK354">
        <v>28.0666234352801</v>
      </c>
      <c r="AL354">
        <v>79.469413244892905</v>
      </c>
      <c r="AM354">
        <v>87.565473904471801</v>
      </c>
      <c r="AN354">
        <v>1.00000000059648</v>
      </c>
    </row>
    <row r="355" spans="1:40" x14ac:dyDescent="0.25">
      <c r="A355" t="str">
        <f>"20190303162504202"</f>
        <v>20190303162504202</v>
      </c>
      <c r="B355" t="str">
        <f>"1551601504193219"</f>
        <v>1551601504193219</v>
      </c>
      <c r="C355" t="s">
        <v>40</v>
      </c>
      <c r="D355">
        <v>4.9618890000000002</v>
      </c>
      <c r="E355">
        <v>0.5419195</v>
      </c>
      <c r="F355" t="s">
        <v>41</v>
      </c>
      <c r="G355">
        <v>-367.03820000000002</v>
      </c>
      <c r="H355" s="1">
        <v>-2.7533680000000001E-6</v>
      </c>
      <c r="I355">
        <v>363.00389999999999</v>
      </c>
      <c r="J355">
        <v>-395.12310000000002</v>
      </c>
      <c r="K355">
        <v>1.1139589999999999</v>
      </c>
      <c r="L355">
        <v>367.60469999999998</v>
      </c>
      <c r="M355">
        <v>0.99992360000000002</v>
      </c>
      <c r="N355">
        <v>-7.691865E-3</v>
      </c>
      <c r="O355">
        <v>-9.6791499999999992E-3</v>
      </c>
      <c r="P355">
        <v>0.98300829999999995</v>
      </c>
      <c r="Q355">
        <v>0.176088299999999</v>
      </c>
      <c r="R355">
        <v>-5.1843439999999998E-2</v>
      </c>
      <c r="S355">
        <v>3.0471189999999999</v>
      </c>
      <c r="T355">
        <v>-0.1195972</v>
      </c>
      <c r="U355">
        <v>-0.49481199999999997</v>
      </c>
      <c r="V355">
        <v>4.2347030000000001E-2</v>
      </c>
      <c r="W355">
        <v>0.1836431</v>
      </c>
      <c r="X355">
        <v>0.98208039999999996</v>
      </c>
      <c r="Y355">
        <v>0.1505946</v>
      </c>
      <c r="Z355">
        <v>-3.2149940000000001E-3</v>
      </c>
      <c r="AA355">
        <v>0.98859039999999998</v>
      </c>
      <c r="AB355">
        <v>25</v>
      </c>
      <c r="AC355">
        <v>28.084900000000001</v>
      </c>
      <c r="AD355">
        <v>-1.113961753368</v>
      </c>
      <c r="AE355">
        <v>-4.6007999999999898</v>
      </c>
      <c r="AF355">
        <v>4.3221164589801697</v>
      </c>
      <c r="AG355">
        <v>-1.113961753368</v>
      </c>
      <c r="AH355">
        <v>28.0850876524092</v>
      </c>
      <c r="AI355">
        <v>92.244977537041393</v>
      </c>
      <c r="AJ355">
        <v>81.251179727651902</v>
      </c>
      <c r="AK355">
        <v>28.437541207292501</v>
      </c>
      <c r="AL355">
        <v>79.417967396998606</v>
      </c>
      <c r="AM355">
        <v>87.530951623254197</v>
      </c>
      <c r="AN355">
        <v>0.99999998559579495</v>
      </c>
    </row>
    <row r="356" spans="1:40" x14ac:dyDescent="0.25">
      <c r="A356" t="str">
        <f>"20190303162504223"</f>
        <v>20190303162504223</v>
      </c>
      <c r="B356" t="str">
        <f>"1551601504212738"</f>
        <v>1551601504212738</v>
      </c>
      <c r="C356" t="s">
        <v>40</v>
      </c>
      <c r="D356">
        <v>4.9557070000000003</v>
      </c>
      <c r="E356">
        <v>0.54220829999999998</v>
      </c>
      <c r="F356" t="s">
        <v>41</v>
      </c>
      <c r="G356">
        <v>-366.74220000000003</v>
      </c>
      <c r="H356" s="1">
        <v>-2.866916E-6</v>
      </c>
      <c r="I356">
        <v>362.95569999999998</v>
      </c>
      <c r="J356">
        <v>-394.8793</v>
      </c>
      <c r="K356">
        <v>1.1150230000000001</v>
      </c>
      <c r="L356">
        <v>367.60230000000001</v>
      </c>
      <c r="M356">
        <v>0.99991969999999997</v>
      </c>
      <c r="N356">
        <v>-8.1357619999999995E-3</v>
      </c>
      <c r="O356">
        <v>-9.7192449999999996E-3</v>
      </c>
      <c r="P356">
        <v>0.98286240000000002</v>
      </c>
      <c r="Q356">
        <v>0.17679839999999999</v>
      </c>
      <c r="R356">
        <v>-5.2193749999999997E-2</v>
      </c>
      <c r="S356">
        <v>3.0469970000000002</v>
      </c>
      <c r="T356">
        <v>-0.11959549999999999</v>
      </c>
      <c r="U356">
        <v>-0.49911499999999998</v>
      </c>
      <c r="V356">
        <v>4.265679E-2</v>
      </c>
      <c r="W356">
        <v>0.18478849999999999</v>
      </c>
      <c r="X356">
        <v>0.98185210000000001</v>
      </c>
      <c r="Y356">
        <v>0.15191840000000001</v>
      </c>
      <c r="Z356">
        <v>-3.2827440000000002E-3</v>
      </c>
      <c r="AA356">
        <v>0.98838760000000003</v>
      </c>
      <c r="AB356">
        <v>25</v>
      </c>
      <c r="AC356">
        <v>28.137099999999901</v>
      </c>
      <c r="AD356">
        <v>-1.11502586691599</v>
      </c>
      <c r="AE356">
        <v>-4.6466000000000296</v>
      </c>
      <c r="AF356">
        <v>4.3662253968538902</v>
      </c>
      <c r="AG356">
        <v>-1.11502586691599</v>
      </c>
      <c r="AH356">
        <v>28.137919053346302</v>
      </c>
      <c r="AI356">
        <v>92.242472644011599</v>
      </c>
      <c r="AJ356">
        <v>81.179627251724895</v>
      </c>
      <c r="AK356">
        <v>28.496485670213701</v>
      </c>
      <c r="AL356">
        <v>79.351197924311904</v>
      </c>
      <c r="AM356">
        <v>87.512336057401299</v>
      </c>
      <c r="AN356">
        <v>0.99999996886988096</v>
      </c>
    </row>
    <row r="357" spans="1:40" x14ac:dyDescent="0.25">
      <c r="A357" t="str">
        <f>"20190303162504244"</f>
        <v>20190303162504244</v>
      </c>
      <c r="B357" t="str">
        <f>"1551601504233234"</f>
        <v>1551601504233234</v>
      </c>
      <c r="C357" t="s">
        <v>40</v>
      </c>
      <c r="D357">
        <v>4.9589210000000001</v>
      </c>
      <c r="E357">
        <v>0.54248490000000005</v>
      </c>
      <c r="F357" t="s">
        <v>41</v>
      </c>
      <c r="G357">
        <v>-366.21449999999999</v>
      </c>
      <c r="H357" s="1">
        <v>-3.0674850000000001E-6</v>
      </c>
      <c r="I357">
        <v>362.87689999999998</v>
      </c>
      <c r="J357">
        <v>-394.63810000000001</v>
      </c>
      <c r="K357">
        <v>1.115937</v>
      </c>
      <c r="L357">
        <v>367.59989999999999</v>
      </c>
      <c r="M357">
        <v>0.99991620000000003</v>
      </c>
      <c r="N357">
        <v>-8.5305950000000002E-3</v>
      </c>
      <c r="O357">
        <v>-9.7537579999999995E-3</v>
      </c>
      <c r="P357">
        <v>0.98266969999999998</v>
      </c>
      <c r="Q357">
        <v>0.17763480000000001</v>
      </c>
      <c r="R357">
        <v>-5.2974720000000003E-2</v>
      </c>
      <c r="S357">
        <v>3.046967</v>
      </c>
      <c r="T357">
        <v>-0.118523</v>
      </c>
      <c r="U357">
        <v>-0.50228879999999998</v>
      </c>
      <c r="V357">
        <v>4.3404480000000002E-2</v>
      </c>
      <c r="W357">
        <v>0.1860115</v>
      </c>
      <c r="X357">
        <v>0.98158840000000003</v>
      </c>
      <c r="Y357">
        <v>0.1528882</v>
      </c>
      <c r="Z357">
        <v>-3.3153369999999998E-3</v>
      </c>
      <c r="AA357">
        <v>0.9882379</v>
      </c>
      <c r="AB357">
        <v>25</v>
      </c>
      <c r="AC357">
        <v>28.4236</v>
      </c>
      <c r="AD357">
        <v>-1.115940067485</v>
      </c>
      <c r="AE357">
        <v>-4.7230000000000096</v>
      </c>
      <c r="AF357">
        <v>4.4388699932720401</v>
      </c>
      <c r="AG357">
        <v>-1.115940067485</v>
      </c>
      <c r="AH357">
        <v>28.425677608193698</v>
      </c>
      <c r="AI357">
        <v>92.221280518549705</v>
      </c>
      <c r="AJ357">
        <v>81.124539577621306</v>
      </c>
      <c r="AK357">
        <v>28.791805023936199</v>
      </c>
      <c r="AL357">
        <v>79.279889317720702</v>
      </c>
      <c r="AM357">
        <v>87.468109288775906</v>
      </c>
      <c r="AN357">
        <v>1.00000000701544</v>
      </c>
    </row>
    <row r="358" spans="1:40" x14ac:dyDescent="0.25">
      <c r="A358" t="str">
        <f>"20190303162504269"</f>
        <v>20190303162504269</v>
      </c>
      <c r="B358" t="str">
        <f>"1551601504263491"</f>
        <v>1551601504263491</v>
      </c>
      <c r="C358" t="s">
        <v>40</v>
      </c>
      <c r="D358">
        <v>4.9821589999999896</v>
      </c>
      <c r="E358">
        <v>0.54290070000000001</v>
      </c>
      <c r="F358" t="s">
        <v>41</v>
      </c>
      <c r="G358">
        <v>-365.30540000000002</v>
      </c>
      <c r="H358" s="1">
        <v>-3.4187829999999999E-6</v>
      </c>
      <c r="I358">
        <v>362.71929999999998</v>
      </c>
      <c r="J358">
        <v>-394.36770000000001</v>
      </c>
      <c r="K358">
        <v>1.116811</v>
      </c>
      <c r="L358">
        <v>367.59730000000002</v>
      </c>
      <c r="M358">
        <v>0.99991229999999998</v>
      </c>
      <c r="N358">
        <v>-8.9245290000000005E-3</v>
      </c>
      <c r="O358">
        <v>-9.7879960000000002E-3</v>
      </c>
      <c r="P358">
        <v>0.98243460000000005</v>
      </c>
      <c r="Q358">
        <v>0.17869019999999999</v>
      </c>
      <c r="R358">
        <v>-5.3779250000000001E-2</v>
      </c>
      <c r="S358">
        <v>3.0465089999999999</v>
      </c>
      <c r="T358">
        <v>-0.1159017</v>
      </c>
      <c r="U358">
        <v>-0.50689700000000004</v>
      </c>
      <c r="V358">
        <v>4.4176559999999997E-2</v>
      </c>
      <c r="W358">
        <v>0.18745149999999999</v>
      </c>
      <c r="X358">
        <v>0.98128000000000004</v>
      </c>
      <c r="Y358">
        <v>0.15433559999999999</v>
      </c>
      <c r="Z358">
        <v>-3.3255379999999998E-3</v>
      </c>
      <c r="AA358">
        <v>0.98801289999999997</v>
      </c>
      <c r="AB358">
        <v>25</v>
      </c>
      <c r="AC358">
        <v>29.0623</v>
      </c>
      <c r="AD358">
        <v>-1.116814418783</v>
      </c>
      <c r="AE358">
        <v>-4.8780000000000401</v>
      </c>
      <c r="AF358">
        <v>4.5867055629656299</v>
      </c>
      <c r="AG358">
        <v>-1.116814418783</v>
      </c>
      <c r="AH358">
        <v>29.0669075147717</v>
      </c>
      <c r="AI358">
        <v>92.173479873718705</v>
      </c>
      <c r="AJ358">
        <v>81.032770312862695</v>
      </c>
      <c r="AK358">
        <v>29.4477546655026</v>
      </c>
      <c r="AL358">
        <v>79.195906522907293</v>
      </c>
      <c r="AM358">
        <v>87.422323355946901</v>
      </c>
      <c r="AN358">
        <v>1.00000003585284</v>
      </c>
    </row>
    <row r="359" spans="1:40" x14ac:dyDescent="0.25">
      <c r="A359" t="str">
        <f>"20190303162504292"</f>
        <v>20190303162504292</v>
      </c>
      <c r="B359" t="str">
        <f>"1551601504283010"</f>
        <v>1551601504283010</v>
      </c>
      <c r="C359" t="s">
        <v>40</v>
      </c>
      <c r="D359">
        <v>4.9833720000000001</v>
      </c>
      <c r="E359">
        <v>0.54320009999999996</v>
      </c>
      <c r="F359" t="s">
        <v>41</v>
      </c>
      <c r="G359">
        <v>-364.1277</v>
      </c>
      <c r="H359" s="1">
        <v>-3.8757250000000001E-6</v>
      </c>
      <c r="I359">
        <v>362.50819999999999</v>
      </c>
      <c r="J359">
        <v>-394.09699999999998</v>
      </c>
      <c r="K359">
        <v>1.1175489999999999</v>
      </c>
      <c r="L359">
        <v>367.59460000000001</v>
      </c>
      <c r="M359">
        <v>0.99990869999999998</v>
      </c>
      <c r="N359">
        <v>-9.2736490000000001E-3</v>
      </c>
      <c r="O359">
        <v>-9.8190120000000002E-3</v>
      </c>
      <c r="P359">
        <v>0.98215929999999996</v>
      </c>
      <c r="Q359">
        <v>0.17975369999999999</v>
      </c>
      <c r="R359">
        <v>-5.5242529999999998E-2</v>
      </c>
      <c r="S359">
        <v>3.0460509999999998</v>
      </c>
      <c r="T359">
        <v>-0.1124954</v>
      </c>
      <c r="U359">
        <v>-0.51260379999999905</v>
      </c>
      <c r="V359">
        <v>4.5611319999999997E-2</v>
      </c>
      <c r="W359">
        <v>0.18885460000000001</v>
      </c>
      <c r="X359">
        <v>0.98094519999999996</v>
      </c>
      <c r="Y359">
        <v>0.15613350000000001</v>
      </c>
      <c r="Z359">
        <v>-3.3219E-3</v>
      </c>
      <c r="AA359">
        <v>0.98773040000000001</v>
      </c>
      <c r="AB359">
        <v>25</v>
      </c>
      <c r="AC359">
        <v>29.969299999999901</v>
      </c>
      <c r="AD359">
        <v>-1.117552875725</v>
      </c>
      <c r="AE359">
        <v>-5.0864000000000198</v>
      </c>
      <c r="AF359">
        <v>4.7854051992143303</v>
      </c>
      <c r="AG359">
        <v>-1.117552875725</v>
      </c>
      <c r="AH359">
        <v>29.9772832444351</v>
      </c>
      <c r="AI359">
        <v>92.108327631919096</v>
      </c>
      <c r="AJ359">
        <v>80.930149506233207</v>
      </c>
      <c r="AK359">
        <v>30.377401766243899</v>
      </c>
      <c r="AL359">
        <v>79.114052143683907</v>
      </c>
      <c r="AM359">
        <v>87.337817414614705</v>
      </c>
      <c r="AN359">
        <v>0.99999996892817</v>
      </c>
    </row>
    <row r="360" spans="1:40" x14ac:dyDescent="0.25">
      <c r="A360" t="str">
        <f>"20190303162504313"</f>
        <v>20190303162504313</v>
      </c>
      <c r="B360" t="str">
        <f>"1551601504302531"</f>
        <v>1551601504302531</v>
      </c>
      <c r="C360" t="s">
        <v>40</v>
      </c>
      <c r="D360">
        <v>4.9638660000000003</v>
      </c>
      <c r="E360">
        <v>0.54340790000000005</v>
      </c>
      <c r="F360" t="s">
        <v>41</v>
      </c>
      <c r="G360">
        <v>-362.98270000000002</v>
      </c>
      <c r="H360" s="1">
        <v>-4.3217569999999997E-6</v>
      </c>
      <c r="I360">
        <v>362.29629999999997</v>
      </c>
      <c r="J360">
        <v>-393.86410000000001</v>
      </c>
      <c r="K360">
        <v>1.118093</v>
      </c>
      <c r="L360">
        <v>367.59230000000002</v>
      </c>
      <c r="M360">
        <v>0.99990610000000002</v>
      </c>
      <c r="N360">
        <v>-9.5399379999999995E-3</v>
      </c>
      <c r="O360">
        <v>-9.8448070000000006E-3</v>
      </c>
      <c r="P360">
        <v>0.98205109999999995</v>
      </c>
      <c r="Q360">
        <v>0.17988599999999999</v>
      </c>
      <c r="R360">
        <v>-5.6718749999999998E-2</v>
      </c>
      <c r="S360">
        <v>3.0452880000000002</v>
      </c>
      <c r="T360">
        <v>-0.1093793</v>
      </c>
      <c r="U360">
        <v>-0.51855470000000004</v>
      </c>
      <c r="V360">
        <v>4.7062630000000001E-2</v>
      </c>
      <c r="W360">
        <v>0.18924740000000001</v>
      </c>
      <c r="X360">
        <v>0.98080100000000003</v>
      </c>
      <c r="Y360">
        <v>0.15802840000000001</v>
      </c>
      <c r="Z360">
        <v>-3.3186869999999999E-3</v>
      </c>
      <c r="AA360">
        <v>0.987429</v>
      </c>
      <c r="AB360">
        <v>25</v>
      </c>
      <c r="AC360">
        <v>30.8813999999999</v>
      </c>
      <c r="AD360">
        <v>-1.1180973217569901</v>
      </c>
      <c r="AE360">
        <v>-5.2960000000000402</v>
      </c>
      <c r="AF360">
        <v>4.9853595587850199</v>
      </c>
      <c r="AG360">
        <v>-1.1180973217569901</v>
      </c>
      <c r="AH360">
        <v>30.892703938189701</v>
      </c>
      <c r="AI360">
        <v>92.046345428223503</v>
      </c>
      <c r="AJ360">
        <v>80.832834967044207</v>
      </c>
      <c r="AK360">
        <v>31.312347535180599</v>
      </c>
      <c r="AL360">
        <v>79.091133803036996</v>
      </c>
      <c r="AM360">
        <v>87.252833741939298</v>
      </c>
      <c r="AN360">
        <v>1.00000003557513</v>
      </c>
    </row>
    <row r="361" spans="1:40" x14ac:dyDescent="0.25">
      <c r="A361" t="str">
        <f>"20190303162504334"</f>
        <v>20190303162504334</v>
      </c>
      <c r="B361" t="str">
        <f>"1551601504323026"</f>
        <v>1551601504323026</v>
      </c>
      <c r="C361" t="s">
        <v>40</v>
      </c>
      <c r="D361">
        <v>4.9418569999999997</v>
      </c>
      <c r="E361">
        <v>0.54353640000000003</v>
      </c>
      <c r="F361" t="s">
        <v>41</v>
      </c>
      <c r="G361">
        <v>-362.95429999999999</v>
      </c>
      <c r="H361" s="1">
        <v>-4.338765E-6</v>
      </c>
      <c r="I361">
        <v>362.26859999999999</v>
      </c>
      <c r="J361">
        <v>-393.62329999999997</v>
      </c>
      <c r="K361">
        <v>1.118565</v>
      </c>
      <c r="L361">
        <v>367.58980000000003</v>
      </c>
      <c r="M361">
        <v>0.99990349999999995</v>
      </c>
      <c r="N361">
        <v>-9.7858530000000006E-3</v>
      </c>
      <c r="O361">
        <v>-9.871253E-3</v>
      </c>
      <c r="P361">
        <v>0.98192520000000005</v>
      </c>
      <c r="Q361">
        <v>0.18012829999999999</v>
      </c>
      <c r="R361">
        <v>-5.811214E-2</v>
      </c>
      <c r="S361">
        <v>3.044708</v>
      </c>
      <c r="T361">
        <v>-0.11013580000000001</v>
      </c>
      <c r="U361">
        <v>-0.5243835</v>
      </c>
      <c r="V361">
        <v>4.8430830000000001E-2</v>
      </c>
      <c r="W361">
        <v>0.18973010000000001</v>
      </c>
      <c r="X361">
        <v>0.98064110000000004</v>
      </c>
      <c r="Y361">
        <v>0.15986589999999901</v>
      </c>
      <c r="Z361">
        <v>-3.399245E-3</v>
      </c>
      <c r="AA361">
        <v>0.98713289999999998</v>
      </c>
      <c r="AB361">
        <v>25</v>
      </c>
      <c r="AC361">
        <v>30.668999999999901</v>
      </c>
      <c r="AD361">
        <v>-1.118569338765</v>
      </c>
      <c r="AE361">
        <v>-5.3212000000000304</v>
      </c>
      <c r="AF361">
        <v>5.0117128926699603</v>
      </c>
      <c r="AG361">
        <v>-1.118569338765</v>
      </c>
      <c r="AH361">
        <v>30.680415715526301</v>
      </c>
      <c r="AI361">
        <v>92.060718162641805</v>
      </c>
      <c r="AJ361">
        <v>80.722549830734707</v>
      </c>
      <c r="AK361">
        <v>31.1071755703036</v>
      </c>
      <c r="AL361">
        <v>79.062966561099898</v>
      </c>
      <c r="AM361">
        <v>87.172635929241594</v>
      </c>
      <c r="AN361">
        <v>1.00000001157485</v>
      </c>
    </row>
    <row r="362" spans="1:40" x14ac:dyDescent="0.25">
      <c r="A362" t="str">
        <f>"20190303162504357"</f>
        <v>20190303162504357</v>
      </c>
      <c r="B362" t="str">
        <f>"1551601504342547"</f>
        <v>1551601504342547</v>
      </c>
      <c r="C362" t="s">
        <v>40</v>
      </c>
      <c r="D362">
        <v>4.936077</v>
      </c>
      <c r="E362">
        <v>0.54366110000000001</v>
      </c>
      <c r="F362" t="s">
        <v>41</v>
      </c>
      <c r="G362">
        <v>-362.66079999999999</v>
      </c>
      <c r="H362" s="1">
        <v>-4.4546630000000003E-6</v>
      </c>
      <c r="I362">
        <v>362.20850000000002</v>
      </c>
      <c r="J362">
        <v>-393.37329999999997</v>
      </c>
      <c r="K362">
        <v>1.118978</v>
      </c>
      <c r="L362">
        <v>367.58730000000003</v>
      </c>
      <c r="M362">
        <v>0.99990100000000004</v>
      </c>
      <c r="N362">
        <v>-1.0013279999999999E-2</v>
      </c>
      <c r="O362">
        <v>-9.8974019999999996E-3</v>
      </c>
      <c r="P362">
        <v>0.98197400000000001</v>
      </c>
      <c r="Q362">
        <v>0.17949270000000001</v>
      </c>
      <c r="R362">
        <v>-5.9243949999999997E-2</v>
      </c>
      <c r="S362">
        <v>3.044098</v>
      </c>
      <c r="T362">
        <v>-0.1099725</v>
      </c>
      <c r="U362">
        <v>-0.52905269999999904</v>
      </c>
      <c r="V362">
        <v>4.9535969999999999E-2</v>
      </c>
      <c r="W362">
        <v>0.18931809999999999</v>
      </c>
      <c r="X362">
        <v>0.98066549999999997</v>
      </c>
      <c r="Y362">
        <v>0.1613415</v>
      </c>
      <c r="Z362">
        <v>-3.4495490000000001E-3</v>
      </c>
      <c r="AA362">
        <v>0.98689260000000001</v>
      </c>
      <c r="AB362">
        <v>25</v>
      </c>
      <c r="AC362">
        <v>30.712499999999899</v>
      </c>
      <c r="AD362">
        <v>-1.1189824546630001</v>
      </c>
      <c r="AE362">
        <v>-5.3788000000000098</v>
      </c>
      <c r="AF362">
        <v>5.0680200457905098</v>
      </c>
      <c r="AG362">
        <v>-1.1189824546630001</v>
      </c>
      <c r="AH362">
        <v>30.724662808854699</v>
      </c>
      <c r="AI362">
        <v>92.057987281170497</v>
      </c>
      <c r="AJ362">
        <v>80.633427542018495</v>
      </c>
      <c r="AK362">
        <v>31.159939884990099</v>
      </c>
      <c r="AL362">
        <v>79.087007901995506</v>
      </c>
      <c r="AM362">
        <v>87.108298608504796</v>
      </c>
      <c r="AN362">
        <v>0.99999998910084997</v>
      </c>
    </row>
    <row r="363" spans="1:40" x14ac:dyDescent="0.25">
      <c r="A363" t="str">
        <f>"20190303162504380"</f>
        <v>20190303162504380</v>
      </c>
      <c r="B363" t="str">
        <f>"1551601504372803"</f>
        <v>1551601504372803</v>
      </c>
      <c r="C363" t="s">
        <v>40</v>
      </c>
      <c r="D363">
        <v>4.9578350000000002</v>
      </c>
      <c r="E363">
        <v>0.54383859999999995</v>
      </c>
      <c r="F363" t="s">
        <v>41</v>
      </c>
      <c r="G363">
        <v>-362.87189999999998</v>
      </c>
      <c r="H363" s="1">
        <v>-4.373448E-6</v>
      </c>
      <c r="I363">
        <v>362.24380000000002</v>
      </c>
      <c r="J363">
        <v>-393.1121</v>
      </c>
      <c r="K363">
        <v>1.119332</v>
      </c>
      <c r="L363">
        <v>367.5847</v>
      </c>
      <c r="M363">
        <v>0.99989859999999997</v>
      </c>
      <c r="N363">
        <v>-1.022233E-2</v>
      </c>
      <c r="O363">
        <v>-9.9237240000000001E-3</v>
      </c>
      <c r="P363">
        <v>0.98208439999999997</v>
      </c>
      <c r="Q363">
        <v>0.17888889999999999</v>
      </c>
      <c r="R363">
        <v>-5.9238079999999999E-2</v>
      </c>
      <c r="S363">
        <v>3.043304</v>
      </c>
      <c r="T363">
        <v>-0.11164689999999999</v>
      </c>
      <c r="U363">
        <v>-0.53314209999999995</v>
      </c>
      <c r="V363">
        <v>4.9503020000000002E-2</v>
      </c>
      <c r="W363">
        <v>0.18892059999999999</v>
      </c>
      <c r="X363">
        <v>0.98074380000000005</v>
      </c>
      <c r="Y363">
        <v>0.16264049999999999</v>
      </c>
      <c r="Z363">
        <v>-3.537307E-3</v>
      </c>
      <c r="AA363">
        <v>0.98667910000000003</v>
      </c>
      <c r="AB363">
        <v>25</v>
      </c>
      <c r="AC363">
        <v>30.240200000000002</v>
      </c>
      <c r="AD363">
        <v>-1.119336373448</v>
      </c>
      <c r="AE363">
        <v>-5.3408999999999702</v>
      </c>
      <c r="AF363">
        <v>5.0338376998809604</v>
      </c>
      <c r="AG363">
        <v>-1.119336373448</v>
      </c>
      <c r="AH363">
        <v>30.251521354503701</v>
      </c>
      <c r="AI363">
        <v>92.090318559269093</v>
      </c>
      <c r="AJ363">
        <v>80.552572846558206</v>
      </c>
      <c r="AK363">
        <v>30.6878963138183</v>
      </c>
      <c r="AL363">
        <v>79.110201332189902</v>
      </c>
      <c r="AM363">
        <v>87.110449150884904</v>
      </c>
      <c r="AN363">
        <v>0.999999971665959</v>
      </c>
    </row>
    <row r="364" spans="1:40" x14ac:dyDescent="0.25">
      <c r="A364" t="str">
        <f>"20190303162504403"</f>
        <v>20190303162504403</v>
      </c>
      <c r="B364" t="str">
        <f>"1551601504393299"</f>
        <v>1551601504393299</v>
      </c>
      <c r="C364" t="s">
        <v>40</v>
      </c>
      <c r="D364">
        <v>4.9406840000000001</v>
      </c>
      <c r="E364">
        <v>0.549091</v>
      </c>
      <c r="F364" t="s">
        <v>41</v>
      </c>
      <c r="G364">
        <v>-363.45929999999998</v>
      </c>
      <c r="H364" s="1">
        <v>-4.1376309999999998E-6</v>
      </c>
      <c r="I364">
        <v>362.37869999999998</v>
      </c>
      <c r="J364">
        <v>-392.85629999999998</v>
      </c>
      <c r="K364">
        <v>1.1196189999999999</v>
      </c>
      <c r="L364">
        <v>367.58210000000003</v>
      </c>
      <c r="M364">
        <v>0.99989649999999997</v>
      </c>
      <c r="N364">
        <v>-1.040225E-2</v>
      </c>
      <c r="O364">
        <v>-9.9466950000000002E-3</v>
      </c>
      <c r="P364">
        <v>0.98201309999999997</v>
      </c>
      <c r="Q364">
        <v>0.1792455</v>
      </c>
      <c r="R364">
        <v>-5.934242E-2</v>
      </c>
      <c r="S364">
        <v>3.0434269999999999</v>
      </c>
      <c r="T364">
        <v>-0.1148832</v>
      </c>
      <c r="U364">
        <v>-0.53430180000000005</v>
      </c>
      <c r="V364">
        <v>4.9585329999999997E-2</v>
      </c>
      <c r="W364">
        <v>0.18945300000000001</v>
      </c>
      <c r="X364">
        <v>0.98063699999999998</v>
      </c>
      <c r="Y364">
        <v>0.1629681</v>
      </c>
      <c r="Z364">
        <v>-3.636182E-3</v>
      </c>
      <c r="AA364">
        <v>0.98662470000000002</v>
      </c>
      <c r="AB364">
        <v>25</v>
      </c>
      <c r="AC364">
        <v>29.396999999999899</v>
      </c>
      <c r="AD364">
        <v>-1.119623137631</v>
      </c>
      <c r="AE364">
        <v>-5.2034000000000402</v>
      </c>
      <c r="AF364">
        <v>4.9038265372530896</v>
      </c>
      <c r="AG364">
        <v>-1.119623137631</v>
      </c>
      <c r="AH364">
        <v>29.405945544910999</v>
      </c>
      <c r="AI364">
        <v>92.150794333674298</v>
      </c>
      <c r="AJ364">
        <v>80.532302173444506</v>
      </c>
      <c r="AK364">
        <v>29.833047180401401</v>
      </c>
      <c r="AL364">
        <v>79.079136753364395</v>
      </c>
      <c r="AM364">
        <v>87.105338096041393</v>
      </c>
      <c r="AN364">
        <v>1.0000000349646001</v>
      </c>
    </row>
    <row r="365" spans="1:40" x14ac:dyDescent="0.25">
      <c r="A365" t="str">
        <f>"20190303162504425"</f>
        <v>20190303162504425</v>
      </c>
      <c r="B365" t="str">
        <f>"1551601504412819"</f>
        <v>1551601504412819</v>
      </c>
      <c r="C365" t="s">
        <v>40</v>
      </c>
      <c r="D365">
        <v>4.9711080000000001</v>
      </c>
      <c r="E365">
        <v>0.54945390000000005</v>
      </c>
      <c r="F365" t="s">
        <v>41</v>
      </c>
      <c r="G365">
        <v>-376.80950000000001</v>
      </c>
      <c r="H365" s="1">
        <v>-2.419076E-6</v>
      </c>
      <c r="I365">
        <v>364.55279999999999</v>
      </c>
      <c r="J365">
        <v>-392.60660000000001</v>
      </c>
      <c r="K365">
        <v>1.1198629999999901</v>
      </c>
      <c r="L365">
        <v>367.57960000000003</v>
      </c>
      <c r="M365">
        <v>0.99989459999999997</v>
      </c>
      <c r="N365">
        <v>-1.0557779999999999E-2</v>
      </c>
      <c r="O365">
        <v>-9.9675189999999993E-3</v>
      </c>
      <c r="P365">
        <v>0.98207310000000003</v>
      </c>
      <c r="Q365">
        <v>0.17894570000000001</v>
      </c>
      <c r="R365">
        <v>-5.9254670000000002E-2</v>
      </c>
      <c r="S365">
        <v>3.0589900000000001</v>
      </c>
      <c r="T365">
        <v>-0.21343210000000001</v>
      </c>
      <c r="U365">
        <v>-0.57745360000000001</v>
      </c>
      <c r="V365">
        <v>4.9475760000000001E-2</v>
      </c>
      <c r="W365">
        <v>0.1893069</v>
      </c>
      <c r="X365">
        <v>0.98067070000000001</v>
      </c>
      <c r="Y365">
        <v>0.17523369999999999</v>
      </c>
      <c r="Z365">
        <v>-6.4028019999999904E-3</v>
      </c>
      <c r="AA365">
        <v>0.98450610000000005</v>
      </c>
      <c r="AB365">
        <v>25</v>
      </c>
      <c r="AC365">
        <v>15.7971</v>
      </c>
      <c r="AD365">
        <v>-1.11986541907599</v>
      </c>
      <c r="AE365">
        <v>-3.0268000000000299</v>
      </c>
      <c r="AF365">
        <v>2.8553416575961301</v>
      </c>
      <c r="AG365">
        <v>-1.11986541907599</v>
      </c>
      <c r="AH365">
        <v>15.750137591486901</v>
      </c>
      <c r="AI365">
        <v>94.001981194439495</v>
      </c>
      <c r="AJ365">
        <v>79.724453207878099</v>
      </c>
      <c r="AK365">
        <v>16.045993540108899</v>
      </c>
      <c r="AL365">
        <v>79.087661415212693</v>
      </c>
      <c r="AM365">
        <v>87.111822748824096</v>
      </c>
      <c r="AN365">
        <v>0.99999998752683805</v>
      </c>
    </row>
    <row r="366" spans="1:40" x14ac:dyDescent="0.25">
      <c r="A366" t="str">
        <f>"20190303162504447"</f>
        <v>20190303162504447</v>
      </c>
      <c r="B366" t="str">
        <f>"1551601504443075"</f>
        <v>1551601504443075</v>
      </c>
      <c r="C366" t="s">
        <v>40</v>
      </c>
      <c r="D366">
        <v>4.9826050000000004</v>
      </c>
      <c r="E366">
        <v>0.54984719999999998</v>
      </c>
      <c r="F366" t="s">
        <v>41</v>
      </c>
      <c r="G366">
        <v>-376.50229999999999</v>
      </c>
      <c r="H366" s="1">
        <v>-2.5305289999999999E-6</v>
      </c>
      <c r="I366">
        <v>364.52679999999998</v>
      </c>
      <c r="J366">
        <v>-392.35759999999999</v>
      </c>
      <c r="K366">
        <v>1.120061</v>
      </c>
      <c r="L366">
        <v>367.57709999999997</v>
      </c>
      <c r="M366">
        <v>0.99989300000000003</v>
      </c>
      <c r="N366">
        <v>-1.069515E-2</v>
      </c>
      <c r="O366">
        <v>-9.9863509999999992E-3</v>
      </c>
      <c r="P366">
        <v>0.98213600000000001</v>
      </c>
      <c r="Q366">
        <v>0.17852570000000001</v>
      </c>
      <c r="R366">
        <v>-5.9478389999999999E-2</v>
      </c>
      <c r="S366">
        <v>3.0585019999999998</v>
      </c>
      <c r="T366">
        <v>-0.21268300000000001</v>
      </c>
      <c r="U366">
        <v>-0.57977290000000004</v>
      </c>
      <c r="V366">
        <v>4.9679870000000001E-2</v>
      </c>
      <c r="W366">
        <v>0.1890222</v>
      </c>
      <c r="X366">
        <v>0.98071529999999996</v>
      </c>
      <c r="Y366">
        <v>0.1759646</v>
      </c>
      <c r="Z366">
        <v>-6.4260659999999898E-3</v>
      </c>
      <c r="AA366">
        <v>0.98437549999999996</v>
      </c>
      <c r="AB366">
        <v>25</v>
      </c>
      <c r="AC366">
        <v>15.8553</v>
      </c>
      <c r="AD366">
        <v>-1.1200635305290001</v>
      </c>
      <c r="AE366">
        <v>-3.0502999999999898</v>
      </c>
      <c r="AF366">
        <v>2.8779526662032802</v>
      </c>
      <c r="AG366">
        <v>-1.1200635305290001</v>
      </c>
      <c r="AH366">
        <v>15.808895223795901</v>
      </c>
      <c r="AI366">
        <v>93.987329215344005</v>
      </c>
      <c r="AJ366">
        <v>79.682495820041396</v>
      </c>
      <c r="AK366">
        <v>16.1077100190649</v>
      </c>
      <c r="AL366">
        <v>79.104273481534804</v>
      </c>
      <c r="AM366">
        <v>87.100059664752294</v>
      </c>
      <c r="AN366">
        <v>0.99999999061507305</v>
      </c>
    </row>
    <row r="367" spans="1:40" x14ac:dyDescent="0.25">
      <c r="A367" t="str">
        <f>"20190303162504470"</f>
        <v>20190303162504470</v>
      </c>
      <c r="B367" t="str">
        <f>"1551601504462595"</f>
        <v>1551601504462595</v>
      </c>
      <c r="C367" t="s">
        <v>40</v>
      </c>
      <c r="D367">
        <v>4.9765470000000001</v>
      </c>
      <c r="E367">
        <v>0.54998749999999996</v>
      </c>
      <c r="F367" t="s">
        <v>41</v>
      </c>
      <c r="G367">
        <v>-376.65769999999998</v>
      </c>
      <c r="H367" s="1">
        <v>-2.4629650000000001E-6</v>
      </c>
      <c r="I367">
        <v>364.58190000000002</v>
      </c>
      <c r="J367">
        <v>-392.09269999999998</v>
      </c>
      <c r="K367">
        <v>1.1202350000000001</v>
      </c>
      <c r="L367">
        <v>367.57440000000003</v>
      </c>
      <c r="M367">
        <v>0.99989159999999999</v>
      </c>
      <c r="N367">
        <v>-1.0824179999999999E-2</v>
      </c>
      <c r="O367">
        <v>-1.000526E-2</v>
      </c>
      <c r="P367">
        <v>0.98226530000000001</v>
      </c>
      <c r="Q367">
        <v>0.1778161</v>
      </c>
      <c r="R367">
        <v>-5.9468750000000001E-2</v>
      </c>
      <c r="S367">
        <v>3.058929</v>
      </c>
      <c r="T367">
        <v>-0.21823049999999999</v>
      </c>
      <c r="U367">
        <v>-0.58355709999999905</v>
      </c>
      <c r="V367">
        <v>4.9649779999999998E-2</v>
      </c>
      <c r="W367">
        <v>0.18844060000000001</v>
      </c>
      <c r="X367">
        <v>0.98082879999999995</v>
      </c>
      <c r="Y367">
        <v>0.177069899999999</v>
      </c>
      <c r="Z367">
        <v>-6.6212379999999998E-3</v>
      </c>
      <c r="AA367">
        <v>0.98417600000000005</v>
      </c>
      <c r="AB367">
        <v>25</v>
      </c>
      <c r="AC367">
        <v>15.435</v>
      </c>
      <c r="AD367">
        <v>-1.120237462965</v>
      </c>
      <c r="AE367">
        <v>-2.9925000000000002</v>
      </c>
      <c r="AF367">
        <v>2.82357554298056</v>
      </c>
      <c r="AG367">
        <v>-1.120237462965</v>
      </c>
      <c r="AH367">
        <v>15.386059360678701</v>
      </c>
      <c r="AI367">
        <v>94.096113265109196</v>
      </c>
      <c r="AJ367">
        <v>79.601061947331203</v>
      </c>
      <c r="AK367">
        <v>15.6830588046681</v>
      </c>
      <c r="AL367">
        <v>79.138207154120806</v>
      </c>
      <c r="AM367">
        <v>87.102147901212206</v>
      </c>
      <c r="AN367">
        <v>1.0000000476459201</v>
      </c>
    </row>
    <row r="368" spans="1:40" x14ac:dyDescent="0.25">
      <c r="A368" t="str">
        <f>"20190303162504494"</f>
        <v>20190303162504494</v>
      </c>
      <c r="B368" t="str">
        <f>"1551601504483091"</f>
        <v>1551601504483091</v>
      </c>
      <c r="C368" t="s">
        <v>40</v>
      </c>
      <c r="D368">
        <v>4.9699150000000003</v>
      </c>
      <c r="E368">
        <v>0.54978629999999995</v>
      </c>
      <c r="F368" t="s">
        <v>41</v>
      </c>
      <c r="G368">
        <v>-376.72789999999998</v>
      </c>
      <c r="H368" s="1">
        <v>-2.4239799999999999E-6</v>
      </c>
      <c r="I368">
        <v>364.63869999999997</v>
      </c>
      <c r="J368">
        <v>-391.82400000000001</v>
      </c>
      <c r="K368">
        <v>1.1203879999999999</v>
      </c>
      <c r="L368">
        <v>367.57170000000002</v>
      </c>
      <c r="M368">
        <v>0.99988999999999995</v>
      </c>
      <c r="N368">
        <v>-1.0938929999999999E-2</v>
      </c>
      <c r="O368">
        <v>-1.002316E-2</v>
      </c>
      <c r="P368">
        <v>0.98239900000000002</v>
      </c>
      <c r="Q368">
        <v>0.17706659999999999</v>
      </c>
      <c r="R368">
        <v>-5.9497750000000002E-2</v>
      </c>
      <c r="S368">
        <v>3.059113</v>
      </c>
      <c r="T368">
        <v>-0.22303709999999999</v>
      </c>
      <c r="U368">
        <v>-0.58447269999999996</v>
      </c>
      <c r="V368">
        <v>4.9659130000000003E-2</v>
      </c>
      <c r="W368">
        <v>0.18780559999999999</v>
      </c>
      <c r="X368">
        <v>0.98095010000000005</v>
      </c>
      <c r="Y368">
        <v>0.1773043</v>
      </c>
      <c r="Z368">
        <v>-6.7627240000000003E-3</v>
      </c>
      <c r="AA368">
        <v>0.98413280000000003</v>
      </c>
      <c r="AB368">
        <v>25</v>
      </c>
      <c r="AC368">
        <v>15.0961</v>
      </c>
      <c r="AD368">
        <v>-1.12039042397999</v>
      </c>
      <c r="AE368">
        <v>-2.9330000000000398</v>
      </c>
      <c r="AF368">
        <v>2.7668470152518498</v>
      </c>
      <c r="AG368">
        <v>-1.12039042397999</v>
      </c>
      <c r="AH368">
        <v>15.0448855177185</v>
      </c>
      <c r="AI368">
        <v>94.188954007267796</v>
      </c>
      <c r="AJ368">
        <v>79.5793925242223</v>
      </c>
      <c r="AK368">
        <v>15.3381647321056</v>
      </c>
      <c r="AL368">
        <v>79.175251249180903</v>
      </c>
      <c r="AM368">
        <v>87.101960902935005</v>
      </c>
      <c r="AN368">
        <v>1.0000000356368599</v>
      </c>
    </row>
    <row r="369" spans="1:40" x14ac:dyDescent="0.25">
      <c r="A369" t="str">
        <f>"20190303162504516"</f>
        <v>20190303162504516</v>
      </c>
      <c r="B369" t="str">
        <f>"1551601504502611"</f>
        <v>1551601504502611</v>
      </c>
      <c r="C369" t="s">
        <v>40</v>
      </c>
      <c r="D369">
        <v>4.9518120000000003</v>
      </c>
      <c r="E369">
        <v>0.54962809999999995</v>
      </c>
      <c r="F369" t="s">
        <v>41</v>
      </c>
      <c r="G369">
        <v>-376.71620000000001</v>
      </c>
      <c r="H369" s="1">
        <v>-2.4136480000000001E-6</v>
      </c>
      <c r="I369">
        <v>364.69260000000003</v>
      </c>
      <c r="J369">
        <v>-391.5779</v>
      </c>
      <c r="K369">
        <v>1.1205020000000001</v>
      </c>
      <c r="L369">
        <v>367.56920000000002</v>
      </c>
      <c r="M369">
        <v>0.99988889999999997</v>
      </c>
      <c r="N369">
        <v>-1.103143E-2</v>
      </c>
      <c r="O369">
        <v>-1.003891E-2</v>
      </c>
      <c r="P369">
        <v>0.98238349999999997</v>
      </c>
      <c r="Q369">
        <v>0.17721619999999999</v>
      </c>
      <c r="R369">
        <v>-5.9306739999999997E-2</v>
      </c>
      <c r="S369">
        <v>3.059326</v>
      </c>
      <c r="T369">
        <v>-0.2268771</v>
      </c>
      <c r="U369">
        <v>-0.58300779999999996</v>
      </c>
      <c r="V369">
        <v>4.9452620000000003E-2</v>
      </c>
      <c r="W369">
        <v>0.1880454</v>
      </c>
      <c r="X369">
        <v>0.98091459999999997</v>
      </c>
      <c r="Y369">
        <v>0.1768062</v>
      </c>
      <c r="Z369">
        <v>-6.8471829999999997E-3</v>
      </c>
      <c r="AA369">
        <v>0.98422189999999998</v>
      </c>
      <c r="AB369">
        <v>25</v>
      </c>
      <c r="AC369">
        <v>14.8616999999999</v>
      </c>
      <c r="AD369">
        <v>-1.120504413648</v>
      </c>
      <c r="AE369">
        <v>-2.8765999999999901</v>
      </c>
      <c r="AF369">
        <v>2.7123889897893099</v>
      </c>
      <c r="AG369">
        <v>-1.120504413648</v>
      </c>
      <c r="AH369">
        <v>14.8086909710975</v>
      </c>
      <c r="AI369">
        <v>94.256514834525703</v>
      </c>
      <c r="AJ369">
        <v>79.620641673822405</v>
      </c>
      <c r="AK369">
        <v>15.096685478952001</v>
      </c>
      <c r="AL369">
        <v>79.161262571909106</v>
      </c>
      <c r="AM369">
        <v>87.113887857974802</v>
      </c>
      <c r="AN369">
        <v>1.0000000432895899</v>
      </c>
    </row>
    <row r="370" spans="1:40" x14ac:dyDescent="0.25">
      <c r="A370" t="str">
        <f>"20190303162504535"</f>
        <v>20190303162504535</v>
      </c>
      <c r="B370" t="str">
        <f>"1551601504523107"</f>
        <v>1551601504523107</v>
      </c>
      <c r="C370" t="s">
        <v>40</v>
      </c>
      <c r="D370">
        <v>4.972861</v>
      </c>
      <c r="E370">
        <v>0.5493074</v>
      </c>
      <c r="F370" t="s">
        <v>41</v>
      </c>
      <c r="G370">
        <v>-376.4674</v>
      </c>
      <c r="H370" s="1">
        <v>-2.4961149999999999E-6</v>
      </c>
      <c r="I370">
        <v>364.70069999999998</v>
      </c>
      <c r="J370">
        <v>-391.35489999999999</v>
      </c>
      <c r="K370">
        <v>1.1205889999999901</v>
      </c>
      <c r="L370">
        <v>367.56700000000001</v>
      </c>
      <c r="M370">
        <v>0.99988790000000005</v>
      </c>
      <c r="N370">
        <v>-1.110562E-2</v>
      </c>
      <c r="O370">
        <v>-1.0052190000000001E-2</v>
      </c>
      <c r="P370">
        <v>0.98234359999999998</v>
      </c>
      <c r="Q370">
        <v>0.17751349999999999</v>
      </c>
      <c r="R370">
        <v>-5.9081080000000001E-2</v>
      </c>
      <c r="S370">
        <v>3.0596619999999999</v>
      </c>
      <c r="T370">
        <v>-0.22688630000000001</v>
      </c>
      <c r="U370">
        <v>-0.58081050000000001</v>
      </c>
      <c r="V370">
        <v>4.92142E-2</v>
      </c>
      <c r="W370">
        <v>0.18841530000000001</v>
      </c>
      <c r="X370">
        <v>0.98085560000000005</v>
      </c>
      <c r="Y370">
        <v>0.17609269999999999</v>
      </c>
      <c r="Z370">
        <v>-6.8234719999999997E-3</v>
      </c>
      <c r="AA370">
        <v>0.9843499</v>
      </c>
      <c r="AB370">
        <v>25</v>
      </c>
      <c r="AC370">
        <v>14.8874999999999</v>
      </c>
      <c r="AD370">
        <v>-1.1205914961150001</v>
      </c>
      <c r="AE370">
        <v>-2.8662999999999599</v>
      </c>
      <c r="AF370">
        <v>2.70173396779732</v>
      </c>
      <c r="AG370">
        <v>-1.1205914961150001</v>
      </c>
      <c r="AH370">
        <v>14.834518754881699</v>
      </c>
      <c r="AI370">
        <v>94.250236378586806</v>
      </c>
      <c r="AJ370">
        <v>79.678147923496994</v>
      </c>
      <c r="AK370">
        <v>15.1201203177373</v>
      </c>
      <c r="AL370">
        <v>79.139683042677504</v>
      </c>
      <c r="AM370">
        <v>87.127606490032093</v>
      </c>
      <c r="AN370">
        <v>1.0000000354035401</v>
      </c>
    </row>
    <row r="371" spans="1:40" x14ac:dyDescent="0.25">
      <c r="A371" t="str">
        <f>"20190303162504559"</f>
        <v>20190303162504559</v>
      </c>
      <c r="B371" t="str">
        <f>"1551601504553363"</f>
        <v>1551601504553363</v>
      </c>
      <c r="C371" t="s">
        <v>40</v>
      </c>
      <c r="D371">
        <v>5.1198790000000001</v>
      </c>
      <c r="E371">
        <v>0.54938790000000004</v>
      </c>
      <c r="F371" t="s">
        <v>41</v>
      </c>
      <c r="G371">
        <v>-376.21530000000001</v>
      </c>
      <c r="H371" s="1">
        <v>-2.5797640000000001E-6</v>
      </c>
      <c r="I371">
        <v>364.7088</v>
      </c>
      <c r="J371">
        <v>-391.10250000000002</v>
      </c>
      <c r="K371">
        <v>1.1206719999999999</v>
      </c>
      <c r="L371">
        <v>367.56439999999998</v>
      </c>
      <c r="M371">
        <v>0.99988690000000002</v>
      </c>
      <c r="N371">
        <v>-1.118042E-2</v>
      </c>
      <c r="O371">
        <v>-1.006715E-2</v>
      </c>
      <c r="P371">
        <v>0.98229230000000001</v>
      </c>
      <c r="Q371">
        <v>0.17785039999999999</v>
      </c>
      <c r="R371">
        <v>-5.8917980000000002E-2</v>
      </c>
      <c r="S371">
        <v>3.06012</v>
      </c>
      <c r="T371">
        <v>-0.22650100000000001</v>
      </c>
      <c r="U371">
        <v>-0.57769780000000004</v>
      </c>
      <c r="V371">
        <v>4.9036929999999999E-2</v>
      </c>
      <c r="W371">
        <v>0.1888251</v>
      </c>
      <c r="X371">
        <v>0.98078569999999998</v>
      </c>
      <c r="Y371">
        <v>0.17508850000000001</v>
      </c>
      <c r="Z371">
        <v>-6.7773909999999998E-3</v>
      </c>
      <c r="AA371">
        <v>0.9845294</v>
      </c>
      <c r="AB371">
        <v>25</v>
      </c>
      <c r="AC371">
        <v>14.8872</v>
      </c>
      <c r="AD371">
        <v>-1.1206745797640001</v>
      </c>
      <c r="AE371">
        <v>-2.8555999999999799</v>
      </c>
      <c r="AF371">
        <v>2.6908669400124299</v>
      </c>
      <c r="AG371">
        <v>-1.1206745797640001</v>
      </c>
      <c r="AH371">
        <v>14.8341171392417</v>
      </c>
      <c r="AI371">
        <v>94.251207242871203</v>
      </c>
      <c r="AJ371">
        <v>79.718505282791099</v>
      </c>
      <c r="AK371">
        <v>15.117794406041</v>
      </c>
      <c r="AL371">
        <v>79.115774385738206</v>
      </c>
      <c r="AM371">
        <v>87.137732005792401</v>
      </c>
      <c r="AN371">
        <v>1.00000006410916</v>
      </c>
    </row>
    <row r="372" spans="1:40" x14ac:dyDescent="0.25">
      <c r="A372" t="str">
        <f>"20190303162504580"</f>
        <v>20190303162504580</v>
      </c>
      <c r="B372" t="str">
        <f>"1551601504572883"</f>
        <v>1551601504572883</v>
      </c>
      <c r="C372" t="s">
        <v>40</v>
      </c>
      <c r="D372">
        <v>4.9419230000000001</v>
      </c>
      <c r="E372">
        <v>0.52157370000000003</v>
      </c>
      <c r="F372" t="s">
        <v>41</v>
      </c>
      <c r="G372">
        <v>-375.72129999999999</v>
      </c>
      <c r="H372" s="1">
        <v>-2.7611390000000001E-6</v>
      </c>
      <c r="I372">
        <v>364.65910000000002</v>
      </c>
      <c r="J372">
        <v>-390.84550000000002</v>
      </c>
      <c r="K372">
        <v>1.120738</v>
      </c>
      <c r="L372">
        <v>367.56180000000001</v>
      </c>
      <c r="M372">
        <v>0.99988589999999999</v>
      </c>
      <c r="N372">
        <v>-1.1246569999999999E-2</v>
      </c>
      <c r="O372">
        <v>-1.008219E-2</v>
      </c>
      <c r="P372">
        <v>0.98221700000000001</v>
      </c>
      <c r="Q372">
        <v>0.1783835</v>
      </c>
      <c r="R372">
        <v>-5.8560099999999997E-2</v>
      </c>
      <c r="S372">
        <v>3.0597840000000001</v>
      </c>
      <c r="T372">
        <v>-0.22293460000000001</v>
      </c>
      <c r="U372">
        <v>-0.57794190000000001</v>
      </c>
      <c r="V372">
        <v>4.8665180000000002E-2</v>
      </c>
      <c r="W372">
        <v>0.1894216</v>
      </c>
      <c r="X372">
        <v>0.98068909999999998</v>
      </c>
      <c r="Y372">
        <v>0.17518320000000001</v>
      </c>
      <c r="Z372">
        <v>-6.6983149999999998E-3</v>
      </c>
      <c r="AA372">
        <v>0.98451299999999997</v>
      </c>
      <c r="AB372">
        <v>25</v>
      </c>
      <c r="AC372">
        <v>15.1242</v>
      </c>
      <c r="AD372">
        <v>-1.1207407611389999</v>
      </c>
      <c r="AE372">
        <v>-2.9026999999999799</v>
      </c>
      <c r="AF372">
        <v>2.73556989801809</v>
      </c>
      <c r="AG372">
        <v>-1.1207407611389999</v>
      </c>
      <c r="AH372">
        <v>15.072871232877899</v>
      </c>
      <c r="AI372">
        <v>94.184287734018795</v>
      </c>
      <c r="AJ372">
        <v>79.713376552947594</v>
      </c>
      <c r="AK372">
        <v>15.360040681050901</v>
      </c>
      <c r="AL372">
        <v>79.080968372529497</v>
      </c>
      <c r="AM372">
        <v>87.159115897673999</v>
      </c>
      <c r="AN372">
        <v>0.99999997657490003</v>
      </c>
    </row>
    <row r="373" spans="1:40" x14ac:dyDescent="0.25">
      <c r="A373" t="str">
        <f>"20190303162504602"</f>
        <v>20190303162504602</v>
      </c>
      <c r="B373" t="str">
        <f>"1551601504592402"</f>
        <v>1551601504592402</v>
      </c>
      <c r="C373" t="s">
        <v>40</v>
      </c>
      <c r="D373">
        <v>4.8398349999999999</v>
      </c>
      <c r="E373">
        <v>0.50994090000000003</v>
      </c>
      <c r="F373" t="s">
        <v>41</v>
      </c>
      <c r="G373">
        <v>-371.5138</v>
      </c>
      <c r="H373" s="1">
        <v>-4.3849619999999997E-6</v>
      </c>
      <c r="I373">
        <v>365.32</v>
      </c>
      <c r="J373">
        <v>-390.60669999999999</v>
      </c>
      <c r="K373">
        <v>1.1207929999999999</v>
      </c>
      <c r="L373">
        <v>367.55939999999998</v>
      </c>
      <c r="M373">
        <v>0.99988520000000003</v>
      </c>
      <c r="N373">
        <v>-1.1300869999999999E-2</v>
      </c>
      <c r="O373">
        <v>-1.009621E-2</v>
      </c>
      <c r="P373">
        <v>0.9822476</v>
      </c>
      <c r="Q373">
        <v>0.1782627</v>
      </c>
      <c r="R373">
        <v>-5.8415929999999998E-2</v>
      </c>
      <c r="S373">
        <v>3.065369</v>
      </c>
      <c r="T373">
        <v>-0.17771210000000001</v>
      </c>
      <c r="U373">
        <v>-0.35546879999999997</v>
      </c>
      <c r="V373">
        <v>4.8506970000000003E-2</v>
      </c>
      <c r="W373">
        <v>0.18935469999999999</v>
      </c>
      <c r="X373">
        <v>0.98070990000000002</v>
      </c>
      <c r="Y373">
        <v>0.104958</v>
      </c>
      <c r="Z373">
        <v>-3.156266E-3</v>
      </c>
      <c r="AA373">
        <v>0.99447169999999896</v>
      </c>
      <c r="AB373">
        <v>25</v>
      </c>
      <c r="AC373">
        <v>19.092899999999901</v>
      </c>
      <c r="AD373">
        <v>-1.1207973849620001</v>
      </c>
      <c r="AE373">
        <v>-2.2393999999999799</v>
      </c>
      <c r="AF373">
        <v>2.0395746943096502</v>
      </c>
      <c r="AG373">
        <v>-1.1207973849620001</v>
      </c>
      <c r="AH373">
        <v>19.0497836353648</v>
      </c>
      <c r="AI373">
        <v>93.348034978123195</v>
      </c>
      <c r="AJ373">
        <v>83.8888781533269</v>
      </c>
      <c r="AK373">
        <v>19.191412357250201</v>
      </c>
      <c r="AL373">
        <v>79.084872569440194</v>
      </c>
      <c r="AM373">
        <v>87.168396486059706</v>
      </c>
      <c r="AN373">
        <v>1.00000001825434</v>
      </c>
    </row>
    <row r="374" spans="1:40" x14ac:dyDescent="0.25">
      <c r="A374" t="str">
        <f>"20190303162504625"</f>
        <v>20190303162504625</v>
      </c>
      <c r="B374" t="str">
        <f>"1551601504612899"</f>
        <v>1551601504612899</v>
      </c>
      <c r="C374" t="s">
        <v>40</v>
      </c>
      <c r="D374">
        <v>4.8524399999999996</v>
      </c>
      <c r="E374">
        <v>0.5070038</v>
      </c>
      <c r="F374" t="s">
        <v>41</v>
      </c>
      <c r="G374">
        <v>-370.13130000000001</v>
      </c>
      <c r="H374" s="1">
        <v>-4.8912699999999997E-6</v>
      </c>
      <c r="I374">
        <v>365.80919999999998</v>
      </c>
      <c r="J374">
        <v>-390.35079999999999</v>
      </c>
      <c r="K374">
        <v>1.1208309999999999</v>
      </c>
      <c r="L374">
        <v>367.55680000000001</v>
      </c>
      <c r="M374">
        <v>0.99988440000000001</v>
      </c>
      <c r="N374">
        <v>-1.1351780000000001E-2</v>
      </c>
      <c r="O374">
        <v>-1.011104E-2</v>
      </c>
      <c r="P374">
        <v>0.98234750000000004</v>
      </c>
      <c r="Q374">
        <v>0.1779017</v>
      </c>
      <c r="R374">
        <v>-5.7831029999999999E-2</v>
      </c>
      <c r="S374">
        <v>3.0691220000000001</v>
      </c>
      <c r="T374">
        <v>-0.1679995</v>
      </c>
      <c r="U374">
        <v>-0.26232909999999998</v>
      </c>
      <c r="V374">
        <v>4.790697E-2</v>
      </c>
      <c r="W374">
        <v>0.18904470000000001</v>
      </c>
      <c r="X374">
        <v>0.98079919999999998</v>
      </c>
      <c r="Y374">
        <v>7.4958620000000004E-2</v>
      </c>
      <c r="Z374">
        <v>-2.0354750000000001E-3</v>
      </c>
      <c r="AA374">
        <v>0.99718459999999998</v>
      </c>
      <c r="AB374">
        <v>25</v>
      </c>
      <c r="AC374">
        <v>20.219499999999901</v>
      </c>
      <c r="AD374">
        <v>-1.1208358912699901</v>
      </c>
      <c r="AE374">
        <v>-1.74760000000003</v>
      </c>
      <c r="AF374">
        <v>1.5383651649618599</v>
      </c>
      <c r="AG374">
        <v>-1.1208358912699901</v>
      </c>
      <c r="AH374">
        <v>20.174603368119399</v>
      </c>
      <c r="AI374">
        <v>93.170713988541493</v>
      </c>
      <c r="AJ374">
        <v>85.639488369005306</v>
      </c>
      <c r="AK374">
        <v>20.264191608274501</v>
      </c>
      <c r="AL374">
        <v>79.102961020357498</v>
      </c>
      <c r="AM374">
        <v>87.203619871968002</v>
      </c>
      <c r="AN374">
        <v>1.00000002354665</v>
      </c>
    </row>
    <row r="375" spans="1:40" x14ac:dyDescent="0.25">
      <c r="A375" t="str">
        <f>"20190303162504648"</f>
        <v>20190303162504648</v>
      </c>
      <c r="B375" t="str">
        <f>"1551601504632419"</f>
        <v>1551601504632419</v>
      </c>
      <c r="C375" t="s">
        <v>40</v>
      </c>
      <c r="D375">
        <v>4.7741749999999996</v>
      </c>
      <c r="E375">
        <v>0.50526309999999997</v>
      </c>
      <c r="F375" t="s">
        <v>41</v>
      </c>
      <c r="G375">
        <v>-369.11919999999998</v>
      </c>
      <c r="H375" s="1">
        <v>-1.269574E-6</v>
      </c>
      <c r="I375">
        <v>365.91899999999998</v>
      </c>
      <c r="J375">
        <v>-390.09519999999998</v>
      </c>
      <c r="K375">
        <v>1.1208659999999999</v>
      </c>
      <c r="L375">
        <v>367.55419999999998</v>
      </c>
      <c r="M375">
        <v>0.99988379999999999</v>
      </c>
      <c r="N375">
        <v>-1.139654E-2</v>
      </c>
      <c r="O375">
        <v>-1.012656E-2</v>
      </c>
      <c r="P375">
        <v>0.98245229999999995</v>
      </c>
      <c r="Q375">
        <v>0.17742289999999999</v>
      </c>
      <c r="R375">
        <v>-5.752115E-2</v>
      </c>
      <c r="S375">
        <v>3.0693049999999999</v>
      </c>
      <c r="T375">
        <v>-0.16203000000000001</v>
      </c>
      <c r="U375">
        <v>-0.2367554</v>
      </c>
      <c r="V375">
        <v>4.7580839999999999E-2</v>
      </c>
      <c r="W375">
        <v>0.1886111</v>
      </c>
      <c r="X375">
        <v>0.98089859999999895</v>
      </c>
      <c r="Y375">
        <v>6.6703090000000007E-2</v>
      </c>
      <c r="Z375">
        <v>-1.719628E-3</v>
      </c>
      <c r="AA375">
        <v>0.99777139999999997</v>
      </c>
      <c r="AB375">
        <v>25</v>
      </c>
      <c r="AC375">
        <v>20.975999999999999</v>
      </c>
      <c r="AD375">
        <v>-1.1208672695739901</v>
      </c>
      <c r="AE375">
        <v>-1.63519999999994</v>
      </c>
      <c r="AF375">
        <v>1.4186612902387601</v>
      </c>
      <c r="AG375">
        <v>-1.1208672695739901</v>
      </c>
      <c r="AH375">
        <v>20.932076460796299</v>
      </c>
      <c r="AI375">
        <v>93.058135077898996</v>
      </c>
      <c r="AJ375">
        <v>86.122735775318105</v>
      </c>
      <c r="AK375">
        <v>21.010015903207901</v>
      </c>
      <c r="AL375">
        <v>79.128260135148494</v>
      </c>
      <c r="AM375">
        <v>87.222907520003702</v>
      </c>
      <c r="AN375">
        <v>1.00000007343013</v>
      </c>
    </row>
    <row r="376" spans="1:40" x14ac:dyDescent="0.25">
      <c r="A376" t="str">
        <f>"20190303162504671"</f>
        <v>20190303162504671</v>
      </c>
      <c r="B376" t="str">
        <f>"1551601504662674"</f>
        <v>1551601504662674</v>
      </c>
      <c r="C376" t="s">
        <v>40</v>
      </c>
      <c r="D376">
        <v>4.7604059999999997</v>
      </c>
      <c r="E376">
        <v>0.50435350000000001</v>
      </c>
      <c r="F376" t="s">
        <v>41</v>
      </c>
      <c r="G376">
        <v>-366.35669999999999</v>
      </c>
      <c r="H376" s="1">
        <v>-2.232117E-6</v>
      </c>
      <c r="I376">
        <v>365.83460000000002</v>
      </c>
      <c r="J376">
        <v>-389.82929999999999</v>
      </c>
      <c r="K376">
        <v>1.120897</v>
      </c>
      <c r="L376">
        <v>367.55149999999998</v>
      </c>
      <c r="M376">
        <v>0.99988330000000003</v>
      </c>
      <c r="N376">
        <v>-1.1437350000000001E-2</v>
      </c>
      <c r="O376">
        <v>-1.014324E-2</v>
      </c>
      <c r="P376">
        <v>0.98252019999999995</v>
      </c>
      <c r="Q376">
        <v>0.17719509999999999</v>
      </c>
      <c r="R376">
        <v>-5.7063099999999999E-2</v>
      </c>
      <c r="S376">
        <v>3.0667420000000001</v>
      </c>
      <c r="T376">
        <v>-0.1448025</v>
      </c>
      <c r="U376">
        <v>-0.22213749999999999</v>
      </c>
      <c r="V376">
        <v>4.7105790000000002E-2</v>
      </c>
      <c r="W376">
        <v>0.18842419999999999</v>
      </c>
      <c r="X376">
        <v>0.98095739999999998</v>
      </c>
      <c r="Y376">
        <v>6.2044910000000002E-2</v>
      </c>
      <c r="Z376">
        <v>-1.4554310000000001E-3</v>
      </c>
      <c r="AA376">
        <v>0.99807230000000002</v>
      </c>
      <c r="AB376">
        <v>25</v>
      </c>
      <c r="AC376">
        <v>23.4726</v>
      </c>
      <c r="AD376">
        <v>-1.1208992321169999</v>
      </c>
      <c r="AE376">
        <v>-1.7168999999999499</v>
      </c>
      <c r="AF376">
        <v>1.4753614046171999</v>
      </c>
      <c r="AG376">
        <v>-1.1208992321169999</v>
      </c>
      <c r="AH376">
        <v>23.4356501675095</v>
      </c>
      <c r="AI376">
        <v>92.732900222135797</v>
      </c>
      <c r="AJ376">
        <v>86.397771157910896</v>
      </c>
      <c r="AK376">
        <v>23.508781447295</v>
      </c>
      <c r="AL376">
        <v>79.139163724352898</v>
      </c>
      <c r="AM376">
        <v>87.250755972743505</v>
      </c>
      <c r="AN376">
        <v>1.00000002760596</v>
      </c>
    </row>
    <row r="377" spans="1:40" x14ac:dyDescent="0.25">
      <c r="A377" t="str">
        <f>"20190303162504694"</f>
        <v>20190303162504694</v>
      </c>
      <c r="B377" t="str">
        <f>"1551601504683171"</f>
        <v>1551601504683171</v>
      </c>
      <c r="C377" t="s">
        <v>40</v>
      </c>
      <c r="D377">
        <v>4.8122980000000002</v>
      </c>
      <c r="E377">
        <v>0.50450119999999998</v>
      </c>
      <c r="F377" t="s">
        <v>41</v>
      </c>
      <c r="G377">
        <v>-364.21269999999998</v>
      </c>
      <c r="H377" s="1">
        <v>-3.1473989999999999E-6</v>
      </c>
      <c r="I377">
        <v>365.76940000000002</v>
      </c>
      <c r="J377">
        <v>-389.56420000000003</v>
      </c>
      <c r="K377">
        <v>1.120919</v>
      </c>
      <c r="L377">
        <v>367.54880000000003</v>
      </c>
      <c r="M377">
        <v>0.99988259999999995</v>
      </c>
      <c r="N377">
        <v>-1.147285E-2</v>
      </c>
      <c r="O377">
        <v>-1.0159649999999999E-2</v>
      </c>
      <c r="P377">
        <v>0.98256259999999995</v>
      </c>
      <c r="Q377">
        <v>0.1769415</v>
      </c>
      <c r="R377">
        <v>-5.7119179999999999E-2</v>
      </c>
      <c r="S377">
        <v>3.0651549999999999</v>
      </c>
      <c r="T377">
        <v>-0.13412089999999999</v>
      </c>
      <c r="U377">
        <v>-0.21322630000000001</v>
      </c>
      <c r="V377">
        <v>4.7145039999999999E-2</v>
      </c>
      <c r="W377">
        <v>0.1882055</v>
      </c>
      <c r="X377">
        <v>0.98099740000000002</v>
      </c>
      <c r="Y377">
        <v>5.9191550000000002E-2</v>
      </c>
      <c r="Z377">
        <v>-1.305641E-3</v>
      </c>
      <c r="AA377">
        <v>0.99824579999999996</v>
      </c>
      <c r="AB377">
        <v>25</v>
      </c>
      <c r="AC377">
        <v>25.351500000000001</v>
      </c>
      <c r="AD377">
        <v>-1.1209221473989901</v>
      </c>
      <c r="AE377">
        <v>-1.7794000000000001</v>
      </c>
      <c r="AF377">
        <v>1.5187742141451801</v>
      </c>
      <c r="AG377">
        <v>-1.1209221473989901</v>
      </c>
      <c r="AH377">
        <v>25.3190150400123</v>
      </c>
      <c r="AI377">
        <v>92.530398036309094</v>
      </c>
      <c r="AJ377">
        <v>86.567196460550207</v>
      </c>
      <c r="AK377">
        <v>25.389282466632501</v>
      </c>
      <c r="AL377">
        <v>79.151921532829505</v>
      </c>
      <c r="AM377">
        <v>87.248580757391593</v>
      </c>
      <c r="AN377">
        <v>0.99999993191680303</v>
      </c>
    </row>
    <row r="378" spans="1:40" x14ac:dyDescent="0.25">
      <c r="A378" t="str">
        <f>"20190303162504716"</f>
        <v>20190303162504716</v>
      </c>
      <c r="B378" t="str">
        <f>"1551601504702690"</f>
        <v>1551601504702690</v>
      </c>
      <c r="C378" t="s">
        <v>40</v>
      </c>
      <c r="D378">
        <v>4.7251099999999999</v>
      </c>
      <c r="E378">
        <v>0.50442359999999997</v>
      </c>
      <c r="F378" t="s">
        <v>41</v>
      </c>
      <c r="G378">
        <v>-364.14019999999999</v>
      </c>
      <c r="H378" s="1">
        <v>-3.1788439999999999E-6</v>
      </c>
      <c r="I378">
        <v>365.76760000000002</v>
      </c>
      <c r="J378">
        <v>-389.32400000000001</v>
      </c>
      <c r="K378">
        <v>1.12094</v>
      </c>
      <c r="L378">
        <v>367.54629999999997</v>
      </c>
      <c r="M378">
        <v>0.99988220000000005</v>
      </c>
      <c r="N378">
        <v>-1.1500939999999999E-2</v>
      </c>
      <c r="O378">
        <v>-1.017471E-2</v>
      </c>
      <c r="P378">
        <v>0.98266969999999998</v>
      </c>
      <c r="Q378">
        <v>0.17621049999999999</v>
      </c>
      <c r="R378">
        <v>-5.7537209999999998E-2</v>
      </c>
      <c r="S378">
        <v>3.0651250000000001</v>
      </c>
      <c r="T378">
        <v>-0.13513820000000001</v>
      </c>
      <c r="U378">
        <v>-0.21472169999999999</v>
      </c>
      <c r="V378">
        <v>4.7547100000000002E-2</v>
      </c>
      <c r="W378">
        <v>0.18750349999999999</v>
      </c>
      <c r="X378">
        <v>0.98111250000000005</v>
      </c>
      <c r="Y378">
        <v>5.9660360000000003E-2</v>
      </c>
      <c r="Z378">
        <v>-1.325721E-3</v>
      </c>
      <c r="AA378">
        <v>0.99821789999999999</v>
      </c>
      <c r="AB378">
        <v>25</v>
      </c>
      <c r="AC378">
        <v>25.183800000000002</v>
      </c>
      <c r="AD378">
        <v>-1.1209431788439901</v>
      </c>
      <c r="AE378">
        <v>-1.77869999999995</v>
      </c>
      <c r="AF378">
        <v>1.51935794734505</v>
      </c>
      <c r="AG378">
        <v>-1.1209431788439901</v>
      </c>
      <c r="AH378">
        <v>25.151013735739799</v>
      </c>
      <c r="AI378">
        <v>92.547261204686805</v>
      </c>
      <c r="AJ378">
        <v>86.542996783869896</v>
      </c>
      <c r="AK378">
        <v>25.2217853078986</v>
      </c>
      <c r="AL378">
        <v>79.192873116086801</v>
      </c>
      <c r="AM378">
        <v>87.225477783120994</v>
      </c>
      <c r="AN378">
        <v>1.0000000134434499</v>
      </c>
    </row>
    <row r="379" spans="1:40" x14ac:dyDescent="0.25">
      <c r="A379" t="str">
        <f>"20190303162504736"</f>
        <v>20190303162504736</v>
      </c>
      <c r="B379" t="str">
        <f>"1551601504723188"</f>
        <v>1551601504723188</v>
      </c>
      <c r="C379" t="s">
        <v>40</v>
      </c>
      <c r="D379">
        <v>4.827032</v>
      </c>
      <c r="E379">
        <v>0.50434959999999995</v>
      </c>
      <c r="F379" t="s">
        <v>41</v>
      </c>
      <c r="G379">
        <v>-364.58010000000002</v>
      </c>
      <c r="H379" s="1">
        <v>-2.9828340000000001E-6</v>
      </c>
      <c r="I379">
        <v>365.80869999999999</v>
      </c>
      <c r="J379">
        <v>-389.09500000000003</v>
      </c>
      <c r="K379">
        <v>1.120949</v>
      </c>
      <c r="L379">
        <v>367.54390000000001</v>
      </c>
      <c r="M379">
        <v>0.99988169999999998</v>
      </c>
      <c r="N379">
        <v>-1.152442E-2</v>
      </c>
      <c r="O379">
        <v>-1.018879E-2</v>
      </c>
      <c r="P379">
        <v>0.9827825</v>
      </c>
      <c r="Q379">
        <v>0.17528389999999999</v>
      </c>
      <c r="R379">
        <v>-5.8432900000000003E-2</v>
      </c>
      <c r="S379">
        <v>3.0652159999999999</v>
      </c>
      <c r="T379">
        <v>-0.1388595</v>
      </c>
      <c r="U379">
        <v>-0.2152405</v>
      </c>
      <c r="V379">
        <v>4.8427709999999999E-2</v>
      </c>
      <c r="W379">
        <v>0.18660180000000001</v>
      </c>
      <c r="X379">
        <v>0.98124129999999998</v>
      </c>
      <c r="Y379">
        <v>5.9808890000000003E-2</v>
      </c>
      <c r="Z379">
        <v>-1.35418E-3</v>
      </c>
      <c r="AA379">
        <v>0.99820889999999995</v>
      </c>
      <c r="AB379">
        <v>25</v>
      </c>
      <c r="AC379">
        <v>24.514900000000001</v>
      </c>
      <c r="AD379">
        <v>-1.120951982834</v>
      </c>
      <c r="AE379">
        <v>-1.7352000000000201</v>
      </c>
      <c r="AF379">
        <v>1.48223255525163</v>
      </c>
      <c r="AG379">
        <v>-1.120951982834</v>
      </c>
      <c r="AH379">
        <v>24.480379521633001</v>
      </c>
      <c r="AI379">
        <v>92.616945841247599</v>
      </c>
      <c r="AJ379">
        <v>86.535097947796402</v>
      </c>
      <c r="AK379">
        <v>24.5508152251378</v>
      </c>
      <c r="AL379">
        <v>79.245464629943299</v>
      </c>
      <c r="AM379">
        <v>87.174544288910198</v>
      </c>
      <c r="AN379">
        <v>0.99999998184238603</v>
      </c>
    </row>
    <row r="380" spans="1:40" x14ac:dyDescent="0.25">
      <c r="A380" t="str">
        <f>"20190303162504759"</f>
        <v>20190303162504759</v>
      </c>
      <c r="B380" t="str">
        <f>"1551601504752467"</f>
        <v>1551601504752467</v>
      </c>
      <c r="C380" t="s">
        <v>40</v>
      </c>
      <c r="D380">
        <v>4.7083019999999998</v>
      </c>
      <c r="E380">
        <v>0.5042681</v>
      </c>
      <c r="F380" t="s">
        <v>41</v>
      </c>
      <c r="G380">
        <v>-365.14069999999998</v>
      </c>
      <c r="H380" s="1">
        <v>-2.735605E-6</v>
      </c>
      <c r="I380">
        <v>365.84679999999997</v>
      </c>
      <c r="J380">
        <v>-388.84160000000003</v>
      </c>
      <c r="K380">
        <v>1.12096</v>
      </c>
      <c r="L380">
        <v>367.54140000000001</v>
      </c>
      <c r="M380">
        <v>0.99988140000000003</v>
      </c>
      <c r="N380">
        <v>-1.15475E-2</v>
      </c>
      <c r="O380">
        <v>-1.020419E-2</v>
      </c>
      <c r="P380">
        <v>0.98286969999999996</v>
      </c>
      <c r="Q380">
        <v>0.17467260000000001</v>
      </c>
      <c r="R380">
        <v>-5.879533E-2</v>
      </c>
      <c r="S380">
        <v>3.0652469999999998</v>
      </c>
      <c r="T380">
        <v>-0.1434386</v>
      </c>
      <c r="U380">
        <v>-0.2171631</v>
      </c>
      <c r="V380">
        <v>4.8774060000000001E-2</v>
      </c>
      <c r="W380">
        <v>0.18601380000000001</v>
      </c>
      <c r="X380">
        <v>0.98133579999999998</v>
      </c>
      <c r="Y380">
        <v>6.041092E-2</v>
      </c>
      <c r="Z380">
        <v>-1.4014660000000001E-3</v>
      </c>
      <c r="AA380">
        <v>0.99817259999999997</v>
      </c>
      <c r="AB380">
        <v>25</v>
      </c>
      <c r="AC380">
        <v>23.700900000000001</v>
      </c>
      <c r="AD380">
        <v>-1.120962735605</v>
      </c>
      <c r="AE380">
        <v>-1.6946000000000301</v>
      </c>
      <c r="AF380">
        <v>1.4494214161147001</v>
      </c>
      <c r="AG380">
        <v>-1.120962735605</v>
      </c>
      <c r="AH380">
        <v>23.6642928777216</v>
      </c>
      <c r="AI380">
        <v>92.706972682021203</v>
      </c>
      <c r="AJ380">
        <v>86.495052043780504</v>
      </c>
      <c r="AK380">
        <v>23.7351245477813</v>
      </c>
      <c r="AL380">
        <v>79.279755093884802</v>
      </c>
      <c r="AM380">
        <v>87.154643592485101</v>
      </c>
      <c r="AN380">
        <v>0.99999999754048097</v>
      </c>
    </row>
    <row r="381" spans="1:40" x14ac:dyDescent="0.25">
      <c r="A381" t="str">
        <f>"20190303162504782"</f>
        <v>20190303162504782</v>
      </c>
      <c r="B381" t="str">
        <f>"1551601504773658"</f>
        <v>1551601504773658</v>
      </c>
      <c r="C381" t="s">
        <v>40</v>
      </c>
      <c r="D381">
        <v>4.816516</v>
      </c>
      <c r="E381">
        <v>0.50446979999999997</v>
      </c>
      <c r="F381" t="s">
        <v>41</v>
      </c>
      <c r="G381">
        <v>-365.31310000000002</v>
      </c>
      <c r="H381" s="1">
        <v>-2.657403E-6</v>
      </c>
      <c r="I381">
        <v>365.87060000000002</v>
      </c>
      <c r="J381">
        <v>-388.57510000000002</v>
      </c>
      <c r="K381">
        <v>1.1209720000000001</v>
      </c>
      <c r="L381">
        <v>367.53859999999997</v>
      </c>
      <c r="M381">
        <v>0.99988100000000002</v>
      </c>
      <c r="N381">
        <v>-1.156858E-2</v>
      </c>
      <c r="O381">
        <v>-1.0220399999999999E-2</v>
      </c>
      <c r="P381">
        <v>0.98277150000000002</v>
      </c>
      <c r="Q381">
        <v>0.1750274</v>
      </c>
      <c r="R381">
        <v>-5.9379469999999997E-2</v>
      </c>
      <c r="S381">
        <v>3.0651860000000002</v>
      </c>
      <c r="T381">
        <v>-0.1460332</v>
      </c>
      <c r="U381">
        <v>-0.21765139999999999</v>
      </c>
      <c r="V381">
        <v>4.9343400000000003E-2</v>
      </c>
      <c r="W381">
        <v>0.1863882</v>
      </c>
      <c r="X381">
        <v>0.98123629999999995</v>
      </c>
      <c r="Y381">
        <v>6.0551720000000003E-2</v>
      </c>
      <c r="Z381">
        <v>-1.4228019999999999E-3</v>
      </c>
      <c r="AA381">
        <v>0.9981641</v>
      </c>
      <c r="AB381">
        <v>25</v>
      </c>
      <c r="AC381">
        <v>23.261999999999901</v>
      </c>
      <c r="AD381">
        <v>-1.120974657403</v>
      </c>
      <c r="AE381">
        <v>-1.66799999999994</v>
      </c>
      <c r="AF381">
        <v>1.42685357588121</v>
      </c>
      <c r="AG381">
        <v>-1.120974657403</v>
      </c>
      <c r="AH381">
        <v>23.224178587273801</v>
      </c>
      <c r="AI381">
        <v>92.758190692353296</v>
      </c>
      <c r="AJ381">
        <v>86.484265009199305</v>
      </c>
      <c r="AK381">
        <v>23.294955813719302</v>
      </c>
      <c r="AL381">
        <v>79.257921798540707</v>
      </c>
      <c r="AM381">
        <v>87.121193864340199</v>
      </c>
      <c r="AN381">
        <v>1.0000000043302399</v>
      </c>
    </row>
    <row r="382" spans="1:40" x14ac:dyDescent="0.25">
      <c r="A382" t="str">
        <f>"20190303162504804"</f>
        <v>20190303162504804</v>
      </c>
      <c r="B382" t="str">
        <f>"1551601504793178"</f>
        <v>1551601504793178</v>
      </c>
      <c r="C382" t="s">
        <v>40</v>
      </c>
      <c r="D382">
        <v>4.900379</v>
      </c>
      <c r="E382">
        <v>0.50470689999999996</v>
      </c>
      <c r="F382" t="s">
        <v>41</v>
      </c>
      <c r="G382">
        <v>-364.73869999999999</v>
      </c>
      <c r="H382" s="1">
        <v>-2.9129819999999998E-6</v>
      </c>
      <c r="I382">
        <v>365.81900000000002</v>
      </c>
      <c r="J382">
        <v>-388.3177</v>
      </c>
      <c r="K382">
        <v>1.120987</v>
      </c>
      <c r="L382">
        <v>367.536</v>
      </c>
      <c r="M382">
        <v>0.9998804</v>
      </c>
      <c r="N382">
        <v>-1.1586630000000001E-2</v>
      </c>
      <c r="O382">
        <v>-1.023577E-2</v>
      </c>
      <c r="P382">
        <v>0.98267669999999996</v>
      </c>
      <c r="Q382">
        <v>0.17540910000000001</v>
      </c>
      <c r="R382">
        <v>-5.9816830000000001E-2</v>
      </c>
      <c r="S382">
        <v>3.06488</v>
      </c>
      <c r="T382">
        <v>-0.14413429999999999</v>
      </c>
      <c r="U382">
        <v>-0.22109989999999999</v>
      </c>
      <c r="V382">
        <v>4.9766919999999999E-2</v>
      </c>
      <c r="W382">
        <v>0.1867868</v>
      </c>
      <c r="X382">
        <v>0.98113910000000004</v>
      </c>
      <c r="Y382">
        <v>6.1660930000000003E-2</v>
      </c>
      <c r="Z382">
        <v>-1.443136E-3</v>
      </c>
      <c r="AA382">
        <v>0.99809610000000004</v>
      </c>
      <c r="AB382">
        <v>25</v>
      </c>
      <c r="AC382">
        <v>23.579000000000001</v>
      </c>
      <c r="AD382">
        <v>-1.120989912982</v>
      </c>
      <c r="AE382">
        <v>-1.7169999999999801</v>
      </c>
      <c r="AF382">
        <v>1.4722345597998501</v>
      </c>
      <c r="AG382">
        <v>-1.120989912982</v>
      </c>
      <c r="AH382">
        <v>23.5424100102328</v>
      </c>
      <c r="AI382">
        <v>92.720816542573999</v>
      </c>
      <c r="AJ382">
        <v>86.421643959215402</v>
      </c>
      <c r="AK382">
        <v>23.615019840643502</v>
      </c>
      <c r="AL382">
        <v>79.234675346901895</v>
      </c>
      <c r="AM382">
        <v>87.096239694581101</v>
      </c>
      <c r="AN382">
        <v>0.99999999426466801</v>
      </c>
    </row>
    <row r="383" spans="1:40" x14ac:dyDescent="0.25">
      <c r="A383" t="str">
        <f>"20190303162504828"</f>
        <v>20190303162504828</v>
      </c>
      <c r="B383" t="str">
        <f>"1551601504822458"</f>
        <v>1551601504822458</v>
      </c>
      <c r="C383" t="s">
        <v>40</v>
      </c>
      <c r="D383">
        <v>4.809291</v>
      </c>
      <c r="E383">
        <v>0.50477249999999996</v>
      </c>
      <c r="F383" t="s">
        <v>41</v>
      </c>
      <c r="G383">
        <v>-364.11720000000003</v>
      </c>
      <c r="H383" s="1">
        <v>-3.1887949999999999E-6</v>
      </c>
      <c r="I383">
        <v>365.76729999999998</v>
      </c>
      <c r="J383">
        <v>-388.04989999999998</v>
      </c>
      <c r="K383">
        <v>1.1210009999999999</v>
      </c>
      <c r="L383">
        <v>367.53320000000002</v>
      </c>
      <c r="M383">
        <v>0.99988010000000005</v>
      </c>
      <c r="N383">
        <v>-1.1602940000000001E-2</v>
      </c>
      <c r="O383">
        <v>-1.025207E-2</v>
      </c>
      <c r="P383">
        <v>0.98261180000000004</v>
      </c>
      <c r="Q383">
        <v>0.17586540000000001</v>
      </c>
      <c r="R383">
        <v>-5.95469E-2</v>
      </c>
      <c r="S383">
        <v>3.0646059999999999</v>
      </c>
      <c r="T383">
        <v>-0.14195429999999901</v>
      </c>
      <c r="U383">
        <v>-0.22396849999999999</v>
      </c>
      <c r="V383">
        <v>4.9481280000000002E-2</v>
      </c>
      <c r="W383">
        <v>0.18725800000000001</v>
      </c>
      <c r="X383">
        <v>0.98106369999999998</v>
      </c>
      <c r="Y383">
        <v>6.2581220000000007E-2</v>
      </c>
      <c r="Z383">
        <v>-1.455317E-3</v>
      </c>
      <c r="AA383">
        <v>0.9980388</v>
      </c>
      <c r="AB383">
        <v>25</v>
      </c>
      <c r="AC383">
        <v>23.932699999999901</v>
      </c>
      <c r="AD383">
        <v>-1.121004188795</v>
      </c>
      <c r="AE383">
        <v>-1.76590000000004</v>
      </c>
      <c r="AF383">
        <v>1.5171204465519099</v>
      </c>
      <c r="AG383">
        <v>-1.121004188795</v>
      </c>
      <c r="AH383">
        <v>23.897401100926299</v>
      </c>
      <c r="AI383">
        <v>92.680333368145</v>
      </c>
      <c r="AJ383">
        <v>86.367466820611398</v>
      </c>
      <c r="AK383">
        <v>23.971735110733899</v>
      </c>
      <c r="AL383">
        <v>79.207192391018296</v>
      </c>
      <c r="AM383">
        <v>87.112656193917502</v>
      </c>
      <c r="AN383">
        <v>0.99999996954606296</v>
      </c>
    </row>
    <row r="384" spans="1:40" x14ac:dyDescent="0.25">
      <c r="A384" t="str">
        <f>"20190303162504848"</f>
        <v>20190303162504848</v>
      </c>
      <c r="B384" t="str">
        <f>"1551601504842955"</f>
        <v>1551601504842955</v>
      </c>
      <c r="C384" t="s">
        <v>40</v>
      </c>
      <c r="D384">
        <v>4.8448190000000002</v>
      </c>
      <c r="E384">
        <v>0.50478940000000005</v>
      </c>
      <c r="F384" t="s">
        <v>41</v>
      </c>
      <c r="G384">
        <v>-363.55489999999998</v>
      </c>
      <c r="H384" s="1">
        <v>-3.4336009999999999E-6</v>
      </c>
      <c r="I384">
        <v>365.74689999999998</v>
      </c>
      <c r="J384">
        <v>-387.82850000000002</v>
      </c>
      <c r="K384">
        <v>1.1210150000000001</v>
      </c>
      <c r="L384">
        <v>367.53089999999997</v>
      </c>
      <c r="M384">
        <v>0.99987999999999999</v>
      </c>
      <c r="N384">
        <v>-1.161482E-2</v>
      </c>
      <c r="O384">
        <v>-1.026609E-2</v>
      </c>
      <c r="P384">
        <v>0.98253749999999995</v>
      </c>
      <c r="Q384">
        <v>0.17639859999999999</v>
      </c>
      <c r="R384">
        <v>-5.9192750000000002E-2</v>
      </c>
      <c r="S384">
        <v>3.0646360000000001</v>
      </c>
      <c r="T384">
        <v>-0.1402516</v>
      </c>
      <c r="U384">
        <v>-0.22348019999999999</v>
      </c>
      <c r="V384">
        <v>4.9114310000000001E-2</v>
      </c>
      <c r="W384">
        <v>0.18780230000000001</v>
      </c>
      <c r="X384">
        <v>0.98097809999999996</v>
      </c>
      <c r="Y384">
        <v>6.2410119999999999E-2</v>
      </c>
      <c r="Z384">
        <v>-1.4387650000000001E-3</v>
      </c>
      <c r="AA384">
        <v>0.99804959999999998</v>
      </c>
      <c r="AB384">
        <v>25</v>
      </c>
      <c r="AC384">
        <v>24.273599999999998</v>
      </c>
      <c r="AD384">
        <v>-1.1210184336009901</v>
      </c>
      <c r="AE384">
        <v>-1.78399999999999</v>
      </c>
      <c r="AF384">
        <v>1.5314454698170901</v>
      </c>
      <c r="AG384">
        <v>-1.1210184336009901</v>
      </c>
      <c r="AH384">
        <v>24.239216121812099</v>
      </c>
      <c r="AI384">
        <v>92.642674156780103</v>
      </c>
      <c r="AJ384">
        <v>86.384829973203097</v>
      </c>
      <c r="AK384">
        <v>24.3134038290696</v>
      </c>
      <c r="AL384">
        <v>79.175443097241896</v>
      </c>
      <c r="AM384">
        <v>87.133784217046994</v>
      </c>
      <c r="AN384">
        <v>0.99999997600583701</v>
      </c>
    </row>
    <row r="385" spans="1:40" x14ac:dyDescent="0.25">
      <c r="A385" t="str">
        <f>"20190303162504872"</f>
        <v>20190303162504872</v>
      </c>
      <c r="B385" t="str">
        <f>"1551601504862474"</f>
        <v>1551601504862474</v>
      </c>
      <c r="C385" t="s">
        <v>40</v>
      </c>
      <c r="D385">
        <v>5.0124969999999998</v>
      </c>
      <c r="E385">
        <v>0.50472249999999996</v>
      </c>
      <c r="F385" t="s">
        <v>41</v>
      </c>
      <c r="G385">
        <v>-363.15620000000001</v>
      </c>
      <c r="H385" s="1">
        <v>-3.607262E-6</v>
      </c>
      <c r="I385">
        <v>365.7321</v>
      </c>
      <c r="J385">
        <v>-387.55939999999998</v>
      </c>
      <c r="K385">
        <v>1.121024</v>
      </c>
      <c r="L385">
        <v>367.52820000000003</v>
      </c>
      <c r="M385">
        <v>0.99987950000000003</v>
      </c>
      <c r="N385">
        <v>-1.16276E-2</v>
      </c>
      <c r="O385">
        <v>-1.028285E-2</v>
      </c>
      <c r="P385">
        <v>0.98250210000000004</v>
      </c>
      <c r="Q385">
        <v>0.17680879999999999</v>
      </c>
      <c r="R385">
        <v>-5.8553330000000001E-2</v>
      </c>
      <c r="S385">
        <v>3.06488</v>
      </c>
      <c r="T385">
        <v>-0.13925679999999999</v>
      </c>
      <c r="U385">
        <v>-0.2234497</v>
      </c>
      <c r="V385">
        <v>4.845853E-2</v>
      </c>
      <c r="W385">
        <v>0.18822430000000001</v>
      </c>
      <c r="X385">
        <v>0.98092990000000002</v>
      </c>
      <c r="Y385">
        <v>6.2378719999999999E-2</v>
      </c>
      <c r="Z385">
        <v>-1.4309800000000001E-3</v>
      </c>
      <c r="AA385">
        <v>0.99805149999999998</v>
      </c>
      <c r="AB385">
        <v>25</v>
      </c>
      <c r="AC385">
        <v>24.403199999999899</v>
      </c>
      <c r="AD385">
        <v>-1.121027607262</v>
      </c>
      <c r="AE385">
        <v>-1.79610000000002</v>
      </c>
      <c r="AF385">
        <v>1.54181748297717</v>
      </c>
      <c r="AG385">
        <v>-1.121027607262</v>
      </c>
      <c r="AH385">
        <v>24.369231204935101</v>
      </c>
      <c r="AI385">
        <v>92.628601595979404</v>
      </c>
      <c r="AJ385">
        <v>86.379777330987295</v>
      </c>
      <c r="AK385">
        <v>24.4436767603943</v>
      </c>
      <c r="AL385">
        <v>79.150825984653693</v>
      </c>
      <c r="AM385">
        <v>87.171852985263598</v>
      </c>
      <c r="AN385">
        <v>1.00000004247712</v>
      </c>
    </row>
    <row r="386" spans="1:40" x14ac:dyDescent="0.25">
      <c r="A386" t="str">
        <f>"20190303162504895"</f>
        <v>20190303162504895</v>
      </c>
      <c r="B386" t="str">
        <f>"1551601504882970"</f>
        <v>1551601504882970</v>
      </c>
      <c r="C386" t="s">
        <v>40</v>
      </c>
      <c r="D386">
        <v>4.9172820000000002</v>
      </c>
      <c r="E386">
        <v>0.50462070000000003</v>
      </c>
      <c r="F386" t="s">
        <v>41</v>
      </c>
      <c r="G386">
        <v>-362.18950000000001</v>
      </c>
      <c r="H386" s="1">
        <v>-4.0280329999999997E-6</v>
      </c>
      <c r="I386">
        <v>365.69799999999998</v>
      </c>
      <c r="J386">
        <v>-387.29640000000001</v>
      </c>
      <c r="K386">
        <v>1.1210199999999999</v>
      </c>
      <c r="L386">
        <v>367.52539999999999</v>
      </c>
      <c r="M386">
        <v>0.99987919999999997</v>
      </c>
      <c r="N386">
        <v>-1.1638590000000001E-2</v>
      </c>
      <c r="O386">
        <v>-1.029936E-2</v>
      </c>
      <c r="P386">
        <v>0.98245850000000001</v>
      </c>
      <c r="Q386">
        <v>0.1772552</v>
      </c>
      <c r="R386">
        <v>-5.7929580000000001E-2</v>
      </c>
      <c r="S386">
        <v>3.0646360000000001</v>
      </c>
      <c r="T386">
        <v>-0.13541779999999901</v>
      </c>
      <c r="U386">
        <v>-0.2210693</v>
      </c>
      <c r="V386">
        <v>4.7819159999999999E-2</v>
      </c>
      <c r="W386">
        <v>0.1886813</v>
      </c>
      <c r="X386">
        <v>0.98087340000000001</v>
      </c>
      <c r="Y386">
        <v>6.160127E-2</v>
      </c>
      <c r="Z386">
        <v>-1.3831900000000001E-3</v>
      </c>
      <c r="AA386">
        <v>0.99809990000000004</v>
      </c>
      <c r="AB386">
        <v>25</v>
      </c>
      <c r="AC386">
        <v>25.1069</v>
      </c>
      <c r="AD386">
        <v>-1.1210240280329999</v>
      </c>
      <c r="AE386">
        <v>-1.82739999999995</v>
      </c>
      <c r="AF386">
        <v>1.56559577395574</v>
      </c>
      <c r="AG386">
        <v>-1.1210240280329999</v>
      </c>
      <c r="AH386">
        <v>25.074664410711101</v>
      </c>
      <c r="AI386">
        <v>92.554874436615293</v>
      </c>
      <c r="AJ386">
        <v>86.427240851665204</v>
      </c>
      <c r="AK386">
        <v>25.1484906169065</v>
      </c>
      <c r="AL386">
        <v>79.124163250494604</v>
      </c>
      <c r="AM386">
        <v>87.208948136929195</v>
      </c>
      <c r="AN386">
        <v>0.99999996593017704</v>
      </c>
    </row>
    <row r="387" spans="1:40" x14ac:dyDescent="0.25">
      <c r="A387" t="str">
        <f>"20190303162504917"</f>
        <v>20190303162504917</v>
      </c>
      <c r="B387" t="str">
        <f>"1551601504903466"</f>
        <v>1551601504903466</v>
      </c>
      <c r="C387" t="s">
        <v>40</v>
      </c>
      <c r="D387">
        <v>4.8850660000000001</v>
      </c>
      <c r="E387">
        <v>0.50457680000000005</v>
      </c>
      <c r="F387" t="s">
        <v>41</v>
      </c>
      <c r="G387">
        <v>-360.7645</v>
      </c>
      <c r="H387" s="1">
        <v>-4.6505690000000002E-6</v>
      </c>
      <c r="I387">
        <v>365.63490000000002</v>
      </c>
      <c r="J387">
        <v>-387.05290000000002</v>
      </c>
      <c r="K387">
        <v>1.1210249999999999</v>
      </c>
      <c r="L387">
        <v>367.52289999999999</v>
      </c>
      <c r="M387">
        <v>0.99987899999999996</v>
      </c>
      <c r="N387">
        <v>-1.1647579999999999E-2</v>
      </c>
      <c r="O387">
        <v>-1.031455E-2</v>
      </c>
      <c r="P387">
        <v>0.98246979999999995</v>
      </c>
      <c r="Q387">
        <v>0.17744460000000001</v>
      </c>
      <c r="R387">
        <v>-5.7155280000000003E-2</v>
      </c>
      <c r="S387">
        <v>3.0640559999999999</v>
      </c>
      <c r="T387">
        <v>-0.12946150000000001</v>
      </c>
      <c r="U387">
        <v>-0.21832280000000001</v>
      </c>
      <c r="V387">
        <v>4.7029990000000001E-2</v>
      </c>
      <c r="W387">
        <v>0.1888794</v>
      </c>
      <c r="X387">
        <v>0.98087349999999995</v>
      </c>
      <c r="Y387">
        <v>6.07156999999999E-2</v>
      </c>
      <c r="Z387">
        <v>-1.319682E-3</v>
      </c>
      <c r="AA387">
        <v>0.99815419999999999</v>
      </c>
      <c r="AB387">
        <v>25</v>
      </c>
      <c r="AC387">
        <v>26.288399999999999</v>
      </c>
      <c r="AD387">
        <v>-1.1210296505689901</v>
      </c>
      <c r="AE387">
        <v>-1.8879999999999699</v>
      </c>
      <c r="AF387">
        <v>1.6138085483282301</v>
      </c>
      <c r="AG387">
        <v>-1.1210296505689901</v>
      </c>
      <c r="AH387">
        <v>26.258970463993499</v>
      </c>
      <c r="AI387">
        <v>92.439949134219503</v>
      </c>
      <c r="AJ387">
        <v>86.483172527667904</v>
      </c>
      <c r="AK387">
        <v>26.332387194042902</v>
      </c>
      <c r="AL387">
        <v>79.112605898616394</v>
      </c>
      <c r="AM387">
        <v>87.254938708912803</v>
      </c>
      <c r="AN387">
        <v>1.0000000353530001</v>
      </c>
    </row>
    <row r="388" spans="1:40" x14ac:dyDescent="0.25">
      <c r="A388" t="str">
        <f>"20190303162504938"</f>
        <v>20190303162504938</v>
      </c>
      <c r="B388" t="str">
        <f>"1551601504922987"</f>
        <v>1551601504922987</v>
      </c>
      <c r="C388" t="s">
        <v>40</v>
      </c>
      <c r="D388">
        <v>4.8997900000000003</v>
      </c>
      <c r="E388">
        <v>0.50442699999999996</v>
      </c>
      <c r="F388" t="s">
        <v>41</v>
      </c>
      <c r="G388">
        <v>-359.55900000000003</v>
      </c>
      <c r="H388" s="1">
        <v>-1.2099099999999999E-6</v>
      </c>
      <c r="I388">
        <v>365.58069999999998</v>
      </c>
      <c r="J388">
        <v>-386.8141</v>
      </c>
      <c r="K388">
        <v>1.1210310000000001</v>
      </c>
      <c r="L388">
        <v>367.52050000000003</v>
      </c>
      <c r="M388">
        <v>0.99987879999999996</v>
      </c>
      <c r="N388">
        <v>-1.165211E-2</v>
      </c>
      <c r="O388">
        <v>-1.0329120000000001E-2</v>
      </c>
      <c r="P388">
        <v>0.98256779999999999</v>
      </c>
      <c r="Q388">
        <v>0.17731720000000001</v>
      </c>
      <c r="R388">
        <v>-5.5850629999999998E-2</v>
      </c>
      <c r="S388">
        <v>3.063507</v>
      </c>
      <c r="T388">
        <v>-0.1249098</v>
      </c>
      <c r="U388">
        <v>-0.21640010000000001</v>
      </c>
      <c r="V388">
        <v>4.5710029999999999E-2</v>
      </c>
      <c r="W388">
        <v>0.1887577</v>
      </c>
      <c r="X388">
        <v>0.98095929999999998</v>
      </c>
      <c r="Y388">
        <v>6.0094979999999999E-2</v>
      </c>
      <c r="Z388">
        <v>-1.273635E-3</v>
      </c>
      <c r="AA388">
        <v>0.99819179999999996</v>
      </c>
      <c r="AB388">
        <v>25</v>
      </c>
      <c r="AC388">
        <v>27.255099999999899</v>
      </c>
      <c r="AD388">
        <v>-1.1210322099100001</v>
      </c>
      <c r="AE388">
        <v>-1.9398000000000399</v>
      </c>
      <c r="AF388">
        <v>1.65536981676715</v>
      </c>
      <c r="AG388">
        <v>-1.1210322099100001</v>
      </c>
      <c r="AH388">
        <v>27.227852582034899</v>
      </c>
      <c r="AI388">
        <v>92.353324749480095</v>
      </c>
      <c r="AJ388">
        <v>86.520874942472503</v>
      </c>
      <c r="AK388">
        <v>27.301152332364001</v>
      </c>
      <c r="AL388">
        <v>79.119706265833003</v>
      </c>
      <c r="AM388">
        <v>87.332102644969297</v>
      </c>
      <c r="AN388">
        <v>1.0000000122041901</v>
      </c>
    </row>
    <row r="389" spans="1:40" x14ac:dyDescent="0.25">
      <c r="A389" t="str">
        <f>"20190303162504961"</f>
        <v>20190303162504961</v>
      </c>
      <c r="B389" t="str">
        <f>"1551601504953243"</f>
        <v>1551601504953243</v>
      </c>
      <c r="C389" t="s">
        <v>40</v>
      </c>
      <c r="D389">
        <v>4.8938930000000003</v>
      </c>
      <c r="E389">
        <v>0.50438240000000001</v>
      </c>
      <c r="F389" t="s">
        <v>41</v>
      </c>
      <c r="G389">
        <v>-358.45310000000001</v>
      </c>
      <c r="H389" s="1">
        <v>-1.590804E-6</v>
      </c>
      <c r="I389">
        <v>365.56369999999998</v>
      </c>
      <c r="J389">
        <v>-386.5557</v>
      </c>
      <c r="K389">
        <v>1.1210370000000001</v>
      </c>
      <c r="L389">
        <v>367.51780000000002</v>
      </c>
      <c r="M389">
        <v>0.99987870000000001</v>
      </c>
      <c r="N389">
        <v>-1.164983E-2</v>
      </c>
      <c r="O389">
        <v>-1.034449E-2</v>
      </c>
      <c r="P389">
        <v>0.9825007</v>
      </c>
      <c r="Q389">
        <v>0.17809949999999999</v>
      </c>
      <c r="R389">
        <v>-5.4523469999999997E-2</v>
      </c>
      <c r="S389">
        <v>3.0630190000000002</v>
      </c>
      <c r="T389">
        <v>-0.1210724</v>
      </c>
      <c r="U389">
        <v>-0.2113342</v>
      </c>
      <c r="V389">
        <v>4.436884E-2</v>
      </c>
      <c r="W389">
        <v>0.18953629999999999</v>
      </c>
      <c r="X389">
        <v>0.98087069999999998</v>
      </c>
      <c r="Y389">
        <v>5.8452549999999999E-2</v>
      </c>
      <c r="Z389">
        <v>-1.20663E-3</v>
      </c>
      <c r="AA389">
        <v>0.99828950000000005</v>
      </c>
      <c r="AB389">
        <v>25</v>
      </c>
      <c r="AC389">
        <v>28.102599999999899</v>
      </c>
      <c r="AD389">
        <v>-1.1210385908039999</v>
      </c>
      <c r="AE389">
        <v>-1.9541000000000399</v>
      </c>
      <c r="AF389">
        <v>1.6606388219414101</v>
      </c>
      <c r="AG389">
        <v>-1.1210385908039999</v>
      </c>
      <c r="AH389">
        <v>28.076848384675401</v>
      </c>
      <c r="AI389">
        <v>92.282478533866794</v>
      </c>
      <c r="AJ389">
        <v>86.615115911631193</v>
      </c>
      <c r="AK389">
        <v>28.148247974519801</v>
      </c>
      <c r="AL389">
        <v>79.074275189114303</v>
      </c>
      <c r="AM389">
        <v>87.410040337447697</v>
      </c>
      <c r="AN389">
        <v>0.99999996654956202</v>
      </c>
    </row>
    <row r="390" spans="1:40" x14ac:dyDescent="0.25">
      <c r="A390" t="str">
        <f>"20190303162504983"</f>
        <v>20190303162504983</v>
      </c>
      <c r="B390" t="str">
        <f>"1551601504972762"</f>
        <v>1551601504972762</v>
      </c>
      <c r="C390" t="s">
        <v>40</v>
      </c>
      <c r="D390">
        <v>4.8844979999999998</v>
      </c>
      <c r="E390">
        <v>0.50451729999999995</v>
      </c>
      <c r="F390" t="s">
        <v>41</v>
      </c>
      <c r="G390">
        <v>-356.30070000000001</v>
      </c>
      <c r="H390" s="1">
        <v>-2.3476979999999999E-6</v>
      </c>
      <c r="I390">
        <v>365.47179999999997</v>
      </c>
      <c r="J390">
        <v>-386.30119999999999</v>
      </c>
      <c r="K390">
        <v>1.1210329999999999</v>
      </c>
      <c r="L390">
        <v>367.51510000000002</v>
      </c>
      <c r="M390">
        <v>0.99987870000000001</v>
      </c>
      <c r="N390">
        <v>-1.163144E-2</v>
      </c>
      <c r="O390">
        <v>-1.035988E-2</v>
      </c>
      <c r="P390">
        <v>0.98253769999999996</v>
      </c>
      <c r="Q390">
        <v>0.17810989999999999</v>
      </c>
      <c r="R390">
        <v>-5.3818690000000002E-2</v>
      </c>
      <c r="S390">
        <v>3.0625309999999999</v>
      </c>
      <c r="T390">
        <v>-0.1134759</v>
      </c>
      <c r="U390">
        <v>-0.20709230000000001</v>
      </c>
      <c r="V390">
        <v>4.3648630000000001E-2</v>
      </c>
      <c r="W390">
        <v>0.18952930000000001</v>
      </c>
      <c r="X390">
        <v>0.98090440000000001</v>
      </c>
      <c r="Y390">
        <v>5.707868E-2</v>
      </c>
      <c r="Z390">
        <v>-1.1254870000000001E-3</v>
      </c>
      <c r="AA390">
        <v>0.99836899999999995</v>
      </c>
      <c r="AB390">
        <v>25</v>
      </c>
      <c r="AC390">
        <v>30.000499999999899</v>
      </c>
      <c r="AD390">
        <v>-1.121035347698</v>
      </c>
      <c r="AE390">
        <v>-2.0433000000000399</v>
      </c>
      <c r="AF390">
        <v>1.7299633199436799</v>
      </c>
      <c r="AG390">
        <v>-1.121035347698</v>
      </c>
      <c r="AH390">
        <v>29.978393750490898</v>
      </c>
      <c r="AI390">
        <v>92.138011407957805</v>
      </c>
      <c r="AJ390">
        <v>86.697295022497698</v>
      </c>
      <c r="AK390">
        <v>30.0491860987716</v>
      </c>
      <c r="AL390">
        <v>79.074684035587197</v>
      </c>
      <c r="AM390">
        <v>87.452112998620905</v>
      </c>
      <c r="AN390">
        <v>1.0000000001993601</v>
      </c>
    </row>
    <row r="391" spans="1:40" x14ac:dyDescent="0.25">
      <c r="A391" t="str">
        <f>"20190303162505003"</f>
        <v>20190303162505003</v>
      </c>
      <c r="B391" t="str">
        <f>"1551601504993259"</f>
        <v>1551601504993259</v>
      </c>
      <c r="C391" t="s">
        <v>40</v>
      </c>
      <c r="D391">
        <v>4.8628109999999998</v>
      </c>
      <c r="E391">
        <v>0.50463429999999998</v>
      </c>
      <c r="F391" t="s">
        <v>41</v>
      </c>
      <c r="G391">
        <v>-355.27839999999998</v>
      </c>
      <c r="H391" s="1">
        <v>-2.7489009999999999E-6</v>
      </c>
      <c r="I391">
        <v>365.43869999999998</v>
      </c>
      <c r="J391">
        <v>-386.06360000000001</v>
      </c>
      <c r="K391">
        <v>1.1210279999999999</v>
      </c>
      <c r="L391">
        <v>367.51260000000002</v>
      </c>
      <c r="M391">
        <v>0.99987899999999996</v>
      </c>
      <c r="N391">
        <v>-1.159783E-2</v>
      </c>
      <c r="O391">
        <v>-1.037458E-2</v>
      </c>
      <c r="P391">
        <v>0.98258659999999998</v>
      </c>
      <c r="Q391">
        <v>0.17787210000000001</v>
      </c>
      <c r="R391">
        <v>-5.3718200000000001E-2</v>
      </c>
      <c r="S391">
        <v>3.0621640000000001</v>
      </c>
      <c r="T391">
        <v>-0.1106539</v>
      </c>
      <c r="U391">
        <v>-0.2049561</v>
      </c>
      <c r="V391">
        <v>4.3532670000000002E-2</v>
      </c>
      <c r="W391">
        <v>0.18925910000000001</v>
      </c>
      <c r="X391">
        <v>0.98096170000000005</v>
      </c>
      <c r="Y391">
        <v>5.6381300000000002E-2</v>
      </c>
      <c r="Z391">
        <v>-1.0905520000000001E-3</v>
      </c>
      <c r="AA391">
        <v>0.99840870000000004</v>
      </c>
      <c r="AB391">
        <v>25</v>
      </c>
      <c r="AC391">
        <v>30.7852</v>
      </c>
      <c r="AD391">
        <v>-1.1210307489010001</v>
      </c>
      <c r="AE391">
        <v>-2.0739000000000298</v>
      </c>
      <c r="AF391">
        <v>1.7520706055659601</v>
      </c>
      <c r="AG391">
        <v>-1.1210307489010001</v>
      </c>
      <c r="AH391">
        <v>30.764450213062201</v>
      </c>
      <c r="AI391">
        <v>92.0835136361125</v>
      </c>
      <c r="AJ391">
        <v>86.7404608527481</v>
      </c>
      <c r="AK391">
        <v>30.834685960114001</v>
      </c>
      <c r="AL391">
        <v>79.090450475500703</v>
      </c>
      <c r="AM391">
        <v>87.459021246522894</v>
      </c>
      <c r="AN391">
        <v>0.99999997857851397</v>
      </c>
    </row>
    <row r="392" spans="1:40" x14ac:dyDescent="0.25">
      <c r="A392" t="str">
        <f>"20190303162505027"</f>
        <v>20190303162505027</v>
      </c>
      <c r="B392" t="str">
        <f>"1551601505012779"</f>
        <v>1551601505012779</v>
      </c>
      <c r="C392" t="s">
        <v>40</v>
      </c>
      <c r="D392">
        <v>4.8065860000000002</v>
      </c>
      <c r="E392">
        <v>0.50473049999999997</v>
      </c>
      <c r="F392" t="s">
        <v>41</v>
      </c>
      <c r="G392">
        <v>-354.37180000000001</v>
      </c>
      <c r="H392" s="1">
        <v>-3.1477820000000001E-6</v>
      </c>
      <c r="I392">
        <v>365.38279999999997</v>
      </c>
      <c r="J392">
        <v>-385.80369999999999</v>
      </c>
      <c r="K392">
        <v>1.121008</v>
      </c>
      <c r="L392">
        <v>367.50990000000002</v>
      </c>
      <c r="M392">
        <v>0.99987950000000003</v>
      </c>
      <c r="N392">
        <v>-1.153269E-2</v>
      </c>
      <c r="O392">
        <v>-1.0391249999999999E-2</v>
      </c>
      <c r="P392">
        <v>0.98251279999999996</v>
      </c>
      <c r="Q392">
        <v>0.1782946</v>
      </c>
      <c r="R392">
        <v>-5.3661199999999999E-2</v>
      </c>
      <c r="S392">
        <v>3.0615230000000002</v>
      </c>
      <c r="T392">
        <v>-0.1082945</v>
      </c>
      <c r="U392">
        <v>-0.2057495</v>
      </c>
      <c r="V392">
        <v>4.3460140000000001E-2</v>
      </c>
      <c r="W392">
        <v>0.1896168</v>
      </c>
      <c r="X392">
        <v>0.98089590000000004</v>
      </c>
      <c r="Y392">
        <v>5.6637659999999999E-2</v>
      </c>
      <c r="Z392">
        <v>-1.0800740000000001E-3</v>
      </c>
      <c r="AA392">
        <v>0.99839420000000001</v>
      </c>
      <c r="AB392">
        <v>25</v>
      </c>
      <c r="AC392">
        <v>31.431899999999899</v>
      </c>
      <c r="AD392">
        <v>-1.121011147782</v>
      </c>
      <c r="AE392">
        <v>-2.12710000000004</v>
      </c>
      <c r="AF392">
        <v>1.7980700134929799</v>
      </c>
      <c r="AG392">
        <v>-1.121011147782</v>
      </c>
      <c r="AH392">
        <v>31.412533640189601</v>
      </c>
      <c r="AI392">
        <v>92.040495403120303</v>
      </c>
      <c r="AJ392">
        <v>86.723934189728496</v>
      </c>
      <c r="AK392">
        <v>31.483916393341499</v>
      </c>
      <c r="AL392">
        <v>79.069578513694495</v>
      </c>
      <c r="AM392">
        <v>87.463079302218503</v>
      </c>
      <c r="AN392">
        <v>1.00000004062393</v>
      </c>
    </row>
    <row r="393" spans="1:40" x14ac:dyDescent="0.25">
      <c r="A393" t="str">
        <f>"20190303162505049"</f>
        <v>20190303162505049</v>
      </c>
      <c r="B393" t="str">
        <f>"1551601505043035"</f>
        <v>1551601505043035</v>
      </c>
      <c r="C393" t="s">
        <v>40</v>
      </c>
      <c r="D393">
        <v>4.8064049999999998</v>
      </c>
      <c r="E393">
        <v>0.50479070000000004</v>
      </c>
      <c r="F393" t="s">
        <v>41</v>
      </c>
      <c r="G393">
        <v>-353.0754</v>
      </c>
      <c r="H393" s="1">
        <v>-3.7179509999999999E-6</v>
      </c>
      <c r="I393">
        <v>365.30360000000002</v>
      </c>
      <c r="J393">
        <v>-385.5478</v>
      </c>
      <c r="K393">
        <v>1.120981</v>
      </c>
      <c r="L393">
        <v>367.50729999999999</v>
      </c>
      <c r="M393">
        <v>0.9998804</v>
      </c>
      <c r="N393">
        <v>-1.143166E-2</v>
      </c>
      <c r="O393">
        <v>-1.0407E-2</v>
      </c>
      <c r="P393">
        <v>0.98247899999999999</v>
      </c>
      <c r="Q393">
        <v>0.17852699999999999</v>
      </c>
      <c r="R393">
        <v>-5.350854E-2</v>
      </c>
      <c r="S393">
        <v>3.0611570000000001</v>
      </c>
      <c r="T393">
        <v>-0.1048506</v>
      </c>
      <c r="U393">
        <v>-0.20635990000000001</v>
      </c>
      <c r="V393">
        <v>4.3292419999999998E-2</v>
      </c>
      <c r="W393">
        <v>0.1897498</v>
      </c>
      <c r="X393">
        <v>0.98087760000000002</v>
      </c>
      <c r="Y393">
        <v>5.6830360000000003E-2</v>
      </c>
      <c r="Z393">
        <v>-1.060138E-3</v>
      </c>
      <c r="AA393">
        <v>0.99838329999999997</v>
      </c>
      <c r="AB393">
        <v>25</v>
      </c>
      <c r="AC393">
        <v>32.472399999999901</v>
      </c>
      <c r="AD393">
        <v>-1.120984717951</v>
      </c>
      <c r="AE393">
        <v>-2.20369999999996</v>
      </c>
      <c r="AF393">
        <v>1.86340779921112</v>
      </c>
      <c r="AG393">
        <v>-1.120984717951</v>
      </c>
      <c r="AH393">
        <v>32.455076925231197</v>
      </c>
      <c r="AI393">
        <v>91.974935840561898</v>
      </c>
      <c r="AJ393">
        <v>86.713971208513897</v>
      </c>
      <c r="AK393">
        <v>32.5278482778483</v>
      </c>
      <c r="AL393">
        <v>79.061817301123995</v>
      </c>
      <c r="AM393">
        <v>87.472809902034001</v>
      </c>
      <c r="AN393">
        <v>1.00000004320562</v>
      </c>
    </row>
    <row r="394" spans="1:40" x14ac:dyDescent="0.25">
      <c r="A394" t="str">
        <f>"20190303162505072"</f>
        <v>20190303162505072</v>
      </c>
      <c r="B394" t="str">
        <f>"1551601505063531"</f>
        <v>1551601505063531</v>
      </c>
      <c r="C394" t="s">
        <v>40</v>
      </c>
      <c r="D394">
        <v>4.8563479999999997</v>
      </c>
      <c r="E394">
        <v>0.5048241</v>
      </c>
      <c r="F394" t="s">
        <v>41</v>
      </c>
      <c r="G394">
        <v>-351.63699999999898</v>
      </c>
      <c r="H394" s="1">
        <v>-4.3499389999999997E-6</v>
      </c>
      <c r="I394">
        <v>365.21949999999998</v>
      </c>
      <c r="J394">
        <v>-385.29149999999998</v>
      </c>
      <c r="K394">
        <v>1.1209519999999999</v>
      </c>
      <c r="L394">
        <v>367.50459999999998</v>
      </c>
      <c r="M394">
        <v>0.99988200000000005</v>
      </c>
      <c r="N394">
        <v>-1.1290949999999999E-2</v>
      </c>
      <c r="O394">
        <v>-1.042302E-2</v>
      </c>
      <c r="P394">
        <v>0.98264960000000001</v>
      </c>
      <c r="Q394">
        <v>0.17755670000000001</v>
      </c>
      <c r="R394">
        <v>-5.3606670000000002E-2</v>
      </c>
      <c r="S394">
        <v>3.060638</v>
      </c>
      <c r="T394">
        <v>-0.1011751</v>
      </c>
      <c r="U394">
        <v>-0.2064819</v>
      </c>
      <c r="V394">
        <v>4.3373009999999997E-2</v>
      </c>
      <c r="W394">
        <v>0.18864339999999999</v>
      </c>
      <c r="X394">
        <v>0.98108740000000005</v>
      </c>
      <c r="Y394">
        <v>5.6867899999999999E-2</v>
      </c>
      <c r="Z394">
        <v>-1.033667E-3</v>
      </c>
      <c r="AA394">
        <v>0.99838119999999997</v>
      </c>
      <c r="AB394">
        <v>25</v>
      </c>
      <c r="AC394">
        <v>33.654499999999999</v>
      </c>
      <c r="AD394">
        <v>-1.1209563499389901</v>
      </c>
      <c r="AE394">
        <v>-2.2850999999999999</v>
      </c>
      <c r="AF394">
        <v>1.9320384091071201</v>
      </c>
      <c r="AG394">
        <v>-1.1209563499389901</v>
      </c>
      <c r="AH394">
        <v>33.639342299029401</v>
      </c>
      <c r="AI394">
        <v>91.905410616832299</v>
      </c>
      <c r="AJ394">
        <v>86.712891459768798</v>
      </c>
      <c r="AK394">
        <v>33.713419670273801</v>
      </c>
      <c r="AL394">
        <v>79.1263750471375</v>
      </c>
      <c r="AM394">
        <v>87.468652311914596</v>
      </c>
      <c r="AN394">
        <v>1.00000001839938</v>
      </c>
    </row>
    <row r="395" spans="1:40" x14ac:dyDescent="0.25">
      <c r="A395" t="str">
        <f>"20190303162505095"</f>
        <v>20190303162505095</v>
      </c>
      <c r="B395" t="str">
        <f>"1551601505083557"</f>
        <v>1551601505083557</v>
      </c>
      <c r="C395" t="s">
        <v>40</v>
      </c>
      <c r="D395">
        <v>4.8725139999999998</v>
      </c>
      <c r="E395">
        <v>0.5048705</v>
      </c>
      <c r="F395" t="s">
        <v>41</v>
      </c>
      <c r="G395">
        <v>-351.78129999999999</v>
      </c>
      <c r="H395" s="1">
        <v>-4.284538E-6</v>
      </c>
      <c r="I395">
        <v>365.23910000000001</v>
      </c>
      <c r="J395">
        <v>-385.02609999999999</v>
      </c>
      <c r="K395">
        <v>1.1209209999999901</v>
      </c>
      <c r="L395">
        <v>367.5018</v>
      </c>
      <c r="M395">
        <v>0.99988379999999999</v>
      </c>
      <c r="N395">
        <v>-1.1107809999999999E-2</v>
      </c>
      <c r="O395">
        <v>-1.043928E-2</v>
      </c>
      <c r="P395">
        <v>0.98268140000000004</v>
      </c>
      <c r="Q395">
        <v>0.1773865</v>
      </c>
      <c r="R395">
        <v>-5.3587009999999997E-2</v>
      </c>
      <c r="S395">
        <v>3.060181</v>
      </c>
      <c r="T395">
        <v>-0.1023664</v>
      </c>
      <c r="U395">
        <v>-0.2068787</v>
      </c>
      <c r="V395">
        <v>4.3337090000000002E-2</v>
      </c>
      <c r="W395">
        <v>0.18829399999999999</v>
      </c>
      <c r="X395">
        <v>0.98115609999999998</v>
      </c>
      <c r="Y395">
        <v>5.6989909999999998E-2</v>
      </c>
      <c r="Z395">
        <v>-1.0359849999999999E-3</v>
      </c>
      <c r="AA395">
        <v>0.99837419999999999</v>
      </c>
      <c r="AB395">
        <v>25</v>
      </c>
      <c r="AC395">
        <v>33.244799999999998</v>
      </c>
      <c r="AD395">
        <v>-1.12092528453799</v>
      </c>
      <c r="AE395">
        <v>-2.2626999999999899</v>
      </c>
      <c r="AF395">
        <v>1.91333833394513</v>
      </c>
      <c r="AG395">
        <v>-1.12092528453799</v>
      </c>
      <c r="AH395">
        <v>33.229008213739803</v>
      </c>
      <c r="AI395">
        <v>91.928852641504506</v>
      </c>
      <c r="AJ395">
        <v>86.7045270839983</v>
      </c>
      <c r="AK395">
        <v>33.302917649095697</v>
      </c>
      <c r="AL395">
        <v>79.146759440698901</v>
      </c>
      <c r="AM395">
        <v>87.470922828452004</v>
      </c>
      <c r="AN395">
        <v>1.0000000131864299</v>
      </c>
    </row>
    <row r="396" spans="1:40" x14ac:dyDescent="0.25">
      <c r="A396" t="str">
        <f>"20190303162505119"</f>
        <v>20190303162505119</v>
      </c>
      <c r="B396" t="str">
        <f>"1551601505112838"</f>
        <v>1551601505112838</v>
      </c>
      <c r="C396" t="s">
        <v>40</v>
      </c>
      <c r="D396">
        <v>4.907654</v>
      </c>
      <c r="E396">
        <v>0.50494589999999995</v>
      </c>
      <c r="F396" t="s">
        <v>41</v>
      </c>
      <c r="G396">
        <v>-351.33139999999997</v>
      </c>
      <c r="H396" s="1">
        <v>-4.4809800000000003E-6</v>
      </c>
      <c r="I396">
        <v>365.22</v>
      </c>
      <c r="J396">
        <v>-384.76249999999999</v>
      </c>
      <c r="K396">
        <v>1.120887</v>
      </c>
      <c r="L396">
        <v>367.49900000000002</v>
      </c>
      <c r="M396">
        <v>0.99988600000000005</v>
      </c>
      <c r="N396">
        <v>-1.090035E-2</v>
      </c>
      <c r="O396">
        <v>-1.0455549999999999E-2</v>
      </c>
      <c r="P396">
        <v>0.98270279999999999</v>
      </c>
      <c r="Q396">
        <v>0.17774389999999901</v>
      </c>
      <c r="R396">
        <v>-5.1984629999999997E-2</v>
      </c>
      <c r="S396">
        <v>3.0599669999999999</v>
      </c>
      <c r="T396">
        <v>-0.10179589999999999</v>
      </c>
      <c r="U396">
        <v>-0.20721439999999999</v>
      </c>
      <c r="V396">
        <v>4.1718619999999998E-2</v>
      </c>
      <c r="W396">
        <v>0.18844759999999999</v>
      </c>
      <c r="X396">
        <v>0.98119679999999998</v>
      </c>
      <c r="Y396">
        <v>5.7087949999999998E-2</v>
      </c>
      <c r="Z396">
        <v>-1.0263799999999999E-3</v>
      </c>
      <c r="AA396">
        <v>0.99836860000000005</v>
      </c>
      <c r="AB396">
        <v>25</v>
      </c>
      <c r="AC396">
        <v>33.431100000000001</v>
      </c>
      <c r="AD396">
        <v>-1.1208914809799999</v>
      </c>
      <c r="AE396">
        <v>-2.2789999999999901</v>
      </c>
      <c r="AF396">
        <v>1.92715773326841</v>
      </c>
      <c r="AG396">
        <v>-1.1208914809799999</v>
      </c>
      <c r="AH396">
        <v>33.415711381431599</v>
      </c>
      <c r="AI396">
        <v>91.918015750912403</v>
      </c>
      <c r="AJ396">
        <v>86.699282345958096</v>
      </c>
      <c r="AK396">
        <v>33.490000026398398</v>
      </c>
      <c r="AL396">
        <v>79.137798801282202</v>
      </c>
      <c r="AM396">
        <v>87.565358929723203</v>
      </c>
      <c r="AN396">
        <v>1.0000000507653499</v>
      </c>
    </row>
    <row r="397" spans="1:40" x14ac:dyDescent="0.25">
      <c r="A397" t="str">
        <f>"20190303162505162"</f>
        <v>20190303162505162</v>
      </c>
      <c r="B397" t="str">
        <f>"1551601505152854"</f>
        <v>1551601505152854</v>
      </c>
      <c r="C397" t="s">
        <v>40</v>
      </c>
      <c r="D397">
        <v>4.8682970000000001</v>
      </c>
      <c r="E397">
        <v>0.50510949999999999</v>
      </c>
      <c r="F397" t="s">
        <v>41</v>
      </c>
      <c r="G397">
        <v>-349.8571</v>
      </c>
      <c r="H397" s="1">
        <v>-1.217714E-6</v>
      </c>
      <c r="I397">
        <v>365.18669999999997</v>
      </c>
      <c r="J397">
        <v>-384.26530000000002</v>
      </c>
      <c r="K397">
        <v>1.1208290000000001</v>
      </c>
      <c r="L397">
        <v>367.49380000000002</v>
      </c>
      <c r="M397">
        <v>0.9998899</v>
      </c>
      <c r="N397">
        <v>-1.050628E-2</v>
      </c>
      <c r="O397">
        <v>-1.0484439999999999E-2</v>
      </c>
      <c r="P397">
        <v>0.98260429999999999</v>
      </c>
      <c r="Q397">
        <v>0.17903259999999999</v>
      </c>
      <c r="R397">
        <v>-4.9355719999999999E-2</v>
      </c>
      <c r="S397">
        <v>3.0598450000000001</v>
      </c>
      <c r="T397">
        <v>-9.8258380000000006E-2</v>
      </c>
      <c r="U397">
        <v>-0.20269780000000001</v>
      </c>
      <c r="V397">
        <v>3.9062359999999997E-2</v>
      </c>
      <c r="W397">
        <v>0.18934860000000001</v>
      </c>
      <c r="X397">
        <v>0.98113260000000002</v>
      </c>
      <c r="Y397">
        <v>5.5598389999999998E-2</v>
      </c>
      <c r="Z397">
        <v>-9.5781779999999997E-4</v>
      </c>
      <c r="AA397">
        <v>0.99845280000000003</v>
      </c>
      <c r="AB397">
        <v>26</v>
      </c>
      <c r="AC397">
        <v>34.408200000000001</v>
      </c>
      <c r="AD397">
        <v>-1.1208302177139999</v>
      </c>
      <c r="AE397">
        <v>-2.3071000000000401</v>
      </c>
      <c r="AF397">
        <v>1.94414888061869</v>
      </c>
      <c r="AG397">
        <v>-1.1208302177139999</v>
      </c>
      <c r="AH397">
        <v>34.394166330588</v>
      </c>
      <c r="AI397">
        <v>91.863510276059699</v>
      </c>
      <c r="AJ397">
        <v>86.764767769106598</v>
      </c>
      <c r="AK397">
        <v>34.467298310472501</v>
      </c>
      <c r="AL397">
        <v>79.085227974672904</v>
      </c>
      <c r="AM397">
        <v>87.720056459133801</v>
      </c>
      <c r="AN397">
        <v>0.99999996953674397</v>
      </c>
    </row>
    <row r="398" spans="1:40" x14ac:dyDescent="0.25">
      <c r="A398" t="str">
        <f>"20190303162505183"</f>
        <v>20190303162505183</v>
      </c>
      <c r="B398" t="str">
        <f>"1551601505173349"</f>
        <v>1551601505173349</v>
      </c>
      <c r="C398" t="s">
        <v>40</v>
      </c>
      <c r="D398">
        <v>4.8783580000000004</v>
      </c>
      <c r="E398">
        <v>0.50492349999999997</v>
      </c>
      <c r="F398" t="s">
        <v>41</v>
      </c>
      <c r="G398">
        <v>-346.43450000000001</v>
      </c>
      <c r="H398" s="1">
        <v>-2.562109E-6</v>
      </c>
      <c r="I398">
        <v>365.07369999999997</v>
      </c>
      <c r="J398">
        <v>-384.01900000000001</v>
      </c>
      <c r="K398">
        <v>1.120814</v>
      </c>
      <c r="L398">
        <v>367.49119999999999</v>
      </c>
      <c r="M398">
        <v>0.99989159999999999</v>
      </c>
      <c r="N398">
        <v>-1.032919E-2</v>
      </c>
      <c r="O398">
        <v>-1.0498779999999999E-2</v>
      </c>
      <c r="P398">
        <v>0.98251189999999999</v>
      </c>
      <c r="Q398">
        <v>0.1798807</v>
      </c>
      <c r="R398">
        <v>-4.8100150000000001E-2</v>
      </c>
      <c r="S398">
        <v>3.0597840000000001</v>
      </c>
      <c r="T398">
        <v>-9.0653780000000003E-2</v>
      </c>
      <c r="U398">
        <v>-0.19573969999999999</v>
      </c>
      <c r="V398">
        <v>3.7793590000000002E-2</v>
      </c>
      <c r="W398">
        <v>0.19002230000000001</v>
      </c>
      <c r="X398">
        <v>0.98105209999999998</v>
      </c>
      <c r="Y398">
        <v>5.3330309999999999E-2</v>
      </c>
      <c r="Z398">
        <v>-8.6253670000000003E-4</v>
      </c>
      <c r="AA398">
        <v>0.99857660000000004</v>
      </c>
      <c r="AB398">
        <v>26</v>
      </c>
      <c r="AC398">
        <v>37.584499999999899</v>
      </c>
      <c r="AD398">
        <v>-1.120816562109</v>
      </c>
      <c r="AE398">
        <v>-2.4175000000000102</v>
      </c>
      <c r="AF398">
        <v>2.02096447326482</v>
      </c>
      <c r="AG398">
        <v>-1.120816562109</v>
      </c>
      <c r="AH398">
        <v>37.574532909143201</v>
      </c>
      <c r="AI398">
        <v>91.706113503248304</v>
      </c>
      <c r="AJ398">
        <v>86.921285210597006</v>
      </c>
      <c r="AK398">
        <v>37.645531614102303</v>
      </c>
      <c r="AL398">
        <v>79.045914689220496</v>
      </c>
      <c r="AM398">
        <v>87.793855239967897</v>
      </c>
      <c r="AN398">
        <v>1.0000000264283899</v>
      </c>
    </row>
    <row r="399" spans="1:40" x14ac:dyDescent="0.25">
      <c r="A399" t="str">
        <f>"20190303162505204"</f>
        <v>20190303162505204</v>
      </c>
      <c r="B399" t="str">
        <f>"1551601505192869"</f>
        <v>1551601505192869</v>
      </c>
      <c r="C399" t="s">
        <v>40</v>
      </c>
      <c r="D399">
        <v>5.094328</v>
      </c>
      <c r="E399">
        <v>0.4885216</v>
      </c>
      <c r="F399" t="s">
        <v>41</v>
      </c>
      <c r="G399">
        <v>-345.14400000000001</v>
      </c>
      <c r="H399" s="1">
        <v>-3.0808709999999998E-6</v>
      </c>
      <c r="I399">
        <v>365.07870000000003</v>
      </c>
      <c r="J399">
        <v>-383.78149999999999</v>
      </c>
      <c r="K399">
        <v>1.1208020000000001</v>
      </c>
      <c r="L399">
        <v>367.48869999999999</v>
      </c>
      <c r="M399">
        <v>0.99989300000000003</v>
      </c>
      <c r="N399">
        <v>-1.017354E-2</v>
      </c>
      <c r="O399">
        <v>-1.0512280000000001E-2</v>
      </c>
      <c r="P399">
        <v>0.98243800000000003</v>
      </c>
      <c r="Q399">
        <v>0.18058109999999999</v>
      </c>
      <c r="R399">
        <v>-4.6971690000000003E-2</v>
      </c>
      <c r="S399">
        <v>3.0602420000000001</v>
      </c>
      <c r="T399">
        <v>-8.8230610000000001E-2</v>
      </c>
      <c r="U399">
        <v>-0.18991089999999999</v>
      </c>
      <c r="V399">
        <v>3.6652499999999998E-2</v>
      </c>
      <c r="W399">
        <v>0.19056909999999999</v>
      </c>
      <c r="X399">
        <v>0.98098929999999995</v>
      </c>
      <c r="Y399">
        <v>5.1415280000000001E-2</v>
      </c>
      <c r="Z399">
        <v>-8.0633039999999999E-4</v>
      </c>
      <c r="AA399">
        <v>0.99867700000000004</v>
      </c>
      <c r="AB399">
        <v>26</v>
      </c>
      <c r="AC399">
        <v>38.637499999999903</v>
      </c>
      <c r="AD399">
        <v>-1.1208050808709999</v>
      </c>
      <c r="AE399">
        <v>-2.4099999999999602</v>
      </c>
      <c r="AF399">
        <v>2.0019994777065899</v>
      </c>
      <c r="AG399">
        <v>-1.1208050808709999</v>
      </c>
      <c r="AH399">
        <v>38.628321885185201</v>
      </c>
      <c r="AI399">
        <v>91.659750809181105</v>
      </c>
      <c r="AJ399">
        <v>87.033172096600396</v>
      </c>
      <c r="AK399">
        <v>38.6964010936872</v>
      </c>
      <c r="AL399">
        <v>79.014001889563801</v>
      </c>
      <c r="AM399">
        <v>87.860264963277203</v>
      </c>
      <c r="AN399">
        <v>0.99999999717277499</v>
      </c>
    </row>
    <row r="400" spans="1:40" x14ac:dyDescent="0.25">
      <c r="A400" t="str">
        <f>"20190303162505228"</f>
        <v>20190303162505228</v>
      </c>
      <c r="B400" t="str">
        <f>"1551601505223126"</f>
        <v>1551601505223126</v>
      </c>
      <c r="C400" t="s">
        <v>40</v>
      </c>
      <c r="D400">
        <v>5.0939949999999996</v>
      </c>
      <c r="E400">
        <v>0.48913669999999998</v>
      </c>
      <c r="F400" t="s">
        <v>41</v>
      </c>
      <c r="G400">
        <v>-337.43819999999999</v>
      </c>
      <c r="H400" s="1">
        <v>-1.6462549999999901E-6</v>
      </c>
      <c r="I400">
        <v>366.6533</v>
      </c>
      <c r="J400">
        <v>-383.50450000000001</v>
      </c>
      <c r="K400">
        <v>1.120792</v>
      </c>
      <c r="L400">
        <v>367.48570000000001</v>
      </c>
      <c r="M400">
        <v>0.99989459999999997</v>
      </c>
      <c r="N400">
        <v>-1.0011859999999999E-2</v>
      </c>
      <c r="O400">
        <v>-1.052577E-2</v>
      </c>
      <c r="P400">
        <v>0.98235749999999999</v>
      </c>
      <c r="Q400">
        <v>0.18114730000000001</v>
      </c>
      <c r="R400">
        <v>-4.6468580000000002E-2</v>
      </c>
      <c r="S400">
        <v>3.0646059999999999</v>
      </c>
      <c r="T400">
        <v>-7.4116829999999995E-2</v>
      </c>
      <c r="U400">
        <v>-5.5236819999999999E-2</v>
      </c>
      <c r="V400">
        <v>3.6136889999999998E-2</v>
      </c>
      <c r="W400">
        <v>0.1909758</v>
      </c>
      <c r="X400">
        <v>0.9809293</v>
      </c>
      <c r="Y400">
        <v>7.4935699999999997E-3</v>
      </c>
      <c r="Z400" s="1">
        <v>2.1005850000000002E-5</v>
      </c>
      <c r="AA400">
        <v>0.99997190000000002</v>
      </c>
      <c r="AB400">
        <v>26</v>
      </c>
      <c r="AC400">
        <v>46.066299999999998</v>
      </c>
      <c r="AD400">
        <v>-1.1207936462549899</v>
      </c>
      <c r="AE400">
        <v>-0.83240000000000602</v>
      </c>
      <c r="AF400">
        <v>0.34724087675891002</v>
      </c>
      <c r="AG400">
        <v>-1.1207936462549899</v>
      </c>
      <c r="AH400">
        <v>46.045262304874399</v>
      </c>
      <c r="AI400">
        <v>91.394328959021394</v>
      </c>
      <c r="AJ400">
        <v>89.567923852072795</v>
      </c>
      <c r="AK400">
        <v>46.060209892581497</v>
      </c>
      <c r="AL400">
        <v>78.990263327630004</v>
      </c>
      <c r="AM400">
        <v>87.890209425236094</v>
      </c>
      <c r="AN400">
        <v>0.99999996130150004</v>
      </c>
    </row>
    <row r="401" spans="1:40" x14ac:dyDescent="0.25">
      <c r="A401" t="str">
        <f>"20190303162505250"</f>
        <v>20190303162505250</v>
      </c>
      <c r="B401" t="str">
        <f>"1551601505242646"</f>
        <v>1551601505242646</v>
      </c>
      <c r="C401" t="s">
        <v>40</v>
      </c>
      <c r="D401">
        <v>5.0877819999999998</v>
      </c>
      <c r="E401">
        <v>0.48970069999999999</v>
      </c>
      <c r="F401" t="s">
        <v>44</v>
      </c>
      <c r="G401">
        <v>-303.95650000000001</v>
      </c>
      <c r="H401">
        <v>-0.05</v>
      </c>
      <c r="I401">
        <v>365.96859999999998</v>
      </c>
      <c r="J401">
        <v>-383.24130000000002</v>
      </c>
      <c r="K401">
        <v>1.1207910000000001</v>
      </c>
      <c r="L401">
        <v>367.483</v>
      </c>
      <c r="M401">
        <v>0.9998958</v>
      </c>
      <c r="N401">
        <v>-9.8772329999999992E-3</v>
      </c>
      <c r="O401">
        <v>-1.0537370000000001E-2</v>
      </c>
      <c r="P401">
        <v>0.98214259999999998</v>
      </c>
      <c r="Q401">
        <v>0.18237320000000001</v>
      </c>
      <c r="R401">
        <v>-4.6218349999999998E-2</v>
      </c>
      <c r="S401">
        <v>3.0593870000000001</v>
      </c>
      <c r="T401">
        <v>-4.5028209999999999E-2</v>
      </c>
      <c r="U401">
        <v>-5.8349610000000003E-2</v>
      </c>
      <c r="V401">
        <v>3.5877369999999999E-2</v>
      </c>
      <c r="W401">
        <v>0.19206719999999999</v>
      </c>
      <c r="X401">
        <v>0.98072579999999998</v>
      </c>
      <c r="Y401">
        <v>8.5304059999999904E-3</v>
      </c>
      <c r="Z401" s="1">
        <v>-5.391779E-5</v>
      </c>
      <c r="AA401">
        <v>0.99996359999999995</v>
      </c>
      <c r="AB401">
        <v>26</v>
      </c>
      <c r="AC401">
        <v>79.284800000000004</v>
      </c>
      <c r="AD401">
        <v>-1.1707909999999999</v>
      </c>
      <c r="AE401">
        <v>-1.51440000000002</v>
      </c>
      <c r="AF401">
        <v>0.678674031353244</v>
      </c>
      <c r="AG401">
        <v>-1.1707909999999999</v>
      </c>
      <c r="AH401">
        <v>79.279074874549906</v>
      </c>
      <c r="AI401">
        <v>90.8460498533085</v>
      </c>
      <c r="AJ401">
        <v>89.509527477625696</v>
      </c>
      <c r="AK401">
        <v>79.290624054619499</v>
      </c>
      <c r="AL401">
        <v>78.926552234615997</v>
      </c>
      <c r="AM401">
        <v>87.904913259632295</v>
      </c>
      <c r="AN401">
        <v>1.0000000448897901</v>
      </c>
    </row>
    <row r="402" spans="1:40" x14ac:dyDescent="0.25">
      <c r="A402" t="str">
        <f>"20190303162505272"</f>
        <v>20190303162505272</v>
      </c>
      <c r="B402" t="str">
        <f>"1551601505263141"</f>
        <v>1551601505263141</v>
      </c>
      <c r="C402" t="s">
        <v>40</v>
      </c>
      <c r="D402">
        <v>5.0847179999999996</v>
      </c>
      <c r="E402">
        <v>0.49007040000000002</v>
      </c>
      <c r="F402" t="s">
        <v>44</v>
      </c>
      <c r="G402">
        <v>-292.8972</v>
      </c>
      <c r="H402">
        <v>-0.05</v>
      </c>
      <c r="I402">
        <v>365.66059999999999</v>
      </c>
      <c r="J402">
        <v>-382.98599999999999</v>
      </c>
      <c r="K402">
        <v>1.120784</v>
      </c>
      <c r="L402">
        <v>367.4803</v>
      </c>
      <c r="M402">
        <v>0.99989680000000003</v>
      </c>
      <c r="N402">
        <v>-9.7634049999999993E-3</v>
      </c>
      <c r="O402">
        <v>-1.054765E-2</v>
      </c>
      <c r="P402">
        <v>0.98199499999999995</v>
      </c>
      <c r="Q402">
        <v>0.1831024</v>
      </c>
      <c r="R402">
        <v>-4.6468309999999999E-2</v>
      </c>
      <c r="S402">
        <v>3.059021</v>
      </c>
      <c r="T402">
        <v>-3.9642570000000002E-2</v>
      </c>
      <c r="U402">
        <v>-6.1706539999999997E-2</v>
      </c>
      <c r="V402">
        <v>3.6118409999999997E-2</v>
      </c>
      <c r="W402">
        <v>0.19268350000000001</v>
      </c>
      <c r="X402">
        <v>0.98059600000000002</v>
      </c>
      <c r="Y402">
        <v>9.6193979999999995E-3</v>
      </c>
      <c r="Z402" s="1">
        <v>-7.5601189999999996E-5</v>
      </c>
      <c r="AA402">
        <v>0.99995369999999995</v>
      </c>
      <c r="AB402">
        <v>26</v>
      </c>
      <c r="AC402">
        <v>90.088800000000006</v>
      </c>
      <c r="AD402">
        <v>-1.170784</v>
      </c>
      <c r="AE402">
        <v>-1.8197000000000101</v>
      </c>
      <c r="AF402">
        <v>0.86918169008836998</v>
      </c>
      <c r="AG402">
        <v>-1.170784</v>
      </c>
      <c r="AH402">
        <v>90.087773534781206</v>
      </c>
      <c r="AI402">
        <v>90.744541480374806</v>
      </c>
      <c r="AJ402">
        <v>89.447218025875102</v>
      </c>
      <c r="AK402">
        <v>90.099573541937801</v>
      </c>
      <c r="AL402">
        <v>78.890568141568096</v>
      </c>
      <c r="AM402">
        <v>87.890571279998696</v>
      </c>
      <c r="AN402">
        <v>0.99999999296458897</v>
      </c>
    </row>
    <row r="403" spans="1:40" x14ac:dyDescent="0.25">
      <c r="A403" t="str">
        <f>"20190303162505296"</f>
        <v>20190303162505296</v>
      </c>
      <c r="B403" t="str">
        <f>"1551601505282662"</f>
        <v>1551601505282662</v>
      </c>
      <c r="C403" t="s">
        <v>40</v>
      </c>
      <c r="D403">
        <v>5.0778220000000003</v>
      </c>
      <c r="E403">
        <v>0.49057210000000001</v>
      </c>
      <c r="F403" t="s">
        <v>44</v>
      </c>
      <c r="G403">
        <v>-283.81169999999997</v>
      </c>
      <c r="H403">
        <v>-0.05</v>
      </c>
      <c r="I403">
        <v>365.36660000000001</v>
      </c>
      <c r="J403">
        <v>-382.71749999999997</v>
      </c>
      <c r="K403">
        <v>1.1207819999999999</v>
      </c>
      <c r="L403">
        <v>367.47739999999999</v>
      </c>
      <c r="M403">
        <v>0.99989760000000005</v>
      </c>
      <c r="N403">
        <v>-9.6599839999999999E-3</v>
      </c>
      <c r="O403">
        <v>-1.055739E-2</v>
      </c>
      <c r="P403">
        <v>0.98200969999999999</v>
      </c>
      <c r="Q403">
        <v>0.18300440000000001</v>
      </c>
      <c r="R403">
        <v>-4.6545950000000003E-2</v>
      </c>
      <c r="S403">
        <v>3.058624</v>
      </c>
      <c r="T403">
        <v>-3.6108019999999998E-2</v>
      </c>
      <c r="U403">
        <v>-6.5185549999999995E-2</v>
      </c>
      <c r="V403">
        <v>3.6185599999999998E-2</v>
      </c>
      <c r="W403">
        <v>0.19248460000000001</v>
      </c>
      <c r="X403">
        <v>0.98063259999999997</v>
      </c>
      <c r="Y403">
        <v>1.07492E-2</v>
      </c>
      <c r="Z403" s="1">
        <v>-9.2737439999999993E-5</v>
      </c>
      <c r="AA403">
        <v>0.9999422</v>
      </c>
      <c r="AB403">
        <v>26</v>
      </c>
      <c r="AC403">
        <v>98.905799999999999</v>
      </c>
      <c r="AD403">
        <v>-1.170782</v>
      </c>
      <c r="AE403">
        <v>-2.1107999999999798</v>
      </c>
      <c r="AF403">
        <v>1.06629717321769</v>
      </c>
      <c r="AG403">
        <v>-1.170782</v>
      </c>
      <c r="AH403">
        <v>98.908719916278997</v>
      </c>
      <c r="AI403">
        <v>90.678138766823693</v>
      </c>
      <c r="AJ403">
        <v>89.382339988635295</v>
      </c>
      <c r="AK403">
        <v>98.921396045699097</v>
      </c>
      <c r="AL403">
        <v>78.902181835649998</v>
      </c>
      <c r="AM403">
        <v>87.886729532298105</v>
      </c>
      <c r="AN403">
        <v>1.0000000075336399</v>
      </c>
    </row>
    <row r="404" spans="1:40" x14ac:dyDescent="0.25">
      <c r="A404" t="str">
        <f>"20190303162505320"</f>
        <v>20190303162505320</v>
      </c>
      <c r="B404" t="str">
        <f>"1551601505312918"</f>
        <v>1551601505312918</v>
      </c>
      <c r="C404" t="s">
        <v>40</v>
      </c>
      <c r="D404">
        <v>4.8949759999999998</v>
      </c>
      <c r="E404">
        <v>0.4909251</v>
      </c>
      <c r="F404" t="s">
        <v>44</v>
      </c>
      <c r="G404">
        <v>-281.50700000000001</v>
      </c>
      <c r="H404">
        <v>-0.05</v>
      </c>
      <c r="I404">
        <v>365.17970000000003</v>
      </c>
      <c r="J404">
        <v>-382.44159999999999</v>
      </c>
      <c r="K404">
        <v>1.120776</v>
      </c>
      <c r="L404">
        <v>367.47449999999998</v>
      </c>
      <c r="M404">
        <v>0.99989839999999997</v>
      </c>
      <c r="N404">
        <v>-9.569457E-3</v>
      </c>
      <c r="O404">
        <v>-1.0565649999999999E-2</v>
      </c>
      <c r="P404">
        <v>0.98187049999999998</v>
      </c>
      <c r="Q404">
        <v>0.18371399999999999</v>
      </c>
      <c r="R404">
        <v>-4.6683969999999998E-2</v>
      </c>
      <c r="S404">
        <v>3.0582579999999999</v>
      </c>
      <c r="T404">
        <v>-3.5377260000000001E-2</v>
      </c>
      <c r="U404">
        <v>-6.9427489999999994E-2</v>
      </c>
      <c r="V404">
        <v>3.6316630000000003E-2</v>
      </c>
      <c r="W404">
        <v>0.19310359999999999</v>
      </c>
      <c r="X404">
        <v>0.98050610000000005</v>
      </c>
      <c r="Y404">
        <v>1.212967E-2</v>
      </c>
      <c r="Z404">
        <v>-1.0709949999999999E-4</v>
      </c>
      <c r="AA404">
        <v>0.99992639999999999</v>
      </c>
      <c r="AB404">
        <v>26</v>
      </c>
      <c r="AC404">
        <v>100.9346</v>
      </c>
      <c r="AD404">
        <v>-1.170776</v>
      </c>
      <c r="AE404">
        <v>-2.2947999999999502</v>
      </c>
      <c r="AF404">
        <v>1.2280182790071501</v>
      </c>
      <c r="AG404">
        <v>-1.170776</v>
      </c>
      <c r="AH404">
        <v>100.939638771426</v>
      </c>
      <c r="AI404">
        <v>90.664481797695103</v>
      </c>
      <c r="AJ404">
        <v>89.302981520295106</v>
      </c>
      <c r="AK404">
        <v>100.953897500997</v>
      </c>
      <c r="AL404">
        <v>78.866038190974905</v>
      </c>
      <c r="AM404">
        <v>87.878810862349098</v>
      </c>
      <c r="AN404">
        <v>1.00000005504236</v>
      </c>
    </row>
    <row r="405" spans="1:40" x14ac:dyDescent="0.25">
      <c r="A405" t="str">
        <f>"20190303162505340"</f>
        <v>20190303162505340</v>
      </c>
      <c r="B405" t="str">
        <f>"1551601505333413"</f>
        <v>1551601505333413</v>
      </c>
      <c r="C405" t="s">
        <v>40</v>
      </c>
      <c r="D405">
        <v>5.1509359999999997</v>
      </c>
      <c r="E405">
        <v>0.49086770000000002</v>
      </c>
      <c r="F405" t="s">
        <v>41</v>
      </c>
      <c r="G405">
        <v>-275.75319999999999</v>
      </c>
      <c r="H405" s="1">
        <v>-2.6728710000000001E-6</v>
      </c>
      <c r="I405">
        <v>364.94990000000001</v>
      </c>
      <c r="J405">
        <v>-382.19659999999999</v>
      </c>
      <c r="K405">
        <v>1.120776</v>
      </c>
      <c r="L405">
        <v>367.47190000000001</v>
      </c>
      <c r="M405">
        <v>0.99989899999999998</v>
      </c>
      <c r="N405">
        <v>-9.5014929999999997E-3</v>
      </c>
      <c r="O405">
        <v>-1.057019E-2</v>
      </c>
      <c r="P405">
        <v>0.9816608</v>
      </c>
      <c r="Q405">
        <v>0.18496589999999999</v>
      </c>
      <c r="R405">
        <v>-4.6149719999999998E-2</v>
      </c>
      <c r="S405">
        <v>3.057922</v>
      </c>
      <c r="T405">
        <v>-3.212392E-2</v>
      </c>
      <c r="U405">
        <v>-7.2357179999999993E-2</v>
      </c>
      <c r="V405">
        <v>3.5779449999999997E-2</v>
      </c>
      <c r="W405">
        <v>0.19428719999999999</v>
      </c>
      <c r="X405">
        <v>0.98029200000000005</v>
      </c>
      <c r="Y405">
        <v>1.308518E-2</v>
      </c>
      <c r="Z405">
        <v>-1.2030440000000001E-4</v>
      </c>
      <c r="AA405">
        <v>0.99991439999999998</v>
      </c>
      <c r="AB405">
        <v>26</v>
      </c>
      <c r="AC405">
        <v>106.4434</v>
      </c>
      <c r="AD405">
        <v>-1.1207786728710001</v>
      </c>
      <c r="AE405">
        <v>-2.52199999999999</v>
      </c>
      <c r="AF405">
        <v>1.39652660819453</v>
      </c>
      <c r="AG405">
        <v>-1.1207786728710001</v>
      </c>
      <c r="AH405">
        <v>106.45231669073399</v>
      </c>
      <c r="AI405">
        <v>90.603161984536001</v>
      </c>
      <c r="AJ405">
        <v>89.248391267446195</v>
      </c>
      <c r="AK405">
        <v>106.4673760371</v>
      </c>
      <c r="AL405">
        <v>78.796913696743005</v>
      </c>
      <c r="AM405">
        <v>87.909702526637304</v>
      </c>
      <c r="AN405">
        <v>1.0000000451950699</v>
      </c>
    </row>
    <row r="406" spans="1:40" x14ac:dyDescent="0.25">
      <c r="A406" t="str">
        <f>"20190303162505362"</f>
        <v>20190303162505362</v>
      </c>
      <c r="B406" t="str">
        <f>"1551601505352933"</f>
        <v>1551601505352933</v>
      </c>
      <c r="C406" t="s">
        <v>40</v>
      </c>
      <c r="D406">
        <v>5.1674179999999996</v>
      </c>
      <c r="E406">
        <v>0.49053550000000001</v>
      </c>
      <c r="F406" t="s">
        <v>41</v>
      </c>
      <c r="G406">
        <v>-261.1857</v>
      </c>
      <c r="H406" s="1">
        <v>-4.6291759999999998E-6</v>
      </c>
      <c r="I406">
        <v>364.73660000000001</v>
      </c>
      <c r="J406">
        <v>-381.9341</v>
      </c>
      <c r="K406">
        <v>1.120779</v>
      </c>
      <c r="L406">
        <v>367.46910000000003</v>
      </c>
      <c r="M406">
        <v>0.9998996</v>
      </c>
      <c r="N406">
        <v>-9.4410569999999992E-3</v>
      </c>
      <c r="O406">
        <v>-1.057311E-2</v>
      </c>
      <c r="P406">
        <v>0.98161580000000004</v>
      </c>
      <c r="Q406">
        <v>0.18543399999999999</v>
      </c>
      <c r="R406">
        <v>-4.5219679999999998E-2</v>
      </c>
      <c r="S406">
        <v>3.0581360000000002</v>
      </c>
      <c r="T406">
        <v>-2.8323890000000001E-2</v>
      </c>
      <c r="U406">
        <v>-6.9122310000000006E-2</v>
      </c>
      <c r="V406">
        <v>3.4846259999999997E-2</v>
      </c>
      <c r="W406">
        <v>0.19469600000000001</v>
      </c>
      <c r="X406">
        <v>0.98024449999999996</v>
      </c>
      <c r="Y406">
        <v>1.2023809999999999E-2</v>
      </c>
      <c r="Z406">
        <v>-1.143504E-4</v>
      </c>
      <c r="AA406">
        <v>0.99992769999999997</v>
      </c>
      <c r="AB406">
        <v>26</v>
      </c>
      <c r="AC406">
        <v>120.7484</v>
      </c>
      <c r="AD406">
        <v>-1.1207836291760001</v>
      </c>
      <c r="AE406">
        <v>-2.7325000000000101</v>
      </c>
      <c r="AF406">
        <v>1.4554789840787099</v>
      </c>
      <c r="AG406">
        <v>-1.1207836291760001</v>
      </c>
      <c r="AH406">
        <v>120.760143475896</v>
      </c>
      <c r="AI406">
        <v>90.531712391288096</v>
      </c>
      <c r="AJ406">
        <v>89.309467818959405</v>
      </c>
      <c r="AK406">
        <v>120.774114889473</v>
      </c>
      <c r="AL406">
        <v>78.773035110652302</v>
      </c>
      <c r="AM406">
        <v>87.964076047262495</v>
      </c>
      <c r="AN406">
        <v>1.00000003701611</v>
      </c>
    </row>
    <row r="407" spans="1:40" x14ac:dyDescent="0.25">
      <c r="A407" t="str">
        <f>"20190303162505385"</f>
        <v>20190303162505385</v>
      </c>
      <c r="B407" t="str">
        <f>"1551601505373429"</f>
        <v>1551601505373429</v>
      </c>
      <c r="C407" t="s">
        <v>40</v>
      </c>
      <c r="D407">
        <v>5.0741909999999999</v>
      </c>
      <c r="E407">
        <v>0.45937929999999999</v>
      </c>
      <c r="F407" t="s">
        <v>41</v>
      </c>
      <c r="G407">
        <v>-259.56959999999998</v>
      </c>
      <c r="H407" s="1">
        <v>-1.3613800000000001E-6</v>
      </c>
      <c r="I407">
        <v>364.99799999999999</v>
      </c>
      <c r="J407">
        <v>-381.68130000000002</v>
      </c>
      <c r="K407">
        <v>1.1207769999999999</v>
      </c>
      <c r="L407">
        <v>367.46640000000002</v>
      </c>
      <c r="M407">
        <v>0.99990000000000001</v>
      </c>
      <c r="N407">
        <v>-9.4004959999999995E-3</v>
      </c>
      <c r="O407">
        <v>-1.0574099999999999E-2</v>
      </c>
      <c r="P407">
        <v>0.98151120000000003</v>
      </c>
      <c r="Q407">
        <v>0.18618960000000001</v>
      </c>
      <c r="R407">
        <v>-4.4382280000000003E-2</v>
      </c>
      <c r="S407">
        <v>3.058624</v>
      </c>
      <c r="T407">
        <v>-2.8015020000000002E-2</v>
      </c>
      <c r="U407">
        <v>-6.1767580000000002E-2</v>
      </c>
      <c r="V407">
        <v>3.4008400000000001E-2</v>
      </c>
      <c r="W407">
        <v>0.19541059999999999</v>
      </c>
      <c r="X407">
        <v>0.98013170000000005</v>
      </c>
      <c r="Y407">
        <v>9.6160929999999992E-3</v>
      </c>
      <c r="Z407" s="1">
        <v>-9.1800599999999997E-5</v>
      </c>
      <c r="AA407">
        <v>0.99995369999999995</v>
      </c>
      <c r="AB407">
        <v>26</v>
      </c>
      <c r="AC407">
        <v>122.1117</v>
      </c>
      <c r="AD407">
        <v>-1.12077836138</v>
      </c>
      <c r="AE407">
        <v>-2.4683999999999702</v>
      </c>
      <c r="AF407">
        <v>1.1768846246861699</v>
      </c>
      <c r="AG407">
        <v>-1.12077836138</v>
      </c>
      <c r="AH407">
        <v>122.120691314174</v>
      </c>
      <c r="AI407">
        <v>90.525800213161205</v>
      </c>
      <c r="AJ407">
        <v>89.447854136195701</v>
      </c>
      <c r="AK407">
        <v>122.13150473406399</v>
      </c>
      <c r="AL407">
        <v>78.731289438642307</v>
      </c>
      <c r="AM407">
        <v>88.012760549886494</v>
      </c>
      <c r="AN407">
        <v>1.0000000116039001</v>
      </c>
    </row>
    <row r="408" spans="1:40" x14ac:dyDescent="0.25">
      <c r="A408" t="str">
        <f>"20190303162505407"</f>
        <v>20190303162505407</v>
      </c>
      <c r="B408" t="str">
        <f>"1551601505392950"</f>
        <v>1551601505392950</v>
      </c>
      <c r="C408" t="s">
        <v>40</v>
      </c>
      <c r="D408">
        <v>5.0570190000000004</v>
      </c>
      <c r="E408">
        <v>0.45751510000000001</v>
      </c>
      <c r="F408" t="s">
        <v>41</v>
      </c>
      <c r="G408">
        <v>-355.11829999999998</v>
      </c>
      <c r="H408" s="1">
        <v>-2.1675150000000002E-6</v>
      </c>
      <c r="I408">
        <v>369.1035</v>
      </c>
      <c r="J408">
        <v>-381.41370000000001</v>
      </c>
      <c r="K408">
        <v>1.120784</v>
      </c>
      <c r="L408">
        <v>367.46370000000002</v>
      </c>
      <c r="M408">
        <v>0.99990009999999996</v>
      </c>
      <c r="N408">
        <v>-9.3796550000000006E-3</v>
      </c>
      <c r="O408">
        <v>-1.0573870000000001E-2</v>
      </c>
      <c r="P408">
        <v>0.98144560000000003</v>
      </c>
      <c r="Q408">
        <v>0.1868814</v>
      </c>
      <c r="R408">
        <v>-4.2896820000000002E-2</v>
      </c>
      <c r="S408">
        <v>3.0898439999999998</v>
      </c>
      <c r="T408">
        <v>-0.13037029999999999</v>
      </c>
      <c r="U408">
        <v>0.19042970000000001</v>
      </c>
      <c r="V408">
        <v>3.2523719999999999E-2</v>
      </c>
      <c r="W408">
        <v>0.19608120000000001</v>
      </c>
      <c r="X408">
        <v>0.98004820000000004</v>
      </c>
      <c r="Y408">
        <v>-7.1981290000000003E-2</v>
      </c>
      <c r="Z408">
        <v>2.201045E-3</v>
      </c>
      <c r="AA408">
        <v>0.99740359999999995</v>
      </c>
      <c r="AB408">
        <v>26</v>
      </c>
      <c r="AC408">
        <v>26.295400000000001</v>
      </c>
      <c r="AD408">
        <v>-1.1207861675149999</v>
      </c>
      <c r="AE408">
        <v>1.6397999999999699</v>
      </c>
      <c r="AF408">
        <v>-1.91430043309687</v>
      </c>
      <c r="AG408">
        <v>-1.1207861675149999</v>
      </c>
      <c r="AH408">
        <v>26.229123872060999</v>
      </c>
      <c r="AI408">
        <v>92.440311674121205</v>
      </c>
      <c r="AJ408">
        <v>94.174261103907</v>
      </c>
      <c r="AK408">
        <v>26.3227591045727</v>
      </c>
      <c r="AL408">
        <v>78.692109388815197</v>
      </c>
      <c r="AM408">
        <v>88.099289135640205</v>
      </c>
      <c r="AN408">
        <v>1.0000000518396499</v>
      </c>
    </row>
    <row r="409" spans="1:40" x14ac:dyDescent="0.25">
      <c r="A409" t="str">
        <f>"20190303162505430"</f>
        <v>20190303162505430</v>
      </c>
      <c r="B409" t="str">
        <f>"1551601505423207"</f>
        <v>1551601505423207</v>
      </c>
      <c r="C409" t="s">
        <v>40</v>
      </c>
      <c r="D409">
        <v>4.9918680000000002</v>
      </c>
      <c r="E409">
        <v>0.45742899999999997</v>
      </c>
      <c r="F409" t="s">
        <v>41</v>
      </c>
      <c r="G409">
        <v>-357.74700000000001</v>
      </c>
      <c r="H409" s="1">
        <v>-1.044249E-6</v>
      </c>
      <c r="I409">
        <v>369.07859999999999</v>
      </c>
      <c r="J409">
        <v>-381.14589999999998</v>
      </c>
      <c r="K409">
        <v>1.1207959999999999</v>
      </c>
      <c r="L409">
        <v>367.46080000000001</v>
      </c>
      <c r="M409">
        <v>0.99990020000000002</v>
      </c>
      <c r="N409">
        <v>-9.3782090000000002E-3</v>
      </c>
      <c r="O409">
        <v>-1.057314E-2</v>
      </c>
      <c r="P409">
        <v>0.981209</v>
      </c>
      <c r="Q409">
        <v>0.18829899999999999</v>
      </c>
      <c r="R409">
        <v>-4.2103179999999997E-2</v>
      </c>
      <c r="S409">
        <v>3.093842</v>
      </c>
      <c r="T409">
        <v>-0.14651449999999999</v>
      </c>
      <c r="U409">
        <v>0.21112059999999999</v>
      </c>
      <c r="V409">
        <v>3.1733240000000003E-2</v>
      </c>
      <c r="W409">
        <v>0.19749539999999999</v>
      </c>
      <c r="X409">
        <v>0.9797901</v>
      </c>
      <c r="Y409">
        <v>-7.8513319999999998E-2</v>
      </c>
      <c r="Z409">
        <v>2.62561E-3</v>
      </c>
      <c r="AA409">
        <v>0.99690959999999995</v>
      </c>
      <c r="AB409">
        <v>26</v>
      </c>
      <c r="AC409">
        <v>23.398900000000001</v>
      </c>
      <c r="AD409">
        <v>-1.1207970442489901</v>
      </c>
      <c r="AE409">
        <v>1.6177999999999799</v>
      </c>
      <c r="AF409">
        <v>-1.8608710582349299</v>
      </c>
      <c r="AG409">
        <v>-1.1207970442489901</v>
      </c>
      <c r="AH409">
        <v>23.327219382582101</v>
      </c>
      <c r="AI409">
        <v>92.742062935628496</v>
      </c>
      <c r="AJ409">
        <v>94.560970226580693</v>
      </c>
      <c r="AK409">
        <v>23.428149547774598</v>
      </c>
      <c r="AL409">
        <v>78.609465493934394</v>
      </c>
      <c r="AM409">
        <v>88.144964535190596</v>
      </c>
      <c r="AN409">
        <v>1.0000000358000301</v>
      </c>
    </row>
    <row r="410" spans="1:40" x14ac:dyDescent="0.25">
      <c r="A410" t="str">
        <f>"20190303162505452"</f>
        <v>20190303162505452</v>
      </c>
      <c r="B410" t="str">
        <f>"1551601505443702"</f>
        <v>1551601505443702</v>
      </c>
      <c r="C410" t="s">
        <v>40</v>
      </c>
      <c r="D410">
        <v>4.8489319999999996</v>
      </c>
      <c r="E410">
        <v>0.4583565</v>
      </c>
      <c r="F410" t="s">
        <v>41</v>
      </c>
      <c r="G410">
        <v>-358.87490000000003</v>
      </c>
      <c r="H410" s="1">
        <v>-5.7500859999999996E-7</v>
      </c>
      <c r="I410">
        <v>368.99610000000001</v>
      </c>
      <c r="J410">
        <v>-380.8811</v>
      </c>
      <c r="K410">
        <v>1.1208039999999999</v>
      </c>
      <c r="L410">
        <v>367.45800000000003</v>
      </c>
      <c r="M410">
        <v>0.99990020000000002</v>
      </c>
      <c r="N410">
        <v>-9.3886790000000005E-3</v>
      </c>
      <c r="O410">
        <v>-1.0572E-2</v>
      </c>
      <c r="P410">
        <v>0.98100799999999999</v>
      </c>
      <c r="Q410">
        <v>0.1894006</v>
      </c>
      <c r="R410">
        <v>-4.1846670000000002E-2</v>
      </c>
      <c r="S410">
        <v>3.0964969999999998</v>
      </c>
      <c r="T410">
        <v>-0.15583159999999999</v>
      </c>
      <c r="U410">
        <v>0.21347050000000001</v>
      </c>
      <c r="V410">
        <v>3.147983E-2</v>
      </c>
      <c r="W410">
        <v>0.19860539999999999</v>
      </c>
      <c r="X410">
        <v>0.97957380000000005</v>
      </c>
      <c r="Y410">
        <v>-7.9192410000000005E-2</v>
      </c>
      <c r="Z410">
        <v>2.7935799999999999E-3</v>
      </c>
      <c r="AA410">
        <v>0.99685539999999995</v>
      </c>
      <c r="AB410">
        <v>26</v>
      </c>
      <c r="AC410">
        <v>22.0061999999999</v>
      </c>
      <c r="AD410">
        <v>-1.1208045750086</v>
      </c>
      <c r="AE410">
        <v>1.53809999999998</v>
      </c>
      <c r="AF410">
        <v>-1.7661147715047101</v>
      </c>
      <c r="AG410">
        <v>-1.1208045750086</v>
      </c>
      <c r="AH410">
        <v>21.932093327769898</v>
      </c>
      <c r="AI410">
        <v>92.916041420445694</v>
      </c>
      <c r="AJ410">
        <v>94.603894545455603</v>
      </c>
      <c r="AK410">
        <v>22.031615510885601</v>
      </c>
      <c r="AL410">
        <v>78.544581040098194</v>
      </c>
      <c r="AM410">
        <v>88.159361877966205</v>
      </c>
      <c r="AN410">
        <v>0.99999995712621303</v>
      </c>
    </row>
    <row r="411" spans="1:40" x14ac:dyDescent="0.25">
      <c r="A411" t="str">
        <f>"20190303162505475"</f>
        <v>20190303162505475</v>
      </c>
      <c r="B411" t="str">
        <f>"1551601505463223"</f>
        <v>1551601505463223</v>
      </c>
      <c r="C411" t="s">
        <v>40</v>
      </c>
      <c r="D411">
        <v>4.9481020000000004</v>
      </c>
      <c r="E411">
        <v>0.45876470000000003</v>
      </c>
      <c r="F411" t="s">
        <v>41</v>
      </c>
      <c r="G411">
        <v>-358.40530000000001</v>
      </c>
      <c r="H411" s="1">
        <v>-7.8372649999999905E-7</v>
      </c>
      <c r="I411">
        <v>368.95519999999999</v>
      </c>
      <c r="J411">
        <v>-380.60109999999997</v>
      </c>
      <c r="K411">
        <v>1.1208049999999901</v>
      </c>
      <c r="L411">
        <v>367.45499999999998</v>
      </c>
      <c r="M411">
        <v>0.99989989999999995</v>
      </c>
      <c r="N411">
        <v>-9.4060359999999996E-3</v>
      </c>
      <c r="O411">
        <v>-1.057053E-2</v>
      </c>
      <c r="P411">
        <v>0.98098859999999999</v>
      </c>
      <c r="Q411">
        <v>0.1895192</v>
      </c>
      <c r="R411">
        <v>-4.176034E-2</v>
      </c>
      <c r="S411">
        <v>3.0967099999999999</v>
      </c>
      <c r="T411">
        <v>-0.15442339999999999</v>
      </c>
      <c r="U411">
        <v>0.2062988</v>
      </c>
      <c r="V411">
        <v>3.1395159999999998E-2</v>
      </c>
      <c r="W411">
        <v>0.19874049999999999</v>
      </c>
      <c r="X411">
        <v>0.97954920000000001</v>
      </c>
      <c r="Y411">
        <v>-7.6893489999999995E-2</v>
      </c>
      <c r="Z411">
        <v>2.7032060000000001E-3</v>
      </c>
      <c r="AA411">
        <v>0.99703560000000002</v>
      </c>
      <c r="AB411">
        <v>26</v>
      </c>
      <c r="AC411">
        <v>22.195799999999899</v>
      </c>
      <c r="AD411">
        <v>-1.12080578372649</v>
      </c>
      <c r="AE411">
        <v>1.5002</v>
      </c>
      <c r="AF411">
        <v>-1.7303557953762001</v>
      </c>
      <c r="AG411">
        <v>-1.12080578372649</v>
      </c>
      <c r="AH411">
        <v>22.1225479732122</v>
      </c>
      <c r="AI411">
        <v>92.891508705168405</v>
      </c>
      <c r="AJ411">
        <v>94.472389146753997</v>
      </c>
      <c r="AK411">
        <v>22.218403759282499</v>
      </c>
      <c r="AL411">
        <v>78.536683887070396</v>
      </c>
      <c r="AM411">
        <v>88.164263105386894</v>
      </c>
      <c r="AN411">
        <v>1.0000000388161501</v>
      </c>
    </row>
    <row r="412" spans="1:40" x14ac:dyDescent="0.25">
      <c r="A412" t="str">
        <f>"20190303162505497"</f>
        <v>20190303162505497</v>
      </c>
      <c r="B412" t="str">
        <f>"1551601505482742"</f>
        <v>1551601505482742</v>
      </c>
      <c r="C412" t="s">
        <v>40</v>
      </c>
      <c r="D412">
        <v>4.9742009999999999</v>
      </c>
      <c r="E412">
        <v>0.45917760000000002</v>
      </c>
      <c r="F412" t="s">
        <v>41</v>
      </c>
      <c r="G412">
        <v>-358.67380000000003</v>
      </c>
      <c r="H412" s="1">
        <v>-6.8023609999999899E-7</v>
      </c>
      <c r="I412">
        <v>368.88929999999999</v>
      </c>
      <c r="J412">
        <v>-380.35039999999998</v>
      </c>
      <c r="K412">
        <v>1.1208039999999999</v>
      </c>
      <c r="L412">
        <v>367.45240000000001</v>
      </c>
      <c r="M412">
        <v>0.99989980000000001</v>
      </c>
      <c r="N412">
        <v>-9.4245479999999996E-3</v>
      </c>
      <c r="O412">
        <v>-1.057014E-2</v>
      </c>
      <c r="P412">
        <v>0.98117270000000001</v>
      </c>
      <c r="Q412">
        <v>0.1885878</v>
      </c>
      <c r="R412">
        <v>-4.1653870000000003E-2</v>
      </c>
      <c r="S412">
        <v>3.097321</v>
      </c>
      <c r="T412">
        <v>-0.15831719999999999</v>
      </c>
      <c r="U412">
        <v>0.20260619999999999</v>
      </c>
      <c r="V412">
        <v>3.128715E-2</v>
      </c>
      <c r="W412">
        <v>0.19782910000000001</v>
      </c>
      <c r="X412">
        <v>0.97973710000000003</v>
      </c>
      <c r="Y412">
        <v>-7.5692529999999994E-2</v>
      </c>
      <c r="Z412">
        <v>2.7284509999999998E-3</v>
      </c>
      <c r="AA412">
        <v>0.99712750000000006</v>
      </c>
      <c r="AB412">
        <v>26</v>
      </c>
      <c r="AC412">
        <v>21.676599999999901</v>
      </c>
      <c r="AD412">
        <v>-1.1208046802361</v>
      </c>
      <c r="AE412">
        <v>1.4368999999999801</v>
      </c>
      <c r="AF412">
        <v>-1.66153192950885</v>
      </c>
      <c r="AG412">
        <v>-1.1208046802361</v>
      </c>
      <c r="AH412">
        <v>21.602698218254599</v>
      </c>
      <c r="AI412">
        <v>92.961262120871595</v>
      </c>
      <c r="AJ412">
        <v>94.398140881427693</v>
      </c>
      <c r="AK412">
        <v>21.695470997261101</v>
      </c>
      <c r="AL412">
        <v>78.5899607972556</v>
      </c>
      <c r="AM412">
        <v>88.170924984177702</v>
      </c>
      <c r="AN412">
        <v>1.0000000118391701</v>
      </c>
    </row>
    <row r="413" spans="1:40" x14ac:dyDescent="0.25">
      <c r="A413" t="str">
        <f>"20190303162505521"</f>
        <v>20190303162505521</v>
      </c>
      <c r="B413" t="str">
        <f>"1551601505513974"</f>
        <v>1551601505513974</v>
      </c>
      <c r="C413" t="s">
        <v>40</v>
      </c>
      <c r="D413">
        <v>4.9553180000000001</v>
      </c>
      <c r="E413">
        <v>0.45932489999999998</v>
      </c>
      <c r="F413" t="s">
        <v>41</v>
      </c>
      <c r="G413">
        <v>-358.6343</v>
      </c>
      <c r="H413" s="1">
        <v>-7.0413049999999995E-7</v>
      </c>
      <c r="I413">
        <v>368.85</v>
      </c>
      <c r="J413">
        <v>-380.07229999999998</v>
      </c>
      <c r="K413">
        <v>1.120798</v>
      </c>
      <c r="L413">
        <v>367.44940000000003</v>
      </c>
      <c r="M413">
        <v>0.99989969999999995</v>
      </c>
      <c r="N413">
        <v>-9.4464779999999995E-3</v>
      </c>
      <c r="O413">
        <v>-1.056941E-2</v>
      </c>
      <c r="P413">
        <v>0.9813269</v>
      </c>
      <c r="Q413">
        <v>0.1878119</v>
      </c>
      <c r="R413">
        <v>-4.1529499999999997E-2</v>
      </c>
      <c r="S413">
        <v>3.0967410000000002</v>
      </c>
      <c r="T413">
        <v>-0.159827</v>
      </c>
      <c r="U413">
        <v>0.1993103</v>
      </c>
      <c r="V413">
        <v>3.116182E-2</v>
      </c>
      <c r="W413">
        <v>0.197076</v>
      </c>
      <c r="X413">
        <v>0.97989280000000001</v>
      </c>
      <c r="Y413">
        <v>-7.4646399999999904E-2</v>
      </c>
      <c r="Z413">
        <v>2.7211900000000001E-3</v>
      </c>
      <c r="AA413">
        <v>0.99720629999999999</v>
      </c>
      <c r="AB413">
        <v>26</v>
      </c>
      <c r="AC413">
        <v>21.437999999999899</v>
      </c>
      <c r="AD413">
        <v>-1.1207987041305001</v>
      </c>
      <c r="AE413">
        <v>1.4005999999999901</v>
      </c>
      <c r="AF413">
        <v>-1.62270236488735</v>
      </c>
      <c r="AG413">
        <v>-1.1207987041305001</v>
      </c>
      <c r="AH413">
        <v>21.363852687802598</v>
      </c>
      <c r="AI413">
        <v>92.994510369129202</v>
      </c>
      <c r="AJ413">
        <v>94.343589998286504</v>
      </c>
      <c r="AK413">
        <v>21.454686070094901</v>
      </c>
      <c r="AL413">
        <v>78.633976152792798</v>
      </c>
      <c r="AM413">
        <v>88.178536214314803</v>
      </c>
      <c r="AN413">
        <v>0.99999995414677501</v>
      </c>
    </row>
    <row r="414" spans="1:40" x14ac:dyDescent="0.25">
      <c r="A414" t="str">
        <f>"20190303162505543"</f>
        <v>20190303162505543</v>
      </c>
      <c r="B414" t="str">
        <f>"1551601505533494"</f>
        <v>1551601505533494</v>
      </c>
      <c r="C414" t="s">
        <v>40</v>
      </c>
      <c r="D414">
        <v>4.9159259999999998</v>
      </c>
      <c r="E414">
        <v>0.4595245</v>
      </c>
      <c r="F414" t="s">
        <v>41</v>
      </c>
      <c r="G414">
        <v>-359.41180000000003</v>
      </c>
      <c r="H414" s="1">
        <v>-4.1113800000000001E-7</v>
      </c>
      <c r="I414">
        <v>368.77100000000002</v>
      </c>
      <c r="J414">
        <v>-379.81779999999998</v>
      </c>
      <c r="K414">
        <v>1.120795</v>
      </c>
      <c r="L414">
        <v>367.4468</v>
      </c>
      <c r="M414">
        <v>0.99989939999999999</v>
      </c>
      <c r="N414">
        <v>-9.4667380000000006E-3</v>
      </c>
      <c r="O414">
        <v>-1.056879E-2</v>
      </c>
      <c r="P414">
        <v>0.98143670000000005</v>
      </c>
      <c r="Q414">
        <v>0.1871536</v>
      </c>
      <c r="R414">
        <v>-4.1906329999999999E-2</v>
      </c>
      <c r="S414">
        <v>3.0975950000000001</v>
      </c>
      <c r="T414">
        <v>-0.16803860000000001</v>
      </c>
      <c r="U414">
        <v>0.19815060000000001</v>
      </c>
      <c r="V414">
        <v>3.1537860000000001E-2</v>
      </c>
      <c r="W414">
        <v>0.1964389</v>
      </c>
      <c r="X414">
        <v>0.98000869999999995</v>
      </c>
      <c r="Y414">
        <v>-7.4244480000000002E-2</v>
      </c>
      <c r="Z414">
        <v>2.8348639999999999E-3</v>
      </c>
      <c r="AA414">
        <v>0.99723600000000001</v>
      </c>
      <c r="AB414">
        <v>26</v>
      </c>
      <c r="AC414">
        <v>20.405999999999899</v>
      </c>
      <c r="AD414">
        <v>-1.1207954111380001</v>
      </c>
      <c r="AE414">
        <v>1.3241999999999601</v>
      </c>
      <c r="AF414">
        <v>-1.53519057478565</v>
      </c>
      <c r="AG414">
        <v>-1.1207954111380001</v>
      </c>
      <c r="AH414">
        <v>20.329791998045799</v>
      </c>
      <c r="AI414">
        <v>93.146620477823006</v>
      </c>
      <c r="AJ414">
        <v>94.318456173260003</v>
      </c>
      <c r="AK414">
        <v>20.4184581968949</v>
      </c>
      <c r="AL414">
        <v>78.671207204571601</v>
      </c>
      <c r="AM414">
        <v>88.156788944294604</v>
      </c>
      <c r="AN414">
        <v>0.99999996506113897</v>
      </c>
    </row>
    <row r="415" spans="1:40" x14ac:dyDescent="0.25">
      <c r="A415" t="str">
        <f>"20190303162505565"</f>
        <v>20190303162505565</v>
      </c>
      <c r="B415" t="str">
        <f>"1551601505553014"</f>
        <v>1551601505553014</v>
      </c>
      <c r="C415" t="s">
        <v>40</v>
      </c>
      <c r="D415">
        <v>4.9196519999999904</v>
      </c>
      <c r="E415">
        <v>0.4596092</v>
      </c>
      <c r="F415" t="s">
        <v>41</v>
      </c>
      <c r="G415">
        <v>-359.69779999999997</v>
      </c>
      <c r="H415" s="1">
        <v>-3.2888049999999998E-7</v>
      </c>
      <c r="I415">
        <v>368.71440000000001</v>
      </c>
      <c r="J415">
        <v>-379.54559999999998</v>
      </c>
      <c r="K415">
        <v>1.1207879999999999</v>
      </c>
      <c r="L415">
        <v>367.44389999999999</v>
      </c>
      <c r="M415">
        <v>0.99989919999999999</v>
      </c>
      <c r="N415">
        <v>-9.4878410000000003E-3</v>
      </c>
      <c r="O415">
        <v>-1.056841E-2</v>
      </c>
      <c r="P415">
        <v>0.98136469999999998</v>
      </c>
      <c r="Q415">
        <v>0.18744710000000001</v>
      </c>
      <c r="R415">
        <v>-4.2272659999999997E-2</v>
      </c>
      <c r="S415">
        <v>3.0979920000000001</v>
      </c>
      <c r="T415">
        <v>-0.17257449999999999</v>
      </c>
      <c r="U415">
        <v>0.19519039999999999</v>
      </c>
      <c r="V415">
        <v>3.1905530000000001E-2</v>
      </c>
      <c r="W415">
        <v>0.1967525</v>
      </c>
      <c r="X415">
        <v>0.97993390000000002</v>
      </c>
      <c r="Y415">
        <v>-7.3281460000000007E-2</v>
      </c>
      <c r="Z415">
        <v>2.8734099999999999E-3</v>
      </c>
      <c r="AA415">
        <v>0.99730719999999995</v>
      </c>
      <c r="AB415">
        <v>27</v>
      </c>
      <c r="AC415">
        <v>19.847799999999999</v>
      </c>
      <c r="AD415">
        <v>-1.1207883288804901</v>
      </c>
      <c r="AE415">
        <v>1.2705000000000199</v>
      </c>
      <c r="AF415">
        <v>-1.4755122962259499</v>
      </c>
      <c r="AG415">
        <v>-1.1207883288804901</v>
      </c>
      <c r="AH415">
        <v>19.770477559749299</v>
      </c>
      <c r="AI415">
        <v>93.235645296743698</v>
      </c>
      <c r="AJ415">
        <v>94.268191653467397</v>
      </c>
      <c r="AK415">
        <v>19.857116758356899</v>
      </c>
      <c r="AL415">
        <v>78.652881774171604</v>
      </c>
      <c r="AM415">
        <v>88.135173543273794</v>
      </c>
      <c r="AN415">
        <v>0.99999997873502</v>
      </c>
    </row>
    <row r="416" spans="1:40" x14ac:dyDescent="0.25">
      <c r="A416" t="str">
        <f>"20190303162505585"</f>
        <v>20190303162505585</v>
      </c>
      <c r="B416" t="str">
        <f>"1551601505573510"</f>
        <v>1551601505573510</v>
      </c>
      <c r="C416" t="s">
        <v>40</v>
      </c>
      <c r="D416">
        <v>4.9138299999999999</v>
      </c>
      <c r="E416">
        <v>0.45974120000000002</v>
      </c>
      <c r="F416" t="s">
        <v>41</v>
      </c>
      <c r="G416">
        <v>-359.43360000000001</v>
      </c>
      <c r="H416" s="1">
        <v>-4.2260170000000001E-7</v>
      </c>
      <c r="I416">
        <v>368.7002</v>
      </c>
      <c r="J416">
        <v>-379.30799999999999</v>
      </c>
      <c r="K416">
        <v>1.1207879999999999</v>
      </c>
      <c r="L416">
        <v>367.44139999999999</v>
      </c>
      <c r="M416">
        <v>0.99989899999999998</v>
      </c>
      <c r="N416">
        <v>-9.5066330000000004E-3</v>
      </c>
      <c r="O416">
        <v>-1.0568019999999999E-2</v>
      </c>
      <c r="P416">
        <v>0.98145539999999998</v>
      </c>
      <c r="Q416">
        <v>0.18684799999999999</v>
      </c>
      <c r="R416">
        <v>-4.2815690000000003E-2</v>
      </c>
      <c r="S416">
        <v>3.098328</v>
      </c>
      <c r="T416">
        <v>-0.17266020000000001</v>
      </c>
      <c r="U416">
        <v>0.19354250000000001</v>
      </c>
      <c r="V416">
        <v>3.2448079999999997E-2</v>
      </c>
      <c r="W416">
        <v>0.19617280000000001</v>
      </c>
      <c r="X416">
        <v>0.98003229999999997</v>
      </c>
      <c r="Y416">
        <v>-7.2746740000000004E-2</v>
      </c>
      <c r="Z416">
        <v>2.8575179999999999E-3</v>
      </c>
      <c r="AA416">
        <v>0.99734630000000002</v>
      </c>
      <c r="AB416">
        <v>27</v>
      </c>
      <c r="AC416">
        <v>19.874400000000001</v>
      </c>
      <c r="AD416">
        <v>-1.1207884226017</v>
      </c>
      <c r="AE416">
        <v>1.2587999999999999</v>
      </c>
      <c r="AF416">
        <v>-1.4641345522701099</v>
      </c>
      <c r="AG416">
        <v>-1.1207884226017</v>
      </c>
      <c r="AH416">
        <v>19.7972779960003</v>
      </c>
      <c r="AI416">
        <v>93.231435615117704</v>
      </c>
      <c r="AJ416">
        <v>94.229686835691993</v>
      </c>
      <c r="AK416">
        <v>19.882959355345101</v>
      </c>
      <c r="AL416">
        <v>78.686756291574</v>
      </c>
      <c r="AM416">
        <v>88.103675620575402</v>
      </c>
      <c r="AN416">
        <v>0.99999997719940703</v>
      </c>
    </row>
    <row r="417" spans="1:40" x14ac:dyDescent="0.25">
      <c r="A417" t="str">
        <f>"20190303162505633"</f>
        <v>20190303162505633</v>
      </c>
      <c r="B417" t="str">
        <f>"1551601505623285"</f>
        <v>1551601505623285</v>
      </c>
      <c r="C417" t="s">
        <v>40</v>
      </c>
      <c r="D417">
        <v>4.9589990000000004</v>
      </c>
      <c r="E417">
        <v>0.4602695</v>
      </c>
      <c r="F417" t="s">
        <v>41</v>
      </c>
      <c r="G417">
        <v>-359.58789999999999</v>
      </c>
      <c r="H417" s="1">
        <v>-3.8301300000000002E-7</v>
      </c>
      <c r="I417">
        <v>368.65159999999997</v>
      </c>
      <c r="J417">
        <v>-378.74689999999998</v>
      </c>
      <c r="K417">
        <v>1.120784</v>
      </c>
      <c r="L417">
        <v>367.43549999999999</v>
      </c>
      <c r="M417">
        <v>0.99989859999999997</v>
      </c>
      <c r="N417">
        <v>-9.5605159999999998E-3</v>
      </c>
      <c r="O417">
        <v>-1.0567440000000001E-2</v>
      </c>
      <c r="P417">
        <v>0.9818694</v>
      </c>
      <c r="Q417">
        <v>0.1845724</v>
      </c>
      <c r="R417">
        <v>-4.3191109999999998E-2</v>
      </c>
      <c r="S417">
        <v>3.098541</v>
      </c>
      <c r="T417">
        <v>-0.17610339999999999</v>
      </c>
      <c r="U417">
        <v>0.19015499999999999</v>
      </c>
      <c r="V417">
        <v>3.2819510000000003E-2</v>
      </c>
      <c r="W417">
        <v>0.19395409999999999</v>
      </c>
      <c r="X417">
        <v>0.98046149999999999</v>
      </c>
      <c r="Y417">
        <v>-7.1652199999999999E-2</v>
      </c>
      <c r="Z417">
        <v>2.8744920000000002E-3</v>
      </c>
      <c r="AA417">
        <v>0.99742560000000002</v>
      </c>
      <c r="AB417">
        <v>27</v>
      </c>
      <c r="AC417">
        <v>19.158999999999899</v>
      </c>
      <c r="AD417">
        <v>-1.120784383013</v>
      </c>
      <c r="AE417">
        <v>1.21609999999998</v>
      </c>
      <c r="AF417">
        <v>-1.41368447741545</v>
      </c>
      <c r="AG417">
        <v>-1.120784383013</v>
      </c>
      <c r="AH417">
        <v>19.080045794743</v>
      </c>
      <c r="AI417">
        <v>93.352589911165595</v>
      </c>
      <c r="AJ417">
        <v>94.237433368824199</v>
      </c>
      <c r="AK417">
        <v>19.1651456807503</v>
      </c>
      <c r="AL417">
        <v>78.816368868134205</v>
      </c>
      <c r="AM417">
        <v>88.082823692722997</v>
      </c>
      <c r="AN417">
        <v>1.00000003306284</v>
      </c>
    </row>
    <row r="418" spans="1:40" x14ac:dyDescent="0.25">
      <c r="A418" t="str">
        <f>"20190303162505653"</f>
        <v>20190303162505653</v>
      </c>
      <c r="B418" t="str">
        <f>"1551601505642805"</f>
        <v>1551601505642805</v>
      </c>
      <c r="C418" t="s">
        <v>40</v>
      </c>
      <c r="D418">
        <v>4.9795889999999998</v>
      </c>
      <c r="E418">
        <v>0.46044750000000001</v>
      </c>
      <c r="F418" t="s">
        <v>41</v>
      </c>
      <c r="G418">
        <v>-359.61590000000001</v>
      </c>
      <c r="H418" s="1">
        <v>-3.9451439999999998E-7</v>
      </c>
      <c r="I418">
        <v>368.57249999999999</v>
      </c>
      <c r="J418">
        <v>-378.49459999999999</v>
      </c>
      <c r="K418">
        <v>1.1207929999999999</v>
      </c>
      <c r="L418">
        <v>367.43279999999999</v>
      </c>
      <c r="M418">
        <v>0.99989839999999997</v>
      </c>
      <c r="N418">
        <v>-9.5864650000000006E-3</v>
      </c>
      <c r="O418">
        <v>-1.056733E-2</v>
      </c>
      <c r="P418">
        <v>0.98201910000000003</v>
      </c>
      <c r="Q418">
        <v>0.18381259999999999</v>
      </c>
      <c r="R418">
        <v>-4.3028200000000003E-2</v>
      </c>
      <c r="S418">
        <v>3.0975950000000001</v>
      </c>
      <c r="T418">
        <v>-0.1814712</v>
      </c>
      <c r="U418">
        <v>0.18411250000000001</v>
      </c>
      <c r="V418">
        <v>3.2655080000000003E-2</v>
      </c>
      <c r="W418">
        <v>0.193221</v>
      </c>
      <c r="X418">
        <v>0.98061169999999998</v>
      </c>
      <c r="Y418">
        <v>-6.9727040000000004E-2</v>
      </c>
      <c r="Z418">
        <v>2.8906819999999999E-3</v>
      </c>
      <c r="AA418">
        <v>0.9975619</v>
      </c>
      <c r="AB418">
        <v>27</v>
      </c>
      <c r="AC418">
        <v>18.878699999999899</v>
      </c>
      <c r="AD418">
        <v>-1.1207933945144</v>
      </c>
      <c r="AE418">
        <v>1.1396999999999999</v>
      </c>
      <c r="AF418">
        <v>-1.3344566253709</v>
      </c>
      <c r="AG418">
        <v>-1.1207933945144</v>
      </c>
      <c r="AH418">
        <v>18.799581702387499</v>
      </c>
      <c r="AI418">
        <v>93.403278228113706</v>
      </c>
      <c r="AJ418">
        <v>94.060234149783</v>
      </c>
      <c r="AK418">
        <v>18.880180732793001</v>
      </c>
      <c r="AL418">
        <v>78.859182018445196</v>
      </c>
      <c r="AM418">
        <v>88.092713847602596</v>
      </c>
      <c r="AN418">
        <v>1.00000000763384</v>
      </c>
    </row>
    <row r="419" spans="1:40" x14ac:dyDescent="0.25">
      <c r="A419" t="str">
        <f>"20190303162505675"</f>
        <v>20190303162505675</v>
      </c>
      <c r="B419" t="str">
        <f>"1551601505663302"</f>
        <v>1551601505663302</v>
      </c>
      <c r="C419" t="s">
        <v>40</v>
      </c>
      <c r="D419">
        <v>4.8483589999999896</v>
      </c>
      <c r="E419">
        <v>0.46063710000000002</v>
      </c>
      <c r="F419" t="s">
        <v>41</v>
      </c>
      <c r="G419">
        <v>-359.2321</v>
      </c>
      <c r="H419" s="1">
        <v>-5.2604950000000001E-7</v>
      </c>
      <c r="I419">
        <v>368.56909999999999</v>
      </c>
      <c r="J419">
        <v>-378.22640000000001</v>
      </c>
      <c r="K419">
        <v>1.120789</v>
      </c>
      <c r="L419">
        <v>367.43</v>
      </c>
      <c r="M419">
        <v>0.99989799999999995</v>
      </c>
      <c r="N419">
        <v>-9.6159880000000007E-3</v>
      </c>
      <c r="O419">
        <v>-1.056699E-2</v>
      </c>
      <c r="P419">
        <v>0.98217069999999995</v>
      </c>
      <c r="Q419">
        <v>0.18315319999999999</v>
      </c>
      <c r="R419">
        <v>-4.2378430000000002E-2</v>
      </c>
      <c r="S419">
        <v>3.0966490000000002</v>
      </c>
      <c r="T419">
        <v>-0.180178</v>
      </c>
      <c r="U419">
        <v>0.18267820000000001</v>
      </c>
      <c r="V419">
        <v>3.200393E-2</v>
      </c>
      <c r="W419">
        <v>0.19259219999999999</v>
      </c>
      <c r="X419">
        <v>0.98075679999999998</v>
      </c>
      <c r="Y419">
        <v>-6.9287109999999999E-2</v>
      </c>
      <c r="Z419">
        <v>2.8584159999999999E-3</v>
      </c>
      <c r="AA419">
        <v>0.9975927</v>
      </c>
      <c r="AB419">
        <v>27</v>
      </c>
      <c r="AC419">
        <v>18.994299999999999</v>
      </c>
      <c r="AD419">
        <v>-1.1207895260495</v>
      </c>
      <c r="AE419">
        <v>1.13909999999998</v>
      </c>
      <c r="AF419">
        <v>-1.3351262806431099</v>
      </c>
      <c r="AG419">
        <v>-1.1207895260495</v>
      </c>
      <c r="AH419">
        <v>18.915578095182401</v>
      </c>
      <c r="AI419">
        <v>93.382540236519006</v>
      </c>
      <c r="AJ419">
        <v>94.037436356193993</v>
      </c>
      <c r="AK419">
        <v>18.995731784322199</v>
      </c>
      <c r="AL419">
        <v>78.895898656073996</v>
      </c>
      <c r="AM419">
        <v>88.130994686203394</v>
      </c>
      <c r="AN419">
        <v>0.99999995389126095</v>
      </c>
    </row>
    <row r="420" spans="1:40" x14ac:dyDescent="0.25">
      <c r="A420" t="str">
        <f>"20190303162505700"</f>
        <v>20190303162505700</v>
      </c>
      <c r="B420" t="str">
        <f>"1551601505693558"</f>
        <v>1551601505693558</v>
      </c>
      <c r="C420" t="s">
        <v>40</v>
      </c>
      <c r="D420">
        <v>4.8458160000000001</v>
      </c>
      <c r="E420">
        <v>0.48432570000000003</v>
      </c>
      <c r="F420" t="s">
        <v>41</v>
      </c>
      <c r="G420">
        <v>-358.93430000000001</v>
      </c>
      <c r="H420" s="1">
        <v>-6.2808779999999997E-7</v>
      </c>
      <c r="I420">
        <v>368.56639999999999</v>
      </c>
      <c r="J420">
        <v>-377.9468</v>
      </c>
      <c r="K420">
        <v>1.1207819999999999</v>
      </c>
      <c r="L420">
        <v>367.42700000000002</v>
      </c>
      <c r="M420">
        <v>0.9998977</v>
      </c>
      <c r="N420">
        <v>-9.6497820000000008E-3</v>
      </c>
      <c r="O420">
        <v>-1.056679E-2</v>
      </c>
      <c r="P420">
        <v>0.98241350000000005</v>
      </c>
      <c r="Q420">
        <v>0.18199679999999999</v>
      </c>
      <c r="R420">
        <v>-4.172741E-2</v>
      </c>
      <c r="S420">
        <v>3.0958860000000001</v>
      </c>
      <c r="T420">
        <v>-0.17985670000000001</v>
      </c>
      <c r="U420">
        <v>0.18237300000000001</v>
      </c>
      <c r="V420">
        <v>3.1350379999999997E-2</v>
      </c>
      <c r="W420">
        <v>0.191471</v>
      </c>
      <c r="X420">
        <v>0.98099740000000002</v>
      </c>
      <c r="Y420">
        <v>-6.9203920000000002E-2</v>
      </c>
      <c r="Z420">
        <v>2.8523810000000002E-3</v>
      </c>
      <c r="AA420">
        <v>0.99759850000000005</v>
      </c>
      <c r="AB420">
        <v>27</v>
      </c>
      <c r="AC420">
        <v>19.0124999999999</v>
      </c>
      <c r="AD420">
        <v>-1.1207826280877999</v>
      </c>
      <c r="AE420">
        <v>1.13940000000002</v>
      </c>
      <c r="AF420">
        <v>-1.3356220334611399</v>
      </c>
      <c r="AG420">
        <v>-1.1207826280877999</v>
      </c>
      <c r="AH420">
        <v>18.9338370077155</v>
      </c>
      <c r="AI420">
        <v>93.379274999891507</v>
      </c>
      <c r="AJ420">
        <v>94.035048472431598</v>
      </c>
      <c r="AK420">
        <v>19.013948136839598</v>
      </c>
      <c r="AL420">
        <v>78.961356847101598</v>
      </c>
      <c r="AM420">
        <v>88.169583998996302</v>
      </c>
      <c r="AN420">
        <v>0.99999994448694995</v>
      </c>
    </row>
    <row r="421" spans="1:40" x14ac:dyDescent="0.25">
      <c r="A421" t="str">
        <f>"20190303162505722"</f>
        <v>20190303162505722</v>
      </c>
      <c r="B421" t="str">
        <f>"1551601505713079"</f>
        <v>1551601505713079</v>
      </c>
      <c r="C421" t="s">
        <v>40</v>
      </c>
      <c r="D421">
        <v>4.8047129999999996</v>
      </c>
      <c r="E421">
        <v>0.51822330000000005</v>
      </c>
      <c r="F421" t="s">
        <v>42</v>
      </c>
      <c r="G421">
        <v>-377.00229999999999</v>
      </c>
      <c r="H421">
        <v>1.0082469999999999</v>
      </c>
      <c r="I421">
        <v>367.42500000000001</v>
      </c>
      <c r="J421">
        <v>-377.66879999999998</v>
      </c>
      <c r="K421">
        <v>1.120787</v>
      </c>
      <c r="L421">
        <v>367.42410000000001</v>
      </c>
      <c r="M421">
        <v>0.99989729999999999</v>
      </c>
      <c r="N421">
        <v>-9.6844730000000007E-3</v>
      </c>
      <c r="O421">
        <v>-1.056648E-2</v>
      </c>
      <c r="P421">
        <v>0.98262749999999999</v>
      </c>
      <c r="Q421">
        <v>0.1810322</v>
      </c>
      <c r="R421">
        <v>-4.0873090000000001E-2</v>
      </c>
      <c r="S421">
        <v>3.1224059999999998</v>
      </c>
      <c r="T421">
        <v>-0.37213309999999999</v>
      </c>
      <c r="U421">
        <v>-5.9204100000000001E-3</v>
      </c>
      <c r="V421">
        <v>3.0494210000000001E-2</v>
      </c>
      <c r="W421">
        <v>0.1905424</v>
      </c>
      <c r="X421">
        <v>0.9812052</v>
      </c>
      <c r="Y421">
        <v>-8.5424449999999992E-3</v>
      </c>
      <c r="Z421">
        <v>1.7016430000000001E-3</v>
      </c>
      <c r="AA421">
        <v>0.99996209999999996</v>
      </c>
      <c r="AB421">
        <v>27</v>
      </c>
      <c r="AC421">
        <v>0.66649999999998499</v>
      </c>
      <c r="AD421">
        <v>-0.11254</v>
      </c>
      <c r="AE421">
        <v>9.0000000000145497E-4</v>
      </c>
      <c r="AF421">
        <v>-7.7226579370092202E-3</v>
      </c>
      <c r="AG421">
        <v>-0.11254</v>
      </c>
      <c r="AH421">
        <v>0.64797874411624001</v>
      </c>
      <c r="AI421">
        <v>99.852078668840505</v>
      </c>
      <c r="AJ421">
        <v>90.682822951213495</v>
      </c>
      <c r="AK421">
        <v>0.65772436770433795</v>
      </c>
      <c r="AL421">
        <v>79.015559981321204</v>
      </c>
      <c r="AM421">
        <v>88.219916339951695</v>
      </c>
      <c r="AN421">
        <v>0.99999997377416106</v>
      </c>
    </row>
    <row r="422" spans="1:40" x14ac:dyDescent="0.25">
      <c r="A422" t="str">
        <f>"20190303162505744"</f>
        <v>20190303162505744</v>
      </c>
      <c r="B422" t="str">
        <f>"1551601505733573"</f>
        <v>1551601505733573</v>
      </c>
      <c r="C422" t="s">
        <v>40</v>
      </c>
      <c r="D422">
        <v>4.73081</v>
      </c>
      <c r="E422">
        <v>0.51947579999999904</v>
      </c>
      <c r="F422" t="s">
        <v>42</v>
      </c>
      <c r="G422">
        <v>-376.81529999999998</v>
      </c>
      <c r="H422">
        <v>0.90093109999999998</v>
      </c>
      <c r="I422">
        <v>367.35</v>
      </c>
      <c r="J422">
        <v>-377.41149999999999</v>
      </c>
      <c r="K422">
        <v>1.1207860000000001</v>
      </c>
      <c r="L422">
        <v>367.42140000000001</v>
      </c>
      <c r="M422">
        <v>0.99989700000000004</v>
      </c>
      <c r="N422">
        <v>-9.715553E-3</v>
      </c>
      <c r="O422">
        <v>-1.0566280000000001E-2</v>
      </c>
      <c r="P422">
        <v>0.98283739999999997</v>
      </c>
      <c r="Q422">
        <v>0.1800118</v>
      </c>
      <c r="R422">
        <v>-4.0330779999999997E-2</v>
      </c>
      <c r="S422">
        <v>3.1930540000000001</v>
      </c>
      <c r="T422">
        <v>-0.82253589999999999</v>
      </c>
      <c r="U422">
        <v>-0.2766113</v>
      </c>
      <c r="V422">
        <v>2.9949819999999999E-2</v>
      </c>
      <c r="W422">
        <v>0.18955459999999999</v>
      </c>
      <c r="X422">
        <v>0.98141330000000004</v>
      </c>
      <c r="Y422">
        <v>7.3612179999999999E-2</v>
      </c>
      <c r="Z422">
        <v>-7.1044460000000004E-3</v>
      </c>
      <c r="AA422">
        <v>0.99726159999999997</v>
      </c>
      <c r="AB422">
        <v>27</v>
      </c>
      <c r="AC422">
        <v>0.59620000000001006</v>
      </c>
      <c r="AD422">
        <v>-0.21985489999999999</v>
      </c>
      <c r="AE422">
        <v>-7.1399999999982797E-2</v>
      </c>
      <c r="AF422">
        <v>5.7400858215500498E-2</v>
      </c>
      <c r="AG422">
        <v>-0.21985489999999999</v>
      </c>
      <c r="AH422">
        <v>0.52635700020987697</v>
      </c>
      <c r="AI422">
        <v>112.549682509843</v>
      </c>
      <c r="AJ422">
        <v>83.776312237526597</v>
      </c>
      <c r="AK422">
        <v>0.57330857942980995</v>
      </c>
      <c r="AL422">
        <v>79.073207707336394</v>
      </c>
      <c r="AM422">
        <v>88.252045408636207</v>
      </c>
      <c r="AN422">
        <v>1.0000000017580399</v>
      </c>
    </row>
    <row r="423" spans="1:40" x14ac:dyDescent="0.25">
      <c r="A423" t="str">
        <f>"20190303162505764"</f>
        <v>20190303162505764</v>
      </c>
      <c r="B423" t="str">
        <f>"1551601505753094"</f>
        <v>1551601505753094</v>
      </c>
      <c r="C423" t="s">
        <v>40</v>
      </c>
      <c r="D423">
        <v>4.7616489999999896</v>
      </c>
      <c r="E423">
        <v>0.51929190000000003</v>
      </c>
      <c r="F423" t="s">
        <v>42</v>
      </c>
      <c r="G423">
        <v>-376.5772</v>
      </c>
      <c r="H423">
        <v>0.89456829999999998</v>
      </c>
      <c r="I423">
        <v>367.34690000000001</v>
      </c>
      <c r="J423">
        <v>-377.15480000000002</v>
      </c>
      <c r="K423">
        <v>1.1207830000000001</v>
      </c>
      <c r="L423">
        <v>367.4187</v>
      </c>
      <c r="M423">
        <v>0.99989680000000003</v>
      </c>
      <c r="N423">
        <v>-9.7449040000000004E-3</v>
      </c>
      <c r="O423">
        <v>-1.056606E-2</v>
      </c>
      <c r="P423">
        <v>0.9831375</v>
      </c>
      <c r="Q423">
        <v>0.17850469999999999</v>
      </c>
      <c r="R423">
        <v>-3.9714399999999997E-2</v>
      </c>
      <c r="S423">
        <v>3.1995239999999998</v>
      </c>
      <c r="T423">
        <v>-0.86749509999999996</v>
      </c>
      <c r="U423">
        <v>-0.28527829999999998</v>
      </c>
      <c r="V423">
        <v>2.9330370000000001E-2</v>
      </c>
      <c r="W423">
        <v>0.18807960000000001</v>
      </c>
      <c r="X423">
        <v>0.98171569999999997</v>
      </c>
      <c r="Y423">
        <v>7.5815140000000003E-2</v>
      </c>
      <c r="Z423">
        <v>-7.7463369999999998E-3</v>
      </c>
      <c r="AA423">
        <v>0.99709179999999997</v>
      </c>
      <c r="AB423">
        <v>27</v>
      </c>
      <c r="AC423">
        <v>0.57760000000001799</v>
      </c>
      <c r="AD423">
        <v>-0.22621469999999999</v>
      </c>
      <c r="AE423">
        <v>-7.1799999999996006E-2</v>
      </c>
      <c r="AF423">
        <v>5.7071897183683697E-2</v>
      </c>
      <c r="AG423">
        <v>-0.22621469999999999</v>
      </c>
      <c r="AH423">
        <v>0.50243274399863802</v>
      </c>
      <c r="AI423">
        <v>114.101922072454</v>
      </c>
      <c r="AJ423">
        <v>83.519485646610093</v>
      </c>
      <c r="AK423">
        <v>0.55395753825201799</v>
      </c>
      <c r="AL423">
        <v>79.1592665556757</v>
      </c>
      <c r="AM423">
        <v>88.2887034751935</v>
      </c>
      <c r="AN423">
        <v>0.99999996108349198</v>
      </c>
    </row>
    <row r="424" spans="1:40" x14ac:dyDescent="0.25">
      <c r="A424" t="str">
        <f>"20190303162505788"</f>
        <v>20190303162505788</v>
      </c>
      <c r="B424" t="str">
        <f>"1551601505783350"</f>
        <v>1551601505783350</v>
      </c>
      <c r="C424" t="s">
        <v>40</v>
      </c>
      <c r="D424">
        <v>4.7375540000000003</v>
      </c>
      <c r="E424">
        <v>0.51910920000000005</v>
      </c>
      <c r="F424" t="s">
        <v>42</v>
      </c>
      <c r="G424">
        <v>-376.33569999999997</v>
      </c>
      <c r="H424">
        <v>0.89585539999999997</v>
      </c>
      <c r="I424">
        <v>367.34620000000001</v>
      </c>
      <c r="J424">
        <v>-376.8732</v>
      </c>
      <c r="K424">
        <v>1.120771</v>
      </c>
      <c r="L424">
        <v>367.41570000000002</v>
      </c>
      <c r="M424">
        <v>0.99989640000000002</v>
      </c>
      <c r="N424">
        <v>-9.7749889999999996E-3</v>
      </c>
      <c r="O424">
        <v>-1.0565730000000001E-2</v>
      </c>
      <c r="P424">
        <v>0.98343119999999995</v>
      </c>
      <c r="Q424">
        <v>0.17690420000000001</v>
      </c>
      <c r="R424">
        <v>-3.9598229999999998E-2</v>
      </c>
      <c r="S424">
        <v>3.199554</v>
      </c>
      <c r="T424">
        <v>-0.87851429999999997</v>
      </c>
      <c r="U424">
        <v>-0.28198240000000002</v>
      </c>
      <c r="V424">
        <v>2.9211549999999999E-2</v>
      </c>
      <c r="W424">
        <v>0.18651129999999999</v>
      </c>
      <c r="X424">
        <v>0.98201839999999996</v>
      </c>
      <c r="Y424">
        <v>7.4774119999999999E-2</v>
      </c>
      <c r="Z424">
        <v>-7.6920629999999999E-3</v>
      </c>
      <c r="AA424">
        <v>0.99717080000000002</v>
      </c>
      <c r="AB424">
        <v>27</v>
      </c>
      <c r="AC424">
        <v>0.53750000000002196</v>
      </c>
      <c r="AD424">
        <v>-0.22491559999999999</v>
      </c>
      <c r="AE424">
        <v>-6.9500000000005002E-2</v>
      </c>
      <c r="AF424">
        <v>5.4440991939812798E-2</v>
      </c>
      <c r="AG424">
        <v>-0.22491559999999999</v>
      </c>
      <c r="AH424">
        <v>0.45913290540905799</v>
      </c>
      <c r="AI424">
        <v>115.941186050742</v>
      </c>
      <c r="AJ424">
        <v>83.237812768467904</v>
      </c>
      <c r="AK424">
        <v>0.51415355056258605</v>
      </c>
      <c r="AL424">
        <v>79.250742305649297</v>
      </c>
      <c r="AM424">
        <v>88.296157045287103</v>
      </c>
      <c r="AN424">
        <v>0.99999995880982495</v>
      </c>
    </row>
    <row r="425" spans="1:40" x14ac:dyDescent="0.25">
      <c r="A425" t="str">
        <f>"20190303162505811"</f>
        <v>20190303162505811</v>
      </c>
      <c r="B425" t="str">
        <f>"1551601505802870"</f>
        <v>1551601505802870</v>
      </c>
      <c r="C425" t="s">
        <v>40</v>
      </c>
      <c r="D425">
        <v>4.7783550000000004</v>
      </c>
      <c r="E425">
        <v>0.51900440000000003</v>
      </c>
      <c r="F425" t="s">
        <v>42</v>
      </c>
      <c r="G425">
        <v>-376.09039999999999</v>
      </c>
      <c r="H425">
        <v>0.90458459999999996</v>
      </c>
      <c r="I425">
        <v>367.34710000000001</v>
      </c>
      <c r="J425">
        <v>-376.6026</v>
      </c>
      <c r="K425">
        <v>1.1207579999999999</v>
      </c>
      <c r="L425">
        <v>367.4128</v>
      </c>
      <c r="M425">
        <v>0.99989620000000001</v>
      </c>
      <c r="N425">
        <v>-9.8018480000000002E-3</v>
      </c>
      <c r="O425">
        <v>-1.056562E-2</v>
      </c>
      <c r="P425">
        <v>0.98369720000000005</v>
      </c>
      <c r="Q425">
        <v>0.17529</v>
      </c>
      <c r="R425">
        <v>-4.0166960000000002E-2</v>
      </c>
      <c r="S425">
        <v>3.1981510000000002</v>
      </c>
      <c r="T425">
        <v>-0.88326789999999999</v>
      </c>
      <c r="U425">
        <v>-0.28009030000000001</v>
      </c>
      <c r="V425">
        <v>2.9777540000000002E-2</v>
      </c>
      <c r="W425">
        <v>0.18492629999999999</v>
      </c>
      <c r="X425">
        <v>0.98230119999999999</v>
      </c>
      <c r="Y425">
        <v>7.4219980000000005E-2</v>
      </c>
      <c r="Z425">
        <v>-7.6565849999999996E-3</v>
      </c>
      <c r="AA425">
        <v>0.99721249999999995</v>
      </c>
      <c r="AB425">
        <v>27</v>
      </c>
      <c r="AC425">
        <v>0.51220000000000698</v>
      </c>
      <c r="AD425">
        <v>-0.21617339999999999</v>
      </c>
      <c r="AE425">
        <v>-6.5699999999992501E-2</v>
      </c>
      <c r="AF425">
        <v>5.1295279924119398E-2</v>
      </c>
      <c r="AG425">
        <v>-0.21617339999999999</v>
      </c>
      <c r="AH425">
        <v>0.43639152274125098</v>
      </c>
      <c r="AI425">
        <v>116.19620042389499</v>
      </c>
      <c r="AJ425">
        <v>83.295977801667405</v>
      </c>
      <c r="AK425">
        <v>0.48969348140493102</v>
      </c>
      <c r="AL425">
        <v>79.343164903990896</v>
      </c>
      <c r="AM425">
        <v>88.263663891152305</v>
      </c>
      <c r="AN425">
        <v>1.00000004292078</v>
      </c>
    </row>
    <row r="426" spans="1:40" x14ac:dyDescent="0.25">
      <c r="A426" t="str">
        <f>"20190303162505834"</f>
        <v>20190303162505834</v>
      </c>
      <c r="B426" t="str">
        <f>"1551601505823366"</f>
        <v>1551601505823366</v>
      </c>
      <c r="C426" t="s">
        <v>40</v>
      </c>
      <c r="D426">
        <v>4.8071669999999997</v>
      </c>
      <c r="E426">
        <v>0.51917650000000004</v>
      </c>
      <c r="F426" t="s">
        <v>42</v>
      </c>
      <c r="G426">
        <v>-375.84570000000002</v>
      </c>
      <c r="H426">
        <v>0.91126220000000002</v>
      </c>
      <c r="I426">
        <v>367.34609999999998</v>
      </c>
      <c r="J426">
        <v>-376.32819999999998</v>
      </c>
      <c r="K426">
        <v>1.120752</v>
      </c>
      <c r="L426">
        <v>367.40989999999999</v>
      </c>
      <c r="M426">
        <v>0.99989600000000001</v>
      </c>
      <c r="N426">
        <v>-9.8268120000000007E-3</v>
      </c>
      <c r="O426">
        <v>-1.05655E-2</v>
      </c>
      <c r="P426">
        <v>0.98392360000000001</v>
      </c>
      <c r="Q426">
        <v>0.17377879999999901</v>
      </c>
      <c r="R426">
        <v>-4.117635E-2</v>
      </c>
      <c r="S426">
        <v>3.195862</v>
      </c>
      <c r="T426">
        <v>-0.88460369999999999</v>
      </c>
      <c r="U426">
        <v>-0.28121950000000001</v>
      </c>
      <c r="V426">
        <v>3.0784659999999998E-2</v>
      </c>
      <c r="W426">
        <v>0.18344199999999999</v>
      </c>
      <c r="X426">
        <v>0.98254839999999999</v>
      </c>
      <c r="Y426">
        <v>7.4605950000000004E-2</v>
      </c>
      <c r="Z426">
        <v>-7.7274369999999898E-3</v>
      </c>
      <c r="AA426">
        <v>0.99718309999999999</v>
      </c>
      <c r="AB426">
        <v>27</v>
      </c>
      <c r="AC426">
        <v>0.48249999999995902</v>
      </c>
      <c r="AD426">
        <v>-0.2094898</v>
      </c>
      <c r="AE426">
        <v>-6.3800000000014706E-2</v>
      </c>
      <c r="AF426">
        <v>4.9523209328333498E-2</v>
      </c>
      <c r="AG426">
        <v>-0.2094898</v>
      </c>
      <c r="AH426">
        <v>0.40762650411810603</v>
      </c>
      <c r="AI426">
        <v>117.02951562634701</v>
      </c>
      <c r="AJ426">
        <v>83.072990494829995</v>
      </c>
      <c r="AK426">
        <v>0.46097493578910098</v>
      </c>
      <c r="AL426">
        <v>79.429688968997496</v>
      </c>
      <c r="AM426">
        <v>88.205427568747396</v>
      </c>
      <c r="AN426">
        <v>1.0000000104989299</v>
      </c>
    </row>
    <row r="427" spans="1:40" x14ac:dyDescent="0.25">
      <c r="A427" t="str">
        <f>"20190303162505855"</f>
        <v>20190303162505855</v>
      </c>
      <c r="B427" t="str">
        <f>"1551601505842886"</f>
        <v>1551601505842886</v>
      </c>
      <c r="C427" t="s">
        <v>40</v>
      </c>
      <c r="D427">
        <v>4.748138</v>
      </c>
      <c r="E427">
        <v>0.51973879999999995</v>
      </c>
      <c r="F427" t="s">
        <v>42</v>
      </c>
      <c r="G427">
        <v>-375.60059999999999</v>
      </c>
      <c r="H427">
        <v>0.91822899999999996</v>
      </c>
      <c r="I427">
        <v>367.34460000000001</v>
      </c>
      <c r="J427">
        <v>-376.06330000000003</v>
      </c>
      <c r="K427">
        <v>1.1207499999999999</v>
      </c>
      <c r="L427">
        <v>367.40710000000001</v>
      </c>
      <c r="M427">
        <v>0.9998958</v>
      </c>
      <c r="N427">
        <v>-9.8489739999999999E-3</v>
      </c>
      <c r="O427">
        <v>-1.056525E-2</v>
      </c>
      <c r="P427">
        <v>0.98398110000000005</v>
      </c>
      <c r="Q427">
        <v>0.17323620000000001</v>
      </c>
      <c r="R427">
        <v>-4.2080909999999999E-2</v>
      </c>
      <c r="S427">
        <v>3.1941220000000001</v>
      </c>
      <c r="T427">
        <v>-0.88915929999999999</v>
      </c>
      <c r="U427">
        <v>-0.2860413</v>
      </c>
      <c r="V427">
        <v>3.1688569999999999E-2</v>
      </c>
      <c r="W427">
        <v>0.18292169999999999</v>
      </c>
      <c r="X427">
        <v>0.98261670000000001</v>
      </c>
      <c r="Y427">
        <v>7.6062660000000004E-2</v>
      </c>
      <c r="Z427">
        <v>-7.9739149999999998E-3</v>
      </c>
      <c r="AA427">
        <v>0.99707109999999999</v>
      </c>
      <c r="AB427">
        <v>27</v>
      </c>
      <c r="AC427">
        <v>0.46270000000004002</v>
      </c>
      <c r="AD427">
        <v>-0.20252099999999901</v>
      </c>
      <c r="AE427">
        <v>-6.25E-2</v>
      </c>
      <c r="AF427">
        <v>4.8485513731288003E-2</v>
      </c>
      <c r="AG427">
        <v>-0.20252099999999901</v>
      </c>
      <c r="AH427">
        <v>0.38996522584264898</v>
      </c>
      <c r="AI427">
        <v>117.26489375299199</v>
      </c>
      <c r="AJ427">
        <v>82.912619807393298</v>
      </c>
      <c r="AK427">
        <v>0.44208424293260601</v>
      </c>
      <c r="AL427">
        <v>79.460013459325694</v>
      </c>
      <c r="AM427">
        <v>88.152898997566894</v>
      </c>
      <c r="AN427">
        <v>1.00000004645921</v>
      </c>
    </row>
    <row r="428" spans="1:40" x14ac:dyDescent="0.25">
      <c r="A428" t="str">
        <f>"20190303162505878"</f>
        <v>20190303162505878</v>
      </c>
      <c r="B428" t="str">
        <f>"1551601505873535"</f>
        <v>1551601505873535</v>
      </c>
      <c r="C428" t="s">
        <v>40</v>
      </c>
      <c r="D428">
        <v>4.7486189999999997</v>
      </c>
      <c r="E428">
        <v>0.52984540000000002</v>
      </c>
      <c r="F428" t="s">
        <v>42</v>
      </c>
      <c r="G428">
        <v>-375.35640000000001</v>
      </c>
      <c r="H428">
        <v>0.92264210000000002</v>
      </c>
      <c r="I428">
        <v>367.3417</v>
      </c>
      <c r="J428">
        <v>-375.78829999999999</v>
      </c>
      <c r="K428">
        <v>1.120744</v>
      </c>
      <c r="L428">
        <v>367.4042</v>
      </c>
      <c r="M428">
        <v>0.9998956</v>
      </c>
      <c r="N428">
        <v>-9.8701580000000004E-3</v>
      </c>
      <c r="O428">
        <v>-1.0565E-2</v>
      </c>
      <c r="P428">
        <v>0.98407359999999999</v>
      </c>
      <c r="Q428">
        <v>0.17241289999999901</v>
      </c>
      <c r="R428">
        <v>-4.3282439999999998E-2</v>
      </c>
      <c r="S428">
        <v>3.1938780000000002</v>
      </c>
      <c r="T428">
        <v>-0.89520100000000002</v>
      </c>
      <c r="U428">
        <v>-0.29348750000000001</v>
      </c>
      <c r="V428">
        <v>3.2889330000000001E-2</v>
      </c>
      <c r="W428">
        <v>0.18212039999999999</v>
      </c>
      <c r="X428">
        <v>0.98272599999999999</v>
      </c>
      <c r="Y428">
        <v>7.8254260000000006E-2</v>
      </c>
      <c r="Z428">
        <v>-8.3357309999999903E-3</v>
      </c>
      <c r="AA428">
        <v>0.99689859999999997</v>
      </c>
      <c r="AB428">
        <v>27</v>
      </c>
      <c r="AC428">
        <v>0.43189999999998402</v>
      </c>
      <c r="AD428">
        <v>-0.198101899999999</v>
      </c>
      <c r="AE428">
        <v>-6.25E-2</v>
      </c>
      <c r="AF428">
        <v>4.8034830492512101E-2</v>
      </c>
      <c r="AG428">
        <v>-0.198101899999999</v>
      </c>
      <c r="AH428">
        <v>0.35863341028725298</v>
      </c>
      <c r="AI428">
        <v>118.70030382057899</v>
      </c>
      <c r="AJ428">
        <v>82.371290004688902</v>
      </c>
      <c r="AK428">
        <v>0.41251621870942201</v>
      </c>
      <c r="AL428">
        <v>79.506708144551794</v>
      </c>
      <c r="AM428">
        <v>88.0831720013813</v>
      </c>
      <c r="AN428">
        <v>0.99999996960000404</v>
      </c>
    </row>
    <row r="429" spans="1:40" x14ac:dyDescent="0.25">
      <c r="A429" t="str">
        <f>"20190303162505901"</f>
        <v>20190303162505901</v>
      </c>
      <c r="B429" t="str">
        <f>"1551601505893055"</f>
        <v>1551601505893055</v>
      </c>
      <c r="C429" t="s">
        <v>40</v>
      </c>
      <c r="D429">
        <v>4.761698</v>
      </c>
      <c r="E429">
        <v>0.52955699999999895</v>
      </c>
      <c r="F429" t="s">
        <v>42</v>
      </c>
      <c r="G429">
        <v>-375.1259</v>
      </c>
      <c r="H429">
        <v>0.89638639999999903</v>
      </c>
      <c r="I429">
        <v>367.32600000000002</v>
      </c>
      <c r="J429">
        <v>-375.50909999999999</v>
      </c>
      <c r="K429">
        <v>1.1207370000000001</v>
      </c>
      <c r="L429">
        <v>367.40120000000002</v>
      </c>
      <c r="M429">
        <v>0.99989550000000005</v>
      </c>
      <c r="N429">
        <v>-9.8898370000000003E-3</v>
      </c>
      <c r="O429">
        <v>-1.056234E-2</v>
      </c>
      <c r="P429">
        <v>0.9842514</v>
      </c>
      <c r="Q429">
        <v>0.17127779999999901</v>
      </c>
      <c r="R429">
        <v>-4.3744489999999997E-2</v>
      </c>
      <c r="S429">
        <v>3.2231450000000001</v>
      </c>
      <c r="T429">
        <v>-1.0917410000000001</v>
      </c>
      <c r="U429">
        <v>-0.37887569999999998</v>
      </c>
      <c r="V429">
        <v>3.335163E-2</v>
      </c>
      <c r="W429">
        <v>0.18100630000000001</v>
      </c>
      <c r="X429">
        <v>0.98291629999999997</v>
      </c>
      <c r="Y429">
        <v>0.10105889999999999</v>
      </c>
      <c r="Z429">
        <v>-1.37457E-2</v>
      </c>
      <c r="AA429">
        <v>0.99478549999999999</v>
      </c>
      <c r="AB429">
        <v>27</v>
      </c>
      <c r="AC429">
        <v>0.38319999999998799</v>
      </c>
      <c r="AD429">
        <v>-0.22435060000000001</v>
      </c>
      <c r="AE429">
        <v>-7.52000000000521E-2</v>
      </c>
      <c r="AF429">
        <v>5.3492428961414498E-2</v>
      </c>
      <c r="AG429">
        <v>-0.22435060000000001</v>
      </c>
      <c r="AH429">
        <v>0.28868852763796299</v>
      </c>
      <c r="AI429">
        <v>127.38453295475</v>
      </c>
      <c r="AJ429">
        <v>79.502461246124497</v>
      </c>
      <c r="AK429">
        <v>0.36950737159944003</v>
      </c>
      <c r="AL429">
        <v>79.571620927946796</v>
      </c>
      <c r="AM429">
        <v>88.056625186470399</v>
      </c>
      <c r="AN429">
        <v>1.00000003233451</v>
      </c>
    </row>
    <row r="430" spans="1:40" x14ac:dyDescent="0.25">
      <c r="A430" t="str">
        <f>"20190303162505923"</f>
        <v>20190303162505923</v>
      </c>
      <c r="B430" t="str">
        <f>"1551601505913552"</f>
        <v>1551601505913552</v>
      </c>
      <c r="C430" t="s">
        <v>40</v>
      </c>
      <c r="D430">
        <v>4.7725229999999996</v>
      </c>
      <c r="E430">
        <v>0.52912190000000003</v>
      </c>
      <c r="F430" t="s">
        <v>42</v>
      </c>
      <c r="G430">
        <v>-374.66449999999998</v>
      </c>
      <c r="H430">
        <v>0.83465650000000002</v>
      </c>
      <c r="I430">
        <v>367.30250000000001</v>
      </c>
      <c r="J430">
        <v>-375.2405</v>
      </c>
      <c r="K430">
        <v>1.120741</v>
      </c>
      <c r="L430">
        <v>367.39839999999998</v>
      </c>
      <c r="M430">
        <v>0.99989530000000004</v>
      </c>
      <c r="N430">
        <v>-9.9073430000000007E-3</v>
      </c>
      <c r="O430">
        <v>-1.0552250000000001E-2</v>
      </c>
      <c r="P430">
        <v>0.98437269999999999</v>
      </c>
      <c r="Q430">
        <v>0.17049819999999999</v>
      </c>
      <c r="R430">
        <v>-4.405833E-2</v>
      </c>
      <c r="S430">
        <v>3.22113</v>
      </c>
      <c r="T430">
        <v>-1.091135</v>
      </c>
      <c r="U430">
        <v>-0.37698359999999997</v>
      </c>
      <c r="V430">
        <v>3.3672250000000001E-2</v>
      </c>
      <c r="W430">
        <v>0.18024560000000001</v>
      </c>
      <c r="X430">
        <v>0.98304510000000001</v>
      </c>
      <c r="Y430">
        <v>0.10058930000000001</v>
      </c>
      <c r="Z430">
        <v>-1.367171E-2</v>
      </c>
      <c r="AA430">
        <v>0.99483410000000005</v>
      </c>
      <c r="AB430">
        <v>27</v>
      </c>
      <c r="AC430">
        <v>0.57600000000002105</v>
      </c>
      <c r="AD430">
        <v>-0.28608450000000002</v>
      </c>
      <c r="AE430">
        <v>-9.5899999999971897E-2</v>
      </c>
      <c r="AF430">
        <v>7.2430611111930401E-2</v>
      </c>
      <c r="AG430">
        <v>-0.28608450000000002</v>
      </c>
      <c r="AH430">
        <v>0.46529444250433999</v>
      </c>
      <c r="AI430">
        <v>121.279911182357</v>
      </c>
      <c r="AJ430">
        <v>81.151996656793997</v>
      </c>
      <c r="AK430">
        <v>0.55098952148994895</v>
      </c>
      <c r="AL430">
        <v>79.615934185016101</v>
      </c>
      <c r="AM430">
        <v>88.038214297430301</v>
      </c>
      <c r="AN430">
        <v>0.99999998268671597</v>
      </c>
    </row>
    <row r="431" spans="1:40" x14ac:dyDescent="0.25">
      <c r="A431" t="str">
        <f>"20190303162505945"</f>
        <v>20190303162505945</v>
      </c>
      <c r="B431" t="str">
        <f>"1551601505933071"</f>
        <v>1551601505933071</v>
      </c>
      <c r="C431" t="s">
        <v>40</v>
      </c>
      <c r="D431">
        <v>4.7828710000000001</v>
      </c>
      <c r="E431">
        <v>0.52886119999999903</v>
      </c>
      <c r="F431" t="s">
        <v>42</v>
      </c>
      <c r="G431">
        <v>-374.41820000000001</v>
      </c>
      <c r="H431">
        <v>0.84212399999999998</v>
      </c>
      <c r="I431">
        <v>367.30279999999999</v>
      </c>
      <c r="J431">
        <v>-374.96899999999999</v>
      </c>
      <c r="K431">
        <v>1.120752</v>
      </c>
      <c r="L431">
        <v>367.39550000000003</v>
      </c>
      <c r="M431">
        <v>0.99989550000000005</v>
      </c>
      <c r="N431">
        <v>-9.9237519999999992E-3</v>
      </c>
      <c r="O431">
        <v>-1.0533890000000001E-2</v>
      </c>
      <c r="P431">
        <v>0.98437240000000004</v>
      </c>
      <c r="Q431">
        <v>0.17046900000000001</v>
      </c>
      <c r="R431">
        <v>-4.4179410000000002E-2</v>
      </c>
      <c r="S431">
        <v>3.2198790000000002</v>
      </c>
      <c r="T431">
        <v>-1.0909150000000001</v>
      </c>
      <c r="U431">
        <v>-0.37316890000000003</v>
      </c>
      <c r="V431">
        <v>3.380855E-2</v>
      </c>
      <c r="W431">
        <v>0.1802329</v>
      </c>
      <c r="X431">
        <v>0.98304279999999999</v>
      </c>
      <c r="Y431">
        <v>9.9544740000000007E-2</v>
      </c>
      <c r="Z431">
        <v>-1.350469E-2</v>
      </c>
      <c r="AA431">
        <v>0.99494139999999998</v>
      </c>
      <c r="AB431">
        <v>27</v>
      </c>
      <c r="AC431">
        <v>0.55079999999998097</v>
      </c>
      <c r="AD431">
        <v>-0.27862799999999999</v>
      </c>
      <c r="AE431">
        <v>-9.2700000000036198E-2</v>
      </c>
      <c r="AF431">
        <v>6.9578221336741394E-2</v>
      </c>
      <c r="AG431">
        <v>-0.27862799999999999</v>
      </c>
      <c r="AH431">
        <v>0.441804544322217</v>
      </c>
      <c r="AI431">
        <v>121.92211014351101</v>
      </c>
      <c r="AJ431">
        <v>81.050199915892705</v>
      </c>
      <c r="AK431">
        <v>0.52694017369350998</v>
      </c>
      <c r="AL431">
        <v>79.616674468905003</v>
      </c>
      <c r="AM431">
        <v>88.030274933617804</v>
      </c>
      <c r="AN431">
        <v>1.0000000314636699</v>
      </c>
    </row>
    <row r="432" spans="1:40" x14ac:dyDescent="0.25">
      <c r="A432" t="str">
        <f>"20190303162505968"</f>
        <v>20190303162505968</v>
      </c>
      <c r="B432" t="str">
        <f>"1551601505963328"</f>
        <v>1551601505963328</v>
      </c>
      <c r="C432" t="s">
        <v>40</v>
      </c>
      <c r="D432">
        <v>4.7751469999999996</v>
      </c>
      <c r="E432">
        <v>0.52909910000000004</v>
      </c>
      <c r="F432" t="s">
        <v>42</v>
      </c>
      <c r="G432">
        <v>-374.17070000000001</v>
      </c>
      <c r="H432">
        <v>0.85160059999999904</v>
      </c>
      <c r="I432">
        <v>367.3039</v>
      </c>
      <c r="J432">
        <v>-374.69749999999999</v>
      </c>
      <c r="K432">
        <v>1.12076</v>
      </c>
      <c r="L432">
        <v>367.39269999999999</v>
      </c>
      <c r="M432">
        <v>0.99989550000000005</v>
      </c>
      <c r="N432">
        <v>-9.9389400000000003E-3</v>
      </c>
      <c r="O432">
        <v>-1.05025E-2</v>
      </c>
      <c r="P432">
        <v>0.98471120000000001</v>
      </c>
      <c r="Q432">
        <v>0.16856070000000001</v>
      </c>
      <c r="R432">
        <v>-4.3948069999999999E-2</v>
      </c>
      <c r="S432">
        <v>3.219055</v>
      </c>
      <c r="T432">
        <v>-1.0853649999999999</v>
      </c>
      <c r="U432">
        <v>-0.36859130000000001</v>
      </c>
      <c r="V432">
        <v>3.3600379999999999E-2</v>
      </c>
      <c r="W432">
        <v>0.1783438</v>
      </c>
      <c r="X432">
        <v>0.9833944</v>
      </c>
      <c r="Y432">
        <v>9.8321740000000005E-2</v>
      </c>
      <c r="Z432">
        <v>-1.325104E-2</v>
      </c>
      <c r="AA432">
        <v>0.99506649999999996</v>
      </c>
      <c r="AB432">
        <v>27</v>
      </c>
      <c r="AC432">
        <v>0.52679999999997995</v>
      </c>
      <c r="AD432">
        <v>-0.26915939999999999</v>
      </c>
      <c r="AE432">
        <v>-8.8799999999991996E-2</v>
      </c>
      <c r="AF432">
        <v>6.6405707500013095E-2</v>
      </c>
      <c r="AG432">
        <v>-0.26915939999999999</v>
      </c>
      <c r="AH432">
        <v>0.42087007890832501</v>
      </c>
      <c r="AI432">
        <v>122.28125169443599</v>
      </c>
      <c r="AJ432">
        <v>81.033677751579702</v>
      </c>
      <c r="AK432">
        <v>0.50397234439722705</v>
      </c>
      <c r="AL432">
        <v>79.726694539035606</v>
      </c>
      <c r="AM432">
        <v>88.043093064563095</v>
      </c>
      <c r="AN432">
        <v>1.00000002124297</v>
      </c>
    </row>
    <row r="433" spans="1:40" x14ac:dyDescent="0.25">
      <c r="A433" t="str">
        <f>"20190303162505988"</f>
        <v>20190303162505988</v>
      </c>
      <c r="B433" t="str">
        <f>"1551601505982848"</f>
        <v>1551601505982848</v>
      </c>
      <c r="C433" t="s">
        <v>40</v>
      </c>
      <c r="D433">
        <v>4.7874349999999897</v>
      </c>
      <c r="E433">
        <v>0.53049169999999901</v>
      </c>
      <c r="F433" t="s">
        <v>42</v>
      </c>
      <c r="G433">
        <v>-373.92329999999998</v>
      </c>
      <c r="H433">
        <v>0.86039669999999902</v>
      </c>
      <c r="I433">
        <v>367.30410000000001</v>
      </c>
      <c r="J433">
        <v>-374.44670000000002</v>
      </c>
      <c r="K433">
        <v>1.1207659999999999</v>
      </c>
      <c r="L433">
        <v>367.39010000000002</v>
      </c>
      <c r="M433">
        <v>0.9998958</v>
      </c>
      <c r="N433">
        <v>-9.9520419999999995E-3</v>
      </c>
      <c r="O433">
        <v>-1.0458200000000001E-2</v>
      </c>
      <c r="P433">
        <v>0.98496099999999998</v>
      </c>
      <c r="Q433">
        <v>0.16737729999999901</v>
      </c>
      <c r="R433">
        <v>-4.2859229999999998E-2</v>
      </c>
      <c r="S433">
        <v>3.2153320000000001</v>
      </c>
      <c r="T433">
        <v>-1.0813280000000001</v>
      </c>
      <c r="U433">
        <v>-0.36712650000000002</v>
      </c>
      <c r="V433">
        <v>3.254754E-2</v>
      </c>
      <c r="W433">
        <v>0.177176799999999</v>
      </c>
      <c r="X433">
        <v>0.98364070000000003</v>
      </c>
      <c r="Y433">
        <v>9.8083630000000005E-2</v>
      </c>
      <c r="Z433">
        <v>-1.3195180000000001E-2</v>
      </c>
      <c r="AA433">
        <v>0.99509069999999999</v>
      </c>
      <c r="AB433">
        <v>27</v>
      </c>
      <c r="AC433">
        <v>0.52340000000003695</v>
      </c>
      <c r="AD433">
        <v>-0.26036929999999903</v>
      </c>
      <c r="AE433">
        <v>-8.6000000000012705E-2</v>
      </c>
      <c r="AF433">
        <v>6.4886288991100105E-2</v>
      </c>
      <c r="AG433">
        <v>-0.26036929999999903</v>
      </c>
      <c r="AH433">
        <v>0.42247242562875698</v>
      </c>
      <c r="AI433">
        <v>121.347939028688</v>
      </c>
      <c r="AJ433">
        <v>81.268341214033001</v>
      </c>
      <c r="AK433">
        <v>0.50048511795873796</v>
      </c>
      <c r="AL433">
        <v>79.794640558364407</v>
      </c>
      <c r="AM433">
        <v>88.104839972113595</v>
      </c>
      <c r="AN433">
        <v>0.99999999375739002</v>
      </c>
    </row>
    <row r="434" spans="1:40" x14ac:dyDescent="0.25">
      <c r="A434" t="str">
        <f>"20190303162506166"</f>
        <v>20190303162506166</v>
      </c>
      <c r="B434" t="str">
        <f>"1551601506152672"</f>
        <v>1551601506152672</v>
      </c>
      <c r="C434" t="s">
        <v>40</v>
      </c>
      <c r="D434">
        <v>6.3744519999999998</v>
      </c>
      <c r="E434">
        <v>0.50256089999999998</v>
      </c>
      <c r="F434" t="s">
        <v>41</v>
      </c>
      <c r="G434">
        <v>-370.62779999999998</v>
      </c>
      <c r="H434" s="1">
        <v>-4.3989380000000001E-6</v>
      </c>
      <c r="I434">
        <v>367.38400000000001</v>
      </c>
      <c r="J434">
        <v>-372.26240000000001</v>
      </c>
      <c r="K434">
        <v>1.1208499999999999</v>
      </c>
      <c r="L434">
        <v>367.3689</v>
      </c>
      <c r="M434">
        <v>0.99990259999999997</v>
      </c>
      <c r="N434">
        <v>-1.0105869999999999E-2</v>
      </c>
      <c r="O434">
        <v>-9.6321059999999997E-3</v>
      </c>
      <c r="P434">
        <v>0.98429460000000002</v>
      </c>
      <c r="Q434">
        <v>0.1719059</v>
      </c>
      <c r="R434">
        <v>-4.0160370000000001E-2</v>
      </c>
      <c r="S434">
        <v>3.395905</v>
      </c>
      <c r="T434">
        <v>-2.0159509999999998</v>
      </c>
      <c r="U434">
        <v>2.3162840000000001E-2</v>
      </c>
      <c r="V434">
        <v>3.0646050000000001E-2</v>
      </c>
      <c r="W434">
        <v>0.18185270000000001</v>
      </c>
      <c r="X434">
        <v>0.9828481</v>
      </c>
      <c r="Y434">
        <v>-1.280824E-2</v>
      </c>
      <c r="Z434">
        <v>8.7821089999999997E-3</v>
      </c>
      <c r="AA434">
        <v>0.99987939999999997</v>
      </c>
      <c r="AB434">
        <v>28</v>
      </c>
      <c r="AC434">
        <v>1.63460000000003</v>
      </c>
      <c r="AD434">
        <v>-1.120854398938</v>
      </c>
      <c r="AE434">
        <v>1.5100000000018101E-2</v>
      </c>
      <c r="AF434">
        <v>-2.0980647972102501E-2</v>
      </c>
      <c r="AG434">
        <v>-1.120854398938</v>
      </c>
      <c r="AH434">
        <v>1.1117072474082399</v>
      </c>
      <c r="AI434">
        <v>135.229647708013</v>
      </c>
      <c r="AJ434">
        <v>91.081183824299004</v>
      </c>
      <c r="AK434">
        <v>1.57881214054998</v>
      </c>
      <c r="AL434">
        <v>79.522306882016196</v>
      </c>
      <c r="AM434">
        <v>88.214046907865594</v>
      </c>
      <c r="AN434">
        <v>0.99999998627575104</v>
      </c>
    </row>
    <row r="435" spans="1:40" x14ac:dyDescent="0.25">
      <c r="A435" t="str">
        <f>"20190303162506189"</f>
        <v>20190303162506189</v>
      </c>
      <c r="B435" t="str">
        <f>"1551601506182928"</f>
        <v>1551601506182928</v>
      </c>
      <c r="C435" t="s">
        <v>40</v>
      </c>
      <c r="D435">
        <v>4.9542510000000002</v>
      </c>
      <c r="E435">
        <v>0.51641990000000004</v>
      </c>
      <c r="F435" t="s">
        <v>42</v>
      </c>
      <c r="G435">
        <v>-371.51369999999997</v>
      </c>
      <c r="H435">
        <v>0.73294519999999996</v>
      </c>
      <c r="I435">
        <v>367.3338</v>
      </c>
      <c r="J435">
        <v>-371.97269999999997</v>
      </c>
      <c r="K435">
        <v>1.120862</v>
      </c>
      <c r="L435">
        <v>367.36619999999999</v>
      </c>
      <c r="M435">
        <v>0.9999036</v>
      </c>
      <c r="N435">
        <v>-1.012337E-2</v>
      </c>
      <c r="O435">
        <v>-9.5104739999999997E-3</v>
      </c>
      <c r="P435">
        <v>0.98403719999999995</v>
      </c>
      <c r="Q435">
        <v>0.17333779999999999</v>
      </c>
      <c r="R435">
        <v>-4.0308400000000001E-2</v>
      </c>
      <c r="S435">
        <v>3.3440249999999998</v>
      </c>
      <c r="T435">
        <v>-1.7324349999999999</v>
      </c>
      <c r="U435">
        <v>-0.15603639999999999</v>
      </c>
      <c r="V435">
        <v>3.0915890000000001E-2</v>
      </c>
      <c r="W435">
        <v>0.1832995</v>
      </c>
      <c r="X435">
        <v>0.98257090000000002</v>
      </c>
      <c r="Y435">
        <v>3.3895689999999999E-2</v>
      </c>
      <c r="Z435">
        <v>-3.8956669999999998E-3</v>
      </c>
      <c r="AA435">
        <v>0.99941780000000002</v>
      </c>
      <c r="AB435">
        <v>28</v>
      </c>
      <c r="AC435">
        <v>0.45900000000000302</v>
      </c>
      <c r="AD435">
        <v>-0.38791680000000001</v>
      </c>
      <c r="AE435">
        <v>-3.2399999999995502E-2</v>
      </c>
      <c r="AF435">
        <v>1.6386753030315601E-2</v>
      </c>
      <c r="AG435">
        <v>-0.38791680000000001</v>
      </c>
      <c r="AH435">
        <v>0.26847744234749499</v>
      </c>
      <c r="AI435">
        <v>145.26300393798701</v>
      </c>
      <c r="AJ435">
        <v>86.507235502046001</v>
      </c>
      <c r="AK435">
        <v>0.47204672061838199</v>
      </c>
      <c r="AL435">
        <v>79.437994721610494</v>
      </c>
      <c r="AM435">
        <v>88.197823874424202</v>
      </c>
      <c r="AN435">
        <v>1.0000000362407699</v>
      </c>
    </row>
    <row r="436" spans="1:40" x14ac:dyDescent="0.25">
      <c r="A436" t="str">
        <f>"20190303162506212"</f>
        <v>20190303162506212</v>
      </c>
      <c r="B436" t="str">
        <f>"1551601506203424"</f>
        <v>1551601506203424</v>
      </c>
      <c r="C436" t="s">
        <v>40</v>
      </c>
      <c r="D436">
        <v>4.9607020000000004</v>
      </c>
      <c r="E436">
        <v>0.520401</v>
      </c>
      <c r="F436" t="s">
        <v>42</v>
      </c>
      <c r="G436">
        <v>-371.24250000000001</v>
      </c>
      <c r="H436">
        <v>0.80741850000000004</v>
      </c>
      <c r="I436">
        <v>367.30669999999998</v>
      </c>
      <c r="J436">
        <v>-371.6909</v>
      </c>
      <c r="K436">
        <v>1.12087</v>
      </c>
      <c r="L436">
        <v>367.36369999999999</v>
      </c>
      <c r="M436">
        <v>0.99990460000000003</v>
      </c>
      <c r="N436">
        <v>-1.0139230000000001E-2</v>
      </c>
      <c r="O436">
        <v>-9.3940780000000002E-3</v>
      </c>
      <c r="P436">
        <v>0.98354770000000002</v>
      </c>
      <c r="Q436">
        <v>0.17619560000000001</v>
      </c>
      <c r="R436">
        <v>-3.9863429999999998E-2</v>
      </c>
      <c r="S436">
        <v>3.286133</v>
      </c>
      <c r="T436">
        <v>-1.410539</v>
      </c>
      <c r="U436">
        <v>-0.26745609999999997</v>
      </c>
      <c r="V436">
        <v>3.0589410000000001E-2</v>
      </c>
      <c r="W436">
        <v>0.1861679</v>
      </c>
      <c r="X436">
        <v>0.98204170000000002</v>
      </c>
      <c r="Y436">
        <v>6.6554139999999998E-2</v>
      </c>
      <c r="Z436">
        <v>-1.0248220000000001E-2</v>
      </c>
      <c r="AA436">
        <v>0.99773020000000001</v>
      </c>
      <c r="AB436">
        <v>28</v>
      </c>
      <c r="AC436">
        <v>0.44839999999999203</v>
      </c>
      <c r="AD436">
        <v>-0.31345149999999999</v>
      </c>
      <c r="AE436">
        <v>-5.7000000000016302E-2</v>
      </c>
      <c r="AF436">
        <v>3.5644027814793998E-2</v>
      </c>
      <c r="AG436">
        <v>-0.31345149999999999</v>
      </c>
      <c r="AH436">
        <v>0.30313866956573399</v>
      </c>
      <c r="AI436">
        <v>135.76162126790001</v>
      </c>
      <c r="AJ436">
        <v>83.293769685748501</v>
      </c>
      <c r="AK436">
        <v>0.43751044851202697</v>
      </c>
      <c r="AL436">
        <v>79.270769414333202</v>
      </c>
      <c r="AM436">
        <v>88.215882698314601</v>
      </c>
      <c r="AN436">
        <v>1.0000000497667201</v>
      </c>
    </row>
    <row r="437" spans="1:40" x14ac:dyDescent="0.25">
      <c r="A437" t="str">
        <f>"20190303162506233"</f>
        <v>20190303162506233</v>
      </c>
      <c r="B437" t="str">
        <f>"1551601506222944"</f>
        <v>1551601506222944</v>
      </c>
      <c r="C437" t="s">
        <v>40</v>
      </c>
      <c r="D437">
        <v>4.9550219999999996</v>
      </c>
      <c r="E437">
        <v>0.52291829999999995</v>
      </c>
      <c r="F437" t="s">
        <v>42</v>
      </c>
      <c r="G437">
        <v>-370.98379999999997</v>
      </c>
      <c r="H437">
        <v>0.83712359999999897</v>
      </c>
      <c r="I437">
        <v>367.29899999999998</v>
      </c>
      <c r="J437">
        <v>-371.42590000000001</v>
      </c>
      <c r="K437">
        <v>1.120881</v>
      </c>
      <c r="L437">
        <v>367.3614</v>
      </c>
      <c r="M437">
        <v>0.9999055</v>
      </c>
      <c r="N437">
        <v>-1.015317E-2</v>
      </c>
      <c r="O437">
        <v>-9.2847109999999993E-3</v>
      </c>
      <c r="P437">
        <v>0.983267</v>
      </c>
      <c r="Q437">
        <v>0.17793419999999999</v>
      </c>
      <c r="R437">
        <v>-3.9062680000000002E-2</v>
      </c>
      <c r="S437">
        <v>3.2733460000000001</v>
      </c>
      <c r="T437">
        <v>-1.3134319999999999</v>
      </c>
      <c r="U437">
        <v>-0.2983093</v>
      </c>
      <c r="V437">
        <v>2.9898109999999999E-2</v>
      </c>
      <c r="W437">
        <v>0.187917</v>
      </c>
      <c r="X437">
        <v>0.98172969999999904</v>
      </c>
      <c r="Y437">
        <v>7.6168470000000002E-2</v>
      </c>
      <c r="Z437">
        <v>-1.159747E-2</v>
      </c>
      <c r="AA437">
        <v>0.99702749999999996</v>
      </c>
      <c r="AB437">
        <v>28</v>
      </c>
      <c r="AC437">
        <v>0.44210000000003802</v>
      </c>
      <c r="AD437">
        <v>-0.28375739999999999</v>
      </c>
      <c r="AE437">
        <v>-6.2399999999968203E-2</v>
      </c>
      <c r="AF437">
        <v>4.1521362001402398E-2</v>
      </c>
      <c r="AG437">
        <v>-0.28375739999999999</v>
      </c>
      <c r="AH437">
        <v>0.315304957680622</v>
      </c>
      <c r="AI437">
        <v>131.74070854308701</v>
      </c>
      <c r="AJ437">
        <v>82.4980929194965</v>
      </c>
      <c r="AK437">
        <v>0.42621532339322399</v>
      </c>
      <c r="AL437">
        <v>79.168751858114106</v>
      </c>
      <c r="AM437">
        <v>88.255623506117104</v>
      </c>
      <c r="AN437">
        <v>0.99999994986632901</v>
      </c>
    </row>
    <row r="438" spans="1:40" x14ac:dyDescent="0.25">
      <c r="A438" t="str">
        <f>"20190303162506255"</f>
        <v>20190303162506255</v>
      </c>
      <c r="B438" t="str">
        <f>"1551601506243440"</f>
        <v>1551601506243440</v>
      </c>
      <c r="C438" t="s">
        <v>40</v>
      </c>
      <c r="D438">
        <v>4.9711109999999996</v>
      </c>
      <c r="E438">
        <v>0.52456669999999905</v>
      </c>
      <c r="F438" t="s">
        <v>42</v>
      </c>
      <c r="G438">
        <v>-370.72989999999999</v>
      </c>
      <c r="H438">
        <v>0.8535142</v>
      </c>
      <c r="I438">
        <v>367.29390000000001</v>
      </c>
      <c r="J438">
        <v>-371.16050000000001</v>
      </c>
      <c r="K438">
        <v>1.1208929999999999</v>
      </c>
      <c r="L438">
        <v>367.35899999999998</v>
      </c>
      <c r="M438">
        <v>0.99990619999999997</v>
      </c>
      <c r="N438">
        <v>-1.0166339999999999E-2</v>
      </c>
      <c r="O438">
        <v>-9.1753430000000007E-3</v>
      </c>
      <c r="P438">
        <v>0.98303039999999997</v>
      </c>
      <c r="Q438">
        <v>0.1793961</v>
      </c>
      <c r="R438">
        <v>-3.8317660000000003E-2</v>
      </c>
      <c r="S438">
        <v>3.265533</v>
      </c>
      <c r="T438">
        <v>-1.254424</v>
      </c>
      <c r="U438">
        <v>-0.31533810000000001</v>
      </c>
      <c r="V438">
        <v>2.9262730000000001E-2</v>
      </c>
      <c r="W438">
        <v>0.1893888</v>
      </c>
      <c r="X438">
        <v>0.98146610000000001</v>
      </c>
      <c r="Y438">
        <v>8.1665379999999996E-2</v>
      </c>
      <c r="Z438">
        <v>-1.223903E-2</v>
      </c>
      <c r="AA438">
        <v>0.99658469999999999</v>
      </c>
      <c r="AB438">
        <v>28</v>
      </c>
      <c r="AC438">
        <v>0.43060000000002602</v>
      </c>
      <c r="AD438">
        <v>-0.26737880000000003</v>
      </c>
      <c r="AE438">
        <v>-6.5100000000029398E-2</v>
      </c>
      <c r="AF438">
        <v>4.4406746478978701E-2</v>
      </c>
      <c r="AG438">
        <v>-0.26737880000000003</v>
      </c>
      <c r="AH438">
        <v>0.313139346827912</v>
      </c>
      <c r="AI438">
        <v>130.21140457878201</v>
      </c>
      <c r="AJ438">
        <v>81.928621437411195</v>
      </c>
      <c r="AK438">
        <v>0.41414928752093699</v>
      </c>
      <c r="AL438">
        <v>79.082883297766003</v>
      </c>
      <c r="AM438">
        <v>88.292213684024404</v>
      </c>
      <c r="AN438">
        <v>1.0000000651908401</v>
      </c>
    </row>
    <row r="439" spans="1:40" x14ac:dyDescent="0.25">
      <c r="A439" t="str">
        <f>"20190303162506278"</f>
        <v>20190303162506278</v>
      </c>
      <c r="B439" t="str">
        <f>"1551601506272720"</f>
        <v>1551601506272720</v>
      </c>
      <c r="C439" t="s">
        <v>40</v>
      </c>
      <c r="D439">
        <v>5.0375529999999999</v>
      </c>
      <c r="E439">
        <v>0.52619719999999903</v>
      </c>
      <c r="F439" t="s">
        <v>42</v>
      </c>
      <c r="G439">
        <v>-370.47699999999998</v>
      </c>
      <c r="H439">
        <v>0.86696819999999897</v>
      </c>
      <c r="I439">
        <v>367.2901</v>
      </c>
      <c r="J439">
        <v>-370.87860000000001</v>
      </c>
      <c r="K439">
        <v>1.1209009999999999</v>
      </c>
      <c r="L439">
        <v>367.35649999999998</v>
      </c>
      <c r="M439">
        <v>0.9999072</v>
      </c>
      <c r="N439">
        <v>-1.0179580000000001E-2</v>
      </c>
      <c r="O439">
        <v>-9.0598910000000005E-3</v>
      </c>
      <c r="P439">
        <v>0.98283670000000001</v>
      </c>
      <c r="Q439">
        <v>0.18054770000000001</v>
      </c>
      <c r="R439">
        <v>-3.7877950000000001E-2</v>
      </c>
      <c r="S439">
        <v>3.2601010000000001</v>
      </c>
      <c r="T439">
        <v>-1.2111749999999999</v>
      </c>
      <c r="U439">
        <v>-0.32803339999999998</v>
      </c>
      <c r="V439">
        <v>2.893772E-2</v>
      </c>
      <c r="W439">
        <v>0.19055130000000001</v>
      </c>
      <c r="X439">
        <v>0.98125059999999997</v>
      </c>
      <c r="Y439">
        <v>8.5821270000000005E-2</v>
      </c>
      <c r="Z439">
        <v>-1.2683720000000001E-2</v>
      </c>
      <c r="AA439">
        <v>0.99622980000000005</v>
      </c>
      <c r="AB439">
        <v>28</v>
      </c>
      <c r="AC439">
        <v>0.40160000000002999</v>
      </c>
      <c r="AD439">
        <v>-0.25393280000000001</v>
      </c>
      <c r="AE439">
        <v>-6.6399999999987303E-2</v>
      </c>
      <c r="AF439">
        <v>4.5177131903038799E-2</v>
      </c>
      <c r="AG439">
        <v>-0.25393280000000001</v>
      </c>
      <c r="AH439">
        <v>0.28951507117057401</v>
      </c>
      <c r="AI439">
        <v>130.912515374419</v>
      </c>
      <c r="AJ439">
        <v>81.130854711025904</v>
      </c>
      <c r="AK439">
        <v>0.38773936684031302</v>
      </c>
      <c r="AL439">
        <v>79.015040431595907</v>
      </c>
      <c r="AM439">
        <v>88.310799688362707</v>
      </c>
      <c r="AN439">
        <v>0.99999996478542297</v>
      </c>
    </row>
    <row r="440" spans="1:40" x14ac:dyDescent="0.25">
      <c r="A440" t="str">
        <f>"20190303162506302"</f>
        <v>20190303162506302</v>
      </c>
      <c r="B440" t="str">
        <f>"1551601506293216"</f>
        <v>1551601506293216</v>
      </c>
      <c r="C440" t="s">
        <v>40</v>
      </c>
      <c r="D440">
        <v>5.0696009999999996</v>
      </c>
      <c r="E440">
        <v>0.52673110000000001</v>
      </c>
      <c r="F440" t="s">
        <v>42</v>
      </c>
      <c r="G440">
        <v>-370.2217</v>
      </c>
      <c r="H440">
        <v>0.88552830000000005</v>
      </c>
      <c r="I440">
        <v>367.28769999999997</v>
      </c>
      <c r="J440">
        <v>-370.58390000000003</v>
      </c>
      <c r="K440">
        <v>1.12090499999999</v>
      </c>
      <c r="L440">
        <v>367.35399999999998</v>
      </c>
      <c r="M440">
        <v>0.99990829999999997</v>
      </c>
      <c r="N440">
        <v>-1.019222E-2</v>
      </c>
      <c r="O440">
        <v>-8.9390759999999903E-3</v>
      </c>
      <c r="P440">
        <v>0.98260579999999997</v>
      </c>
      <c r="Q440">
        <v>0.18189559999999999</v>
      </c>
      <c r="R440">
        <v>-3.7421999999999997E-2</v>
      </c>
      <c r="S440">
        <v>3.253479</v>
      </c>
      <c r="T440">
        <v>-1.165794</v>
      </c>
      <c r="U440">
        <v>-0.34027099999999999</v>
      </c>
      <c r="V440">
        <v>2.8602329999999999E-2</v>
      </c>
      <c r="W440">
        <v>0.191909</v>
      </c>
      <c r="X440">
        <v>0.98099579999999997</v>
      </c>
      <c r="Y440">
        <v>8.9935909999999994E-2</v>
      </c>
      <c r="Z440">
        <v>-1.3051409999999999E-2</v>
      </c>
      <c r="AA440">
        <v>0.99586200000000002</v>
      </c>
      <c r="AB440">
        <v>28</v>
      </c>
      <c r="AC440">
        <v>0.362200000000029</v>
      </c>
      <c r="AD440">
        <v>-0.235376699999999</v>
      </c>
      <c r="AE440">
        <v>-6.6300000000069303E-2</v>
      </c>
      <c r="AF440">
        <v>4.4766912769434702E-2</v>
      </c>
      <c r="AG440">
        <v>-0.235376699999999</v>
      </c>
      <c r="AH440">
        <v>0.25754206370974803</v>
      </c>
      <c r="AI440">
        <v>132.00091811259799</v>
      </c>
      <c r="AJ440">
        <v>80.139162209741798</v>
      </c>
      <c r="AK440">
        <v>0.35175869848757402</v>
      </c>
      <c r="AL440">
        <v>78.935787274731695</v>
      </c>
      <c r="AM440">
        <v>88.329933061594801</v>
      </c>
      <c r="AN440">
        <v>0.99999995859003299</v>
      </c>
    </row>
    <row r="441" spans="1:40" x14ac:dyDescent="0.25">
      <c r="A441" t="str">
        <f>"20190303162506325"</f>
        <v>20190303162506325</v>
      </c>
      <c r="B441" t="str">
        <f>"1551601506312735"</f>
        <v>1551601506312735</v>
      </c>
      <c r="C441" t="s">
        <v>40</v>
      </c>
      <c r="D441">
        <v>5.0949739999999997</v>
      </c>
      <c r="E441">
        <v>0.52713859999999901</v>
      </c>
      <c r="F441" t="s">
        <v>42</v>
      </c>
      <c r="G441">
        <v>-369.74860000000001</v>
      </c>
      <c r="H441">
        <v>0.82629409999999903</v>
      </c>
      <c r="I441">
        <v>367.26620000000003</v>
      </c>
      <c r="J441">
        <v>-370.29070000000002</v>
      </c>
      <c r="K441">
        <v>1.1209129999999901</v>
      </c>
      <c r="L441">
        <v>367.35149999999999</v>
      </c>
      <c r="M441">
        <v>0.9999091</v>
      </c>
      <c r="N441">
        <v>-1.0204049999999999E-2</v>
      </c>
      <c r="O441">
        <v>-8.8186150000000001E-3</v>
      </c>
      <c r="P441">
        <v>0.98259620000000003</v>
      </c>
      <c r="Q441">
        <v>0.1820146</v>
      </c>
      <c r="R441">
        <v>-3.708931E-2</v>
      </c>
      <c r="S441">
        <v>3.2524109999999999</v>
      </c>
      <c r="T441">
        <v>-1.1471</v>
      </c>
      <c r="U441">
        <v>-0.34237669999999998</v>
      </c>
      <c r="V441">
        <v>2.8388030000000002E-2</v>
      </c>
      <c r="W441">
        <v>0.1920396</v>
      </c>
      <c r="X441">
        <v>0.98097650000000003</v>
      </c>
      <c r="Y441">
        <v>9.0820700000000004E-2</v>
      </c>
      <c r="Z441">
        <v>-1.3061939999999999E-2</v>
      </c>
      <c r="AA441">
        <v>0.99578160000000004</v>
      </c>
      <c r="AB441">
        <v>28</v>
      </c>
      <c r="AC441">
        <v>0.54210000000000402</v>
      </c>
      <c r="AD441">
        <v>-0.29461889999999902</v>
      </c>
      <c r="AE441">
        <v>-8.5299999999961004E-2</v>
      </c>
      <c r="AF441">
        <v>6.2501112472742607E-2</v>
      </c>
      <c r="AG441">
        <v>-0.29461889999999902</v>
      </c>
      <c r="AH441">
        <v>0.42137725085057498</v>
      </c>
      <c r="AI441">
        <v>124.66828786005</v>
      </c>
      <c r="AJ441">
        <v>81.563071850088605</v>
      </c>
      <c r="AK441">
        <v>0.51794350351358698</v>
      </c>
      <c r="AL441">
        <v>78.928162988860706</v>
      </c>
      <c r="AM441">
        <v>88.342406265533498</v>
      </c>
      <c r="AN441">
        <v>0.99999999088384495</v>
      </c>
    </row>
    <row r="442" spans="1:40" x14ac:dyDescent="0.25">
      <c r="A442" t="str">
        <f>"20190303162506347"</f>
        <v>20190303162506347</v>
      </c>
      <c r="B442" t="str">
        <f>"1551601506342992"</f>
        <v>1551601506342992</v>
      </c>
      <c r="C442" t="s">
        <v>40</v>
      </c>
      <c r="D442">
        <v>5.1403629999999998</v>
      </c>
      <c r="E442">
        <v>0.52751930000000002</v>
      </c>
      <c r="F442" t="s">
        <v>42</v>
      </c>
      <c r="G442">
        <v>-369.49349999999998</v>
      </c>
      <c r="H442">
        <v>0.84237309999999999</v>
      </c>
      <c r="I442">
        <v>367.2672</v>
      </c>
      <c r="J442">
        <v>-370.01580000000001</v>
      </c>
      <c r="K442">
        <v>1.120908</v>
      </c>
      <c r="L442">
        <v>367.3492</v>
      </c>
      <c r="M442">
        <v>0.99990990000000002</v>
      </c>
      <c r="N442">
        <v>-1.021452E-2</v>
      </c>
      <c r="O442">
        <v>-8.7056589999999993E-3</v>
      </c>
      <c r="P442">
        <v>0.98260159999999996</v>
      </c>
      <c r="Q442">
        <v>0.1819857</v>
      </c>
      <c r="R442">
        <v>-3.7085350000000003E-2</v>
      </c>
      <c r="S442">
        <v>3.2505489999999999</v>
      </c>
      <c r="T442">
        <v>-1.135705</v>
      </c>
      <c r="U442">
        <v>-0.34320070000000003</v>
      </c>
      <c r="V442">
        <v>2.8495139999999999E-2</v>
      </c>
      <c r="W442">
        <v>0.19202089999999999</v>
      </c>
      <c r="X442">
        <v>0.98097710000000005</v>
      </c>
      <c r="Y442">
        <v>9.1297740000000002E-2</v>
      </c>
      <c r="Z442">
        <v>-1.307198E-2</v>
      </c>
      <c r="AA442">
        <v>0.99573789999999995</v>
      </c>
      <c r="AB442">
        <v>28</v>
      </c>
      <c r="AC442">
        <v>0.52230000000002896</v>
      </c>
      <c r="AD442">
        <v>-0.27853489999999997</v>
      </c>
      <c r="AE442">
        <v>-8.1999999999993606E-2</v>
      </c>
      <c r="AF442">
        <v>6.0623512601231E-2</v>
      </c>
      <c r="AG442">
        <v>-0.27853489999999997</v>
      </c>
      <c r="AH442">
        <v>0.40937207288076999</v>
      </c>
      <c r="AI442">
        <v>123.94273486146</v>
      </c>
      <c r="AJ442">
        <v>81.576345561170797</v>
      </c>
      <c r="AK442">
        <v>0.498841051691638</v>
      </c>
      <c r="AL442">
        <v>78.929255231743198</v>
      </c>
      <c r="AM442">
        <v>88.336156575767603</v>
      </c>
      <c r="AN442">
        <v>1.0000000348824101</v>
      </c>
    </row>
    <row r="443" spans="1:40" x14ac:dyDescent="0.25">
      <c r="A443" t="str">
        <f>"20190303162506368"</f>
        <v>20190303162506368</v>
      </c>
      <c r="B443" t="str">
        <f>"1551601506363488"</f>
        <v>1551601506363488</v>
      </c>
      <c r="C443" t="s">
        <v>40</v>
      </c>
      <c r="D443">
        <v>5.1395010000000001</v>
      </c>
      <c r="E443">
        <v>0.52759</v>
      </c>
      <c r="F443" t="s">
        <v>42</v>
      </c>
      <c r="G443">
        <v>-369.24040000000002</v>
      </c>
      <c r="H443">
        <v>0.8528597</v>
      </c>
      <c r="I443">
        <v>367.26679999999999</v>
      </c>
      <c r="J443">
        <v>-369.7543</v>
      </c>
      <c r="K443">
        <v>1.120908</v>
      </c>
      <c r="L443">
        <v>367.34699999999998</v>
      </c>
      <c r="M443">
        <v>0.99991090000000005</v>
      </c>
      <c r="N443">
        <v>-1.022404E-2</v>
      </c>
      <c r="O443">
        <v>-8.5981809999999999E-3</v>
      </c>
      <c r="P443">
        <v>0.98257640000000002</v>
      </c>
      <c r="Q443">
        <v>0.1820792</v>
      </c>
      <c r="R443">
        <v>-3.7291530000000003E-2</v>
      </c>
      <c r="S443">
        <v>3.2480769999999999</v>
      </c>
      <c r="T443">
        <v>-1.122717</v>
      </c>
      <c r="U443">
        <v>-0.34463500000000002</v>
      </c>
      <c r="V443">
        <v>2.880711E-2</v>
      </c>
      <c r="W443">
        <v>0.19212380000000001</v>
      </c>
      <c r="X443">
        <v>0.98094780000000004</v>
      </c>
      <c r="Y443">
        <v>9.1975169999999995E-2</v>
      </c>
      <c r="Z443">
        <v>-1.30977E-2</v>
      </c>
      <c r="AA443">
        <v>0.99567510000000004</v>
      </c>
      <c r="AB443">
        <v>28</v>
      </c>
      <c r="AC443">
        <v>0.51389999999997804</v>
      </c>
      <c r="AD443">
        <v>-0.26804829999999902</v>
      </c>
      <c r="AE443">
        <v>-8.0199999999990695E-2</v>
      </c>
      <c r="AF443">
        <v>5.9875598150966901E-2</v>
      </c>
      <c r="AG443">
        <v>-0.26804829999999902</v>
      </c>
      <c r="AH443">
        <v>0.40658425996185499</v>
      </c>
      <c r="AI443">
        <v>123.113765537139</v>
      </c>
      <c r="AJ443">
        <v>81.622555778859393</v>
      </c>
      <c r="AK443">
        <v>0.49065847474139901</v>
      </c>
      <c r="AL443">
        <v>78.923247194590303</v>
      </c>
      <c r="AM443">
        <v>88.317900709457902</v>
      </c>
      <c r="AN443">
        <v>0.99999999521891603</v>
      </c>
    </row>
    <row r="444" spans="1:40" x14ac:dyDescent="0.25">
      <c r="A444" t="str">
        <f>"20190303162506390"</f>
        <v>20190303162506390</v>
      </c>
      <c r="B444" t="str">
        <f>"1551601506383008"</f>
        <v>1551601506383008</v>
      </c>
      <c r="C444" t="s">
        <v>40</v>
      </c>
      <c r="D444">
        <v>5.1488370000000003</v>
      </c>
      <c r="E444">
        <v>0.52772540000000001</v>
      </c>
      <c r="F444" t="s">
        <v>42</v>
      </c>
      <c r="G444">
        <v>-368.98930000000001</v>
      </c>
      <c r="H444">
        <v>0.857498599999999</v>
      </c>
      <c r="I444">
        <v>367.26519999999999</v>
      </c>
      <c r="J444">
        <v>-369.47609999999997</v>
      </c>
      <c r="K444">
        <v>1.120906</v>
      </c>
      <c r="L444">
        <v>367.34480000000002</v>
      </c>
      <c r="M444">
        <v>0.99991180000000002</v>
      </c>
      <c r="N444">
        <v>-1.023175E-2</v>
      </c>
      <c r="O444">
        <v>-8.4837799999999998E-3</v>
      </c>
      <c r="P444">
        <v>0.98260820000000004</v>
      </c>
      <c r="Q444">
        <v>0.18190870000000001</v>
      </c>
      <c r="R444">
        <v>-3.7291459999999998E-2</v>
      </c>
      <c r="S444">
        <v>3.2472530000000002</v>
      </c>
      <c r="T444">
        <v>-1.1180699999999999</v>
      </c>
      <c r="U444">
        <v>-0.34570309999999999</v>
      </c>
      <c r="V444">
        <v>2.8919130000000001E-2</v>
      </c>
      <c r="W444">
        <v>0.1919614</v>
      </c>
      <c r="X444">
        <v>0.98097630000000002</v>
      </c>
      <c r="Y444">
        <v>9.2442750000000004E-2</v>
      </c>
      <c r="Z444">
        <v>-1.316934E-2</v>
      </c>
      <c r="AA444">
        <v>0.99563089999999999</v>
      </c>
      <c r="AB444">
        <v>28</v>
      </c>
      <c r="AC444">
        <v>0.48679999999995899</v>
      </c>
      <c r="AD444">
        <v>-0.26340740000000001</v>
      </c>
      <c r="AE444">
        <v>-7.9600000000027593E-2</v>
      </c>
      <c r="AF444">
        <v>5.8721683185397999E-2</v>
      </c>
      <c r="AG444">
        <v>-0.26340740000000001</v>
      </c>
      <c r="AH444">
        <v>0.37929609047020701</v>
      </c>
      <c r="AI444">
        <v>124.461336105501</v>
      </c>
      <c r="AJ444">
        <v>81.199476874361906</v>
      </c>
      <c r="AK444">
        <v>0.465507485113687</v>
      </c>
      <c r="AL444">
        <v>78.932728541852597</v>
      </c>
      <c r="AM444">
        <v>88.311412469727102</v>
      </c>
      <c r="AN444">
        <v>0.99999999816580298</v>
      </c>
    </row>
    <row r="445" spans="1:40" x14ac:dyDescent="0.25">
      <c r="A445" t="str">
        <f>"20190303162506436"</f>
        <v>20190303162506436</v>
      </c>
      <c r="B445" t="str">
        <f>"1551601506432783"</f>
        <v>1551601506432783</v>
      </c>
      <c r="C445" t="s">
        <v>40</v>
      </c>
      <c r="D445">
        <v>5.2044100000000002</v>
      </c>
      <c r="E445">
        <v>0.52792709999999998</v>
      </c>
      <c r="F445" t="s">
        <v>42</v>
      </c>
      <c r="G445">
        <v>-368.7362</v>
      </c>
      <c r="H445">
        <v>0.86666609999999999</v>
      </c>
      <c r="I445">
        <v>367.26600000000002</v>
      </c>
      <c r="J445">
        <v>-368.92250000000001</v>
      </c>
      <c r="K445">
        <v>1.12090499999999</v>
      </c>
      <c r="L445">
        <v>367.34030000000001</v>
      </c>
      <c r="M445">
        <v>0.99991379999999996</v>
      </c>
      <c r="N445">
        <v>-1.022347E-2</v>
      </c>
      <c r="O445">
        <v>-8.2560510000000004E-3</v>
      </c>
      <c r="P445">
        <v>0.98263800000000001</v>
      </c>
      <c r="Q445">
        <v>0.18152370000000001</v>
      </c>
      <c r="R445">
        <v>-3.8363769999999998E-2</v>
      </c>
      <c r="S445">
        <v>3.2464599999999999</v>
      </c>
      <c r="T445">
        <v>-1.1154649999999999</v>
      </c>
      <c r="U445">
        <v>-0.34585569999999999</v>
      </c>
      <c r="V445">
        <v>3.0214899999999999E-2</v>
      </c>
      <c r="W445">
        <v>0.19156880000000001</v>
      </c>
      <c r="X445">
        <v>0.98101400000000005</v>
      </c>
      <c r="Y445">
        <v>9.2732179999999997E-2</v>
      </c>
      <c r="Z445">
        <v>-1.326725E-2</v>
      </c>
      <c r="AA445">
        <v>0.99560269999999995</v>
      </c>
      <c r="AB445">
        <v>28</v>
      </c>
      <c r="AC445">
        <v>0.18630000000001601</v>
      </c>
      <c r="AD445">
        <v>-0.25423889999999899</v>
      </c>
      <c r="AE445">
        <v>-7.4300000000050603E-2</v>
      </c>
      <c r="AF445">
        <v>2.7911666567824601E-2</v>
      </c>
      <c r="AG445">
        <v>-0.25423889999999899</v>
      </c>
      <c r="AH445">
        <v>7.1700661093461404E-2</v>
      </c>
      <c r="AI445">
        <v>163.16229717982401</v>
      </c>
      <c r="AJ445">
        <v>68.730008809947293</v>
      </c>
      <c r="AK445">
        <v>0.26562655026379101</v>
      </c>
      <c r="AL445">
        <v>78.955648331135706</v>
      </c>
      <c r="AM445">
        <v>88.235867023715201</v>
      </c>
      <c r="AN445">
        <v>1.00000000675572</v>
      </c>
    </row>
    <row r="446" spans="1:40" x14ac:dyDescent="0.25">
      <c r="A446" t="str">
        <f>"20190303162506458"</f>
        <v>20190303162506458</v>
      </c>
      <c r="B446" t="str">
        <f>"1551601506453279"</f>
        <v>1551601506453279</v>
      </c>
      <c r="C446" t="s">
        <v>40</v>
      </c>
      <c r="D446">
        <v>5.1987329999999998</v>
      </c>
      <c r="E446">
        <v>0.52796730000000003</v>
      </c>
      <c r="F446" t="s">
        <v>42</v>
      </c>
      <c r="G446">
        <v>-368.2296</v>
      </c>
      <c r="H446">
        <v>0.88368630000000004</v>
      </c>
      <c r="I446">
        <v>367.26530000000002</v>
      </c>
      <c r="J446">
        <v>-368.63749999999999</v>
      </c>
      <c r="K446">
        <v>1.1208959999999999</v>
      </c>
      <c r="L446">
        <v>367.3381</v>
      </c>
      <c r="M446">
        <v>0.99991490000000005</v>
      </c>
      <c r="N446">
        <v>-1.020573E-2</v>
      </c>
      <c r="O446">
        <v>-8.1394919999999999E-3</v>
      </c>
      <c r="P446">
        <v>0.98275179999999995</v>
      </c>
      <c r="Q446">
        <v>0.18076110000000001</v>
      </c>
      <c r="R446">
        <v>-3.9051870000000002E-2</v>
      </c>
      <c r="S446">
        <v>3.2445680000000001</v>
      </c>
      <c r="T446">
        <v>-1.1107720000000001</v>
      </c>
      <c r="U446">
        <v>-0.35113529999999998</v>
      </c>
      <c r="V446">
        <v>3.1016370000000001E-2</v>
      </c>
      <c r="W446">
        <v>0.1907895</v>
      </c>
      <c r="X446">
        <v>0.98114089999999998</v>
      </c>
      <c r="Y446">
        <v>9.4441150000000001E-2</v>
      </c>
      <c r="Z446">
        <v>-1.3551779999999999E-2</v>
      </c>
      <c r="AA446">
        <v>0.99543820000000005</v>
      </c>
      <c r="AB446">
        <v>28</v>
      </c>
      <c r="AC446">
        <v>0.407899999999983</v>
      </c>
      <c r="AD446">
        <v>-0.237209699999999</v>
      </c>
      <c r="AE446">
        <v>-7.2799999999972401E-2</v>
      </c>
      <c r="AF446">
        <v>5.2327202789098602E-2</v>
      </c>
      <c r="AG446">
        <v>-0.237209699999999</v>
      </c>
      <c r="AH446">
        <v>0.30764813939482899</v>
      </c>
      <c r="AI446">
        <v>127.239389249879</v>
      </c>
      <c r="AJ446">
        <v>80.347064112329903</v>
      </c>
      <c r="AK446">
        <v>0.39198718805456001</v>
      </c>
      <c r="AL446">
        <v>79.001138542904002</v>
      </c>
      <c r="AM446">
        <v>88.189337061164593</v>
      </c>
      <c r="AN446">
        <v>1.0000000570855101</v>
      </c>
    </row>
    <row r="447" spans="1:40" x14ac:dyDescent="0.25">
      <c r="A447" t="str">
        <f>"20190303162506479"</f>
        <v>20190303162506479</v>
      </c>
      <c r="B447" t="str">
        <f>"1551601506472800"</f>
        <v>1551601506472800</v>
      </c>
      <c r="C447" t="s">
        <v>40</v>
      </c>
      <c r="D447">
        <v>5.203525</v>
      </c>
      <c r="E447">
        <v>0.52796109999999996</v>
      </c>
      <c r="F447" t="s">
        <v>42</v>
      </c>
      <c r="G447">
        <v>-367.97519999999997</v>
      </c>
      <c r="H447">
        <v>0.89376639999999996</v>
      </c>
      <c r="I447">
        <v>367.26580000000001</v>
      </c>
      <c r="J447">
        <v>-368.36959999999999</v>
      </c>
      <c r="K447">
        <v>1.1208910000000001</v>
      </c>
      <c r="L447">
        <v>367.33600000000001</v>
      </c>
      <c r="M447">
        <v>0.99991600000000003</v>
      </c>
      <c r="N447">
        <v>-1.018555E-2</v>
      </c>
      <c r="O447">
        <v>-8.029128E-3</v>
      </c>
      <c r="P447">
        <v>0.98271940000000002</v>
      </c>
      <c r="Q447">
        <v>0.18079000000000001</v>
      </c>
      <c r="R447">
        <v>-3.9725580000000003E-2</v>
      </c>
      <c r="S447">
        <v>3.2431950000000001</v>
      </c>
      <c r="T447">
        <v>-1.1121289999999999</v>
      </c>
      <c r="U447">
        <v>-0.35272219999999999</v>
      </c>
      <c r="V447">
        <v>3.1798920000000001E-2</v>
      </c>
      <c r="W447">
        <v>0.19079840000000001</v>
      </c>
      <c r="X447">
        <v>0.98111409999999999</v>
      </c>
      <c r="Y447">
        <v>9.5022510000000004E-2</v>
      </c>
      <c r="Z447">
        <v>-1.370585E-2</v>
      </c>
      <c r="AA447">
        <v>0.99538079999999995</v>
      </c>
      <c r="AB447">
        <v>28</v>
      </c>
      <c r="AC447">
        <v>0.39440000000001801</v>
      </c>
      <c r="AD447">
        <v>-0.22712460000000001</v>
      </c>
      <c r="AE447">
        <v>-7.0199999999999804E-2</v>
      </c>
      <c r="AF447">
        <v>5.0725376701013403E-2</v>
      </c>
      <c r="AG447">
        <v>-0.22712460000000001</v>
      </c>
      <c r="AH447">
        <v>0.29887769233838102</v>
      </c>
      <c r="AI447">
        <v>126.840958178531</v>
      </c>
      <c r="AJ447">
        <v>80.367574672369699</v>
      </c>
      <c r="AK447">
        <v>0.37879614932590799</v>
      </c>
      <c r="AL447">
        <v>79.000618866243101</v>
      </c>
      <c r="AM447">
        <v>88.143634525225195</v>
      </c>
      <c r="AN447">
        <v>1.0000000389872601</v>
      </c>
    </row>
    <row r="448" spans="1:40" x14ac:dyDescent="0.25">
      <c r="A448" t="str">
        <f>"20190303162506502"</f>
        <v>20190303162506502</v>
      </c>
      <c r="B448" t="str">
        <f>"1551601506493296"</f>
        <v>1551601506493296</v>
      </c>
      <c r="C448" t="s">
        <v>40</v>
      </c>
      <c r="D448">
        <v>5.2179849999999997</v>
      </c>
      <c r="E448">
        <v>0.52792109999999903</v>
      </c>
      <c r="F448" t="s">
        <v>42</v>
      </c>
      <c r="G448">
        <v>-367.50150000000002</v>
      </c>
      <c r="H448">
        <v>0.82322859999999998</v>
      </c>
      <c r="I448">
        <v>367.24079999999998</v>
      </c>
      <c r="J448">
        <v>-368.08550000000002</v>
      </c>
      <c r="K448">
        <v>1.1208880000000001</v>
      </c>
      <c r="L448">
        <v>367.33390000000003</v>
      </c>
      <c r="M448">
        <v>0.9999171</v>
      </c>
      <c r="N448">
        <v>-1.016004E-2</v>
      </c>
      <c r="O448">
        <v>-7.9121790000000001E-3</v>
      </c>
      <c r="P448">
        <v>0.98263160000000005</v>
      </c>
      <c r="Q448">
        <v>0.18115120000000001</v>
      </c>
      <c r="R448">
        <v>-4.0244330000000002E-2</v>
      </c>
      <c r="S448">
        <v>3.24295</v>
      </c>
      <c r="T448">
        <v>-1.111823</v>
      </c>
      <c r="U448">
        <v>-0.35449219999999998</v>
      </c>
      <c r="V448">
        <v>3.2433400000000001E-2</v>
      </c>
      <c r="W448">
        <v>0.19113450000000001</v>
      </c>
      <c r="X448">
        <v>0.98102789999999995</v>
      </c>
      <c r="Y448">
        <v>9.5644149999999997E-2</v>
      </c>
      <c r="Z448">
        <v>-1.384584E-2</v>
      </c>
      <c r="AA448">
        <v>0.99531930000000002</v>
      </c>
      <c r="AB448">
        <v>28</v>
      </c>
      <c r="AC448">
        <v>0.58400000000000296</v>
      </c>
      <c r="AD448">
        <v>-0.29765939999999902</v>
      </c>
      <c r="AE448">
        <v>-9.3100000000049393E-2</v>
      </c>
      <c r="AF448">
        <v>7.0591940553655405E-2</v>
      </c>
      <c r="AG448">
        <v>-0.29765939999999902</v>
      </c>
      <c r="AH448">
        <v>0.46652586392230599</v>
      </c>
      <c r="AI448">
        <v>122.245899607033</v>
      </c>
      <c r="AJ448">
        <v>81.395613120622301</v>
      </c>
      <c r="AK448">
        <v>0.55788056265471797</v>
      </c>
      <c r="AL448">
        <v>78.981000631066294</v>
      </c>
      <c r="AM448">
        <v>88.106455141423396</v>
      </c>
      <c r="AN448">
        <v>1.0000000315521</v>
      </c>
    </row>
    <row r="449" spans="1:40" x14ac:dyDescent="0.25">
      <c r="A449" t="str">
        <f>"20190303162506525"</f>
        <v>20190303162506525</v>
      </c>
      <c r="B449" t="str">
        <f>"1551601506523552"</f>
        <v>1551601506523552</v>
      </c>
      <c r="C449" t="s">
        <v>40</v>
      </c>
      <c r="D449">
        <v>5.2439749999999998</v>
      </c>
      <c r="E449">
        <v>0.52782369999999901</v>
      </c>
      <c r="F449" t="s">
        <v>42</v>
      </c>
      <c r="G449">
        <v>-367.24610000000001</v>
      </c>
      <c r="H449">
        <v>0.83342769999999999</v>
      </c>
      <c r="I449">
        <v>367.24189999999999</v>
      </c>
      <c r="J449">
        <v>-367.78890000000001</v>
      </c>
      <c r="K449">
        <v>1.1208830000000001</v>
      </c>
      <c r="L449">
        <v>367.33170000000001</v>
      </c>
      <c r="M449">
        <v>0.99991850000000004</v>
      </c>
      <c r="N449">
        <v>-1.013068E-2</v>
      </c>
      <c r="O449">
        <v>-7.79020199999999E-3</v>
      </c>
      <c r="P449">
        <v>0.98260440000000004</v>
      </c>
      <c r="Q449">
        <v>0.181367</v>
      </c>
      <c r="R449">
        <v>-3.9934549999999999E-2</v>
      </c>
      <c r="S449">
        <v>3.2431950000000001</v>
      </c>
      <c r="T449">
        <v>-1.110614</v>
      </c>
      <c r="U449">
        <v>-0.35543819999999998</v>
      </c>
      <c r="V449">
        <v>3.224374E-2</v>
      </c>
      <c r="W449">
        <v>0.19132070000000001</v>
      </c>
      <c r="X449">
        <v>0.98099780000000003</v>
      </c>
      <c r="Y449">
        <v>9.6027730000000006E-2</v>
      </c>
      <c r="Z449">
        <v>-1.393434E-2</v>
      </c>
      <c r="AA449">
        <v>0.99528110000000003</v>
      </c>
      <c r="AB449">
        <v>28</v>
      </c>
      <c r="AC449">
        <v>0.54279999999999895</v>
      </c>
      <c r="AD449">
        <v>-0.28745530000000002</v>
      </c>
      <c r="AE449">
        <v>-8.9800000000025096E-2</v>
      </c>
      <c r="AF449">
        <v>6.72189644463973E-2</v>
      </c>
      <c r="AG449">
        <v>-0.28745530000000002</v>
      </c>
      <c r="AH449">
        <v>0.42693698052084</v>
      </c>
      <c r="AI449">
        <v>123.628025075712</v>
      </c>
      <c r="AJ449">
        <v>81.052533180171906</v>
      </c>
      <c r="AK449">
        <v>0.51906080955470701</v>
      </c>
      <c r="AL449">
        <v>78.970130959765896</v>
      </c>
      <c r="AM449">
        <v>88.117462268422699</v>
      </c>
      <c r="AN449">
        <v>0.99999997631125803</v>
      </c>
    </row>
    <row r="450" spans="1:40" x14ac:dyDescent="0.25">
      <c r="A450" t="str">
        <f>"20190303162506546"</f>
        <v>20190303162506546</v>
      </c>
      <c r="B450" t="str">
        <f>"1551601506543072"</f>
        <v>1551601506543072</v>
      </c>
      <c r="C450" t="s">
        <v>40</v>
      </c>
      <c r="D450">
        <v>5.2429410000000001</v>
      </c>
      <c r="E450">
        <v>0.52779489999999996</v>
      </c>
      <c r="F450" t="s">
        <v>42</v>
      </c>
      <c r="G450">
        <v>-366.98910000000001</v>
      </c>
      <c r="H450">
        <v>0.84711890000000001</v>
      </c>
      <c r="I450">
        <v>367.24419999999998</v>
      </c>
      <c r="J450">
        <v>-367.51710000000003</v>
      </c>
      <c r="K450">
        <v>1.1208769999999999</v>
      </c>
      <c r="L450">
        <v>367.3297</v>
      </c>
      <c r="M450">
        <v>0.99991940000000001</v>
      </c>
      <c r="N450">
        <v>-1.010398E-2</v>
      </c>
      <c r="O450">
        <v>-7.6781330000000002E-3</v>
      </c>
      <c r="P450">
        <v>0.98267020000000005</v>
      </c>
      <c r="Q450">
        <v>0.18114330000000001</v>
      </c>
      <c r="R450">
        <v>-3.9327000000000001E-2</v>
      </c>
      <c r="S450">
        <v>3.243652</v>
      </c>
      <c r="T450">
        <v>-1.1100859999999999</v>
      </c>
      <c r="U450">
        <v>-0.35391240000000002</v>
      </c>
      <c r="V450">
        <v>3.1745450000000001E-2</v>
      </c>
      <c r="W450">
        <v>0.1910713</v>
      </c>
      <c r="X450">
        <v>0.98106269999999995</v>
      </c>
      <c r="Y450">
        <v>9.5681769999999999E-2</v>
      </c>
      <c r="Z450">
        <v>-1.39022E-2</v>
      </c>
      <c r="AA450">
        <v>0.9953149</v>
      </c>
      <c r="AB450">
        <v>28</v>
      </c>
      <c r="AC450">
        <v>0.52800000000002001</v>
      </c>
      <c r="AD450">
        <v>-0.2737581</v>
      </c>
      <c r="AE450">
        <v>-8.5500000000024501E-2</v>
      </c>
      <c r="AF450">
        <v>6.4537396796954E-2</v>
      </c>
      <c r="AG450">
        <v>-0.2737581</v>
      </c>
      <c r="AH450">
        <v>0.41890671198759399</v>
      </c>
      <c r="AI450">
        <v>122.857852729961</v>
      </c>
      <c r="AJ450">
        <v>81.241784931621794</v>
      </c>
      <c r="AK450">
        <v>0.50457051662695696</v>
      </c>
      <c r="AL450">
        <v>78.984689566238302</v>
      </c>
      <c r="AM450">
        <v>88.146656804137095</v>
      </c>
      <c r="AN450">
        <v>1.0000000183053399</v>
      </c>
    </row>
    <row r="451" spans="1:40" x14ac:dyDescent="0.25">
      <c r="A451" t="str">
        <f>"20190303162506569"</f>
        <v>20190303162506569</v>
      </c>
      <c r="B451" t="str">
        <f>"1551601506563569"</f>
        <v>1551601506563569</v>
      </c>
      <c r="C451" t="s">
        <v>40</v>
      </c>
      <c r="D451">
        <v>5.2591720000000004</v>
      </c>
      <c r="E451">
        <v>0.52780899999999997</v>
      </c>
      <c r="F451" t="s">
        <v>42</v>
      </c>
      <c r="G451">
        <v>-366.73469999999998</v>
      </c>
      <c r="H451">
        <v>0.85307129999999998</v>
      </c>
      <c r="I451">
        <v>367.24450000000002</v>
      </c>
      <c r="J451">
        <v>-367.2373</v>
      </c>
      <c r="K451">
        <v>1.120876</v>
      </c>
      <c r="L451">
        <v>367.32760000000002</v>
      </c>
      <c r="M451">
        <v>0.9999207</v>
      </c>
      <c r="N451">
        <v>-1.007837E-2</v>
      </c>
      <c r="O451">
        <v>-7.5634459999999997E-3</v>
      </c>
      <c r="P451">
        <v>0.98266299999999995</v>
      </c>
      <c r="Q451">
        <v>0.18133270000000001</v>
      </c>
      <c r="R451">
        <v>-3.8629669999999998E-2</v>
      </c>
      <c r="S451">
        <v>3.2434080000000001</v>
      </c>
      <c r="T451">
        <v>-1.1101939999999999</v>
      </c>
      <c r="U451">
        <v>-0.35266110000000001</v>
      </c>
      <c r="V451">
        <v>3.1160960000000001E-2</v>
      </c>
      <c r="W451">
        <v>0.19123560000000001</v>
      </c>
      <c r="X451">
        <v>0.98104939999999996</v>
      </c>
      <c r="Y451">
        <v>9.5431479999999999E-2</v>
      </c>
      <c r="Z451">
        <v>-1.389727E-2</v>
      </c>
      <c r="AA451">
        <v>0.99533899999999997</v>
      </c>
      <c r="AB451">
        <v>28</v>
      </c>
      <c r="AC451">
        <v>0.50260000000002902</v>
      </c>
      <c r="AD451">
        <v>-0.26780470000000001</v>
      </c>
      <c r="AE451">
        <v>-8.31000000000017E-2</v>
      </c>
      <c r="AF451">
        <v>6.2126608444121399E-2</v>
      </c>
      <c r="AG451">
        <v>-0.26780470000000001</v>
      </c>
      <c r="AH451">
        <v>0.39425662716099902</v>
      </c>
      <c r="AI451">
        <v>123.861031868994</v>
      </c>
      <c r="AJ451">
        <v>81.045018441821099</v>
      </c>
      <c r="AK451">
        <v>0.48064265403647399</v>
      </c>
      <c r="AL451">
        <v>78.975098735810903</v>
      </c>
      <c r="AM451">
        <v>88.180732345420694</v>
      </c>
      <c r="AN451">
        <v>0.99999999268791995</v>
      </c>
    </row>
    <row r="452" spans="1:40" x14ac:dyDescent="0.25">
      <c r="A452" t="str">
        <f>"20190303162506591"</f>
        <v>20190303162506591</v>
      </c>
      <c r="B452" t="str">
        <f>"1551601506582619"</f>
        <v>1551601506582619</v>
      </c>
      <c r="C452" t="s">
        <v>40</v>
      </c>
      <c r="D452">
        <v>5.2728789999999996</v>
      </c>
      <c r="E452">
        <v>0.52782819999999997</v>
      </c>
      <c r="F452" t="s">
        <v>42</v>
      </c>
      <c r="G452">
        <v>-366.47899999999998</v>
      </c>
      <c r="H452">
        <v>0.86170569999999902</v>
      </c>
      <c r="I452">
        <v>367.24549999999999</v>
      </c>
      <c r="J452">
        <v>-366.95699999999999</v>
      </c>
      <c r="K452">
        <v>1.12087</v>
      </c>
      <c r="L452">
        <v>367.32569999999998</v>
      </c>
      <c r="M452">
        <v>0.99992179999999997</v>
      </c>
      <c r="N452">
        <v>-1.005557E-2</v>
      </c>
      <c r="O452">
        <v>-7.44829699999999E-3</v>
      </c>
      <c r="P452">
        <v>0.98271980000000003</v>
      </c>
      <c r="Q452">
        <v>0.1812531</v>
      </c>
      <c r="R452">
        <v>-3.7541419999999999E-2</v>
      </c>
      <c r="S452">
        <v>3.2437130000000001</v>
      </c>
      <c r="T452">
        <v>-1.1086400000000001</v>
      </c>
      <c r="U452">
        <v>-0.35070800000000002</v>
      </c>
      <c r="V452">
        <v>3.0185420000000001E-2</v>
      </c>
      <c r="W452">
        <v>0.19113350000000001</v>
      </c>
      <c r="X452">
        <v>0.98109979999999997</v>
      </c>
      <c r="Y452">
        <v>9.4978460000000001E-2</v>
      </c>
      <c r="Z452">
        <v>-1.38371E-2</v>
      </c>
      <c r="AA452">
        <v>0.99538309999999997</v>
      </c>
      <c r="AB452">
        <v>28</v>
      </c>
      <c r="AC452">
        <v>0.47799999999995102</v>
      </c>
      <c r="AD452">
        <v>-0.25916430000000001</v>
      </c>
      <c r="AE452">
        <v>-8.0199999999990695E-2</v>
      </c>
      <c r="AF452">
        <v>5.9597469783744597E-2</v>
      </c>
      <c r="AG452">
        <v>-0.25916430000000001</v>
      </c>
      <c r="AH452">
        <v>0.37217385371748302</v>
      </c>
      <c r="AI452">
        <v>124.512130168829</v>
      </c>
      <c r="AJ452">
        <v>80.902269980601403</v>
      </c>
      <c r="AK452">
        <v>0.457418156821564</v>
      </c>
      <c r="AL452">
        <v>78.981058606135505</v>
      </c>
      <c r="AM452">
        <v>88.237741193520804</v>
      </c>
      <c r="AN452">
        <v>0.99999999598143297</v>
      </c>
    </row>
    <row r="453" spans="1:40" x14ac:dyDescent="0.25">
      <c r="A453" t="str">
        <f>"20190303162506612"</f>
        <v>20190303162506612</v>
      </c>
      <c r="B453" t="str">
        <f>"1551601506603115"</f>
        <v>1551601506603115</v>
      </c>
      <c r="C453" t="s">
        <v>40</v>
      </c>
      <c r="D453">
        <v>5.2385460000000004</v>
      </c>
      <c r="E453">
        <v>0.52784359999999997</v>
      </c>
      <c r="F453" t="s">
        <v>42</v>
      </c>
      <c r="G453">
        <v>-366.22309999999999</v>
      </c>
      <c r="H453">
        <v>0.87009749999999997</v>
      </c>
      <c r="I453">
        <v>367.24689999999998</v>
      </c>
      <c r="J453">
        <v>-366.68869999999998</v>
      </c>
      <c r="K453">
        <v>1.120857</v>
      </c>
      <c r="L453">
        <v>367.32380000000001</v>
      </c>
      <c r="M453">
        <v>0.9999228</v>
      </c>
      <c r="N453">
        <v>-1.0034370000000001E-2</v>
      </c>
      <c r="O453">
        <v>-7.3381619999999996E-3</v>
      </c>
      <c r="P453">
        <v>0.98280199999999995</v>
      </c>
      <c r="Q453">
        <v>0.18089649999999999</v>
      </c>
      <c r="R453">
        <v>-3.7108120000000001E-2</v>
      </c>
      <c r="S453">
        <v>3.2438959999999999</v>
      </c>
      <c r="T453">
        <v>-1.1084050000000001</v>
      </c>
      <c r="U453">
        <v>-0.34802250000000001</v>
      </c>
      <c r="V453">
        <v>2.9859770000000001E-2</v>
      </c>
      <c r="W453">
        <v>0.19075719999999999</v>
      </c>
      <c r="X453">
        <v>0.98118300000000003</v>
      </c>
      <c r="Y453">
        <v>9.430318E-2</v>
      </c>
      <c r="Z453">
        <v>-1.3753080000000001E-2</v>
      </c>
      <c r="AA453">
        <v>0.99544849999999996</v>
      </c>
      <c r="AB453">
        <v>28</v>
      </c>
      <c r="AC453">
        <v>0.46559999999999402</v>
      </c>
      <c r="AD453">
        <v>-0.25075949999999902</v>
      </c>
      <c r="AE453">
        <v>-7.69000000000232E-2</v>
      </c>
      <c r="AF453">
        <v>5.7301545220794899E-2</v>
      </c>
      <c r="AG453">
        <v>-0.25075949999999902</v>
      </c>
      <c r="AH453">
        <v>0.36351136311543902</v>
      </c>
      <c r="AI453">
        <v>124.270976773325</v>
      </c>
      <c r="AJ453">
        <v>81.041981233917497</v>
      </c>
      <c r="AK453">
        <v>0.44531371530527297</v>
      </c>
      <c r="AL453">
        <v>79.003023156217395</v>
      </c>
      <c r="AM453">
        <v>88.256888941878799</v>
      </c>
      <c r="AN453">
        <v>0.999999997352646</v>
      </c>
    </row>
    <row r="454" spans="1:40" x14ac:dyDescent="0.25">
      <c r="A454" t="str">
        <f>"20190303162506634"</f>
        <v>20190303162506634</v>
      </c>
      <c r="B454" t="str">
        <f>"1551601506622635"</f>
        <v>1551601506622635</v>
      </c>
      <c r="C454" t="s">
        <v>40</v>
      </c>
      <c r="D454">
        <v>5.2688730000000001</v>
      </c>
      <c r="E454">
        <v>0.52787439999999997</v>
      </c>
      <c r="F454" t="s">
        <v>42</v>
      </c>
      <c r="G454">
        <v>-365.96839999999997</v>
      </c>
      <c r="H454">
        <v>0.87459310000000001</v>
      </c>
      <c r="I454">
        <v>367.24650000000003</v>
      </c>
      <c r="J454">
        <v>-366.41890000000001</v>
      </c>
      <c r="K454">
        <v>1.120852</v>
      </c>
      <c r="L454">
        <v>367.32190000000003</v>
      </c>
      <c r="M454">
        <v>0.99992380000000003</v>
      </c>
      <c r="N454">
        <v>-1.0012109999999999E-2</v>
      </c>
      <c r="O454">
        <v>-7.227308E-3</v>
      </c>
      <c r="P454">
        <v>0.98299979999999998</v>
      </c>
      <c r="Q454">
        <v>0.1799269</v>
      </c>
      <c r="R454">
        <v>-3.6575999999999997E-2</v>
      </c>
      <c r="S454">
        <v>3.2435299999999998</v>
      </c>
      <c r="T454">
        <v>-1.1088929999999999</v>
      </c>
      <c r="U454">
        <v>-0.34716799999999998</v>
      </c>
      <c r="V454">
        <v>2.9435389999999999E-2</v>
      </c>
      <c r="W454">
        <v>0.1897681</v>
      </c>
      <c r="X454">
        <v>0.98138760000000003</v>
      </c>
      <c r="Y454">
        <v>9.4163239999999995E-2</v>
      </c>
      <c r="Z454">
        <v>-1.377067E-2</v>
      </c>
      <c r="AA454">
        <v>0.9954615</v>
      </c>
      <c r="AB454">
        <v>28</v>
      </c>
      <c r="AC454">
        <v>0.45050000000003299</v>
      </c>
      <c r="AD454">
        <v>-0.246258899999999</v>
      </c>
      <c r="AE454">
        <v>-7.5400000000001896E-2</v>
      </c>
      <c r="AF454">
        <v>5.58950997039976E-2</v>
      </c>
      <c r="AG454">
        <v>-0.246258899999999</v>
      </c>
      <c r="AH454">
        <v>0.34945742830608001</v>
      </c>
      <c r="AI454">
        <v>124.831911885748</v>
      </c>
      <c r="AJ454">
        <v>80.912614852234299</v>
      </c>
      <c r="AK454">
        <v>0.43114754110214798</v>
      </c>
      <c r="AL454">
        <v>79.060748881170497</v>
      </c>
      <c r="AM454">
        <v>88.282005860451505</v>
      </c>
      <c r="AN454">
        <v>0.99999999769791104</v>
      </c>
    </row>
    <row r="455" spans="1:40" x14ac:dyDescent="0.25">
      <c r="A455" t="str">
        <f>"20190303162506656"</f>
        <v>20190303162506656</v>
      </c>
      <c r="B455" t="str">
        <f>"1551601506652892"</f>
        <v>1551601506652892</v>
      </c>
      <c r="C455" t="s">
        <v>40</v>
      </c>
      <c r="D455">
        <v>5.2799329999999998</v>
      </c>
      <c r="E455">
        <v>0.52791009999999905</v>
      </c>
      <c r="F455" t="s">
        <v>42</v>
      </c>
      <c r="G455">
        <v>-365.7133</v>
      </c>
      <c r="H455">
        <v>0.87901019999999896</v>
      </c>
      <c r="I455">
        <v>367.24630000000002</v>
      </c>
      <c r="J455">
        <v>-366.12740000000002</v>
      </c>
      <c r="K455">
        <v>1.120854</v>
      </c>
      <c r="L455">
        <v>367.31990000000002</v>
      </c>
      <c r="M455">
        <v>0.99992490000000001</v>
      </c>
      <c r="N455">
        <v>-9.9852220000000002E-3</v>
      </c>
      <c r="O455">
        <v>-7.1074900000000002E-3</v>
      </c>
      <c r="P455">
        <v>0.98320410000000003</v>
      </c>
      <c r="Q455">
        <v>0.1789249</v>
      </c>
      <c r="R455">
        <v>-3.5995449999999998E-2</v>
      </c>
      <c r="S455">
        <v>3.2424010000000001</v>
      </c>
      <c r="T455">
        <v>-1.1113139999999999</v>
      </c>
      <c r="U455">
        <v>-0.34686280000000003</v>
      </c>
      <c r="V455">
        <v>2.8971199999999999E-2</v>
      </c>
      <c r="W455">
        <v>0.1887413</v>
      </c>
      <c r="X455">
        <v>0.98159940000000001</v>
      </c>
      <c r="Y455">
        <v>9.4194200000000006E-2</v>
      </c>
      <c r="Z455">
        <v>-1.384489E-2</v>
      </c>
      <c r="AA455">
        <v>0.99545760000000005</v>
      </c>
      <c r="AB455">
        <v>28</v>
      </c>
      <c r="AC455">
        <v>0.41410000000001901</v>
      </c>
      <c r="AD455">
        <v>-0.2418438</v>
      </c>
      <c r="AE455">
        <v>-7.3599999999999E-2</v>
      </c>
      <c r="AF455">
        <v>5.3098434351123901E-2</v>
      </c>
      <c r="AG455">
        <v>-0.2418438</v>
      </c>
      <c r="AH455">
        <v>0.311589438450664</v>
      </c>
      <c r="AI455">
        <v>127.420741209624</v>
      </c>
      <c r="AJ455">
        <v>80.329039349547301</v>
      </c>
      <c r="AK455">
        <v>0.39798975550003901</v>
      </c>
      <c r="AL455">
        <v>79.120662930873493</v>
      </c>
      <c r="AM455">
        <v>88.309447055913594</v>
      </c>
      <c r="AN455">
        <v>0.99999999541774398</v>
      </c>
    </row>
    <row r="456" spans="1:40" x14ac:dyDescent="0.25">
      <c r="A456" t="str">
        <f>"20190303162506680"</f>
        <v>20190303162506680</v>
      </c>
      <c r="B456" t="str">
        <f>"1551601506673387"</f>
        <v>1551601506673387</v>
      </c>
      <c r="C456" t="s">
        <v>40</v>
      </c>
      <c r="D456">
        <v>5.2950759999999999</v>
      </c>
      <c r="E456">
        <v>0.52796969999999899</v>
      </c>
      <c r="F456" t="s">
        <v>42</v>
      </c>
      <c r="G456">
        <v>-365.4554</v>
      </c>
      <c r="H456">
        <v>0.88987839999999996</v>
      </c>
      <c r="I456">
        <v>367.24799999999999</v>
      </c>
      <c r="J456">
        <v>-365.83690000000001</v>
      </c>
      <c r="K456">
        <v>1.1208419999999999</v>
      </c>
      <c r="L456">
        <v>367.31799999999998</v>
      </c>
      <c r="M456">
        <v>0.99992610000000004</v>
      </c>
      <c r="N456">
        <v>-9.9561830000000004E-3</v>
      </c>
      <c r="O456">
        <v>-6.9877849999999998E-3</v>
      </c>
      <c r="P456">
        <v>0.98334920000000003</v>
      </c>
      <c r="Q456">
        <v>0.17828939999999999</v>
      </c>
      <c r="R456">
        <v>-3.51775E-2</v>
      </c>
      <c r="S456">
        <v>3.2413020000000001</v>
      </c>
      <c r="T456">
        <v>-1.113936</v>
      </c>
      <c r="U456">
        <v>-0.34594730000000001</v>
      </c>
      <c r="V456">
        <v>2.8270159999999999E-2</v>
      </c>
      <c r="W456">
        <v>0.18807860000000001</v>
      </c>
      <c r="X456">
        <v>0.98174700000000004</v>
      </c>
      <c r="Y456">
        <v>9.4047199999999997E-2</v>
      </c>
      <c r="Z456">
        <v>-1.3890909999999999E-2</v>
      </c>
      <c r="AA456">
        <v>0.99547079999999999</v>
      </c>
      <c r="AB456">
        <v>28</v>
      </c>
      <c r="AC456">
        <v>0.38150000000001599</v>
      </c>
      <c r="AD456">
        <v>-0.23096359999999999</v>
      </c>
      <c r="AE456">
        <v>-6.9999999999993096E-2</v>
      </c>
      <c r="AF456">
        <v>4.9707065021868897E-2</v>
      </c>
      <c r="AG456">
        <v>-0.23096359999999999</v>
      </c>
      <c r="AH456">
        <v>0.28199084408484598</v>
      </c>
      <c r="AI456">
        <v>128.89002562996399</v>
      </c>
      <c r="AJ456">
        <v>80.003060137945397</v>
      </c>
      <c r="AK456">
        <v>0.36787744288788998</v>
      </c>
      <c r="AL456">
        <v>79.159324955996794</v>
      </c>
      <c r="AM456">
        <v>88.350579755423794</v>
      </c>
      <c r="AN456">
        <v>0.99999996686669201</v>
      </c>
    </row>
    <row r="457" spans="1:40" x14ac:dyDescent="0.25">
      <c r="A457" t="str">
        <f>"20190303162506701"</f>
        <v>20190303162506701</v>
      </c>
      <c r="B457" t="str">
        <f>"1551601506692907"</f>
        <v>1551601506692907</v>
      </c>
      <c r="C457" t="s">
        <v>40</v>
      </c>
      <c r="D457">
        <v>5.2931599999999897</v>
      </c>
      <c r="E457">
        <v>0.52799649999999998</v>
      </c>
      <c r="F457" t="s">
        <v>42</v>
      </c>
      <c r="G457">
        <v>-364.97329999999999</v>
      </c>
      <c r="H457">
        <v>0.82379059999999904</v>
      </c>
      <c r="I457">
        <v>367.22620000000001</v>
      </c>
      <c r="J457">
        <v>-365.55849999999998</v>
      </c>
      <c r="K457">
        <v>1.120835</v>
      </c>
      <c r="L457">
        <v>367.31610000000001</v>
      </c>
      <c r="M457">
        <v>0.99992709999999996</v>
      </c>
      <c r="N457">
        <v>-9.9288469999999993E-3</v>
      </c>
      <c r="O457">
        <v>-6.8738039999999999E-3</v>
      </c>
      <c r="P457">
        <v>0.98349900000000001</v>
      </c>
      <c r="Q457">
        <v>0.17767339999999901</v>
      </c>
      <c r="R457">
        <v>-3.4089300000000003E-2</v>
      </c>
      <c r="S457">
        <v>3.2406009999999998</v>
      </c>
      <c r="T457">
        <v>-1.114757</v>
      </c>
      <c r="U457">
        <v>-0.34442139999999999</v>
      </c>
      <c r="V457">
        <v>2.7292859999999999E-2</v>
      </c>
      <c r="W457">
        <v>0.18743650000000001</v>
      </c>
      <c r="X457">
        <v>0.98189749999999998</v>
      </c>
      <c r="Y457">
        <v>9.3723600000000004E-2</v>
      </c>
      <c r="Z457">
        <v>-1.3883029999999999E-2</v>
      </c>
      <c r="AA457">
        <v>0.99550150000000004</v>
      </c>
      <c r="AB457">
        <v>28</v>
      </c>
      <c r="AC457">
        <v>0.58519999999998595</v>
      </c>
      <c r="AD457">
        <v>-0.29704439999999999</v>
      </c>
      <c r="AE457">
        <v>-8.9899999999999994E-2</v>
      </c>
      <c r="AF457">
        <v>6.8606141174630902E-2</v>
      </c>
      <c r="AG457">
        <v>-0.29704439999999999</v>
      </c>
      <c r="AH457">
        <v>0.46800236510097398</v>
      </c>
      <c r="AI457">
        <v>122.128624091842</v>
      </c>
      <c r="AJ457">
        <v>81.660207951129394</v>
      </c>
      <c r="AK457">
        <v>0.55854130726235396</v>
      </c>
      <c r="AL457">
        <v>79.196781306664704</v>
      </c>
      <c r="AM457">
        <v>88.407814315275999</v>
      </c>
      <c r="AN457">
        <v>1.00000002112273</v>
      </c>
    </row>
    <row r="458" spans="1:40" x14ac:dyDescent="0.25">
      <c r="A458" t="str">
        <f>"20190303162506725"</f>
        <v>20190303162506725</v>
      </c>
      <c r="B458" t="str">
        <f>"1551601506713404"</f>
        <v>1551601506713404</v>
      </c>
      <c r="C458" t="s">
        <v>40</v>
      </c>
      <c r="D458">
        <v>5.2976419999999997</v>
      </c>
      <c r="E458">
        <v>0.52801999999999905</v>
      </c>
      <c r="F458" t="s">
        <v>42</v>
      </c>
      <c r="G458">
        <v>-364.71589999999998</v>
      </c>
      <c r="H458">
        <v>0.83062469999999999</v>
      </c>
      <c r="I458">
        <v>367.22699999999998</v>
      </c>
      <c r="J458">
        <v>-365.26010000000002</v>
      </c>
      <c r="K458">
        <v>1.1208340000000001</v>
      </c>
      <c r="L458">
        <v>367.31420000000003</v>
      </c>
      <c r="M458">
        <v>0.99992820000000004</v>
      </c>
      <c r="N458">
        <v>-9.9009330000000006E-3</v>
      </c>
      <c r="O458">
        <v>-6.7517150000000001E-3</v>
      </c>
      <c r="P458">
        <v>0.98358789999999996</v>
      </c>
      <c r="Q458">
        <v>0.17741129999999999</v>
      </c>
      <c r="R458">
        <v>-3.286377E-2</v>
      </c>
      <c r="S458">
        <v>3.2400820000000001</v>
      </c>
      <c r="T458">
        <v>-1.1159889999999999</v>
      </c>
      <c r="U458">
        <v>-0.34225460000000002</v>
      </c>
      <c r="V458">
        <v>2.618676E-2</v>
      </c>
      <c r="W458">
        <v>0.18714800000000001</v>
      </c>
      <c r="X458">
        <v>0.98198260000000004</v>
      </c>
      <c r="Y458">
        <v>9.3214560000000002E-2</v>
      </c>
      <c r="Z458">
        <v>-1.384989E-2</v>
      </c>
      <c r="AA458">
        <v>0.99554969999999998</v>
      </c>
      <c r="AB458">
        <v>28</v>
      </c>
      <c r="AC458">
        <v>0.54420000000004598</v>
      </c>
      <c r="AD458">
        <v>-0.2902093</v>
      </c>
      <c r="AE458">
        <v>-8.7200000000052499E-2</v>
      </c>
      <c r="AF458">
        <v>6.5392477690199999E-2</v>
      </c>
      <c r="AG458">
        <v>-0.2902093</v>
      </c>
      <c r="AH458">
        <v>0.42651775828070398</v>
      </c>
      <c r="AI458">
        <v>123.92307345805</v>
      </c>
      <c r="AJ458">
        <v>81.283450212879401</v>
      </c>
      <c r="AK458">
        <v>0.52001443448595797</v>
      </c>
      <c r="AL458">
        <v>79.213608396355596</v>
      </c>
      <c r="AM458">
        <v>88.472442062144395</v>
      </c>
      <c r="AN458">
        <v>0.99999997350302805</v>
      </c>
    </row>
    <row r="459" spans="1:40" x14ac:dyDescent="0.25">
      <c r="A459" t="str">
        <f>"20190303162506747"</f>
        <v>20190303162506747</v>
      </c>
      <c r="B459" t="str">
        <f>"1551601506742683"</f>
        <v>1551601506742683</v>
      </c>
      <c r="C459" t="s">
        <v>40</v>
      </c>
      <c r="D459">
        <v>5.3162699999999896</v>
      </c>
      <c r="E459">
        <v>0.52798140000000005</v>
      </c>
      <c r="F459" t="s">
        <v>42</v>
      </c>
      <c r="G459">
        <v>-364.45569999999998</v>
      </c>
      <c r="H459">
        <v>0.84373009999999904</v>
      </c>
      <c r="I459">
        <v>367.2296</v>
      </c>
      <c r="J459">
        <v>-364.98149999999998</v>
      </c>
      <c r="K459">
        <v>1.1208309999999999</v>
      </c>
      <c r="L459">
        <v>367.3125</v>
      </c>
      <c r="M459">
        <v>0.99992930000000002</v>
      </c>
      <c r="N459">
        <v>-9.8727480000000006E-3</v>
      </c>
      <c r="O459">
        <v>-6.6373780000000002E-3</v>
      </c>
      <c r="P459">
        <v>0.98358290000000004</v>
      </c>
      <c r="Q459">
        <v>0.1775476</v>
      </c>
      <c r="R459">
        <v>-3.227998E-2</v>
      </c>
      <c r="S459">
        <v>3.2400509999999998</v>
      </c>
      <c r="T459">
        <v>-1.1162240000000001</v>
      </c>
      <c r="U459">
        <v>-0.33926390000000001</v>
      </c>
      <c r="V459">
        <v>2.571532E-2</v>
      </c>
      <c r="W459">
        <v>0.1872567</v>
      </c>
      <c r="X459">
        <v>0.98197440000000003</v>
      </c>
      <c r="Y459">
        <v>9.2456590000000005E-2</v>
      </c>
      <c r="Z459">
        <v>-1.3758329999999999E-2</v>
      </c>
      <c r="AA459">
        <v>0.99562169999999905</v>
      </c>
      <c r="AB459">
        <v>28</v>
      </c>
      <c r="AC459">
        <v>0.52580000000000304</v>
      </c>
      <c r="AD459">
        <v>-0.27710089999999998</v>
      </c>
      <c r="AE459">
        <v>-8.2899999999995005E-2</v>
      </c>
      <c r="AF459">
        <v>6.2476793840114501E-2</v>
      </c>
      <c r="AG459">
        <v>-0.27710089999999998</v>
      </c>
      <c r="AH459">
        <v>0.414113491535264</v>
      </c>
      <c r="AI459">
        <v>123.490800750407</v>
      </c>
      <c r="AJ459">
        <v>81.420558986171301</v>
      </c>
      <c r="AK459">
        <v>0.50217351823934098</v>
      </c>
      <c r="AL459">
        <v>79.207268940645207</v>
      </c>
      <c r="AM459">
        <v>88.499917472745693</v>
      </c>
      <c r="AN459">
        <v>1.00000003581647</v>
      </c>
    </row>
    <row r="460" spans="1:40" x14ac:dyDescent="0.25">
      <c r="A460" t="str">
        <f>"20190303162506769"</f>
        <v>20190303162506769</v>
      </c>
      <c r="B460" t="str">
        <f>"1551601506763179"</f>
        <v>1551601506763179</v>
      </c>
      <c r="C460" t="s">
        <v>40</v>
      </c>
      <c r="D460">
        <v>5.3187439999999997</v>
      </c>
      <c r="E460">
        <v>0.52799629999999997</v>
      </c>
      <c r="F460" t="s">
        <v>42</v>
      </c>
      <c r="G460">
        <v>-364.19749999999999</v>
      </c>
      <c r="H460">
        <v>0.85088059999999999</v>
      </c>
      <c r="I460">
        <v>367.23090000000002</v>
      </c>
      <c r="J460">
        <v>-364.70080000000002</v>
      </c>
      <c r="K460">
        <v>1.120825</v>
      </c>
      <c r="L460">
        <v>367.31079999999997</v>
      </c>
      <c r="M460">
        <v>0.9999304</v>
      </c>
      <c r="N460">
        <v>-9.8340560000000007E-3</v>
      </c>
      <c r="O460">
        <v>-6.5218000000000003E-3</v>
      </c>
      <c r="P460">
        <v>0.98360289999999995</v>
      </c>
      <c r="Q460">
        <v>0.17742160000000001</v>
      </c>
      <c r="R460">
        <v>-3.2357179999999999E-2</v>
      </c>
      <c r="S460">
        <v>3.2403870000000001</v>
      </c>
      <c r="T460">
        <v>-1.115828</v>
      </c>
      <c r="U460">
        <v>-0.33755489999999999</v>
      </c>
      <c r="V460">
        <v>2.5906120000000001E-2</v>
      </c>
      <c r="W460">
        <v>0.1870927</v>
      </c>
      <c r="X460">
        <v>0.9820006</v>
      </c>
      <c r="Y460">
        <v>9.2063220000000001E-2</v>
      </c>
      <c r="Z460">
        <v>-1.3720629999999999E-2</v>
      </c>
      <c r="AA460">
        <v>0.99565859999999995</v>
      </c>
      <c r="AB460">
        <v>29</v>
      </c>
      <c r="AC460">
        <v>0.50330000000002395</v>
      </c>
      <c r="AD460">
        <v>-0.26994439999999897</v>
      </c>
      <c r="AE460">
        <v>-7.9899999999952301E-2</v>
      </c>
      <c r="AF460">
        <v>5.9828060609450499E-2</v>
      </c>
      <c r="AG460">
        <v>-0.26994439999999897</v>
      </c>
      <c r="AH460">
        <v>0.39341795494119602</v>
      </c>
      <c r="AI460">
        <v>124.151113660514</v>
      </c>
      <c r="AJ460">
        <v>81.353136092937604</v>
      </c>
      <c r="AK460">
        <v>0.48086075239902998</v>
      </c>
      <c r="AL460">
        <v>79.216834024796697</v>
      </c>
      <c r="AM460">
        <v>88.488832750973202</v>
      </c>
      <c r="AN460">
        <v>0.99999999192355205</v>
      </c>
    </row>
    <row r="461" spans="1:40" x14ac:dyDescent="0.25">
      <c r="A461" t="str">
        <f>"20190303162506791"</f>
        <v>20190303162506791</v>
      </c>
      <c r="B461" t="str">
        <f>"1551601506783205"</f>
        <v>1551601506783205</v>
      </c>
      <c r="C461" t="s">
        <v>40</v>
      </c>
      <c r="D461">
        <v>5.3146719999999998</v>
      </c>
      <c r="E461">
        <v>0.52804549999999995</v>
      </c>
      <c r="F461" t="s">
        <v>42</v>
      </c>
      <c r="G461">
        <v>-363.93880000000001</v>
      </c>
      <c r="H461">
        <v>0.85841869999999998</v>
      </c>
      <c r="I461">
        <v>367.23110000000003</v>
      </c>
      <c r="J461">
        <v>-364.40589999999997</v>
      </c>
      <c r="K461">
        <v>1.1208039999999999</v>
      </c>
      <c r="L461">
        <v>367.30900000000003</v>
      </c>
      <c r="M461">
        <v>0.99993180000000004</v>
      </c>
      <c r="N461">
        <v>-9.7634869999999995E-3</v>
      </c>
      <c r="O461">
        <v>-6.4009409999999899E-3</v>
      </c>
      <c r="P461">
        <v>0.98362519999999998</v>
      </c>
      <c r="Q461">
        <v>0.17719960000000001</v>
      </c>
      <c r="R461">
        <v>-3.2886840000000001E-2</v>
      </c>
      <c r="S461">
        <v>3.240173</v>
      </c>
      <c r="T461">
        <v>-1.115767</v>
      </c>
      <c r="U461">
        <v>-0.33782960000000001</v>
      </c>
      <c r="V461">
        <v>2.6554620000000001E-2</v>
      </c>
      <c r="W461">
        <v>0.18680179999999999</v>
      </c>
      <c r="X461">
        <v>0.98203870000000004</v>
      </c>
      <c r="Y461">
        <v>9.2257099999999995E-2</v>
      </c>
      <c r="Z461">
        <v>-1.378946E-2</v>
      </c>
      <c r="AA461">
        <v>0.99563970000000002</v>
      </c>
      <c r="AB461">
        <v>29</v>
      </c>
      <c r="AC461">
        <v>0.46709999999995899</v>
      </c>
      <c r="AD461">
        <v>-0.26238529999999999</v>
      </c>
      <c r="AE461">
        <v>-7.7899999999999595E-2</v>
      </c>
      <c r="AF461">
        <v>5.7313018337704399E-2</v>
      </c>
      <c r="AG461">
        <v>-0.26238529999999999</v>
      </c>
      <c r="AH461">
        <v>0.35775625222861701</v>
      </c>
      <c r="AI461">
        <v>125.911497814966</v>
      </c>
      <c r="AJ461">
        <v>80.898477425979294</v>
      </c>
      <c r="AK461">
        <v>0.447348146006814</v>
      </c>
      <c r="AL461">
        <v>79.233800948588197</v>
      </c>
      <c r="AM461">
        <v>88.451082432836699</v>
      </c>
      <c r="AN461">
        <v>1.00000003431213</v>
      </c>
    </row>
    <row r="462" spans="1:40" x14ac:dyDescent="0.25">
      <c r="A462" t="str">
        <f>"20190303162506813"</f>
        <v>20190303162506813</v>
      </c>
      <c r="B462" t="str">
        <f>"1551601506802726"</f>
        <v>1551601506802726</v>
      </c>
      <c r="C462" t="s">
        <v>40</v>
      </c>
      <c r="D462">
        <v>5.3184620000000002</v>
      </c>
      <c r="E462">
        <v>0.52808889999999997</v>
      </c>
      <c r="F462" t="s">
        <v>42</v>
      </c>
      <c r="G462">
        <v>-363.67790000000002</v>
      </c>
      <c r="H462">
        <v>0.87007570000000001</v>
      </c>
      <c r="I462">
        <v>367.23250000000002</v>
      </c>
      <c r="J462">
        <v>-364.13799999999998</v>
      </c>
      <c r="K462">
        <v>1.1207849999999999</v>
      </c>
      <c r="L462">
        <v>367.30739999999997</v>
      </c>
      <c r="M462">
        <v>0.99993370000000004</v>
      </c>
      <c r="N462">
        <v>-9.6554429999999997E-3</v>
      </c>
      <c r="O462">
        <v>-6.2908759999999999E-3</v>
      </c>
      <c r="P462">
        <v>0.98354010000000003</v>
      </c>
      <c r="Q462">
        <v>0.17753720000000001</v>
      </c>
      <c r="R462">
        <v>-3.3612740000000002E-2</v>
      </c>
      <c r="S462">
        <v>3.2395939999999999</v>
      </c>
      <c r="T462">
        <v>-1.115645</v>
      </c>
      <c r="U462">
        <v>-0.34014889999999998</v>
      </c>
      <c r="V462">
        <v>2.738908E-2</v>
      </c>
      <c r="W462">
        <v>0.1870327</v>
      </c>
      <c r="X462">
        <v>0.98197179999999995</v>
      </c>
      <c r="Y462">
        <v>9.3039949999999996E-2</v>
      </c>
      <c r="Z462">
        <v>-1.3954370000000001E-2</v>
      </c>
      <c r="AA462">
        <v>0.99556460000000002</v>
      </c>
      <c r="AB462">
        <v>29</v>
      </c>
      <c r="AC462">
        <v>0.460100000000011</v>
      </c>
      <c r="AD462">
        <v>-0.25070930000000002</v>
      </c>
      <c r="AE462">
        <v>-7.4899999999956807E-2</v>
      </c>
      <c r="AF462">
        <v>5.5849378563026499E-2</v>
      </c>
      <c r="AG462">
        <v>-0.25070930000000002</v>
      </c>
      <c r="AH462">
        <v>0.35723188623186197</v>
      </c>
      <c r="AI462">
        <v>124.736988658295</v>
      </c>
      <c r="AJ462">
        <v>81.114347041821205</v>
      </c>
      <c r="AK462">
        <v>0.43998741656226997</v>
      </c>
      <c r="AL462">
        <v>79.220333680049606</v>
      </c>
      <c r="AM462">
        <v>88.402324859402398</v>
      </c>
      <c r="AN462">
        <v>1.0000000042838799</v>
      </c>
    </row>
    <row r="463" spans="1:40" x14ac:dyDescent="0.25">
      <c r="A463" t="str">
        <f>"20190303162506834"</f>
        <v>20190303162506834</v>
      </c>
      <c r="B463" t="str">
        <f>"1551601506823223"</f>
        <v>1551601506823223</v>
      </c>
      <c r="C463" t="s">
        <v>40</v>
      </c>
      <c r="D463">
        <v>5.3261839999999996</v>
      </c>
      <c r="E463">
        <v>0.52811189999999997</v>
      </c>
      <c r="F463" t="s">
        <v>42</v>
      </c>
      <c r="G463">
        <v>-363.4194</v>
      </c>
      <c r="H463">
        <v>0.87371719999999897</v>
      </c>
      <c r="I463">
        <v>367.23099999999999</v>
      </c>
      <c r="J463">
        <v>-363.85160000000002</v>
      </c>
      <c r="K463">
        <v>1.1207469999999999</v>
      </c>
      <c r="L463">
        <v>367.3057</v>
      </c>
      <c r="M463">
        <v>0.99993600000000005</v>
      </c>
      <c r="N463">
        <v>-9.4894520000000007E-3</v>
      </c>
      <c r="O463">
        <v>-6.1728019999999998E-3</v>
      </c>
      <c r="P463">
        <v>0.98348950000000002</v>
      </c>
      <c r="Q463">
        <v>0.17776500000000001</v>
      </c>
      <c r="R463">
        <v>-3.3883360000000001E-2</v>
      </c>
      <c r="S463">
        <v>3.2395320000000001</v>
      </c>
      <c r="T463">
        <v>-1.113877</v>
      </c>
      <c r="U463">
        <v>-0.3423157</v>
      </c>
      <c r="V463">
        <v>2.777599E-2</v>
      </c>
      <c r="W463">
        <v>0.18709690000000001</v>
      </c>
      <c r="X463">
        <v>0.98194870000000001</v>
      </c>
      <c r="Y463">
        <v>9.3786750000000002E-2</v>
      </c>
      <c r="Z463">
        <v>-1.409145E-2</v>
      </c>
      <c r="AA463">
        <v>0.99549259999999995</v>
      </c>
      <c r="AB463">
        <v>29</v>
      </c>
      <c r="AC463">
        <v>0.43220000000002201</v>
      </c>
      <c r="AD463">
        <v>-0.24702979999999999</v>
      </c>
      <c r="AE463">
        <v>-7.4700000000007094E-2</v>
      </c>
      <c r="AF463">
        <v>5.4684232835002802E-2</v>
      </c>
      <c r="AG463">
        <v>-0.24702979999999999</v>
      </c>
      <c r="AH463">
        <v>0.32846180476615999</v>
      </c>
      <c r="AI463">
        <v>126.570597183899</v>
      </c>
      <c r="AJ463">
        <v>80.547759802871994</v>
      </c>
      <c r="AK463">
        <v>0.41460974976360099</v>
      </c>
      <c r="AL463">
        <v>79.216589172487105</v>
      </c>
      <c r="AM463">
        <v>88.379729260087998</v>
      </c>
      <c r="AN463">
        <v>1.0000000025208899</v>
      </c>
    </row>
    <row r="464" spans="1:40" x14ac:dyDescent="0.25">
      <c r="A464" t="str">
        <f>"20190303162506857"</f>
        <v>20190303162506857</v>
      </c>
      <c r="B464" t="str">
        <f>"1551601506852502"</f>
        <v>1551601506852502</v>
      </c>
      <c r="C464" t="s">
        <v>40</v>
      </c>
      <c r="D464">
        <v>5.3369010000000001</v>
      </c>
      <c r="E464">
        <v>0.52815119999999904</v>
      </c>
      <c r="F464" t="s">
        <v>42</v>
      </c>
      <c r="G464">
        <v>-363.1583</v>
      </c>
      <c r="H464">
        <v>0.882604099999999</v>
      </c>
      <c r="I464">
        <v>367.23239999999998</v>
      </c>
      <c r="J464">
        <v>-363.56479999999999</v>
      </c>
      <c r="K464">
        <v>1.1206989999999999</v>
      </c>
      <c r="L464">
        <v>367.30399999999997</v>
      </c>
      <c r="M464">
        <v>0.99993880000000002</v>
      </c>
      <c r="N464">
        <v>-9.2761089999999994E-3</v>
      </c>
      <c r="O464">
        <v>-6.054528E-3</v>
      </c>
      <c r="P464">
        <v>0.98342309999999999</v>
      </c>
      <c r="Q464">
        <v>0.17820359999999999</v>
      </c>
      <c r="R464">
        <v>-3.3504939999999997E-2</v>
      </c>
      <c r="S464">
        <v>3.239716</v>
      </c>
      <c r="T464">
        <v>-1.1128739999999999</v>
      </c>
      <c r="U464">
        <v>-0.342804</v>
      </c>
      <c r="V464">
        <v>2.7514380000000001E-2</v>
      </c>
      <c r="W464">
        <v>0.18732499999999999</v>
      </c>
      <c r="X464">
        <v>0.98191260000000002</v>
      </c>
      <c r="Y464">
        <v>9.4039339999999999E-2</v>
      </c>
      <c r="Z464">
        <v>-1.414904E-2</v>
      </c>
      <c r="AA464">
        <v>0.99546800000000002</v>
      </c>
      <c r="AB464">
        <v>29</v>
      </c>
      <c r="AC464">
        <v>0.40649999999999398</v>
      </c>
      <c r="AD464">
        <v>-0.2380949</v>
      </c>
      <c r="AE464">
        <v>-7.1600000000046293E-2</v>
      </c>
      <c r="AF464">
        <v>5.1875995576944597E-2</v>
      </c>
      <c r="AG464">
        <v>-0.2380949</v>
      </c>
      <c r="AH464">
        <v>0.30532953333880403</v>
      </c>
      <c r="AI464">
        <v>127.552341664431</v>
      </c>
      <c r="AJ464">
        <v>80.357430792265404</v>
      </c>
      <c r="AK464">
        <v>0.39064872232224301</v>
      </c>
      <c r="AL464">
        <v>79.203285029810303</v>
      </c>
      <c r="AM464">
        <v>88.3949228894745</v>
      </c>
      <c r="AN464">
        <v>1.0000000253852701</v>
      </c>
    </row>
    <row r="465" spans="1:40" x14ac:dyDescent="0.25">
      <c r="A465" t="str">
        <f>"20190303162506880"</f>
        <v>20190303162506880</v>
      </c>
      <c r="B465" t="str">
        <f>"1551601506872998"</f>
        <v>1551601506872998</v>
      </c>
      <c r="C465" t="s">
        <v>40</v>
      </c>
      <c r="D465">
        <v>5.327502</v>
      </c>
      <c r="E465">
        <v>0.52817720000000001</v>
      </c>
      <c r="F465" t="s">
        <v>42</v>
      </c>
      <c r="G465">
        <v>-362.89640000000003</v>
      </c>
      <c r="H465">
        <v>0.89158440000000005</v>
      </c>
      <c r="I465">
        <v>367.23329999999999</v>
      </c>
      <c r="J465">
        <v>-363.26159999999999</v>
      </c>
      <c r="K465">
        <v>1.120655</v>
      </c>
      <c r="L465">
        <v>367.3023</v>
      </c>
      <c r="M465">
        <v>0.99994179999999999</v>
      </c>
      <c r="N465">
        <v>-9.0115309999999997E-3</v>
      </c>
      <c r="O465">
        <v>-5.9293710000000001E-3</v>
      </c>
      <c r="P465">
        <v>0.98339549999999998</v>
      </c>
      <c r="Q465">
        <v>0.17850539999999901</v>
      </c>
      <c r="R465">
        <v>-3.2700670000000001E-2</v>
      </c>
      <c r="S465">
        <v>3.2402039999999999</v>
      </c>
      <c r="T465">
        <v>-1.110692</v>
      </c>
      <c r="U465">
        <v>-0.34198000000000001</v>
      </c>
      <c r="V465">
        <v>2.6832959999999999E-2</v>
      </c>
      <c r="W465">
        <v>0.18736720000000001</v>
      </c>
      <c r="X465">
        <v>0.9819234</v>
      </c>
      <c r="Y465">
        <v>9.392346E-2</v>
      </c>
      <c r="Z465">
        <v>-1.412822E-2</v>
      </c>
      <c r="AA465">
        <v>0.99547920000000001</v>
      </c>
      <c r="AB465">
        <v>29</v>
      </c>
      <c r="AC465">
        <v>0.365199999999958</v>
      </c>
      <c r="AD465">
        <v>-0.22907059999999899</v>
      </c>
      <c r="AE465">
        <v>-6.9000000000016798E-2</v>
      </c>
      <c r="AF465">
        <v>4.8434199873739002E-2</v>
      </c>
      <c r="AG465">
        <v>-0.22907059999999899</v>
      </c>
      <c r="AH465">
        <v>0.26495290951253497</v>
      </c>
      <c r="AI465">
        <v>130.38041862742099</v>
      </c>
      <c r="AJ465">
        <v>79.640539964564795</v>
      </c>
      <c r="AK465">
        <v>0.35358062130287399</v>
      </c>
      <c r="AL465">
        <v>79.200823500043896</v>
      </c>
      <c r="AM465">
        <v>88.434671343002606</v>
      </c>
      <c r="AN465">
        <v>1.00000001942288</v>
      </c>
    </row>
    <row r="466" spans="1:40" x14ac:dyDescent="0.25">
      <c r="A466" t="str">
        <f>"20190303162506902"</f>
        <v>20190303162506902</v>
      </c>
      <c r="B466" t="str">
        <f>"1551601506892518"</f>
        <v>1551601506892518</v>
      </c>
      <c r="C466" t="s">
        <v>40</v>
      </c>
      <c r="D466">
        <v>5.31839</v>
      </c>
      <c r="E466">
        <v>0.52819939999999999</v>
      </c>
      <c r="F466" t="s">
        <v>42</v>
      </c>
      <c r="G466">
        <v>-362.40260000000001</v>
      </c>
      <c r="H466">
        <v>0.82659470000000002</v>
      </c>
      <c r="I466">
        <v>367.21210000000002</v>
      </c>
      <c r="J466">
        <v>-362.98050000000001</v>
      </c>
      <c r="K466">
        <v>1.1206149999999999</v>
      </c>
      <c r="L466">
        <v>367.30079999999998</v>
      </c>
      <c r="M466">
        <v>0.99994490000000003</v>
      </c>
      <c r="N466">
        <v>-8.7512389999999992E-3</v>
      </c>
      <c r="O466">
        <v>-5.8129729999999999E-3</v>
      </c>
      <c r="P466">
        <v>0.98333000000000004</v>
      </c>
      <c r="Q466">
        <v>0.17895369999999999</v>
      </c>
      <c r="R466">
        <v>-3.2214420000000001E-2</v>
      </c>
      <c r="S466">
        <v>3.2407530000000002</v>
      </c>
      <c r="T466">
        <v>-1.1095109999999999</v>
      </c>
      <c r="U466">
        <v>-0.33987430000000002</v>
      </c>
      <c r="V466">
        <v>2.6461809999999999E-2</v>
      </c>
      <c r="W466">
        <v>0.1875588</v>
      </c>
      <c r="X466">
        <v>0.98189689999999996</v>
      </c>
      <c r="Y466">
        <v>9.3421270000000001E-2</v>
      </c>
      <c r="Z466">
        <v>-1.405061E-2</v>
      </c>
      <c r="AA466">
        <v>0.99552750000000001</v>
      </c>
      <c r="AB466">
        <v>29</v>
      </c>
      <c r="AC466">
        <v>0.57789999999999897</v>
      </c>
      <c r="AD466">
        <v>-0.29402029999999901</v>
      </c>
      <c r="AE466">
        <v>-8.86999999999602E-2</v>
      </c>
      <c r="AF466">
        <v>6.8113605716411701E-2</v>
      </c>
      <c r="AG466">
        <v>-0.29402029999999901</v>
      </c>
      <c r="AH466">
        <v>0.46165625700698598</v>
      </c>
      <c r="AI466">
        <v>122.213412888479</v>
      </c>
      <c r="AJ466">
        <v>81.607027748599293</v>
      </c>
      <c r="AK466">
        <v>0.55155588994179106</v>
      </c>
      <c r="AL466">
        <v>79.189647574803203</v>
      </c>
      <c r="AM466">
        <v>88.456270573214397</v>
      </c>
      <c r="AN466">
        <v>1.00000002653776</v>
      </c>
    </row>
    <row r="467" spans="1:40" x14ac:dyDescent="0.25">
      <c r="A467" t="str">
        <f>"20190303162506924"</f>
        <v>20190303162506924</v>
      </c>
      <c r="B467" t="str">
        <f>"1551601506913014"</f>
        <v>1551601506913014</v>
      </c>
      <c r="C467" t="s">
        <v>40</v>
      </c>
      <c r="D467">
        <v>5.3372659999999996</v>
      </c>
      <c r="E467">
        <v>0.52823009999999904</v>
      </c>
      <c r="F467" t="s">
        <v>42</v>
      </c>
      <c r="G467">
        <v>-362.13920000000002</v>
      </c>
      <c r="H467">
        <v>0.83285509999999996</v>
      </c>
      <c r="I467">
        <v>367.21319999999997</v>
      </c>
      <c r="J467">
        <v>-362.68209999999999</v>
      </c>
      <c r="K467">
        <v>1.1205719999999999</v>
      </c>
      <c r="L467">
        <v>367.29919999999998</v>
      </c>
      <c r="M467">
        <v>0.99994799999999995</v>
      </c>
      <c r="N467">
        <v>-8.4777489999999997E-3</v>
      </c>
      <c r="O467">
        <v>-5.6901130000000001E-3</v>
      </c>
      <c r="P467">
        <v>0.98330459999999997</v>
      </c>
      <c r="Q467">
        <v>0.17913189999999901</v>
      </c>
      <c r="R467">
        <v>-3.2001700000000001E-2</v>
      </c>
      <c r="S467">
        <v>3.2415769999999999</v>
      </c>
      <c r="T467">
        <v>-1.1088279999999999</v>
      </c>
      <c r="U467">
        <v>-0.3372192</v>
      </c>
      <c r="V467">
        <v>2.6369690000000001E-2</v>
      </c>
      <c r="W467">
        <v>0.18746789999999999</v>
      </c>
      <c r="X467">
        <v>0.98191669999999998</v>
      </c>
      <c r="Y467">
        <v>9.2755519999999994E-2</v>
      </c>
      <c r="Z467">
        <v>-1.395162E-2</v>
      </c>
      <c r="AA467">
        <v>0.99559120000000001</v>
      </c>
      <c r="AB467">
        <v>29</v>
      </c>
      <c r="AC467">
        <v>0.54289999999997396</v>
      </c>
      <c r="AD467">
        <v>-0.287716899999999</v>
      </c>
      <c r="AE467">
        <v>-8.6000000000012705E-2</v>
      </c>
      <c r="AF467">
        <v>6.5078708158746501E-2</v>
      </c>
      <c r="AG467">
        <v>-0.287716899999999</v>
      </c>
      <c r="AH467">
        <v>0.426520200284359</v>
      </c>
      <c r="AI467">
        <v>123.69735071400601</v>
      </c>
      <c r="AJ467">
        <v>81.324685506722105</v>
      </c>
      <c r="AK467">
        <v>0.51859014071984699</v>
      </c>
      <c r="AL467">
        <v>79.194949411286998</v>
      </c>
      <c r="AM467">
        <v>88.461673089649807</v>
      </c>
      <c r="AN467">
        <v>0.99999998990999694</v>
      </c>
    </row>
    <row r="468" spans="1:40" x14ac:dyDescent="0.25">
      <c r="A468" t="str">
        <f>"20190303162506948"</f>
        <v>20190303162506948</v>
      </c>
      <c r="B468" t="str">
        <f>"1551601506943269"</f>
        <v>1551601506943269</v>
      </c>
      <c r="C468" t="s">
        <v>40</v>
      </c>
      <c r="D468">
        <v>5.3371329999999997</v>
      </c>
      <c r="E468">
        <v>0.52827199999999996</v>
      </c>
      <c r="F468" t="s">
        <v>42</v>
      </c>
      <c r="G468">
        <v>-361.87310000000002</v>
      </c>
      <c r="H468">
        <v>0.84385339999999998</v>
      </c>
      <c r="I468">
        <v>367.21550000000002</v>
      </c>
      <c r="J468">
        <v>-362.38510000000002</v>
      </c>
      <c r="K468">
        <v>1.12053</v>
      </c>
      <c r="L468">
        <v>367.29750000000001</v>
      </c>
      <c r="M468">
        <v>0.99995069999999997</v>
      </c>
      <c r="N468">
        <v>-8.2208309999999996E-3</v>
      </c>
      <c r="O468">
        <v>-5.5681869999999996E-3</v>
      </c>
      <c r="P468">
        <v>0.98340079999999996</v>
      </c>
      <c r="Q468">
        <v>0.17848359999999999</v>
      </c>
      <c r="R468">
        <v>-3.2658760000000002E-2</v>
      </c>
      <c r="S468">
        <v>3.242035</v>
      </c>
      <c r="T468">
        <v>-1.1088979999999999</v>
      </c>
      <c r="U468">
        <v>-0.33505249999999998</v>
      </c>
      <c r="V468">
        <v>2.714625E-2</v>
      </c>
      <c r="W468">
        <v>0.1865685</v>
      </c>
      <c r="X468">
        <v>0.98206680000000002</v>
      </c>
      <c r="Y468">
        <v>9.2232700000000001E-2</v>
      </c>
      <c r="Z468">
        <v>-1.388787E-2</v>
      </c>
      <c r="AA468">
        <v>0.99564059999999999</v>
      </c>
      <c r="AB468">
        <v>29</v>
      </c>
      <c r="AC468">
        <v>0.51200000000000001</v>
      </c>
      <c r="AD468">
        <v>-0.27667659999999999</v>
      </c>
      <c r="AE468">
        <v>-8.1999999999993606E-2</v>
      </c>
      <c r="AF468">
        <v>6.1607365513759602E-2</v>
      </c>
      <c r="AG468">
        <v>-0.27667659999999999</v>
      </c>
      <c r="AH468">
        <v>0.39888214356448398</v>
      </c>
      <c r="AI468">
        <v>124.430710513742</v>
      </c>
      <c r="AJ468">
        <v>81.220040335112998</v>
      </c>
      <c r="AK468">
        <v>0.48933870981938898</v>
      </c>
      <c r="AL468">
        <v>79.247406466962204</v>
      </c>
      <c r="AM468">
        <v>88.416635613813597</v>
      </c>
      <c r="AN468">
        <v>0.99999996187177498</v>
      </c>
    </row>
    <row r="469" spans="1:40" x14ac:dyDescent="0.25">
      <c r="A469" t="str">
        <f>"20190303162506971"</f>
        <v>20190303162506971</v>
      </c>
      <c r="B469" t="str">
        <f>"1551601506962790"</f>
        <v>1551601506962790</v>
      </c>
      <c r="C469" t="s">
        <v>40</v>
      </c>
      <c r="D469">
        <v>5.3610119999999997</v>
      </c>
      <c r="E469">
        <v>0.52830129999999997</v>
      </c>
      <c r="F469" t="s">
        <v>42</v>
      </c>
      <c r="G469">
        <v>-361.60660000000001</v>
      </c>
      <c r="H469">
        <v>0.85356149999999997</v>
      </c>
      <c r="I469">
        <v>367.21629999999999</v>
      </c>
      <c r="J469">
        <v>-362.06760000000003</v>
      </c>
      <c r="K469">
        <v>1.120501</v>
      </c>
      <c r="L469">
        <v>367.29599999999999</v>
      </c>
      <c r="M469">
        <v>0.99995339999999999</v>
      </c>
      <c r="N469">
        <v>-7.9703029999999998E-3</v>
      </c>
      <c r="O469">
        <v>-5.4383299999999999E-3</v>
      </c>
      <c r="P469">
        <v>0.98341979999999996</v>
      </c>
      <c r="Q469">
        <v>0.1781664</v>
      </c>
      <c r="R469">
        <v>-3.3799269999999999E-2</v>
      </c>
      <c r="S469">
        <v>3.2411500000000002</v>
      </c>
      <c r="T469">
        <v>-1.1113869999999999</v>
      </c>
      <c r="U469">
        <v>-0.33798220000000001</v>
      </c>
      <c r="V469">
        <v>2.841376E-2</v>
      </c>
      <c r="W469">
        <v>0.1860058</v>
      </c>
      <c r="X469">
        <v>0.9821377</v>
      </c>
      <c r="Y469">
        <v>9.31979E-2</v>
      </c>
      <c r="Z469">
        <v>-1.411274E-2</v>
      </c>
      <c r="AA469">
        <v>0.99554759999999998</v>
      </c>
      <c r="AB469">
        <v>29</v>
      </c>
      <c r="AC469">
        <v>0.46100000000001201</v>
      </c>
      <c r="AD469">
        <v>-0.2669395</v>
      </c>
      <c r="AE469">
        <v>-7.9700000000002505E-2</v>
      </c>
      <c r="AF469">
        <v>5.8233178491251002E-2</v>
      </c>
      <c r="AG469">
        <v>-0.2669395</v>
      </c>
      <c r="AH469">
        <v>0.34809894465770203</v>
      </c>
      <c r="AI469">
        <v>127.10164508180701</v>
      </c>
      <c r="AJ469">
        <v>80.502979259926207</v>
      </c>
      <c r="AK469">
        <v>0.442516299145297</v>
      </c>
      <c r="AL469">
        <v>79.280221417661593</v>
      </c>
      <c r="AM469">
        <v>88.342865200423802</v>
      </c>
      <c r="AN469">
        <v>0.99999998057613304</v>
      </c>
    </row>
    <row r="470" spans="1:40" x14ac:dyDescent="0.25">
      <c r="A470" t="str">
        <f>"20190303162506992"</f>
        <v>20190303162506992</v>
      </c>
      <c r="B470" t="str">
        <f>"1551601506983286"</f>
        <v>1551601506983286</v>
      </c>
      <c r="C470" t="s">
        <v>40</v>
      </c>
      <c r="D470">
        <v>5.3673789999999997</v>
      </c>
      <c r="E470">
        <v>0.52831719999999904</v>
      </c>
      <c r="F470" t="s">
        <v>42</v>
      </c>
      <c r="G470">
        <v>-361.33679999999998</v>
      </c>
      <c r="H470">
        <v>0.86952600000000002</v>
      </c>
      <c r="I470">
        <v>367.21859999999998</v>
      </c>
      <c r="J470">
        <v>-361.80489999999998</v>
      </c>
      <c r="K470">
        <v>1.120485</v>
      </c>
      <c r="L470">
        <v>367.2946</v>
      </c>
      <c r="M470">
        <v>0.9999555</v>
      </c>
      <c r="N470">
        <v>-7.785073E-3</v>
      </c>
      <c r="O470">
        <v>-5.3306869999999998E-3</v>
      </c>
      <c r="P470">
        <v>0.98340369999999999</v>
      </c>
      <c r="Q470">
        <v>0.17810799999999999</v>
      </c>
      <c r="R470">
        <v>-3.4571860000000003E-2</v>
      </c>
      <c r="S470">
        <v>3.2404169999999999</v>
      </c>
      <c r="T470">
        <v>-1.1127590000000001</v>
      </c>
      <c r="U470">
        <v>-0.34179690000000001</v>
      </c>
      <c r="V470">
        <v>2.9292160000000001E-2</v>
      </c>
      <c r="W470">
        <v>0.18576599999999999</v>
      </c>
      <c r="X470">
        <v>0.98215730000000001</v>
      </c>
      <c r="Y470">
        <v>9.4401449999999998E-2</v>
      </c>
      <c r="Z470">
        <v>-1.4361260000000001E-2</v>
      </c>
      <c r="AA470">
        <v>0.99543060000000005</v>
      </c>
      <c r="AB470">
        <v>29</v>
      </c>
      <c r="AC470">
        <v>0.46809999999999202</v>
      </c>
      <c r="AD470">
        <v>-0.25095899999999899</v>
      </c>
      <c r="AE470">
        <v>-7.60000000000218E-2</v>
      </c>
      <c r="AF470">
        <v>5.7422611937567702E-2</v>
      </c>
      <c r="AG470">
        <v>-0.25095899999999899</v>
      </c>
      <c r="AH470">
        <v>0.36600146784994397</v>
      </c>
      <c r="AI470">
        <v>124.11336953236101</v>
      </c>
      <c r="AJ470">
        <v>81.083450926345293</v>
      </c>
      <c r="AK470">
        <v>0.44747608931768201</v>
      </c>
      <c r="AL470">
        <v>79.294204861845699</v>
      </c>
      <c r="AM470">
        <v>88.2916995157332</v>
      </c>
      <c r="AN470">
        <v>0.99999999966837705</v>
      </c>
    </row>
    <row r="471" spans="1:40" x14ac:dyDescent="0.25">
      <c r="A471" t="str">
        <f>"20190303162507013"</f>
        <v>20190303162507013</v>
      </c>
      <c r="B471" t="str">
        <f>"1551601507002807"</f>
        <v>1551601507002807</v>
      </c>
      <c r="C471" t="s">
        <v>40</v>
      </c>
      <c r="D471">
        <v>5.3678939999999997</v>
      </c>
      <c r="E471">
        <v>0.52832979999999996</v>
      </c>
      <c r="F471" t="s">
        <v>42</v>
      </c>
      <c r="G471">
        <v>-361.07260000000002</v>
      </c>
      <c r="H471">
        <v>0.86889799999999995</v>
      </c>
      <c r="I471">
        <v>367.21699999999998</v>
      </c>
      <c r="J471">
        <v>-361.5129</v>
      </c>
      <c r="K471">
        <v>1.120468</v>
      </c>
      <c r="L471">
        <v>367.29320000000001</v>
      </c>
      <c r="M471">
        <v>0.9999576</v>
      </c>
      <c r="N471">
        <v>-7.6025779999999996E-3</v>
      </c>
      <c r="O471">
        <v>-5.2111500000000003E-3</v>
      </c>
      <c r="P471">
        <v>0.98338159999999997</v>
      </c>
      <c r="Q471">
        <v>0.17810399999999901</v>
      </c>
      <c r="R471">
        <v>-3.5209749999999998E-2</v>
      </c>
      <c r="S471">
        <v>3.240173</v>
      </c>
      <c r="T471">
        <v>-1.113229</v>
      </c>
      <c r="U471">
        <v>-0.34335329999999997</v>
      </c>
      <c r="V471">
        <v>3.004741E-2</v>
      </c>
      <c r="W471">
        <v>0.18558279999999999</v>
      </c>
      <c r="X471">
        <v>0.98216919999999996</v>
      </c>
      <c r="Y471">
        <v>9.4960760000000005E-2</v>
      </c>
      <c r="Z471">
        <v>-1.449197E-2</v>
      </c>
      <c r="AA471">
        <v>0.99537549999999997</v>
      </c>
      <c r="AB471">
        <v>29</v>
      </c>
      <c r="AC471">
        <v>0.44029999999997899</v>
      </c>
      <c r="AD471">
        <v>-0.25157000000000002</v>
      </c>
      <c r="AE471">
        <v>-7.6200000000028398E-2</v>
      </c>
      <c r="AF471">
        <v>5.6117467259562397E-2</v>
      </c>
      <c r="AG471">
        <v>-0.25157000000000002</v>
      </c>
      <c r="AH471">
        <v>0.33462770350439802</v>
      </c>
      <c r="AI471">
        <v>126.55460684062101</v>
      </c>
      <c r="AJ471">
        <v>80.480015130479401</v>
      </c>
      <c r="AK471">
        <v>0.42238884334728299</v>
      </c>
      <c r="AL471">
        <v>79.304888069288197</v>
      </c>
      <c r="AM471">
        <v>88.247702141117998</v>
      </c>
      <c r="AN471">
        <v>1.00000007996609</v>
      </c>
    </row>
    <row r="472" spans="1:40" x14ac:dyDescent="0.25">
      <c r="A472" t="str">
        <f>"20190303162507035"</f>
        <v>20190303162507035</v>
      </c>
      <c r="B472" t="str">
        <f>"1551601507033062"</f>
        <v>1551601507033062</v>
      </c>
      <c r="C472" t="s">
        <v>40</v>
      </c>
      <c r="D472">
        <v>5.3814900000000003</v>
      </c>
      <c r="E472">
        <v>0.52833390000000002</v>
      </c>
      <c r="F472" t="s">
        <v>42</v>
      </c>
      <c r="G472">
        <v>-360.80419999999998</v>
      </c>
      <c r="H472">
        <v>0.87677989999999995</v>
      </c>
      <c r="I472">
        <v>367.21769999999998</v>
      </c>
      <c r="J472">
        <v>-361.21980000000002</v>
      </c>
      <c r="K472">
        <v>1.120455</v>
      </c>
      <c r="L472">
        <v>367.29180000000002</v>
      </c>
      <c r="M472">
        <v>0.99995940000000005</v>
      </c>
      <c r="N472">
        <v>-7.4434519999999997E-3</v>
      </c>
      <c r="O472">
        <v>-5.0912370000000002E-3</v>
      </c>
      <c r="P472">
        <v>0.98332450000000005</v>
      </c>
      <c r="Q472">
        <v>0.17836689999999999</v>
      </c>
      <c r="R472">
        <v>-3.5477189999999999E-2</v>
      </c>
      <c r="S472">
        <v>3.240173</v>
      </c>
      <c r="T472">
        <v>-1.114112</v>
      </c>
      <c r="U472">
        <v>-0.34344479999999999</v>
      </c>
      <c r="V472">
        <v>3.0432710000000002E-2</v>
      </c>
      <c r="W472">
        <v>0.18568870000000001</v>
      </c>
      <c r="X472">
        <v>0.98213729999999999</v>
      </c>
      <c r="Y472">
        <v>9.5088880000000001E-2</v>
      </c>
      <c r="Z472">
        <v>-1.4554889999999999E-2</v>
      </c>
      <c r="AA472">
        <v>0.99536239999999998</v>
      </c>
      <c r="AB472">
        <v>30</v>
      </c>
      <c r="AC472">
        <v>0.41560000000003999</v>
      </c>
      <c r="AD472">
        <v>-0.24367509999999901</v>
      </c>
      <c r="AE472">
        <v>-7.4100000000044006E-2</v>
      </c>
      <c r="AF472">
        <v>5.3993470777579898E-2</v>
      </c>
      <c r="AG472">
        <v>-0.24367509999999901</v>
      </c>
      <c r="AH472">
        <v>0.31201458858822001</v>
      </c>
      <c r="AI472">
        <v>127.579588563494</v>
      </c>
      <c r="AJ472">
        <v>80.182313645457398</v>
      </c>
      <c r="AK472">
        <v>0.39955719582870203</v>
      </c>
      <c r="AL472">
        <v>79.298712897075305</v>
      </c>
      <c r="AM472">
        <v>88.225188977098796</v>
      </c>
      <c r="AN472">
        <v>1.0000000595984599</v>
      </c>
    </row>
    <row r="473" spans="1:40" x14ac:dyDescent="0.25">
      <c r="A473" t="str">
        <f>"20190303162507061"</f>
        <v>20190303162507061</v>
      </c>
      <c r="B473" t="str">
        <f>"1551601507052582"</f>
        <v>1551601507052582</v>
      </c>
      <c r="C473" t="s">
        <v>40</v>
      </c>
      <c r="D473">
        <v>5.3891229999999997</v>
      </c>
      <c r="E473">
        <v>0.52833669999999899</v>
      </c>
      <c r="F473" t="s">
        <v>42</v>
      </c>
      <c r="G473">
        <v>-360.53489999999999</v>
      </c>
      <c r="H473">
        <v>0.88503999999999905</v>
      </c>
      <c r="I473">
        <v>367.21890000000002</v>
      </c>
      <c r="J473">
        <v>-360.8852</v>
      </c>
      <c r="K473">
        <v>1.1204499999999999</v>
      </c>
      <c r="L473">
        <v>367.29020000000003</v>
      </c>
      <c r="M473">
        <v>0.99996130000000005</v>
      </c>
      <c r="N473">
        <v>-7.2943499999999998E-3</v>
      </c>
      <c r="O473">
        <v>-4.9547999999999997E-3</v>
      </c>
      <c r="P473">
        <v>0.9832748</v>
      </c>
      <c r="Q473">
        <v>0.17862049999999999</v>
      </c>
      <c r="R473">
        <v>-3.5572159999999999E-2</v>
      </c>
      <c r="S473">
        <v>3.2404790000000001</v>
      </c>
      <c r="T473">
        <v>-1.113785</v>
      </c>
      <c r="U473">
        <v>-0.34432980000000002</v>
      </c>
      <c r="V473">
        <v>3.0661819999999999E-2</v>
      </c>
      <c r="W473">
        <v>0.1857955</v>
      </c>
      <c r="X473">
        <v>0.98210989999999998</v>
      </c>
      <c r="Y473">
        <v>9.5461379999999998E-2</v>
      </c>
      <c r="Z473">
        <v>-1.464943E-2</v>
      </c>
      <c r="AA473">
        <v>0.99532529999999997</v>
      </c>
      <c r="AB473">
        <v>30</v>
      </c>
      <c r="AC473">
        <v>0.350300000000004</v>
      </c>
      <c r="AD473">
        <v>-0.23540999999999901</v>
      </c>
      <c r="AE473">
        <v>-7.1300000000007899E-2</v>
      </c>
      <c r="AF473">
        <v>4.8521868106182101E-2</v>
      </c>
      <c r="AG473">
        <v>-0.23540999999999901</v>
      </c>
      <c r="AH473">
        <v>0.244584664171767</v>
      </c>
      <c r="AI473">
        <v>133.352688323769</v>
      </c>
      <c r="AJ473">
        <v>78.779082465607004</v>
      </c>
      <c r="AK473">
        <v>0.34291966658756901</v>
      </c>
      <c r="AL473">
        <v>79.292484535164405</v>
      </c>
      <c r="AM473">
        <v>88.2117862536915</v>
      </c>
      <c r="AN473">
        <v>0.99999998535198598</v>
      </c>
    </row>
    <row r="474" spans="1:40" x14ac:dyDescent="0.25">
      <c r="A474" t="str">
        <f>"20190303162507081"</f>
        <v>20190303162507081</v>
      </c>
      <c r="B474" t="str">
        <f>"1551601507073078"</f>
        <v>1551601507073078</v>
      </c>
      <c r="C474" t="s">
        <v>40</v>
      </c>
      <c r="D474">
        <v>5.3955109999999999</v>
      </c>
      <c r="E474">
        <v>0.528340699999999</v>
      </c>
      <c r="F474" t="s">
        <v>42</v>
      </c>
      <c r="G474">
        <v>-360.02379999999999</v>
      </c>
      <c r="H474">
        <v>0.82456419999999997</v>
      </c>
      <c r="I474">
        <v>367.19869999999997</v>
      </c>
      <c r="J474">
        <v>-360.60090000000002</v>
      </c>
      <c r="K474">
        <v>1.1204499999999999</v>
      </c>
      <c r="L474">
        <v>367.28890000000001</v>
      </c>
      <c r="M474">
        <v>0.99996260000000003</v>
      </c>
      <c r="N474">
        <v>-7.1923029999999997E-3</v>
      </c>
      <c r="O474">
        <v>-4.8384480000000004E-3</v>
      </c>
      <c r="P474">
        <v>0.98317030000000005</v>
      </c>
      <c r="Q474">
        <v>0.17919119999999999</v>
      </c>
      <c r="R474">
        <v>-3.5596669999999997E-2</v>
      </c>
      <c r="S474">
        <v>3.2408139999999999</v>
      </c>
      <c r="T474">
        <v>-1.1132070000000001</v>
      </c>
      <c r="U474">
        <v>-0.34414670000000003</v>
      </c>
      <c r="V474">
        <v>3.080082E-2</v>
      </c>
      <c r="W474">
        <v>0.18626490000000001</v>
      </c>
      <c r="X474">
        <v>0.98201660000000002</v>
      </c>
      <c r="Y474">
        <v>9.5509730000000001E-2</v>
      </c>
      <c r="Z474">
        <v>-1.4681720000000001E-2</v>
      </c>
      <c r="AA474">
        <v>0.99532019999999999</v>
      </c>
      <c r="AB474">
        <v>30</v>
      </c>
      <c r="AC474">
        <v>0.57710000000002903</v>
      </c>
      <c r="AD474">
        <v>-0.29588579999999998</v>
      </c>
      <c r="AE474">
        <v>-9.0200000000038402E-2</v>
      </c>
      <c r="AF474">
        <v>6.9557773020016506E-2</v>
      </c>
      <c r="AG474">
        <v>-0.29588579999999998</v>
      </c>
      <c r="AH474">
        <v>0.459595463019493</v>
      </c>
      <c r="AI474">
        <v>122.478678812072</v>
      </c>
      <c r="AJ474">
        <v>81.3938459585994</v>
      </c>
      <c r="AK474">
        <v>0.55101241370521403</v>
      </c>
      <c r="AL474">
        <v>79.265111732229201</v>
      </c>
      <c r="AM474">
        <v>88.203514444888896</v>
      </c>
      <c r="AN474">
        <v>0.99999995308012002</v>
      </c>
    </row>
    <row r="475" spans="1:40" x14ac:dyDescent="0.25">
      <c r="A475" t="str">
        <f>"20190303162507103"</f>
        <v>20190303162507103</v>
      </c>
      <c r="B475" t="str">
        <f>"1551601507092598"</f>
        <v>1551601507092598</v>
      </c>
      <c r="C475" t="s">
        <v>40</v>
      </c>
      <c r="D475">
        <v>5.4180599999999997</v>
      </c>
      <c r="E475">
        <v>0.52835639999999995</v>
      </c>
      <c r="F475" t="s">
        <v>42</v>
      </c>
      <c r="G475">
        <v>-359.75319999999999</v>
      </c>
      <c r="H475">
        <v>0.82979329999999996</v>
      </c>
      <c r="I475">
        <v>367.19850000000002</v>
      </c>
      <c r="J475">
        <v>-360.31729999999999</v>
      </c>
      <c r="K475">
        <v>1.1204499999999999</v>
      </c>
      <c r="L475">
        <v>367.28769999999997</v>
      </c>
      <c r="M475">
        <v>0.99996359999999995</v>
      </c>
      <c r="N475">
        <v>-7.1089409999999997E-3</v>
      </c>
      <c r="O475">
        <v>-4.722642E-3</v>
      </c>
      <c r="P475">
        <v>0.98310940000000002</v>
      </c>
      <c r="Q475">
        <v>0.17940429999999999</v>
      </c>
      <c r="R475">
        <v>-3.619547E-2</v>
      </c>
      <c r="S475">
        <v>3.2414550000000002</v>
      </c>
      <c r="T475">
        <v>-1.1114569999999999</v>
      </c>
      <c r="U475">
        <v>-0.3445435</v>
      </c>
      <c r="V475">
        <v>3.1513329999999999E-2</v>
      </c>
      <c r="W475">
        <v>0.1863966</v>
      </c>
      <c r="X475">
        <v>0.98196910000000004</v>
      </c>
      <c r="Y475">
        <v>9.572551E-2</v>
      </c>
      <c r="Z475">
        <v>-1.4727560000000001E-2</v>
      </c>
      <c r="AA475">
        <v>0.99529880000000004</v>
      </c>
      <c r="AB475">
        <v>30</v>
      </c>
      <c r="AC475">
        <v>0.56409999999999605</v>
      </c>
      <c r="AD475">
        <v>-0.29065669999999899</v>
      </c>
      <c r="AE475">
        <v>-8.9199999999948404E-2</v>
      </c>
      <c r="AF475">
        <v>6.8732291142870994E-2</v>
      </c>
      <c r="AG475">
        <v>-0.29065669999999899</v>
      </c>
      <c r="AH475">
        <v>0.44837874527284699</v>
      </c>
      <c r="AI475">
        <v>122.649909527166</v>
      </c>
      <c r="AJ475">
        <v>81.284929722179797</v>
      </c>
      <c r="AK475">
        <v>0.53874757012267904</v>
      </c>
      <c r="AL475">
        <v>79.257432402911704</v>
      </c>
      <c r="AM475">
        <v>88.161895993195699</v>
      </c>
      <c r="AN475">
        <v>1.0000000479070199</v>
      </c>
    </row>
    <row r="476" spans="1:40" x14ac:dyDescent="0.25">
      <c r="A476" t="str">
        <f>"20190303162507126"</f>
        <v>20190303162507126</v>
      </c>
      <c r="B476" t="str">
        <f>"1551601507123830"</f>
        <v>1551601507123830</v>
      </c>
      <c r="C476" t="s">
        <v>40</v>
      </c>
      <c r="D476">
        <v>5.4311449999999999</v>
      </c>
      <c r="E476">
        <v>0.52838219999999902</v>
      </c>
      <c r="F476" t="s">
        <v>42</v>
      </c>
      <c r="G476">
        <v>-359.4821</v>
      </c>
      <c r="H476">
        <v>0.83427519999999999</v>
      </c>
      <c r="I476">
        <v>367.19830000000002</v>
      </c>
      <c r="J476">
        <v>-360.00540000000001</v>
      </c>
      <c r="K476">
        <v>1.120452</v>
      </c>
      <c r="L476">
        <v>367.28629999999998</v>
      </c>
      <c r="M476">
        <v>0.99996479999999999</v>
      </c>
      <c r="N476">
        <v>-7.0358579999999999E-3</v>
      </c>
      <c r="O476">
        <v>-4.5953110000000004E-3</v>
      </c>
      <c r="P476">
        <v>0.98302900000000004</v>
      </c>
      <c r="Q476">
        <v>0.17984459999999999</v>
      </c>
      <c r="R476">
        <v>-3.6198059999999997E-2</v>
      </c>
      <c r="S476">
        <v>3.2414550000000002</v>
      </c>
      <c r="T476">
        <v>-1.1106279999999999</v>
      </c>
      <c r="U476">
        <v>-0.34658810000000001</v>
      </c>
      <c r="V476">
        <v>3.1641120000000002E-2</v>
      </c>
      <c r="W476">
        <v>0.18676429999999999</v>
      </c>
      <c r="X476">
        <v>0.98189510000000002</v>
      </c>
      <c r="Y476">
        <v>9.643446E-2</v>
      </c>
      <c r="Z476">
        <v>-1.487482E-2</v>
      </c>
      <c r="AA476">
        <v>0.99522820000000001</v>
      </c>
      <c r="AB476">
        <v>30</v>
      </c>
      <c r="AC476">
        <v>0.52330000000000598</v>
      </c>
      <c r="AD476">
        <v>-0.28617680000000001</v>
      </c>
      <c r="AE476">
        <v>-8.7999999999965398E-2</v>
      </c>
      <c r="AF476">
        <v>6.6308902807133197E-2</v>
      </c>
      <c r="AG476">
        <v>-0.28617680000000001</v>
      </c>
      <c r="AH476">
        <v>0.40570345867492102</v>
      </c>
      <c r="AI476">
        <v>124.843601470161</v>
      </c>
      <c r="AJ476">
        <v>80.717548799514404</v>
      </c>
      <c r="AK476">
        <v>0.50088853833015501</v>
      </c>
      <c r="AL476">
        <v>79.235987937749002</v>
      </c>
      <c r="AM476">
        <v>88.154308431763198</v>
      </c>
      <c r="AN476">
        <v>1.0000000258166699</v>
      </c>
    </row>
    <row r="477" spans="1:40" x14ac:dyDescent="0.25">
      <c r="A477" t="str">
        <f>"20190303162507149"</f>
        <v>20190303162507149</v>
      </c>
      <c r="B477" t="str">
        <f>"1551601507143349"</f>
        <v>1551601507143349</v>
      </c>
      <c r="C477" t="s">
        <v>40</v>
      </c>
      <c r="D477">
        <v>5.4333669999999996</v>
      </c>
      <c r="E477">
        <v>0.52838699999999905</v>
      </c>
      <c r="F477" t="s">
        <v>42</v>
      </c>
      <c r="G477">
        <v>-359.20679999999999</v>
      </c>
      <c r="H477">
        <v>0.84723780000000004</v>
      </c>
      <c r="I477">
        <v>367.20089999999999</v>
      </c>
      <c r="J477">
        <v>-359.69540000000001</v>
      </c>
      <c r="K477">
        <v>1.1204499999999999</v>
      </c>
      <c r="L477">
        <v>367.28500000000003</v>
      </c>
      <c r="M477">
        <v>0.99996580000000002</v>
      </c>
      <c r="N477">
        <v>-6.978761E-3</v>
      </c>
      <c r="O477">
        <v>-4.4688699999999998E-3</v>
      </c>
      <c r="P477">
        <v>0.98290239999999995</v>
      </c>
      <c r="Q477">
        <v>0.18060780000000001</v>
      </c>
      <c r="R477">
        <v>-3.5832950000000002E-2</v>
      </c>
      <c r="S477">
        <v>3.2419739999999999</v>
      </c>
      <c r="T477">
        <v>-1.109103</v>
      </c>
      <c r="U477">
        <v>-0.34585569999999999</v>
      </c>
      <c r="V477">
        <v>3.140043E-2</v>
      </c>
      <c r="W477">
        <v>0.18747069999999999</v>
      </c>
      <c r="X477">
        <v>0.98176819999999998</v>
      </c>
      <c r="Y477">
        <v>9.6336450000000004E-2</v>
      </c>
      <c r="Z477">
        <v>-1.4875319999999999E-2</v>
      </c>
      <c r="AA477">
        <v>0.99523759999999994</v>
      </c>
      <c r="AB477">
        <v>30</v>
      </c>
      <c r="AC477">
        <v>0.48860000000001902</v>
      </c>
      <c r="AD477">
        <v>-0.27321219999999902</v>
      </c>
      <c r="AE477">
        <v>-8.4100000000034897E-2</v>
      </c>
      <c r="AF477">
        <v>6.2834238360045494E-2</v>
      </c>
      <c r="AG477">
        <v>-0.27321219999999902</v>
      </c>
      <c r="AH477">
        <v>0.37507033381888799</v>
      </c>
      <c r="AI477">
        <v>125.69413745396299</v>
      </c>
      <c r="AJ477">
        <v>80.489748459515496</v>
      </c>
      <c r="AK477">
        <v>0.468263604233918</v>
      </c>
      <c r="AL477">
        <v>79.194786465113694</v>
      </c>
      <c r="AM477">
        <v>88.168102180831895</v>
      </c>
      <c r="AN477">
        <v>1.00000002444695</v>
      </c>
    </row>
    <row r="478" spans="1:40" x14ac:dyDescent="0.25">
      <c r="A478" t="str">
        <f>"20190303162507171"</f>
        <v>20190303162507171</v>
      </c>
      <c r="B478" t="str">
        <f>"1551601507163847"</f>
        <v>1551601507163847</v>
      </c>
      <c r="C478" t="s">
        <v>40</v>
      </c>
      <c r="D478">
        <v>5.4166809999999996</v>
      </c>
      <c r="E478">
        <v>0.52838569999999996</v>
      </c>
      <c r="F478" t="s">
        <v>42</v>
      </c>
      <c r="G478">
        <v>-358.93099999999998</v>
      </c>
      <c r="H478">
        <v>0.85959240000000003</v>
      </c>
      <c r="I478">
        <v>367.20330000000001</v>
      </c>
      <c r="J478">
        <v>-359.39139999999998</v>
      </c>
      <c r="K478">
        <v>1.1204540000000001</v>
      </c>
      <c r="L478">
        <v>367.28379999999999</v>
      </c>
      <c r="M478">
        <v>0.99996649999999998</v>
      </c>
      <c r="N478">
        <v>-6.9356449999999998E-3</v>
      </c>
      <c r="O478">
        <v>-4.3447440000000002E-3</v>
      </c>
      <c r="P478">
        <v>0.98272090000000001</v>
      </c>
      <c r="Q478">
        <v>0.1816962</v>
      </c>
      <c r="R478">
        <v>-3.5303859999999999E-2</v>
      </c>
      <c r="S478">
        <v>3.24295</v>
      </c>
      <c r="T478">
        <v>-1.106638</v>
      </c>
      <c r="U478">
        <v>-0.34542850000000003</v>
      </c>
      <c r="V478">
        <v>3.0993710000000001E-2</v>
      </c>
      <c r="W478">
        <v>0.1885155</v>
      </c>
      <c r="X478">
        <v>0.98158100000000004</v>
      </c>
      <c r="Y478">
        <v>9.6319340000000003E-2</v>
      </c>
      <c r="Z478">
        <v>-1.487579E-2</v>
      </c>
      <c r="AA478">
        <v>0.99523930000000005</v>
      </c>
      <c r="AB478">
        <v>30</v>
      </c>
      <c r="AC478">
        <v>0.46039999999999198</v>
      </c>
      <c r="AD478">
        <v>-0.26086159999999903</v>
      </c>
      <c r="AE478">
        <v>-8.0499999999972205E-2</v>
      </c>
      <c r="AF478">
        <v>5.9853829949039601E-2</v>
      </c>
      <c r="AG478">
        <v>-0.26086159999999903</v>
      </c>
      <c r="AH478">
        <v>0.351309223053416</v>
      </c>
      <c r="AI478">
        <v>126.203882416409</v>
      </c>
      <c r="AJ478">
        <v>80.331149469252694</v>
      </c>
      <c r="AK478">
        <v>0.44164400314792401</v>
      </c>
      <c r="AL478">
        <v>79.1338366572827</v>
      </c>
      <c r="AM478">
        <v>88.191469713438806</v>
      </c>
      <c r="AN478">
        <v>0.99999998168040605</v>
      </c>
    </row>
    <row r="479" spans="1:40" x14ac:dyDescent="0.25">
      <c r="A479" t="str">
        <f>"20190303162507194"</f>
        <v>20190303162507194</v>
      </c>
      <c r="B479" t="str">
        <f>"1551601507183367"</f>
        <v>1551601507183367</v>
      </c>
      <c r="C479" t="s">
        <v>40</v>
      </c>
      <c r="D479">
        <v>5.4438890000000004</v>
      </c>
      <c r="E479">
        <v>0.52839199999999997</v>
      </c>
      <c r="F479" t="s">
        <v>42</v>
      </c>
      <c r="G479">
        <v>-358.65499999999997</v>
      </c>
      <c r="H479">
        <v>0.870121699999999</v>
      </c>
      <c r="I479">
        <v>367.2056</v>
      </c>
      <c r="J479">
        <v>-359.09089999999998</v>
      </c>
      <c r="K479">
        <v>1.1204609999999999</v>
      </c>
      <c r="L479">
        <v>367.2826</v>
      </c>
      <c r="M479">
        <v>0.9999673</v>
      </c>
      <c r="N479">
        <v>-6.9039409999999898E-3</v>
      </c>
      <c r="O479">
        <v>-4.2220900000000004E-3</v>
      </c>
      <c r="P479">
        <v>0.98259629999999998</v>
      </c>
      <c r="Q479">
        <v>0.18249190000000001</v>
      </c>
      <c r="R479">
        <v>-3.4658139999999997E-2</v>
      </c>
      <c r="S479">
        <v>3.244354</v>
      </c>
      <c r="T479">
        <v>-1.102919</v>
      </c>
      <c r="U479">
        <v>-0.34307860000000001</v>
      </c>
      <c r="V479">
        <v>3.0468760000000001E-2</v>
      </c>
      <c r="W479">
        <v>0.1892788</v>
      </c>
      <c r="X479">
        <v>0.98145059999999995</v>
      </c>
      <c r="Y479">
        <v>9.5747620000000006E-2</v>
      </c>
      <c r="Z479">
        <v>-1.4765779999999999E-2</v>
      </c>
      <c r="AA479">
        <v>0.99529610000000002</v>
      </c>
      <c r="AB479">
        <v>30</v>
      </c>
      <c r="AC479">
        <v>0.43590000000000301</v>
      </c>
      <c r="AD479">
        <v>-0.25033929999999999</v>
      </c>
      <c r="AE479">
        <v>-7.6999999999998098E-2</v>
      </c>
      <c r="AF479">
        <v>5.6945209707779103E-2</v>
      </c>
      <c r="AG479">
        <v>-0.25033929999999999</v>
      </c>
      <c r="AH479">
        <v>0.33050938713936601</v>
      </c>
      <c r="AI479">
        <v>126.73900504167899</v>
      </c>
      <c r="AJ479">
        <v>80.224186986252107</v>
      </c>
      <c r="AK479">
        <v>0.418508036984228</v>
      </c>
      <c r="AL479">
        <v>79.089301703633197</v>
      </c>
      <c r="AM479">
        <v>88.221845447759193</v>
      </c>
      <c r="AN479">
        <v>1.0000000448528601</v>
      </c>
    </row>
    <row r="480" spans="1:40" x14ac:dyDescent="0.25">
      <c r="A480" t="str">
        <f>"20190303162507214"</f>
        <v>20190303162507214</v>
      </c>
      <c r="B480" t="str">
        <f>"1551601507202886"</f>
        <v>1551601507202886</v>
      </c>
      <c r="C480" t="s">
        <v>40</v>
      </c>
      <c r="D480">
        <v>5.400074</v>
      </c>
      <c r="E480">
        <v>0.52840240000000005</v>
      </c>
      <c r="F480" t="s">
        <v>42</v>
      </c>
      <c r="G480">
        <v>-358.37889999999999</v>
      </c>
      <c r="H480">
        <v>0.87908229999999998</v>
      </c>
      <c r="I480">
        <v>367.2081</v>
      </c>
      <c r="J480">
        <v>-358.80720000000002</v>
      </c>
      <c r="K480">
        <v>1.12046</v>
      </c>
      <c r="L480">
        <v>367.28149999999999</v>
      </c>
      <c r="M480">
        <v>0.99996790000000002</v>
      </c>
      <c r="N480">
        <v>-6.8825850000000001E-3</v>
      </c>
      <c r="O480">
        <v>-4.1061470000000001E-3</v>
      </c>
      <c r="P480">
        <v>0.98249319999999896</v>
      </c>
      <c r="Q480">
        <v>0.1830533</v>
      </c>
      <c r="R480">
        <v>-3.4625049999999997E-2</v>
      </c>
      <c r="S480">
        <v>3.245514</v>
      </c>
      <c r="T480">
        <v>-1.100311</v>
      </c>
      <c r="U480">
        <v>-0.33926390000000001</v>
      </c>
      <c r="V480">
        <v>3.0549679999999999E-2</v>
      </c>
      <c r="W480">
        <v>0.1898186</v>
      </c>
      <c r="X480">
        <v>0.98134379999999999</v>
      </c>
      <c r="Y480">
        <v>9.4745990000000002E-2</v>
      </c>
      <c r="Z480">
        <v>-1.459735E-2</v>
      </c>
      <c r="AA480">
        <v>0.99539449999999996</v>
      </c>
      <c r="AB480">
        <v>30</v>
      </c>
      <c r="AC480">
        <v>0.42830000000003499</v>
      </c>
      <c r="AD480">
        <v>-0.2413777</v>
      </c>
      <c r="AE480">
        <v>-7.3399999999992305E-2</v>
      </c>
      <c r="AF480">
        <v>5.4748099674045501E-2</v>
      </c>
      <c r="AG480">
        <v>-0.2413777</v>
      </c>
      <c r="AH480">
        <v>0.32753619083668101</v>
      </c>
      <c r="AI480">
        <v>126.01211011757201</v>
      </c>
      <c r="AJ480">
        <v>80.510663015619897</v>
      </c>
      <c r="AK480">
        <v>0.41053684948249403</v>
      </c>
      <c r="AL480">
        <v>79.057802113819307</v>
      </c>
      <c r="AM480">
        <v>88.216932100844701</v>
      </c>
      <c r="AN480">
        <v>1.0000000188262499</v>
      </c>
    </row>
    <row r="481" spans="1:40" x14ac:dyDescent="0.25">
      <c r="A481" t="str">
        <f>"20190303162507238"</f>
        <v>20190303162507238</v>
      </c>
      <c r="B481" t="str">
        <f>"1551601507233143"</f>
        <v>1551601507233143</v>
      </c>
      <c r="C481" t="s">
        <v>40</v>
      </c>
      <c r="D481">
        <v>5.4673959999999999</v>
      </c>
      <c r="E481">
        <v>0.5283774</v>
      </c>
      <c r="F481" t="s">
        <v>42</v>
      </c>
      <c r="G481">
        <v>-358.10419999999999</v>
      </c>
      <c r="H481">
        <v>0.882534499999999</v>
      </c>
      <c r="I481">
        <v>367.20760000000001</v>
      </c>
      <c r="J481">
        <v>-358.49110000000002</v>
      </c>
      <c r="K481">
        <v>1.1204590000000001</v>
      </c>
      <c r="L481">
        <v>367.28030000000001</v>
      </c>
      <c r="M481">
        <v>0.99996850000000004</v>
      </c>
      <c r="N481">
        <v>-6.8668359999999899E-3</v>
      </c>
      <c r="O481">
        <v>-3.9772280000000002E-3</v>
      </c>
      <c r="P481">
        <v>0.98250630000000005</v>
      </c>
      <c r="Q481">
        <v>0.18294940000000001</v>
      </c>
      <c r="R481">
        <v>-3.4799690000000001E-2</v>
      </c>
      <c r="S481">
        <v>3.2461549999999999</v>
      </c>
      <c r="T481">
        <v>-1.0984689999999999</v>
      </c>
      <c r="U481">
        <v>-0.33978269999999999</v>
      </c>
      <c r="V481">
        <v>3.0850849999999999E-2</v>
      </c>
      <c r="W481">
        <v>0.18969920000000001</v>
      </c>
      <c r="X481">
        <v>0.98135749999999999</v>
      </c>
      <c r="Y481">
        <v>9.5008540000000002E-2</v>
      </c>
      <c r="Z481">
        <v>-1.465668E-2</v>
      </c>
      <c r="AA481">
        <v>0.99536849999999999</v>
      </c>
      <c r="AB481">
        <v>30</v>
      </c>
      <c r="AC481">
        <v>0.386900000000025</v>
      </c>
      <c r="AD481">
        <v>-0.23792450000000001</v>
      </c>
      <c r="AE481">
        <v>-7.2699999999997503E-2</v>
      </c>
      <c r="AF481">
        <v>5.2122082110282103E-2</v>
      </c>
      <c r="AG481">
        <v>-0.23792450000000001</v>
      </c>
      <c r="AH481">
        <v>0.28359717975815901</v>
      </c>
      <c r="AI481">
        <v>129.52713697892301</v>
      </c>
      <c r="AJ481">
        <v>79.585877601966004</v>
      </c>
      <c r="AK481">
        <v>0.37383437443678602</v>
      </c>
      <c r="AL481">
        <v>79.064770196646506</v>
      </c>
      <c r="AM481">
        <v>88.199390596775402</v>
      </c>
      <c r="AN481">
        <v>1.0000000521162999</v>
      </c>
    </row>
    <row r="482" spans="1:40" x14ac:dyDescent="0.25">
      <c r="A482" t="str">
        <f>"20190303162507261"</f>
        <v>20190303162507261</v>
      </c>
      <c r="B482" t="str">
        <f>"1551601507252662"</f>
        <v>1551601507252662</v>
      </c>
      <c r="C482" t="s">
        <v>40</v>
      </c>
      <c r="D482">
        <v>5.4203890000000001</v>
      </c>
      <c r="E482">
        <v>0.52832619999999997</v>
      </c>
      <c r="F482" t="s">
        <v>42</v>
      </c>
      <c r="G482">
        <v>-357.8252</v>
      </c>
      <c r="H482">
        <v>0.89488599999999996</v>
      </c>
      <c r="I482">
        <v>367.21030000000002</v>
      </c>
      <c r="J482">
        <v>-358.16770000000002</v>
      </c>
      <c r="K482">
        <v>1.1204559999999999</v>
      </c>
      <c r="L482">
        <v>367.27910000000003</v>
      </c>
      <c r="M482">
        <v>0.9999692</v>
      </c>
      <c r="N482">
        <v>-6.8590259999999998E-3</v>
      </c>
      <c r="O482">
        <v>-3.8454750000000001E-3</v>
      </c>
      <c r="P482">
        <v>0.98244900000000002</v>
      </c>
      <c r="Q482">
        <v>0.18322440000000001</v>
      </c>
      <c r="R482">
        <v>-3.497227E-2</v>
      </c>
      <c r="S482">
        <v>3.2460629999999999</v>
      </c>
      <c r="T482">
        <v>-1.099507</v>
      </c>
      <c r="U482">
        <v>-0.34069820000000001</v>
      </c>
      <c r="V482">
        <v>3.1152949999999999E-2</v>
      </c>
      <c r="W482">
        <v>0.1899661</v>
      </c>
      <c r="X482">
        <v>0.98129630000000001</v>
      </c>
      <c r="Y482">
        <v>9.5382789999999995E-2</v>
      </c>
      <c r="Z482">
        <v>-1.4774519999999999E-2</v>
      </c>
      <c r="AA482">
        <v>0.99533099999999997</v>
      </c>
      <c r="AB482">
        <v>31</v>
      </c>
      <c r="AC482">
        <v>0.342500000000029</v>
      </c>
      <c r="AD482">
        <v>-0.22556999999999899</v>
      </c>
      <c r="AE482">
        <v>-6.8800000000010103E-2</v>
      </c>
      <c r="AF482">
        <v>4.7625822516455397E-2</v>
      </c>
      <c r="AG482">
        <v>-0.22556999999999899</v>
      </c>
      <c r="AH482">
        <v>0.24190496721562099</v>
      </c>
      <c r="AI482">
        <v>132.45572978040099</v>
      </c>
      <c r="AJ482">
        <v>78.862155002156399</v>
      </c>
      <c r="AK482">
        <v>0.334167707946114</v>
      </c>
      <c r="AL482">
        <v>79.049194457556098</v>
      </c>
      <c r="AM482">
        <v>88.181656992183903</v>
      </c>
      <c r="AN482">
        <v>1.0000000269183</v>
      </c>
    </row>
    <row r="483" spans="1:40" x14ac:dyDescent="0.25">
      <c r="A483" t="str">
        <f>"20190303162507282"</f>
        <v>20190303162507282</v>
      </c>
      <c r="B483" t="str">
        <f>"1551601507273158"</f>
        <v>1551601507273158</v>
      </c>
      <c r="C483" t="s">
        <v>40</v>
      </c>
      <c r="D483">
        <v>5.414612</v>
      </c>
      <c r="E483">
        <v>0.52827239999999998</v>
      </c>
      <c r="F483" t="s">
        <v>42</v>
      </c>
      <c r="G483">
        <v>-357.30110000000002</v>
      </c>
      <c r="H483">
        <v>0.82690169999999996</v>
      </c>
      <c r="I483">
        <v>367.18810000000002</v>
      </c>
      <c r="J483">
        <v>-357.86219999999997</v>
      </c>
      <c r="K483">
        <v>1.120449</v>
      </c>
      <c r="L483">
        <v>367.27809999999999</v>
      </c>
      <c r="M483">
        <v>0.99996969999999996</v>
      </c>
      <c r="N483">
        <v>-6.8575669999999898E-3</v>
      </c>
      <c r="O483">
        <v>-3.7208950000000001E-3</v>
      </c>
      <c r="P483">
        <v>0.98234860000000002</v>
      </c>
      <c r="Q483">
        <v>0.1837376</v>
      </c>
      <c r="R483">
        <v>-3.5101599999999997E-2</v>
      </c>
      <c r="S483">
        <v>3.2465820000000001</v>
      </c>
      <c r="T483">
        <v>-1.099823</v>
      </c>
      <c r="U483">
        <v>-0.34027099999999999</v>
      </c>
      <c r="V483">
        <v>3.1404580000000001E-2</v>
      </c>
      <c r="W483">
        <v>0.1904778</v>
      </c>
      <c r="X483">
        <v>0.98118910000000004</v>
      </c>
      <c r="Y483">
        <v>9.5354330000000001E-2</v>
      </c>
      <c r="Z483">
        <v>-1.4811629999999999E-2</v>
      </c>
      <c r="AA483">
        <v>0.99533320000000003</v>
      </c>
      <c r="AB483">
        <v>31</v>
      </c>
      <c r="AC483">
        <v>0.56109999999995297</v>
      </c>
      <c r="AD483">
        <v>-0.29354730000000001</v>
      </c>
      <c r="AE483">
        <v>-8.9999999999974906E-2</v>
      </c>
      <c r="AF483">
        <v>6.9394597639230393E-2</v>
      </c>
      <c r="AG483">
        <v>-0.29354730000000001</v>
      </c>
      <c r="AH483">
        <v>0.44317596192005299</v>
      </c>
      <c r="AI483">
        <v>123.200653431893</v>
      </c>
      <c r="AJ483">
        <v>81.1006190851691</v>
      </c>
      <c r="AK483">
        <v>0.53608820239076804</v>
      </c>
      <c r="AL483">
        <v>79.019331133298607</v>
      </c>
      <c r="AM483">
        <v>88.166779639901193</v>
      </c>
      <c r="AN483">
        <v>1.00000004494831</v>
      </c>
    </row>
    <row r="484" spans="1:40" x14ac:dyDescent="0.25">
      <c r="A484" t="str">
        <f>"20190303162507304"</f>
        <v>20190303162507304</v>
      </c>
      <c r="B484" t="str">
        <f>"1551601507293654"</f>
        <v>1551601507293654</v>
      </c>
      <c r="C484" t="s">
        <v>40</v>
      </c>
      <c r="D484">
        <v>5.3838920000000003</v>
      </c>
      <c r="E484">
        <v>0.52822480000000005</v>
      </c>
      <c r="F484" t="s">
        <v>42</v>
      </c>
      <c r="G484">
        <v>-357.02120000000002</v>
      </c>
      <c r="H484">
        <v>0.83574319999999902</v>
      </c>
      <c r="I484">
        <v>367.18979999999999</v>
      </c>
      <c r="J484">
        <v>-357.57470000000001</v>
      </c>
      <c r="K484">
        <v>1.120449</v>
      </c>
      <c r="L484">
        <v>367.27719999999999</v>
      </c>
      <c r="M484">
        <v>0.99997009999999997</v>
      </c>
      <c r="N484">
        <v>-6.8613959999999996E-3</v>
      </c>
      <c r="O484">
        <v>-3.6036060000000001E-3</v>
      </c>
      <c r="P484">
        <v>0.9823307</v>
      </c>
      <c r="Q484">
        <v>0.18385019999999999</v>
      </c>
      <c r="R484">
        <v>-3.501406E-2</v>
      </c>
      <c r="S484">
        <v>3.2473749999999999</v>
      </c>
      <c r="T484">
        <v>-1.09935</v>
      </c>
      <c r="U484">
        <v>-0.33892820000000001</v>
      </c>
      <c r="V484">
        <v>3.1432389999999998E-2</v>
      </c>
      <c r="W484">
        <v>0.19059390000000001</v>
      </c>
      <c r="X484">
        <v>0.98116559999999997</v>
      </c>
      <c r="Y484">
        <v>9.5055669999999995E-2</v>
      </c>
      <c r="Z484">
        <v>-1.479051E-2</v>
      </c>
      <c r="AA484">
        <v>0.99536210000000003</v>
      </c>
      <c r="AB484">
        <v>31</v>
      </c>
      <c r="AC484">
        <v>0.553499999999985</v>
      </c>
      <c r="AD484">
        <v>-0.28470580000000001</v>
      </c>
      <c r="AE484">
        <v>-8.7400000000002295E-2</v>
      </c>
      <c r="AF484">
        <v>6.7881584358897101E-2</v>
      </c>
      <c r="AG484">
        <v>-0.28470580000000001</v>
      </c>
      <c r="AH484">
        <v>0.44018131985193798</v>
      </c>
      <c r="AI484">
        <v>122.588167649757</v>
      </c>
      <c r="AJ484">
        <v>81.233318514952501</v>
      </c>
      <c r="AK484">
        <v>0.52860656105964898</v>
      </c>
      <c r="AL484">
        <v>79.0125542580749</v>
      </c>
      <c r="AM484">
        <v>88.165113443345405</v>
      </c>
      <c r="AN484">
        <v>0.99999998224083997</v>
      </c>
    </row>
    <row r="485" spans="1:40" x14ac:dyDescent="0.25">
      <c r="A485" t="str">
        <f>"20190303162507328"</f>
        <v>20190303162507328</v>
      </c>
      <c r="B485" t="str">
        <f>"1551601507322936"</f>
        <v>1551601507322936</v>
      </c>
      <c r="C485" t="s">
        <v>40</v>
      </c>
      <c r="D485">
        <v>5.3702100000000002</v>
      </c>
      <c r="E485">
        <v>0.51784920000000001</v>
      </c>
      <c r="F485" t="s">
        <v>42</v>
      </c>
      <c r="G485">
        <v>-356.74279999999999</v>
      </c>
      <c r="H485">
        <v>0.83875040000000001</v>
      </c>
      <c r="I485">
        <v>367.19029999999998</v>
      </c>
      <c r="J485">
        <v>-357.23930000000001</v>
      </c>
      <c r="K485">
        <v>1.12046</v>
      </c>
      <c r="L485">
        <v>367.27609999999999</v>
      </c>
      <c r="M485">
        <v>0.99997040000000004</v>
      </c>
      <c r="N485">
        <v>-6.8743060000000002E-3</v>
      </c>
      <c r="O485">
        <v>-3.4671509999999999E-3</v>
      </c>
      <c r="P485">
        <v>0.9822845</v>
      </c>
      <c r="Q485">
        <v>0.18410499999999999</v>
      </c>
      <c r="R485">
        <v>-3.4965200000000002E-2</v>
      </c>
      <c r="S485">
        <v>3.2477719999999999</v>
      </c>
      <c r="T485">
        <v>-1.0997680000000001</v>
      </c>
      <c r="U485">
        <v>-0.33773799999999998</v>
      </c>
      <c r="V485">
        <v>3.1517620000000003E-2</v>
      </c>
      <c r="W485">
        <v>0.19086069999999999</v>
      </c>
      <c r="X485">
        <v>0.98111099999999996</v>
      </c>
      <c r="Y485">
        <v>9.4820989999999994E-2</v>
      </c>
      <c r="Z485">
        <v>-1.479952E-2</v>
      </c>
      <c r="AA485">
        <v>0.9953843</v>
      </c>
      <c r="AB485">
        <v>31</v>
      </c>
      <c r="AC485">
        <v>0.49650000000002498</v>
      </c>
      <c r="AD485">
        <v>-0.28170959999999901</v>
      </c>
      <c r="AE485">
        <v>-8.5800000000006094E-2</v>
      </c>
      <c r="AF485">
        <v>6.4054681225326399E-2</v>
      </c>
      <c r="AG485">
        <v>-0.28170959999999901</v>
      </c>
      <c r="AH485">
        <v>0.37848203326851099</v>
      </c>
      <c r="AI485">
        <v>126.274143349894</v>
      </c>
      <c r="AJ485">
        <v>80.394225481072297</v>
      </c>
      <c r="AK485">
        <v>0.47614278365434098</v>
      </c>
      <c r="AL485">
        <v>78.996981865971904</v>
      </c>
      <c r="AM485">
        <v>88.1600391806913</v>
      </c>
      <c r="AN485">
        <v>0.99999998074797602</v>
      </c>
    </row>
    <row r="486" spans="1:40" x14ac:dyDescent="0.25">
      <c r="A486" t="str">
        <f>"20190303162507351"</f>
        <v>20190303162507351</v>
      </c>
      <c r="B486" t="str">
        <f>"1551601507343432"</f>
        <v>1551601507343432</v>
      </c>
      <c r="C486" t="s">
        <v>40</v>
      </c>
      <c r="D486">
        <v>5.5349719999999998</v>
      </c>
      <c r="E486">
        <v>0.49793349999999997</v>
      </c>
      <c r="F486" t="s">
        <v>42</v>
      </c>
      <c r="G486">
        <v>-356.44139999999999</v>
      </c>
      <c r="H486">
        <v>0.89825859999999902</v>
      </c>
      <c r="I486">
        <v>367.21280000000002</v>
      </c>
      <c r="J486">
        <v>-356.92720000000003</v>
      </c>
      <c r="K486">
        <v>1.120463</v>
      </c>
      <c r="L486">
        <v>367.27510000000001</v>
      </c>
      <c r="M486">
        <v>0.99997069999999999</v>
      </c>
      <c r="N486">
        <v>-6.8929990000000003E-3</v>
      </c>
      <c r="O486">
        <v>-3.3402530000000001E-3</v>
      </c>
      <c r="P486">
        <v>0.98224909999999999</v>
      </c>
      <c r="Q486">
        <v>0.18436130000000001</v>
      </c>
      <c r="R486">
        <v>-3.4607760000000001E-2</v>
      </c>
      <c r="S486">
        <v>3.2127379999999999</v>
      </c>
      <c r="T486">
        <v>-0.89473579999999997</v>
      </c>
      <c r="U486">
        <v>-0.25360110000000002</v>
      </c>
      <c r="V486">
        <v>3.1284699999999999E-2</v>
      </c>
      <c r="W486">
        <v>0.19113540000000001</v>
      </c>
      <c r="X486">
        <v>0.98106499999999996</v>
      </c>
      <c r="Y486">
        <v>7.2661899999999904E-2</v>
      </c>
      <c r="Z486">
        <v>-9.2811820000000007E-3</v>
      </c>
      <c r="AA486">
        <v>0.99731340000000002</v>
      </c>
      <c r="AB486">
        <v>31</v>
      </c>
      <c r="AC486">
        <v>0.48580000000003998</v>
      </c>
      <c r="AD486">
        <v>-0.2222044</v>
      </c>
      <c r="AE486">
        <v>-6.2299999999993298E-2</v>
      </c>
      <c r="AF486">
        <v>5.0319683257429498E-2</v>
      </c>
      <c r="AG486">
        <v>-0.2222044</v>
      </c>
      <c r="AH486">
        <v>0.403046789451739</v>
      </c>
      <c r="AI486">
        <v>118.68150766038799</v>
      </c>
      <c r="AJ486">
        <v>82.8835451121071</v>
      </c>
      <c r="AK486">
        <v>0.46298334785372403</v>
      </c>
      <c r="AL486">
        <v>78.980947787879003</v>
      </c>
      <c r="AM486">
        <v>88.173541950734602</v>
      </c>
      <c r="AN486">
        <v>1.0000000039061201</v>
      </c>
    </row>
    <row r="487" spans="1:40" x14ac:dyDescent="0.25">
      <c r="A487" t="str">
        <f>"20190303162507372"</f>
        <v>20190303162507372</v>
      </c>
      <c r="B487" t="str">
        <f>"1551601507362955"</f>
        <v>1551601507362955</v>
      </c>
      <c r="C487" t="s">
        <v>40</v>
      </c>
      <c r="D487">
        <v>5.5212490000000001</v>
      </c>
      <c r="E487">
        <v>0.49330370000000001</v>
      </c>
      <c r="F487" t="s">
        <v>41</v>
      </c>
      <c r="G487">
        <v>-335.76850000000002</v>
      </c>
      <c r="H487" s="1">
        <v>-2.3237330000000002E-6</v>
      </c>
      <c r="I487">
        <v>366.65050000000002</v>
      </c>
      <c r="J487">
        <v>-356.61930000000001</v>
      </c>
      <c r="K487">
        <v>1.120463</v>
      </c>
      <c r="L487">
        <v>367.27429999999998</v>
      </c>
      <c r="M487">
        <v>0.99997100000000005</v>
      </c>
      <c r="N487">
        <v>-6.9157109999999997E-3</v>
      </c>
      <c r="O487">
        <v>-3.2151549999999999E-3</v>
      </c>
      <c r="P487">
        <v>0.98226170000000002</v>
      </c>
      <c r="Q487">
        <v>0.18426210000000001</v>
      </c>
      <c r="R487">
        <v>-3.4782239999999999E-2</v>
      </c>
      <c r="S487">
        <v>3.0816650000000001</v>
      </c>
      <c r="T487">
        <v>-0.16319020000000001</v>
      </c>
      <c r="U487">
        <v>-9.0972899999999995E-2</v>
      </c>
      <c r="V487">
        <v>3.1581709999999999E-2</v>
      </c>
      <c r="W487">
        <v>0.1910587</v>
      </c>
      <c r="X487">
        <v>0.98107040000000001</v>
      </c>
      <c r="Y487">
        <v>2.62557E-2</v>
      </c>
      <c r="Z487">
        <v>-6.3754800000000004E-4</v>
      </c>
      <c r="AA487">
        <v>0.99965510000000002</v>
      </c>
      <c r="AB487">
        <v>31</v>
      </c>
      <c r="AC487">
        <v>20.8507999999999</v>
      </c>
      <c r="AD487">
        <v>-1.120465323733</v>
      </c>
      <c r="AE487">
        <v>-0.62379999999996005</v>
      </c>
      <c r="AF487">
        <v>0.55515493929599102</v>
      </c>
      <c r="AG487">
        <v>-1.120465323733</v>
      </c>
      <c r="AH487">
        <v>20.792708568657702</v>
      </c>
      <c r="AI487">
        <v>93.083441378103998</v>
      </c>
      <c r="AJ487">
        <v>88.470594638359401</v>
      </c>
      <c r="AK487">
        <v>20.830275302295998</v>
      </c>
      <c r="AL487">
        <v>78.985424620870504</v>
      </c>
      <c r="AM487">
        <v>88.156224017221604</v>
      </c>
      <c r="AN487">
        <v>0.99999998050418604</v>
      </c>
    </row>
    <row r="488" spans="1:40" x14ac:dyDescent="0.25">
      <c r="A488" t="str">
        <f>"20190303162507393"</f>
        <v>20190303162507393</v>
      </c>
      <c r="B488" t="str">
        <f>"1551601507383446"</f>
        <v>1551601507383446</v>
      </c>
      <c r="C488" t="s">
        <v>40</v>
      </c>
      <c r="D488">
        <v>5.5010320000000004</v>
      </c>
      <c r="E488">
        <v>0.49214940000000001</v>
      </c>
      <c r="F488" t="s">
        <v>44</v>
      </c>
      <c r="G488">
        <v>-287.56700000000001</v>
      </c>
      <c r="H488">
        <v>-0.05</v>
      </c>
      <c r="I488">
        <v>366.05410000000001</v>
      </c>
      <c r="J488">
        <v>-356.32400000000001</v>
      </c>
      <c r="K488">
        <v>1.1204559999999999</v>
      </c>
      <c r="L488">
        <v>367.27339999999998</v>
      </c>
      <c r="M488">
        <v>0.99997119999999995</v>
      </c>
      <c r="N488">
        <v>-6.9402090000000001E-3</v>
      </c>
      <c r="O488">
        <v>-3.0953090000000001E-3</v>
      </c>
      <c r="P488">
        <v>0.98237090000000005</v>
      </c>
      <c r="Q488">
        <v>0.18372160000000001</v>
      </c>
      <c r="R488">
        <v>-3.4553439999999998E-2</v>
      </c>
      <c r="S488">
        <v>3.0619510000000001</v>
      </c>
      <c r="T488">
        <v>-5.1901219999999998E-2</v>
      </c>
      <c r="U488">
        <v>-5.4107669999999997E-2</v>
      </c>
      <c r="V488">
        <v>3.1470070000000003E-2</v>
      </c>
      <c r="W488">
        <v>0.19054280000000001</v>
      </c>
      <c r="X488">
        <v>0.98117430000000005</v>
      </c>
      <c r="Y488">
        <v>1.457044E-2</v>
      </c>
      <c r="Z488">
        <v>-1.4306090000000001E-4</v>
      </c>
      <c r="AA488">
        <v>0.99989380000000005</v>
      </c>
      <c r="AB488">
        <v>31</v>
      </c>
      <c r="AC488">
        <v>68.757000000000005</v>
      </c>
      <c r="AD488">
        <v>-1.1704559999999999</v>
      </c>
      <c r="AE488">
        <v>-1.2192999999999701</v>
      </c>
      <c r="AF488">
        <v>1.0061734052753599</v>
      </c>
      <c r="AG488">
        <v>-1.1704559999999999</v>
      </c>
      <c r="AH488">
        <v>68.740531073214697</v>
      </c>
      <c r="AI488">
        <v>90.975385659919198</v>
      </c>
      <c r="AJ488">
        <v>89.161406348129802</v>
      </c>
      <c r="AK488">
        <v>68.757857473870004</v>
      </c>
      <c r="AL488">
        <v>79.015536542811802</v>
      </c>
      <c r="AM488">
        <v>88.162931632868407</v>
      </c>
      <c r="AN488">
        <v>0.999999965459066</v>
      </c>
    </row>
    <row r="489" spans="1:40" x14ac:dyDescent="0.25">
      <c r="A489" t="str">
        <f>"20190303162507416"</f>
        <v>20190303162507416</v>
      </c>
      <c r="B489" t="str">
        <f>"1551601507402967"</f>
        <v>1551601507402967</v>
      </c>
      <c r="C489" t="s">
        <v>40</v>
      </c>
      <c r="D489">
        <v>5.5020790000000002</v>
      </c>
      <c r="E489">
        <v>0.49210969999999998</v>
      </c>
      <c r="F489" t="s">
        <v>41</v>
      </c>
      <c r="G489">
        <v>-213.65029999999999</v>
      </c>
      <c r="H489" s="1">
        <v>-3.489048E-6</v>
      </c>
      <c r="I489">
        <v>365.2038</v>
      </c>
      <c r="J489">
        <v>-356.00110000000001</v>
      </c>
      <c r="K489">
        <v>1.1204559999999999</v>
      </c>
      <c r="L489">
        <v>367.27260000000001</v>
      </c>
      <c r="M489">
        <v>0.99997130000000001</v>
      </c>
      <c r="N489">
        <v>-6.9715239999999998E-3</v>
      </c>
      <c r="O489">
        <v>-2.9647559999999998E-3</v>
      </c>
      <c r="P489">
        <v>0.98242490000000005</v>
      </c>
      <c r="Q489">
        <v>0.18341830000000001</v>
      </c>
      <c r="R489">
        <v>-3.4631019999999998E-2</v>
      </c>
      <c r="S489">
        <v>3.0567319999999998</v>
      </c>
      <c r="T489">
        <v>-2.4005410000000001E-2</v>
      </c>
      <c r="U489">
        <v>-4.4342039999999999E-2</v>
      </c>
      <c r="V489">
        <v>3.1675309999999998E-2</v>
      </c>
      <c r="W489">
        <v>0.19027040000000001</v>
      </c>
      <c r="X489">
        <v>0.9812206</v>
      </c>
      <c r="Y489">
        <v>1.1539580000000001E-2</v>
      </c>
      <c r="Z489" s="1">
        <v>-8.2923530000000002E-5</v>
      </c>
      <c r="AA489">
        <v>0.99993339999999997</v>
      </c>
      <c r="AB489">
        <v>31</v>
      </c>
      <c r="AC489">
        <v>142.35079999999999</v>
      </c>
      <c r="AD489">
        <v>-1.120459489048</v>
      </c>
      <c r="AE489">
        <v>-2.0688000000000102</v>
      </c>
      <c r="AF489">
        <v>1.6466432658372301</v>
      </c>
      <c r="AG489">
        <v>-1.120459489048</v>
      </c>
      <c r="AH489">
        <v>142.34749079056999</v>
      </c>
      <c r="AI489">
        <v>90.450952659177801</v>
      </c>
      <c r="AJ489">
        <v>89.337245067884098</v>
      </c>
      <c r="AK489">
        <v>142.36142384045999</v>
      </c>
      <c r="AL489">
        <v>79.031435240509296</v>
      </c>
      <c r="AM489">
        <v>88.151046206497995</v>
      </c>
      <c r="AN489">
        <v>1.0000000081220499</v>
      </c>
    </row>
    <row r="490" spans="1:40" x14ac:dyDescent="0.25">
      <c r="A490" t="str">
        <f>"20190303162507441"</f>
        <v>20190303162507441</v>
      </c>
      <c r="B490" t="str">
        <f>"1551601507433224"</f>
        <v>1551601507433224</v>
      </c>
      <c r="C490" t="s">
        <v>40</v>
      </c>
      <c r="D490">
        <v>5.4875970000000001</v>
      </c>
      <c r="E490">
        <v>0.49205369999999998</v>
      </c>
      <c r="F490" t="s">
        <v>43</v>
      </c>
      <c r="G490">
        <v>-158.19499999999999</v>
      </c>
      <c r="H490">
        <v>0.1794443</v>
      </c>
      <c r="I490">
        <v>364.3895</v>
      </c>
      <c r="J490">
        <v>-355.67270000000002</v>
      </c>
      <c r="K490">
        <v>1.1204559999999999</v>
      </c>
      <c r="L490">
        <v>367.27170000000001</v>
      </c>
      <c r="M490">
        <v>0.99997139999999995</v>
      </c>
      <c r="N490">
        <v>-7.0086829999999999E-3</v>
      </c>
      <c r="O490">
        <v>-2.8314849999999999E-3</v>
      </c>
      <c r="P490">
        <v>0.9824176</v>
      </c>
      <c r="Q490">
        <v>0.18350320000000001</v>
      </c>
      <c r="R490">
        <v>-3.4382540000000003E-2</v>
      </c>
      <c r="S490">
        <v>3.05484</v>
      </c>
      <c r="T490">
        <v>-1.4531250000000001E-2</v>
      </c>
      <c r="U490">
        <v>-4.4525149999999999E-2</v>
      </c>
      <c r="V490">
        <v>3.1557839999999997E-2</v>
      </c>
      <c r="W490">
        <v>0.19039159999999999</v>
      </c>
      <c r="X490">
        <v>0.98120090000000004</v>
      </c>
      <c r="Y490">
        <v>1.17421E-2</v>
      </c>
      <c r="Z490" s="1">
        <v>-7.5453749999999996E-5</v>
      </c>
      <c r="AA490">
        <v>0.99993100000000001</v>
      </c>
      <c r="AB490">
        <v>31</v>
      </c>
      <c r="AC490">
        <v>197.4777</v>
      </c>
      <c r="AD490">
        <v>-0.94101170000000001</v>
      </c>
      <c r="AE490">
        <v>-2.8822000000000099</v>
      </c>
      <c r="AF490">
        <v>2.3229668139608499</v>
      </c>
      <c r="AG490">
        <v>-0.94101170000000001</v>
      </c>
      <c r="AH490">
        <v>197.480586270088</v>
      </c>
      <c r="AI490">
        <v>90.272998283869697</v>
      </c>
      <c r="AJ490">
        <v>89.326060051576803</v>
      </c>
      <c r="AK490">
        <v>197.49649017492999</v>
      </c>
      <c r="AL490">
        <v>79.024361957006704</v>
      </c>
      <c r="AM490">
        <v>88.157861482742106</v>
      </c>
      <c r="AN490">
        <v>1.00000003238841</v>
      </c>
    </row>
    <row r="491" spans="1:40" x14ac:dyDescent="0.25">
      <c r="A491" t="str">
        <f>"20190303162507462"</f>
        <v>20190303162507462</v>
      </c>
      <c r="B491" t="str">
        <f>"1551601507453719"</f>
        <v>1551601507453719</v>
      </c>
      <c r="C491" t="s">
        <v>40</v>
      </c>
      <c r="D491">
        <v>5.4243220000000001</v>
      </c>
      <c r="E491">
        <v>0.49185679999999998</v>
      </c>
      <c r="F491" t="s">
        <v>43</v>
      </c>
      <c r="G491">
        <v>-158.19499999999999</v>
      </c>
      <c r="H491">
        <v>0.87539460000000002</v>
      </c>
      <c r="I491">
        <v>364.46069999999997</v>
      </c>
      <c r="J491">
        <v>-355.36309999999997</v>
      </c>
      <c r="K491">
        <v>1.1204590000000001</v>
      </c>
      <c r="L491">
        <v>367.27100000000002</v>
      </c>
      <c r="M491">
        <v>0.99997159999999996</v>
      </c>
      <c r="N491">
        <v>-7.0466249999999999E-3</v>
      </c>
      <c r="O491">
        <v>-2.7064390000000002E-3</v>
      </c>
      <c r="P491">
        <v>0.98241290000000003</v>
      </c>
      <c r="Q491">
        <v>0.1836903</v>
      </c>
      <c r="R491">
        <v>-3.3512470000000003E-2</v>
      </c>
      <c r="S491">
        <v>3.0528870000000001</v>
      </c>
      <c r="T491">
        <v>-3.7871599999999999E-3</v>
      </c>
      <c r="U491">
        <v>-4.3457030000000001E-2</v>
      </c>
      <c r="V491">
        <v>3.0810259999999999E-2</v>
      </c>
      <c r="W491">
        <v>0.19061629999999999</v>
      </c>
      <c r="X491">
        <v>0.98118099999999997</v>
      </c>
      <c r="Y491">
        <v>1.1526990000000001E-2</v>
      </c>
      <c r="Z491" s="1">
        <v>-6.3478699999999999E-5</v>
      </c>
      <c r="AA491">
        <v>0.99993350000000003</v>
      </c>
      <c r="AB491">
        <v>31</v>
      </c>
      <c r="AC491">
        <v>197.16810000000001</v>
      </c>
      <c r="AD491">
        <v>-0.24506439999999999</v>
      </c>
      <c r="AE491">
        <v>-2.8102999999999798</v>
      </c>
      <c r="AF491">
        <v>2.2766495544073799</v>
      </c>
      <c r="AG491">
        <v>-0.24506439999999999</v>
      </c>
      <c r="AH491">
        <v>197.17467940297101</v>
      </c>
      <c r="AI491">
        <v>90.071206976292402</v>
      </c>
      <c r="AJ491">
        <v>89.338471780628893</v>
      </c>
      <c r="AK491">
        <v>197.187974753579</v>
      </c>
      <c r="AL491">
        <v>79.011247065381397</v>
      </c>
      <c r="AM491">
        <v>88.201434810309905</v>
      </c>
      <c r="AN491">
        <v>1.00000000035397</v>
      </c>
    </row>
    <row r="492" spans="1:40" x14ac:dyDescent="0.25">
      <c r="A492" t="str">
        <f>"20190303162507482"</f>
        <v>20190303162507482</v>
      </c>
      <c r="B492" t="str">
        <f>"1551601507473239"</f>
        <v>1551601507473239</v>
      </c>
      <c r="C492" t="s">
        <v>40</v>
      </c>
      <c r="D492">
        <v>5.4297829999999996</v>
      </c>
      <c r="E492">
        <v>0.49186489999999999</v>
      </c>
      <c r="F492" t="s">
        <v>43</v>
      </c>
      <c r="G492">
        <v>-158.19499999999999</v>
      </c>
      <c r="H492">
        <v>1.122266</v>
      </c>
      <c r="I492">
        <v>364.71620000000001</v>
      </c>
      <c r="J492">
        <v>-355.0675</v>
      </c>
      <c r="K492">
        <v>1.1204620000000001</v>
      </c>
      <c r="L492">
        <v>367.27030000000002</v>
      </c>
      <c r="M492">
        <v>0.99997159999999996</v>
      </c>
      <c r="N492">
        <v>-7.0841360000000004E-3</v>
      </c>
      <c r="O492">
        <v>-2.5868779999999999E-3</v>
      </c>
      <c r="P492">
        <v>0.98231930000000001</v>
      </c>
      <c r="Q492">
        <v>0.1843689</v>
      </c>
      <c r="R492">
        <v>-3.2509580000000003E-2</v>
      </c>
      <c r="S492">
        <v>3.052368</v>
      </c>
      <c r="T492" s="1">
        <v>2.9325490000000002E-5</v>
      </c>
      <c r="U492">
        <v>-3.9550780000000001E-2</v>
      </c>
      <c r="V492">
        <v>2.9924659999999999E-2</v>
      </c>
      <c r="W492">
        <v>0.1913311</v>
      </c>
      <c r="X492">
        <v>0.98106930000000003</v>
      </c>
      <c r="Y492">
        <v>1.036962E-2</v>
      </c>
      <c r="Z492" s="1">
        <v>-5.5032289999999998E-5</v>
      </c>
      <c r="AA492">
        <v>0.99994620000000001</v>
      </c>
      <c r="AB492">
        <v>32</v>
      </c>
      <c r="AC492">
        <v>196.8725</v>
      </c>
      <c r="AD492">
        <v>1.8039999999999101E-3</v>
      </c>
      <c r="AE492">
        <v>-2.5541</v>
      </c>
      <c r="AF492">
        <v>2.0447935544717901</v>
      </c>
      <c r="AG492">
        <v>1.8039999999999101E-3</v>
      </c>
      <c r="AH492">
        <v>196.87844853073801</v>
      </c>
      <c r="AI492">
        <v>89.999475026278205</v>
      </c>
      <c r="AJ492">
        <v>89.404943358896404</v>
      </c>
      <c r="AK492">
        <v>196.88906693822599</v>
      </c>
      <c r="AL492">
        <v>78.969524392867498</v>
      </c>
      <c r="AM492">
        <v>88.252900901283994</v>
      </c>
      <c r="AN492">
        <v>1.0000000232529</v>
      </c>
    </row>
    <row r="493" spans="1:40" x14ac:dyDescent="0.25">
      <c r="A493" t="str">
        <f>"20190303162507504"</f>
        <v>20190303162507504</v>
      </c>
      <c r="B493" t="str">
        <f>"1551601507493734"</f>
        <v>1551601507493734</v>
      </c>
      <c r="C493" t="s">
        <v>40</v>
      </c>
      <c r="D493">
        <v>5.3118109999999996</v>
      </c>
      <c r="E493">
        <v>0.49187700000000001</v>
      </c>
      <c r="F493" t="s">
        <v>43</v>
      </c>
      <c r="G493">
        <v>-158.19499999999999</v>
      </c>
      <c r="H493">
        <v>1.514489</v>
      </c>
      <c r="I493">
        <v>364.9058</v>
      </c>
      <c r="J493">
        <v>-354.7602</v>
      </c>
      <c r="K493">
        <v>1.1204689999999999</v>
      </c>
      <c r="L493">
        <v>367.2697</v>
      </c>
      <c r="M493">
        <v>0.99997159999999996</v>
      </c>
      <c r="N493">
        <v>-7.1233930000000004E-3</v>
      </c>
      <c r="O493">
        <v>-2.4629109999999999E-3</v>
      </c>
      <c r="P493">
        <v>0.98232580000000003</v>
      </c>
      <c r="Q493">
        <v>0.184475</v>
      </c>
      <c r="R493">
        <v>-3.170477E-2</v>
      </c>
      <c r="S493">
        <v>3.0516359999999998</v>
      </c>
      <c r="T493">
        <v>6.1089990000000004E-3</v>
      </c>
      <c r="U493">
        <v>-3.6651610000000001E-2</v>
      </c>
      <c r="V493">
        <v>2.9241110000000001E-2</v>
      </c>
      <c r="W493">
        <v>0.19147520000000001</v>
      </c>
      <c r="X493">
        <v>0.98106179999999998</v>
      </c>
      <c r="Y493">
        <v>9.5469349999999994E-3</v>
      </c>
      <c r="Z493" s="1">
        <v>-4.692342E-5</v>
      </c>
      <c r="AA493">
        <v>0.99995440000000002</v>
      </c>
      <c r="AB493">
        <v>32</v>
      </c>
      <c r="AC493">
        <v>196.5652</v>
      </c>
      <c r="AD493">
        <v>0.39401999999999898</v>
      </c>
      <c r="AE493">
        <v>-2.3639000000000001</v>
      </c>
      <c r="AF493">
        <v>1.87975040369798</v>
      </c>
      <c r="AG493">
        <v>0.39401999999999898</v>
      </c>
      <c r="AH493">
        <v>196.56963628958599</v>
      </c>
      <c r="AI493">
        <v>89.885157132737504</v>
      </c>
      <c r="AJ493">
        <v>89.452110285715307</v>
      </c>
      <c r="AK493">
        <v>196.57901877962601</v>
      </c>
      <c r="AL493">
        <v>78.961112569251299</v>
      </c>
      <c r="AM493">
        <v>88.292771840075304</v>
      </c>
      <c r="AN493">
        <v>1.0000000250741501</v>
      </c>
    </row>
    <row r="494" spans="1:40" x14ac:dyDescent="0.25">
      <c r="A494" t="str">
        <f>"20190303162507529"</f>
        <v>20190303162507529</v>
      </c>
      <c r="B494" t="str">
        <f>"1551601507523014"</f>
        <v>1551601507523014</v>
      </c>
      <c r="C494" t="s">
        <v>40</v>
      </c>
      <c r="D494">
        <v>5.1968360000000002</v>
      </c>
      <c r="E494">
        <v>0.4919268</v>
      </c>
      <c r="F494" t="s">
        <v>43</v>
      </c>
      <c r="G494">
        <v>-158.19499999999999</v>
      </c>
      <c r="H494">
        <v>1.7404029999999999</v>
      </c>
      <c r="I494">
        <v>365.03809999999999</v>
      </c>
      <c r="J494">
        <v>-354.41480000000001</v>
      </c>
      <c r="K494">
        <v>1.1204689999999999</v>
      </c>
      <c r="L494">
        <v>367.26900000000001</v>
      </c>
      <c r="M494">
        <v>0.99997159999999996</v>
      </c>
      <c r="N494">
        <v>-7.1673939999999997E-3</v>
      </c>
      <c r="O494">
        <v>-2.3234649999999998E-3</v>
      </c>
      <c r="P494">
        <v>0.98234569999999999</v>
      </c>
      <c r="Q494">
        <v>0.18447430000000001</v>
      </c>
      <c r="R494">
        <v>-3.1087610000000002E-2</v>
      </c>
      <c r="S494">
        <v>3.051056</v>
      </c>
      <c r="T494">
        <v>9.6238850000000004E-3</v>
      </c>
      <c r="U494">
        <v>-3.463745E-2</v>
      </c>
      <c r="V494">
        <v>2.8760620000000001E-2</v>
      </c>
      <c r="W494">
        <v>0.1915174</v>
      </c>
      <c r="X494">
        <v>0.98106780000000005</v>
      </c>
      <c r="Y494">
        <v>9.028655E-3</v>
      </c>
      <c r="Z494" s="1">
        <v>-4.2099740000000002E-5</v>
      </c>
      <c r="AA494">
        <v>0.99995919999999905</v>
      </c>
      <c r="AB494">
        <v>32</v>
      </c>
      <c r="AC494">
        <v>196.21979999999999</v>
      </c>
      <c r="AD494">
        <v>0.61993399999999899</v>
      </c>
      <c r="AE494">
        <v>-2.2309000000000201</v>
      </c>
      <c r="AF494">
        <v>1.7749547080293699</v>
      </c>
      <c r="AG494">
        <v>0.61993399999999899</v>
      </c>
      <c r="AH494">
        <v>196.22249549379501</v>
      </c>
      <c r="AI494">
        <v>89.818991036439101</v>
      </c>
      <c r="AJ494">
        <v>89.481738117038603</v>
      </c>
      <c r="AK494">
        <v>196.23150236440699</v>
      </c>
      <c r="AL494">
        <v>78.958649464662599</v>
      </c>
      <c r="AM494">
        <v>88.320819086605098</v>
      </c>
      <c r="AN494">
        <v>1.0000000579811901</v>
      </c>
    </row>
    <row r="495" spans="1:40" x14ac:dyDescent="0.25">
      <c r="A495" t="str">
        <f>"20190303162507552"</f>
        <v>20190303162507552</v>
      </c>
      <c r="B495" t="str">
        <f>"1551601507543511"</f>
        <v>1551601507543511</v>
      </c>
      <c r="C495" t="s">
        <v>40</v>
      </c>
      <c r="D495">
        <v>5.1487590000000001</v>
      </c>
      <c r="E495">
        <v>0.4916838</v>
      </c>
      <c r="F495" t="s">
        <v>43</v>
      </c>
      <c r="G495">
        <v>-158.19499999999999</v>
      </c>
      <c r="H495">
        <v>1.90056</v>
      </c>
      <c r="I495">
        <v>365.13720000000001</v>
      </c>
      <c r="J495">
        <v>-354.08730000000003</v>
      </c>
      <c r="K495">
        <v>1.120474</v>
      </c>
      <c r="L495">
        <v>367.26830000000001</v>
      </c>
      <c r="M495">
        <v>0.99997159999999996</v>
      </c>
      <c r="N495">
        <v>-7.2085450000000002E-3</v>
      </c>
      <c r="O495">
        <v>-2.1914019999999998E-3</v>
      </c>
      <c r="P495">
        <v>0.98233839999999994</v>
      </c>
      <c r="Q495">
        <v>0.18458540000000001</v>
      </c>
      <c r="R495">
        <v>-3.0651999999999999E-2</v>
      </c>
      <c r="S495">
        <v>3.0505979999999999</v>
      </c>
      <c r="T495">
        <v>1.2129310000000001E-2</v>
      </c>
      <c r="U495">
        <v>-3.3142089999999999E-2</v>
      </c>
      <c r="V495">
        <v>2.845464E-2</v>
      </c>
      <c r="W495">
        <v>0.19166900000000001</v>
      </c>
      <c r="X495">
        <v>0.98104709999999995</v>
      </c>
      <c r="Y495">
        <v>8.6723269999999901E-3</v>
      </c>
      <c r="Z495" s="1">
        <v>-3.8527679999999999E-5</v>
      </c>
      <c r="AA495">
        <v>0.99996240000000003</v>
      </c>
      <c r="AB495">
        <v>32</v>
      </c>
      <c r="AC495">
        <v>195.89230000000001</v>
      </c>
      <c r="AD495">
        <v>0.78008599999999895</v>
      </c>
      <c r="AE495">
        <v>-2.1311</v>
      </c>
      <c r="AF495">
        <v>1.70177795994981</v>
      </c>
      <c r="AG495">
        <v>0.78008599999999895</v>
      </c>
      <c r="AH495">
        <v>195.89339370914601</v>
      </c>
      <c r="AI495">
        <v>89.771846758495698</v>
      </c>
      <c r="AJ495">
        <v>89.502268860673198</v>
      </c>
      <c r="AK495">
        <v>195.90233863146901</v>
      </c>
      <c r="AL495">
        <v>78.949799297901293</v>
      </c>
      <c r="AM495">
        <v>88.3386385457015</v>
      </c>
      <c r="AN495">
        <v>1.0000000422584601</v>
      </c>
    </row>
    <row r="496" spans="1:40" x14ac:dyDescent="0.25">
      <c r="A496" t="str">
        <f>"20190303162507574"</f>
        <v>20190303162507574</v>
      </c>
      <c r="B496" t="str">
        <f>"1551601507563030"</f>
        <v>1551601507563030</v>
      </c>
      <c r="C496" t="s">
        <v>40</v>
      </c>
      <c r="D496">
        <v>5.1455000000000002</v>
      </c>
      <c r="E496">
        <v>0.48780479999999998</v>
      </c>
      <c r="F496" t="s">
        <v>43</v>
      </c>
      <c r="G496">
        <v>-158.19499999999999</v>
      </c>
      <c r="H496">
        <v>1.4809950000000001</v>
      </c>
      <c r="I496">
        <v>365.34870000000001</v>
      </c>
      <c r="J496">
        <v>-353.76249999999999</v>
      </c>
      <c r="K496">
        <v>1.1204750000000001</v>
      </c>
      <c r="L496">
        <v>367.26780000000002</v>
      </c>
      <c r="M496">
        <v>0.99997159999999996</v>
      </c>
      <c r="N496">
        <v>-7.2485550000000003E-3</v>
      </c>
      <c r="O496">
        <v>-2.0599339999999998E-3</v>
      </c>
      <c r="P496">
        <v>0.98243190000000002</v>
      </c>
      <c r="Q496">
        <v>0.1841092</v>
      </c>
      <c r="R496">
        <v>-3.0523020000000001E-2</v>
      </c>
      <c r="S496">
        <v>3.051971</v>
      </c>
      <c r="T496">
        <v>5.6182150000000002E-3</v>
      </c>
      <c r="U496">
        <v>-2.990723E-2</v>
      </c>
      <c r="V496">
        <v>2.8454340000000002E-2</v>
      </c>
      <c r="W496">
        <v>0.19123280000000001</v>
      </c>
      <c r="X496">
        <v>0.98113220000000001</v>
      </c>
      <c r="Y496">
        <v>7.739058E-3</v>
      </c>
      <c r="Z496" s="1">
        <v>-3.9649720000000002E-5</v>
      </c>
      <c r="AA496">
        <v>0.99997009999999997</v>
      </c>
      <c r="AB496">
        <v>32</v>
      </c>
      <c r="AC496">
        <v>195.5675</v>
      </c>
      <c r="AD496">
        <v>0.36052000000000001</v>
      </c>
      <c r="AE496">
        <v>-1.91910000000001</v>
      </c>
      <c r="AF496">
        <v>1.5162240467760799</v>
      </c>
      <c r="AG496">
        <v>0.36052000000000001</v>
      </c>
      <c r="AH496">
        <v>195.57037382406301</v>
      </c>
      <c r="AI496">
        <v>89.894382621094195</v>
      </c>
      <c r="AJ496">
        <v>89.555804406899</v>
      </c>
      <c r="AK496">
        <v>195.576583536257</v>
      </c>
      <c r="AL496">
        <v>78.975262413547398</v>
      </c>
      <c r="AM496">
        <v>88.338800070238705</v>
      </c>
      <c r="AN496">
        <v>1.0000000135687499</v>
      </c>
    </row>
    <row r="497" spans="1:40" x14ac:dyDescent="0.25">
      <c r="A497" t="str">
        <f>"20190303162507595"</f>
        <v>20190303162507595</v>
      </c>
      <c r="B497" t="str">
        <f>"1551601507583528"</f>
        <v>1551601507583528</v>
      </c>
      <c r="C497" t="s">
        <v>40</v>
      </c>
      <c r="D497">
        <v>4.7166449999999998</v>
      </c>
      <c r="E497">
        <v>0.48839729999999998</v>
      </c>
      <c r="F497" t="s">
        <v>41</v>
      </c>
      <c r="G497">
        <v>-324.60079999999999</v>
      </c>
      <c r="H497" s="1">
        <v>-2.715022E-6</v>
      </c>
      <c r="I497">
        <v>367.26859999999999</v>
      </c>
      <c r="J497">
        <v>-353.47129999999999</v>
      </c>
      <c r="K497">
        <v>1.1204719999999999</v>
      </c>
      <c r="L497">
        <v>367.26729999999998</v>
      </c>
      <c r="M497">
        <v>0.99997170000000002</v>
      </c>
      <c r="N497">
        <v>-7.2837119999999899E-3</v>
      </c>
      <c r="O497">
        <v>-1.9421589999999999E-3</v>
      </c>
      <c r="P497">
        <v>0.98249330000000001</v>
      </c>
      <c r="Q497">
        <v>0.18377869999999999</v>
      </c>
      <c r="R497">
        <v>-3.053546E-2</v>
      </c>
      <c r="S497">
        <v>3.075806</v>
      </c>
      <c r="T497">
        <v>-0.1181811</v>
      </c>
      <c r="U497" s="1">
        <v>9.1552730000000004E-5</v>
      </c>
      <c r="V497">
        <v>2.858248E-2</v>
      </c>
      <c r="W497">
        <v>0.190937</v>
      </c>
      <c r="X497">
        <v>0.98118609999999995</v>
      </c>
      <c r="Y497">
        <v>-1.9693050000000002E-3</v>
      </c>
      <c r="Z497">
        <v>1.054479E-4</v>
      </c>
      <c r="AA497">
        <v>0.99999800000000005</v>
      </c>
      <c r="AB497">
        <v>32</v>
      </c>
      <c r="AC497">
        <v>28.8705</v>
      </c>
      <c r="AD497">
        <v>-1.120474715022</v>
      </c>
      <c r="AE497">
        <v>1.3000000000147299E-3</v>
      </c>
      <c r="AF497">
        <v>-5.7286292885796702E-2</v>
      </c>
      <c r="AG497">
        <v>-1.120474715022</v>
      </c>
      <c r="AH497">
        <v>28.827022475108901</v>
      </c>
      <c r="AI497">
        <v>92.225899147571496</v>
      </c>
      <c r="AJ497">
        <v>90.113860475477495</v>
      </c>
      <c r="AK497">
        <v>28.848846945533001</v>
      </c>
      <c r="AL497">
        <v>78.992528838611193</v>
      </c>
      <c r="AM497">
        <v>88.331414931408503</v>
      </c>
      <c r="AN497">
        <v>1.0000000294825699</v>
      </c>
    </row>
    <row r="498" spans="1:40" x14ac:dyDescent="0.25">
      <c r="A498" t="str">
        <f>"20190303162507629"</f>
        <v>20190303162507629</v>
      </c>
      <c r="B498" t="str">
        <f>"1551601507623542"</f>
        <v>1551601507623542</v>
      </c>
      <c r="C498" t="s">
        <v>40</v>
      </c>
      <c r="D498">
        <v>4.6662689999999998</v>
      </c>
      <c r="E498">
        <v>0.4892589</v>
      </c>
      <c r="F498" t="s">
        <v>41</v>
      </c>
      <c r="G498">
        <v>-324.00540000000001</v>
      </c>
      <c r="H498" s="1">
        <v>-2.9790900000000001E-6</v>
      </c>
      <c r="I498">
        <v>367.21980000000002</v>
      </c>
      <c r="J498">
        <v>-352.9744</v>
      </c>
      <c r="K498">
        <v>1.120463</v>
      </c>
      <c r="L498">
        <v>367.26650000000001</v>
      </c>
      <c r="M498">
        <v>0.99997159999999996</v>
      </c>
      <c r="N498">
        <v>-7.3419280000000002E-3</v>
      </c>
      <c r="O498">
        <v>-1.7407779999999999E-3</v>
      </c>
      <c r="P498">
        <v>0.98254900000000001</v>
      </c>
      <c r="Q498">
        <v>0.1835087</v>
      </c>
      <c r="R498">
        <v>-3.037076E-2</v>
      </c>
      <c r="S498">
        <v>3.0751650000000001</v>
      </c>
      <c r="T498">
        <v>-0.11693630000000001</v>
      </c>
      <c r="U498">
        <v>-4.9438479999999998E-3</v>
      </c>
      <c r="V498">
        <v>2.861497E-2</v>
      </c>
      <c r="W498">
        <v>0.1907249</v>
      </c>
      <c r="X498">
        <v>0.98122640000000005</v>
      </c>
      <c r="Y498">
        <v>-1.322249E-4</v>
      </c>
      <c r="Z498" s="1">
        <v>5.6392469999999997E-5</v>
      </c>
      <c r="AA498">
        <v>1</v>
      </c>
      <c r="AB498">
        <v>32</v>
      </c>
      <c r="AC498">
        <v>28.968999999999902</v>
      </c>
      <c r="AD498">
        <v>-1.12046597909</v>
      </c>
      <c r="AE498">
        <v>-4.6699999999987002E-2</v>
      </c>
      <c r="AF498">
        <v>-3.7244526923042999E-3</v>
      </c>
      <c r="AG498">
        <v>-1.12046597909</v>
      </c>
      <c r="AH498">
        <v>28.925764694852401</v>
      </c>
      <c r="AI498">
        <v>92.218295406999005</v>
      </c>
      <c r="AJ498">
        <v>90.007377347542402</v>
      </c>
      <c r="AK498">
        <v>28.947457937853802</v>
      </c>
      <c r="AL498">
        <v>79.004908741816195</v>
      </c>
      <c r="AM498">
        <v>88.329587877117802</v>
      </c>
      <c r="AN498">
        <v>1.0000000260225299</v>
      </c>
    </row>
    <row r="499" spans="1:40" x14ac:dyDescent="0.25">
      <c r="A499" t="str">
        <f>"20190303162507651"</f>
        <v>20190303162507651</v>
      </c>
      <c r="B499" t="str">
        <f>"1551601507643063"</f>
        <v>1551601507643063</v>
      </c>
      <c r="C499" t="s">
        <v>40</v>
      </c>
      <c r="D499">
        <v>4.583602</v>
      </c>
      <c r="E499">
        <v>0.48974010000000001</v>
      </c>
      <c r="F499" t="s">
        <v>41</v>
      </c>
      <c r="G499">
        <v>-321.77429999999998</v>
      </c>
      <c r="H499" s="1">
        <v>-3.9479690000000004E-6</v>
      </c>
      <c r="I499">
        <v>367.15370000000001</v>
      </c>
      <c r="J499">
        <v>-352.65339999999998</v>
      </c>
      <c r="K499">
        <v>1.120465</v>
      </c>
      <c r="L499">
        <v>367.26609999999999</v>
      </c>
      <c r="M499">
        <v>0.99997139999999995</v>
      </c>
      <c r="N499">
        <v>-7.3785369999999897E-3</v>
      </c>
      <c r="O499">
        <v>-1.6110860000000001E-3</v>
      </c>
      <c r="P499">
        <v>0.98266969999999998</v>
      </c>
      <c r="Q499">
        <v>0.18280379999999999</v>
      </c>
      <c r="R499">
        <v>-3.0707149999999999E-2</v>
      </c>
      <c r="S499">
        <v>3.073547</v>
      </c>
      <c r="T499">
        <v>-0.1103778</v>
      </c>
      <c r="U499">
        <v>-1.1108399999999999E-2</v>
      </c>
      <c r="V499">
        <v>2.9078840000000002E-2</v>
      </c>
      <c r="W499">
        <v>0.19005649999999999</v>
      </c>
      <c r="X499">
        <v>0.98134239999999995</v>
      </c>
      <c r="Y499">
        <v>2.0021459999999998E-3</v>
      </c>
      <c r="Z499" s="1">
        <v>2.6257110000000002E-6</v>
      </c>
      <c r="AA499">
        <v>0.99999800000000005</v>
      </c>
      <c r="AB499">
        <v>32</v>
      </c>
      <c r="AC499">
        <v>30.879099999999902</v>
      </c>
      <c r="AD499">
        <v>-1.120468947969</v>
      </c>
      <c r="AE499">
        <v>-0.112399999999979</v>
      </c>
      <c r="AF499">
        <v>6.2567232065302694E-2</v>
      </c>
      <c r="AG499">
        <v>-1.120468947969</v>
      </c>
      <c r="AH499">
        <v>30.838637855711699</v>
      </c>
      <c r="AI499">
        <v>92.080824160052799</v>
      </c>
      <c r="AJ499">
        <v>89.883755131104493</v>
      </c>
      <c r="AK499">
        <v>30.8590497280397</v>
      </c>
      <c r="AL499">
        <v>79.043918276346403</v>
      </c>
      <c r="AM499">
        <v>88.302725500629293</v>
      </c>
      <c r="AN499">
        <v>0.99999997908287697</v>
      </c>
    </row>
    <row r="500" spans="1:40" x14ac:dyDescent="0.25">
      <c r="A500" t="str">
        <f>"20190303162507673"</f>
        <v>20190303162507673</v>
      </c>
      <c r="B500" t="str">
        <f>"1551601507663558"</f>
        <v>1551601507663558</v>
      </c>
      <c r="C500" t="s">
        <v>40</v>
      </c>
      <c r="D500">
        <v>4.5469350000000004</v>
      </c>
      <c r="E500">
        <v>0.49026910000000001</v>
      </c>
      <c r="F500" t="s">
        <v>41</v>
      </c>
      <c r="G500">
        <v>-323.10160000000002</v>
      </c>
      <c r="H500" s="1">
        <v>-3.3859090000000001E-6</v>
      </c>
      <c r="I500">
        <v>367.11239999999998</v>
      </c>
      <c r="J500">
        <v>-352.34469999999999</v>
      </c>
      <c r="K500">
        <v>1.1204609999999999</v>
      </c>
      <c r="L500">
        <v>367.26580000000001</v>
      </c>
      <c r="M500">
        <v>0.99997159999999996</v>
      </c>
      <c r="N500">
        <v>-7.4131609999999997E-3</v>
      </c>
      <c r="O500">
        <v>-1.48663299999999E-3</v>
      </c>
      <c r="P500">
        <v>0.9828538</v>
      </c>
      <c r="Q500">
        <v>0.18179609999999999</v>
      </c>
      <c r="R500">
        <v>-3.0804890000000001E-2</v>
      </c>
      <c r="S500">
        <v>3.074036</v>
      </c>
      <c r="T500">
        <v>-0.11655260000000001</v>
      </c>
      <c r="U500">
        <v>-1.5991209999999999E-2</v>
      </c>
      <c r="V500">
        <v>2.9298479999999998E-2</v>
      </c>
      <c r="W500">
        <v>0.18908449999999999</v>
      </c>
      <c r="X500">
        <v>0.98152360000000005</v>
      </c>
      <c r="Y500">
        <v>3.7127969999999999E-3</v>
      </c>
      <c r="Z500" s="1">
        <v>-3.8800190000000001E-5</v>
      </c>
      <c r="AA500">
        <v>0.99999309999999997</v>
      </c>
      <c r="AB500">
        <v>32</v>
      </c>
      <c r="AC500">
        <v>29.243099999999899</v>
      </c>
      <c r="AD500">
        <v>-1.120464385909</v>
      </c>
      <c r="AE500">
        <v>-0.15340000000003301</v>
      </c>
      <c r="AF500">
        <v>0.10976374897773</v>
      </c>
      <c r="AG500">
        <v>-1.120464385909</v>
      </c>
      <c r="AH500">
        <v>29.200428395999499</v>
      </c>
      <c r="AI500">
        <v>92.1974317201758</v>
      </c>
      <c r="AJ500">
        <v>89.784627476901306</v>
      </c>
      <c r="AK500">
        <v>29.2221235886541</v>
      </c>
      <c r="AL500">
        <v>79.1006381000782</v>
      </c>
      <c r="AM500">
        <v>88.290228644343401</v>
      </c>
      <c r="AN500">
        <v>0.99999996321375895</v>
      </c>
    </row>
    <row r="501" spans="1:40" x14ac:dyDescent="0.25">
      <c r="A501" t="str">
        <f>"20190303162507695"</f>
        <v>20190303162507695</v>
      </c>
      <c r="B501" t="str">
        <f>"1551601507683079"</f>
        <v>1551601507683079</v>
      </c>
      <c r="C501" t="s">
        <v>40</v>
      </c>
      <c r="D501">
        <v>4.471381</v>
      </c>
      <c r="E501">
        <v>0.49043399999999998</v>
      </c>
      <c r="F501" t="s">
        <v>41</v>
      </c>
      <c r="G501">
        <v>-323.9753</v>
      </c>
      <c r="H501" s="1">
        <v>-3.0170539999999999E-6</v>
      </c>
      <c r="I501">
        <v>367.07870000000003</v>
      </c>
      <c r="J501">
        <v>-352.01960000000003</v>
      </c>
      <c r="K501">
        <v>1.1204769999999999</v>
      </c>
      <c r="L501">
        <v>367.2654</v>
      </c>
      <c r="M501">
        <v>0.9999709</v>
      </c>
      <c r="N501">
        <v>-7.503371E-3</v>
      </c>
      <c r="O501">
        <v>-1.355705E-3</v>
      </c>
      <c r="P501">
        <v>0.98293949999999997</v>
      </c>
      <c r="Q501">
        <v>0.1813234</v>
      </c>
      <c r="R501">
        <v>-3.085071E-2</v>
      </c>
      <c r="S501">
        <v>3.0741269999999998</v>
      </c>
      <c r="T501">
        <v>-0.12141390000000001</v>
      </c>
      <c r="U501">
        <v>-2.0263670000000001E-2</v>
      </c>
      <c r="V501">
        <v>2.9472789999999999E-2</v>
      </c>
      <c r="W501">
        <v>0.18870100000000001</v>
      </c>
      <c r="X501">
        <v>0.98159220000000003</v>
      </c>
      <c r="Y501">
        <v>5.2316589999999996E-3</v>
      </c>
      <c r="Z501" s="1">
        <v>-7.9555609999999995E-5</v>
      </c>
      <c r="AA501">
        <v>0.99998629999999999</v>
      </c>
      <c r="AB501">
        <v>32</v>
      </c>
      <c r="AC501">
        <v>28.0443</v>
      </c>
      <c r="AD501">
        <v>-1.1204800170539999</v>
      </c>
      <c r="AE501">
        <v>-0.186699999999973</v>
      </c>
      <c r="AF501">
        <v>0.14844200928303899</v>
      </c>
      <c r="AG501">
        <v>-1.1204800170539999</v>
      </c>
      <c r="AH501">
        <v>27.9998327277995</v>
      </c>
      <c r="AI501">
        <v>92.291572227423998</v>
      </c>
      <c r="AJ501">
        <v>89.696247437038295</v>
      </c>
      <c r="AK501">
        <v>28.022636265767201</v>
      </c>
      <c r="AL501">
        <v>79.123014030891198</v>
      </c>
      <c r="AM501">
        <v>88.280182655799507</v>
      </c>
      <c r="AN501">
        <v>0.999999979926111</v>
      </c>
    </row>
    <row r="502" spans="1:40" x14ac:dyDescent="0.25">
      <c r="A502" t="str">
        <f>"20190303162507717"</f>
        <v>20190303162507717</v>
      </c>
      <c r="B502" t="str">
        <f>"1551601507703575"</f>
        <v>1551601507703575</v>
      </c>
      <c r="C502" t="s">
        <v>40</v>
      </c>
      <c r="D502">
        <v>4.4051770000000001</v>
      </c>
      <c r="E502">
        <v>0.49077369999999998</v>
      </c>
      <c r="F502" t="s">
        <v>41</v>
      </c>
      <c r="G502">
        <v>-323.84769999999997</v>
      </c>
      <c r="H502" s="1">
        <v>-3.073644E-6</v>
      </c>
      <c r="I502">
        <v>367.06819999999999</v>
      </c>
      <c r="J502">
        <v>-351.69729999999998</v>
      </c>
      <c r="K502">
        <v>1.1205259999999999</v>
      </c>
      <c r="L502">
        <v>367.26510000000002</v>
      </c>
      <c r="M502">
        <v>0.99996949999999996</v>
      </c>
      <c r="N502">
        <v>-7.7226200000000004E-3</v>
      </c>
      <c r="O502">
        <v>-1.226448E-3</v>
      </c>
      <c r="P502">
        <v>0.98302970000000001</v>
      </c>
      <c r="Q502">
        <v>0.18083940000000001</v>
      </c>
      <c r="R502">
        <v>-3.0822470000000001E-2</v>
      </c>
      <c r="S502">
        <v>3.0739749999999999</v>
      </c>
      <c r="T502">
        <v>-0.1222608</v>
      </c>
      <c r="U502">
        <v>-2.1514889999999998E-2</v>
      </c>
      <c r="V502">
        <v>2.957106E-2</v>
      </c>
      <c r="W502">
        <v>0.18843309999999999</v>
      </c>
      <c r="X502">
        <v>0.98164070000000003</v>
      </c>
      <c r="Y502">
        <v>5.767599E-3</v>
      </c>
      <c r="Z502" s="1">
        <v>-9.7640849999999999E-5</v>
      </c>
      <c r="AA502">
        <v>0.99998339999999997</v>
      </c>
      <c r="AB502">
        <v>32</v>
      </c>
      <c r="AC502">
        <v>27.849599999999999</v>
      </c>
      <c r="AD502">
        <v>-1.1205290736439999</v>
      </c>
      <c r="AE502">
        <v>-0.196900000000027</v>
      </c>
      <c r="AF502">
        <v>0.162479731371861</v>
      </c>
      <c r="AG502">
        <v>-1.1205290736439999</v>
      </c>
      <c r="AH502">
        <v>27.804810801293399</v>
      </c>
      <c r="AI502">
        <v>92.307721875404297</v>
      </c>
      <c r="AJ502">
        <v>89.665191143771807</v>
      </c>
      <c r="AK502">
        <v>27.8278545483426</v>
      </c>
      <c r="AL502">
        <v>79.138643883179199</v>
      </c>
      <c r="AM502">
        <v>88.274536998141599</v>
      </c>
      <c r="AN502">
        <v>0.99999997233081095</v>
      </c>
    </row>
    <row r="503" spans="1:40" x14ac:dyDescent="0.25">
      <c r="A503" t="str">
        <f>"20190303162507742"</f>
        <v>20190303162507742</v>
      </c>
      <c r="B503" t="str">
        <f>"1551601507733831"</f>
        <v>1551601507733831</v>
      </c>
      <c r="C503" t="s">
        <v>40</v>
      </c>
      <c r="D503">
        <v>4.338603</v>
      </c>
      <c r="E503">
        <v>0.491031</v>
      </c>
      <c r="F503" t="s">
        <v>41</v>
      </c>
      <c r="G503">
        <v>-323.88749999999999</v>
      </c>
      <c r="H503" s="1">
        <v>-3.0601639999999998E-6</v>
      </c>
      <c r="I503">
        <v>367.048</v>
      </c>
      <c r="J503">
        <v>-351.34960000000001</v>
      </c>
      <c r="K503">
        <v>1.1206780000000001</v>
      </c>
      <c r="L503">
        <v>367.26479999999998</v>
      </c>
      <c r="M503">
        <v>0.99996459999999998</v>
      </c>
      <c r="N503">
        <v>-8.3653269999999901E-3</v>
      </c>
      <c r="O503">
        <v>-1.0912649999999999E-3</v>
      </c>
      <c r="P503">
        <v>0.98324809999999996</v>
      </c>
      <c r="Q503">
        <v>0.17955279999999901</v>
      </c>
      <c r="R503">
        <v>-3.137649E-2</v>
      </c>
      <c r="S503">
        <v>3.0738219999999998</v>
      </c>
      <c r="T503">
        <v>-0.1238517</v>
      </c>
      <c r="U503">
        <v>-2.3986819999999999E-2</v>
      </c>
      <c r="V503">
        <v>3.0257699999999998E-2</v>
      </c>
      <c r="W503">
        <v>0.18777930000000001</v>
      </c>
      <c r="X503">
        <v>0.98174510000000004</v>
      </c>
      <c r="Y503">
        <v>6.706053E-3</v>
      </c>
      <c r="Z503">
        <v>-1.2828319999999999E-4</v>
      </c>
      <c r="AA503">
        <v>0.99997749999999996</v>
      </c>
      <c r="AB503">
        <v>32</v>
      </c>
      <c r="AC503">
        <v>27.4621</v>
      </c>
      <c r="AD503">
        <v>-1.120681060164</v>
      </c>
      <c r="AE503">
        <v>-0.21679999999997701</v>
      </c>
      <c r="AF503">
        <v>0.18651980427051901</v>
      </c>
      <c r="AG503">
        <v>-1.120681060164</v>
      </c>
      <c r="AH503">
        <v>27.416665683174699</v>
      </c>
      <c r="AI503">
        <v>92.340659742668706</v>
      </c>
      <c r="AJ503">
        <v>89.610213990411495</v>
      </c>
      <c r="AK503">
        <v>27.440194475603899</v>
      </c>
      <c r="AL503">
        <v>79.176785225952699</v>
      </c>
      <c r="AM503">
        <v>88.234684443899397</v>
      </c>
      <c r="AN503">
        <v>1.0000000176458901</v>
      </c>
    </row>
    <row r="504" spans="1:40" x14ac:dyDescent="0.25">
      <c r="A504" t="str">
        <f>"20190303162507763"</f>
        <v>20190303162507763</v>
      </c>
      <c r="B504" t="str">
        <f>"1551601507753350"</f>
        <v>1551601507753350</v>
      </c>
      <c r="C504" t="s">
        <v>40</v>
      </c>
      <c r="D504">
        <v>4.2999299999999998</v>
      </c>
      <c r="E504">
        <v>0.49118339999999999</v>
      </c>
      <c r="F504" t="s">
        <v>41</v>
      </c>
      <c r="G504">
        <v>-324.26139999999998</v>
      </c>
      <c r="H504" s="1">
        <v>-2.904612E-6</v>
      </c>
      <c r="I504">
        <v>367.02050000000003</v>
      </c>
      <c r="J504">
        <v>-351.03840000000002</v>
      </c>
      <c r="K504">
        <v>1.1207780000000001</v>
      </c>
      <c r="L504">
        <v>367.2645</v>
      </c>
      <c r="M504">
        <v>0.99995979999999995</v>
      </c>
      <c r="N504">
        <v>-8.9133389999999993E-3</v>
      </c>
      <c r="O504">
        <v>-9.6624739999999997E-4</v>
      </c>
      <c r="P504">
        <v>0.98346630000000002</v>
      </c>
      <c r="Q504">
        <v>0.17823120000000001</v>
      </c>
      <c r="R504">
        <v>-3.2056590000000003E-2</v>
      </c>
      <c r="S504">
        <v>3.0734249999999999</v>
      </c>
      <c r="T504">
        <v>-0.1271523</v>
      </c>
      <c r="U504">
        <v>-2.7709959999999999E-2</v>
      </c>
      <c r="V504">
        <v>3.106074E-2</v>
      </c>
      <c r="W504">
        <v>0.1869981</v>
      </c>
      <c r="X504">
        <v>0.98186910000000005</v>
      </c>
      <c r="Y504">
        <v>8.0415169999999998E-3</v>
      </c>
      <c r="Z504">
        <v>-1.707813E-4</v>
      </c>
      <c r="AA504">
        <v>0.99996759999999996</v>
      </c>
      <c r="AB504">
        <v>32</v>
      </c>
      <c r="AC504">
        <v>26.777000000000001</v>
      </c>
      <c r="AD504">
        <v>-1.1207809046120001</v>
      </c>
      <c r="AE504">
        <v>-0.24399999999997099</v>
      </c>
      <c r="AF504">
        <v>0.217744209697045</v>
      </c>
      <c r="AG504">
        <v>-1.1207809046120001</v>
      </c>
      <c r="AH504">
        <v>26.7303972833536</v>
      </c>
      <c r="AI504">
        <v>92.400873291550397</v>
      </c>
      <c r="AJ504">
        <v>89.533282346768203</v>
      </c>
      <c r="AK504">
        <v>26.7547696925784</v>
      </c>
      <c r="AL504">
        <v>79.222351608904006</v>
      </c>
      <c r="AM504">
        <v>88.188092467766495</v>
      </c>
      <c r="AN504">
        <v>0.99999999425388297</v>
      </c>
    </row>
    <row r="505" spans="1:40" x14ac:dyDescent="0.25">
      <c r="A505" t="str">
        <f>"20190303162507783"</f>
        <v>20190303162507783</v>
      </c>
      <c r="B505" t="str">
        <f>"1551601507772871"</f>
        <v>1551601507772871</v>
      </c>
      <c r="C505" t="s">
        <v>40</v>
      </c>
      <c r="D505">
        <v>4.2486790000000001</v>
      </c>
      <c r="E505">
        <v>0.49118889999999998</v>
      </c>
      <c r="F505" t="s">
        <v>41</v>
      </c>
      <c r="G505">
        <v>-324.64839999999998</v>
      </c>
      <c r="H505" s="1">
        <v>-2.741992E-6</v>
      </c>
      <c r="I505">
        <v>367.00130000000001</v>
      </c>
      <c r="J505">
        <v>-350.74540000000002</v>
      </c>
      <c r="K505">
        <v>1.1208309999999999</v>
      </c>
      <c r="L505">
        <v>367.26440000000002</v>
      </c>
      <c r="M505">
        <v>0.99995650000000003</v>
      </c>
      <c r="N505">
        <v>-9.2929729999999995E-3</v>
      </c>
      <c r="O505">
        <v>-8.4356699999999895E-4</v>
      </c>
      <c r="P505">
        <v>0.9835642</v>
      </c>
      <c r="Q505">
        <v>0.17769009999999999</v>
      </c>
      <c r="R505">
        <v>-3.2062279999999999E-2</v>
      </c>
      <c r="S505">
        <v>3.0730900000000001</v>
      </c>
      <c r="T505">
        <v>-0.13051369999999901</v>
      </c>
      <c r="U505">
        <v>-3.0639650000000001E-2</v>
      </c>
      <c r="V505">
        <v>3.1185770000000002E-2</v>
      </c>
      <c r="W505">
        <v>0.18683079999999999</v>
      </c>
      <c r="X505">
        <v>0.98189700000000002</v>
      </c>
      <c r="Y505">
        <v>9.1166930000000004E-3</v>
      </c>
      <c r="Z505">
        <v>-2.0791350000000001E-4</v>
      </c>
      <c r="AA505">
        <v>0.99995840000000003</v>
      </c>
      <c r="AB505">
        <v>32</v>
      </c>
      <c r="AC505">
        <v>26.097000000000001</v>
      </c>
      <c r="AD505">
        <v>-1.12083374199199</v>
      </c>
      <c r="AE505">
        <v>-0.26310000000000799</v>
      </c>
      <c r="AF505">
        <v>0.24064054909812199</v>
      </c>
      <c r="AG505">
        <v>-1.12083374199199</v>
      </c>
      <c r="AH505">
        <v>26.049167363693801</v>
      </c>
      <c r="AI505">
        <v>92.463676471709704</v>
      </c>
      <c r="AJ505">
        <v>89.470720293692807</v>
      </c>
      <c r="AK505">
        <v>26.074380078781999</v>
      </c>
      <c r="AL505">
        <v>79.232109322460005</v>
      </c>
      <c r="AM505">
        <v>88.1808554738532</v>
      </c>
      <c r="AN505">
        <v>1.00000000934406</v>
      </c>
    </row>
    <row r="506" spans="1:40" x14ac:dyDescent="0.25">
      <c r="A506" t="str">
        <f>"20190303162507807"</f>
        <v>20190303162507807</v>
      </c>
      <c r="B506" t="str">
        <f>"1551601507793367"</f>
        <v>1551601507793367</v>
      </c>
      <c r="C506" t="s">
        <v>40</v>
      </c>
      <c r="D506">
        <v>4.2318829999999998</v>
      </c>
      <c r="E506">
        <v>0.49125730000000001</v>
      </c>
      <c r="F506" t="s">
        <v>41</v>
      </c>
      <c r="G506">
        <v>-324.36989999999997</v>
      </c>
      <c r="H506" s="1">
        <v>-2.8618840000000001E-6</v>
      </c>
      <c r="I506">
        <v>366.99900000000002</v>
      </c>
      <c r="J506">
        <v>-350.41019999999997</v>
      </c>
      <c r="K506">
        <v>1.1208610000000001</v>
      </c>
      <c r="L506">
        <v>367.26429999999999</v>
      </c>
      <c r="M506">
        <v>0.99995330000000004</v>
      </c>
      <c r="N506">
        <v>-9.6426159999999997E-3</v>
      </c>
      <c r="O506">
        <v>-7.0218389999999998E-4</v>
      </c>
      <c r="P506">
        <v>0.9836646</v>
      </c>
      <c r="Q506">
        <v>0.17718</v>
      </c>
      <c r="R506">
        <v>-3.1802459999999998E-2</v>
      </c>
      <c r="S506">
        <v>3.0727229999999999</v>
      </c>
      <c r="T506">
        <v>-0.13057579999999999</v>
      </c>
      <c r="U506">
        <v>-3.091431E-2</v>
      </c>
      <c r="V506">
        <v>3.1062510000000002E-2</v>
      </c>
      <c r="W506">
        <v>0.18666550000000001</v>
      </c>
      <c r="X506">
        <v>0.98193229999999998</v>
      </c>
      <c r="Y506">
        <v>9.3482159999999995E-3</v>
      </c>
      <c r="Z506">
        <v>-2.205734E-4</v>
      </c>
      <c r="AA506">
        <v>0.99995630000000002</v>
      </c>
      <c r="AB506">
        <v>32</v>
      </c>
      <c r="AC506">
        <v>26.040299999999998</v>
      </c>
      <c r="AD506">
        <v>-1.1208638618839999</v>
      </c>
      <c r="AE506">
        <v>-0.26529999999996701</v>
      </c>
      <c r="AF506">
        <v>0.246557247415577</v>
      </c>
      <c r="AG506">
        <v>-1.1208638618839999</v>
      </c>
      <c r="AH506">
        <v>25.992327928791902</v>
      </c>
      <c r="AI506">
        <v>92.469117870657698</v>
      </c>
      <c r="AJ506">
        <v>89.456521707439407</v>
      </c>
      <c r="AK506">
        <v>26.017652419674299</v>
      </c>
      <c r="AL506">
        <v>79.241749432076105</v>
      </c>
      <c r="AM506">
        <v>88.188105833332699</v>
      </c>
      <c r="AN506">
        <v>0.99999996510051903</v>
      </c>
    </row>
    <row r="507" spans="1:40" x14ac:dyDescent="0.25">
      <c r="A507" t="str">
        <f>"20190303162507830"</f>
        <v>20190303162507830</v>
      </c>
      <c r="B507" t="str">
        <f>"1551601507823625"</f>
        <v>1551601507823625</v>
      </c>
      <c r="C507" t="s">
        <v>40</v>
      </c>
      <c r="D507">
        <v>4.1901900000000003</v>
      </c>
      <c r="E507">
        <v>0.49138870000000001</v>
      </c>
      <c r="F507" t="s">
        <v>41</v>
      </c>
      <c r="G507">
        <v>-324.03840000000002</v>
      </c>
      <c r="H507" s="1">
        <v>-3.0049350000000001E-6</v>
      </c>
      <c r="I507">
        <v>366.99439999999998</v>
      </c>
      <c r="J507">
        <v>-350.0675</v>
      </c>
      <c r="K507">
        <v>1.1208899999999999</v>
      </c>
      <c r="L507">
        <v>367.26420000000002</v>
      </c>
      <c r="M507">
        <v>0.99995029999999996</v>
      </c>
      <c r="N507">
        <v>-9.9681070000000004E-3</v>
      </c>
      <c r="O507">
        <v>-5.5825280000000002E-4</v>
      </c>
      <c r="P507">
        <v>0.98366390000000004</v>
      </c>
      <c r="Q507">
        <v>0.17729329999999999</v>
      </c>
      <c r="R507">
        <v>-3.1190550000000001E-2</v>
      </c>
      <c r="S507">
        <v>3.072327</v>
      </c>
      <c r="T507">
        <v>-0.13058069999999999</v>
      </c>
      <c r="U507">
        <v>-3.143311E-2</v>
      </c>
      <c r="V507">
        <v>3.058988E-2</v>
      </c>
      <c r="W507">
        <v>0.1870983</v>
      </c>
      <c r="X507">
        <v>0.98186479999999998</v>
      </c>
      <c r="Y507">
        <v>9.66178E-3</v>
      </c>
      <c r="Z507">
        <v>-2.3525670000000001E-4</v>
      </c>
      <c r="AA507">
        <v>0.99995330000000004</v>
      </c>
      <c r="AB507">
        <v>32</v>
      </c>
      <c r="AC507">
        <v>26.0290999999999</v>
      </c>
      <c r="AD507">
        <v>-1.1208930049350001</v>
      </c>
      <c r="AE507">
        <v>-0.26980000000003201</v>
      </c>
      <c r="AF507">
        <v>0.25479596998304099</v>
      </c>
      <c r="AG507">
        <v>-1.1208930049350001</v>
      </c>
      <c r="AH507">
        <v>25.9810717125712</v>
      </c>
      <c r="AI507">
        <v>92.470242785875996</v>
      </c>
      <c r="AJ507">
        <v>89.438119185962293</v>
      </c>
      <c r="AK507">
        <v>26.006487833781001</v>
      </c>
      <c r="AL507">
        <v>79.216507489497104</v>
      </c>
      <c r="AM507">
        <v>88.215534066583999</v>
      </c>
      <c r="AN507">
        <v>1.0000000000501701</v>
      </c>
    </row>
    <row r="508" spans="1:40" x14ac:dyDescent="0.25">
      <c r="A508" t="str">
        <f>"20190303162507852"</f>
        <v>20190303162507852</v>
      </c>
      <c r="B508" t="str">
        <f>"1551601507843143"</f>
        <v>1551601507843143</v>
      </c>
      <c r="C508" t="s">
        <v>40</v>
      </c>
      <c r="D508">
        <v>4.170255</v>
      </c>
      <c r="E508">
        <v>0.4914694</v>
      </c>
      <c r="F508" t="s">
        <v>41</v>
      </c>
      <c r="G508">
        <v>-323.48</v>
      </c>
      <c r="H508" s="1">
        <v>-3.243693E-6</v>
      </c>
      <c r="I508">
        <v>366.99869999999999</v>
      </c>
      <c r="J508">
        <v>-349.738</v>
      </c>
      <c r="K508">
        <v>1.120916</v>
      </c>
      <c r="L508">
        <v>367.26420000000002</v>
      </c>
      <c r="M508">
        <v>0.99994749999999999</v>
      </c>
      <c r="N508">
        <v>-1.024948E-2</v>
      </c>
      <c r="O508">
        <v>-4.1884309999999999E-4</v>
      </c>
      <c r="P508">
        <v>0.98363290000000003</v>
      </c>
      <c r="Q508">
        <v>0.17751129999999901</v>
      </c>
      <c r="R508">
        <v>-3.093154E-2</v>
      </c>
      <c r="S508">
        <v>3.072174</v>
      </c>
      <c r="T508">
        <v>-0.12951869999999999</v>
      </c>
      <c r="U508">
        <v>-3.067017E-2</v>
      </c>
      <c r="V508">
        <v>3.0467589999999999E-2</v>
      </c>
      <c r="W508">
        <v>0.1875925</v>
      </c>
      <c r="X508">
        <v>0.98177429999999999</v>
      </c>
      <c r="Y508">
        <v>9.5535329999999995E-3</v>
      </c>
      <c r="Z508">
        <v>-2.3691850000000001E-4</v>
      </c>
      <c r="AA508">
        <v>0.99995429999999996</v>
      </c>
      <c r="AB508">
        <v>32</v>
      </c>
      <c r="AC508">
        <v>26.257999999999999</v>
      </c>
      <c r="AD508">
        <v>-1.120919243693</v>
      </c>
      <c r="AE508">
        <v>-0.26550000000003099</v>
      </c>
      <c r="AF508">
        <v>0.25403852520110398</v>
      </c>
      <c r="AG508">
        <v>-1.120919243693</v>
      </c>
      <c r="AH508">
        <v>26.210350063527699</v>
      </c>
      <c r="AI508">
        <v>92.448720427680499</v>
      </c>
      <c r="AJ508">
        <v>89.444689615400705</v>
      </c>
      <c r="AK508">
        <v>26.2355378442264</v>
      </c>
      <c r="AL508">
        <v>79.187681504188703</v>
      </c>
      <c r="AM508">
        <v>88.222499560276802</v>
      </c>
      <c r="AN508">
        <v>0.99999999811857399</v>
      </c>
    </row>
    <row r="509" spans="1:40" x14ac:dyDescent="0.25">
      <c r="A509" t="str">
        <f>"20190303162507873"</f>
        <v>20190303162507873</v>
      </c>
      <c r="B509" t="str">
        <f>"1551601507863638"</f>
        <v>1551601507863638</v>
      </c>
      <c r="C509" t="s">
        <v>40</v>
      </c>
      <c r="D509">
        <v>4.1725269999999997</v>
      </c>
      <c r="E509">
        <v>0.49157519999999999</v>
      </c>
      <c r="F509" t="s">
        <v>41</v>
      </c>
      <c r="G509">
        <v>-322.82940000000002</v>
      </c>
      <c r="H509" s="1">
        <v>-3.521951E-6</v>
      </c>
      <c r="I509">
        <v>367.00349999999997</v>
      </c>
      <c r="J509">
        <v>-349.44619999999998</v>
      </c>
      <c r="K509">
        <v>1.1209249999999999</v>
      </c>
      <c r="L509">
        <v>367.26420000000002</v>
      </c>
      <c r="M509">
        <v>0.99994530000000004</v>
      </c>
      <c r="N509">
        <v>-1.046743E-2</v>
      </c>
      <c r="O509">
        <v>-2.9513199999999998E-4</v>
      </c>
      <c r="P509">
        <v>0.98362019999999994</v>
      </c>
      <c r="Q509">
        <v>0.17756040000000001</v>
      </c>
      <c r="R509">
        <v>-3.1052969999999999E-2</v>
      </c>
      <c r="S509">
        <v>3.0720519999999998</v>
      </c>
      <c r="T509">
        <v>-0.127970899999999</v>
      </c>
      <c r="U509">
        <v>-2.9754639999999999E-2</v>
      </c>
      <c r="V509">
        <v>3.0710540000000001E-2</v>
      </c>
      <c r="W509">
        <v>0.1878552</v>
      </c>
      <c r="X509">
        <v>0.98171649999999999</v>
      </c>
      <c r="Y509">
        <v>9.379966E-3</v>
      </c>
      <c r="Z509">
        <v>-2.352E-4</v>
      </c>
      <c r="AA509">
        <v>0.99995599999999996</v>
      </c>
      <c r="AB509">
        <v>32</v>
      </c>
      <c r="AC509">
        <v>26.616799999999898</v>
      </c>
      <c r="AD509">
        <v>-1.1209285219509999</v>
      </c>
      <c r="AE509">
        <v>-0.26070000000004201</v>
      </c>
      <c r="AF509">
        <v>0.252396494246174</v>
      </c>
      <c r="AG509">
        <v>-1.1209285219509999</v>
      </c>
      <c r="AH509">
        <v>26.5697574345376</v>
      </c>
      <c r="AI509">
        <v>92.4156606908426</v>
      </c>
      <c r="AJ509">
        <v>89.455741402362904</v>
      </c>
      <c r="AK509">
        <v>26.594589578931199</v>
      </c>
      <c r="AL509">
        <v>79.172357489355505</v>
      </c>
      <c r="AM509">
        <v>88.2082294713164</v>
      </c>
      <c r="AN509">
        <v>0.99999999990319</v>
      </c>
    </row>
    <row r="510" spans="1:40" x14ac:dyDescent="0.25">
      <c r="A510" t="str">
        <f>"20190303162507895"</f>
        <v>20190303162507895</v>
      </c>
      <c r="B510" t="str">
        <f>"1551601507883159"</f>
        <v>1551601507883159</v>
      </c>
      <c r="C510" t="s">
        <v>40</v>
      </c>
      <c r="D510">
        <v>4.1437350000000004</v>
      </c>
      <c r="E510">
        <v>0.49164190000000002</v>
      </c>
      <c r="F510" t="s">
        <v>41</v>
      </c>
      <c r="G510">
        <v>-322.25819999999999</v>
      </c>
      <c r="H510" s="1">
        <v>-3.7681739999999999E-6</v>
      </c>
      <c r="I510">
        <v>366.99700000000001</v>
      </c>
      <c r="J510">
        <v>-349.12860000000001</v>
      </c>
      <c r="K510">
        <v>1.1209279999999999</v>
      </c>
      <c r="L510">
        <v>367.26420000000002</v>
      </c>
      <c r="M510">
        <v>0.99994300000000003</v>
      </c>
      <c r="N510">
        <v>-1.067529E-2</v>
      </c>
      <c r="O510">
        <v>-1.622207E-4</v>
      </c>
      <c r="P510">
        <v>0.98378940000000004</v>
      </c>
      <c r="Q510">
        <v>0.1764395</v>
      </c>
      <c r="R510">
        <v>-3.2052869999999997E-2</v>
      </c>
      <c r="S510">
        <v>3.0718380000000001</v>
      </c>
      <c r="T510">
        <v>-0.1266476</v>
      </c>
      <c r="U510">
        <v>-3.0181880000000001E-2</v>
      </c>
      <c r="V510">
        <v>3.1841960000000002E-2</v>
      </c>
      <c r="W510">
        <v>0.18694050000000001</v>
      </c>
      <c r="X510">
        <v>0.98185500000000003</v>
      </c>
      <c r="Y510">
        <v>9.6524030000000004E-3</v>
      </c>
      <c r="Z510">
        <v>-2.4548570000000001E-4</v>
      </c>
      <c r="AA510">
        <v>0.99995339999999999</v>
      </c>
      <c r="AB510">
        <v>32</v>
      </c>
      <c r="AC510">
        <v>26.8704</v>
      </c>
      <c r="AD510">
        <v>-1.1209317681739901</v>
      </c>
      <c r="AE510">
        <v>-0.267200000000059</v>
      </c>
      <c r="AF510">
        <v>0.26238424556411699</v>
      </c>
      <c r="AG510">
        <v>-1.1209317681739901</v>
      </c>
      <c r="AH510">
        <v>26.8237677145279</v>
      </c>
      <c r="AI510">
        <v>92.392812487747193</v>
      </c>
      <c r="AJ510">
        <v>89.439563055272501</v>
      </c>
      <c r="AK510">
        <v>26.848460811081299</v>
      </c>
      <c r="AL510">
        <v>79.225710615988206</v>
      </c>
      <c r="AM510">
        <v>88.142525397045205</v>
      </c>
      <c r="AN510">
        <v>0.99999995099094396</v>
      </c>
    </row>
    <row r="511" spans="1:40" x14ac:dyDescent="0.25">
      <c r="A511" t="str">
        <f>"20190303162507919"</f>
        <v>20190303162507919</v>
      </c>
      <c r="B511" t="str">
        <f>"1551601507903655"</f>
        <v>1551601507903655</v>
      </c>
      <c r="C511" t="s">
        <v>40</v>
      </c>
      <c r="D511">
        <v>4.0816660000000002</v>
      </c>
      <c r="E511">
        <v>0.49252820000000003</v>
      </c>
      <c r="F511" t="s">
        <v>41</v>
      </c>
      <c r="G511">
        <v>-322.49619999999999</v>
      </c>
      <c r="H511" s="1">
        <v>-3.6711840000000001E-6</v>
      </c>
      <c r="I511">
        <v>366.96800000000002</v>
      </c>
      <c r="J511">
        <v>-348.79270000000002</v>
      </c>
      <c r="K511">
        <v>1.1209180000000001</v>
      </c>
      <c r="L511">
        <v>367.26429999999999</v>
      </c>
      <c r="M511">
        <v>0.99994110000000003</v>
      </c>
      <c r="N511">
        <v>-1.086645E-2</v>
      </c>
      <c r="O511" s="1">
        <v>-2.312263E-5</v>
      </c>
      <c r="P511">
        <v>0.98394740000000003</v>
      </c>
      <c r="Q511">
        <v>0.17545629999999901</v>
      </c>
      <c r="R511">
        <v>-3.2602550000000001E-2</v>
      </c>
      <c r="S511">
        <v>3.0715029999999999</v>
      </c>
      <c r="T511">
        <v>-0.12927620000000001</v>
      </c>
      <c r="U511">
        <v>-3.414917E-2</v>
      </c>
      <c r="V511">
        <v>3.252948E-2</v>
      </c>
      <c r="W511">
        <v>0.1861469</v>
      </c>
      <c r="X511">
        <v>0.9819833</v>
      </c>
      <c r="Y511">
        <v>1.108193E-2</v>
      </c>
      <c r="Z511">
        <v>-2.9262880000000002E-4</v>
      </c>
      <c r="AA511">
        <v>0.99993849999999995</v>
      </c>
      <c r="AB511">
        <v>32</v>
      </c>
      <c r="AC511">
        <v>26.296500000000002</v>
      </c>
      <c r="AD511">
        <v>-1.120921671184</v>
      </c>
      <c r="AE511">
        <v>-0.29629999999997297</v>
      </c>
      <c r="AF511">
        <v>0.295155690418132</v>
      </c>
      <c r="AG511">
        <v>-1.120921671184</v>
      </c>
      <c r="AH511">
        <v>26.248818827527099</v>
      </c>
      <c r="AI511">
        <v>92.445101691789603</v>
      </c>
      <c r="AJ511">
        <v>89.355762909617994</v>
      </c>
      <c r="AK511">
        <v>26.2743995576465</v>
      </c>
      <c r="AL511">
        <v>79.271993692239803</v>
      </c>
      <c r="AM511">
        <v>88.102696234006203</v>
      </c>
      <c r="AN511">
        <v>1.0000000184637801</v>
      </c>
    </row>
    <row r="512" spans="1:40" x14ac:dyDescent="0.25">
      <c r="A512" t="str">
        <f>"20190303162507942"</f>
        <v>20190303162507942</v>
      </c>
      <c r="B512" t="str">
        <f>"1551601507932935"</f>
        <v>1551601507932935</v>
      </c>
      <c r="C512" t="s">
        <v>40</v>
      </c>
      <c r="D512">
        <v>4.1078210000000004</v>
      </c>
      <c r="E512">
        <v>0.52038989999999996</v>
      </c>
      <c r="F512" t="s">
        <v>41</v>
      </c>
      <c r="G512">
        <v>-322.75639999999999</v>
      </c>
      <c r="H512" s="1">
        <v>-3.5720030000000001E-6</v>
      </c>
      <c r="I512">
        <v>366.89789999999999</v>
      </c>
      <c r="J512">
        <v>-348.4502</v>
      </c>
      <c r="K512">
        <v>1.1209129999999901</v>
      </c>
      <c r="L512">
        <v>367.2645</v>
      </c>
      <c r="M512">
        <v>0.99993929999999998</v>
      </c>
      <c r="N512">
        <v>-1.1032749999999999E-2</v>
      </c>
      <c r="O512">
        <v>1.190579E-4</v>
      </c>
      <c r="P512">
        <v>0.98412259999999996</v>
      </c>
      <c r="Q512">
        <v>0.174405</v>
      </c>
      <c r="R512">
        <v>-3.295178E-2</v>
      </c>
      <c r="S512">
        <v>3.0711059999999999</v>
      </c>
      <c r="T512">
        <v>-0.13221759999999999</v>
      </c>
      <c r="U512">
        <v>-4.3212889999999997E-2</v>
      </c>
      <c r="V512">
        <v>3.3020140000000003E-2</v>
      </c>
      <c r="W512">
        <v>0.1852608</v>
      </c>
      <c r="X512">
        <v>0.98213450000000002</v>
      </c>
      <c r="Y512">
        <v>1.4171899999999999E-2</v>
      </c>
      <c r="Z512">
        <v>-3.869481E-4</v>
      </c>
      <c r="AA512">
        <v>0.99989950000000005</v>
      </c>
      <c r="AB512">
        <v>32</v>
      </c>
      <c r="AC512">
        <v>25.6938</v>
      </c>
      <c r="AD512">
        <v>-1.1209165720030001</v>
      </c>
      <c r="AE512">
        <v>-0.36660000000000498</v>
      </c>
      <c r="AF512">
        <v>0.36895716774070902</v>
      </c>
      <c r="AG512">
        <v>-1.1209165720030001</v>
      </c>
      <c r="AH512">
        <v>25.644958003692398</v>
      </c>
      <c r="AI512">
        <v>92.502492030778399</v>
      </c>
      <c r="AJ512">
        <v>89.175735435108507</v>
      </c>
      <c r="AK512">
        <v>25.672094857338099</v>
      </c>
      <c r="AL512">
        <v>79.323662395408107</v>
      </c>
      <c r="AM512">
        <v>88.074395821292001</v>
      </c>
      <c r="AN512">
        <v>1.0000000348762501</v>
      </c>
    </row>
    <row r="513" spans="1:40" x14ac:dyDescent="0.25">
      <c r="A513" t="str">
        <f>"20190303162507964"</f>
        <v>20190303162507964</v>
      </c>
      <c r="B513" t="str">
        <f>"1551601507953431"</f>
        <v>1551601507953431</v>
      </c>
      <c r="C513" t="s">
        <v>40</v>
      </c>
      <c r="D513">
        <v>4.1214750000000002</v>
      </c>
      <c r="E513">
        <v>0.51935829999999905</v>
      </c>
      <c r="F513" t="s">
        <v>44</v>
      </c>
      <c r="G513">
        <v>-315.8981</v>
      </c>
      <c r="H513">
        <v>-0.05</v>
      </c>
      <c r="I513">
        <v>364.43299999999999</v>
      </c>
      <c r="J513">
        <v>-348.14260000000002</v>
      </c>
      <c r="K513">
        <v>1.1209100000000001</v>
      </c>
      <c r="L513">
        <v>367.2647</v>
      </c>
      <c r="M513">
        <v>0.99993770000000004</v>
      </c>
      <c r="N513">
        <v>-1.1162689999999999E-2</v>
      </c>
      <c r="O513">
        <v>2.4712779999999998E-4</v>
      </c>
      <c r="P513">
        <v>0.98418349999999999</v>
      </c>
      <c r="Q513">
        <v>0.1740572</v>
      </c>
      <c r="R513">
        <v>-3.2973639999999999E-2</v>
      </c>
      <c r="S513">
        <v>3.0589900000000001</v>
      </c>
      <c r="T513">
        <v>-0.1100333</v>
      </c>
      <c r="U513">
        <v>-0.26608280000000001</v>
      </c>
      <c r="V513">
        <v>3.3169039999999997E-2</v>
      </c>
      <c r="W513">
        <v>0.18504109999999999</v>
      </c>
      <c r="X513">
        <v>0.98217089999999996</v>
      </c>
      <c r="Y513">
        <v>8.6829630000000005E-2</v>
      </c>
      <c r="Z513">
        <v>-2.0500819999999999E-3</v>
      </c>
      <c r="AA513">
        <v>0.99622109999999997</v>
      </c>
      <c r="AB513">
        <v>32</v>
      </c>
      <c r="AC513">
        <v>32.244500000000002</v>
      </c>
      <c r="AD513">
        <v>-1.1709099999999999</v>
      </c>
      <c r="AE513">
        <v>-2.8316999999999499</v>
      </c>
      <c r="AF513">
        <v>2.8359578537311099</v>
      </c>
      <c r="AG513">
        <v>-1.1709099999999999</v>
      </c>
      <c r="AH513">
        <v>32.201660836900302</v>
      </c>
      <c r="AI513">
        <v>92.074437408888002</v>
      </c>
      <c r="AJ513">
        <v>84.967021447611401</v>
      </c>
      <c r="AK513">
        <v>32.347498324151701</v>
      </c>
      <c r="AL513">
        <v>79.336471755471806</v>
      </c>
      <c r="AM513">
        <v>88.065790774017003</v>
      </c>
      <c r="AN513">
        <v>1.00000003535527</v>
      </c>
    </row>
    <row r="514" spans="1:40" x14ac:dyDescent="0.25">
      <c r="A514" t="str">
        <f>"20190303162507984"</f>
        <v>20190303162507984</v>
      </c>
      <c r="B514" t="str">
        <f>"1551601507972951"</f>
        <v>1551601507972951</v>
      </c>
      <c r="C514" t="s">
        <v>40</v>
      </c>
      <c r="D514">
        <v>4.0714709999999998</v>
      </c>
      <c r="E514">
        <v>0.5189028</v>
      </c>
      <c r="F514" t="s">
        <v>44</v>
      </c>
      <c r="G514">
        <v>-316.5693</v>
      </c>
      <c r="H514">
        <v>-0.05</v>
      </c>
      <c r="I514">
        <v>364.60329999999999</v>
      </c>
      <c r="J514">
        <v>-347.83929999999998</v>
      </c>
      <c r="K514">
        <v>1.120914</v>
      </c>
      <c r="L514">
        <v>367.26499999999999</v>
      </c>
      <c r="M514">
        <v>0.99993650000000001</v>
      </c>
      <c r="N514">
        <v>-1.127483E-2</v>
      </c>
      <c r="O514">
        <v>3.7255460000000003E-4</v>
      </c>
      <c r="P514">
        <v>0.98411990000000005</v>
      </c>
      <c r="Q514">
        <v>0.1744629</v>
      </c>
      <c r="R514">
        <v>-3.2725990000000003E-2</v>
      </c>
      <c r="S514">
        <v>3.059631</v>
      </c>
      <c r="T514">
        <v>-0.1134677</v>
      </c>
      <c r="U514">
        <v>-0.25790410000000002</v>
      </c>
      <c r="V514">
        <v>3.3045339999999999E-2</v>
      </c>
      <c r="W514">
        <v>0.185556</v>
      </c>
      <c r="X514">
        <v>0.98207789999999995</v>
      </c>
      <c r="Y514">
        <v>8.429064E-2</v>
      </c>
      <c r="Z514">
        <v>-2.0455209999999998E-3</v>
      </c>
      <c r="AA514">
        <v>0.99643910000000002</v>
      </c>
      <c r="AB514">
        <v>32</v>
      </c>
      <c r="AC514">
        <v>31.2699999999999</v>
      </c>
      <c r="AD514">
        <v>-1.170914</v>
      </c>
      <c r="AE514">
        <v>-2.66169999999999</v>
      </c>
      <c r="AF514">
        <v>2.6696340373952099</v>
      </c>
      <c r="AG514">
        <v>-1.170914</v>
      </c>
      <c r="AH514">
        <v>31.225538216622901</v>
      </c>
      <c r="AI514">
        <v>92.139706899401205</v>
      </c>
      <c r="AJ514">
        <v>85.113368180787205</v>
      </c>
      <c r="AK514">
        <v>31.361317293870002</v>
      </c>
      <c r="AL514">
        <v>79.306450009466602</v>
      </c>
      <c r="AM514">
        <v>88.072816385360099</v>
      </c>
      <c r="AN514">
        <v>1.0000000126500601</v>
      </c>
    </row>
    <row r="515" spans="1:40" x14ac:dyDescent="0.25">
      <c r="A515" t="str">
        <f>"20190303162508009"</f>
        <v>20190303162508009</v>
      </c>
      <c r="B515" t="str">
        <f>"1551601507993447"</f>
        <v>1551601507993447</v>
      </c>
      <c r="C515" t="s">
        <v>40</v>
      </c>
      <c r="D515">
        <v>4.0818849999999998</v>
      </c>
      <c r="E515">
        <v>0.51859650000000002</v>
      </c>
      <c r="F515" t="s">
        <v>44</v>
      </c>
      <c r="G515">
        <v>-316.96409999999997</v>
      </c>
      <c r="H515">
        <v>-0.05</v>
      </c>
      <c r="I515">
        <v>364.70870000000002</v>
      </c>
      <c r="J515">
        <v>-347.49939999999998</v>
      </c>
      <c r="K515">
        <v>1.1209229999999999</v>
      </c>
      <c r="L515">
        <v>367.26519999999999</v>
      </c>
      <c r="M515">
        <v>0.99993509999999997</v>
      </c>
      <c r="N515">
        <v>-1.138397E-2</v>
      </c>
      <c r="O515">
        <v>5.1265960000000004E-4</v>
      </c>
      <c r="P515">
        <v>0.98404349999999996</v>
      </c>
      <c r="Q515">
        <v>0.1749647</v>
      </c>
      <c r="R515">
        <v>-3.2337879999999999E-2</v>
      </c>
      <c r="S515">
        <v>3.0605470000000001</v>
      </c>
      <c r="T515">
        <v>-0.1160682</v>
      </c>
      <c r="U515">
        <v>-0.25338749999999999</v>
      </c>
      <c r="V515">
        <v>3.2795280000000003E-2</v>
      </c>
      <c r="W515">
        <v>0.1861642</v>
      </c>
      <c r="X515">
        <v>0.98197109999999999</v>
      </c>
      <c r="Y515">
        <v>8.2942909999999995E-2</v>
      </c>
      <c r="Z515">
        <v>-2.0562449999999999E-3</v>
      </c>
      <c r="AA515">
        <v>0.9965522</v>
      </c>
      <c r="AB515">
        <v>32</v>
      </c>
      <c r="AC515">
        <v>30.535299999999999</v>
      </c>
      <c r="AD515">
        <v>-1.1709229999999999</v>
      </c>
      <c r="AE515">
        <v>-2.55649999999997</v>
      </c>
      <c r="AF515">
        <v>2.5684044533945798</v>
      </c>
      <c r="AG515">
        <v>-1.1709229999999999</v>
      </c>
      <c r="AH515">
        <v>30.489463918607399</v>
      </c>
      <c r="AI515">
        <v>92.191562320768099</v>
      </c>
      <c r="AJ515">
        <v>85.184824506551607</v>
      </c>
      <c r="AK515">
        <v>30.619849316288398</v>
      </c>
      <c r="AL515">
        <v>79.270983994378</v>
      </c>
      <c r="AM515">
        <v>88.087180993441507</v>
      </c>
      <c r="AN515">
        <v>0.999999940493562</v>
      </c>
    </row>
    <row r="516" spans="1:40" x14ac:dyDescent="0.25">
      <c r="A516" t="str">
        <f>"20190303162508030"</f>
        <v>20190303162508030</v>
      </c>
      <c r="B516" t="str">
        <f>"1551601508023703"</f>
        <v>1551601508023703</v>
      </c>
      <c r="C516" t="s">
        <v>40</v>
      </c>
      <c r="D516">
        <v>4.1063539999999996</v>
      </c>
      <c r="E516">
        <v>0.51862940000000002</v>
      </c>
      <c r="F516" t="s">
        <v>44</v>
      </c>
      <c r="G516">
        <v>-315.15159999999997</v>
      </c>
      <c r="H516">
        <v>-0.05</v>
      </c>
      <c r="I516">
        <v>364.6268</v>
      </c>
      <c r="J516">
        <v>-347.16860000000003</v>
      </c>
      <c r="K516">
        <v>1.120935</v>
      </c>
      <c r="L516">
        <v>367.26560000000001</v>
      </c>
      <c r="M516">
        <v>0.99993399999999999</v>
      </c>
      <c r="N516">
        <v>-1.148678E-2</v>
      </c>
      <c r="O516">
        <v>6.4874500000000005E-4</v>
      </c>
      <c r="P516">
        <v>0.98399440000000005</v>
      </c>
      <c r="Q516">
        <v>0.17530419999999999</v>
      </c>
      <c r="R516">
        <v>-3.1994219999999997E-2</v>
      </c>
      <c r="S516">
        <v>3.0601500000000001</v>
      </c>
      <c r="T516">
        <v>-0.1107711</v>
      </c>
      <c r="U516">
        <v>-0.2496033</v>
      </c>
      <c r="V516">
        <v>3.2585709999999997E-2</v>
      </c>
      <c r="W516">
        <v>0.18660360000000001</v>
      </c>
      <c r="X516">
        <v>0.98189470000000001</v>
      </c>
      <c r="Y516">
        <v>8.1871890000000003E-2</v>
      </c>
      <c r="Z516">
        <v>-1.9660760000000002E-3</v>
      </c>
      <c r="AA516">
        <v>0.99664090000000005</v>
      </c>
      <c r="AB516">
        <v>32</v>
      </c>
      <c r="AC516">
        <v>32.017000000000003</v>
      </c>
      <c r="AD516">
        <v>-1.1709350000000001</v>
      </c>
      <c r="AE516">
        <v>-2.6387999999999998</v>
      </c>
      <c r="AF516">
        <v>2.6560431053067899</v>
      </c>
      <c r="AG516">
        <v>-1.1709350000000001</v>
      </c>
      <c r="AH516">
        <v>31.9728051124413</v>
      </c>
      <c r="AI516">
        <v>92.090203560685296</v>
      </c>
      <c r="AJ516">
        <v>85.251231797579393</v>
      </c>
      <c r="AK516">
        <v>32.104297539576002</v>
      </c>
      <c r="AL516">
        <v>79.245359491702104</v>
      </c>
      <c r="AM516">
        <v>88.099247614037694</v>
      </c>
      <c r="AN516">
        <v>0.99999996695862603</v>
      </c>
    </row>
    <row r="517" spans="1:40" x14ac:dyDescent="0.25">
      <c r="A517" t="str">
        <f>"20190303162508052"</f>
        <v>20190303162508052</v>
      </c>
      <c r="B517" t="str">
        <f>"1551601508043223"</f>
        <v>1551601508043223</v>
      </c>
      <c r="C517" t="s">
        <v>40</v>
      </c>
      <c r="D517">
        <v>4.100727</v>
      </c>
      <c r="E517">
        <v>0.51867509999999994</v>
      </c>
      <c r="F517" t="s">
        <v>44</v>
      </c>
      <c r="G517">
        <v>-313.98559999999998</v>
      </c>
      <c r="H517">
        <v>-0.05</v>
      </c>
      <c r="I517">
        <v>364.57209999999998</v>
      </c>
      <c r="J517">
        <v>-346.87009999999998</v>
      </c>
      <c r="K517">
        <v>1.1207689999999999</v>
      </c>
      <c r="L517">
        <v>367.26589999999999</v>
      </c>
      <c r="M517">
        <v>0.99993989999999999</v>
      </c>
      <c r="N517">
        <v>-1.094209E-2</v>
      </c>
      <c r="O517">
        <v>7.6815229999999905E-4</v>
      </c>
      <c r="P517">
        <v>0.98374720000000004</v>
      </c>
      <c r="Q517">
        <v>0.1766607</v>
      </c>
      <c r="R517">
        <v>-3.2135499999999997E-2</v>
      </c>
      <c r="S517">
        <v>3.0599980000000002</v>
      </c>
      <c r="T517">
        <v>-0.1079787</v>
      </c>
      <c r="U517">
        <v>-0.24838260000000001</v>
      </c>
      <c r="V517">
        <v>3.2845609999999997E-2</v>
      </c>
      <c r="W517">
        <v>0.18742200000000001</v>
      </c>
      <c r="X517">
        <v>0.9817302</v>
      </c>
      <c r="Y517">
        <v>8.1603980000000007E-2</v>
      </c>
      <c r="Z517">
        <v>-1.903028E-3</v>
      </c>
      <c r="AA517">
        <v>0.99666299999999997</v>
      </c>
      <c r="AB517">
        <v>32</v>
      </c>
      <c r="AC517">
        <v>32.884500000000003</v>
      </c>
      <c r="AD517">
        <v>-1.1707689999999999</v>
      </c>
      <c r="AE517">
        <v>-2.6938</v>
      </c>
      <c r="AF517">
        <v>2.7156417937274901</v>
      </c>
      <c r="AG517">
        <v>-1.1707689999999999</v>
      </c>
      <c r="AH517">
        <v>32.8410711921047</v>
      </c>
      <c r="AI517">
        <v>92.034764567684704</v>
      </c>
      <c r="AJ517">
        <v>85.272942734171494</v>
      </c>
      <c r="AK517">
        <v>32.973949830860299</v>
      </c>
      <c r="AL517">
        <v>79.197626994186294</v>
      </c>
      <c r="AM517">
        <v>88.083777886473598</v>
      </c>
      <c r="AN517">
        <v>1.0000000128861499</v>
      </c>
    </row>
    <row r="518" spans="1:40" x14ac:dyDescent="0.25">
      <c r="A518" t="str">
        <f>"20190303162508074"</f>
        <v>20190303162508074</v>
      </c>
      <c r="B518" t="str">
        <f>"1551601508063719"</f>
        <v>1551601508063719</v>
      </c>
      <c r="C518" t="s">
        <v>40</v>
      </c>
      <c r="D518">
        <v>4.1007619999999996</v>
      </c>
      <c r="E518">
        <v>0.51863909999999902</v>
      </c>
      <c r="F518" t="s">
        <v>44</v>
      </c>
      <c r="G518">
        <v>-311.89299999999997</v>
      </c>
      <c r="H518">
        <v>-0.05</v>
      </c>
      <c r="I518">
        <v>364.42140000000001</v>
      </c>
      <c r="J518">
        <v>-346.5444</v>
      </c>
      <c r="K518">
        <v>1.120463</v>
      </c>
      <c r="L518">
        <v>367.2663</v>
      </c>
      <c r="M518">
        <v>0.99995179999999995</v>
      </c>
      <c r="N518">
        <v>-9.7834740000000003E-3</v>
      </c>
      <c r="O518">
        <v>8.9622659999999995E-4</v>
      </c>
      <c r="P518">
        <v>0.98335850000000002</v>
      </c>
      <c r="Q518">
        <v>0.1787523</v>
      </c>
      <c r="R518">
        <v>-3.2462119999999997E-2</v>
      </c>
      <c r="S518">
        <v>3.0598450000000001</v>
      </c>
      <c r="T518">
        <v>-0.1024207</v>
      </c>
      <c r="U518">
        <v>-0.24884029999999999</v>
      </c>
      <c r="V518">
        <v>3.3301659999999997E-2</v>
      </c>
      <c r="W518">
        <v>0.18837129999999999</v>
      </c>
      <c r="X518">
        <v>0.98153310000000005</v>
      </c>
      <c r="Y518">
        <v>8.1890980000000002E-2</v>
      </c>
      <c r="Z518">
        <v>-1.7905009999999999E-3</v>
      </c>
      <c r="AA518">
        <v>0.99663970000000002</v>
      </c>
      <c r="AB518">
        <v>32</v>
      </c>
      <c r="AC518">
        <v>34.651400000000002</v>
      </c>
      <c r="AD518">
        <v>-1.17046299999999</v>
      </c>
      <c r="AE518">
        <v>-2.8448999999999902</v>
      </c>
      <c r="AF518">
        <v>2.8727001318857202</v>
      </c>
      <c r="AG518">
        <v>-1.17046299999999</v>
      </c>
      <c r="AH518">
        <v>34.609612184395097</v>
      </c>
      <c r="AI518">
        <v>91.930315631829203</v>
      </c>
      <c r="AJ518">
        <v>85.255157479102493</v>
      </c>
      <c r="AK518">
        <v>34.748347374174998</v>
      </c>
      <c r="AL518">
        <v>79.142249488044797</v>
      </c>
      <c r="AM518">
        <v>88.056802218413907</v>
      </c>
      <c r="AN518">
        <v>0.99999998680902702</v>
      </c>
    </row>
    <row r="519" spans="1:40" x14ac:dyDescent="0.25">
      <c r="A519" t="str">
        <f>"20190303162508097"</f>
        <v>20190303162508097</v>
      </c>
      <c r="B519" t="str">
        <f>"1551601508083240"</f>
        <v>1551601508083240</v>
      </c>
      <c r="C519" t="s">
        <v>40</v>
      </c>
      <c r="D519">
        <v>4.1613439999999997</v>
      </c>
      <c r="E519">
        <v>0.51863630000000005</v>
      </c>
      <c r="F519" t="s">
        <v>44</v>
      </c>
      <c r="G519">
        <v>-308.43060000000003</v>
      </c>
      <c r="H519">
        <v>-0.05</v>
      </c>
      <c r="I519">
        <v>364.15350000000001</v>
      </c>
      <c r="J519">
        <v>-346.19929999999999</v>
      </c>
      <c r="K519">
        <v>1.1201700000000001</v>
      </c>
      <c r="L519">
        <v>367.26670000000001</v>
      </c>
      <c r="M519">
        <v>0.99996370000000001</v>
      </c>
      <c r="N519">
        <v>-8.4537899999999992E-3</v>
      </c>
      <c r="O519">
        <v>1.0317970000000001E-3</v>
      </c>
      <c r="P519">
        <v>0.98279740000000004</v>
      </c>
      <c r="Q519">
        <v>0.18179090000000001</v>
      </c>
      <c r="R519">
        <v>-3.2577670000000003E-2</v>
      </c>
      <c r="S519">
        <v>3.059631</v>
      </c>
      <c r="T519">
        <v>-9.3960520000000006E-2</v>
      </c>
      <c r="U519">
        <v>-0.24987789999999999</v>
      </c>
      <c r="V519">
        <v>3.355445E-2</v>
      </c>
      <c r="W519">
        <v>0.19009909999999999</v>
      </c>
      <c r="X519">
        <v>0.98119129999999999</v>
      </c>
      <c r="Y519">
        <v>8.2377140000000001E-2</v>
      </c>
      <c r="Z519">
        <v>-1.6343009999999999E-3</v>
      </c>
      <c r="AA519">
        <v>0.99659989999999998</v>
      </c>
      <c r="AB519">
        <v>33</v>
      </c>
      <c r="AC519">
        <v>37.768699999999903</v>
      </c>
      <c r="AD519">
        <v>-1.1701699999999999</v>
      </c>
      <c r="AE519">
        <v>-3.1132</v>
      </c>
      <c r="AF519">
        <v>3.1491668284641099</v>
      </c>
      <c r="AG519">
        <v>-1.1701699999999999</v>
      </c>
      <c r="AH519">
        <v>37.7294948046328</v>
      </c>
      <c r="AI519">
        <v>91.770291602827598</v>
      </c>
      <c r="AJ519">
        <v>85.228754054066002</v>
      </c>
      <c r="AK519">
        <v>37.878771465759201</v>
      </c>
      <c r="AL519">
        <v>79.041432029395807</v>
      </c>
      <c r="AM519">
        <v>88.041381490668201</v>
      </c>
      <c r="AN519">
        <v>0.99999996806564995</v>
      </c>
    </row>
    <row r="520" spans="1:40" x14ac:dyDescent="0.25">
      <c r="A520" t="str">
        <f>"20190303162508120"</f>
        <v>20190303162508120</v>
      </c>
      <c r="B520" t="str">
        <f>"1551601508113495"</f>
        <v>1551601508113495</v>
      </c>
      <c r="C520" t="s">
        <v>40</v>
      </c>
      <c r="D520">
        <v>4.2043229999999996</v>
      </c>
      <c r="E520">
        <v>0.51865749999999999</v>
      </c>
      <c r="F520" t="s">
        <v>44</v>
      </c>
      <c r="G520">
        <v>-303.7242</v>
      </c>
      <c r="H520">
        <v>-0.05</v>
      </c>
      <c r="I520">
        <v>363.7937</v>
      </c>
      <c r="J520">
        <v>-345.86709999999999</v>
      </c>
      <c r="K520">
        <v>1.1199399999999999</v>
      </c>
      <c r="L520">
        <v>367.26710000000003</v>
      </c>
      <c r="M520">
        <v>0.99997349999999996</v>
      </c>
      <c r="N520">
        <v>-7.1981900000000001E-3</v>
      </c>
      <c r="O520">
        <v>1.159017E-3</v>
      </c>
      <c r="P520">
        <v>0.98238259999999999</v>
      </c>
      <c r="Q520">
        <v>0.1841101</v>
      </c>
      <c r="R520">
        <v>-3.2063040000000001E-2</v>
      </c>
      <c r="S520">
        <v>3.0598139999999998</v>
      </c>
      <c r="T520">
        <v>-8.4296460000000004E-2</v>
      </c>
      <c r="U520">
        <v>-0.25018309999999999</v>
      </c>
      <c r="V520">
        <v>3.3167490000000001E-2</v>
      </c>
      <c r="W520">
        <v>0.1911822</v>
      </c>
      <c r="X520">
        <v>0.98099400000000003</v>
      </c>
      <c r="Y520">
        <v>8.2607780000000006E-2</v>
      </c>
      <c r="Z520">
        <v>-1.45722E-3</v>
      </c>
      <c r="AA520">
        <v>0.9965811</v>
      </c>
      <c r="AB520">
        <v>33</v>
      </c>
      <c r="AC520">
        <v>42.142899999999997</v>
      </c>
      <c r="AD520">
        <v>-1.16994</v>
      </c>
      <c r="AE520">
        <v>-3.4734000000000198</v>
      </c>
      <c r="AF520">
        <v>3.5195490948584101</v>
      </c>
      <c r="AG520">
        <v>-1.16994</v>
      </c>
      <c r="AH520">
        <v>42.106613768291297</v>
      </c>
      <c r="AI520">
        <v>91.586036161481999</v>
      </c>
      <c r="AJ520">
        <v>85.221947019818799</v>
      </c>
      <c r="AK520">
        <v>42.269645237058398</v>
      </c>
      <c r="AL520">
        <v>78.978215612338801</v>
      </c>
      <c r="AM520">
        <v>88.063562491682603</v>
      </c>
      <c r="AN520">
        <v>0.99999997201286905</v>
      </c>
    </row>
    <row r="521" spans="1:40" x14ac:dyDescent="0.25">
      <c r="A521" t="str">
        <f>"20190303162508143"</f>
        <v>20190303162508143</v>
      </c>
      <c r="B521" t="str">
        <f>"1551601508133015"</f>
        <v>1551601508133015</v>
      </c>
      <c r="C521" t="s">
        <v>40</v>
      </c>
      <c r="D521">
        <v>4.2323209999999998</v>
      </c>
      <c r="E521">
        <v>0.51867010000000002</v>
      </c>
      <c r="F521" t="s">
        <v>44</v>
      </c>
      <c r="G521">
        <v>-300.10829999999999</v>
      </c>
      <c r="H521">
        <v>-0.05</v>
      </c>
      <c r="I521">
        <v>363.55650000000003</v>
      </c>
      <c r="J521">
        <v>-345.50869999999998</v>
      </c>
      <c r="K521">
        <v>1.11975</v>
      </c>
      <c r="L521">
        <v>367.26769999999999</v>
      </c>
      <c r="M521">
        <v>0.99998189999999998</v>
      </c>
      <c r="N521">
        <v>-5.9021769999999998E-3</v>
      </c>
      <c r="O521">
        <v>1.2890219999999999E-3</v>
      </c>
      <c r="P521">
        <v>0.98207719999999998</v>
      </c>
      <c r="Q521">
        <v>0.18570500000000001</v>
      </c>
      <c r="R521">
        <v>-3.2221739999999999E-2</v>
      </c>
      <c r="S521">
        <v>3.0603639999999999</v>
      </c>
      <c r="T521">
        <v>-7.8245999999999996E-2</v>
      </c>
      <c r="U521">
        <v>-0.2481689</v>
      </c>
      <c r="V521">
        <v>3.3454339999999999E-2</v>
      </c>
      <c r="W521">
        <v>0.1915037</v>
      </c>
      <c r="X521">
        <v>0.98092159999999995</v>
      </c>
      <c r="Y521">
        <v>8.2077699999999906E-2</v>
      </c>
      <c r="Z521">
        <v>-1.3153430000000001E-3</v>
      </c>
      <c r="AA521">
        <v>0.99662510000000004</v>
      </c>
      <c r="AB521">
        <v>33</v>
      </c>
      <c r="AC521">
        <v>45.400399999999898</v>
      </c>
      <c r="AD521">
        <v>-1.1697500000000001</v>
      </c>
      <c r="AE521">
        <v>-3.7111999999999599</v>
      </c>
      <c r="AF521">
        <v>3.7672357806808998</v>
      </c>
      <c r="AG521">
        <v>-1.1697500000000001</v>
      </c>
      <c r="AH521">
        <v>45.365662506231601</v>
      </c>
      <c r="AI521">
        <v>91.471975494429998</v>
      </c>
      <c r="AJ521">
        <v>85.252960301625293</v>
      </c>
      <c r="AK521">
        <v>45.536839098899399</v>
      </c>
      <c r="AL521">
        <v>78.959448824982502</v>
      </c>
      <c r="AM521">
        <v>88.0466840232923</v>
      </c>
      <c r="AN521">
        <v>1.0000000226625401</v>
      </c>
    </row>
    <row r="522" spans="1:40" x14ac:dyDescent="0.25">
      <c r="A522" t="str">
        <f>"20190303162508164"</f>
        <v>20190303162508164</v>
      </c>
      <c r="B522" t="str">
        <f>"1551601508153511"</f>
        <v>1551601508153511</v>
      </c>
      <c r="C522" t="s">
        <v>40</v>
      </c>
      <c r="D522">
        <v>4.2456969999999998</v>
      </c>
      <c r="E522">
        <v>0.51895139999999995</v>
      </c>
      <c r="F522" t="s">
        <v>44</v>
      </c>
      <c r="G522">
        <v>-297.62150000000003</v>
      </c>
      <c r="H522">
        <v>-0.05</v>
      </c>
      <c r="I522">
        <v>363.37920000000003</v>
      </c>
      <c r="J522">
        <v>-345.1909</v>
      </c>
      <c r="K522">
        <v>1.1196189999999999</v>
      </c>
      <c r="L522">
        <v>367.26819999999998</v>
      </c>
      <c r="M522">
        <v>0.99998739999999997</v>
      </c>
      <c r="N522">
        <v>-4.8374000000000004E-3</v>
      </c>
      <c r="O522">
        <v>1.399272E-3</v>
      </c>
      <c r="P522">
        <v>0.98189040000000005</v>
      </c>
      <c r="Q522">
        <v>0.18669549999999999</v>
      </c>
      <c r="R522">
        <v>-3.219263E-2</v>
      </c>
      <c r="S522">
        <v>3.06073</v>
      </c>
      <c r="T522">
        <v>-7.4765090000000006E-2</v>
      </c>
      <c r="U522">
        <v>-0.24853520000000001</v>
      </c>
      <c r="V522">
        <v>3.3531989999999998E-2</v>
      </c>
      <c r="W522">
        <v>0.19144900000000001</v>
      </c>
      <c r="X522">
        <v>0.98092959999999996</v>
      </c>
      <c r="Y522">
        <v>8.2299979999999995E-2</v>
      </c>
      <c r="Z522">
        <v>-1.230164E-3</v>
      </c>
      <c r="AA522">
        <v>0.99660680000000001</v>
      </c>
      <c r="AB522">
        <v>34</v>
      </c>
      <c r="AC522">
        <v>47.569399999999902</v>
      </c>
      <c r="AD522">
        <v>-1.169619</v>
      </c>
      <c r="AE522">
        <v>-3.8889999999999501</v>
      </c>
      <c r="AF522">
        <v>3.9531854579657502</v>
      </c>
      <c r="AG522">
        <v>-1.169619</v>
      </c>
      <c r="AH522">
        <v>47.535364809115102</v>
      </c>
      <c r="AI522">
        <v>91.4046449320779</v>
      </c>
      <c r="AJ522">
        <v>85.246048229273597</v>
      </c>
      <c r="AK522">
        <v>47.713798752623902</v>
      </c>
      <c r="AL522">
        <v>78.962641700202397</v>
      </c>
      <c r="AM522">
        <v>88.042169711481804</v>
      </c>
      <c r="AN522">
        <v>0.99999999705525999</v>
      </c>
    </row>
    <row r="523" spans="1:40" x14ac:dyDescent="0.25">
      <c r="A523" t="str">
        <f>"20190303162508186"</f>
        <v>20190303162508186</v>
      </c>
      <c r="B523" t="str">
        <f>"1551601508174007"</f>
        <v>1551601508174007</v>
      </c>
      <c r="C523" t="s">
        <v>40</v>
      </c>
      <c r="D523">
        <v>4.2915479999999997</v>
      </c>
      <c r="E523">
        <v>0.51916839999999997</v>
      </c>
      <c r="F523" t="s">
        <v>44</v>
      </c>
      <c r="G523">
        <v>-294.92419999999998</v>
      </c>
      <c r="H523">
        <v>-0.05</v>
      </c>
      <c r="I523">
        <v>363.14830000000001</v>
      </c>
      <c r="J523">
        <v>-344.85579999999999</v>
      </c>
      <c r="K523">
        <v>1.119532</v>
      </c>
      <c r="L523">
        <v>367.26870000000002</v>
      </c>
      <c r="M523">
        <v>0.99999139999999997</v>
      </c>
      <c r="N523">
        <v>-3.8778950000000001E-3</v>
      </c>
      <c r="O523">
        <v>1.5111549999999999E-3</v>
      </c>
      <c r="P523">
        <v>0.98178469999999995</v>
      </c>
      <c r="Q523">
        <v>0.187255</v>
      </c>
      <c r="R523">
        <v>-3.2163650000000002E-2</v>
      </c>
      <c r="S523">
        <v>3.0606689999999999</v>
      </c>
      <c r="T523">
        <v>-7.1216340000000003E-2</v>
      </c>
      <c r="U523">
        <v>-0.25085449999999998</v>
      </c>
      <c r="V523">
        <v>3.3610229999999998E-2</v>
      </c>
      <c r="W523">
        <v>0.1910675</v>
      </c>
      <c r="X523">
        <v>0.98100129999999996</v>
      </c>
      <c r="Y523">
        <v>8.3166400000000001E-2</v>
      </c>
      <c r="Z523">
        <v>-1.1566180000000001E-3</v>
      </c>
      <c r="AA523">
        <v>0.99653499999999995</v>
      </c>
      <c r="AB523">
        <v>34</v>
      </c>
      <c r="AC523">
        <v>49.931600000000003</v>
      </c>
      <c r="AD523">
        <v>-1.169532</v>
      </c>
      <c r="AE523">
        <v>-4.1204000000000098</v>
      </c>
      <c r="AF523">
        <v>4.1935651237508003</v>
      </c>
      <c r="AG523">
        <v>-1.169532</v>
      </c>
      <c r="AH523">
        <v>49.898126322027103</v>
      </c>
      <c r="AI523">
        <v>91.337960216713398</v>
      </c>
      <c r="AJ523">
        <v>85.196006548912806</v>
      </c>
      <c r="AK523">
        <v>50.0876911425865</v>
      </c>
      <c r="AL523">
        <v>78.984911104072395</v>
      </c>
      <c r="AM523">
        <v>88.037748401419705</v>
      </c>
      <c r="AN523">
        <v>0.99999999385929605</v>
      </c>
    </row>
    <row r="524" spans="1:40" x14ac:dyDescent="0.25">
      <c r="A524" t="str">
        <f>"20190303162508209"</f>
        <v>20190303162508209</v>
      </c>
      <c r="B524" t="str">
        <f>"1551601508203287"</f>
        <v>1551601508203287</v>
      </c>
      <c r="C524" t="s">
        <v>40</v>
      </c>
      <c r="D524">
        <v>4.2914289999999999</v>
      </c>
      <c r="E524">
        <v>0.51941029999999999</v>
      </c>
      <c r="F524" t="s">
        <v>44</v>
      </c>
      <c r="G524">
        <v>-293.86939999999998</v>
      </c>
      <c r="H524">
        <v>-0.05</v>
      </c>
      <c r="I524">
        <v>363.05689999999998</v>
      </c>
      <c r="J524">
        <v>-344.49880000000002</v>
      </c>
      <c r="K524">
        <v>1.1195219999999999</v>
      </c>
      <c r="L524">
        <v>367.26929999999999</v>
      </c>
      <c r="M524">
        <v>0.99999369999999999</v>
      </c>
      <c r="N524">
        <v>-3.1518399999999999E-3</v>
      </c>
      <c r="O524">
        <v>1.627786E-3</v>
      </c>
      <c r="P524">
        <v>0.98164379999999996</v>
      </c>
      <c r="Q524">
        <v>0.18798100000000001</v>
      </c>
      <c r="R524">
        <v>-3.2231170000000003E-2</v>
      </c>
      <c r="S524">
        <v>3.0607600000000001</v>
      </c>
      <c r="T524">
        <v>-7.0208069999999997E-2</v>
      </c>
      <c r="U524">
        <v>-0.25283810000000001</v>
      </c>
      <c r="V524">
        <v>3.3788099999999897E-2</v>
      </c>
      <c r="W524">
        <v>0.1910811</v>
      </c>
      <c r="X524">
        <v>0.98099259999999999</v>
      </c>
      <c r="Y524">
        <v>8.3922789999999997E-2</v>
      </c>
      <c r="Z524">
        <v>-1.1254030000000001E-3</v>
      </c>
      <c r="AA524">
        <v>0.99647160000000001</v>
      </c>
      <c r="AB524">
        <v>34</v>
      </c>
      <c r="AC524">
        <v>50.629399999999997</v>
      </c>
      <c r="AD524">
        <v>-1.169522</v>
      </c>
      <c r="AE524">
        <v>-4.2123999999999997</v>
      </c>
      <c r="AF524">
        <v>4.2925339322552301</v>
      </c>
      <c r="AG524">
        <v>-1.169522</v>
      </c>
      <c r="AH524">
        <v>50.595664044238497</v>
      </c>
      <c r="AI524">
        <v>91.319421514774803</v>
      </c>
      <c r="AJ524">
        <v>85.150641249134594</v>
      </c>
      <c r="AK524">
        <v>50.790893370224303</v>
      </c>
      <c r="AL524">
        <v>78.984117902254596</v>
      </c>
      <c r="AM524">
        <v>88.027354595809996</v>
      </c>
      <c r="AN524">
        <v>1.00000005186678</v>
      </c>
    </row>
    <row r="525" spans="1:40" x14ac:dyDescent="0.25">
      <c r="A525" t="str">
        <f>"20190303162508231"</f>
        <v>20190303162508231</v>
      </c>
      <c r="B525" t="str">
        <f>"1551601508222807"</f>
        <v>1551601508222807</v>
      </c>
      <c r="C525" t="s">
        <v>40</v>
      </c>
      <c r="D525">
        <v>4.300135</v>
      </c>
      <c r="E525">
        <v>0.51957940000000002</v>
      </c>
      <c r="F525" t="s">
        <v>44</v>
      </c>
      <c r="G525">
        <v>-293.2491</v>
      </c>
      <c r="H525">
        <v>-0.05</v>
      </c>
      <c r="I525">
        <v>363.00259999999997</v>
      </c>
      <c r="J525">
        <v>-344.15660000000003</v>
      </c>
      <c r="K525">
        <v>1.119594</v>
      </c>
      <c r="L525">
        <v>367.27</v>
      </c>
      <c r="M525">
        <v>0.99999459999999996</v>
      </c>
      <c r="N525">
        <v>-2.8224159999999999E-3</v>
      </c>
      <c r="O525">
        <v>1.7389560000000001E-3</v>
      </c>
      <c r="P525">
        <v>0.98162159999999998</v>
      </c>
      <c r="Q525">
        <v>0.18813650000000001</v>
      </c>
      <c r="R525">
        <v>-3.2003480000000001E-2</v>
      </c>
      <c r="S525">
        <v>3.0611269999999999</v>
      </c>
      <c r="T525">
        <v>-6.9855089999999995E-2</v>
      </c>
      <c r="U525">
        <v>-0.25485229999999998</v>
      </c>
      <c r="V525">
        <v>3.3665769999999998E-2</v>
      </c>
      <c r="W525">
        <v>0.190914</v>
      </c>
      <c r="X525">
        <v>0.98102929999999999</v>
      </c>
      <c r="Y525">
        <v>8.4675260000000002E-2</v>
      </c>
      <c r="Z525">
        <v>-1.1187839999999901E-3</v>
      </c>
      <c r="AA525">
        <v>0.99640799999999996</v>
      </c>
      <c r="AB525">
        <v>34</v>
      </c>
      <c r="AC525">
        <v>50.907499999999999</v>
      </c>
      <c r="AD525">
        <v>-1.169594</v>
      </c>
      <c r="AE525">
        <v>-4.2674000000000003</v>
      </c>
      <c r="AF525">
        <v>4.3536377823307104</v>
      </c>
      <c r="AG525">
        <v>-1.169594</v>
      </c>
      <c r="AH525">
        <v>50.873336301064903</v>
      </c>
      <c r="AI525">
        <v>91.312221348416301</v>
      </c>
      <c r="AJ525">
        <v>85.108659942918393</v>
      </c>
      <c r="AK525">
        <v>51.072678199462203</v>
      </c>
      <c r="AL525">
        <v>78.993871158870903</v>
      </c>
      <c r="AM525">
        <v>88.0345644286555</v>
      </c>
      <c r="AN525">
        <v>1.0000000134620901</v>
      </c>
    </row>
    <row r="526" spans="1:40" x14ac:dyDescent="0.25">
      <c r="A526" t="str">
        <f>"20190303162508253"</f>
        <v>20190303162508253</v>
      </c>
      <c r="B526" t="str">
        <f>"1551601508243303"</f>
        <v>1551601508243303</v>
      </c>
      <c r="C526" t="s">
        <v>40</v>
      </c>
      <c r="D526">
        <v>4.3867430000000001</v>
      </c>
      <c r="E526">
        <v>0.51966780000000001</v>
      </c>
      <c r="F526" t="s">
        <v>44</v>
      </c>
      <c r="G526">
        <v>-292.91590000000002</v>
      </c>
      <c r="H526">
        <v>-0.05</v>
      </c>
      <c r="I526">
        <v>362.99340000000001</v>
      </c>
      <c r="J526">
        <v>-343.81819999999999</v>
      </c>
      <c r="K526">
        <v>1.1197250000000001</v>
      </c>
      <c r="L526">
        <v>367.27069999999998</v>
      </c>
      <c r="M526">
        <v>0.9999943</v>
      </c>
      <c r="N526">
        <v>-2.8122619999999998E-3</v>
      </c>
      <c r="O526">
        <v>1.8514650000000001E-3</v>
      </c>
      <c r="P526">
        <v>0.98170389999999996</v>
      </c>
      <c r="Q526">
        <v>0.18776019999999999</v>
      </c>
      <c r="R526">
        <v>-3.1678989999999997E-2</v>
      </c>
      <c r="S526">
        <v>3.0612180000000002</v>
      </c>
      <c r="T526">
        <v>-6.9873809999999995E-2</v>
      </c>
      <c r="U526">
        <v>-0.25549319999999998</v>
      </c>
      <c r="V526">
        <v>3.3448609999999997E-2</v>
      </c>
      <c r="W526">
        <v>0.1905288</v>
      </c>
      <c r="X526">
        <v>0.98111159999999997</v>
      </c>
      <c r="Y526">
        <v>8.4991929999999993E-2</v>
      </c>
      <c r="Z526">
        <v>-1.124903E-3</v>
      </c>
      <c r="AA526">
        <v>0.99638099999999996</v>
      </c>
      <c r="AB526">
        <v>35</v>
      </c>
      <c r="AC526">
        <v>50.902299999999897</v>
      </c>
      <c r="AD526">
        <v>-1.1697249999999999</v>
      </c>
      <c r="AE526">
        <v>-4.2772999999999604</v>
      </c>
      <c r="AF526">
        <v>4.3692457745309001</v>
      </c>
      <c r="AG526">
        <v>-1.1697249999999999</v>
      </c>
      <c r="AH526">
        <v>50.867620051466702</v>
      </c>
      <c r="AI526">
        <v>91.312480360039302</v>
      </c>
      <c r="AJ526">
        <v>85.090660865417306</v>
      </c>
      <c r="AK526">
        <v>51.068320267209302</v>
      </c>
      <c r="AL526">
        <v>79.016354063772496</v>
      </c>
      <c r="AM526">
        <v>88.047396242194395</v>
      </c>
      <c r="AN526">
        <v>1.00000000239746</v>
      </c>
    </row>
    <row r="527" spans="1:40" x14ac:dyDescent="0.25">
      <c r="A527" t="str">
        <f>"20190303162508275"</f>
        <v>20190303162508275</v>
      </c>
      <c r="B527" t="str">
        <f>"1551601508262823"</f>
        <v>1551601508262823</v>
      </c>
      <c r="C527" t="s">
        <v>40</v>
      </c>
      <c r="D527">
        <v>4.3854759999999997</v>
      </c>
      <c r="E527">
        <v>0.51972839999999998</v>
      </c>
      <c r="F527" t="s">
        <v>44</v>
      </c>
      <c r="G527">
        <v>-293.54430000000002</v>
      </c>
      <c r="H527">
        <v>-0.05</v>
      </c>
      <c r="I527">
        <v>363.07749999999999</v>
      </c>
      <c r="J527">
        <v>-343.47559999999999</v>
      </c>
      <c r="K527">
        <v>1.1198629999999901</v>
      </c>
      <c r="L527">
        <v>367.2715</v>
      </c>
      <c r="M527">
        <v>0.99999369999999999</v>
      </c>
      <c r="N527">
        <v>-2.9962460000000002E-3</v>
      </c>
      <c r="O527">
        <v>1.972171E-3</v>
      </c>
      <c r="P527">
        <v>0.98171679999999995</v>
      </c>
      <c r="Q527">
        <v>0.18778069999999999</v>
      </c>
      <c r="R527">
        <v>-3.115776E-2</v>
      </c>
      <c r="S527">
        <v>3.06134</v>
      </c>
      <c r="T527">
        <v>-7.1228269999999996E-2</v>
      </c>
      <c r="U527">
        <v>-0.25534059999999997</v>
      </c>
      <c r="V527">
        <v>3.3044110000000002E-2</v>
      </c>
      <c r="W527">
        <v>0.1907296</v>
      </c>
      <c r="X527">
        <v>0.98108629999999997</v>
      </c>
      <c r="Y527">
        <v>8.5058449999999994E-2</v>
      </c>
      <c r="Z527">
        <v>-1.155253E-3</v>
      </c>
      <c r="AA527">
        <v>0.99637529999999996</v>
      </c>
      <c r="AB527">
        <v>35</v>
      </c>
      <c r="AC527">
        <v>49.931299999999901</v>
      </c>
      <c r="AD527">
        <v>-1.1698630000000001</v>
      </c>
      <c r="AE527">
        <v>-4.1940000000000097</v>
      </c>
      <c r="AF527">
        <v>4.2901268143660101</v>
      </c>
      <c r="AG527">
        <v>-1.1698630000000001</v>
      </c>
      <c r="AH527">
        <v>49.895733736611</v>
      </c>
      <c r="AI527">
        <v>91.338183926167105</v>
      </c>
      <c r="AJ527">
        <v>85.085690172523698</v>
      </c>
      <c r="AK527">
        <v>50.093492717486697</v>
      </c>
      <c r="AL527">
        <v>79.004634246245303</v>
      </c>
      <c r="AM527">
        <v>88.070941771357298</v>
      </c>
      <c r="AN527">
        <v>1.00000001078477</v>
      </c>
    </row>
    <row r="528" spans="1:40" x14ac:dyDescent="0.25">
      <c r="A528" t="str">
        <f>"20190303162508298"</f>
        <v>20190303162508298</v>
      </c>
      <c r="B528" t="str">
        <f>"1551601508293429"</f>
        <v>1551601508293429</v>
      </c>
      <c r="C528" t="s">
        <v>40</v>
      </c>
      <c r="D528">
        <v>4.4795259999999999</v>
      </c>
      <c r="E528">
        <v>0.51984470000000005</v>
      </c>
      <c r="F528" t="s">
        <v>44</v>
      </c>
      <c r="G528">
        <v>-292.70080000000002</v>
      </c>
      <c r="H528">
        <v>-0.05</v>
      </c>
      <c r="I528">
        <v>363.05399999999997</v>
      </c>
      <c r="J528">
        <v>-343.11880000000002</v>
      </c>
      <c r="K528">
        <v>1.119993</v>
      </c>
      <c r="L528">
        <v>367.27229999999997</v>
      </c>
      <c r="M528">
        <v>0.99999249999999995</v>
      </c>
      <c r="N528">
        <v>-3.281062E-3</v>
      </c>
      <c r="O528">
        <v>2.1061729999999998E-3</v>
      </c>
      <c r="P528">
        <v>0.98190390000000005</v>
      </c>
      <c r="Q528">
        <v>0.18682770000000001</v>
      </c>
      <c r="R528">
        <v>-3.0987560000000001E-2</v>
      </c>
      <c r="S528">
        <v>3.0612490000000001</v>
      </c>
      <c r="T528">
        <v>-7.0531849999999993E-2</v>
      </c>
      <c r="U528">
        <v>-0.25427250000000001</v>
      </c>
      <c r="V528">
        <v>3.3005489999999998E-2</v>
      </c>
      <c r="W528">
        <v>0.1900569</v>
      </c>
      <c r="X528">
        <v>0.98121809999999998</v>
      </c>
      <c r="Y528">
        <v>8.4849430000000003E-2</v>
      </c>
      <c r="Z528">
        <v>-1.1566650000000001E-3</v>
      </c>
      <c r="AA528">
        <v>0.99639310000000003</v>
      </c>
      <c r="AB528">
        <v>35</v>
      </c>
      <c r="AC528">
        <v>50.417999999999999</v>
      </c>
      <c r="AD528">
        <v>-1.1699930000000001</v>
      </c>
      <c r="AE528">
        <v>-4.2182999999999398</v>
      </c>
      <c r="AF528">
        <v>4.3221688753696004</v>
      </c>
      <c r="AG528">
        <v>-1.1699930000000001</v>
      </c>
      <c r="AH528">
        <v>50.382060918597098</v>
      </c>
      <c r="AI528">
        <v>91.325440483612994</v>
      </c>
      <c r="AJ528">
        <v>85.096723175081294</v>
      </c>
      <c r="AK528">
        <v>50.580649361316901</v>
      </c>
      <c r="AL528">
        <v>79.043894872707895</v>
      </c>
      <c r="AM528">
        <v>88.073453258929305</v>
      </c>
      <c r="AN528">
        <v>0.99999997368767901</v>
      </c>
    </row>
    <row r="529" spans="1:40" x14ac:dyDescent="0.25">
      <c r="A529" t="str">
        <f>"20190303162508321"</f>
        <v>20190303162508321</v>
      </c>
      <c r="B529" t="str">
        <f>"1551601508312949"</f>
        <v>1551601508312949</v>
      </c>
      <c r="C529" t="s">
        <v>40</v>
      </c>
      <c r="D529">
        <v>4.4762559999999896</v>
      </c>
      <c r="E529">
        <v>0.51992369999999999</v>
      </c>
      <c r="F529" t="s">
        <v>44</v>
      </c>
      <c r="G529">
        <v>-294.88240000000002</v>
      </c>
      <c r="H529">
        <v>-0.05</v>
      </c>
      <c r="I529">
        <v>363.25959999999998</v>
      </c>
      <c r="J529">
        <v>-342.74549999999999</v>
      </c>
      <c r="K529">
        <v>1.1200909999999999</v>
      </c>
      <c r="L529">
        <v>367.27330000000001</v>
      </c>
      <c r="M529">
        <v>0.99999090000000002</v>
      </c>
      <c r="N529">
        <v>-3.6207069999999999E-3</v>
      </c>
      <c r="O529">
        <v>2.2527960000000001E-3</v>
      </c>
      <c r="P529">
        <v>0.98198229999999997</v>
      </c>
      <c r="Q529">
        <v>0.18644920000000001</v>
      </c>
      <c r="R529">
        <v>-3.0779129999999998E-2</v>
      </c>
      <c r="S529">
        <v>3.0613709999999998</v>
      </c>
      <c r="T529">
        <v>-7.4254630000000002E-2</v>
      </c>
      <c r="U529">
        <v>-0.25466919999999998</v>
      </c>
      <c r="V529">
        <v>3.2941100000000001E-2</v>
      </c>
      <c r="W529">
        <v>0.19001199999999999</v>
      </c>
      <c r="X529">
        <v>0.98122900000000002</v>
      </c>
      <c r="Y529">
        <v>8.5117380000000006E-2</v>
      </c>
      <c r="Z529">
        <v>-1.23113E-3</v>
      </c>
      <c r="AA529">
        <v>0.99637019999999998</v>
      </c>
      <c r="AB529">
        <v>35</v>
      </c>
      <c r="AC529">
        <v>47.863099999999903</v>
      </c>
      <c r="AD529">
        <v>-1.170091</v>
      </c>
      <c r="AE529">
        <v>-4.0137000000000196</v>
      </c>
      <c r="AF529">
        <v>4.1190718023917903</v>
      </c>
      <c r="AG529">
        <v>-1.170091</v>
      </c>
      <c r="AH529">
        <v>47.825553697997698</v>
      </c>
      <c r="AI529">
        <v>91.396340866732203</v>
      </c>
      <c r="AJ529">
        <v>85.077433646358998</v>
      </c>
      <c r="AK529">
        <v>48.016866328214299</v>
      </c>
      <c r="AL529">
        <v>79.046515641997402</v>
      </c>
      <c r="AM529">
        <v>88.0772302543309</v>
      </c>
      <c r="AN529">
        <v>1.0000000133271001</v>
      </c>
    </row>
    <row r="530" spans="1:40" x14ac:dyDescent="0.25">
      <c r="A530" t="str">
        <f>"20190303162508342"</f>
        <v>20190303162508342</v>
      </c>
      <c r="B530" t="str">
        <f>"1551601508333445"</f>
        <v>1551601508333445</v>
      </c>
      <c r="C530" t="s">
        <v>40</v>
      </c>
      <c r="D530">
        <v>4.4853189999999996</v>
      </c>
      <c r="E530">
        <v>0.52001309999999901</v>
      </c>
      <c r="F530" t="s">
        <v>44</v>
      </c>
      <c r="G530">
        <v>-295.67160000000001</v>
      </c>
      <c r="H530">
        <v>-0.05</v>
      </c>
      <c r="I530">
        <v>363.35739999999998</v>
      </c>
      <c r="J530">
        <v>-342.42270000000002</v>
      </c>
      <c r="K530">
        <v>1.1201570000000001</v>
      </c>
      <c r="L530">
        <v>367.27409999999998</v>
      </c>
      <c r="M530">
        <v>0.99998960000000003</v>
      </c>
      <c r="N530">
        <v>-3.9222800000000002E-3</v>
      </c>
      <c r="O530">
        <v>2.381429E-3</v>
      </c>
      <c r="P530">
        <v>0.98203839999999998</v>
      </c>
      <c r="Q530">
        <v>0.1862036</v>
      </c>
      <c r="R530">
        <v>-3.0478979999999999E-2</v>
      </c>
      <c r="S530">
        <v>3.061493</v>
      </c>
      <c r="T530">
        <v>-7.6097970000000001E-2</v>
      </c>
      <c r="U530">
        <v>-0.25466919999999998</v>
      </c>
      <c r="V530">
        <v>3.2767159999999997E-2</v>
      </c>
      <c r="W530">
        <v>0.1900625</v>
      </c>
      <c r="X530">
        <v>0.98122500000000001</v>
      </c>
      <c r="Y530">
        <v>8.5240510000000005E-2</v>
      </c>
      <c r="Z530">
        <v>-1.2746490000000001E-3</v>
      </c>
      <c r="AA530">
        <v>0.99635960000000001</v>
      </c>
      <c r="AB530">
        <v>35</v>
      </c>
      <c r="AC530">
        <v>46.751100000000001</v>
      </c>
      <c r="AD530">
        <v>-1.1701569999999999</v>
      </c>
      <c r="AE530">
        <v>-3.9166999999999899</v>
      </c>
      <c r="AF530">
        <v>4.0255198456419201</v>
      </c>
      <c r="AG530">
        <v>-1.1701569999999999</v>
      </c>
      <c r="AH530">
        <v>46.712579661683201</v>
      </c>
      <c r="AI530">
        <v>91.429671015130296</v>
      </c>
      <c r="AJ530">
        <v>85.074627052951897</v>
      </c>
      <c r="AK530">
        <v>46.900311044612501</v>
      </c>
      <c r="AL530">
        <v>79.043568025692807</v>
      </c>
      <c r="AM530">
        <v>88.087367768353005</v>
      </c>
      <c r="AN530">
        <v>0.99999997065285695</v>
      </c>
    </row>
    <row r="531" spans="1:40" x14ac:dyDescent="0.25">
      <c r="A531" t="str">
        <f>"20190303162508365"</f>
        <v>20190303162508365</v>
      </c>
      <c r="B531" t="str">
        <f>"1551601508352965"</f>
        <v>1551601508352965</v>
      </c>
      <c r="C531" t="s">
        <v>40</v>
      </c>
      <c r="D531">
        <v>4.5202929999999997</v>
      </c>
      <c r="E531">
        <v>0.52006920000000001</v>
      </c>
      <c r="F531" t="s">
        <v>44</v>
      </c>
      <c r="G531">
        <v>-296.4221</v>
      </c>
      <c r="H531">
        <v>-0.05</v>
      </c>
      <c r="I531">
        <v>363.45429999999999</v>
      </c>
      <c r="J531">
        <v>-342.05829999999997</v>
      </c>
      <c r="K531">
        <v>1.120215</v>
      </c>
      <c r="L531">
        <v>367.27510000000001</v>
      </c>
      <c r="M531">
        <v>0.99998779999999998</v>
      </c>
      <c r="N531">
        <v>-4.257449E-3</v>
      </c>
      <c r="O531">
        <v>2.5272990000000002E-3</v>
      </c>
      <c r="P531">
        <v>0.98212449999999996</v>
      </c>
      <c r="Q531">
        <v>0.1857955</v>
      </c>
      <c r="R531">
        <v>-3.0194370000000002E-2</v>
      </c>
      <c r="S531">
        <v>3.0617070000000002</v>
      </c>
      <c r="T531">
        <v>-7.7883240000000006E-2</v>
      </c>
      <c r="U531">
        <v>-0.25424190000000002</v>
      </c>
      <c r="V531">
        <v>3.262553E-2</v>
      </c>
      <c r="W531">
        <v>0.18998390000000001</v>
      </c>
      <c r="X531">
        <v>0.98124500000000003</v>
      </c>
      <c r="Y531">
        <v>8.5240289999999996E-2</v>
      </c>
      <c r="Z531">
        <v>-1.3173579999999901E-3</v>
      </c>
      <c r="AA531">
        <v>0.99635949999999995</v>
      </c>
      <c r="AB531">
        <v>35</v>
      </c>
      <c r="AC531">
        <v>45.636199999999903</v>
      </c>
      <c r="AD531">
        <v>-1.170215</v>
      </c>
      <c r="AE531">
        <v>-3.8208000000000202</v>
      </c>
      <c r="AF531">
        <v>3.9335567498327801</v>
      </c>
      <c r="AG531">
        <v>-1.170215</v>
      </c>
      <c r="AH531">
        <v>45.596625622936898</v>
      </c>
      <c r="AI531">
        <v>91.464707428141907</v>
      </c>
      <c r="AJ531">
        <v>85.069381186688204</v>
      </c>
      <c r="AK531">
        <v>45.780940794708997</v>
      </c>
      <c r="AL531">
        <v>79.048155695636197</v>
      </c>
      <c r="AM531">
        <v>88.095667454502703</v>
      </c>
      <c r="AN531">
        <v>1.00000002874599</v>
      </c>
    </row>
    <row r="532" spans="1:40" x14ac:dyDescent="0.25">
      <c r="A532" t="str">
        <f>"20190303162508387"</f>
        <v>20190303162508387</v>
      </c>
      <c r="B532" t="str">
        <f>"1551601508383221"</f>
        <v>1551601508383221</v>
      </c>
      <c r="C532" t="s">
        <v>40</v>
      </c>
      <c r="D532">
        <v>4.5861749999999999</v>
      </c>
      <c r="E532">
        <v>0.52014380000000005</v>
      </c>
      <c r="F532" t="s">
        <v>44</v>
      </c>
      <c r="G532">
        <v>-297.53840000000002</v>
      </c>
      <c r="H532">
        <v>-0.05</v>
      </c>
      <c r="I532">
        <v>363.58030000000002</v>
      </c>
      <c r="J532">
        <v>-341.70760000000001</v>
      </c>
      <c r="K532">
        <v>1.1202559999999999</v>
      </c>
      <c r="L532">
        <v>367.27609999999999</v>
      </c>
      <c r="M532">
        <v>0.99998620000000005</v>
      </c>
      <c r="N532">
        <v>-4.564355E-3</v>
      </c>
      <c r="O532">
        <v>2.6672750000000002E-3</v>
      </c>
      <c r="P532">
        <v>0.98219409999999896</v>
      </c>
      <c r="Q532">
        <v>0.1854683</v>
      </c>
      <c r="R532">
        <v>-2.994173E-2</v>
      </c>
      <c r="S532">
        <v>3.0620120000000002</v>
      </c>
      <c r="T532">
        <v>-8.0485699999999993E-2</v>
      </c>
      <c r="U532">
        <v>-0.25411990000000001</v>
      </c>
      <c r="V532">
        <v>3.2509959999999997E-2</v>
      </c>
      <c r="W532">
        <v>0.1899576</v>
      </c>
      <c r="X532">
        <v>0.98125390000000001</v>
      </c>
      <c r="Y532">
        <v>8.5329669999999996E-2</v>
      </c>
      <c r="Z532">
        <v>-1.37227799999999E-3</v>
      </c>
      <c r="AA532">
        <v>0.99635180000000001</v>
      </c>
      <c r="AB532">
        <v>35</v>
      </c>
      <c r="AC532">
        <v>44.169199999999897</v>
      </c>
      <c r="AD532">
        <v>-1.170256</v>
      </c>
      <c r="AE532">
        <v>-3.6957999999999598</v>
      </c>
      <c r="AF532">
        <v>3.8109428692879401</v>
      </c>
      <c r="AG532">
        <v>-1.170256</v>
      </c>
      <c r="AH532">
        <v>44.128423310535098</v>
      </c>
      <c r="AI532">
        <v>91.513458710352893</v>
      </c>
      <c r="AJ532">
        <v>85.064166931225998</v>
      </c>
      <c r="AK532">
        <v>44.308131629897098</v>
      </c>
      <c r="AL532">
        <v>79.049690225281196</v>
      </c>
      <c r="AM532">
        <v>88.102425463915793</v>
      </c>
      <c r="AN532">
        <v>1.00000000178108</v>
      </c>
    </row>
    <row r="533" spans="1:40" x14ac:dyDescent="0.25">
      <c r="A533" t="str">
        <f>"20190303162508411"</f>
        <v>20190303162508411</v>
      </c>
      <c r="B533" t="str">
        <f>"1551601508403249"</f>
        <v>1551601508403249</v>
      </c>
      <c r="C533" t="s">
        <v>40</v>
      </c>
      <c r="D533">
        <v>4.6499199999999998</v>
      </c>
      <c r="E533">
        <v>0.52013220000000004</v>
      </c>
      <c r="F533" t="s">
        <v>44</v>
      </c>
      <c r="G533">
        <v>-298.26850000000002</v>
      </c>
      <c r="H533">
        <v>-0.05</v>
      </c>
      <c r="I533">
        <v>363.67469999999997</v>
      </c>
      <c r="J533">
        <v>-341.3329</v>
      </c>
      <c r="K533">
        <v>1.120279</v>
      </c>
      <c r="L533">
        <v>367.27730000000003</v>
      </c>
      <c r="M533">
        <v>0.99998410000000004</v>
      </c>
      <c r="N533">
        <v>-4.8689199999999997E-3</v>
      </c>
      <c r="O533">
        <v>2.8159159999999999E-3</v>
      </c>
      <c r="P533">
        <v>0.98222100000000001</v>
      </c>
      <c r="Q533">
        <v>0.18543190000000001</v>
      </c>
      <c r="R533">
        <v>-2.927246E-2</v>
      </c>
      <c r="S533">
        <v>3.0622560000000001</v>
      </c>
      <c r="T533">
        <v>-8.2497719999999997E-2</v>
      </c>
      <c r="U533">
        <v>-0.25387569999999998</v>
      </c>
      <c r="V533">
        <v>3.1985680000000002E-2</v>
      </c>
      <c r="W533">
        <v>0.19022030000000001</v>
      </c>
      <c r="X533">
        <v>0.98122019999999999</v>
      </c>
      <c r="Y533">
        <v>8.5390309999999997E-2</v>
      </c>
      <c r="Z533">
        <v>-1.4183539999999999E-3</v>
      </c>
      <c r="AA533">
        <v>0.99634659999999997</v>
      </c>
      <c r="AB533">
        <v>35</v>
      </c>
      <c r="AC533">
        <v>43.0643999999999</v>
      </c>
      <c r="AD533">
        <v>-1.1702790000000001</v>
      </c>
      <c r="AE533">
        <v>-3.60260000000005</v>
      </c>
      <c r="AF533">
        <v>3.7211239981175899</v>
      </c>
      <c r="AG533">
        <v>-1.1702790000000001</v>
      </c>
      <c r="AH533">
        <v>43.022533800207903</v>
      </c>
      <c r="AI533">
        <v>91.552356106118793</v>
      </c>
      <c r="AJ533">
        <v>85.056650604083799</v>
      </c>
      <c r="AK533">
        <v>43.199013082907797</v>
      </c>
      <c r="AL533">
        <v>79.034358665247098</v>
      </c>
      <c r="AM533">
        <v>88.132941263153</v>
      </c>
      <c r="AN533">
        <v>0.99999996357259502</v>
      </c>
    </row>
    <row r="534" spans="1:40" x14ac:dyDescent="0.25">
      <c r="A534" t="str">
        <f>"20190303162508432"</f>
        <v>20190303162508432</v>
      </c>
      <c r="B534" t="str">
        <f>"1551601508422769"</f>
        <v>1551601508422769</v>
      </c>
      <c r="C534" t="s">
        <v>40</v>
      </c>
      <c r="D534">
        <v>4.6516279999999997</v>
      </c>
      <c r="E534">
        <v>0.52010469999999998</v>
      </c>
      <c r="F534" t="s">
        <v>44</v>
      </c>
      <c r="G534">
        <v>-298.0496</v>
      </c>
      <c r="H534">
        <v>-0.05</v>
      </c>
      <c r="I534">
        <v>363.71190000000001</v>
      </c>
      <c r="J534">
        <v>-340.99369999999999</v>
      </c>
      <c r="K534">
        <v>1.120295</v>
      </c>
      <c r="L534">
        <v>367.2783</v>
      </c>
      <c r="M534">
        <v>0.9999827</v>
      </c>
      <c r="N534">
        <v>-5.1213350000000003E-3</v>
      </c>
      <c r="O534">
        <v>2.9496790000000002E-3</v>
      </c>
      <c r="P534">
        <v>0.98222319999999996</v>
      </c>
      <c r="Q534">
        <v>0.18551309999999999</v>
      </c>
      <c r="R534">
        <v>-2.868807E-2</v>
      </c>
      <c r="S534">
        <v>3.0623779999999998</v>
      </c>
      <c r="T534">
        <v>-8.279955E-2</v>
      </c>
      <c r="U534">
        <v>-0.25225829999999999</v>
      </c>
      <c r="V534">
        <v>3.1531669999999998E-2</v>
      </c>
      <c r="W534">
        <v>0.19054940000000001</v>
      </c>
      <c r="X534">
        <v>0.98117109999999996</v>
      </c>
      <c r="Y534">
        <v>8.4997260000000005E-2</v>
      </c>
      <c r="Z534">
        <v>-1.4295060000000001E-3</v>
      </c>
      <c r="AA534">
        <v>0.99638020000000005</v>
      </c>
      <c r="AB534">
        <v>35</v>
      </c>
      <c r="AC534">
        <v>42.944099999999899</v>
      </c>
      <c r="AD534">
        <v>-1.1702950000000001</v>
      </c>
      <c r="AE534">
        <v>-3.5663999999999798</v>
      </c>
      <c r="AF534">
        <v>3.6903355826792299</v>
      </c>
      <c r="AG534">
        <v>-1.1702950000000001</v>
      </c>
      <c r="AH534">
        <v>42.901750591091897</v>
      </c>
      <c r="AI534">
        <v>91.556808815740496</v>
      </c>
      <c r="AJ534">
        <v>85.083616392621707</v>
      </c>
      <c r="AK534">
        <v>43.0760765492874</v>
      </c>
      <c r="AL534">
        <v>79.015151981372199</v>
      </c>
      <c r="AM534">
        <v>88.159332199105094</v>
      </c>
      <c r="AN534">
        <v>1.0000000237642701</v>
      </c>
    </row>
    <row r="535" spans="1:40" x14ac:dyDescent="0.25">
      <c r="A535" t="str">
        <f>"20190303162508454"</f>
        <v>20190303162508454</v>
      </c>
      <c r="B535" t="str">
        <f>"1551601508443265"</f>
        <v>1551601508443265</v>
      </c>
      <c r="C535" t="s">
        <v>40</v>
      </c>
      <c r="D535">
        <v>4.7352109999999996</v>
      </c>
      <c r="E535">
        <v>0.52052039999999999</v>
      </c>
      <c r="F535" t="s">
        <v>44</v>
      </c>
      <c r="G535">
        <v>-299.7688</v>
      </c>
      <c r="H535">
        <v>-0.05</v>
      </c>
      <c r="I535">
        <v>363.91149999999999</v>
      </c>
      <c r="J535">
        <v>-340.64429999999999</v>
      </c>
      <c r="K535">
        <v>1.1203099999999999</v>
      </c>
      <c r="L535">
        <v>367.27949999999998</v>
      </c>
      <c r="M535">
        <v>0.99998100000000001</v>
      </c>
      <c r="N535">
        <v>-5.3575009999999998E-3</v>
      </c>
      <c r="O535">
        <v>3.087443E-3</v>
      </c>
      <c r="P535">
        <v>0.98224769999999995</v>
      </c>
      <c r="Q535">
        <v>0.1855038</v>
      </c>
      <c r="R535">
        <v>-2.7899219999999999E-2</v>
      </c>
      <c r="S535">
        <v>3.0634160000000001</v>
      </c>
      <c r="T535">
        <v>-8.6964490000000005E-2</v>
      </c>
      <c r="U535">
        <v>-0.25018309999999999</v>
      </c>
      <c r="V535">
        <v>3.0877419999999999E-2</v>
      </c>
      <c r="W535">
        <v>0.19077169999999999</v>
      </c>
      <c r="X535">
        <v>0.98114869999999998</v>
      </c>
      <c r="Y535">
        <v>8.4432880000000002E-2</v>
      </c>
      <c r="Z535">
        <v>-1.4937939999999999E-3</v>
      </c>
      <c r="AA535">
        <v>0.99642810000000004</v>
      </c>
      <c r="AB535">
        <v>36</v>
      </c>
      <c r="AC535">
        <v>40.875499999999903</v>
      </c>
      <c r="AD535">
        <v>-1.17031</v>
      </c>
      <c r="AE535">
        <v>-3.3679999999999901</v>
      </c>
      <c r="AF535">
        <v>3.4913438281515701</v>
      </c>
      <c r="AG535">
        <v>-1.17031</v>
      </c>
      <c r="AH535">
        <v>40.831660918910899</v>
      </c>
      <c r="AI535">
        <v>91.635786585347105</v>
      </c>
      <c r="AJ535">
        <v>85.112765991878803</v>
      </c>
      <c r="AK535">
        <v>40.997361386062202</v>
      </c>
      <c r="AL535">
        <v>79.002177011170801</v>
      </c>
      <c r="AM535">
        <v>88.197457593575194</v>
      </c>
      <c r="AN535">
        <v>1.00000001404921</v>
      </c>
    </row>
    <row r="536" spans="1:40" x14ac:dyDescent="0.25">
      <c r="A536" t="str">
        <f>"20190303162508478"</f>
        <v>20190303162508478</v>
      </c>
      <c r="B536" t="str">
        <f>"1551601508474497"</f>
        <v>1551601508474497</v>
      </c>
      <c r="C536" t="s">
        <v>40</v>
      </c>
      <c r="D536">
        <v>4.748291</v>
      </c>
      <c r="E536">
        <v>0.51889470000000004</v>
      </c>
      <c r="F536" t="s">
        <v>42</v>
      </c>
      <c r="G536">
        <v>-339.88639999999998</v>
      </c>
      <c r="H536">
        <v>0.9742014</v>
      </c>
      <c r="I536">
        <v>367.2183</v>
      </c>
      <c r="J536">
        <v>-340.26260000000002</v>
      </c>
      <c r="K536">
        <v>1.1203110000000001</v>
      </c>
      <c r="L536">
        <v>367.2808</v>
      </c>
      <c r="M536">
        <v>0.99997930000000002</v>
      </c>
      <c r="N536">
        <v>-5.5889679999999997E-3</v>
      </c>
      <c r="O536">
        <v>3.2380070000000002E-3</v>
      </c>
      <c r="P536">
        <v>0.98235510000000004</v>
      </c>
      <c r="Q536">
        <v>0.18498700000000001</v>
      </c>
      <c r="R536">
        <v>-2.7545159999999999E-2</v>
      </c>
      <c r="S536">
        <v>3.16214</v>
      </c>
      <c r="T536">
        <v>-0.60970089999999999</v>
      </c>
      <c r="U536">
        <v>-0.25460820000000001</v>
      </c>
      <c r="V536">
        <v>3.067081E-2</v>
      </c>
      <c r="W536">
        <v>0.19048290000000001</v>
      </c>
      <c r="X536">
        <v>0.98121119999999995</v>
      </c>
      <c r="Y536">
        <v>8.1886089999999995E-2</v>
      </c>
      <c r="Z536">
        <v>-8.6411140000000001E-3</v>
      </c>
      <c r="AA536">
        <v>0.9966043</v>
      </c>
      <c r="AB536">
        <v>36</v>
      </c>
      <c r="AC536">
        <v>0.376200000000039</v>
      </c>
      <c r="AD536">
        <v>-0.14610959999999901</v>
      </c>
      <c r="AE536">
        <v>-6.25E-2</v>
      </c>
      <c r="AF536">
        <v>5.5561914788828298E-2</v>
      </c>
      <c r="AG536">
        <v>-0.14610959999999901</v>
      </c>
      <c r="AH536">
        <v>0.327868014598035</v>
      </c>
      <c r="AI536">
        <v>113.71929943099499</v>
      </c>
      <c r="AJ536">
        <v>80.381790042920699</v>
      </c>
      <c r="AK536">
        <v>0.36322524221702701</v>
      </c>
      <c r="AL536">
        <v>79.019032156972798</v>
      </c>
      <c r="AM536">
        <v>88.209625037760702</v>
      </c>
      <c r="AN536">
        <v>0.99999992639195001</v>
      </c>
    </row>
    <row r="537" spans="1:40" x14ac:dyDescent="0.25">
      <c r="A537" t="str">
        <f>"20190303162508500"</f>
        <v>20190303162508500</v>
      </c>
      <c r="B537" t="str">
        <f>"1551601508493361"</f>
        <v>1551601508493361</v>
      </c>
      <c r="C537" t="s">
        <v>40</v>
      </c>
      <c r="D537">
        <v>4.7636729999999998</v>
      </c>
      <c r="E537">
        <v>0.5184877</v>
      </c>
      <c r="F537" t="s">
        <v>42</v>
      </c>
      <c r="G537">
        <v>-339.58190000000002</v>
      </c>
      <c r="H537">
        <v>0.94186999999999999</v>
      </c>
      <c r="I537">
        <v>367.22919999999999</v>
      </c>
      <c r="J537">
        <v>-339.91669999999999</v>
      </c>
      <c r="K537">
        <v>1.1203050000000001</v>
      </c>
      <c r="L537">
        <v>367.28199999999998</v>
      </c>
      <c r="M537">
        <v>0.99997760000000002</v>
      </c>
      <c r="N537">
        <v>-5.7735989999999999E-3</v>
      </c>
      <c r="O537">
        <v>3.374546E-3</v>
      </c>
      <c r="P537">
        <v>0.98246339999999999</v>
      </c>
      <c r="Q537">
        <v>0.1844586</v>
      </c>
      <c r="R537">
        <v>-2.7221490000000001E-2</v>
      </c>
      <c r="S537">
        <v>3.2053530000000001</v>
      </c>
      <c r="T537">
        <v>-0.84044619999999903</v>
      </c>
      <c r="U537">
        <v>-0.24249270000000001</v>
      </c>
      <c r="V537">
        <v>3.0481129999999999E-2</v>
      </c>
      <c r="W537">
        <v>0.190136</v>
      </c>
      <c r="X537">
        <v>0.98128439999999995</v>
      </c>
      <c r="Y537">
        <v>7.607701E-2</v>
      </c>
      <c r="Z537">
        <v>-1.08681E-2</v>
      </c>
      <c r="AA537">
        <v>0.99704269999999995</v>
      </c>
      <c r="AB537">
        <v>36</v>
      </c>
      <c r="AC537">
        <v>0.33479999999997201</v>
      </c>
      <c r="AD537">
        <v>-0.17843499999999901</v>
      </c>
      <c r="AE537">
        <v>-5.2799999999990598E-2</v>
      </c>
      <c r="AF537">
        <v>4.2226348589630397E-2</v>
      </c>
      <c r="AG537">
        <v>-0.17843499999999901</v>
      </c>
      <c r="AH537">
        <v>0.26200452271564001</v>
      </c>
      <c r="AI537">
        <v>123.91537376175</v>
      </c>
      <c r="AJ537">
        <v>80.844568426779304</v>
      </c>
      <c r="AK537">
        <v>0.31979443970097898</v>
      </c>
      <c r="AL537">
        <v>79.039278179476497</v>
      </c>
      <c r="AM537">
        <v>88.220822904867106</v>
      </c>
      <c r="AN537">
        <v>0.99999993573271595</v>
      </c>
    </row>
    <row r="538" spans="1:40" x14ac:dyDescent="0.25">
      <c r="A538" t="str">
        <f>"20190303162508521"</f>
        <v>20190303162508521</v>
      </c>
      <c r="B538" t="str">
        <f>"1551601508512881"</f>
        <v>1551601508512881</v>
      </c>
      <c r="C538" t="s">
        <v>40</v>
      </c>
      <c r="D538">
        <v>4.7968120000000001</v>
      </c>
      <c r="E538">
        <v>0.51867259999999904</v>
      </c>
      <c r="F538" t="s">
        <v>42</v>
      </c>
      <c r="G538">
        <v>-338.97640000000001</v>
      </c>
      <c r="H538">
        <v>0.85558449999999997</v>
      </c>
      <c r="I538">
        <v>367.2122</v>
      </c>
      <c r="J538">
        <v>-339.56299999999999</v>
      </c>
      <c r="K538">
        <v>1.1202909999999999</v>
      </c>
      <c r="L538">
        <v>367.2833</v>
      </c>
      <c r="M538">
        <v>0.99997619999999998</v>
      </c>
      <c r="N538">
        <v>-5.9415800000000001E-3</v>
      </c>
      <c r="O538">
        <v>3.5142720000000001E-3</v>
      </c>
      <c r="P538">
        <v>0.98253429999999997</v>
      </c>
      <c r="Q538">
        <v>0.18408469999999999</v>
      </c>
      <c r="R538">
        <v>-2.7186180000000001E-2</v>
      </c>
      <c r="S538">
        <v>3.21698</v>
      </c>
      <c r="T538">
        <v>-0.90563559999999999</v>
      </c>
      <c r="U538">
        <v>-0.23864750000000001</v>
      </c>
      <c r="V538">
        <v>3.0583119999999998E-2</v>
      </c>
      <c r="W538">
        <v>0.18992819999999999</v>
      </c>
      <c r="X538">
        <v>0.98132149999999996</v>
      </c>
      <c r="Y538">
        <v>7.4413939999999998E-2</v>
      </c>
      <c r="Z538">
        <v>-1.1435829999999999E-2</v>
      </c>
      <c r="AA538">
        <v>0.99716190000000005</v>
      </c>
      <c r="AB538">
        <v>36</v>
      </c>
      <c r="AC538">
        <v>0.58660000000003198</v>
      </c>
      <c r="AD538">
        <v>-0.26470650000000001</v>
      </c>
      <c r="AE538">
        <v>-7.1100000000001204E-2</v>
      </c>
      <c r="AF538">
        <v>6.09328615466007E-2</v>
      </c>
      <c r="AG538">
        <v>-0.26470650000000001</v>
      </c>
      <c r="AH538">
        <v>0.48834401949955603</v>
      </c>
      <c r="AI538">
        <v>118.274846966007</v>
      </c>
      <c r="AJ538">
        <v>82.8877076613268</v>
      </c>
      <c r="AK538">
        <v>0.55880428249923997</v>
      </c>
      <c r="AL538">
        <v>79.0514055744611</v>
      </c>
      <c r="AM538">
        <v>88.214941060681994</v>
      </c>
      <c r="AN538">
        <v>0.99999996737321095</v>
      </c>
    </row>
    <row r="539" spans="1:40" x14ac:dyDescent="0.25">
      <c r="A539" t="str">
        <f>"20190303162508542"</f>
        <v>20190303162508542</v>
      </c>
      <c r="B539" t="str">
        <f>"1551601508533377"</f>
        <v>1551601508533377</v>
      </c>
      <c r="C539" t="s">
        <v>40</v>
      </c>
      <c r="D539">
        <v>4.8112979999999999</v>
      </c>
      <c r="E539">
        <v>0.51860139999999999</v>
      </c>
      <c r="F539" t="s">
        <v>42</v>
      </c>
      <c r="G539">
        <v>-338.65469999999999</v>
      </c>
      <c r="H539">
        <v>0.85453559999999995</v>
      </c>
      <c r="I539">
        <v>367.21539999999999</v>
      </c>
      <c r="J539">
        <v>-339.22629999999998</v>
      </c>
      <c r="K539">
        <v>1.1202829999999999</v>
      </c>
      <c r="L539">
        <v>367.28469999999999</v>
      </c>
      <c r="M539">
        <v>0.99997480000000005</v>
      </c>
      <c r="N539">
        <v>-6.0845319999999897E-3</v>
      </c>
      <c r="O539">
        <v>3.6471419999999999E-3</v>
      </c>
      <c r="P539">
        <v>0.98267190000000004</v>
      </c>
      <c r="Q539">
        <v>0.1833746</v>
      </c>
      <c r="R539">
        <v>-2.7012310000000001E-2</v>
      </c>
      <c r="S539">
        <v>3.2233580000000002</v>
      </c>
      <c r="T539">
        <v>-0.94316279999999997</v>
      </c>
      <c r="U539">
        <v>-0.2402039</v>
      </c>
      <c r="V539">
        <v>3.054022E-2</v>
      </c>
      <c r="W539">
        <v>0.18935879999999999</v>
      </c>
      <c r="X539">
        <v>0.98143290000000005</v>
      </c>
      <c r="Y539">
        <v>7.4624549999999998E-2</v>
      </c>
      <c r="Z539">
        <v>-1.1933849999999999E-2</v>
      </c>
      <c r="AA539">
        <v>0.99714029999999998</v>
      </c>
      <c r="AB539">
        <v>36</v>
      </c>
      <c r="AC539">
        <v>0.57159999999998901</v>
      </c>
      <c r="AD539">
        <v>-0.26574740000000002</v>
      </c>
      <c r="AE539">
        <v>-6.9299999999998294E-2</v>
      </c>
      <c r="AF539">
        <v>5.8848491615052102E-2</v>
      </c>
      <c r="AG539">
        <v>-0.26574740000000002</v>
      </c>
      <c r="AH539">
        <v>0.47100983701226901</v>
      </c>
      <c r="AI539">
        <v>119.242498126272</v>
      </c>
      <c r="AJ539">
        <v>82.878305942660504</v>
      </c>
      <c r="AK539">
        <v>0.54399916556411299</v>
      </c>
      <c r="AL539">
        <v>79.0846331122994</v>
      </c>
      <c r="AM539">
        <v>88.217645611035294</v>
      </c>
      <c r="AN539">
        <v>0.999999998688749</v>
      </c>
    </row>
    <row r="540" spans="1:40" x14ac:dyDescent="0.25">
      <c r="A540" t="str">
        <f>"20190303162508566"</f>
        <v>20190303162508566</v>
      </c>
      <c r="B540" t="str">
        <f>"1551601508563633"</f>
        <v>1551601508563633</v>
      </c>
      <c r="C540" t="s">
        <v>40</v>
      </c>
      <c r="D540">
        <v>4.8662409999999996</v>
      </c>
      <c r="E540">
        <v>0.51858599999999999</v>
      </c>
      <c r="F540" t="s">
        <v>42</v>
      </c>
      <c r="G540">
        <v>-338.33249999999998</v>
      </c>
      <c r="H540">
        <v>0.85258040000000002</v>
      </c>
      <c r="I540">
        <v>367.21809999999999</v>
      </c>
      <c r="J540">
        <v>-338.83789999999999</v>
      </c>
      <c r="K540">
        <v>1.120274</v>
      </c>
      <c r="L540">
        <v>367.28620000000001</v>
      </c>
      <c r="M540">
        <v>0.99997340000000001</v>
      </c>
      <c r="N540">
        <v>-6.2303699999999998E-3</v>
      </c>
      <c r="O540">
        <v>3.8004969999999999E-3</v>
      </c>
      <c r="P540">
        <v>0.98276660000000005</v>
      </c>
      <c r="Q540">
        <v>0.18287580000000001</v>
      </c>
      <c r="R540">
        <v>-2.695502E-2</v>
      </c>
      <c r="S540">
        <v>3.2266539999999999</v>
      </c>
      <c r="T540">
        <v>-0.96640219999999999</v>
      </c>
      <c r="U540">
        <v>-0.23944090000000001</v>
      </c>
      <c r="V540">
        <v>3.0633469999999999E-2</v>
      </c>
      <c r="W540">
        <v>0.18900400000000001</v>
      </c>
      <c r="X540">
        <v>0.98149839999999999</v>
      </c>
      <c r="Y540">
        <v>7.4318969999999998E-2</v>
      </c>
      <c r="Z540">
        <v>-1.2202660000000001E-2</v>
      </c>
      <c r="AA540">
        <v>0.99715980000000004</v>
      </c>
      <c r="AB540">
        <v>36</v>
      </c>
      <c r="AC540">
        <v>0.50540000000000795</v>
      </c>
      <c r="AD540">
        <v>-0.26769359999999998</v>
      </c>
      <c r="AE540">
        <v>-6.8100000000015301E-2</v>
      </c>
      <c r="AF540">
        <v>5.4894469505231303E-2</v>
      </c>
      <c r="AG540">
        <v>-0.26769359999999998</v>
      </c>
      <c r="AH540">
        <v>0.39601730112917899</v>
      </c>
      <c r="AI540">
        <v>123.804775678756</v>
      </c>
      <c r="AJ540">
        <v>82.108158143184994</v>
      </c>
      <c r="AK540">
        <v>0.481147554349868</v>
      </c>
      <c r="AL540">
        <v>79.105335679178296</v>
      </c>
      <c r="AM540">
        <v>88.212326214881102</v>
      </c>
      <c r="AN540">
        <v>1.0000000153513999</v>
      </c>
    </row>
    <row r="541" spans="1:40" x14ac:dyDescent="0.25">
      <c r="A541" t="str">
        <f>"20190303162508589"</f>
        <v>20190303162508589</v>
      </c>
      <c r="B541" t="str">
        <f>"1551601508583153"</f>
        <v>1551601508583153</v>
      </c>
      <c r="C541" t="s">
        <v>40</v>
      </c>
      <c r="D541">
        <v>4.861135</v>
      </c>
      <c r="E541">
        <v>0.51915370000000005</v>
      </c>
      <c r="F541" t="s">
        <v>42</v>
      </c>
      <c r="G541">
        <v>-338.00360000000001</v>
      </c>
      <c r="H541">
        <v>0.86615919999999902</v>
      </c>
      <c r="I541">
        <v>367.2242</v>
      </c>
      <c r="J541">
        <v>-338.46</v>
      </c>
      <c r="K541">
        <v>1.1202719999999999</v>
      </c>
      <c r="L541">
        <v>367.2878</v>
      </c>
      <c r="M541">
        <v>0.99997219999999998</v>
      </c>
      <c r="N541">
        <v>-6.3553749999999999E-3</v>
      </c>
      <c r="O541">
        <v>3.9493749999999998E-3</v>
      </c>
      <c r="P541">
        <v>0.98283399999999999</v>
      </c>
      <c r="Q541">
        <v>0.1824219</v>
      </c>
      <c r="R541">
        <v>-2.7570170000000001E-2</v>
      </c>
      <c r="S541">
        <v>3.229034</v>
      </c>
      <c r="T541">
        <v>-0.98350020000000005</v>
      </c>
      <c r="U541">
        <v>-0.2385864</v>
      </c>
      <c r="V541">
        <v>3.139484E-2</v>
      </c>
      <c r="W541">
        <v>0.18867339999999999</v>
      </c>
      <c r="X541">
        <v>0.98153789999999996</v>
      </c>
      <c r="Y541">
        <v>7.4040540000000002E-2</v>
      </c>
      <c r="Z541">
        <v>-1.2402720000000001E-2</v>
      </c>
      <c r="AA541">
        <v>0.99717809999999996</v>
      </c>
      <c r="AB541">
        <v>36</v>
      </c>
      <c r="AC541">
        <v>0.45639999999997299</v>
      </c>
      <c r="AD541">
        <v>-0.25411279999999897</v>
      </c>
      <c r="AE541">
        <v>-6.3600000000008095E-2</v>
      </c>
      <c r="AF541">
        <v>5.0151284141166999E-2</v>
      </c>
      <c r="AG541">
        <v>-0.25411279999999897</v>
      </c>
      <c r="AH541">
        <v>0.34977918318678902</v>
      </c>
      <c r="AI541">
        <v>125.721443638941</v>
      </c>
      <c r="AJ541">
        <v>81.840550290828205</v>
      </c>
      <c r="AK541">
        <v>0.43524009858429302</v>
      </c>
      <c r="AL541">
        <v>79.124624193796507</v>
      </c>
      <c r="AM541">
        <v>88.167998626505593</v>
      </c>
      <c r="AN541">
        <v>0.99999996849129702</v>
      </c>
    </row>
    <row r="542" spans="1:40" x14ac:dyDescent="0.25">
      <c r="A542" t="str">
        <f>"20190303162508611"</f>
        <v>20190303162508611</v>
      </c>
      <c r="B542" t="str">
        <f>"1551601508603649"</f>
        <v>1551601508603649</v>
      </c>
      <c r="C542" t="s">
        <v>40</v>
      </c>
      <c r="D542">
        <v>4.8611440000000004</v>
      </c>
      <c r="E542">
        <v>0.51990009999999998</v>
      </c>
      <c r="F542" t="s">
        <v>42</v>
      </c>
      <c r="G542">
        <v>-337.67410000000001</v>
      </c>
      <c r="H542">
        <v>0.87926979999999999</v>
      </c>
      <c r="I542">
        <v>367.22809999999998</v>
      </c>
      <c r="J542">
        <v>-338.1035</v>
      </c>
      <c r="K542">
        <v>1.1202589999999999</v>
      </c>
      <c r="L542">
        <v>367.28930000000003</v>
      </c>
      <c r="M542">
        <v>0.9999709</v>
      </c>
      <c r="N542">
        <v>-6.4597659999999996E-3</v>
      </c>
      <c r="O542">
        <v>4.0902029999999997E-3</v>
      </c>
      <c r="P542">
        <v>0.98291340000000005</v>
      </c>
      <c r="Q542">
        <v>0.18187390000000001</v>
      </c>
      <c r="R542">
        <v>-2.8345430000000001E-2</v>
      </c>
      <c r="S542">
        <v>3.2293090000000002</v>
      </c>
      <c r="T542">
        <v>-0.99024869999999998</v>
      </c>
      <c r="U542">
        <v>-0.24468989999999999</v>
      </c>
      <c r="V542">
        <v>3.2308700000000003E-2</v>
      </c>
      <c r="W542">
        <v>0.18822849999999999</v>
      </c>
      <c r="X542">
        <v>0.98159370000000001</v>
      </c>
      <c r="Y542">
        <v>7.590761E-2</v>
      </c>
      <c r="Z542">
        <v>-1.281144E-2</v>
      </c>
      <c r="AA542">
        <v>0.99703249999999999</v>
      </c>
      <c r="AB542">
        <v>36</v>
      </c>
      <c r="AC542">
        <v>0.42939999999998602</v>
      </c>
      <c r="AD542">
        <v>-0.24098919999999999</v>
      </c>
      <c r="AE542">
        <v>-6.1200000000042103E-2</v>
      </c>
      <c r="AF542">
        <v>4.8105620542284497E-2</v>
      </c>
      <c r="AG542">
        <v>-0.24098919999999999</v>
      </c>
      <c r="AH542">
        <v>0.32791767709562802</v>
      </c>
      <c r="AI542">
        <v>126.02183884444899</v>
      </c>
      <c r="AJ542">
        <v>81.654222138861499</v>
      </c>
      <c r="AK542">
        <v>0.409780365801232</v>
      </c>
      <c r="AL542">
        <v>79.150580563263006</v>
      </c>
      <c r="AM542">
        <v>88.114816656205804</v>
      </c>
      <c r="AN542">
        <v>1.0000000060938099</v>
      </c>
    </row>
    <row r="543" spans="1:40" x14ac:dyDescent="0.25">
      <c r="A543" t="str">
        <f>"20190303162508632"</f>
        <v>20190303162508632</v>
      </c>
      <c r="B543" t="str">
        <f>"1551601508623169"</f>
        <v>1551601508623169</v>
      </c>
      <c r="C543" t="s">
        <v>40</v>
      </c>
      <c r="D543">
        <v>4.8352649999999997</v>
      </c>
      <c r="E543">
        <v>0.52073210000000003</v>
      </c>
      <c r="F543" t="s">
        <v>42</v>
      </c>
      <c r="G543">
        <v>-337.3467</v>
      </c>
      <c r="H543">
        <v>0.88491549999999997</v>
      </c>
      <c r="I543">
        <v>367.22989999999999</v>
      </c>
      <c r="J543">
        <v>-337.76479999999998</v>
      </c>
      <c r="K543">
        <v>1.1202559999999999</v>
      </c>
      <c r="L543">
        <v>367.29079999999999</v>
      </c>
      <c r="M543">
        <v>0.99996980000000002</v>
      </c>
      <c r="N543">
        <v>-6.5481339999999997E-3</v>
      </c>
      <c r="O543">
        <v>4.2242180000000001E-3</v>
      </c>
      <c r="P543">
        <v>0.98294230000000005</v>
      </c>
      <c r="Q543">
        <v>0.18164379999999999</v>
      </c>
      <c r="R543">
        <v>-2.8815879999999999E-2</v>
      </c>
      <c r="S543">
        <v>3.2308349999999999</v>
      </c>
      <c r="T543">
        <v>-1.004848</v>
      </c>
      <c r="U543">
        <v>-0.25253300000000001</v>
      </c>
      <c r="V543">
        <v>3.2910910000000002E-2</v>
      </c>
      <c r="W543">
        <v>0.18808520000000001</v>
      </c>
      <c r="X543">
        <v>0.98160119999999895</v>
      </c>
      <c r="Y543">
        <v>7.8192029999999996E-2</v>
      </c>
      <c r="Z543">
        <v>-1.3379169999999999E-2</v>
      </c>
      <c r="AA543">
        <v>0.99684850000000003</v>
      </c>
      <c r="AB543">
        <v>36</v>
      </c>
      <c r="AC543">
        <v>0.41809999999998099</v>
      </c>
      <c r="AD543">
        <v>-0.23534049999999901</v>
      </c>
      <c r="AE543">
        <v>-6.0900000000003701E-2</v>
      </c>
      <c r="AF543">
        <v>4.7827150626952697E-2</v>
      </c>
      <c r="AG543">
        <v>-0.23534049999999901</v>
      </c>
      <c r="AH543">
        <v>0.31889962840254199</v>
      </c>
      <c r="AI543">
        <v>126.122514393627</v>
      </c>
      <c r="AJ543">
        <v>81.470603842114599</v>
      </c>
      <c r="AK543">
        <v>0.39921117252980598</v>
      </c>
      <c r="AL543">
        <v>79.158940769448705</v>
      </c>
      <c r="AM543">
        <v>88.079718977411602</v>
      </c>
      <c r="AN543">
        <v>1.0000000431487499</v>
      </c>
    </row>
    <row r="544" spans="1:40" x14ac:dyDescent="0.25">
      <c r="A544" t="str">
        <f>"20190303162508656"</f>
        <v>20190303162508656</v>
      </c>
      <c r="B544" t="str">
        <f>"1551601508643666"</f>
        <v>1551601508643666</v>
      </c>
      <c r="C544" t="s">
        <v>40</v>
      </c>
      <c r="D544">
        <v>4.8173959999999996</v>
      </c>
      <c r="E544">
        <v>0.52134929999999902</v>
      </c>
      <c r="F544" t="s">
        <v>42</v>
      </c>
      <c r="G544">
        <v>-337.02050000000003</v>
      </c>
      <c r="H544">
        <v>0.88590590000000002</v>
      </c>
      <c r="I544">
        <v>367.23079999999999</v>
      </c>
      <c r="J544">
        <v>-337.38839999999999</v>
      </c>
      <c r="K544">
        <v>1.120258</v>
      </c>
      <c r="L544">
        <v>367.29250000000002</v>
      </c>
      <c r="M544">
        <v>0.99996850000000004</v>
      </c>
      <c r="N544">
        <v>-6.6354700000000001E-3</v>
      </c>
      <c r="O544">
        <v>4.3729540000000001E-3</v>
      </c>
      <c r="P544">
        <v>0.98295339999999998</v>
      </c>
      <c r="Q544">
        <v>0.1815242</v>
      </c>
      <c r="R544">
        <v>-2.9186839999999999E-2</v>
      </c>
      <c r="S544">
        <v>3.2324830000000002</v>
      </c>
      <c r="T544">
        <v>-1.0176609999999999</v>
      </c>
      <c r="U544">
        <v>-0.26074219999999998</v>
      </c>
      <c r="V544">
        <v>3.3427890000000002E-2</v>
      </c>
      <c r="W544">
        <v>0.18805189999999999</v>
      </c>
      <c r="X544">
        <v>0.98159010000000002</v>
      </c>
      <c r="Y544">
        <v>8.0597039999999995E-2</v>
      </c>
      <c r="Z544">
        <v>-1.3956680000000001E-2</v>
      </c>
      <c r="AA544">
        <v>0.99664900000000001</v>
      </c>
      <c r="AB544">
        <v>36</v>
      </c>
      <c r="AC544">
        <v>0.36789999999996298</v>
      </c>
      <c r="AD544">
        <v>-0.23435209999999901</v>
      </c>
      <c r="AE544">
        <v>-6.1700000000030203E-2</v>
      </c>
      <c r="AF544">
        <v>4.5393071148259599E-2</v>
      </c>
      <c r="AG544">
        <v>-0.23435209999999901</v>
      </c>
      <c r="AH544">
        <v>0.26359442908465103</v>
      </c>
      <c r="AI544">
        <v>131.223756102165</v>
      </c>
      <c r="AJ544">
        <v>80.229043690041195</v>
      </c>
      <c r="AK544">
        <v>0.355617014113701</v>
      </c>
      <c r="AL544">
        <v>79.160883268056196</v>
      </c>
      <c r="AM544">
        <v>88.049555382426703</v>
      </c>
      <c r="AN544">
        <v>1.0000000326707299</v>
      </c>
    </row>
    <row r="545" spans="1:40" x14ac:dyDescent="0.25">
      <c r="A545" t="str">
        <f>"20190303162508690"</f>
        <v>20190303162508690</v>
      </c>
      <c r="B545" t="str">
        <f>"1551601508683681"</f>
        <v>1551601508683681</v>
      </c>
      <c r="C545" t="s">
        <v>40</v>
      </c>
      <c r="D545">
        <v>4.8167999999999997</v>
      </c>
      <c r="E545">
        <v>0.52239139999999995</v>
      </c>
      <c r="F545" t="s">
        <v>42</v>
      </c>
      <c r="G545">
        <v>-336.6891</v>
      </c>
      <c r="H545">
        <v>0.89772859999999999</v>
      </c>
      <c r="I545">
        <v>367.23450000000003</v>
      </c>
      <c r="J545">
        <v>-336.83609999999999</v>
      </c>
      <c r="K545">
        <v>1.1202510000000001</v>
      </c>
      <c r="L545">
        <v>367.29509999999999</v>
      </c>
      <c r="M545">
        <v>0.99996669999999999</v>
      </c>
      <c r="N545">
        <v>-6.7470910000000002E-3</v>
      </c>
      <c r="O545">
        <v>4.5900979999999999E-3</v>
      </c>
      <c r="P545">
        <v>0.98291700000000004</v>
      </c>
      <c r="Q545">
        <v>0.1817927</v>
      </c>
      <c r="R545">
        <v>-2.8737189999999999E-2</v>
      </c>
      <c r="S545">
        <v>3.2342219999999999</v>
      </c>
      <c r="T545">
        <v>-1.0292110000000001</v>
      </c>
      <c r="U545">
        <v>-0.26687620000000001</v>
      </c>
      <c r="V545">
        <v>3.3190980000000002E-2</v>
      </c>
      <c r="W545">
        <v>0.1884294</v>
      </c>
      <c r="X545">
        <v>0.98152569999999995</v>
      </c>
      <c r="Y545">
        <v>8.2456370000000001E-2</v>
      </c>
      <c r="Z545">
        <v>-1.446186E-2</v>
      </c>
      <c r="AA545">
        <v>0.99648979999999998</v>
      </c>
      <c r="AB545">
        <v>36</v>
      </c>
      <c r="AC545">
        <v>0.146999999999991</v>
      </c>
      <c r="AD545">
        <v>-0.22252240000000001</v>
      </c>
      <c r="AE545">
        <v>-6.05999999999653E-2</v>
      </c>
      <c r="AF545">
        <v>2.0710471534072999E-2</v>
      </c>
      <c r="AG545">
        <v>-0.22252240000000001</v>
      </c>
      <c r="AH545">
        <v>4.9591021804071003E-2</v>
      </c>
      <c r="AI545">
        <v>166.422361930373</v>
      </c>
      <c r="AJ545">
        <v>67.333344360676904</v>
      </c>
      <c r="AK545">
        <v>0.22892009867308599</v>
      </c>
      <c r="AL545">
        <v>79.138859937006004</v>
      </c>
      <c r="AM545">
        <v>88.063241031839794</v>
      </c>
      <c r="AN545">
        <v>0.99999998984910499</v>
      </c>
    </row>
    <row r="546" spans="1:40" x14ac:dyDescent="0.25">
      <c r="A546" t="str">
        <f>"20190303162508710"</f>
        <v>20190303162508710</v>
      </c>
      <c r="B546" t="str">
        <f>"1551601508703708"</f>
        <v>1551601508703708</v>
      </c>
      <c r="C546" t="s">
        <v>40</v>
      </c>
      <c r="D546">
        <v>4.8175140000000001</v>
      </c>
      <c r="E546">
        <v>0.52277419999999997</v>
      </c>
      <c r="F546" t="s">
        <v>42</v>
      </c>
      <c r="G546">
        <v>-336.0462</v>
      </c>
      <c r="H546">
        <v>0.86555289999999996</v>
      </c>
      <c r="I546">
        <v>367.22800000000001</v>
      </c>
      <c r="J546">
        <v>-336.48989999999998</v>
      </c>
      <c r="K546">
        <v>1.1202510000000001</v>
      </c>
      <c r="L546">
        <v>367.29680000000002</v>
      </c>
      <c r="M546">
        <v>0.99996580000000002</v>
      </c>
      <c r="N546">
        <v>-6.8124319999999898E-3</v>
      </c>
      <c r="O546">
        <v>4.7261439999999998E-3</v>
      </c>
      <c r="P546">
        <v>0.98292570000000001</v>
      </c>
      <c r="Q546">
        <v>0.18183930000000001</v>
      </c>
      <c r="R546">
        <v>-2.8141940000000001E-2</v>
      </c>
      <c r="S546">
        <v>3.2372130000000001</v>
      </c>
      <c r="T546">
        <v>-1.0437430000000001</v>
      </c>
      <c r="U546">
        <v>-0.27325440000000001</v>
      </c>
      <c r="V546">
        <v>3.2729420000000002E-2</v>
      </c>
      <c r="W546">
        <v>0.1885404</v>
      </c>
      <c r="X546">
        <v>0.9815199</v>
      </c>
      <c r="Y546">
        <v>8.4255109999999994E-2</v>
      </c>
      <c r="Z546">
        <v>-1.4972279999999999E-2</v>
      </c>
      <c r="AA546">
        <v>0.99633179999999999</v>
      </c>
      <c r="AB546">
        <v>37</v>
      </c>
      <c r="AC546">
        <v>0.443699999999978</v>
      </c>
      <c r="AD546">
        <v>-0.25469809999999998</v>
      </c>
      <c r="AE546">
        <v>-6.8800000000010103E-2</v>
      </c>
      <c r="AF546">
        <v>5.36371143471506E-2</v>
      </c>
      <c r="AG546">
        <v>-0.25469809999999998</v>
      </c>
      <c r="AH546">
        <v>0.33543486650456</v>
      </c>
      <c r="AI546">
        <v>126.861905524744</v>
      </c>
      <c r="AJ546">
        <v>80.915129986559705</v>
      </c>
      <c r="AK546">
        <v>0.42457580223798802</v>
      </c>
      <c r="AL546">
        <v>79.132384206551606</v>
      </c>
      <c r="AM546">
        <v>88.090142602314202</v>
      </c>
      <c r="AN546">
        <v>1.00000000573085</v>
      </c>
    </row>
    <row r="547" spans="1:40" x14ac:dyDescent="0.25">
      <c r="A547" t="str">
        <f>"20190303162508732"</f>
        <v>20190303162508732</v>
      </c>
      <c r="B547" t="str">
        <f>"1551601508723228"</f>
        <v>1551601508723228</v>
      </c>
      <c r="C547" t="s">
        <v>40</v>
      </c>
      <c r="D547">
        <v>4.8113199999999896</v>
      </c>
      <c r="E547">
        <v>0.52309830000000002</v>
      </c>
      <c r="F547" t="s">
        <v>42</v>
      </c>
      <c r="G547">
        <v>-335.71589999999998</v>
      </c>
      <c r="H547">
        <v>0.86936369999999896</v>
      </c>
      <c r="I547">
        <v>367.2312</v>
      </c>
      <c r="J547">
        <v>-336.1311</v>
      </c>
      <c r="K547">
        <v>1.1202529999999999</v>
      </c>
      <c r="L547">
        <v>367.29860000000002</v>
      </c>
      <c r="M547">
        <v>0.99996450000000003</v>
      </c>
      <c r="N547">
        <v>-6.8762980000000003E-3</v>
      </c>
      <c r="O547">
        <v>4.867377E-3</v>
      </c>
      <c r="P547">
        <v>0.9828905</v>
      </c>
      <c r="Q547">
        <v>0.18216160000000001</v>
      </c>
      <c r="R547">
        <v>-2.726261E-2</v>
      </c>
      <c r="S547">
        <v>3.238464</v>
      </c>
      <c r="T547">
        <v>-1.0497459999999901</v>
      </c>
      <c r="U547">
        <v>-0.27441409999999899</v>
      </c>
      <c r="V547">
        <v>3.1988389999999998E-2</v>
      </c>
      <c r="W547">
        <v>0.1889248</v>
      </c>
      <c r="X547">
        <v>0.98147039999999997</v>
      </c>
      <c r="Y547">
        <v>8.4642560000000006E-2</v>
      </c>
      <c r="Z547">
        <v>-1.515582E-2</v>
      </c>
      <c r="AA547">
        <v>0.99629610000000002</v>
      </c>
      <c r="AB547">
        <v>37</v>
      </c>
      <c r="AC547">
        <v>0.41520000000002699</v>
      </c>
      <c r="AD547">
        <v>-0.25088929999999998</v>
      </c>
      <c r="AE547">
        <v>-6.7400000000020499E-2</v>
      </c>
      <c r="AF547">
        <v>5.12040014799829E-2</v>
      </c>
      <c r="AG547">
        <v>-0.25088929999999998</v>
      </c>
      <c r="AH547">
        <v>0.30600395742693998</v>
      </c>
      <c r="AI547">
        <v>128.960607468185</v>
      </c>
      <c r="AJ547">
        <v>80.500637329077705</v>
      </c>
      <c r="AK547">
        <v>0.39900590544878001</v>
      </c>
      <c r="AL547">
        <v>79.109956496823003</v>
      </c>
      <c r="AM547">
        <v>88.133258848672398</v>
      </c>
      <c r="AN547">
        <v>0.99999999161299602</v>
      </c>
    </row>
    <row r="548" spans="1:40" x14ac:dyDescent="0.25">
      <c r="A548" t="str">
        <f>"20190303162508755"</f>
        <v>20190303162508755</v>
      </c>
      <c r="B548" t="str">
        <f>"1551601508742749"</f>
        <v>1551601508742749</v>
      </c>
      <c r="C548" t="s">
        <v>40</v>
      </c>
      <c r="D548">
        <v>4.803407</v>
      </c>
      <c r="E548">
        <v>0.52334849999999999</v>
      </c>
      <c r="F548" t="s">
        <v>42</v>
      </c>
      <c r="G548">
        <v>-335.38330000000002</v>
      </c>
      <c r="H548">
        <v>0.8769846</v>
      </c>
      <c r="I548">
        <v>367.23489999999998</v>
      </c>
      <c r="J548">
        <v>-335.75529999999998</v>
      </c>
      <c r="K548">
        <v>1.120263</v>
      </c>
      <c r="L548">
        <v>367.30059999999997</v>
      </c>
      <c r="M548">
        <v>0.99996350000000001</v>
      </c>
      <c r="N548">
        <v>-6.9381010000000003E-3</v>
      </c>
      <c r="O548">
        <v>5.014994E-3</v>
      </c>
      <c r="P548">
        <v>0.9828538</v>
      </c>
      <c r="Q548">
        <v>0.18245310000000001</v>
      </c>
      <c r="R548">
        <v>-2.663838E-2</v>
      </c>
      <c r="S548">
        <v>3.239868</v>
      </c>
      <c r="T548">
        <v>-1.0539719999999999</v>
      </c>
      <c r="U548">
        <v>-0.27450560000000002</v>
      </c>
      <c r="V548">
        <v>3.150878E-2</v>
      </c>
      <c r="W548">
        <v>0.1892769</v>
      </c>
      <c r="X548">
        <v>0.98141809999999996</v>
      </c>
      <c r="Y548">
        <v>8.4736000000000006E-2</v>
      </c>
      <c r="Z548">
        <v>-1.5270010000000001E-2</v>
      </c>
      <c r="AA548">
        <v>0.99628649999999996</v>
      </c>
      <c r="AB548">
        <v>37</v>
      </c>
      <c r="AC548">
        <v>0.37199999999995698</v>
      </c>
      <c r="AD548">
        <v>-0.24327840000000001</v>
      </c>
      <c r="AE548">
        <v>-6.5699999999992501E-2</v>
      </c>
      <c r="AF548">
        <v>4.7757563631754402E-2</v>
      </c>
      <c r="AG548">
        <v>-0.24327840000000001</v>
      </c>
      <c r="AH548">
        <v>0.26270862157452401</v>
      </c>
      <c r="AI548">
        <v>132.33685366687399</v>
      </c>
      <c r="AJ548">
        <v>79.6967665364824</v>
      </c>
      <c r="AK548">
        <v>0.36122151741028302</v>
      </c>
      <c r="AL548">
        <v>79.089412268118195</v>
      </c>
      <c r="AM548">
        <v>88.161130088593197</v>
      </c>
      <c r="AN548">
        <v>1.0000000175491499</v>
      </c>
    </row>
    <row r="549" spans="1:40" x14ac:dyDescent="0.25">
      <c r="A549" t="str">
        <f>"20190303162508778"</f>
        <v>20190303162508778</v>
      </c>
      <c r="B549" t="str">
        <f>"1551601508773004"</f>
        <v>1551601508773004</v>
      </c>
      <c r="C549" t="s">
        <v>40</v>
      </c>
      <c r="D549">
        <v>4.7971500000000002</v>
      </c>
      <c r="E549">
        <v>0.52366080000000004</v>
      </c>
      <c r="F549" t="s">
        <v>42</v>
      </c>
      <c r="G549">
        <v>-335.04820000000001</v>
      </c>
      <c r="H549">
        <v>0.88949279999999997</v>
      </c>
      <c r="I549">
        <v>367.24059999999997</v>
      </c>
      <c r="J549">
        <v>-335.37079999999997</v>
      </c>
      <c r="K549">
        <v>1.120261</v>
      </c>
      <c r="L549">
        <v>367.30259999999998</v>
      </c>
      <c r="M549">
        <v>0.99996229999999997</v>
      </c>
      <c r="N549">
        <v>-6.995388E-3</v>
      </c>
      <c r="O549">
        <v>5.1657830000000002E-3</v>
      </c>
      <c r="P549">
        <v>0.98289119999999996</v>
      </c>
      <c r="Q549">
        <v>0.18237729999999999</v>
      </c>
      <c r="R549">
        <v>-2.5755569999999998E-2</v>
      </c>
      <c r="S549">
        <v>3.241241</v>
      </c>
      <c r="T549">
        <v>-1.057714</v>
      </c>
      <c r="U549">
        <v>-0.27484130000000001</v>
      </c>
      <c r="V549">
        <v>3.0774260000000001E-2</v>
      </c>
      <c r="W549">
        <v>0.1892568</v>
      </c>
      <c r="X549">
        <v>0.98144529999999996</v>
      </c>
      <c r="Y549">
        <v>8.4907579999999996E-2</v>
      </c>
      <c r="Z549">
        <v>-1.539154E-2</v>
      </c>
      <c r="AA549">
        <v>0.99626990000000004</v>
      </c>
      <c r="AB549">
        <v>37</v>
      </c>
      <c r="AC549">
        <v>0.32259999999996503</v>
      </c>
      <c r="AD549">
        <v>-0.23076820000000001</v>
      </c>
      <c r="AE549">
        <v>-6.2000000000011803E-2</v>
      </c>
      <c r="AF549">
        <v>4.2629041752946302E-2</v>
      </c>
      <c r="AG549">
        <v>-0.23076820000000001</v>
      </c>
      <c r="AH549">
        <v>0.21578798270619701</v>
      </c>
      <c r="AI549">
        <v>136.373867031749</v>
      </c>
      <c r="AJ549">
        <v>78.825074394796104</v>
      </c>
      <c r="AK549">
        <v>0.31880346737829601</v>
      </c>
      <c r="AL549">
        <v>79.090585295022393</v>
      </c>
      <c r="AM549">
        <v>88.204018416727493</v>
      </c>
      <c r="AN549">
        <v>1.0000000341584301</v>
      </c>
    </row>
    <row r="550" spans="1:40" x14ac:dyDescent="0.25">
      <c r="A550" t="str">
        <f>"20190303162508801"</f>
        <v>20190303162508801</v>
      </c>
      <c r="B550" t="str">
        <f>"1551601508793502"</f>
        <v>1551601508793502</v>
      </c>
      <c r="C550" t="s">
        <v>40</v>
      </c>
      <c r="D550">
        <v>4.7872899999999996</v>
      </c>
      <c r="E550">
        <v>0.52386779999999999</v>
      </c>
      <c r="F550" t="s">
        <v>42</v>
      </c>
      <c r="G550">
        <v>-334.41739999999999</v>
      </c>
      <c r="H550">
        <v>0.80727360000000004</v>
      </c>
      <c r="I550">
        <v>367.2226</v>
      </c>
      <c r="J550">
        <v>-334.98649999999998</v>
      </c>
      <c r="K550">
        <v>1.120263</v>
      </c>
      <c r="L550">
        <v>367.30470000000003</v>
      </c>
      <c r="M550">
        <v>0.99996110000000005</v>
      </c>
      <c r="N550">
        <v>-7.0469249999999999E-3</v>
      </c>
      <c r="O550">
        <v>5.3167680000000004E-3</v>
      </c>
      <c r="P550">
        <v>0.98306139999999997</v>
      </c>
      <c r="Q550">
        <v>0.1813977</v>
      </c>
      <c r="R550">
        <v>-2.6176479999999998E-2</v>
      </c>
      <c r="S550">
        <v>3.2426149999999998</v>
      </c>
      <c r="T550">
        <v>-1.064425</v>
      </c>
      <c r="U550">
        <v>-0.27145390000000003</v>
      </c>
      <c r="V550">
        <v>3.1344530000000002E-2</v>
      </c>
      <c r="W550">
        <v>0.18832960000000001</v>
      </c>
      <c r="X550">
        <v>0.98160559999999997</v>
      </c>
      <c r="Y550">
        <v>8.3975640000000004E-2</v>
      </c>
      <c r="Z550">
        <v>-1.537432E-2</v>
      </c>
      <c r="AA550">
        <v>0.99634920000000005</v>
      </c>
      <c r="AB550">
        <v>37</v>
      </c>
      <c r="AC550">
        <v>0.56909999999999095</v>
      </c>
      <c r="AD550">
        <v>-0.31298939999999997</v>
      </c>
      <c r="AE550">
        <v>-8.2100000000025306E-2</v>
      </c>
      <c r="AF550">
        <v>6.5667263483804694E-2</v>
      </c>
      <c r="AG550">
        <v>-0.31298939999999997</v>
      </c>
      <c r="AH550">
        <v>0.43867469898106998</v>
      </c>
      <c r="AI550">
        <v>125.20780366195901</v>
      </c>
      <c r="AJ550">
        <v>81.486344424527303</v>
      </c>
      <c r="AK550">
        <v>0.54287203421427399</v>
      </c>
      <c r="AL550">
        <v>79.144682803280205</v>
      </c>
      <c r="AM550">
        <v>88.171058462099893</v>
      </c>
      <c r="AN550">
        <v>1.00000003587421</v>
      </c>
    </row>
    <row r="551" spans="1:40" x14ac:dyDescent="0.25">
      <c r="A551" t="str">
        <f>"20190303162508824"</f>
        <v>20190303162508824</v>
      </c>
      <c r="B551" t="str">
        <f>"1551601508813021"</f>
        <v>1551601508813021</v>
      </c>
      <c r="C551" t="s">
        <v>40</v>
      </c>
      <c r="D551">
        <v>4.8038559999999997</v>
      </c>
      <c r="E551">
        <v>0.52406059999999999</v>
      </c>
      <c r="F551" t="s">
        <v>42</v>
      </c>
      <c r="G551">
        <v>-334.0797</v>
      </c>
      <c r="H551">
        <v>0.82069340000000002</v>
      </c>
      <c r="I551">
        <v>367.22789999999998</v>
      </c>
      <c r="J551">
        <v>-334.60840000000002</v>
      </c>
      <c r="K551">
        <v>1.1202639999999999</v>
      </c>
      <c r="L551">
        <v>367.30689999999998</v>
      </c>
      <c r="M551">
        <v>0.99995999999999996</v>
      </c>
      <c r="N551">
        <v>-7.0932959999999998E-3</v>
      </c>
      <c r="O551">
        <v>5.4652669999999898E-3</v>
      </c>
      <c r="P551">
        <v>0.98307489999999997</v>
      </c>
      <c r="Q551">
        <v>0.1811258</v>
      </c>
      <c r="R551">
        <v>-2.7523570000000001E-2</v>
      </c>
      <c r="S551">
        <v>3.242035</v>
      </c>
      <c r="T551">
        <v>-1.0710379999999999</v>
      </c>
      <c r="U551">
        <v>-0.27371220000000002</v>
      </c>
      <c r="V551">
        <v>3.28373E-2</v>
      </c>
      <c r="W551">
        <v>0.18810350000000001</v>
      </c>
      <c r="X551">
        <v>0.98160009999999998</v>
      </c>
      <c r="Y551">
        <v>8.4720690000000001E-2</v>
      </c>
      <c r="Z551">
        <v>-1.56366E-2</v>
      </c>
      <c r="AA551">
        <v>0.996282</v>
      </c>
      <c r="AB551">
        <v>37</v>
      </c>
      <c r="AC551">
        <v>0.52870000000001405</v>
      </c>
      <c r="AD551">
        <v>-0.29957059999999902</v>
      </c>
      <c r="AE551">
        <v>-7.9000000000007703E-2</v>
      </c>
      <c r="AF551">
        <v>6.2317860086818402E-2</v>
      </c>
      <c r="AG551">
        <v>-0.29957059999999902</v>
      </c>
      <c r="AH551">
        <v>0.40201129975601801</v>
      </c>
      <c r="AI551">
        <v>126.36735600804801</v>
      </c>
      <c r="AJ551">
        <v>81.188416823505094</v>
      </c>
      <c r="AK551">
        <v>0.50521198046135396</v>
      </c>
      <c r="AL551">
        <v>79.157872570736004</v>
      </c>
      <c r="AM551">
        <v>88.084008612770305</v>
      </c>
      <c r="AN551">
        <v>0.99999998565177395</v>
      </c>
    </row>
    <row r="552" spans="1:40" x14ac:dyDescent="0.25">
      <c r="A552" t="str">
        <f>"20190303162508844"</f>
        <v>20190303162508844</v>
      </c>
      <c r="B552" t="str">
        <f>"1551601508833516"</f>
        <v>1551601508833516</v>
      </c>
      <c r="C552" t="s">
        <v>40</v>
      </c>
      <c r="D552">
        <v>4.7920350000000003</v>
      </c>
      <c r="E552">
        <v>0.52421099999999998</v>
      </c>
      <c r="F552" t="s">
        <v>42</v>
      </c>
      <c r="G552">
        <v>-333.74180000000001</v>
      </c>
      <c r="H552">
        <v>0.83306119999999995</v>
      </c>
      <c r="I552">
        <v>367.23160000000001</v>
      </c>
      <c r="J552">
        <v>-334.2808</v>
      </c>
      <c r="K552">
        <v>1.1202650000000001</v>
      </c>
      <c r="L552">
        <v>367.30880000000002</v>
      </c>
      <c r="M552">
        <v>0.99995909999999999</v>
      </c>
      <c r="N552">
        <v>-7.1303579999999998E-3</v>
      </c>
      <c r="O552">
        <v>5.5935910000000002E-3</v>
      </c>
      <c r="P552">
        <v>0.98310569999999997</v>
      </c>
      <c r="Q552">
        <v>0.1808408</v>
      </c>
      <c r="R552">
        <v>-2.8285359999999999E-2</v>
      </c>
      <c r="S552">
        <v>3.2417600000000002</v>
      </c>
      <c r="T552">
        <v>-1.074376</v>
      </c>
      <c r="U552">
        <v>-0.28042600000000001</v>
      </c>
      <c r="V552">
        <v>3.3725350000000001E-2</v>
      </c>
      <c r="W552">
        <v>0.1878552</v>
      </c>
      <c r="X552">
        <v>0.98161759999999998</v>
      </c>
      <c r="Y552">
        <v>8.6757089999999995E-2</v>
      </c>
      <c r="Z552">
        <v>-1.605958E-2</v>
      </c>
      <c r="AA552">
        <v>0.99610010000000004</v>
      </c>
      <c r="AB552">
        <v>37</v>
      </c>
      <c r="AC552">
        <v>0.53899999999998705</v>
      </c>
      <c r="AD552">
        <v>-0.28720380000000001</v>
      </c>
      <c r="AE552">
        <v>-7.7200000000004806E-2</v>
      </c>
      <c r="AF552">
        <v>6.2754454973263901E-2</v>
      </c>
      <c r="AG552">
        <v>-0.28720380000000001</v>
      </c>
      <c r="AH552">
        <v>0.42133668453604001</v>
      </c>
      <c r="AI552">
        <v>123.988321167142</v>
      </c>
      <c r="AJ552">
        <v>81.528564977818604</v>
      </c>
      <c r="AK552">
        <v>0.51375942433132404</v>
      </c>
      <c r="AL552">
        <v>79.172357972747406</v>
      </c>
      <c r="AM552">
        <v>88.032267907911503</v>
      </c>
      <c r="AN552">
        <v>1.0000000440147101</v>
      </c>
    </row>
    <row r="553" spans="1:40" x14ac:dyDescent="0.25">
      <c r="A553" t="str">
        <f>"20190303162508867"</f>
        <v>20190303162508867</v>
      </c>
      <c r="B553" t="str">
        <f>"1551601508863772"</f>
        <v>1551601508863772</v>
      </c>
      <c r="C553" t="s">
        <v>40</v>
      </c>
      <c r="D553">
        <v>4.7512970000000001</v>
      </c>
      <c r="E553">
        <v>0.52439789999999997</v>
      </c>
      <c r="F553" t="s">
        <v>42</v>
      </c>
      <c r="G553">
        <v>-333.40890000000002</v>
      </c>
      <c r="H553">
        <v>0.83049430000000002</v>
      </c>
      <c r="I553">
        <v>367.2319</v>
      </c>
      <c r="J553">
        <v>-333.89069999999998</v>
      </c>
      <c r="K553">
        <v>1.1202669999999999</v>
      </c>
      <c r="L553">
        <v>367.31110000000001</v>
      </c>
      <c r="M553">
        <v>0.99995780000000001</v>
      </c>
      <c r="N553">
        <v>-7.1709190000000004E-3</v>
      </c>
      <c r="O553">
        <v>5.7465789999999999E-3</v>
      </c>
      <c r="P553">
        <v>0.98316680000000001</v>
      </c>
      <c r="Q553">
        <v>0.1803536</v>
      </c>
      <c r="R553">
        <v>-2.925266E-2</v>
      </c>
      <c r="S553">
        <v>3.2415159999999998</v>
      </c>
      <c r="T553">
        <v>-1.0772930000000001</v>
      </c>
      <c r="U553">
        <v>-0.28478999999999999</v>
      </c>
      <c r="V553">
        <v>3.4843279999999997E-2</v>
      </c>
      <c r="W553">
        <v>0.18740879999999999</v>
      </c>
      <c r="X553">
        <v>0.98166379999999998</v>
      </c>
      <c r="Y553">
        <v>8.8136690000000004E-2</v>
      </c>
      <c r="Z553">
        <v>-1.6378500000000001E-2</v>
      </c>
      <c r="AA553">
        <v>0.99597369999999996</v>
      </c>
      <c r="AB553">
        <v>37</v>
      </c>
      <c r="AC553">
        <v>0.48179999999996398</v>
      </c>
      <c r="AD553">
        <v>-0.28977269999999899</v>
      </c>
      <c r="AE553">
        <v>-7.9200000000014301E-2</v>
      </c>
      <c r="AF553">
        <v>6.0617410293473999E-2</v>
      </c>
      <c r="AG553">
        <v>-0.28977269999999899</v>
      </c>
      <c r="AH553">
        <v>0.355963143868749</v>
      </c>
      <c r="AI553">
        <v>128.74703601871099</v>
      </c>
      <c r="AJ553">
        <v>80.335736543117093</v>
      </c>
      <c r="AK553">
        <v>0.462982124804944</v>
      </c>
      <c r="AL553">
        <v>79.198396410834107</v>
      </c>
      <c r="AM553">
        <v>87.967190847855903</v>
      </c>
      <c r="AN553">
        <v>0.99999996435451799</v>
      </c>
    </row>
    <row r="554" spans="1:40" x14ac:dyDescent="0.25">
      <c r="A554" t="str">
        <f>"20190303162508890"</f>
        <v>20190303162508890</v>
      </c>
      <c r="B554" t="str">
        <f>"1551601508883292"</f>
        <v>1551601508883292</v>
      </c>
      <c r="C554" t="s">
        <v>40</v>
      </c>
      <c r="D554">
        <v>4.7771589999999904</v>
      </c>
      <c r="E554">
        <v>0.52451000000000003</v>
      </c>
      <c r="F554" t="s">
        <v>42</v>
      </c>
      <c r="G554">
        <v>-333.06830000000002</v>
      </c>
      <c r="H554">
        <v>0.84591719999999904</v>
      </c>
      <c r="I554">
        <v>367.23779999999999</v>
      </c>
      <c r="J554">
        <v>-333.51069999999999</v>
      </c>
      <c r="K554">
        <v>1.1202650000000001</v>
      </c>
      <c r="L554">
        <v>367.3134</v>
      </c>
      <c r="M554">
        <v>0.99995679999999998</v>
      </c>
      <c r="N554">
        <v>-7.2090590000000003E-3</v>
      </c>
      <c r="O554">
        <v>5.8954019999999897E-3</v>
      </c>
      <c r="P554">
        <v>0.98315699999999995</v>
      </c>
      <c r="Q554">
        <v>0.18037400000000001</v>
      </c>
      <c r="R554">
        <v>-2.9461709999999999E-2</v>
      </c>
      <c r="S554">
        <v>3.2410890000000001</v>
      </c>
      <c r="T554">
        <v>-1.0812459999999999</v>
      </c>
      <c r="U554">
        <v>-0.28869630000000002</v>
      </c>
      <c r="V554">
        <v>3.519808E-2</v>
      </c>
      <c r="W554">
        <v>0.18746689999999999</v>
      </c>
      <c r="X554">
        <v>0.98164010000000002</v>
      </c>
      <c r="Y554">
        <v>8.9374079999999995E-2</v>
      </c>
      <c r="Z554">
        <v>-1.668975E-2</v>
      </c>
      <c r="AA554">
        <v>0.99585829999999997</v>
      </c>
      <c r="AB554">
        <v>37</v>
      </c>
      <c r="AC554">
        <v>0.44239999999996299</v>
      </c>
      <c r="AD554">
        <v>-0.27434779999999998</v>
      </c>
      <c r="AE554">
        <v>-7.5600000000008494E-2</v>
      </c>
      <c r="AF554">
        <v>5.6933375804807701E-2</v>
      </c>
      <c r="AG554">
        <v>-0.27434779999999998</v>
      </c>
      <c r="AH554">
        <v>0.32173016632693902</v>
      </c>
      <c r="AI554">
        <v>130.01952442086801</v>
      </c>
      <c r="AJ554">
        <v>79.964827170247005</v>
      </c>
      <c r="AK554">
        <v>0.42663617353681099</v>
      </c>
      <c r="AL554">
        <v>79.1950080120629</v>
      </c>
      <c r="AM554">
        <v>87.946459381042104</v>
      </c>
      <c r="AN554">
        <v>1.0000000146796499</v>
      </c>
    </row>
    <row r="555" spans="1:40" x14ac:dyDescent="0.25">
      <c r="A555" t="str">
        <f>"20190303162508911"</f>
        <v>20190303162508911</v>
      </c>
      <c r="B555" t="str">
        <f>"1551601508902813"</f>
        <v>1551601508902813</v>
      </c>
      <c r="C555" t="s">
        <v>40</v>
      </c>
      <c r="D555">
        <v>4.8011030000000003</v>
      </c>
      <c r="E555">
        <v>0.52461859999999905</v>
      </c>
      <c r="F555" t="s">
        <v>42</v>
      </c>
      <c r="G555">
        <v>-332.72800000000001</v>
      </c>
      <c r="H555">
        <v>0.85878149999999998</v>
      </c>
      <c r="I555">
        <v>367.24340000000001</v>
      </c>
      <c r="J555">
        <v>-333.14690000000002</v>
      </c>
      <c r="K555">
        <v>1.120266</v>
      </c>
      <c r="L555">
        <v>367.31560000000002</v>
      </c>
      <c r="M555">
        <v>0.9999557</v>
      </c>
      <c r="N555">
        <v>-7.2489130000000001E-3</v>
      </c>
      <c r="O555">
        <v>6.0377809999999999E-3</v>
      </c>
      <c r="P555">
        <v>0.98308490000000004</v>
      </c>
      <c r="Q555">
        <v>0.1807687</v>
      </c>
      <c r="R555">
        <v>-2.944577E-2</v>
      </c>
      <c r="S555">
        <v>3.241425</v>
      </c>
      <c r="T555">
        <v>-1.082938</v>
      </c>
      <c r="U555">
        <v>-0.28872680000000001</v>
      </c>
      <c r="V555">
        <v>3.5321419999999999E-2</v>
      </c>
      <c r="W555">
        <v>0.18790019999999999</v>
      </c>
      <c r="X555">
        <v>0.9815528</v>
      </c>
      <c r="Y555">
        <v>8.9487140000000007E-2</v>
      </c>
      <c r="Z555">
        <v>-1.6778120000000001E-2</v>
      </c>
      <c r="AA555">
        <v>0.99584660000000003</v>
      </c>
      <c r="AB555">
        <v>37</v>
      </c>
      <c r="AC555">
        <v>0.41890000000000699</v>
      </c>
      <c r="AD555">
        <v>-0.26148449999999901</v>
      </c>
      <c r="AE555">
        <v>-7.2200000000009298E-2</v>
      </c>
      <c r="AF555">
        <v>5.4213339831363602E-2</v>
      </c>
      <c r="AG555">
        <v>-0.26148449999999901</v>
      </c>
      <c r="AH555">
        <v>0.30358001769040999</v>
      </c>
      <c r="AI555">
        <v>130.295343925297</v>
      </c>
      <c r="AJ555">
        <v>79.874848707172205</v>
      </c>
      <c r="AK555">
        <v>0.40431925145462699</v>
      </c>
      <c r="AL555">
        <v>79.169732363545293</v>
      </c>
      <c r="AM555">
        <v>87.939086497428306</v>
      </c>
      <c r="AN555">
        <v>0.99999999352934799</v>
      </c>
    </row>
    <row r="556" spans="1:40" x14ac:dyDescent="0.25">
      <c r="A556" t="str">
        <f>"20190303162508933"</f>
        <v>20190303162508933</v>
      </c>
      <c r="B556" t="str">
        <f>"1551601508923308"</f>
        <v>1551601508923308</v>
      </c>
      <c r="C556" t="s">
        <v>40</v>
      </c>
      <c r="D556">
        <v>4.769622</v>
      </c>
      <c r="E556">
        <v>0.52481929999999999</v>
      </c>
      <c r="F556" t="s">
        <v>42</v>
      </c>
      <c r="G556">
        <v>-332.38889999999998</v>
      </c>
      <c r="H556">
        <v>0.86708079999999998</v>
      </c>
      <c r="I556">
        <v>367.24799999999999</v>
      </c>
      <c r="J556">
        <v>-332.77870000000001</v>
      </c>
      <c r="K556">
        <v>1.1202799999999999</v>
      </c>
      <c r="L556">
        <v>367.31799999999998</v>
      </c>
      <c r="M556">
        <v>0.99995429999999996</v>
      </c>
      <c r="N556">
        <v>-7.2980229999999998E-3</v>
      </c>
      <c r="O556">
        <v>6.1819750000000001E-3</v>
      </c>
      <c r="P556">
        <v>0.98304550000000002</v>
      </c>
      <c r="Q556">
        <v>0.1809904</v>
      </c>
      <c r="R556">
        <v>-2.9394610000000002E-2</v>
      </c>
      <c r="S556">
        <v>3.2420650000000002</v>
      </c>
      <c r="T556">
        <v>-1.082857</v>
      </c>
      <c r="U556">
        <v>-0.28945920000000003</v>
      </c>
      <c r="V556">
        <v>3.5411419999999999E-2</v>
      </c>
      <c r="W556">
        <v>0.18816949999999999</v>
      </c>
      <c r="X556">
        <v>0.98149799999999998</v>
      </c>
      <c r="Y556">
        <v>8.9813299999999999E-2</v>
      </c>
      <c r="Z556">
        <v>-1.6875620000000001E-2</v>
      </c>
      <c r="AA556">
        <v>0.99581560000000002</v>
      </c>
      <c r="AB556">
        <v>38</v>
      </c>
      <c r="AC556">
        <v>0.38980000000003601</v>
      </c>
      <c r="AD556">
        <v>-0.25319919999999901</v>
      </c>
      <c r="AE556">
        <v>-6.9999999999993096E-2</v>
      </c>
      <c r="AF556">
        <v>5.1399123204740903E-2</v>
      </c>
      <c r="AG556">
        <v>-0.25319919999999901</v>
      </c>
      <c r="AH556">
        <v>0.276386934989718</v>
      </c>
      <c r="AI556">
        <v>132.00816661401399</v>
      </c>
      <c r="AJ556">
        <v>79.465164687978401</v>
      </c>
      <c r="AK556">
        <v>0.37834037926167302</v>
      </c>
      <c r="AL556">
        <v>79.154022745032407</v>
      </c>
      <c r="AM556">
        <v>87.933724515824096</v>
      </c>
      <c r="AN556">
        <v>1.0000000267003299</v>
      </c>
    </row>
    <row r="557" spans="1:40" x14ac:dyDescent="0.25">
      <c r="A557" t="str">
        <f>"20190303162508957"</f>
        <v>20190303162508957</v>
      </c>
      <c r="B557" t="str">
        <f>"1551601508953564"</f>
        <v>1551601508953564</v>
      </c>
      <c r="C557" t="s">
        <v>40</v>
      </c>
      <c r="D557">
        <v>4.8046069999999999</v>
      </c>
      <c r="E557">
        <v>0.52510219999999996</v>
      </c>
      <c r="F557" t="s">
        <v>42</v>
      </c>
      <c r="G557">
        <v>-332.04860000000002</v>
      </c>
      <c r="H557">
        <v>0.87647809999999904</v>
      </c>
      <c r="I557">
        <v>367.25200000000001</v>
      </c>
      <c r="J557">
        <v>-332.37909999999999</v>
      </c>
      <c r="K557">
        <v>1.1202970000000001</v>
      </c>
      <c r="L557">
        <v>367.32060000000001</v>
      </c>
      <c r="M557">
        <v>0.99995290000000003</v>
      </c>
      <c r="N557">
        <v>-7.3601469999999896E-3</v>
      </c>
      <c r="O557">
        <v>6.3381030000000003E-3</v>
      </c>
      <c r="P557">
        <v>0.98295880000000002</v>
      </c>
      <c r="Q557">
        <v>0.18152099999999999</v>
      </c>
      <c r="R557">
        <v>-2.9022300000000001E-2</v>
      </c>
      <c r="S557">
        <v>3.24234</v>
      </c>
      <c r="T557">
        <v>-1.0825959999999999</v>
      </c>
      <c r="U557">
        <v>-0.29168699999999997</v>
      </c>
      <c r="V557">
        <v>3.5191390000000003E-2</v>
      </c>
      <c r="W557">
        <v>0.18876039999999999</v>
      </c>
      <c r="X557">
        <v>0.98139240000000005</v>
      </c>
      <c r="Y557">
        <v>9.0591870000000005E-2</v>
      </c>
      <c r="Z557">
        <v>-1.7051340000000002E-2</v>
      </c>
      <c r="AA557">
        <v>0.99574209999999996</v>
      </c>
      <c r="AB557">
        <v>38</v>
      </c>
      <c r="AC557">
        <v>0.33049999999997198</v>
      </c>
      <c r="AD557">
        <v>-0.24381889999999901</v>
      </c>
      <c r="AE557">
        <v>-6.8600000000060293E-2</v>
      </c>
      <c r="AF557">
        <v>4.6454959861457597E-2</v>
      </c>
      <c r="AG557">
        <v>-0.24381889999999901</v>
      </c>
      <c r="AH557">
        <v>0.21689227361795099</v>
      </c>
      <c r="AI557">
        <v>137.70600065098299</v>
      </c>
      <c r="AJ557">
        <v>77.910788430330101</v>
      </c>
      <c r="AK557">
        <v>0.32961792676992502</v>
      </c>
      <c r="AL557">
        <v>79.119548409976701</v>
      </c>
      <c r="AM557">
        <v>87.946331593302105</v>
      </c>
      <c r="AN557">
        <v>0.99999998265802503</v>
      </c>
    </row>
    <row r="558" spans="1:40" x14ac:dyDescent="0.25">
      <c r="A558" t="str">
        <f>"20190303162508980"</f>
        <v>20190303162508980</v>
      </c>
      <c r="B558" t="str">
        <f>"1551601508973085"</f>
        <v>1551601508973085</v>
      </c>
      <c r="C558" t="s">
        <v>40</v>
      </c>
      <c r="D558">
        <v>4.7996400000000001</v>
      </c>
      <c r="E558">
        <v>0.52530880000000002</v>
      </c>
      <c r="F558" t="s">
        <v>42</v>
      </c>
      <c r="G558">
        <v>-331.70389999999998</v>
      </c>
      <c r="H558">
        <v>0.89543150000000005</v>
      </c>
      <c r="I558">
        <v>367.2595</v>
      </c>
      <c r="J558">
        <v>-331.99239999999998</v>
      </c>
      <c r="K558">
        <v>1.120314</v>
      </c>
      <c r="L558">
        <v>367.32319999999999</v>
      </c>
      <c r="M558">
        <v>0.99995140000000005</v>
      </c>
      <c r="N558">
        <v>-7.4274919999999999E-3</v>
      </c>
      <c r="O558">
        <v>6.489084E-3</v>
      </c>
      <c r="P558">
        <v>0.98287449999999998</v>
      </c>
      <c r="Q558">
        <v>0.18204790000000001</v>
      </c>
      <c r="R558">
        <v>-2.8576730000000002E-2</v>
      </c>
      <c r="S558">
        <v>3.2428279999999998</v>
      </c>
      <c r="T558">
        <v>-1.080079</v>
      </c>
      <c r="U558">
        <v>-0.29302979999999901</v>
      </c>
      <c r="V558">
        <v>3.4893100000000003E-2</v>
      </c>
      <c r="W558">
        <v>0.18935279999999999</v>
      </c>
      <c r="X558">
        <v>0.98128899999999997</v>
      </c>
      <c r="Y558">
        <v>9.112547E-2</v>
      </c>
      <c r="Z558">
        <v>-1.7150579999999999E-2</v>
      </c>
      <c r="AA558">
        <v>0.99569169999999996</v>
      </c>
      <c r="AB558">
        <v>38</v>
      </c>
      <c r="AC558">
        <v>0.28849999999999898</v>
      </c>
      <c r="AD558">
        <v>-0.22488250000000001</v>
      </c>
      <c r="AE558">
        <v>-6.3699999999982895E-2</v>
      </c>
      <c r="AF558">
        <v>4.1517378915532997E-2</v>
      </c>
      <c r="AG558">
        <v>-0.22488250000000001</v>
      </c>
      <c r="AH558">
        <v>0.182403565706629</v>
      </c>
      <c r="AI558">
        <v>140.24457169028699</v>
      </c>
      <c r="AJ558">
        <v>77.177209786767307</v>
      </c>
      <c r="AK558">
        <v>0.29251819146979302</v>
      </c>
      <c r="AL558">
        <v>79.084983858696205</v>
      </c>
      <c r="AM558">
        <v>87.963509838979107</v>
      </c>
      <c r="AN558">
        <v>1.0000000564082201</v>
      </c>
    </row>
    <row r="559" spans="1:40" x14ac:dyDescent="0.25">
      <c r="A559" t="str">
        <f>"20190303162509002"</f>
        <v>20190303162509002</v>
      </c>
      <c r="B559" t="str">
        <f>"1551601508993580"</f>
        <v>1551601508993580</v>
      </c>
      <c r="C559" t="s">
        <v>40</v>
      </c>
      <c r="D559">
        <v>4.8240160000000003</v>
      </c>
      <c r="E559">
        <v>0.52544979999999997</v>
      </c>
      <c r="F559" t="s">
        <v>42</v>
      </c>
      <c r="G559">
        <v>-331.06040000000002</v>
      </c>
      <c r="H559">
        <v>0.81072559999999905</v>
      </c>
      <c r="I559">
        <v>367.23899999999998</v>
      </c>
      <c r="J559">
        <v>-331.62009999999998</v>
      </c>
      <c r="K559">
        <v>1.1203320000000001</v>
      </c>
      <c r="L559">
        <v>367.32569999999998</v>
      </c>
      <c r="M559">
        <v>0.99994989999999995</v>
      </c>
      <c r="N559">
        <v>-7.5092509999999998E-3</v>
      </c>
      <c r="O559">
        <v>6.6341689999999997E-3</v>
      </c>
      <c r="P559">
        <v>0.98278399999999999</v>
      </c>
      <c r="Q559">
        <v>0.18265439999999999</v>
      </c>
      <c r="R559">
        <v>-2.7807689999999999E-2</v>
      </c>
      <c r="S559">
        <v>3.2433169999999998</v>
      </c>
      <c r="T559">
        <v>-1.0773999999999999</v>
      </c>
      <c r="U559">
        <v>-0.29299930000000002</v>
      </c>
      <c r="V559">
        <v>3.4265660000000003E-2</v>
      </c>
      <c r="W559">
        <v>0.1900387</v>
      </c>
      <c r="X559">
        <v>0.98117849999999995</v>
      </c>
      <c r="Y559">
        <v>9.1258439999999996E-2</v>
      </c>
      <c r="Z559">
        <v>-1.7179570000000002E-2</v>
      </c>
      <c r="AA559">
        <v>0.99567899999999998</v>
      </c>
      <c r="AB559">
        <v>38</v>
      </c>
      <c r="AC559">
        <v>0.559699999999963</v>
      </c>
      <c r="AD559">
        <v>-0.309606399999999</v>
      </c>
      <c r="AE559">
        <v>-8.6699999999950705E-2</v>
      </c>
      <c r="AF559">
        <v>6.9610311355070995E-2</v>
      </c>
      <c r="AG559">
        <v>-0.309606399999999</v>
      </c>
      <c r="AH559">
        <v>0.43047690474342098</v>
      </c>
      <c r="AI559">
        <v>125.374540654233</v>
      </c>
      <c r="AJ559">
        <v>80.814491975647698</v>
      </c>
      <c r="AK559">
        <v>0.53480097595777298</v>
      </c>
      <c r="AL559">
        <v>79.0449578145695</v>
      </c>
      <c r="AM559">
        <v>87.999874500674196</v>
      </c>
      <c r="AN559">
        <v>1.00000004590758</v>
      </c>
    </row>
    <row r="560" spans="1:40" x14ac:dyDescent="0.25">
      <c r="A560" t="str">
        <f>"20190303162509021"</f>
        <v>20190303162509021</v>
      </c>
      <c r="B560" t="str">
        <f>"1551601509013101"</f>
        <v>1551601509013101</v>
      </c>
      <c r="C560" t="s">
        <v>40</v>
      </c>
      <c r="D560">
        <v>4.8463419999999999</v>
      </c>
      <c r="E560">
        <v>0.52558459999999996</v>
      </c>
      <c r="F560" t="s">
        <v>42</v>
      </c>
      <c r="G560">
        <v>-330.71730000000002</v>
      </c>
      <c r="H560">
        <v>0.82120700000000002</v>
      </c>
      <c r="I560">
        <v>367.2441</v>
      </c>
      <c r="J560">
        <v>-331.28289999999998</v>
      </c>
      <c r="K560">
        <v>1.1203479999999999</v>
      </c>
      <c r="L560">
        <v>367.32810000000001</v>
      </c>
      <c r="M560">
        <v>0.99994819999999995</v>
      </c>
      <c r="N560">
        <v>-7.5986580000000003E-3</v>
      </c>
      <c r="O560">
        <v>6.7658719999999896E-3</v>
      </c>
      <c r="P560">
        <v>0.98265550000000002</v>
      </c>
      <c r="Q560">
        <v>0.1835174</v>
      </c>
      <c r="R560">
        <v>-2.6640400000000002E-2</v>
      </c>
      <c r="S560">
        <v>3.244049</v>
      </c>
      <c r="T560">
        <v>-1.0749340000000001</v>
      </c>
      <c r="U560">
        <v>-0.29248049999999998</v>
      </c>
      <c r="V560">
        <v>3.3226289999999999E-2</v>
      </c>
      <c r="W560">
        <v>0.1909884</v>
      </c>
      <c r="X560">
        <v>0.98102979999999995</v>
      </c>
      <c r="Y560">
        <v>9.1230770000000003E-2</v>
      </c>
      <c r="Z560">
        <v>-1.717987E-2</v>
      </c>
      <c r="AA560">
        <v>0.99568159999999994</v>
      </c>
      <c r="AB560">
        <v>38</v>
      </c>
      <c r="AC560">
        <v>0.56559999999996002</v>
      </c>
      <c r="AD560">
        <v>-0.29914099999999899</v>
      </c>
      <c r="AE560">
        <v>-8.40000000000031E-2</v>
      </c>
      <c r="AF560">
        <v>6.8953199592262093E-2</v>
      </c>
      <c r="AG560">
        <v>-0.29914099999999899</v>
      </c>
      <c r="AH560">
        <v>0.44360789003617102</v>
      </c>
      <c r="AI560">
        <v>123.67690894863</v>
      </c>
      <c r="AJ560">
        <v>81.164802676149904</v>
      </c>
      <c r="AK560">
        <v>0.53946996368412703</v>
      </c>
      <c r="AL560">
        <v>78.989528427378005</v>
      </c>
      <c r="AM560">
        <v>88.060202892573002</v>
      </c>
      <c r="AN560">
        <v>1.00000001188488</v>
      </c>
    </row>
    <row r="561" spans="1:40" x14ac:dyDescent="0.25">
      <c r="A561" t="str">
        <f>"20190303162509045"</f>
        <v>20190303162509045</v>
      </c>
      <c r="B561" t="str">
        <f>"1551601509043356"</f>
        <v>1551601509043356</v>
      </c>
      <c r="C561" t="s">
        <v>40</v>
      </c>
      <c r="D561">
        <v>4.8715099999999998</v>
      </c>
      <c r="E561">
        <v>0.52577700000000005</v>
      </c>
      <c r="F561" t="s">
        <v>42</v>
      </c>
      <c r="G561">
        <v>-330.3777</v>
      </c>
      <c r="H561">
        <v>0.82144059999999897</v>
      </c>
      <c r="I561">
        <v>367.24680000000001</v>
      </c>
      <c r="J561">
        <v>-330.88900000000001</v>
      </c>
      <c r="K561">
        <v>1.120384</v>
      </c>
      <c r="L561">
        <v>367.33089999999999</v>
      </c>
      <c r="M561">
        <v>0.999946</v>
      </c>
      <c r="N561">
        <v>-7.7550819999999999E-3</v>
      </c>
      <c r="O561">
        <v>6.9190179999999999E-3</v>
      </c>
      <c r="P561">
        <v>0.98250899999999997</v>
      </c>
      <c r="Q561">
        <v>0.18447920000000001</v>
      </c>
      <c r="R561">
        <v>-2.5364729999999999E-2</v>
      </c>
      <c r="S561">
        <v>3.2451780000000001</v>
      </c>
      <c r="T561">
        <v>-1.07165</v>
      </c>
      <c r="U561">
        <v>-0.29107670000000002</v>
      </c>
      <c r="V561">
        <v>3.2099389999999998E-2</v>
      </c>
      <c r="W561">
        <v>0.1921023</v>
      </c>
      <c r="X561">
        <v>0.98084979999999999</v>
      </c>
      <c r="Y561">
        <v>9.0964139999999999E-2</v>
      </c>
      <c r="Z561">
        <v>-1.713607E-2</v>
      </c>
      <c r="AA561">
        <v>0.99570669999999994</v>
      </c>
      <c r="AB561">
        <v>38</v>
      </c>
      <c r="AC561">
        <v>0.51130000000000497</v>
      </c>
      <c r="AD561">
        <v>-0.29894340000000003</v>
      </c>
      <c r="AE561">
        <v>-8.4099999999977998E-2</v>
      </c>
      <c r="AF561">
        <v>6.5751269283495103E-2</v>
      </c>
      <c r="AG561">
        <v>-0.29894340000000003</v>
      </c>
      <c r="AH561">
        <v>0.38317175238128998</v>
      </c>
      <c r="AI561">
        <v>127.55820794132001</v>
      </c>
      <c r="AJ561">
        <v>80.263025747946102</v>
      </c>
      <c r="AK561">
        <v>0.49041918563500297</v>
      </c>
      <c r="AL561">
        <v>78.924502459174505</v>
      </c>
      <c r="AM561">
        <v>88.125601478458805</v>
      </c>
      <c r="AN561">
        <v>0.99999999733185096</v>
      </c>
    </row>
    <row r="562" spans="1:40" x14ac:dyDescent="0.25">
      <c r="A562" t="str">
        <f>"20190303162509068"</f>
        <v>20190303162509068</v>
      </c>
      <c r="B562" t="str">
        <f>"1551601509062878"</f>
        <v>1551601509062878</v>
      </c>
      <c r="C562" t="s">
        <v>40</v>
      </c>
      <c r="D562">
        <v>4.8782129999999997</v>
      </c>
      <c r="E562">
        <v>0.52590689999999995</v>
      </c>
      <c r="F562" t="s">
        <v>42</v>
      </c>
      <c r="G562">
        <v>-330.03140000000002</v>
      </c>
      <c r="H562">
        <v>0.83834969999999998</v>
      </c>
      <c r="I562">
        <v>367.25490000000002</v>
      </c>
      <c r="J562">
        <v>-330.48599999999999</v>
      </c>
      <c r="K562">
        <v>1.120439</v>
      </c>
      <c r="L562">
        <v>367.3338</v>
      </c>
      <c r="M562">
        <v>0.99994309999999997</v>
      </c>
      <c r="N562">
        <v>-8.0023249999999994E-3</v>
      </c>
      <c r="O562">
        <v>7.0752030000000004E-3</v>
      </c>
      <c r="P562">
        <v>0.98248619999999998</v>
      </c>
      <c r="Q562">
        <v>0.18465899999999999</v>
      </c>
      <c r="R562">
        <v>-2.494275E-2</v>
      </c>
      <c r="S562">
        <v>3.2464599999999999</v>
      </c>
      <c r="T562">
        <v>-1.0676699999999999</v>
      </c>
      <c r="U562">
        <v>-0.28723140000000003</v>
      </c>
      <c r="V562">
        <v>3.1829990000000002E-2</v>
      </c>
      <c r="W562">
        <v>0.19252440000000001</v>
      </c>
      <c r="X562">
        <v>0.98077579999999998</v>
      </c>
      <c r="Y562">
        <v>8.9996409999999999E-2</v>
      </c>
      <c r="Z562">
        <v>-1.6971050000000001E-2</v>
      </c>
      <c r="AA562">
        <v>0.9957975</v>
      </c>
      <c r="AB562">
        <v>38</v>
      </c>
      <c r="AC562">
        <v>0.45459999999996997</v>
      </c>
      <c r="AD562">
        <v>-0.28208929999999999</v>
      </c>
      <c r="AE562">
        <v>-7.8899999999975906E-2</v>
      </c>
      <c r="AF562">
        <v>5.97723331943186E-2</v>
      </c>
      <c r="AG562">
        <v>-0.28208929999999999</v>
      </c>
      <c r="AH562">
        <v>0.33049521856978198</v>
      </c>
      <c r="AI562">
        <v>130.02721339357799</v>
      </c>
      <c r="AJ562">
        <v>79.748478711286495</v>
      </c>
      <c r="AK562">
        <v>0.43860482725053301</v>
      </c>
      <c r="AL562">
        <v>78.8998577046127</v>
      </c>
      <c r="AM562">
        <v>88.141181490094297</v>
      </c>
      <c r="AN562">
        <v>0.99999998136219903</v>
      </c>
    </row>
    <row r="563" spans="1:40" x14ac:dyDescent="0.25">
      <c r="A563" t="str">
        <f>"20190303162509090"</f>
        <v>20190303162509090</v>
      </c>
      <c r="B563" t="str">
        <f>"1551601509083373"</f>
        <v>1551601509083373</v>
      </c>
      <c r="C563" t="s">
        <v>40</v>
      </c>
      <c r="D563">
        <v>4.89262</v>
      </c>
      <c r="E563">
        <v>0.52604200000000001</v>
      </c>
      <c r="F563" t="s">
        <v>42</v>
      </c>
      <c r="G563">
        <v>-329.68430000000001</v>
      </c>
      <c r="H563">
        <v>0.85698459999999999</v>
      </c>
      <c r="I563">
        <v>367.26299999999998</v>
      </c>
      <c r="J563">
        <v>-330.11599999999999</v>
      </c>
      <c r="K563">
        <v>1.120503</v>
      </c>
      <c r="L563">
        <v>367.3365</v>
      </c>
      <c r="M563">
        <v>0.99993929999999998</v>
      </c>
      <c r="N563">
        <v>-8.3170599999999994E-3</v>
      </c>
      <c r="O563">
        <v>7.2201339999999996E-3</v>
      </c>
      <c r="P563">
        <v>0.98249470000000005</v>
      </c>
      <c r="Q563">
        <v>0.18462519999999999</v>
      </c>
      <c r="R563">
        <v>-2.4855269999999999E-2</v>
      </c>
      <c r="S563">
        <v>3.2467350000000001</v>
      </c>
      <c r="T563">
        <v>-1.0668879999999901</v>
      </c>
      <c r="U563">
        <v>-0.2866821</v>
      </c>
      <c r="V563">
        <v>3.1883630000000003E-2</v>
      </c>
      <c r="W563">
        <v>0.19279950000000001</v>
      </c>
      <c r="X563">
        <v>0.98072000000000004</v>
      </c>
      <c r="Y563">
        <v>8.9964630000000004E-2</v>
      </c>
      <c r="Z563">
        <v>-1.7010560000000001E-2</v>
      </c>
      <c r="AA563">
        <v>0.99579969999999995</v>
      </c>
      <c r="AB563">
        <v>38</v>
      </c>
      <c r="AC563">
        <v>0.43169999999997699</v>
      </c>
      <c r="AD563">
        <v>-0.26351839999999999</v>
      </c>
      <c r="AE563">
        <v>-7.3499999999967203E-2</v>
      </c>
      <c r="AF563">
        <v>5.6247136511524597E-2</v>
      </c>
      <c r="AG563">
        <v>-0.26351839999999999</v>
      </c>
      <c r="AH563">
        <v>0.31653548793758801</v>
      </c>
      <c r="AI563">
        <v>129.3403739302</v>
      </c>
      <c r="AJ563">
        <v>79.923935899237193</v>
      </c>
      <c r="AK563">
        <v>0.415692678102697</v>
      </c>
      <c r="AL563">
        <v>78.883794521955195</v>
      </c>
      <c r="AM563">
        <v>88.137945341662501</v>
      </c>
      <c r="AN563">
        <v>0.99999996573111205</v>
      </c>
    </row>
    <row r="564" spans="1:40" x14ac:dyDescent="0.25">
      <c r="A564" t="str">
        <f>"20190303162509112"</f>
        <v>20190303162509112</v>
      </c>
      <c r="B564" t="str">
        <f>"1551601509102893"</f>
        <v>1551601509102893</v>
      </c>
      <c r="C564" t="s">
        <v>40</v>
      </c>
      <c r="D564">
        <v>4.9137959999999996</v>
      </c>
      <c r="E564">
        <v>0.52614439999999996</v>
      </c>
      <c r="F564" t="s">
        <v>42</v>
      </c>
      <c r="G564">
        <v>-329.34089999999998</v>
      </c>
      <c r="H564">
        <v>0.86601649999999997</v>
      </c>
      <c r="I564">
        <v>367.26729999999998</v>
      </c>
      <c r="J564">
        <v>-329.74529999999999</v>
      </c>
      <c r="K564">
        <v>1.120582</v>
      </c>
      <c r="L564">
        <v>367.33929999999998</v>
      </c>
      <c r="M564">
        <v>0.99993500000000002</v>
      </c>
      <c r="N564">
        <v>-8.7203369999999999E-3</v>
      </c>
      <c r="O564">
        <v>7.3607250000000003E-3</v>
      </c>
      <c r="P564">
        <v>0.98263509999999998</v>
      </c>
      <c r="Q564">
        <v>0.18388199999999999</v>
      </c>
      <c r="R564">
        <v>-2.4821929999999999E-2</v>
      </c>
      <c r="S564">
        <v>3.2464900000000001</v>
      </c>
      <c r="T564">
        <v>-1.066006</v>
      </c>
      <c r="U564">
        <v>-0.28863529999999998</v>
      </c>
      <c r="V564">
        <v>3.1987849999999998E-2</v>
      </c>
      <c r="W564">
        <v>0.19245329999999999</v>
      </c>
      <c r="X564">
        <v>0.98078469999999995</v>
      </c>
      <c r="Y564">
        <v>9.0663800000000003E-2</v>
      </c>
      <c r="Z564">
        <v>-1.7172550000000002E-2</v>
      </c>
      <c r="AA564">
        <v>0.99573350000000005</v>
      </c>
      <c r="AB564">
        <v>38</v>
      </c>
      <c r="AC564">
        <v>0.40440000000000897</v>
      </c>
      <c r="AD564">
        <v>-0.254565499999999</v>
      </c>
      <c r="AE564">
        <v>-7.2000000000002701E-2</v>
      </c>
      <c r="AF564">
        <v>5.4169365072825097E-2</v>
      </c>
      <c r="AG564">
        <v>-0.254565499999999</v>
      </c>
      <c r="AH564">
        <v>0.29178839969408599</v>
      </c>
      <c r="AI564">
        <v>130.62219033537599</v>
      </c>
      <c r="AJ564">
        <v>79.482994770335097</v>
      </c>
      <c r="AK564">
        <v>0.39099665484333601</v>
      </c>
      <c r="AL564">
        <v>78.904009969003596</v>
      </c>
      <c r="AM564">
        <v>88.131986183051396</v>
      </c>
      <c r="AN564">
        <v>1.0000000614912901</v>
      </c>
    </row>
    <row r="565" spans="1:40" x14ac:dyDescent="0.25">
      <c r="A565" t="str">
        <f>"20190303162509134"</f>
        <v>20190303162509134</v>
      </c>
      <c r="B565" t="str">
        <f>"1551601509123388"</f>
        <v>1551601509123388</v>
      </c>
      <c r="C565" t="s">
        <v>40</v>
      </c>
      <c r="D565">
        <v>4.9296829999999998</v>
      </c>
      <c r="E565">
        <v>0.52623769999999903</v>
      </c>
      <c r="F565" t="s">
        <v>42</v>
      </c>
      <c r="G565">
        <v>-328.99790000000002</v>
      </c>
      <c r="H565">
        <v>0.87452569999999996</v>
      </c>
      <c r="I565">
        <v>367.2722</v>
      </c>
      <c r="J565">
        <v>-329.3777</v>
      </c>
      <c r="K565">
        <v>1.120671</v>
      </c>
      <c r="L565">
        <v>367.34219999999999</v>
      </c>
      <c r="M565">
        <v>0.99992959999999997</v>
      </c>
      <c r="N565">
        <v>-9.2065050000000002E-3</v>
      </c>
      <c r="O565">
        <v>7.495898E-3</v>
      </c>
      <c r="P565">
        <v>0.98282150000000001</v>
      </c>
      <c r="Q565">
        <v>0.1828507</v>
      </c>
      <c r="R565">
        <v>-2.505833E-2</v>
      </c>
      <c r="S565">
        <v>3.2456360000000002</v>
      </c>
      <c r="T565">
        <v>-1.068527</v>
      </c>
      <c r="U565">
        <v>-0.2906494</v>
      </c>
      <c r="V565">
        <v>3.2357959999999998E-2</v>
      </c>
      <c r="W565">
        <v>0.1919006</v>
      </c>
      <c r="X565">
        <v>0.9808808</v>
      </c>
      <c r="Y565">
        <v>9.1357830000000001E-2</v>
      </c>
      <c r="Z565">
        <v>-1.7389870000000002E-2</v>
      </c>
      <c r="AA565">
        <v>0.9956663</v>
      </c>
      <c r="AB565">
        <v>38</v>
      </c>
      <c r="AC565">
        <v>0.37979999999998798</v>
      </c>
      <c r="AD565">
        <v>-0.24614530000000001</v>
      </c>
      <c r="AE565">
        <v>-6.9999999999993096E-2</v>
      </c>
      <c r="AF565">
        <v>5.1801915868652099E-2</v>
      </c>
      <c r="AG565">
        <v>-0.24614530000000001</v>
      </c>
      <c r="AH565">
        <v>0.26970425918912599</v>
      </c>
      <c r="AI565">
        <v>131.868815283316</v>
      </c>
      <c r="AJ565">
        <v>79.127643722616099</v>
      </c>
      <c r="AK565">
        <v>0.36879714562955601</v>
      </c>
      <c r="AL565">
        <v>78.936278259370695</v>
      </c>
      <c r="AM565">
        <v>88.110573222112194</v>
      </c>
      <c r="AN565">
        <v>1.00000001083218</v>
      </c>
    </row>
    <row r="566" spans="1:40" x14ac:dyDescent="0.25">
      <c r="A566" t="str">
        <f>"20190303162509158"</f>
        <v>20190303162509158</v>
      </c>
      <c r="B566" t="str">
        <f>"1551601509153645"</f>
        <v>1551601509153645</v>
      </c>
      <c r="C566" t="s">
        <v>40</v>
      </c>
      <c r="D566">
        <v>4.9668519999999896</v>
      </c>
      <c r="E566">
        <v>0.52640189999999998</v>
      </c>
      <c r="F566" t="s">
        <v>42</v>
      </c>
      <c r="G566">
        <v>-328.65559999999999</v>
      </c>
      <c r="H566">
        <v>0.88218830000000004</v>
      </c>
      <c r="I566">
        <v>367.27710000000002</v>
      </c>
      <c r="J566">
        <v>-328.96620000000001</v>
      </c>
      <c r="K566">
        <v>1.1207739999999999</v>
      </c>
      <c r="L566">
        <v>367.34550000000002</v>
      </c>
      <c r="M566">
        <v>0.99992259999999999</v>
      </c>
      <c r="N566">
        <v>-9.8137199999999997E-3</v>
      </c>
      <c r="O566">
        <v>7.6495869999999898E-3</v>
      </c>
      <c r="P566">
        <v>0.98296439999999996</v>
      </c>
      <c r="Q566">
        <v>0.18206900000000001</v>
      </c>
      <c r="R566">
        <v>-2.514222E-2</v>
      </c>
      <c r="S566">
        <v>3.244354</v>
      </c>
      <c r="T566">
        <v>-1.0715220000000001</v>
      </c>
      <c r="U566">
        <v>-0.29159550000000001</v>
      </c>
      <c r="V566">
        <v>3.2595079999999998E-2</v>
      </c>
      <c r="W566">
        <v>0.1917162</v>
      </c>
      <c r="X566">
        <v>0.98090900000000003</v>
      </c>
      <c r="Y566">
        <v>9.1763529999999996E-2</v>
      </c>
      <c r="Z566">
        <v>-1.758065E-2</v>
      </c>
      <c r="AA566">
        <v>0.9956256</v>
      </c>
      <c r="AB566">
        <v>38</v>
      </c>
      <c r="AC566">
        <v>0.31060000000002203</v>
      </c>
      <c r="AD566">
        <v>-0.23858569999999901</v>
      </c>
      <c r="AE566">
        <v>-6.8399999999996894E-2</v>
      </c>
      <c r="AF566">
        <v>4.5288031010175103E-2</v>
      </c>
      <c r="AG566">
        <v>-0.23858569999999901</v>
      </c>
      <c r="AH566">
        <v>0.19841098064353899</v>
      </c>
      <c r="AI566">
        <v>139.535774878513</v>
      </c>
      <c r="AJ566">
        <v>77.142302861867194</v>
      </c>
      <c r="AK566">
        <v>0.31359378060988302</v>
      </c>
      <c r="AL566">
        <v>78.947043402697901</v>
      </c>
      <c r="AM566">
        <v>88.096792274440503</v>
      </c>
      <c r="AN566">
        <v>1.0000000034318199</v>
      </c>
    </row>
    <row r="567" spans="1:40" x14ac:dyDescent="0.25">
      <c r="A567" t="str">
        <f>"20190303162509181"</f>
        <v>20190303162509181</v>
      </c>
      <c r="B567" t="str">
        <f>"1551601509173164"</f>
        <v>1551601509173164</v>
      </c>
      <c r="C567" t="s">
        <v>40</v>
      </c>
      <c r="D567">
        <v>5.0030659999999996</v>
      </c>
      <c r="E567">
        <v>0.52650090000000005</v>
      </c>
      <c r="F567" t="s">
        <v>42</v>
      </c>
      <c r="G567">
        <v>-328.00889999999998</v>
      </c>
      <c r="H567">
        <v>0.80388899999999996</v>
      </c>
      <c r="I567">
        <v>367.25909999999999</v>
      </c>
      <c r="J567">
        <v>-328.58030000000002</v>
      </c>
      <c r="K567">
        <v>1.1208480000000001</v>
      </c>
      <c r="L567">
        <v>367.34859999999998</v>
      </c>
      <c r="M567">
        <v>0.99991580000000002</v>
      </c>
      <c r="N567">
        <v>-1.038445E-2</v>
      </c>
      <c r="O567">
        <v>7.7986629999999999E-3</v>
      </c>
      <c r="P567">
        <v>0.98302239999999996</v>
      </c>
      <c r="Q567">
        <v>0.1817482</v>
      </c>
      <c r="R567">
        <v>-2.519099E-2</v>
      </c>
      <c r="S567">
        <v>3.2433779999999999</v>
      </c>
      <c r="T567">
        <v>-1.073685</v>
      </c>
      <c r="U567">
        <v>-0.29190060000000001</v>
      </c>
      <c r="V567">
        <v>3.2792750000000002E-2</v>
      </c>
      <c r="W567">
        <v>0.19195490000000001</v>
      </c>
      <c r="X567">
        <v>0.9808557</v>
      </c>
      <c r="Y567">
        <v>9.1980770000000003E-2</v>
      </c>
      <c r="Z567">
        <v>-1.7723800000000001E-2</v>
      </c>
      <c r="AA567">
        <v>0.99560300000000002</v>
      </c>
      <c r="AB567">
        <v>38</v>
      </c>
      <c r="AC567">
        <v>0.57140000000003899</v>
      </c>
      <c r="AD567">
        <v>-0.31695899999999999</v>
      </c>
      <c r="AE567">
        <v>-8.9499999999986798E-2</v>
      </c>
      <c r="AF567">
        <v>7.2253689327710202E-2</v>
      </c>
      <c r="AG567">
        <v>-0.31695899999999999</v>
      </c>
      <c r="AH567">
        <v>0.43887659133092199</v>
      </c>
      <c r="AI567">
        <v>125.474147319097</v>
      </c>
      <c r="AJ567">
        <v>80.651071173020895</v>
      </c>
      <c r="AK567">
        <v>0.54616505355131795</v>
      </c>
      <c r="AL567">
        <v>78.933107774890004</v>
      </c>
      <c r="AM567">
        <v>88.085155033667505</v>
      </c>
      <c r="AN567">
        <v>0.99999997615453096</v>
      </c>
    </row>
    <row r="568" spans="1:40" x14ac:dyDescent="0.25">
      <c r="A568" t="str">
        <f>"20190303162509202"</f>
        <v>20190303162509202</v>
      </c>
      <c r="B568" t="str">
        <f>"1551601509192685"</f>
        <v>1551601509192685</v>
      </c>
      <c r="C568" t="s">
        <v>40</v>
      </c>
      <c r="D568">
        <v>4.9913980000000002</v>
      </c>
      <c r="E568">
        <v>0.52659480000000003</v>
      </c>
      <c r="F568" t="s">
        <v>42</v>
      </c>
      <c r="G568">
        <v>-327.66550000000001</v>
      </c>
      <c r="H568">
        <v>0.81771839999999996</v>
      </c>
      <c r="I568">
        <v>367.2663</v>
      </c>
      <c r="J568">
        <v>-328.2226</v>
      </c>
      <c r="K568">
        <v>1.120908</v>
      </c>
      <c r="L568">
        <v>367.35140000000001</v>
      </c>
      <c r="M568">
        <v>0.99990939999999995</v>
      </c>
      <c r="N568">
        <v>-1.088157E-2</v>
      </c>
      <c r="O568">
        <v>7.9384999999999994E-3</v>
      </c>
      <c r="P568">
        <v>0.98308070000000003</v>
      </c>
      <c r="Q568">
        <v>0.18142440000000001</v>
      </c>
      <c r="R568">
        <v>-2.525492E-2</v>
      </c>
      <c r="S568">
        <v>3.2430729999999999</v>
      </c>
      <c r="T568">
        <v>-1.0746719999999901</v>
      </c>
      <c r="U568">
        <v>-0.29141240000000002</v>
      </c>
      <c r="V568">
        <v>3.2995690000000001E-2</v>
      </c>
      <c r="W568">
        <v>0.1921196</v>
      </c>
      <c r="X568">
        <v>0.98081669999999999</v>
      </c>
      <c r="Y568">
        <v>9.1956769999999993E-2</v>
      </c>
      <c r="Z568">
        <v>-1.7799929999999999E-2</v>
      </c>
      <c r="AA568">
        <v>0.99560389999999999</v>
      </c>
      <c r="AB568">
        <v>38</v>
      </c>
      <c r="AC568">
        <v>0.55709999999999105</v>
      </c>
      <c r="AD568">
        <v>-0.303189599999999</v>
      </c>
      <c r="AE568">
        <v>-8.5100000000011194E-2</v>
      </c>
      <c r="AF568">
        <v>6.9426071889919699E-2</v>
      </c>
      <c r="AG568">
        <v>-0.303189599999999</v>
      </c>
      <c r="AH568">
        <v>0.43151351915205699</v>
      </c>
      <c r="AI568">
        <v>124.748968300382</v>
      </c>
      <c r="AJ568">
        <v>80.860027480492207</v>
      </c>
      <c r="AK568">
        <v>0.53192840704103805</v>
      </c>
      <c r="AL568">
        <v>78.923492768412004</v>
      </c>
      <c r="AM568">
        <v>88.073237246044002</v>
      </c>
      <c r="AN568">
        <v>1.0000000276308101</v>
      </c>
    </row>
    <row r="569" spans="1:40" x14ac:dyDescent="0.25">
      <c r="A569" t="str">
        <f>"20190303162509223"</f>
        <v>20190303162509223</v>
      </c>
      <c r="B569" t="str">
        <f>"1551601509213181"</f>
        <v>1551601509213181</v>
      </c>
      <c r="C569" t="s">
        <v>40</v>
      </c>
      <c r="D569">
        <v>5.0255720000000004</v>
      </c>
      <c r="E569">
        <v>0.52666089999999999</v>
      </c>
      <c r="F569" t="s">
        <v>42</v>
      </c>
      <c r="G569">
        <v>-327.32560000000001</v>
      </c>
      <c r="H569">
        <v>0.82343569999999999</v>
      </c>
      <c r="I569">
        <v>367.27010000000001</v>
      </c>
      <c r="J569">
        <v>-327.85750000000002</v>
      </c>
      <c r="K569">
        <v>1.12096</v>
      </c>
      <c r="L569">
        <v>367.35449999999997</v>
      </c>
      <c r="M569">
        <v>0.99990310000000004</v>
      </c>
      <c r="N569">
        <v>-1.134772E-2</v>
      </c>
      <c r="O569">
        <v>8.0794700000000001E-3</v>
      </c>
      <c r="P569">
        <v>0.98319000000000001</v>
      </c>
      <c r="Q569">
        <v>0.1808012</v>
      </c>
      <c r="R569">
        <v>-2.546996E-2</v>
      </c>
      <c r="S569">
        <v>3.2425540000000002</v>
      </c>
      <c r="T569">
        <v>-1.0752699999999999</v>
      </c>
      <c r="U569">
        <v>-0.29299930000000002</v>
      </c>
      <c r="V569">
        <v>3.3350709999999999E-2</v>
      </c>
      <c r="W569">
        <v>0.19195490000000001</v>
      </c>
      <c r="X569">
        <v>0.98083690000000001</v>
      </c>
      <c r="Y569">
        <v>9.2542029999999997E-2</v>
      </c>
      <c r="Z569">
        <v>-1.7971540000000001E-2</v>
      </c>
      <c r="AA569">
        <v>0.99554659999999995</v>
      </c>
      <c r="AB569">
        <v>38</v>
      </c>
      <c r="AC569">
        <v>0.53190000000000703</v>
      </c>
      <c r="AD569">
        <v>-0.29752430000000002</v>
      </c>
      <c r="AE569">
        <v>-8.4399999999959605E-2</v>
      </c>
      <c r="AF569">
        <v>6.7955059067184395E-2</v>
      </c>
      <c r="AG569">
        <v>-0.29752430000000002</v>
      </c>
      <c r="AH569">
        <v>0.406987739835247</v>
      </c>
      <c r="AI569">
        <v>125.793781892471</v>
      </c>
      <c r="AJ569">
        <v>80.520725326555507</v>
      </c>
      <c r="AK569">
        <v>0.50870189651653297</v>
      </c>
      <c r="AL569">
        <v>78.933107918245298</v>
      </c>
      <c r="AM569">
        <v>88.052562029943601</v>
      </c>
      <c r="AN569">
        <v>0.99999998894656195</v>
      </c>
    </row>
    <row r="570" spans="1:40" x14ac:dyDescent="0.25">
      <c r="A570" t="str">
        <f>"20190303162509246"</f>
        <v>20190303162509246</v>
      </c>
      <c r="B570" t="str">
        <f>"1551601509243438"</f>
        <v>1551601509243438</v>
      </c>
      <c r="C570" t="s">
        <v>40</v>
      </c>
      <c r="D570">
        <v>5.0613799999999998</v>
      </c>
      <c r="E570">
        <v>0.52674330000000003</v>
      </c>
      <c r="F570" t="s">
        <v>42</v>
      </c>
      <c r="G570">
        <v>-326.98540000000003</v>
      </c>
      <c r="H570">
        <v>0.83109619999999995</v>
      </c>
      <c r="I570">
        <v>367.27519999999998</v>
      </c>
      <c r="J570">
        <v>-327.4803</v>
      </c>
      <c r="K570">
        <v>1.1209990000000001</v>
      </c>
      <c r="L570">
        <v>367.35770000000002</v>
      </c>
      <c r="M570">
        <v>0.99989680000000003</v>
      </c>
      <c r="N570">
        <v>-1.1784889999999999E-2</v>
      </c>
      <c r="O570">
        <v>8.2225409999999999E-3</v>
      </c>
      <c r="P570">
        <v>0.98342969999999996</v>
      </c>
      <c r="Q570">
        <v>0.17945929999999999</v>
      </c>
      <c r="R570">
        <v>-2.5703449999999999E-2</v>
      </c>
      <c r="S570">
        <v>3.2418209999999998</v>
      </c>
      <c r="T570">
        <v>-1.0774060000000001</v>
      </c>
      <c r="U570">
        <v>-0.29483029999999999</v>
      </c>
      <c r="V570">
        <v>3.3727279999999998E-2</v>
      </c>
      <c r="W570">
        <v>0.1910442</v>
      </c>
      <c r="X570">
        <v>0.98100189999999998</v>
      </c>
      <c r="Y570">
        <v>9.3190419999999996E-2</v>
      </c>
      <c r="Z570">
        <v>-1.8178630000000001E-2</v>
      </c>
      <c r="AA570">
        <v>0.99548230000000004</v>
      </c>
      <c r="AB570">
        <v>38</v>
      </c>
      <c r="AC570">
        <v>0.49489999999997197</v>
      </c>
      <c r="AD570">
        <v>-0.28990280000000002</v>
      </c>
      <c r="AE570">
        <v>-8.2500000000038598E-2</v>
      </c>
      <c r="AF570">
        <v>6.4899427940260296E-2</v>
      </c>
      <c r="AG570">
        <v>-0.28990280000000002</v>
      </c>
      <c r="AH570">
        <v>0.37050696275754702</v>
      </c>
      <c r="AI570">
        <v>127.621967651243</v>
      </c>
      <c r="AJ570">
        <v>80.064645511172699</v>
      </c>
      <c r="AK570">
        <v>0.47490101984164601</v>
      </c>
      <c r="AL570">
        <v>78.986272017902806</v>
      </c>
      <c r="AM570">
        <v>88.030921295186204</v>
      </c>
      <c r="AN570">
        <v>1.0000000717867199</v>
      </c>
    </row>
    <row r="571" spans="1:40" x14ac:dyDescent="0.25">
      <c r="A571" t="str">
        <f>"20190303162509269"</f>
        <v>20190303162509269</v>
      </c>
      <c r="B571" t="str">
        <f>"1551601509262957"</f>
        <v>1551601509262957</v>
      </c>
      <c r="C571" t="s">
        <v>40</v>
      </c>
      <c r="D571">
        <v>5.0548299999999999</v>
      </c>
      <c r="E571">
        <v>0.52679690000000001</v>
      </c>
      <c r="F571" t="s">
        <v>42</v>
      </c>
      <c r="G571">
        <v>-326.64429999999999</v>
      </c>
      <c r="H571">
        <v>0.84182199999999996</v>
      </c>
      <c r="I571">
        <v>367.28100000000001</v>
      </c>
      <c r="J571">
        <v>-327.07940000000002</v>
      </c>
      <c r="K571">
        <v>1.1210290000000001</v>
      </c>
      <c r="L571">
        <v>367.36110000000002</v>
      </c>
      <c r="M571">
        <v>0.99989059999999996</v>
      </c>
      <c r="N571">
        <v>-1.2201419999999999E-2</v>
      </c>
      <c r="O571">
        <v>8.3730300000000001E-3</v>
      </c>
      <c r="P571">
        <v>0.9835528</v>
      </c>
      <c r="Q571">
        <v>0.17879419999999999</v>
      </c>
      <c r="R571">
        <v>-2.5625120000000001E-2</v>
      </c>
      <c r="S571">
        <v>3.2402340000000001</v>
      </c>
      <c r="T571">
        <v>-1.081933</v>
      </c>
      <c r="U571">
        <v>-0.29653930000000001</v>
      </c>
      <c r="V571">
        <v>3.3798120000000001E-2</v>
      </c>
      <c r="W571">
        <v>0.1907895</v>
      </c>
      <c r="X571">
        <v>0.9810489</v>
      </c>
      <c r="Y571">
        <v>9.3807189999999999E-2</v>
      </c>
      <c r="Z571">
        <v>-1.8424889999999999E-2</v>
      </c>
      <c r="AA571">
        <v>0.99541990000000002</v>
      </c>
      <c r="AB571">
        <v>38</v>
      </c>
      <c r="AC571">
        <v>0.43510000000003302</v>
      </c>
      <c r="AD571">
        <v>-0.27920699999999998</v>
      </c>
      <c r="AE571">
        <v>-8.0100000000015797E-2</v>
      </c>
      <c r="AF571">
        <v>5.9887832275404097E-2</v>
      </c>
      <c r="AG571">
        <v>-0.27920699999999998</v>
      </c>
      <c r="AH571">
        <v>0.31067515266232898</v>
      </c>
      <c r="AI571">
        <v>131.427250510986</v>
      </c>
      <c r="AJ571">
        <v>79.089112339224897</v>
      </c>
      <c r="AK571">
        <v>0.42197411269580098</v>
      </c>
      <c r="AL571">
        <v>79.001137297042604</v>
      </c>
      <c r="AM571">
        <v>88.026883211424902</v>
      </c>
      <c r="AN571">
        <v>0.999999945208495</v>
      </c>
    </row>
    <row r="572" spans="1:40" x14ac:dyDescent="0.25">
      <c r="A572" t="str">
        <f>"20190303162509291"</f>
        <v>20190303162509291</v>
      </c>
      <c r="B572" t="str">
        <f>"1551601509283452"</f>
        <v>1551601509283452</v>
      </c>
      <c r="C572" t="s">
        <v>40</v>
      </c>
      <c r="D572">
        <v>5.0763530000000001</v>
      </c>
      <c r="E572">
        <v>0.52684160000000002</v>
      </c>
      <c r="F572" t="s">
        <v>42</v>
      </c>
      <c r="G572">
        <v>-326.3005</v>
      </c>
      <c r="H572">
        <v>0.86043879999999995</v>
      </c>
      <c r="I572">
        <v>367.28980000000001</v>
      </c>
      <c r="J572">
        <v>-326.71870000000001</v>
      </c>
      <c r="K572">
        <v>1.121048</v>
      </c>
      <c r="L572">
        <v>367.36430000000001</v>
      </c>
      <c r="M572">
        <v>0.99988520000000003</v>
      </c>
      <c r="N572">
        <v>-1.2534770000000001E-2</v>
      </c>
      <c r="O572">
        <v>8.5083229999999999E-3</v>
      </c>
      <c r="P572">
        <v>0.98353199999999996</v>
      </c>
      <c r="Q572">
        <v>0.17899289999999901</v>
      </c>
      <c r="R572">
        <v>-2.5021669999999999E-2</v>
      </c>
      <c r="S572">
        <v>3.239471</v>
      </c>
      <c r="T572">
        <v>-1.0838030000000001</v>
      </c>
      <c r="U572">
        <v>-0.29669190000000001</v>
      </c>
      <c r="V572">
        <v>3.332769E-2</v>
      </c>
      <c r="W572">
        <v>0.19131509999999999</v>
      </c>
      <c r="X572">
        <v>0.98096269999999997</v>
      </c>
      <c r="Y572">
        <v>9.3967910000000002E-2</v>
      </c>
      <c r="Z572">
        <v>-1.8541209999999999E-2</v>
      </c>
      <c r="AA572">
        <v>0.99540260000000003</v>
      </c>
      <c r="AB572">
        <v>38</v>
      </c>
      <c r="AC572">
        <v>0.41820000000001201</v>
      </c>
      <c r="AD572">
        <v>-0.26060919999999999</v>
      </c>
      <c r="AE572">
        <v>-7.4500000000000399E-2</v>
      </c>
      <c r="AF572">
        <v>5.6710319985333497E-2</v>
      </c>
      <c r="AG572">
        <v>-0.26060919999999999</v>
      </c>
      <c r="AH572">
        <v>0.30336577893394101</v>
      </c>
      <c r="AI572">
        <v>130.17880049648701</v>
      </c>
      <c r="AJ572">
        <v>79.411504159753406</v>
      </c>
      <c r="AK572">
        <v>0.40393565248152502</v>
      </c>
      <c r="AL572">
        <v>78.970458237428602</v>
      </c>
      <c r="AM572">
        <v>88.054154573907397</v>
      </c>
      <c r="AN572">
        <v>1.00000001060001</v>
      </c>
    </row>
    <row r="573" spans="1:40" x14ac:dyDescent="0.25">
      <c r="A573" t="str">
        <f>"20190303162509313"</f>
        <v>20190303162509313</v>
      </c>
      <c r="B573" t="str">
        <f>"1551601509302973"</f>
        <v>1551601509302973</v>
      </c>
      <c r="C573" t="s">
        <v>40</v>
      </c>
      <c r="D573">
        <v>5.1004319999999996</v>
      </c>
      <c r="E573">
        <v>0.52688259999999998</v>
      </c>
      <c r="F573" t="s">
        <v>42</v>
      </c>
      <c r="G573">
        <v>-325.96140000000003</v>
      </c>
      <c r="H573">
        <v>0.86790599999999996</v>
      </c>
      <c r="I573">
        <v>367.29480000000001</v>
      </c>
      <c r="J573">
        <v>-326.35599999999999</v>
      </c>
      <c r="K573">
        <v>1.121065</v>
      </c>
      <c r="L573">
        <v>367.36750000000001</v>
      </c>
      <c r="M573">
        <v>0.99988030000000006</v>
      </c>
      <c r="N573">
        <v>-1.2832619999999999E-2</v>
      </c>
      <c r="O573">
        <v>8.6450869999999992E-3</v>
      </c>
      <c r="P573">
        <v>0.9835931</v>
      </c>
      <c r="Q573">
        <v>0.17872969999999999</v>
      </c>
      <c r="R573">
        <v>-2.4510319999999999E-2</v>
      </c>
      <c r="S573">
        <v>3.2397459999999998</v>
      </c>
      <c r="T573">
        <v>-1.082878</v>
      </c>
      <c r="U573">
        <v>-0.29580689999999998</v>
      </c>
      <c r="V573">
        <v>3.2951649999999999E-2</v>
      </c>
      <c r="W573">
        <v>0.1913446</v>
      </c>
      <c r="X573">
        <v>0.98096969999999994</v>
      </c>
      <c r="Y573">
        <v>9.3833539999999993E-2</v>
      </c>
      <c r="Z573">
        <v>-1.8557290000000001E-2</v>
      </c>
      <c r="AA573">
        <v>0.99541489999999999</v>
      </c>
      <c r="AB573">
        <v>38</v>
      </c>
      <c r="AC573">
        <v>0.39459999999996798</v>
      </c>
      <c r="AD573">
        <v>-0.25315900000000002</v>
      </c>
      <c r="AE573">
        <v>-7.2699999999997503E-2</v>
      </c>
      <c r="AF573">
        <v>5.44379731981545E-2</v>
      </c>
      <c r="AG573">
        <v>-0.25315900000000002</v>
      </c>
      <c r="AH573">
        <v>0.28178307872303099</v>
      </c>
      <c r="AI573">
        <v>131.41575698783601</v>
      </c>
      <c r="AJ573">
        <v>79.065672448346305</v>
      </c>
      <c r="AK573">
        <v>0.38269397128979299</v>
      </c>
      <c r="AL573">
        <v>78.968736747670505</v>
      </c>
      <c r="AM573">
        <v>88.076106887101304</v>
      </c>
      <c r="AN573">
        <v>1.0000000597524801</v>
      </c>
    </row>
    <row r="574" spans="1:40" x14ac:dyDescent="0.25">
      <c r="A574" t="str">
        <f>"20190303162509327"</f>
        <v>20190303162509327</v>
      </c>
      <c r="B574" t="str">
        <f>"1551601509323469"</f>
        <v>1551601509323469</v>
      </c>
      <c r="C574" t="s">
        <v>40</v>
      </c>
      <c r="D574">
        <v>5.1234460000000004</v>
      </c>
      <c r="E574">
        <v>0.52692109999999903</v>
      </c>
      <c r="F574" t="s">
        <v>42</v>
      </c>
      <c r="G574">
        <v>-325.62259999999998</v>
      </c>
      <c r="H574">
        <v>0.87576679999999996</v>
      </c>
      <c r="I574">
        <v>367.30090000000001</v>
      </c>
      <c r="J574">
        <v>-326.11900000000003</v>
      </c>
      <c r="K574">
        <v>1.1210719999999901</v>
      </c>
      <c r="L574">
        <v>367.36959999999999</v>
      </c>
      <c r="M574">
        <v>0.99987729999999997</v>
      </c>
      <c r="N574">
        <v>-1.300689E-2</v>
      </c>
      <c r="O574">
        <v>8.7351010000000003E-3</v>
      </c>
      <c r="P574">
        <v>0.98364739999999995</v>
      </c>
      <c r="Q574">
        <v>0.17841660000000001</v>
      </c>
      <c r="R574">
        <v>-2.460263E-2</v>
      </c>
      <c r="S574">
        <v>3.2396240000000001</v>
      </c>
      <c r="T574">
        <v>-1.0836110000000001</v>
      </c>
      <c r="U574">
        <v>-0.2943115</v>
      </c>
      <c r="V574">
        <v>3.31334E-2</v>
      </c>
      <c r="W574">
        <v>0.19120329999999999</v>
      </c>
      <c r="X574">
        <v>0.9809911</v>
      </c>
      <c r="Y574">
        <v>9.3476000000000004E-2</v>
      </c>
      <c r="Z574">
        <v>-1.854447E-2</v>
      </c>
      <c r="AA574">
        <v>0.99544880000000002</v>
      </c>
      <c r="AB574">
        <v>38</v>
      </c>
      <c r="AC574">
        <v>0.49640000000005102</v>
      </c>
      <c r="AD574">
        <v>-0.245305199999999</v>
      </c>
      <c r="AE574">
        <v>-6.8699999999978403E-2</v>
      </c>
      <c r="AF574">
        <v>5.8916654492929398E-2</v>
      </c>
      <c r="AG574">
        <v>-0.245305199999999</v>
      </c>
      <c r="AH574">
        <v>0.39994814226949099</v>
      </c>
      <c r="AI574">
        <v>121.249124936914</v>
      </c>
      <c r="AJ574">
        <v>81.619986502263799</v>
      </c>
      <c r="AK574">
        <v>0.472868194985131</v>
      </c>
      <c r="AL574">
        <v>78.976984610906698</v>
      </c>
      <c r="AM574">
        <v>88.065545561452396</v>
      </c>
      <c r="AN574">
        <v>1.0000000312028201</v>
      </c>
    </row>
    <row r="575" spans="1:40" x14ac:dyDescent="0.25">
      <c r="A575" t="str">
        <f>"20190303162509346"</f>
        <v>20190303162509346</v>
      </c>
      <c r="B575" t="str">
        <f>"1551601509342989"</f>
        <v>1551601509342989</v>
      </c>
      <c r="C575" t="s">
        <v>40</v>
      </c>
      <c r="D575">
        <v>5.1307850000000004</v>
      </c>
      <c r="E575">
        <v>0.52695689999999995</v>
      </c>
      <c r="F575" t="s">
        <v>42</v>
      </c>
      <c r="G575">
        <v>-325.2989</v>
      </c>
      <c r="H575">
        <v>0.84648319999999999</v>
      </c>
      <c r="I575">
        <v>367.2946</v>
      </c>
      <c r="J575">
        <v>-325.798</v>
      </c>
      <c r="K575">
        <v>1.121084</v>
      </c>
      <c r="L575">
        <v>367.37259999999998</v>
      </c>
      <c r="M575">
        <v>0.99987349999999997</v>
      </c>
      <c r="N575">
        <v>-1.322182E-2</v>
      </c>
      <c r="O575">
        <v>8.8575489999999993E-3</v>
      </c>
      <c r="P575">
        <v>0.98373630000000001</v>
      </c>
      <c r="Q575">
        <v>0.177952799999999</v>
      </c>
      <c r="R575">
        <v>-2.4415550000000001E-2</v>
      </c>
      <c r="S575">
        <v>3.2391969999999999</v>
      </c>
      <c r="T575">
        <v>-1.084514</v>
      </c>
      <c r="U575">
        <v>-0.29504390000000003</v>
      </c>
      <c r="V575">
        <v>3.3068180000000003E-2</v>
      </c>
      <c r="W575">
        <v>0.1909515</v>
      </c>
      <c r="X575">
        <v>0.98104230000000003</v>
      </c>
      <c r="Y575">
        <v>9.3795519999999993E-2</v>
      </c>
      <c r="Z575">
        <v>-1.8661779999999999E-2</v>
      </c>
      <c r="AA575">
        <v>0.99541659999999998</v>
      </c>
      <c r="AB575">
        <v>38</v>
      </c>
      <c r="AC575">
        <v>0.49909999999999799</v>
      </c>
      <c r="AD575">
        <v>-0.27460079999999998</v>
      </c>
      <c r="AE575">
        <v>-7.7999999999974506E-2</v>
      </c>
      <c r="AF575">
        <v>6.3619069932096095E-2</v>
      </c>
      <c r="AG575">
        <v>-0.27460079999999998</v>
      </c>
      <c r="AH575">
        <v>0.38470995583447598</v>
      </c>
      <c r="AI575">
        <v>125.154063600762</v>
      </c>
      <c r="AJ575">
        <v>80.610038779572207</v>
      </c>
      <c r="AK575">
        <v>0.47692214829868201</v>
      </c>
      <c r="AL575">
        <v>78.991682005539701</v>
      </c>
      <c r="AM575">
        <v>88.069451152809606</v>
      </c>
      <c r="AN575">
        <v>0.99999998713502602</v>
      </c>
    </row>
    <row r="576" spans="1:40" x14ac:dyDescent="0.25">
      <c r="A576" t="str">
        <f>"20190303162509370"</f>
        <v>20190303162509370</v>
      </c>
      <c r="B576" t="str">
        <f>"1551601509363485"</f>
        <v>1551601509363485</v>
      </c>
      <c r="C576" t="s">
        <v>40</v>
      </c>
      <c r="D576">
        <v>5.1270360000000004</v>
      </c>
      <c r="E576">
        <v>0.52698590000000001</v>
      </c>
      <c r="F576" t="s">
        <v>42</v>
      </c>
      <c r="G576">
        <v>-324.96570000000003</v>
      </c>
      <c r="H576">
        <v>0.8420552</v>
      </c>
      <c r="I576">
        <v>367.29669999999999</v>
      </c>
      <c r="J576">
        <v>-325.4083</v>
      </c>
      <c r="K576">
        <v>1.1210960000000001</v>
      </c>
      <c r="L576">
        <v>367.37619999999998</v>
      </c>
      <c r="M576">
        <v>0.99986889999999995</v>
      </c>
      <c r="N576">
        <v>-1.345091E-2</v>
      </c>
      <c r="O576">
        <v>9.0067589999999996E-3</v>
      </c>
      <c r="P576">
        <v>0.98380789999999996</v>
      </c>
      <c r="Q576">
        <v>0.17763699999999999</v>
      </c>
      <c r="R576">
        <v>-2.381577E-2</v>
      </c>
      <c r="S576">
        <v>3.2386780000000002</v>
      </c>
      <c r="T576">
        <v>-1.085812</v>
      </c>
      <c r="U576">
        <v>-0.2944946</v>
      </c>
      <c r="V576">
        <v>3.2616630000000001E-2</v>
      </c>
      <c r="W576">
        <v>0.19086069999999999</v>
      </c>
      <c r="X576">
        <v>0.98107509999999998</v>
      </c>
      <c r="Y576">
        <v>9.3766989999999995E-2</v>
      </c>
      <c r="Z576">
        <v>-1.8736200000000001E-2</v>
      </c>
      <c r="AA576">
        <v>0.99541780000000002</v>
      </c>
      <c r="AB576">
        <v>37</v>
      </c>
      <c r="AC576">
        <v>0.44259999999997002</v>
      </c>
      <c r="AD576">
        <v>-0.27904079999999898</v>
      </c>
      <c r="AE576">
        <v>-7.9499999999995893E-2</v>
      </c>
      <c r="AF576">
        <v>6.0274549936951603E-2</v>
      </c>
      <c r="AG576">
        <v>-0.27904079999999898</v>
      </c>
      <c r="AH576">
        <v>0.31902426343477902</v>
      </c>
      <c r="AI576">
        <v>130.67788151764199</v>
      </c>
      <c r="AJ576">
        <v>79.300990225611102</v>
      </c>
      <c r="AK576">
        <v>0.42810427479160401</v>
      </c>
      <c r="AL576">
        <v>78.996982098253397</v>
      </c>
      <c r="AM576">
        <v>88.095857105096201</v>
      </c>
      <c r="AN576">
        <v>1.00000000159852</v>
      </c>
    </row>
    <row r="577" spans="1:40" x14ac:dyDescent="0.25">
      <c r="A577" t="str">
        <f>"20190303162509393"</f>
        <v>20190303162509393</v>
      </c>
      <c r="B577" t="str">
        <f>"1551601509383006"</f>
        <v>1551601509383006</v>
      </c>
      <c r="C577" t="s">
        <v>40</v>
      </c>
      <c r="D577">
        <v>5.159675</v>
      </c>
      <c r="E577">
        <v>0.52701469999999995</v>
      </c>
      <c r="F577" t="s">
        <v>42</v>
      </c>
      <c r="G577">
        <v>-324.62490000000003</v>
      </c>
      <c r="H577">
        <v>0.85820959999999902</v>
      </c>
      <c r="I577">
        <v>367.30529999999999</v>
      </c>
      <c r="J577">
        <v>-325.01510000000002</v>
      </c>
      <c r="K577">
        <v>1.1211059999999999</v>
      </c>
      <c r="L577">
        <v>367.37990000000002</v>
      </c>
      <c r="M577">
        <v>0.999865</v>
      </c>
      <c r="N577">
        <v>-1.365129E-2</v>
      </c>
      <c r="O577">
        <v>9.1562640000000008E-3</v>
      </c>
      <c r="P577">
        <v>0.9837726</v>
      </c>
      <c r="Q577">
        <v>0.17787359999999999</v>
      </c>
      <c r="R577">
        <v>-2.3507719999999999E-2</v>
      </c>
      <c r="S577">
        <v>3.2385250000000001</v>
      </c>
      <c r="T577">
        <v>-1.0868679999999999</v>
      </c>
      <c r="U577">
        <v>-0.29235840000000002</v>
      </c>
      <c r="V577">
        <v>3.2455360000000003E-2</v>
      </c>
      <c r="W577">
        <v>0.19129360000000001</v>
      </c>
      <c r="X577">
        <v>0.98099610000000004</v>
      </c>
      <c r="Y577">
        <v>9.3274839999999998E-2</v>
      </c>
      <c r="Z577">
        <v>-1.872532E-2</v>
      </c>
      <c r="AA577">
        <v>0.99546429999999997</v>
      </c>
      <c r="AB577">
        <v>37</v>
      </c>
      <c r="AC577">
        <v>0.390199999999993</v>
      </c>
      <c r="AD577">
        <v>-0.26289639999999997</v>
      </c>
      <c r="AE577">
        <v>-7.4600000000032196E-2</v>
      </c>
      <c r="AF577">
        <v>5.4362883231457902E-2</v>
      </c>
      <c r="AG577">
        <v>-0.26289639999999997</v>
      </c>
      <c r="AH577">
        <v>0.27087600004988899</v>
      </c>
      <c r="AI577">
        <v>133.57836141279901</v>
      </c>
      <c r="AJ577">
        <v>78.651900678743999</v>
      </c>
      <c r="AK577">
        <v>0.38137074823486999</v>
      </c>
      <c r="AL577">
        <v>78.971712822968499</v>
      </c>
      <c r="AM577">
        <v>88.105112616764501</v>
      </c>
      <c r="AN577">
        <v>0.99999997000444896</v>
      </c>
    </row>
    <row r="578" spans="1:40" x14ac:dyDescent="0.25">
      <c r="A578" t="str">
        <f>"20190303162509415"</f>
        <v>20190303162509415</v>
      </c>
      <c r="B578" t="str">
        <f>"1551601509403502"</f>
        <v>1551601509403502</v>
      </c>
      <c r="C578" t="s">
        <v>40</v>
      </c>
      <c r="D578">
        <v>5.173025</v>
      </c>
      <c r="E578">
        <v>0.52705380000000002</v>
      </c>
      <c r="F578" t="s">
        <v>42</v>
      </c>
      <c r="G578">
        <v>-324.28379999999999</v>
      </c>
      <c r="H578">
        <v>0.87585210000000002</v>
      </c>
      <c r="I578">
        <v>367.31380000000001</v>
      </c>
      <c r="J578">
        <v>-324.65809999999999</v>
      </c>
      <c r="K578">
        <v>1.121113</v>
      </c>
      <c r="L578">
        <v>367.38330000000002</v>
      </c>
      <c r="M578">
        <v>0.99986149999999996</v>
      </c>
      <c r="N578">
        <v>-1.380877E-2</v>
      </c>
      <c r="O578">
        <v>9.2924510000000002E-3</v>
      </c>
      <c r="P578">
        <v>0.98381099999999999</v>
      </c>
      <c r="Q578">
        <v>0.17771389999999901</v>
      </c>
      <c r="R578">
        <v>-2.310152E-2</v>
      </c>
      <c r="S578">
        <v>3.2388919999999999</v>
      </c>
      <c r="T578">
        <v>-1.0860700000000001</v>
      </c>
      <c r="U578">
        <v>-0.29196169999999999</v>
      </c>
      <c r="V578">
        <v>3.2183740000000002E-2</v>
      </c>
      <c r="W578">
        <v>0.19128890000000001</v>
      </c>
      <c r="X578">
        <v>0.98100600000000004</v>
      </c>
      <c r="Y578">
        <v>9.3279479999999998E-2</v>
      </c>
      <c r="Z578">
        <v>-1.8760280000000001E-2</v>
      </c>
      <c r="AA578">
        <v>0.99546319999999999</v>
      </c>
      <c r="AB578">
        <v>37</v>
      </c>
      <c r="AC578">
        <v>0.37430000000000502</v>
      </c>
      <c r="AD578">
        <v>-0.2452609</v>
      </c>
      <c r="AE578">
        <v>-6.9500000000005002E-2</v>
      </c>
      <c r="AF578">
        <v>5.15711149851645E-2</v>
      </c>
      <c r="AG578">
        <v>-0.2452609</v>
      </c>
      <c r="AH578">
        <v>0.264046523130196</v>
      </c>
      <c r="AI578">
        <v>132.35323866249101</v>
      </c>
      <c r="AJ578">
        <v>78.948641538589996</v>
      </c>
      <c r="AK578">
        <v>0.36405089664326901</v>
      </c>
      <c r="AL578">
        <v>78.971987561542093</v>
      </c>
      <c r="AM578">
        <v>88.120978525762297</v>
      </c>
      <c r="AN578">
        <v>1.0000000042097901</v>
      </c>
    </row>
    <row r="579" spans="1:40" x14ac:dyDescent="0.25">
      <c r="A579" t="str">
        <f>"20190303162509438"</f>
        <v>20190303162509438</v>
      </c>
      <c r="B579" t="str">
        <f>"1551601509432781"</f>
        <v>1551601509432781</v>
      </c>
      <c r="C579" t="s">
        <v>40</v>
      </c>
      <c r="D579">
        <v>5.1964489999999897</v>
      </c>
      <c r="E579">
        <v>0.52708250000000001</v>
      </c>
      <c r="F579" t="s">
        <v>42</v>
      </c>
      <c r="G579">
        <v>-323.94740000000002</v>
      </c>
      <c r="H579">
        <v>0.88262700000000005</v>
      </c>
      <c r="I579">
        <v>367.3193</v>
      </c>
      <c r="J579">
        <v>-324.27710000000002</v>
      </c>
      <c r="K579">
        <v>1.1211199999999999</v>
      </c>
      <c r="L579">
        <v>367.38690000000003</v>
      </c>
      <c r="M579">
        <v>0.99985820000000003</v>
      </c>
      <c r="N579">
        <v>-1.3954889999999999E-2</v>
      </c>
      <c r="O579">
        <v>9.4372280000000006E-3</v>
      </c>
      <c r="P579">
        <v>0.98375049999999997</v>
      </c>
      <c r="Q579">
        <v>0.178032</v>
      </c>
      <c r="R579">
        <v>-2.32366E-2</v>
      </c>
      <c r="S579">
        <v>3.2388309999999998</v>
      </c>
      <c r="T579">
        <v>-1.0867960000000001</v>
      </c>
      <c r="U579">
        <v>-0.29095460000000001</v>
      </c>
      <c r="V579">
        <v>3.2460799999999998E-2</v>
      </c>
      <c r="W579">
        <v>0.191749</v>
      </c>
      <c r="X579">
        <v>0.98090699999999997</v>
      </c>
      <c r="Y579">
        <v>9.311084E-2</v>
      </c>
      <c r="Z579">
        <v>-1.879465E-2</v>
      </c>
      <c r="AA579">
        <v>0.99547830000000004</v>
      </c>
      <c r="AB579">
        <v>37</v>
      </c>
      <c r="AC579">
        <v>0.32970000000000199</v>
      </c>
      <c r="AD579">
        <v>-0.23849300000000001</v>
      </c>
      <c r="AE579">
        <v>-6.7600000000027194E-2</v>
      </c>
      <c r="AF579">
        <v>4.7071846165675099E-2</v>
      </c>
      <c r="AG579">
        <v>-0.23849300000000001</v>
      </c>
      <c r="AH579">
        <v>0.219051597363246</v>
      </c>
      <c r="AI579">
        <v>136.78821837283701</v>
      </c>
      <c r="AJ579">
        <v>77.872181939111201</v>
      </c>
      <c r="AK579">
        <v>0.32722816513532998</v>
      </c>
      <c r="AL579">
        <v>78.945128118586993</v>
      </c>
      <c r="AM579">
        <v>88.104623213080103</v>
      </c>
      <c r="AN579">
        <v>0.99999996259331903</v>
      </c>
    </row>
    <row r="580" spans="1:40" x14ac:dyDescent="0.25">
      <c r="A580" t="str">
        <f>"20190303162509460"</f>
        <v>20190303162509460</v>
      </c>
      <c r="B580" t="str">
        <f>"1551601509453277"</f>
        <v>1551601509453277</v>
      </c>
      <c r="C580" t="s">
        <v>40</v>
      </c>
      <c r="D580">
        <v>5.2347340000000004</v>
      </c>
      <c r="E580">
        <v>0.52710259999999998</v>
      </c>
      <c r="F580" t="s">
        <v>42</v>
      </c>
      <c r="G580">
        <v>-323.60820000000001</v>
      </c>
      <c r="H580">
        <v>0.89694130000000005</v>
      </c>
      <c r="I580">
        <v>367.32679999999999</v>
      </c>
      <c r="J580">
        <v>-323.90320000000003</v>
      </c>
      <c r="K580">
        <v>1.1211310000000001</v>
      </c>
      <c r="L580">
        <v>367.39060000000001</v>
      </c>
      <c r="M580">
        <v>0.9998551</v>
      </c>
      <c r="N580">
        <v>-1.407715E-2</v>
      </c>
      <c r="O580">
        <v>9.5794790000000001E-3</v>
      </c>
      <c r="P580">
        <v>0.98376750000000002</v>
      </c>
      <c r="Q580">
        <v>0.1779036</v>
      </c>
      <c r="R580">
        <v>-2.3489920000000001E-2</v>
      </c>
      <c r="S580">
        <v>3.2391969999999999</v>
      </c>
      <c r="T580">
        <v>-1.085596</v>
      </c>
      <c r="U580">
        <v>-0.29061890000000001</v>
      </c>
      <c r="V580">
        <v>3.2854550000000003E-2</v>
      </c>
      <c r="W580">
        <v>0.19174099999999999</v>
      </c>
      <c r="X580">
        <v>0.98089550000000003</v>
      </c>
      <c r="Y580">
        <v>9.3142939999999994E-2</v>
      </c>
      <c r="Z580">
        <v>-1.88282E-2</v>
      </c>
      <c r="AA580">
        <v>0.99547470000000005</v>
      </c>
      <c r="AB580">
        <v>37</v>
      </c>
      <c r="AC580">
        <v>0.29500000000001497</v>
      </c>
      <c r="AD580">
        <v>-0.22418969999999899</v>
      </c>
      <c r="AE580">
        <v>-6.3800000000014706E-2</v>
      </c>
      <c r="AF580">
        <v>4.2934568324473399E-2</v>
      </c>
      <c r="AG580">
        <v>-0.22418969999999899</v>
      </c>
      <c r="AH580">
        <v>0.18970651088555801</v>
      </c>
      <c r="AI580">
        <v>139.05547832883099</v>
      </c>
      <c r="AJ580">
        <v>77.247595946184504</v>
      </c>
      <c r="AK580">
        <v>0.29680458051666098</v>
      </c>
      <c r="AL580">
        <v>78.945595650355301</v>
      </c>
      <c r="AM580">
        <v>88.081626865229197</v>
      </c>
      <c r="AN580">
        <v>1.00000000722847</v>
      </c>
    </row>
    <row r="581" spans="1:40" x14ac:dyDescent="0.25">
      <c r="A581" t="str">
        <f>"20190303162509481"</f>
        <v>20190303162509481</v>
      </c>
      <c r="B581" t="str">
        <f>"1551601509472798"</f>
        <v>1551601509472798</v>
      </c>
      <c r="C581" t="s">
        <v>40</v>
      </c>
      <c r="D581">
        <v>5.2486819999999996</v>
      </c>
      <c r="E581">
        <v>0.52712179999999997</v>
      </c>
      <c r="F581" t="s">
        <v>42</v>
      </c>
      <c r="G581">
        <v>-322.97699999999998</v>
      </c>
      <c r="H581">
        <v>0.81066190000000005</v>
      </c>
      <c r="I581">
        <v>367.30720000000002</v>
      </c>
      <c r="J581">
        <v>-323.54300000000001</v>
      </c>
      <c r="K581">
        <v>1.1211409999999999</v>
      </c>
      <c r="L581">
        <v>367.39420000000001</v>
      </c>
      <c r="M581">
        <v>0.99985230000000003</v>
      </c>
      <c r="N581">
        <v>-1.417886E-2</v>
      </c>
      <c r="O581">
        <v>9.7168589999999996E-3</v>
      </c>
      <c r="P581">
        <v>0.98377919999999996</v>
      </c>
      <c r="Q581">
        <v>0.17781659999999999</v>
      </c>
      <c r="R581">
        <v>-2.3663480000000001E-2</v>
      </c>
      <c r="S581">
        <v>3.2388309999999998</v>
      </c>
      <c r="T581">
        <v>-1.0856779999999999</v>
      </c>
      <c r="U581">
        <v>-0.29190060000000001</v>
      </c>
      <c r="V581">
        <v>3.3163289999999998E-2</v>
      </c>
      <c r="W581">
        <v>0.1917537</v>
      </c>
      <c r="X581">
        <v>0.98088260000000005</v>
      </c>
      <c r="Y581">
        <v>9.3642130000000004E-2</v>
      </c>
      <c r="Z581">
        <v>-1.8962909999999999E-2</v>
      </c>
      <c r="AA581">
        <v>0.99542529999999996</v>
      </c>
      <c r="AB581">
        <v>37</v>
      </c>
      <c r="AC581">
        <v>0.56599999999997397</v>
      </c>
      <c r="AD581">
        <v>-0.31047909999999901</v>
      </c>
      <c r="AE581">
        <v>-8.6999999999989003E-2</v>
      </c>
      <c r="AF581">
        <v>7.1482960231943393E-2</v>
      </c>
      <c r="AG581">
        <v>-0.31047909999999901</v>
      </c>
      <c r="AH581">
        <v>0.43674243264135398</v>
      </c>
      <c r="AI581">
        <v>125.052062264838</v>
      </c>
      <c r="AJ581">
        <v>80.704644994073206</v>
      </c>
      <c r="AK581">
        <v>0.54060247651099302</v>
      </c>
      <c r="AL581">
        <v>78.944853933116306</v>
      </c>
      <c r="AM581">
        <v>88.063587787879499</v>
      </c>
      <c r="AN581">
        <v>0.99999998012503599</v>
      </c>
    </row>
    <row r="582" spans="1:40" x14ac:dyDescent="0.25">
      <c r="A582" t="str">
        <f>"20190303162509503"</f>
        <v>20190303162509503</v>
      </c>
      <c r="B582" t="str">
        <f>"1551601509493293"</f>
        <v>1551601509493293</v>
      </c>
      <c r="C582" t="s">
        <v>40</v>
      </c>
      <c r="D582">
        <v>5.3307099999999998</v>
      </c>
      <c r="E582">
        <v>0.52709839999999997</v>
      </c>
      <c r="F582" t="s">
        <v>42</v>
      </c>
      <c r="G582">
        <v>-322.64150000000001</v>
      </c>
      <c r="H582">
        <v>0.81889100000000004</v>
      </c>
      <c r="I582">
        <v>367.31270000000001</v>
      </c>
      <c r="J582">
        <v>-323.1927</v>
      </c>
      <c r="K582">
        <v>1.121151</v>
      </c>
      <c r="L582">
        <v>367.39780000000002</v>
      </c>
      <c r="M582">
        <v>0.99984969999999995</v>
      </c>
      <c r="N582">
        <v>-1.4264600000000001E-2</v>
      </c>
      <c r="O582">
        <v>9.8507669999999999E-3</v>
      </c>
      <c r="P582">
        <v>0.98382179999999997</v>
      </c>
      <c r="Q582">
        <v>0.1776161</v>
      </c>
      <c r="R582">
        <v>-2.3395559999999999E-2</v>
      </c>
      <c r="S582">
        <v>3.2387079999999999</v>
      </c>
      <c r="T582">
        <v>-1.0858139999999901</v>
      </c>
      <c r="U582">
        <v>-0.29229739999999999</v>
      </c>
      <c r="V582">
        <v>3.302799E-2</v>
      </c>
      <c r="W582">
        <v>0.19163810000000001</v>
      </c>
      <c r="X582">
        <v>0.98090980000000005</v>
      </c>
      <c r="Y582">
        <v>9.3876849999999998E-2</v>
      </c>
      <c r="Z582">
        <v>-1.90507E-2</v>
      </c>
      <c r="AA582">
        <v>0.99540150000000005</v>
      </c>
      <c r="AB582">
        <v>37</v>
      </c>
      <c r="AC582">
        <v>0.55119999999999403</v>
      </c>
      <c r="AD582">
        <v>-0.30225999999999997</v>
      </c>
      <c r="AE582">
        <v>-8.5100000000011194E-2</v>
      </c>
      <c r="AF582">
        <v>6.9974311554403104E-2</v>
      </c>
      <c r="AG582">
        <v>-0.30225999999999997</v>
      </c>
      <c r="AH582">
        <v>0.425394172520275</v>
      </c>
      <c r="AI582">
        <v>125.035023387363</v>
      </c>
      <c r="AJ582">
        <v>80.658903095066904</v>
      </c>
      <c r="AK582">
        <v>0.52651468535238599</v>
      </c>
      <c r="AL582">
        <v>78.951602956802503</v>
      </c>
      <c r="AM582">
        <v>88.071535444765601</v>
      </c>
      <c r="AN582">
        <v>1.0000000226155401</v>
      </c>
    </row>
    <row r="583" spans="1:40" x14ac:dyDescent="0.25">
      <c r="A583" t="str">
        <f>"20190303162509526"</f>
        <v>20190303162509526</v>
      </c>
      <c r="B583" t="str">
        <f>"1551601509512814"</f>
        <v>1551601509512814</v>
      </c>
      <c r="C583" t="s">
        <v>40</v>
      </c>
      <c r="D583">
        <v>5.1598110000000004</v>
      </c>
      <c r="E583">
        <v>0.51413920000000002</v>
      </c>
      <c r="F583" t="s">
        <v>42</v>
      </c>
      <c r="G583">
        <v>-322.30759999999998</v>
      </c>
      <c r="H583">
        <v>0.82423590000000002</v>
      </c>
      <c r="I583">
        <v>367.31799999999998</v>
      </c>
      <c r="J583">
        <v>-322.81400000000002</v>
      </c>
      <c r="K583">
        <v>1.121156</v>
      </c>
      <c r="L583">
        <v>367.40159999999997</v>
      </c>
      <c r="M583">
        <v>0.99984720000000005</v>
      </c>
      <c r="N583">
        <v>-1.434416E-2</v>
      </c>
      <c r="O583">
        <v>9.995149E-3</v>
      </c>
      <c r="P583">
        <v>0.98380140000000005</v>
      </c>
      <c r="Q583">
        <v>0.17773739999999999</v>
      </c>
      <c r="R583">
        <v>-2.3331000000000001E-2</v>
      </c>
      <c r="S583">
        <v>3.238556</v>
      </c>
      <c r="T583">
        <v>-1.086492</v>
      </c>
      <c r="U583">
        <v>-0.29125980000000001</v>
      </c>
      <c r="V583">
        <v>3.3105370000000002E-2</v>
      </c>
      <c r="W583">
        <v>0.19183700000000001</v>
      </c>
      <c r="X583">
        <v>0.98086830000000003</v>
      </c>
      <c r="Y583">
        <v>9.3702350000000004E-2</v>
      </c>
      <c r="Z583">
        <v>-1.9081150000000002E-2</v>
      </c>
      <c r="AA583">
        <v>0.99541740000000001</v>
      </c>
      <c r="AB583">
        <v>37</v>
      </c>
      <c r="AC583">
        <v>0.50640000000004104</v>
      </c>
      <c r="AD583">
        <v>-0.29692009999999902</v>
      </c>
      <c r="AE583">
        <v>-8.3599999999933006E-2</v>
      </c>
      <c r="AF583">
        <v>6.6426925534265893E-2</v>
      </c>
      <c r="AG583">
        <v>-0.29692009999999902</v>
      </c>
      <c r="AH583">
        <v>0.37877512998525598</v>
      </c>
      <c r="AI583">
        <v>127.672159296215</v>
      </c>
      <c r="AJ583">
        <v>80.0530203134076</v>
      </c>
      <c r="AK583">
        <v>0.48584429739916901</v>
      </c>
      <c r="AL583">
        <v>78.939991258304005</v>
      </c>
      <c r="AM583">
        <v>88.066939022017095</v>
      </c>
      <c r="AN583">
        <v>1.00000001101836</v>
      </c>
    </row>
    <row r="584" spans="1:40" x14ac:dyDescent="0.25">
      <c r="A584" t="str">
        <f>"20190303162509547"</f>
        <v>20190303162509547</v>
      </c>
      <c r="B584" t="str">
        <f>"1551601509543069"</f>
        <v>1551601509543069</v>
      </c>
      <c r="C584" t="s">
        <v>40</v>
      </c>
      <c r="D584">
        <v>5.4708629999999996</v>
      </c>
      <c r="E584">
        <v>0.4819118</v>
      </c>
      <c r="F584" t="s">
        <v>42</v>
      </c>
      <c r="G584">
        <v>-321.94729999999998</v>
      </c>
      <c r="H584">
        <v>0.89685079999999995</v>
      </c>
      <c r="I584">
        <v>367.35090000000002</v>
      </c>
      <c r="J584">
        <v>-322.4425</v>
      </c>
      <c r="K584">
        <v>1.121162</v>
      </c>
      <c r="L584">
        <v>367.40550000000002</v>
      </c>
      <c r="M584">
        <v>0.99984479999999998</v>
      </c>
      <c r="N584">
        <v>-1.4411210000000001E-2</v>
      </c>
      <c r="O584">
        <v>1.01367E-2</v>
      </c>
      <c r="P584">
        <v>0.9838943</v>
      </c>
      <c r="Q584">
        <v>0.1772637</v>
      </c>
      <c r="R584">
        <v>-2.301301E-2</v>
      </c>
      <c r="S584">
        <v>3.194366</v>
      </c>
      <c r="T584">
        <v>-0.82675239999999905</v>
      </c>
      <c r="U584">
        <v>-0.18627930000000001</v>
      </c>
      <c r="V584">
        <v>3.2927869999999998E-2</v>
      </c>
      <c r="W584">
        <v>0.19143070000000001</v>
      </c>
      <c r="X584">
        <v>0.98095359999999998</v>
      </c>
      <c r="Y584">
        <v>6.5752489999999997E-2</v>
      </c>
      <c r="Z584">
        <v>-1.1281879999999999E-2</v>
      </c>
      <c r="AA584">
        <v>0.9977722</v>
      </c>
      <c r="AB584">
        <v>37</v>
      </c>
      <c r="AC584">
        <v>0.49520000000001102</v>
      </c>
      <c r="AD584">
        <v>-0.22431119999999999</v>
      </c>
      <c r="AE584">
        <v>-5.4599999999993501E-2</v>
      </c>
      <c r="AF584">
        <v>4.9568891586213297E-2</v>
      </c>
      <c r="AG584">
        <v>-0.22431119999999999</v>
      </c>
      <c r="AH584">
        <v>0.41125262893730602</v>
      </c>
      <c r="AI584">
        <v>118.436198318747</v>
      </c>
      <c r="AJ584">
        <v>83.127208704387698</v>
      </c>
      <c r="AK584">
        <v>0.47106402353222798</v>
      </c>
      <c r="AL584">
        <v>78.963709573337795</v>
      </c>
      <c r="AM584">
        <v>88.077462718465299</v>
      </c>
      <c r="AN584">
        <v>0.99999996143909198</v>
      </c>
    </row>
    <row r="585" spans="1:40" x14ac:dyDescent="0.25">
      <c r="A585" t="str">
        <f>"20190303162509570"</f>
        <v>20190303162509570</v>
      </c>
      <c r="B585" t="str">
        <f>"1551601509563579"</f>
        <v>1551601509563579</v>
      </c>
      <c r="C585" t="s">
        <v>40</v>
      </c>
      <c r="D585">
        <v>5.4039239999999999</v>
      </c>
      <c r="E585">
        <v>0.48209109999999999</v>
      </c>
      <c r="F585" t="s">
        <v>44</v>
      </c>
      <c r="G585">
        <v>-303.75400000000002</v>
      </c>
      <c r="H585">
        <v>-0.05</v>
      </c>
      <c r="I585">
        <v>367.85039999999998</v>
      </c>
      <c r="J585">
        <v>-322.0752</v>
      </c>
      <c r="K585">
        <v>1.121167</v>
      </c>
      <c r="L585">
        <v>367.40940000000001</v>
      </c>
      <c r="M585">
        <v>0.99984260000000003</v>
      </c>
      <c r="N585">
        <v>-1.446796E-2</v>
      </c>
      <c r="O585">
        <v>1.0277E-2</v>
      </c>
      <c r="P585">
        <v>0.98398669999999999</v>
      </c>
      <c r="Q585">
        <v>0.176705</v>
      </c>
      <c r="R585">
        <v>-2.3359129999999999E-2</v>
      </c>
      <c r="S585">
        <v>3.0856629999999998</v>
      </c>
      <c r="T585">
        <v>-0.19337019999999999</v>
      </c>
      <c r="U585">
        <v>7.3455809999999996E-2</v>
      </c>
      <c r="V585">
        <v>3.3413209999999999E-2</v>
      </c>
      <c r="W585">
        <v>0.19092899999999999</v>
      </c>
      <c r="X585">
        <v>0.98103499999999999</v>
      </c>
      <c r="Y585">
        <v>-1.350167E-2</v>
      </c>
      <c r="Z585" s="1">
        <v>2.5676529999999999E-5</v>
      </c>
      <c r="AA585">
        <v>0.99990889999999999</v>
      </c>
      <c r="AB585">
        <v>37</v>
      </c>
      <c r="AC585">
        <v>18.321199999999902</v>
      </c>
      <c r="AD585">
        <v>-1.1711670000000001</v>
      </c>
      <c r="AE585">
        <v>0.44099999999997402</v>
      </c>
      <c r="AF585">
        <v>-0.25164234992818602</v>
      </c>
      <c r="AG585">
        <v>-1.1711670000000001</v>
      </c>
      <c r="AH585">
        <v>18.250232222907101</v>
      </c>
      <c r="AI585">
        <v>93.671443053871897</v>
      </c>
      <c r="AJ585">
        <v>90.789969727518198</v>
      </c>
      <c r="AK585">
        <v>18.289503333994698</v>
      </c>
      <c r="AL585">
        <v>78.992995449387905</v>
      </c>
      <c r="AM585">
        <v>88.049308981631796</v>
      </c>
      <c r="AN585">
        <v>0.99999999843425103</v>
      </c>
    </row>
    <row r="586" spans="1:40" x14ac:dyDescent="0.25">
      <c r="A586" t="str">
        <f>"20190303162509616"</f>
        <v>20190303162509616</v>
      </c>
      <c r="B586" t="str">
        <f>"1551601509603581"</f>
        <v>1551601509603581</v>
      </c>
      <c r="C586" t="s">
        <v>40</v>
      </c>
      <c r="D586">
        <v>5.3966469999999997</v>
      </c>
      <c r="E586">
        <v>0.48237439999999998</v>
      </c>
      <c r="F586" t="s">
        <v>44</v>
      </c>
      <c r="G586">
        <v>-300.6694</v>
      </c>
      <c r="H586">
        <v>-0.05</v>
      </c>
      <c r="I586">
        <v>367.9015</v>
      </c>
      <c r="J586">
        <v>-321.32740000000001</v>
      </c>
      <c r="K586">
        <v>1.121176</v>
      </c>
      <c r="L586">
        <v>367.41739999999999</v>
      </c>
      <c r="M586">
        <v>0.99983820000000001</v>
      </c>
      <c r="N586">
        <v>-1.455942E-2</v>
      </c>
      <c r="O586">
        <v>1.056196E-2</v>
      </c>
      <c r="P586">
        <v>0.98425390000000001</v>
      </c>
      <c r="Q586">
        <v>0.17511499999999999</v>
      </c>
      <c r="R586">
        <v>-2.4065759999999999E-2</v>
      </c>
      <c r="S586">
        <v>3.0807500000000001</v>
      </c>
      <c r="T586">
        <v>-0.16855529999999999</v>
      </c>
      <c r="U586">
        <v>7.08313E-2</v>
      </c>
      <c r="V586">
        <v>3.4403429999999999E-2</v>
      </c>
      <c r="W586">
        <v>0.18943280000000001</v>
      </c>
      <c r="X586">
        <v>0.98129080000000002</v>
      </c>
      <c r="Y586">
        <v>-1.240894E-2</v>
      </c>
      <c r="Z586" s="1">
        <v>5.9484450000000003E-6</v>
      </c>
      <c r="AA586">
        <v>0.99992300000000001</v>
      </c>
      <c r="AB586">
        <v>37</v>
      </c>
      <c r="AC586">
        <v>20.658000000000001</v>
      </c>
      <c r="AD586">
        <v>-1.171176</v>
      </c>
      <c r="AE586">
        <v>0.48410000000001202</v>
      </c>
      <c r="AF586">
        <v>-0.26500957195854902</v>
      </c>
      <c r="AG586">
        <v>-1.171176</v>
      </c>
      <c r="AH586">
        <v>20.595799153871098</v>
      </c>
      <c r="AI586">
        <v>93.254339213603998</v>
      </c>
      <c r="AJ586">
        <v>90.7371936385195</v>
      </c>
      <c r="AK586">
        <v>20.630773763550501</v>
      </c>
      <c r="AL586">
        <v>79.080315173877807</v>
      </c>
      <c r="AM586">
        <v>87.992068908350902</v>
      </c>
      <c r="AN586">
        <v>1.0000000079381199</v>
      </c>
    </row>
    <row r="587" spans="1:40" x14ac:dyDescent="0.25">
      <c r="A587" t="str">
        <f>"20190303162509638"</f>
        <v>20190303162509638</v>
      </c>
      <c r="B587" t="str">
        <f>"1551601509623101"</f>
        <v>1551601509623101</v>
      </c>
      <c r="C587" t="s">
        <v>40</v>
      </c>
      <c r="D587">
        <v>5.4510339999999999</v>
      </c>
      <c r="E587">
        <v>0.48255209999999998</v>
      </c>
      <c r="F587" t="s">
        <v>44</v>
      </c>
      <c r="G587">
        <v>-299.483</v>
      </c>
      <c r="H587">
        <v>-0.05</v>
      </c>
      <c r="I587">
        <v>367.88869999999997</v>
      </c>
      <c r="J587">
        <v>-320.952</v>
      </c>
      <c r="K587">
        <v>1.120959</v>
      </c>
      <c r="L587">
        <v>367.42149999999998</v>
      </c>
      <c r="M587">
        <v>0.99984790000000001</v>
      </c>
      <c r="N587">
        <v>-1.377016E-2</v>
      </c>
      <c r="O587">
        <v>1.071283E-2</v>
      </c>
      <c r="P587">
        <v>0.98408169999999995</v>
      </c>
      <c r="Q587">
        <v>0.17608670000000001</v>
      </c>
      <c r="R587">
        <v>-2.4023289999999999E-2</v>
      </c>
      <c r="S587">
        <v>3.0789490000000002</v>
      </c>
      <c r="T587">
        <v>-0.165076</v>
      </c>
      <c r="U587">
        <v>6.6436770000000006E-2</v>
      </c>
      <c r="V587">
        <v>3.4508190000000001E-2</v>
      </c>
      <c r="W587">
        <v>0.1896272</v>
      </c>
      <c r="X587">
        <v>0.98124960000000006</v>
      </c>
      <c r="Y587">
        <v>-1.0849040000000001E-2</v>
      </c>
      <c r="Z587" s="1">
        <v>-6.1057300000000002E-5</v>
      </c>
      <c r="AA587">
        <v>0.99994119999999997</v>
      </c>
      <c r="AB587">
        <v>37</v>
      </c>
      <c r="AC587">
        <v>21.468999999999902</v>
      </c>
      <c r="AD587">
        <v>-1.1709590000000001</v>
      </c>
      <c r="AE587">
        <v>0.46719999999999101</v>
      </c>
      <c r="AF587">
        <v>-0.23645457762335301</v>
      </c>
      <c r="AG587">
        <v>-1.1709590000000001</v>
      </c>
      <c r="AH587">
        <v>21.409115318309901</v>
      </c>
      <c r="AI587">
        <v>93.130449234960906</v>
      </c>
      <c r="AJ587">
        <v>90.632781799518895</v>
      </c>
      <c r="AK587">
        <v>21.442417644931101</v>
      </c>
      <c r="AL587">
        <v>79.068971551773203</v>
      </c>
      <c r="AM587">
        <v>87.985875200738107</v>
      </c>
      <c r="AN587">
        <v>1.00000003382853</v>
      </c>
    </row>
    <row r="588" spans="1:40" x14ac:dyDescent="0.25">
      <c r="A588" t="str">
        <f>"20190303162509661"</f>
        <v>20190303162509661</v>
      </c>
      <c r="B588" t="str">
        <f>"1551601509653357"</f>
        <v>1551601509653357</v>
      </c>
      <c r="C588" t="s">
        <v>40</v>
      </c>
      <c r="D588">
        <v>5.4597480000000003</v>
      </c>
      <c r="E588">
        <v>0.48255160000000002</v>
      </c>
      <c r="F588" t="s">
        <v>44</v>
      </c>
      <c r="G588">
        <v>-298.43689999999998</v>
      </c>
      <c r="H588">
        <v>-0.05</v>
      </c>
      <c r="I588">
        <v>367.9024</v>
      </c>
      <c r="J588">
        <v>-320.57389999999998</v>
      </c>
      <c r="K588">
        <v>1.1206700000000001</v>
      </c>
      <c r="L588">
        <v>367.42559999999997</v>
      </c>
      <c r="M588">
        <v>0.99985460000000004</v>
      </c>
      <c r="N588">
        <v>-1.314574E-2</v>
      </c>
      <c r="O588">
        <v>1.086699E-2</v>
      </c>
      <c r="P588">
        <v>0.98392389999999996</v>
      </c>
      <c r="Q588">
        <v>0.17711180000000001</v>
      </c>
      <c r="R588">
        <v>-2.2923320000000001E-2</v>
      </c>
      <c r="S588">
        <v>3.0787659999999999</v>
      </c>
      <c r="T588">
        <v>-0.16011979999999901</v>
      </c>
      <c r="U588">
        <v>6.5765379999999998E-2</v>
      </c>
      <c r="V588">
        <v>3.3558400000000002E-2</v>
      </c>
      <c r="W588">
        <v>0.19003680000000001</v>
      </c>
      <c r="X588">
        <v>0.9812033</v>
      </c>
      <c r="Y588">
        <v>-1.0479820000000001E-2</v>
      </c>
      <c r="Z588" s="1">
        <v>-8.0665780000000001E-5</v>
      </c>
      <c r="AA588">
        <v>0.99994510000000003</v>
      </c>
      <c r="AB588">
        <v>37</v>
      </c>
      <c r="AC588">
        <v>22.136999999999901</v>
      </c>
      <c r="AD588">
        <v>-1.1706700000000001</v>
      </c>
      <c r="AE588">
        <v>0.47680000000002498</v>
      </c>
      <c r="AF588">
        <v>-0.235530130126342</v>
      </c>
      <c r="AG588">
        <v>-1.1706700000000001</v>
      </c>
      <c r="AH588">
        <v>22.079156375800601</v>
      </c>
      <c r="AI588">
        <v>93.034893837178203</v>
      </c>
      <c r="AJ588">
        <v>90.611181438303902</v>
      </c>
      <c r="AK588">
        <v>22.1114243991235</v>
      </c>
      <c r="AL588">
        <v>79.045068562326705</v>
      </c>
      <c r="AM588">
        <v>88.041175041278606</v>
      </c>
      <c r="AN588">
        <v>1.0000000337478401</v>
      </c>
    </row>
    <row r="589" spans="1:40" x14ac:dyDescent="0.25">
      <c r="A589" t="str">
        <f>"20190303162509681"</f>
        <v>20190303162509681</v>
      </c>
      <c r="B589" t="str">
        <f>"1551601509673854"</f>
        <v>1551601509673854</v>
      </c>
      <c r="C589" t="s">
        <v>40</v>
      </c>
      <c r="D589">
        <v>5.3319910000000004</v>
      </c>
      <c r="E589">
        <v>0.48276780000000002</v>
      </c>
      <c r="F589" t="s">
        <v>44</v>
      </c>
      <c r="G589">
        <v>-297.53949999999998</v>
      </c>
      <c r="H589">
        <v>-0.05</v>
      </c>
      <c r="I589">
        <v>367.94119999999998</v>
      </c>
      <c r="J589">
        <v>-320.22129999999999</v>
      </c>
      <c r="K589">
        <v>1.1203780000000001</v>
      </c>
      <c r="L589">
        <v>367.42959999999999</v>
      </c>
      <c r="M589">
        <v>0.99985190000000002</v>
      </c>
      <c r="N589">
        <v>-1.3231339999999999E-2</v>
      </c>
      <c r="O589">
        <v>1.101133E-2</v>
      </c>
      <c r="P589">
        <v>0.98389490000000002</v>
      </c>
      <c r="Q589">
        <v>0.1773622</v>
      </c>
      <c r="R589">
        <v>-2.2217190000000001E-2</v>
      </c>
      <c r="S589">
        <v>3.0787960000000001</v>
      </c>
      <c r="T589">
        <v>-0.1564729</v>
      </c>
      <c r="U589">
        <v>6.8908689999999995E-2</v>
      </c>
      <c r="V589">
        <v>3.2993750000000002E-2</v>
      </c>
      <c r="W589">
        <v>0.19037100000000001</v>
      </c>
      <c r="X589">
        <v>0.98115759999999996</v>
      </c>
      <c r="Y589">
        <v>-1.135451E-2</v>
      </c>
      <c r="Z589" s="1">
        <v>-5.0046549999999999E-5</v>
      </c>
      <c r="AA589">
        <v>0.99993549999999998</v>
      </c>
      <c r="AB589">
        <v>37</v>
      </c>
      <c r="AC589">
        <v>22.681799999999999</v>
      </c>
      <c r="AD589">
        <v>-1.1703779999999999</v>
      </c>
      <c r="AE589">
        <v>0.51159999999998695</v>
      </c>
      <c r="AF589">
        <v>-0.26109551999438602</v>
      </c>
      <c r="AG589">
        <v>-1.1703779999999999</v>
      </c>
      <c r="AH589">
        <v>22.625846784451301</v>
      </c>
      <c r="AI589">
        <v>92.960930227820498</v>
      </c>
      <c r="AJ589">
        <v>90.661146851544004</v>
      </c>
      <c r="AK589">
        <v>22.657601334803999</v>
      </c>
      <c r="AL589">
        <v>79.0255635530945</v>
      </c>
      <c r="AM589">
        <v>88.074019349604995</v>
      </c>
      <c r="AN589">
        <v>0.99999997060890999</v>
      </c>
    </row>
    <row r="590" spans="1:40" x14ac:dyDescent="0.25">
      <c r="A590" t="str">
        <f>"20190303162509695"</f>
        <v>20190303162509695</v>
      </c>
      <c r="B590" t="str">
        <f>"1551601509683613"</f>
        <v>1551601509683613</v>
      </c>
      <c r="C590" t="s">
        <v>40</v>
      </c>
      <c r="D590">
        <v>5.3316699999999999</v>
      </c>
      <c r="E590">
        <v>0.48291610000000001</v>
      </c>
      <c r="F590" t="s">
        <v>44</v>
      </c>
      <c r="G590">
        <v>-297.16890000000001</v>
      </c>
      <c r="H590">
        <v>-0.05</v>
      </c>
      <c r="I590">
        <v>367.94779999999997</v>
      </c>
      <c r="J590">
        <v>-319.99220000000003</v>
      </c>
      <c r="K590">
        <v>1.120131</v>
      </c>
      <c r="L590">
        <v>367.43220000000002</v>
      </c>
      <c r="M590">
        <v>0.99984649999999997</v>
      </c>
      <c r="N590">
        <v>-1.355022E-2</v>
      </c>
      <c r="O590">
        <v>1.1104589999999999E-2</v>
      </c>
      <c r="P590">
        <v>0.98392409999999997</v>
      </c>
      <c r="Q590">
        <v>0.17720920000000001</v>
      </c>
      <c r="R590">
        <v>-2.214766E-2</v>
      </c>
      <c r="S590">
        <v>3.0788570000000002</v>
      </c>
      <c r="T590">
        <v>-0.1563146</v>
      </c>
      <c r="U590">
        <v>6.9213869999999997E-2</v>
      </c>
      <c r="V590">
        <v>3.3015759999999998E-2</v>
      </c>
      <c r="W590">
        <v>0.1905316</v>
      </c>
      <c r="X590">
        <v>0.98112569999999999</v>
      </c>
      <c r="Y590">
        <v>-1.1359650000000001E-2</v>
      </c>
      <c r="Z590" s="1">
        <v>-4.774677E-5</v>
      </c>
      <c r="AA590">
        <v>0.99993540000000003</v>
      </c>
      <c r="AB590">
        <v>37</v>
      </c>
      <c r="AC590">
        <v>22.8233</v>
      </c>
      <c r="AD590">
        <v>-1.170131</v>
      </c>
      <c r="AE590">
        <v>0.51559999999994899</v>
      </c>
      <c r="AF590">
        <v>-0.26141475225474298</v>
      </c>
      <c r="AG590">
        <v>-1.170131</v>
      </c>
      <c r="AH590">
        <v>22.767803347231901</v>
      </c>
      <c r="AI590">
        <v>92.9418835177066</v>
      </c>
      <c r="AJ590">
        <v>90.657828234158302</v>
      </c>
      <c r="AK590">
        <v>22.799351163752</v>
      </c>
      <c r="AL590">
        <v>79.016190449607095</v>
      </c>
      <c r="AM590">
        <v>88.072672888946997</v>
      </c>
      <c r="AN590">
        <v>0.99999998510371302</v>
      </c>
    </row>
    <row r="591" spans="1:40" x14ac:dyDescent="0.25">
      <c r="A591" t="str">
        <f>"20190303162509715"</f>
        <v>20190303162509715</v>
      </c>
      <c r="B591" t="str">
        <f>"1551601509703134"</f>
        <v>1551601509703134</v>
      </c>
      <c r="C591" t="s">
        <v>40</v>
      </c>
      <c r="D591">
        <v>5.3296939999999999</v>
      </c>
      <c r="E591">
        <v>0.48325109999999899</v>
      </c>
      <c r="F591" t="s">
        <v>44</v>
      </c>
      <c r="G591">
        <v>-296.90390000000002</v>
      </c>
      <c r="H591">
        <v>-0.05</v>
      </c>
      <c r="I591">
        <v>367.94349999999997</v>
      </c>
      <c r="J591">
        <v>-319.66579999999999</v>
      </c>
      <c r="K591">
        <v>1.1195999999999999</v>
      </c>
      <c r="L591">
        <v>367.4359</v>
      </c>
      <c r="M591">
        <v>0.99983540000000004</v>
      </c>
      <c r="N591">
        <v>-1.4251130000000001E-2</v>
      </c>
      <c r="O591">
        <v>1.12368E-2</v>
      </c>
      <c r="P591">
        <v>0.98400379999999998</v>
      </c>
      <c r="Q591">
        <v>0.17676310000000001</v>
      </c>
      <c r="R591">
        <v>-2.2165190000000001E-2</v>
      </c>
      <c r="S591">
        <v>3.0786440000000002</v>
      </c>
      <c r="T591">
        <v>-0.15602739999999901</v>
      </c>
      <c r="U591">
        <v>6.8176269999999997E-2</v>
      </c>
      <c r="V591">
        <v>3.3162850000000001E-2</v>
      </c>
      <c r="W591">
        <v>0.1907741</v>
      </c>
      <c r="X591">
        <v>0.98107359999999999</v>
      </c>
      <c r="Y591">
        <v>-1.089243E-2</v>
      </c>
      <c r="Z591" s="1">
        <v>-5.5467960000000002E-5</v>
      </c>
      <c r="AA591">
        <v>0.99994070000000002</v>
      </c>
      <c r="AB591">
        <v>37</v>
      </c>
      <c r="AC591">
        <v>22.761899999999901</v>
      </c>
      <c r="AD591">
        <v>-1.1696</v>
      </c>
      <c r="AE591">
        <v>0.50759999999996797</v>
      </c>
      <c r="AF591">
        <v>-0.251108396807877</v>
      </c>
      <c r="AG591">
        <v>-1.1696</v>
      </c>
      <c r="AH591">
        <v>22.706244909095801</v>
      </c>
      <c r="AI591">
        <v>92.948522889964707</v>
      </c>
      <c r="AJ591">
        <v>90.633608282757706</v>
      </c>
      <c r="AK591">
        <v>22.737734659784898</v>
      </c>
      <c r="AL591">
        <v>79.002036440687306</v>
      </c>
      <c r="AM591">
        <v>88.063990157907199</v>
      </c>
      <c r="AN591">
        <v>0.99999997023394505</v>
      </c>
    </row>
    <row r="592" spans="1:40" x14ac:dyDescent="0.25">
      <c r="A592" t="str">
        <f>"20190303162509739"</f>
        <v>20190303162509739</v>
      </c>
      <c r="B592" t="str">
        <f>"1551601509733389"</f>
        <v>1551601509733389</v>
      </c>
      <c r="C592" t="s">
        <v>40</v>
      </c>
      <c r="D592">
        <v>5.1587040000000002</v>
      </c>
      <c r="E592">
        <v>0.4837727</v>
      </c>
      <c r="F592" t="s">
        <v>44</v>
      </c>
      <c r="G592">
        <v>-296.68619999999999</v>
      </c>
      <c r="H592">
        <v>-0.05</v>
      </c>
      <c r="I592">
        <v>367.93369999999999</v>
      </c>
      <c r="J592">
        <v>-319.28210000000001</v>
      </c>
      <c r="K592">
        <v>1.1187530000000001</v>
      </c>
      <c r="L592">
        <v>367.44029999999998</v>
      </c>
      <c r="M592">
        <v>0.99981509999999996</v>
      </c>
      <c r="N592">
        <v>-1.550753E-2</v>
      </c>
      <c r="O592">
        <v>1.137168E-2</v>
      </c>
      <c r="P592">
        <v>0.98423950000000004</v>
      </c>
      <c r="Q592">
        <v>0.17530509999999999</v>
      </c>
      <c r="R592">
        <v>-2.326748E-2</v>
      </c>
      <c r="S592">
        <v>3.07843</v>
      </c>
      <c r="T592">
        <v>-0.15668360000000001</v>
      </c>
      <c r="U592">
        <v>6.6680909999999996E-2</v>
      </c>
      <c r="V592">
        <v>3.4397039999999997E-2</v>
      </c>
      <c r="W592">
        <v>0.19055359999999999</v>
      </c>
      <c r="X592">
        <v>0.981074</v>
      </c>
      <c r="Y592">
        <v>-1.0273590000000001E-2</v>
      </c>
      <c r="Z592" s="1">
        <v>-6.106269E-5</v>
      </c>
      <c r="AA592">
        <v>0.99994720000000004</v>
      </c>
      <c r="AB592">
        <v>37</v>
      </c>
      <c r="AC592">
        <v>22.5959</v>
      </c>
      <c r="AD592">
        <v>-1.1687529999999999</v>
      </c>
      <c r="AE592">
        <v>0.493400000000008</v>
      </c>
      <c r="AF592">
        <v>-0.23575341684729201</v>
      </c>
      <c r="AG592">
        <v>-1.1687529999999999</v>
      </c>
      <c r="AH592">
        <v>22.539776240531001</v>
      </c>
      <c r="AI592">
        <v>92.968132461189199</v>
      </c>
      <c r="AJ592">
        <v>90.599259863985296</v>
      </c>
      <c r="AK592">
        <v>22.571288758548299</v>
      </c>
      <c r="AL592">
        <v>79.014906718450106</v>
      </c>
      <c r="AM592">
        <v>87.991998279065498</v>
      </c>
      <c r="AN592">
        <v>1.00000001215486</v>
      </c>
    </row>
    <row r="593" spans="1:40" x14ac:dyDescent="0.25">
      <c r="A593" t="str">
        <f>"20190303162509761"</f>
        <v>20190303162509761</v>
      </c>
      <c r="B593" t="str">
        <f>"1551601509753885"</f>
        <v>1551601509753885</v>
      </c>
      <c r="C593" t="s">
        <v>40</v>
      </c>
      <c r="D593">
        <v>4.9820710000000004</v>
      </c>
      <c r="E593">
        <v>0.4835815</v>
      </c>
      <c r="F593" t="s">
        <v>44</v>
      </c>
      <c r="G593">
        <v>-296.76069999999999</v>
      </c>
      <c r="H593">
        <v>-0.05</v>
      </c>
      <c r="I593">
        <v>367.87169999999998</v>
      </c>
      <c r="J593">
        <v>-318.90980000000002</v>
      </c>
      <c r="K593">
        <v>1.1177010000000001</v>
      </c>
      <c r="L593">
        <v>367.44459999999998</v>
      </c>
      <c r="M593">
        <v>0.99978370000000005</v>
      </c>
      <c r="N593">
        <v>-1.7334990000000002E-2</v>
      </c>
      <c r="O593">
        <v>1.149011E-2</v>
      </c>
      <c r="P593">
        <v>0.98459779999999997</v>
      </c>
      <c r="Q593">
        <v>0.1731972</v>
      </c>
      <c r="R593">
        <v>-2.3875609999999999E-2</v>
      </c>
      <c r="S593">
        <v>3.0778500000000002</v>
      </c>
      <c r="T593">
        <v>-0.15972529999999999</v>
      </c>
      <c r="U593">
        <v>5.8959959999999999E-2</v>
      </c>
      <c r="V593">
        <v>3.512407E-2</v>
      </c>
      <c r="W593">
        <v>0.19024559999999999</v>
      </c>
      <c r="X593">
        <v>0.98110799999999998</v>
      </c>
      <c r="Y593">
        <v>-7.6548149999999997E-3</v>
      </c>
      <c r="Z593">
        <v>-1.3181090000000001E-4</v>
      </c>
      <c r="AA593">
        <v>0.99997069999999999</v>
      </c>
      <c r="AB593">
        <v>37</v>
      </c>
      <c r="AC593">
        <v>22.149100000000001</v>
      </c>
      <c r="AD593">
        <v>-1.1677010000000001</v>
      </c>
      <c r="AE593">
        <v>0.42709999999999498</v>
      </c>
      <c r="AF593">
        <v>-0.172059905642415</v>
      </c>
      <c r="AG593">
        <v>-1.1677010000000001</v>
      </c>
      <c r="AH593">
        <v>22.091168201963299</v>
      </c>
      <c r="AI593">
        <v>93.025648482771203</v>
      </c>
      <c r="AJ593">
        <v>90.446246526662193</v>
      </c>
      <c r="AK593">
        <v>22.122677115664999</v>
      </c>
      <c r="AL593">
        <v>79.032882502510404</v>
      </c>
      <c r="AM593">
        <v>87.949663175752306</v>
      </c>
      <c r="AN593">
        <v>0.99999999813836205</v>
      </c>
    </row>
    <row r="594" spans="1:40" x14ac:dyDescent="0.25">
      <c r="A594" t="str">
        <f>"20190303162509783"</f>
        <v>20190303162509783</v>
      </c>
      <c r="B594" t="str">
        <f>"1551601509773405"</f>
        <v>1551601509773405</v>
      </c>
      <c r="C594" t="s">
        <v>40</v>
      </c>
      <c r="D594">
        <v>4.8962250000000003</v>
      </c>
      <c r="E594">
        <v>0.46583829999999998</v>
      </c>
      <c r="F594" t="s">
        <v>44</v>
      </c>
      <c r="G594">
        <v>-297.35390000000001</v>
      </c>
      <c r="H594">
        <v>-0.05</v>
      </c>
      <c r="I594">
        <v>367.8537</v>
      </c>
      <c r="J594">
        <v>-318.56450000000001</v>
      </c>
      <c r="K594">
        <v>1.1165309999999999</v>
      </c>
      <c r="L594">
        <v>367.44869999999997</v>
      </c>
      <c r="M594">
        <v>0.99974759999999996</v>
      </c>
      <c r="N594">
        <v>-1.9239740000000002E-2</v>
      </c>
      <c r="O594">
        <v>1.1606389999999999E-2</v>
      </c>
      <c r="P594">
        <v>0.98507690000000003</v>
      </c>
      <c r="Q594">
        <v>0.1704357</v>
      </c>
      <c r="R594">
        <v>-2.3987350000000001E-2</v>
      </c>
      <c r="S594">
        <v>3.0776979999999998</v>
      </c>
      <c r="T594">
        <v>-0.1667216</v>
      </c>
      <c r="U594">
        <v>5.841064E-2</v>
      </c>
      <c r="V594">
        <v>3.535613E-2</v>
      </c>
      <c r="W594">
        <v>0.18936220000000001</v>
      </c>
      <c r="X594">
        <v>0.98127059999999999</v>
      </c>
      <c r="Y594">
        <v>-7.3599759999999998E-3</v>
      </c>
      <c r="Z594">
        <v>-1.349051E-4</v>
      </c>
      <c r="AA594">
        <v>0.99997290000000005</v>
      </c>
      <c r="AB594">
        <v>37</v>
      </c>
      <c r="AC594">
        <v>21.210599999999999</v>
      </c>
      <c r="AD594">
        <v>-1.166531</v>
      </c>
      <c r="AE594">
        <v>0.405000000000029</v>
      </c>
      <c r="AF594">
        <v>-0.15827010579276399</v>
      </c>
      <c r="AG594">
        <v>-1.166531</v>
      </c>
      <c r="AH594">
        <v>21.1499227615443</v>
      </c>
      <c r="AI594">
        <v>93.1568808084197</v>
      </c>
      <c r="AJ594">
        <v>90.428750493453194</v>
      </c>
      <c r="AK594">
        <v>21.1826598145662</v>
      </c>
      <c r="AL594">
        <v>79.084435224190102</v>
      </c>
      <c r="AM594">
        <v>87.936470248049005</v>
      </c>
      <c r="AN594">
        <v>1.0000000445708801</v>
      </c>
    </row>
    <row r="595" spans="1:40" x14ac:dyDescent="0.25">
      <c r="A595" t="str">
        <f>"20190303162509805"</f>
        <v>20190303162509805</v>
      </c>
      <c r="B595" t="str">
        <f>"1551601509792960"</f>
        <v>1551601509792960</v>
      </c>
      <c r="C595" t="s">
        <v>40</v>
      </c>
      <c r="D595">
        <v>4.8299709999999996</v>
      </c>
      <c r="E595">
        <v>0.46493089999999998</v>
      </c>
      <c r="F595" t="s">
        <v>44</v>
      </c>
      <c r="G595">
        <v>-298.24340000000001</v>
      </c>
      <c r="H595">
        <v>-0.05</v>
      </c>
      <c r="I595">
        <v>368.76420000000002</v>
      </c>
      <c r="J595">
        <v>-318.18130000000002</v>
      </c>
      <c r="K595">
        <v>1.1149260000000001</v>
      </c>
      <c r="L595">
        <v>367.45330000000001</v>
      </c>
      <c r="M595">
        <v>0.99971100000000002</v>
      </c>
      <c r="N595">
        <v>-2.0975170000000001E-2</v>
      </c>
      <c r="O595">
        <v>1.1757119999999999E-2</v>
      </c>
      <c r="P595">
        <v>0.98546250000000002</v>
      </c>
      <c r="Q595">
        <v>0.16816429999999999</v>
      </c>
      <c r="R595">
        <v>-2.4183059999999999E-2</v>
      </c>
      <c r="S595">
        <v>3.0808719999999998</v>
      </c>
      <c r="T595">
        <v>-0.17685699999999999</v>
      </c>
      <c r="U595">
        <v>0.19943240000000001</v>
      </c>
      <c r="V595">
        <v>3.570624E-2</v>
      </c>
      <c r="W595">
        <v>0.18880259999999999</v>
      </c>
      <c r="X595">
        <v>0.98136570000000001</v>
      </c>
      <c r="Y595">
        <v>-5.2747179999999998E-2</v>
      </c>
      <c r="Z595">
        <v>1.638294E-3</v>
      </c>
      <c r="AA595">
        <v>0.99860660000000001</v>
      </c>
      <c r="AB595">
        <v>37</v>
      </c>
      <c r="AC595">
        <v>19.937899999999999</v>
      </c>
      <c r="AD595">
        <v>-1.1649259999999999</v>
      </c>
      <c r="AE595">
        <v>1.3109</v>
      </c>
      <c r="AF595">
        <v>-1.0726993038453201</v>
      </c>
      <c r="AG595">
        <v>-1.1649259999999999</v>
      </c>
      <c r="AH595">
        <v>19.884348168593799</v>
      </c>
      <c r="AI595">
        <v>93.347987934288</v>
      </c>
      <c r="AJ595">
        <v>93.087937473831701</v>
      </c>
      <c r="AK595">
        <v>19.947306546794799</v>
      </c>
      <c r="AL595">
        <v>79.117086416960802</v>
      </c>
      <c r="AM595">
        <v>87.916256079338893</v>
      </c>
      <c r="AN595">
        <v>0.99999999723909305</v>
      </c>
    </row>
    <row r="596" spans="1:40" x14ac:dyDescent="0.25">
      <c r="A596" t="str">
        <f>"20190303162509829"</f>
        <v>20190303162509829</v>
      </c>
      <c r="B596" t="str">
        <f>"1551601509823191"</f>
        <v>1551601509823191</v>
      </c>
      <c r="C596" t="s">
        <v>40</v>
      </c>
      <c r="D596">
        <v>4.7256119999999999</v>
      </c>
      <c r="E596">
        <v>0.4652174</v>
      </c>
      <c r="F596" t="s">
        <v>44</v>
      </c>
      <c r="G596">
        <v>-298.82940000000002</v>
      </c>
      <c r="H596">
        <v>-0.05</v>
      </c>
      <c r="I596">
        <v>368.745</v>
      </c>
      <c r="J596">
        <v>-317.80239999999998</v>
      </c>
      <c r="K596">
        <v>1.1130359999999999</v>
      </c>
      <c r="L596">
        <v>367.4579</v>
      </c>
      <c r="M596">
        <v>0.99968080000000004</v>
      </c>
      <c r="N596">
        <v>-2.2280379999999999E-2</v>
      </c>
      <c r="O596">
        <v>1.191415E-2</v>
      </c>
      <c r="P596">
        <v>0.98577950000000003</v>
      </c>
      <c r="Q596">
        <v>0.16633580000000001</v>
      </c>
      <c r="R596">
        <v>-2.3902980000000001E-2</v>
      </c>
      <c r="S596">
        <v>3.080994</v>
      </c>
      <c r="T596">
        <v>-0.1854663</v>
      </c>
      <c r="U596">
        <v>0.20565800000000001</v>
      </c>
      <c r="V596">
        <v>3.5584369999999997E-2</v>
      </c>
      <c r="W596">
        <v>0.18826219999999999</v>
      </c>
      <c r="X596">
        <v>0.98147390000000001</v>
      </c>
      <c r="Y596">
        <v>-5.4580480000000001E-2</v>
      </c>
      <c r="Z596">
        <v>1.798425E-3</v>
      </c>
      <c r="AA596">
        <v>0.9985077</v>
      </c>
      <c r="AB596">
        <v>37</v>
      </c>
      <c r="AC596">
        <v>18.9729999999999</v>
      </c>
      <c r="AD596">
        <v>-1.163036</v>
      </c>
      <c r="AE596">
        <v>1.2870999999999999</v>
      </c>
      <c r="AF596">
        <v>-1.0569518704943599</v>
      </c>
      <c r="AG596">
        <v>-1.163036</v>
      </c>
      <c r="AH596">
        <v>18.916236565346999</v>
      </c>
      <c r="AI596">
        <v>93.512849249640595</v>
      </c>
      <c r="AJ596">
        <v>93.198097895165006</v>
      </c>
      <c r="AK596">
        <v>18.981406844330799</v>
      </c>
      <c r="AL596">
        <v>79.148614039338497</v>
      </c>
      <c r="AM596">
        <v>87.923590661541198</v>
      </c>
      <c r="AN596">
        <v>0.99999995985917201</v>
      </c>
    </row>
    <row r="597" spans="1:40" x14ac:dyDescent="0.25">
      <c r="A597" t="str">
        <f>"20190303162509850"</f>
        <v>20190303162509850</v>
      </c>
      <c r="B597" t="str">
        <f>"1551601509843688"</f>
        <v>1551601509843688</v>
      </c>
      <c r="C597" t="s">
        <v>40</v>
      </c>
      <c r="D597">
        <v>4.6843440000000003</v>
      </c>
      <c r="E597">
        <v>0.46533020000000003</v>
      </c>
      <c r="F597" t="s">
        <v>44</v>
      </c>
      <c r="G597">
        <v>-298.6678</v>
      </c>
      <c r="H597">
        <v>-0.05</v>
      </c>
      <c r="I597">
        <v>368.72730000000001</v>
      </c>
      <c r="J597">
        <v>-317.44150000000002</v>
      </c>
      <c r="K597">
        <v>1.110997</v>
      </c>
      <c r="L597">
        <v>367.46230000000003</v>
      </c>
      <c r="M597">
        <v>0.99965749999999998</v>
      </c>
      <c r="N597">
        <v>-2.3233340000000002E-2</v>
      </c>
      <c r="O597">
        <v>1.2055700000000001E-2</v>
      </c>
      <c r="P597">
        <v>0.98599669999999895</v>
      </c>
      <c r="Q597">
        <v>0.16510639999999999</v>
      </c>
      <c r="R597">
        <v>-2.346705E-2</v>
      </c>
      <c r="S597">
        <v>3.0797729999999999</v>
      </c>
      <c r="T597">
        <v>-0.18719379999999999</v>
      </c>
      <c r="U597">
        <v>0.2043152</v>
      </c>
      <c r="V597">
        <v>3.5287699999999998E-2</v>
      </c>
      <c r="W597">
        <v>0.18797469999999999</v>
      </c>
      <c r="X597">
        <v>0.98153979999999996</v>
      </c>
      <c r="Y597">
        <v>-5.4029180000000003E-2</v>
      </c>
      <c r="Z597">
        <v>1.81639E-3</v>
      </c>
      <c r="AA597">
        <v>0.99853769999999997</v>
      </c>
      <c r="AB597">
        <v>37</v>
      </c>
      <c r="AC597">
        <v>18.773700000000002</v>
      </c>
      <c r="AD597">
        <v>-1.1609969999999901</v>
      </c>
      <c r="AE597">
        <v>1.2649999999999799</v>
      </c>
      <c r="AF597">
        <v>-1.0345780927125301</v>
      </c>
      <c r="AG597">
        <v>-1.1609969999999901</v>
      </c>
      <c r="AH597">
        <v>18.716334416082798</v>
      </c>
      <c r="AI597">
        <v>93.544182109609594</v>
      </c>
      <c r="AJ597">
        <v>93.1639045051257</v>
      </c>
      <c r="AK597">
        <v>18.780826388595798</v>
      </c>
      <c r="AL597">
        <v>79.165386943688404</v>
      </c>
      <c r="AM597">
        <v>87.941025031786694</v>
      </c>
      <c r="AN597">
        <v>1.0000000442977</v>
      </c>
    </row>
    <row r="598" spans="1:40" x14ac:dyDescent="0.25">
      <c r="A598" t="str">
        <f>"20190303162509871"</f>
        <v>20190303162509871</v>
      </c>
      <c r="B598" t="str">
        <f>"1551601509863208"</f>
        <v>1551601509863208</v>
      </c>
      <c r="C598" t="s">
        <v>40</v>
      </c>
      <c r="D598">
        <v>4.6579819999999996</v>
      </c>
      <c r="E598">
        <v>0.46531820000000002</v>
      </c>
      <c r="F598" t="s">
        <v>44</v>
      </c>
      <c r="G598">
        <v>-298.66160000000002</v>
      </c>
      <c r="H598">
        <v>-0.05</v>
      </c>
      <c r="I598">
        <v>368.71039999999999</v>
      </c>
      <c r="J598">
        <v>-317.08879999999999</v>
      </c>
      <c r="K598">
        <v>1.1088180000000001</v>
      </c>
      <c r="L598">
        <v>367.46660000000003</v>
      </c>
      <c r="M598">
        <v>0.99963930000000001</v>
      </c>
      <c r="N598">
        <v>-2.3932419999999999E-2</v>
      </c>
      <c r="O598">
        <v>1.2184749999999999E-2</v>
      </c>
      <c r="P598">
        <v>0.98615330000000001</v>
      </c>
      <c r="Q598">
        <v>0.16416979999999901</v>
      </c>
      <c r="R598">
        <v>-2.3447740000000002E-2</v>
      </c>
      <c r="S598">
        <v>3.0793460000000001</v>
      </c>
      <c r="T598">
        <v>-0.19036829999999999</v>
      </c>
      <c r="U598">
        <v>0.2046509</v>
      </c>
      <c r="V598">
        <v>3.5393760000000003E-2</v>
      </c>
      <c r="W598">
        <v>0.18772920000000001</v>
      </c>
      <c r="X598">
        <v>0.98158290000000004</v>
      </c>
      <c r="Y598">
        <v>-5.4012650000000002E-2</v>
      </c>
      <c r="Z598">
        <v>1.8536760000000001E-3</v>
      </c>
      <c r="AA598">
        <v>0.99853860000000005</v>
      </c>
      <c r="AB598">
        <v>37</v>
      </c>
      <c r="AC598">
        <v>18.4271999999999</v>
      </c>
      <c r="AD598">
        <v>-1.1588179999999999</v>
      </c>
      <c r="AE598">
        <v>1.24379999999996</v>
      </c>
      <c r="AF598">
        <v>-1.01511619595766</v>
      </c>
      <c r="AG598">
        <v>-1.1588179999999999</v>
      </c>
      <c r="AH598">
        <v>18.3686781160268</v>
      </c>
      <c r="AI598">
        <v>93.604328620753506</v>
      </c>
      <c r="AJ598">
        <v>93.163143909477398</v>
      </c>
      <c r="AK598">
        <v>18.433167274742001</v>
      </c>
      <c r="AL598">
        <v>79.1797073076213</v>
      </c>
      <c r="AM598">
        <v>87.934932568346994</v>
      </c>
      <c r="AN598">
        <v>0.99999998017599301</v>
      </c>
    </row>
    <row r="599" spans="1:40" x14ac:dyDescent="0.25">
      <c r="A599" t="str">
        <f>"20190303162509894"</f>
        <v>20190303162509894</v>
      </c>
      <c r="B599" t="str">
        <f>"1551601509883704"</f>
        <v>1551601509883704</v>
      </c>
      <c r="C599" t="s">
        <v>40</v>
      </c>
      <c r="D599">
        <v>4.565817</v>
      </c>
      <c r="E599">
        <v>0.46524559999999998</v>
      </c>
      <c r="F599" t="s">
        <v>44</v>
      </c>
      <c r="G599">
        <v>-298.44110000000001</v>
      </c>
      <c r="H599">
        <v>-0.05</v>
      </c>
      <c r="I599">
        <v>368.70600000000002</v>
      </c>
      <c r="J599">
        <v>-316.7296</v>
      </c>
      <c r="K599">
        <v>1.106428</v>
      </c>
      <c r="L599">
        <v>367.47120000000001</v>
      </c>
      <c r="M599">
        <v>0.99962680000000004</v>
      </c>
      <c r="N599">
        <v>-2.4389500000000001E-2</v>
      </c>
      <c r="O599">
        <v>1.2311829999999999E-2</v>
      </c>
      <c r="P599">
        <v>0.98627580000000004</v>
      </c>
      <c r="Q599">
        <v>0.1635009</v>
      </c>
      <c r="R599">
        <v>-2.2976219999999999E-2</v>
      </c>
      <c r="S599">
        <v>3.078827</v>
      </c>
      <c r="T599">
        <v>-0.191327</v>
      </c>
      <c r="U599">
        <v>0.20462040000000001</v>
      </c>
      <c r="V599">
        <v>3.5045689999999997E-2</v>
      </c>
      <c r="W599">
        <v>0.1875124</v>
      </c>
      <c r="X599">
        <v>0.98163679999999998</v>
      </c>
      <c r="Y599">
        <v>-5.3885170000000003E-2</v>
      </c>
      <c r="Z599">
        <v>1.866087E-3</v>
      </c>
      <c r="AA599">
        <v>0.99854540000000003</v>
      </c>
      <c r="AB599">
        <v>37</v>
      </c>
      <c r="AC599">
        <v>18.288499999999999</v>
      </c>
      <c r="AD599">
        <v>-1.156428</v>
      </c>
      <c r="AE599">
        <v>1.2347999999999499</v>
      </c>
      <c r="AF599">
        <v>-1.00547248204811</v>
      </c>
      <c r="AG599">
        <v>-1.156428</v>
      </c>
      <c r="AH599">
        <v>18.229761959966599</v>
      </c>
      <c r="AI599">
        <v>93.624272653227194</v>
      </c>
      <c r="AJ599">
        <v>93.156981299257794</v>
      </c>
      <c r="AK599">
        <v>18.294057006262602</v>
      </c>
      <c r="AL599">
        <v>79.192353323650593</v>
      </c>
      <c r="AM599">
        <v>87.955335749602497</v>
      </c>
      <c r="AN599">
        <v>0.99999995382778595</v>
      </c>
    </row>
    <row r="600" spans="1:40" x14ac:dyDescent="0.25">
      <c r="A600" t="str">
        <f>"20190303162509916"</f>
        <v>20190303162509916</v>
      </c>
      <c r="B600" t="str">
        <f>"1551601509903224"</f>
        <v>1551601509903224</v>
      </c>
      <c r="C600" t="s">
        <v>40</v>
      </c>
      <c r="D600">
        <v>4.5440820000000004</v>
      </c>
      <c r="E600">
        <v>0.46519890000000003</v>
      </c>
      <c r="F600" t="s">
        <v>44</v>
      </c>
      <c r="G600">
        <v>-298.13740000000001</v>
      </c>
      <c r="H600">
        <v>-0.05</v>
      </c>
      <c r="I600">
        <v>368.71809999999999</v>
      </c>
      <c r="J600">
        <v>-316.35390000000001</v>
      </c>
      <c r="K600">
        <v>1.1037520000000001</v>
      </c>
      <c r="L600">
        <v>367.476</v>
      </c>
      <c r="M600">
        <v>0.99962059999999997</v>
      </c>
      <c r="N600">
        <v>-2.4569819999999999E-2</v>
      </c>
      <c r="O600">
        <v>1.2446779999999999E-2</v>
      </c>
      <c r="P600">
        <v>0.98625059999999998</v>
      </c>
      <c r="Q600">
        <v>0.1637402</v>
      </c>
      <c r="R600">
        <v>-2.233338E-2</v>
      </c>
      <c r="S600">
        <v>3.0783079999999998</v>
      </c>
      <c r="T600">
        <v>-0.19146969999999999</v>
      </c>
      <c r="U600">
        <v>0.20645140000000001</v>
      </c>
      <c r="V600">
        <v>3.453357E-2</v>
      </c>
      <c r="W600">
        <v>0.18792829999999999</v>
      </c>
      <c r="X600">
        <v>0.98157550000000005</v>
      </c>
      <c r="Y600">
        <v>-5.435102E-2</v>
      </c>
      <c r="Z600">
        <v>1.889132E-3</v>
      </c>
      <c r="AA600">
        <v>0.99852010000000002</v>
      </c>
      <c r="AB600">
        <v>37</v>
      </c>
      <c r="AC600">
        <v>18.2165</v>
      </c>
      <c r="AD600">
        <v>-1.1537520000000001</v>
      </c>
      <c r="AE600">
        <v>1.24209999999999</v>
      </c>
      <c r="AF600">
        <v>-1.011161088233</v>
      </c>
      <c r="AG600">
        <v>-1.1537520000000001</v>
      </c>
      <c r="AH600">
        <v>18.158050863877801</v>
      </c>
      <c r="AI600">
        <v>93.630044141515697</v>
      </c>
      <c r="AJ600">
        <v>93.187318317344094</v>
      </c>
      <c r="AK600">
        <v>18.222744074343801</v>
      </c>
      <c r="AL600">
        <v>79.168093635584498</v>
      </c>
      <c r="AM600">
        <v>87.985063742413303</v>
      </c>
      <c r="AN600">
        <v>1.0000000377990399</v>
      </c>
    </row>
    <row r="601" spans="1:40" x14ac:dyDescent="0.25">
      <c r="A601" t="str">
        <f>"20190303162509940"</f>
        <v>20190303162509940</v>
      </c>
      <c r="B601" t="str">
        <f>"1551601509933480"</f>
        <v>1551601509933480</v>
      </c>
      <c r="C601" t="s">
        <v>40</v>
      </c>
      <c r="D601">
        <v>4.4821650000000002</v>
      </c>
      <c r="E601">
        <v>0.46500330000000001</v>
      </c>
      <c r="F601" t="s">
        <v>44</v>
      </c>
      <c r="G601">
        <v>-297.5342</v>
      </c>
      <c r="H601">
        <v>-0.05</v>
      </c>
      <c r="I601">
        <v>368.75209999999998</v>
      </c>
      <c r="J601">
        <v>-315.97680000000003</v>
      </c>
      <c r="K601">
        <v>1.1009370000000001</v>
      </c>
      <c r="L601">
        <v>367.48079999999999</v>
      </c>
      <c r="M601">
        <v>0.99962070000000003</v>
      </c>
      <c r="N601">
        <v>-2.4504720000000001E-2</v>
      </c>
      <c r="O601">
        <v>1.256792E-2</v>
      </c>
      <c r="P601">
        <v>0.98609469999999999</v>
      </c>
      <c r="Q601">
        <v>0.16478699999999999</v>
      </c>
      <c r="R601">
        <v>-2.1508940000000001E-2</v>
      </c>
      <c r="S601">
        <v>3.0778810000000001</v>
      </c>
      <c r="T601">
        <v>-0.18869150000000001</v>
      </c>
      <c r="U601">
        <v>0.2087097</v>
      </c>
      <c r="V601">
        <v>3.3824970000000003E-2</v>
      </c>
      <c r="W601">
        <v>0.18890699999999999</v>
      </c>
      <c r="X601">
        <v>0.98141219999999996</v>
      </c>
      <c r="Y601">
        <v>-5.4970379999999999E-2</v>
      </c>
      <c r="Z601">
        <v>1.8955129999999999E-3</v>
      </c>
      <c r="AA601">
        <v>0.99848619999999999</v>
      </c>
      <c r="AB601">
        <v>37</v>
      </c>
      <c r="AC601">
        <v>18.442599999999999</v>
      </c>
      <c r="AD601">
        <v>-1.1509370000000001</v>
      </c>
      <c r="AE601">
        <v>1.2712999999999901</v>
      </c>
      <c r="AF601">
        <v>-1.03533169043062</v>
      </c>
      <c r="AG601">
        <v>-1.1509370000000001</v>
      </c>
      <c r="AH601">
        <v>18.385858675533001</v>
      </c>
      <c r="AI601">
        <v>93.576335528985396</v>
      </c>
      <c r="AJ601">
        <v>93.222996307854203</v>
      </c>
      <c r="AK601">
        <v>18.4509177799873</v>
      </c>
      <c r="AL601">
        <v>79.110994546654396</v>
      </c>
      <c r="AM601">
        <v>88.026047374210606</v>
      </c>
      <c r="AN601">
        <v>0.99999994477666798</v>
      </c>
    </row>
    <row r="602" spans="1:40" x14ac:dyDescent="0.25">
      <c r="A602" t="str">
        <f>"20190303162509960"</f>
        <v>20190303162509960</v>
      </c>
      <c r="B602" t="str">
        <f>"1551601509953000"</f>
        <v>1551601509953000</v>
      </c>
      <c r="C602" t="s">
        <v>40</v>
      </c>
      <c r="D602">
        <v>4.4622659999999996</v>
      </c>
      <c r="E602">
        <v>0.46492470000000002</v>
      </c>
      <c r="F602" t="s">
        <v>44</v>
      </c>
      <c r="G602">
        <v>-297.31490000000002</v>
      </c>
      <c r="H602">
        <v>-0.05</v>
      </c>
      <c r="I602">
        <v>368.76870000000002</v>
      </c>
      <c r="J602">
        <v>-315.6318</v>
      </c>
      <c r="K602">
        <v>1.0983000000000001</v>
      </c>
      <c r="L602">
        <v>367.4853</v>
      </c>
      <c r="M602">
        <v>0.99962249999999997</v>
      </c>
      <c r="N602">
        <v>-2.4373880000000001E-2</v>
      </c>
      <c r="O602">
        <v>1.2683109999999999E-2</v>
      </c>
      <c r="P602">
        <v>0.98582239999999999</v>
      </c>
      <c r="Q602">
        <v>0.1665056</v>
      </c>
      <c r="R602">
        <v>-2.0742239999999999E-2</v>
      </c>
      <c r="S602">
        <v>3.0786440000000002</v>
      </c>
      <c r="T602">
        <v>-0.18986919999999999</v>
      </c>
      <c r="U602">
        <v>0.2124634</v>
      </c>
      <c r="V602">
        <v>3.3169400000000002E-2</v>
      </c>
      <c r="W602">
        <v>0.19048950000000001</v>
      </c>
      <c r="X602">
        <v>0.98112869999999996</v>
      </c>
      <c r="Y602">
        <v>-5.604659E-2</v>
      </c>
      <c r="Z602">
        <v>1.937689E-3</v>
      </c>
      <c r="AA602">
        <v>0.99842629999999999</v>
      </c>
      <c r="AB602">
        <v>37</v>
      </c>
      <c r="AC602">
        <v>18.316899999999901</v>
      </c>
      <c r="AD602">
        <v>-1.1483000000000001</v>
      </c>
      <c r="AE602">
        <v>1.2834000000000201</v>
      </c>
      <c r="AF602">
        <v>-1.0468183920773499</v>
      </c>
      <c r="AG602">
        <v>-1.1483000000000001</v>
      </c>
      <c r="AH602">
        <v>18.260293456895798</v>
      </c>
      <c r="AI602">
        <v>93.592428565325804</v>
      </c>
      <c r="AJ602">
        <v>93.281037074140301</v>
      </c>
      <c r="AK602">
        <v>18.326285460178401</v>
      </c>
      <c r="AL602">
        <v>79.018647684785407</v>
      </c>
      <c r="AM602">
        <v>88.063716731976299</v>
      </c>
      <c r="AN602">
        <v>0.99999999233514902</v>
      </c>
    </row>
    <row r="603" spans="1:40" x14ac:dyDescent="0.25">
      <c r="A603" t="str">
        <f>"20190303162509983"</f>
        <v>20190303162509983</v>
      </c>
      <c r="B603" t="str">
        <f>"1551601509973496"</f>
        <v>1551601509973496</v>
      </c>
      <c r="C603" t="s">
        <v>40</v>
      </c>
      <c r="D603">
        <v>4.4151439999999997</v>
      </c>
      <c r="E603">
        <v>0.46488550000000001</v>
      </c>
      <c r="F603" t="s">
        <v>44</v>
      </c>
      <c r="G603">
        <v>-296.40789999999998</v>
      </c>
      <c r="H603">
        <v>-0.05</v>
      </c>
      <c r="I603">
        <v>368.82639999999998</v>
      </c>
      <c r="J603">
        <v>-315.27789999999999</v>
      </c>
      <c r="K603">
        <v>1.095593</v>
      </c>
      <c r="L603">
        <v>367.49</v>
      </c>
      <c r="M603">
        <v>0.99962629999999997</v>
      </c>
      <c r="N603">
        <v>-2.4151309999999999E-2</v>
      </c>
      <c r="O603">
        <v>1.2816019999999999E-2</v>
      </c>
      <c r="P603">
        <v>0.98560329999999996</v>
      </c>
      <c r="Q603">
        <v>0.16788529999999999</v>
      </c>
      <c r="R603">
        <v>-2.0032129999999999E-2</v>
      </c>
      <c r="S603">
        <v>3.078735</v>
      </c>
      <c r="T603">
        <v>-0.18390190000000001</v>
      </c>
      <c r="U603">
        <v>0.21478269999999999</v>
      </c>
      <c r="V603">
        <v>3.2590809999999998E-2</v>
      </c>
      <c r="W603">
        <v>0.1916446</v>
      </c>
      <c r="X603">
        <v>0.98092310000000005</v>
      </c>
      <c r="Y603">
        <v>-5.6666420000000002E-2</v>
      </c>
      <c r="Z603">
        <v>1.920181E-3</v>
      </c>
      <c r="AA603">
        <v>0.99839129999999998</v>
      </c>
      <c r="AB603">
        <v>36</v>
      </c>
      <c r="AC603">
        <v>18.87</v>
      </c>
      <c r="AD603">
        <v>-1.1455930000000001</v>
      </c>
      <c r="AE603">
        <v>1.3363999999999601</v>
      </c>
      <c r="AF603">
        <v>-1.0903826157152201</v>
      </c>
      <c r="AG603">
        <v>-1.1455930000000001</v>
      </c>
      <c r="AH603">
        <v>18.8165760015168</v>
      </c>
      <c r="AI603">
        <v>93.478167499395198</v>
      </c>
      <c r="AJ603">
        <v>93.316465947140799</v>
      </c>
      <c r="AK603">
        <v>18.882924826179899</v>
      </c>
      <c r="AL603">
        <v>78.951222922005897</v>
      </c>
      <c r="AM603">
        <v>88.097068747354996</v>
      </c>
      <c r="AN603">
        <v>0.99999997085961201</v>
      </c>
    </row>
    <row r="604" spans="1:40" x14ac:dyDescent="0.25">
      <c r="A604" t="str">
        <f>"20190303162510007"</f>
        <v>20190303162510007</v>
      </c>
      <c r="B604" t="str">
        <f>"1551601509993015"</f>
        <v>1551601509993015</v>
      </c>
      <c r="C604" t="s">
        <v>40</v>
      </c>
      <c r="D604">
        <v>4.4629570000000003</v>
      </c>
      <c r="E604">
        <v>0.46486699999999997</v>
      </c>
      <c r="F604" t="s">
        <v>44</v>
      </c>
      <c r="G604">
        <v>-295.58879999999999</v>
      </c>
      <c r="H604">
        <v>-0.05</v>
      </c>
      <c r="I604">
        <v>368.8877</v>
      </c>
      <c r="J604">
        <v>-314.88220000000001</v>
      </c>
      <c r="K604">
        <v>1.092625</v>
      </c>
      <c r="L604">
        <v>367.49520000000001</v>
      </c>
      <c r="M604">
        <v>0.99963380000000002</v>
      </c>
      <c r="N604">
        <v>-2.3746949999999999E-2</v>
      </c>
      <c r="O604">
        <v>1.2978699999999999E-2</v>
      </c>
      <c r="P604">
        <v>0.98543159999999996</v>
      </c>
      <c r="Q604">
        <v>0.16884150000000001</v>
      </c>
      <c r="R604">
        <v>-2.042828E-2</v>
      </c>
      <c r="S604">
        <v>3.0787960000000001</v>
      </c>
      <c r="T604">
        <v>-0.179137299999999</v>
      </c>
      <c r="U604">
        <v>0.21856690000000001</v>
      </c>
      <c r="V604">
        <v>3.3148850000000001E-2</v>
      </c>
      <c r="W604">
        <v>0.1921987</v>
      </c>
      <c r="X604">
        <v>0.980796</v>
      </c>
      <c r="Y604">
        <v>-5.7727680000000003E-2</v>
      </c>
      <c r="Z604">
        <v>1.917378E-3</v>
      </c>
      <c r="AA604">
        <v>0.99833050000000001</v>
      </c>
      <c r="AB604">
        <v>36</v>
      </c>
      <c r="AC604">
        <v>19.293399999999998</v>
      </c>
      <c r="AD604">
        <v>-1.142625</v>
      </c>
      <c r="AE604">
        <v>1.3924999999999801</v>
      </c>
      <c r="AF604">
        <v>-1.13793821307548</v>
      </c>
      <c r="AG604">
        <v>-1.142625</v>
      </c>
      <c r="AH604">
        <v>19.242709164727501</v>
      </c>
      <c r="AI604">
        <v>93.392299609351795</v>
      </c>
      <c r="AJ604">
        <v>93.384305893582393</v>
      </c>
      <c r="AK604">
        <v>19.310161865341499</v>
      </c>
      <c r="AL604">
        <v>78.9188741858909</v>
      </c>
      <c r="AM604">
        <v>88.064259529023801</v>
      </c>
      <c r="AN604">
        <v>0.99999999007700602</v>
      </c>
    </row>
    <row r="605" spans="1:40" x14ac:dyDescent="0.25">
      <c r="A605" t="str">
        <f>"20190303162510030"</f>
        <v>20190303162510030</v>
      </c>
      <c r="B605" t="str">
        <f>"1551601510023271"</f>
        <v>1551601510023271</v>
      </c>
      <c r="C605" t="s">
        <v>40</v>
      </c>
      <c r="D605">
        <v>4.299963</v>
      </c>
      <c r="E605">
        <v>0.50279410000000002</v>
      </c>
      <c r="F605" t="s">
        <v>44</v>
      </c>
      <c r="G605">
        <v>-294.8322</v>
      </c>
      <c r="H605">
        <v>-0.05</v>
      </c>
      <c r="I605">
        <v>368.91109999999998</v>
      </c>
      <c r="J605">
        <v>-314.524</v>
      </c>
      <c r="K605">
        <v>1.090063</v>
      </c>
      <c r="L605">
        <v>367.5</v>
      </c>
      <c r="M605">
        <v>0.99964350000000002</v>
      </c>
      <c r="N605">
        <v>-2.3251399999999998E-2</v>
      </c>
      <c r="O605">
        <v>1.3125700000000001E-2</v>
      </c>
      <c r="P605">
        <v>0.98528389999999999</v>
      </c>
      <c r="Q605">
        <v>0.16970460000000001</v>
      </c>
      <c r="R605">
        <v>-2.0396750000000002E-2</v>
      </c>
      <c r="S605">
        <v>3.0789179999999998</v>
      </c>
      <c r="T605">
        <v>-0.17546439999999999</v>
      </c>
      <c r="U605">
        <v>0.21743770000000001</v>
      </c>
      <c r="V605">
        <v>3.3262130000000001E-2</v>
      </c>
      <c r="W605">
        <v>0.19257160000000001</v>
      </c>
      <c r="X605">
        <v>0.98071900000000001</v>
      </c>
      <c r="Y605">
        <v>-5.7220449999999999E-2</v>
      </c>
      <c r="Z605">
        <v>1.852392E-3</v>
      </c>
      <c r="AA605">
        <v>0.99835989999999997</v>
      </c>
      <c r="AB605">
        <v>36</v>
      </c>
      <c r="AC605">
        <v>19.691800000000001</v>
      </c>
      <c r="AD605">
        <v>-1.1400629999999901</v>
      </c>
      <c r="AE605">
        <v>1.41109999999997</v>
      </c>
      <c r="AF605">
        <v>-1.1486095055566401</v>
      </c>
      <c r="AG605">
        <v>-1.1400629999999901</v>
      </c>
      <c r="AH605">
        <v>19.6431246171807</v>
      </c>
      <c r="AI605">
        <v>93.315999348670601</v>
      </c>
      <c r="AJ605">
        <v>93.346495301026593</v>
      </c>
      <c r="AK605">
        <v>19.7096776271535</v>
      </c>
      <c r="AL605">
        <v>78.897101687293897</v>
      </c>
      <c r="AM605">
        <v>88.057497171560897</v>
      </c>
      <c r="AN605">
        <v>0.99999997368984805</v>
      </c>
    </row>
    <row r="606" spans="1:40" x14ac:dyDescent="0.25">
      <c r="A606" t="str">
        <f>"20190303162510051"</f>
        <v>20190303162510051</v>
      </c>
      <c r="B606" t="str">
        <f>"1551601510043767"</f>
        <v>1551601510043767</v>
      </c>
      <c r="C606" t="s">
        <v>40</v>
      </c>
      <c r="D606">
        <v>4.3164009999999999</v>
      </c>
      <c r="E606">
        <v>0.51410540000000005</v>
      </c>
      <c r="F606" t="s">
        <v>44</v>
      </c>
      <c r="G606">
        <v>-278.97680000000003</v>
      </c>
      <c r="H606">
        <v>-0.05</v>
      </c>
      <c r="I606">
        <v>366.51049999999998</v>
      </c>
      <c r="J606">
        <v>-314.1814</v>
      </c>
      <c r="K606">
        <v>1.0877709999999901</v>
      </c>
      <c r="L606">
        <v>367.50459999999998</v>
      </c>
      <c r="M606">
        <v>0.99965459999999995</v>
      </c>
      <c r="N606">
        <v>-2.2694280000000001E-2</v>
      </c>
      <c r="O606">
        <v>1.3261480000000001E-2</v>
      </c>
      <c r="P606">
        <v>0.98515430000000004</v>
      </c>
      <c r="Q606">
        <v>0.17047229999999999</v>
      </c>
      <c r="R606">
        <v>-2.0259940000000001E-2</v>
      </c>
      <c r="S606">
        <v>3.0599059999999998</v>
      </c>
      <c r="T606">
        <v>-9.8136660000000001E-2</v>
      </c>
      <c r="U606">
        <v>-8.5174559999999996E-2</v>
      </c>
      <c r="V606">
        <v>3.3257790000000002E-2</v>
      </c>
      <c r="W606">
        <v>0.19278919999999999</v>
      </c>
      <c r="X606">
        <v>0.9806764</v>
      </c>
      <c r="Y606">
        <v>4.104559E-2</v>
      </c>
      <c r="Z606">
        <v>-1.2482389999999999E-3</v>
      </c>
      <c r="AA606">
        <v>0.9991565</v>
      </c>
      <c r="AB606">
        <v>36</v>
      </c>
      <c r="AC606">
        <v>35.2045999999999</v>
      </c>
      <c r="AD606">
        <v>-1.1377710000000001</v>
      </c>
      <c r="AE606">
        <v>-0.99410000000000298</v>
      </c>
      <c r="AF606">
        <v>1.4594746407622501</v>
      </c>
      <c r="AG606">
        <v>-1.1377710000000001</v>
      </c>
      <c r="AH606">
        <v>35.151629145624</v>
      </c>
      <c r="AI606">
        <v>91.852280229299794</v>
      </c>
      <c r="AJ606">
        <v>87.622479010296203</v>
      </c>
      <c r="AK606">
        <v>35.200307110406797</v>
      </c>
      <c r="AL606">
        <v>78.884396099778698</v>
      </c>
      <c r="AM606">
        <v>88.057666127156907</v>
      </c>
      <c r="AN606">
        <v>0.99999997887464098</v>
      </c>
    </row>
    <row r="607" spans="1:40" x14ac:dyDescent="0.25">
      <c r="A607" t="str">
        <f>"20190303162510072"</f>
        <v>20190303162510072</v>
      </c>
      <c r="B607" t="str">
        <f>"1551601510063287"</f>
        <v>1551601510063287</v>
      </c>
      <c r="C607" t="s">
        <v>40</v>
      </c>
      <c r="D607">
        <v>4.2690999999999999</v>
      </c>
      <c r="E607">
        <v>0.51827780000000001</v>
      </c>
      <c r="F607" t="s">
        <v>41</v>
      </c>
      <c r="G607">
        <v>-276.08870000000002</v>
      </c>
      <c r="H607" s="1">
        <v>-2.459916E-6</v>
      </c>
      <c r="I607">
        <v>365.32119999999998</v>
      </c>
      <c r="J607">
        <v>-313.83749999999998</v>
      </c>
      <c r="K607">
        <v>1.085653</v>
      </c>
      <c r="L607">
        <v>367.5093</v>
      </c>
      <c r="M607">
        <v>0.99966630000000001</v>
      </c>
      <c r="N607">
        <v>-2.2089790000000002E-2</v>
      </c>
      <c r="O607">
        <v>1.3392279999999999E-2</v>
      </c>
      <c r="P607">
        <v>0.98512929999999999</v>
      </c>
      <c r="Q607">
        <v>0.1705546</v>
      </c>
      <c r="R607">
        <v>-2.0779309999999999E-2</v>
      </c>
      <c r="S607">
        <v>3.0567630000000001</v>
      </c>
      <c r="T607">
        <v>-8.7288500000000005E-2</v>
      </c>
      <c r="U607">
        <v>-0.17520139999999901</v>
      </c>
      <c r="V607">
        <v>3.3906079999999998E-2</v>
      </c>
      <c r="W607">
        <v>0.19227830000000001</v>
      </c>
      <c r="X607">
        <v>0.98075460000000003</v>
      </c>
      <c r="Y607">
        <v>7.0539370000000004E-2</v>
      </c>
      <c r="Z607">
        <v>-1.8727150000000001E-3</v>
      </c>
      <c r="AA607">
        <v>0.99750720000000004</v>
      </c>
      <c r="AB607">
        <v>36</v>
      </c>
      <c r="AC607">
        <v>37.748799999999903</v>
      </c>
      <c r="AD607">
        <v>-1.085655459916</v>
      </c>
      <c r="AE607">
        <v>-2.1881000000000199</v>
      </c>
      <c r="AF607">
        <v>2.69135089166442</v>
      </c>
      <c r="AG607">
        <v>-1.085655459916</v>
      </c>
      <c r="AH607">
        <v>37.685035884149698</v>
      </c>
      <c r="AI607">
        <v>91.645968453611005</v>
      </c>
      <c r="AJ607">
        <v>85.915044839921507</v>
      </c>
      <c r="AK607">
        <v>37.796612903663203</v>
      </c>
      <c r="AL607">
        <v>78.914227725541295</v>
      </c>
      <c r="AM607">
        <v>88.019992067889604</v>
      </c>
      <c r="AN607">
        <v>1.0000000761665</v>
      </c>
    </row>
    <row r="608" spans="1:40" x14ac:dyDescent="0.25">
      <c r="A608" t="str">
        <f>"20190303162510095"</f>
        <v>20190303162510095</v>
      </c>
      <c r="B608" t="str">
        <f>"1551601510083784"</f>
        <v>1551601510083784</v>
      </c>
      <c r="C608" t="s">
        <v>40</v>
      </c>
      <c r="D608">
        <v>4.2595989999999997</v>
      </c>
      <c r="E608">
        <v>0.52063329999999997</v>
      </c>
      <c r="F608" t="s">
        <v>41</v>
      </c>
      <c r="G608">
        <v>-272.56790000000001</v>
      </c>
      <c r="H608" s="1">
        <v>-4.0469280000000001E-6</v>
      </c>
      <c r="I608">
        <v>364.6764</v>
      </c>
      <c r="J608">
        <v>-313.48039999999997</v>
      </c>
      <c r="K608">
        <v>1.0836539999999999</v>
      </c>
      <c r="L608">
        <v>367.51429999999999</v>
      </c>
      <c r="M608">
        <v>0.99967870000000003</v>
      </c>
      <c r="N608">
        <v>-2.1446170000000001E-2</v>
      </c>
      <c r="O608">
        <v>1.352079E-2</v>
      </c>
      <c r="P608">
        <v>0.98505730000000002</v>
      </c>
      <c r="Q608">
        <v>0.17097279999999901</v>
      </c>
      <c r="R608">
        <v>-2.0748019999999999E-2</v>
      </c>
      <c r="S608">
        <v>3.0547789999999999</v>
      </c>
      <c r="T608">
        <v>-8.0360169999999995E-2</v>
      </c>
      <c r="U608">
        <v>-0.20968629999999999</v>
      </c>
      <c r="V608">
        <v>3.4000450000000002E-2</v>
      </c>
      <c r="W608">
        <v>0.19206300000000001</v>
      </c>
      <c r="X608">
        <v>0.98079340000000004</v>
      </c>
      <c r="Y608">
        <v>8.1915329999999995E-2</v>
      </c>
      <c r="Z608">
        <v>-2.0214009999999999E-3</v>
      </c>
      <c r="AA608">
        <v>0.9966372</v>
      </c>
      <c r="AB608">
        <v>36</v>
      </c>
      <c r="AC608">
        <v>40.912499999999902</v>
      </c>
      <c r="AD608">
        <v>-1.0836580469279999</v>
      </c>
      <c r="AE608">
        <v>-2.8378999999999901</v>
      </c>
      <c r="AF608">
        <v>3.3885710305673</v>
      </c>
      <c r="AG608">
        <v>-1.0836580469279999</v>
      </c>
      <c r="AH608">
        <v>40.841862677683203</v>
      </c>
      <c r="AI608">
        <v>91.514671692343697</v>
      </c>
      <c r="AJ608">
        <v>85.257141943523607</v>
      </c>
      <c r="AK608">
        <v>40.996517844502399</v>
      </c>
      <c r="AL608">
        <v>78.926796490518896</v>
      </c>
      <c r="AM608">
        <v>88.014564046597897</v>
      </c>
      <c r="AN608">
        <v>0.99999996002638003</v>
      </c>
    </row>
    <row r="609" spans="1:40" x14ac:dyDescent="0.25">
      <c r="A609" t="str">
        <f>"20190303162510117"</f>
        <v>20190303162510117</v>
      </c>
      <c r="B609" t="str">
        <f>"1551601510113064"</f>
        <v>1551601510113064</v>
      </c>
      <c r="C609" t="s">
        <v>40</v>
      </c>
      <c r="D609">
        <v>4.2415070000000004</v>
      </c>
      <c r="E609">
        <v>0.52276299999999998</v>
      </c>
      <c r="F609" t="s">
        <v>41</v>
      </c>
      <c r="G609">
        <v>-268.10000000000002</v>
      </c>
      <c r="H609" s="1">
        <v>-2.0928239999999999E-6</v>
      </c>
      <c r="I609">
        <v>364.1284</v>
      </c>
      <c r="J609">
        <v>-313.10669999999999</v>
      </c>
      <c r="K609">
        <v>1.081788</v>
      </c>
      <c r="L609">
        <v>367.51949999999999</v>
      </c>
      <c r="M609">
        <v>0.99969079999999999</v>
      </c>
      <c r="N609">
        <v>-2.0781020000000001E-2</v>
      </c>
      <c r="O609">
        <v>1.365827E-2</v>
      </c>
      <c r="P609">
        <v>0.98504100000000006</v>
      </c>
      <c r="Q609">
        <v>0.1711056</v>
      </c>
      <c r="R609">
        <v>-2.0422639999999999E-2</v>
      </c>
      <c r="S609">
        <v>3.053375</v>
      </c>
      <c r="T609">
        <v>-7.2912690000000002E-2</v>
      </c>
      <c r="U609">
        <v>-0.22781370000000001</v>
      </c>
      <c r="V609">
        <v>3.3812330000000002E-2</v>
      </c>
      <c r="W609">
        <v>0.19154260000000001</v>
      </c>
      <c r="X609">
        <v>0.98090169999999999</v>
      </c>
      <c r="Y609">
        <v>8.7973220000000005E-2</v>
      </c>
      <c r="Z609">
        <v>-2.0067150000000001E-3</v>
      </c>
      <c r="AA609">
        <v>0.99612080000000003</v>
      </c>
      <c r="AB609">
        <v>36</v>
      </c>
      <c r="AC609">
        <v>45.006699999999903</v>
      </c>
      <c r="AD609">
        <v>-1.0817900928240001</v>
      </c>
      <c r="AE609">
        <v>-3.39109999999999</v>
      </c>
      <c r="AF609">
        <v>4.0033301296768897</v>
      </c>
      <c r="AG609">
        <v>-1.0817900928240001</v>
      </c>
      <c r="AH609">
        <v>44.930361980519798</v>
      </c>
      <c r="AI609">
        <v>91.373805852162405</v>
      </c>
      <c r="AJ609">
        <v>84.908347284700994</v>
      </c>
      <c r="AK609">
        <v>45.1213292095063</v>
      </c>
      <c r="AL609">
        <v>78.957177651789806</v>
      </c>
      <c r="AM609">
        <v>88.025758307347203</v>
      </c>
      <c r="AN609">
        <v>0.99999999316883903</v>
      </c>
    </row>
    <row r="610" spans="1:40" x14ac:dyDescent="0.25">
      <c r="A610" t="str">
        <f>"20190303162510141"</f>
        <v>20190303162510141</v>
      </c>
      <c r="B610" t="str">
        <f>"1551601510133560"</f>
        <v>1551601510133560</v>
      </c>
      <c r="C610" t="s">
        <v>40</v>
      </c>
      <c r="D610">
        <v>4.2251709999999996</v>
      </c>
      <c r="E610">
        <v>0.52378239999999998</v>
      </c>
      <c r="F610" t="s">
        <v>41</v>
      </c>
      <c r="G610">
        <v>-264.077</v>
      </c>
      <c r="H610" s="1">
        <v>-3.6024680000000002E-6</v>
      </c>
      <c r="I610">
        <v>363.6</v>
      </c>
      <c r="J610">
        <v>-312.74130000000002</v>
      </c>
      <c r="K610">
        <v>1.0801989999999999</v>
      </c>
      <c r="L610">
        <v>367.5247</v>
      </c>
      <c r="M610">
        <v>0.99970159999999997</v>
      </c>
      <c r="N610">
        <v>-2.016165E-2</v>
      </c>
      <c r="O610">
        <v>1.380165E-2</v>
      </c>
      <c r="P610">
        <v>0.98494649999999995</v>
      </c>
      <c r="Q610">
        <v>0.171617299999999</v>
      </c>
      <c r="R610">
        <v>-2.0697409999999999E-2</v>
      </c>
      <c r="S610">
        <v>3.052155</v>
      </c>
      <c r="T610">
        <v>-6.7342639999999995E-2</v>
      </c>
      <c r="U610">
        <v>-0.24398800000000001</v>
      </c>
      <c r="V610">
        <v>3.4230400000000001E-2</v>
      </c>
      <c r="W610">
        <v>0.1914438</v>
      </c>
      <c r="X610">
        <v>0.98090650000000001</v>
      </c>
      <c r="Y610">
        <v>9.3394989999999997E-2</v>
      </c>
      <c r="Z610">
        <v>-1.9980969999999999E-3</v>
      </c>
      <c r="AA610">
        <v>0.99562709999999999</v>
      </c>
      <c r="AB610">
        <v>36</v>
      </c>
      <c r="AC610">
        <v>48.664299999999997</v>
      </c>
      <c r="AD610">
        <v>-1.08020260246799</v>
      </c>
      <c r="AE610">
        <v>-3.9246999999999699</v>
      </c>
      <c r="AF610">
        <v>4.5938613239118498</v>
      </c>
      <c r="AG610">
        <v>-1.08020260246799</v>
      </c>
      <c r="AH610">
        <v>48.581702727044203</v>
      </c>
      <c r="AI610">
        <v>91.268093296373607</v>
      </c>
      <c r="AJ610">
        <v>84.598201813431402</v>
      </c>
      <c r="AK610">
        <v>48.810370203314498</v>
      </c>
      <c r="AL610">
        <v>78.962945345108196</v>
      </c>
      <c r="AM610">
        <v>88.001377393510893</v>
      </c>
      <c r="AN610">
        <v>1.0000000052924201</v>
      </c>
    </row>
    <row r="611" spans="1:40" x14ac:dyDescent="0.25">
      <c r="A611" t="str">
        <f>"20190303162510161"</f>
        <v>20190303162510161</v>
      </c>
      <c r="B611" t="str">
        <f>"1551601510153080"</f>
        <v>1551601510153080</v>
      </c>
      <c r="C611" t="s">
        <v>40</v>
      </c>
      <c r="D611">
        <v>4.2796599999999998</v>
      </c>
      <c r="E611">
        <v>0.52459519999999904</v>
      </c>
      <c r="F611" t="s">
        <v>41</v>
      </c>
      <c r="G611">
        <v>-261.96550000000002</v>
      </c>
      <c r="H611" s="1">
        <v>-4.5470229999999901E-6</v>
      </c>
      <c r="I611">
        <v>363.31380000000001</v>
      </c>
      <c r="J611">
        <v>-312.40100000000001</v>
      </c>
      <c r="K611">
        <v>1.0789010000000001</v>
      </c>
      <c r="L611">
        <v>367.52949999999998</v>
      </c>
      <c r="M611">
        <v>0.9997104</v>
      </c>
      <c r="N611">
        <v>-1.961939E-2</v>
      </c>
      <c r="O611">
        <v>1.3939129999999999E-2</v>
      </c>
      <c r="P611">
        <v>0.98492230000000003</v>
      </c>
      <c r="Q611">
        <v>0.17173150000000001</v>
      </c>
      <c r="R611">
        <v>-2.090175E-2</v>
      </c>
      <c r="S611">
        <v>3.0518190000000001</v>
      </c>
      <c r="T611">
        <v>-6.4924239999999994E-2</v>
      </c>
      <c r="U611">
        <v>-0.25308229999999998</v>
      </c>
      <c r="V611">
        <v>3.4572749999999999E-2</v>
      </c>
      <c r="W611">
        <v>0.1910249</v>
      </c>
      <c r="X611">
        <v>0.98097619999999996</v>
      </c>
      <c r="Y611">
        <v>9.6488900000000002E-2</v>
      </c>
      <c r="Z611">
        <v>-1.9959560000000001E-3</v>
      </c>
      <c r="AA611">
        <v>0.99533210000000005</v>
      </c>
      <c r="AB611">
        <v>36</v>
      </c>
      <c r="AC611">
        <v>50.435499999999898</v>
      </c>
      <c r="AD611">
        <v>-1.078905547023</v>
      </c>
      <c r="AE611">
        <v>-4.2156999999999698</v>
      </c>
      <c r="AF611">
        <v>4.9162184718523099</v>
      </c>
      <c r="AG611">
        <v>-1.078905547023</v>
      </c>
      <c r="AH611">
        <v>50.348943328437997</v>
      </c>
      <c r="AI611">
        <v>91.221769725423798</v>
      </c>
      <c r="AJ611">
        <v>84.4231507261144</v>
      </c>
      <c r="AK611">
        <v>50.599894619777999</v>
      </c>
      <c r="AL611">
        <v>78.987398288655498</v>
      </c>
      <c r="AM611">
        <v>87.981548242262207</v>
      </c>
      <c r="AN611">
        <v>1.0000000462145</v>
      </c>
    </row>
    <row r="612" spans="1:40" x14ac:dyDescent="0.25">
      <c r="A612" t="str">
        <f>"20190303162510184"</f>
        <v>20190303162510184</v>
      </c>
      <c r="B612" t="str">
        <f>"1551601510173576"</f>
        <v>1551601510173576</v>
      </c>
      <c r="C612" t="s">
        <v>40</v>
      </c>
      <c r="D612">
        <v>4.2760470000000002</v>
      </c>
      <c r="E612">
        <v>0.52498350000000005</v>
      </c>
      <c r="F612" t="s">
        <v>41</v>
      </c>
      <c r="G612">
        <v>-261.56540000000001</v>
      </c>
      <c r="H612" s="1">
        <v>-4.7403589999999999E-6</v>
      </c>
      <c r="I612">
        <v>363.19159999999999</v>
      </c>
      <c r="J612">
        <v>-312.0514</v>
      </c>
      <c r="K612">
        <v>1.077739</v>
      </c>
      <c r="L612">
        <v>367.53449999999998</v>
      </c>
      <c r="M612">
        <v>0.99971840000000001</v>
      </c>
      <c r="N612">
        <v>-1.9102419999999998E-2</v>
      </c>
      <c r="O612">
        <v>1.407927E-2</v>
      </c>
      <c r="P612">
        <v>0.98492460000000004</v>
      </c>
      <c r="Q612">
        <v>0.1716966</v>
      </c>
      <c r="R612">
        <v>-2.1067240000000001E-2</v>
      </c>
      <c r="S612">
        <v>3.0517270000000001</v>
      </c>
      <c r="T612">
        <v>-6.4768080000000006E-2</v>
      </c>
      <c r="U612">
        <v>-0.26040649999999999</v>
      </c>
      <c r="V612">
        <v>3.487817E-2</v>
      </c>
      <c r="W612">
        <v>0.19048290000000001</v>
      </c>
      <c r="X612">
        <v>0.98107080000000002</v>
      </c>
      <c r="Y612">
        <v>9.9002069999999998E-2</v>
      </c>
      <c r="Z612">
        <v>-2.0259750000000002E-3</v>
      </c>
      <c r="AA612">
        <v>0.9950852</v>
      </c>
      <c r="AB612">
        <v>36</v>
      </c>
      <c r="AC612">
        <v>50.485999999999898</v>
      </c>
      <c r="AD612">
        <v>-1.077743740359</v>
      </c>
      <c r="AE612">
        <v>-4.3428999999999798</v>
      </c>
      <c r="AF612">
        <v>5.0511201886828498</v>
      </c>
      <c r="AG612">
        <v>-1.077743740359</v>
      </c>
      <c r="AH612">
        <v>50.3970403244262</v>
      </c>
      <c r="AI612">
        <v>91.2189815669349</v>
      </c>
      <c r="AJ612">
        <v>84.276556766192996</v>
      </c>
      <c r="AK612">
        <v>50.661000978980297</v>
      </c>
      <c r="AL612">
        <v>79.019033734332893</v>
      </c>
      <c r="AM612">
        <v>87.963928114462604</v>
      </c>
      <c r="AN612">
        <v>1.00000006827379</v>
      </c>
    </row>
    <row r="613" spans="1:40" x14ac:dyDescent="0.25">
      <c r="A613" t="str">
        <f>"20190303162510208"</f>
        <v>20190303162510208</v>
      </c>
      <c r="B613" t="str">
        <f>"1551601510203531"</f>
        <v>1551601510203531</v>
      </c>
      <c r="C613" t="s">
        <v>40</v>
      </c>
      <c r="D613">
        <v>4.2910199999999996</v>
      </c>
      <c r="E613">
        <v>0.52545929999999996</v>
      </c>
      <c r="F613" t="s">
        <v>41</v>
      </c>
      <c r="G613">
        <v>-264.24740000000003</v>
      </c>
      <c r="H613" s="1">
        <v>-3.5965330000000001E-6</v>
      </c>
      <c r="I613">
        <v>363.40440000000001</v>
      </c>
      <c r="J613">
        <v>-311.67469999999997</v>
      </c>
      <c r="K613">
        <v>1.07667</v>
      </c>
      <c r="L613">
        <v>367.53989999999999</v>
      </c>
      <c r="M613">
        <v>0.999726</v>
      </c>
      <c r="N613">
        <v>-1.8592129999999998E-2</v>
      </c>
      <c r="O613">
        <v>1.422696E-2</v>
      </c>
      <c r="P613">
        <v>0.98484210000000005</v>
      </c>
      <c r="Q613">
        <v>0.1721308</v>
      </c>
      <c r="R613">
        <v>-2.1372929999999998E-2</v>
      </c>
      <c r="S613">
        <v>3.0522770000000001</v>
      </c>
      <c r="T613">
        <v>-6.8813559999999996E-2</v>
      </c>
      <c r="U613">
        <v>-0.2637024</v>
      </c>
      <c r="V613">
        <v>3.5328900000000003E-2</v>
      </c>
      <c r="W613">
        <v>0.1904141</v>
      </c>
      <c r="X613">
        <v>0.98106800000000005</v>
      </c>
      <c r="Y613">
        <v>0.1001962</v>
      </c>
      <c r="Z613">
        <v>-2.1168269999999999E-3</v>
      </c>
      <c r="AA613">
        <v>0.9949654</v>
      </c>
      <c r="AB613">
        <v>36</v>
      </c>
      <c r="AC613">
        <v>47.427299999999903</v>
      </c>
      <c r="AD613">
        <v>-1.0766735965330001</v>
      </c>
      <c r="AE613">
        <v>-4.1354999999999702</v>
      </c>
      <c r="AF613">
        <v>4.8074853136697904</v>
      </c>
      <c r="AG613">
        <v>-1.0766735965330001</v>
      </c>
      <c r="AH613">
        <v>47.339439751165202</v>
      </c>
      <c r="AI613">
        <v>91.296228256591903</v>
      </c>
      <c r="AJ613">
        <v>84.201293345001005</v>
      </c>
      <c r="AK613">
        <v>47.595101607506102</v>
      </c>
      <c r="AL613">
        <v>79.023048870475805</v>
      </c>
      <c r="AM613">
        <v>87.937632687741001</v>
      </c>
      <c r="AN613">
        <v>1.0000000406389999</v>
      </c>
    </row>
    <row r="614" spans="1:40" x14ac:dyDescent="0.25">
      <c r="A614" t="str">
        <f>"20190303162510231"</f>
        <v>20190303162510231</v>
      </c>
      <c r="B614" t="str">
        <f>"1551601510224027"</f>
        <v>1551601510224027</v>
      </c>
      <c r="C614" t="s">
        <v>40</v>
      </c>
      <c r="D614">
        <v>4.2863899999999999</v>
      </c>
      <c r="E614">
        <v>0.52578800000000003</v>
      </c>
      <c r="F614" t="s">
        <v>41</v>
      </c>
      <c r="G614">
        <v>-264.91809999999998</v>
      </c>
      <c r="H614" s="1">
        <v>-3.3615369999999999E-6</v>
      </c>
      <c r="I614">
        <v>363.4298</v>
      </c>
      <c r="J614">
        <v>-311.30459999999999</v>
      </c>
      <c r="K614">
        <v>1.0757779999999999</v>
      </c>
      <c r="L614">
        <v>367.54539999999997</v>
      </c>
      <c r="M614">
        <v>0.99973230000000002</v>
      </c>
      <c r="N614">
        <v>-1.8137029999999998E-2</v>
      </c>
      <c r="O614">
        <v>1.436922E-2</v>
      </c>
      <c r="P614">
        <v>0.98468109999999998</v>
      </c>
      <c r="Q614">
        <v>0.1730565</v>
      </c>
      <c r="R614">
        <v>-2.131955E-2</v>
      </c>
      <c r="S614">
        <v>3.0526430000000002</v>
      </c>
      <c r="T614">
        <v>-7.0293659999999994E-2</v>
      </c>
      <c r="U614">
        <v>-0.268341099999999</v>
      </c>
      <c r="V614">
        <v>3.5412989999999998E-2</v>
      </c>
      <c r="W614">
        <v>0.19089010000000001</v>
      </c>
      <c r="X614">
        <v>0.98097239999999997</v>
      </c>
      <c r="Y614">
        <v>0.101826</v>
      </c>
      <c r="Z614">
        <v>-2.1656039999999998E-3</v>
      </c>
      <c r="AA614">
        <v>0.99479989999999996</v>
      </c>
      <c r="AB614">
        <v>36</v>
      </c>
      <c r="AC614">
        <v>46.386499999999998</v>
      </c>
      <c r="AD614">
        <v>-1.075781361537</v>
      </c>
      <c r="AE614">
        <v>-4.1155999999999704</v>
      </c>
      <c r="AF614">
        <v>4.7792719266763797</v>
      </c>
      <c r="AG614">
        <v>-1.075781361537</v>
      </c>
      <c r="AH614">
        <v>46.2978546573015</v>
      </c>
      <c r="AI614">
        <v>91.324057186773302</v>
      </c>
      <c r="AJ614">
        <v>84.106301122531306</v>
      </c>
      <c r="AK614">
        <v>46.556310974513003</v>
      </c>
      <c r="AL614">
        <v>78.995265809252203</v>
      </c>
      <c r="AM614">
        <v>87.9325267965515</v>
      </c>
      <c r="AN614">
        <v>0.99999997985025402</v>
      </c>
    </row>
    <row r="615" spans="1:40" x14ac:dyDescent="0.25">
      <c r="A615" t="str">
        <f>"20190303162510251"</f>
        <v>20190303162510251</v>
      </c>
      <c r="B615" t="str">
        <f>"1551601510243547"</f>
        <v>1551601510243547</v>
      </c>
      <c r="C615" t="s">
        <v>40</v>
      </c>
      <c r="D615">
        <v>4.2778070000000001</v>
      </c>
      <c r="E615">
        <v>0.52598319999999998</v>
      </c>
      <c r="F615" t="s">
        <v>41</v>
      </c>
      <c r="G615">
        <v>-264.19779999999997</v>
      </c>
      <c r="H615" s="1">
        <v>-3.6226599999999998E-6</v>
      </c>
      <c r="I615">
        <v>363.36970000000002</v>
      </c>
      <c r="J615">
        <v>-310.98050000000001</v>
      </c>
      <c r="K615">
        <v>1.075107</v>
      </c>
      <c r="L615">
        <v>367.55009999999999</v>
      </c>
      <c r="M615">
        <v>0.99973710000000005</v>
      </c>
      <c r="N615">
        <v>-1.77761E-2</v>
      </c>
      <c r="O615">
        <v>1.4492970000000001E-2</v>
      </c>
      <c r="P615">
        <v>0.98451100000000002</v>
      </c>
      <c r="Q615">
        <v>0.1740187</v>
      </c>
      <c r="R615">
        <v>-2.135869E-2</v>
      </c>
      <c r="S615">
        <v>3.05307</v>
      </c>
      <c r="T615">
        <v>-6.9723129999999994E-2</v>
      </c>
      <c r="U615">
        <v>-0.27062989999999998</v>
      </c>
      <c r="V615">
        <v>3.5570959999999999E-2</v>
      </c>
      <c r="W615">
        <v>0.1914949</v>
      </c>
      <c r="X615">
        <v>0.98084879999999997</v>
      </c>
      <c r="Y615">
        <v>0.1026775</v>
      </c>
      <c r="Z615">
        <v>-2.1578790000000001E-3</v>
      </c>
      <c r="AA615">
        <v>0.99471240000000005</v>
      </c>
      <c r="AB615">
        <v>36</v>
      </c>
      <c r="AC615">
        <v>46.782699999999998</v>
      </c>
      <c r="AD615">
        <v>-1.07511062266</v>
      </c>
      <c r="AE615">
        <v>-4.1803999999999597</v>
      </c>
      <c r="AF615">
        <v>4.8555440981373703</v>
      </c>
      <c r="AG615">
        <v>-1.07511062266</v>
      </c>
      <c r="AH615">
        <v>46.6927247523628</v>
      </c>
      <c r="AI615">
        <v>91.311943345448</v>
      </c>
      <c r="AJ615">
        <v>84.063189998125097</v>
      </c>
      <c r="AK615">
        <v>46.956817568270402</v>
      </c>
      <c r="AL615">
        <v>78.959962049241597</v>
      </c>
      <c r="AM615">
        <v>87.923050823605806</v>
      </c>
      <c r="AN615">
        <v>0.99999997919138495</v>
      </c>
    </row>
    <row r="616" spans="1:40" x14ac:dyDescent="0.25">
      <c r="A616" t="str">
        <f>"20190303162510272"</f>
        <v>20190303162510272</v>
      </c>
      <c r="B616" t="str">
        <f>"1551601510263067"</f>
        <v>1551601510263067</v>
      </c>
      <c r="C616" t="s">
        <v>40</v>
      </c>
      <c r="D616">
        <v>4.2804250000000001</v>
      </c>
      <c r="E616">
        <v>0.52624340000000003</v>
      </c>
      <c r="F616" t="s">
        <v>41</v>
      </c>
      <c r="G616">
        <v>-262.52420000000001</v>
      </c>
      <c r="H616" s="1">
        <v>-4.3220640000000004E-6</v>
      </c>
      <c r="I616">
        <v>363.23090000000002</v>
      </c>
      <c r="J616">
        <v>-310.63799999999998</v>
      </c>
      <c r="K616">
        <v>1.0745039999999999</v>
      </c>
      <c r="L616">
        <v>367.55520000000001</v>
      </c>
      <c r="M616">
        <v>0.99974130000000005</v>
      </c>
      <c r="N616">
        <v>-1.7430029999999999E-2</v>
      </c>
      <c r="O616">
        <v>1.462433E-2</v>
      </c>
      <c r="P616">
        <v>0.98445720000000003</v>
      </c>
      <c r="Q616">
        <v>0.1743189</v>
      </c>
      <c r="R616">
        <v>-2.1386240000000001E-2</v>
      </c>
      <c r="S616">
        <v>3.0532840000000001</v>
      </c>
      <c r="T616">
        <v>-6.7743899999999996E-2</v>
      </c>
      <c r="U616">
        <v>-0.2721558</v>
      </c>
      <c r="V616">
        <v>3.5727139999999998E-2</v>
      </c>
      <c r="W616">
        <v>0.1914546</v>
      </c>
      <c r="X616">
        <v>0.98085100000000003</v>
      </c>
      <c r="Y616">
        <v>0.1032974</v>
      </c>
      <c r="Z616">
        <v>-2.1152779999999999E-3</v>
      </c>
      <c r="AA616">
        <v>0.99464830000000004</v>
      </c>
      <c r="AB616">
        <v>36</v>
      </c>
      <c r="AC616">
        <v>48.113799999999898</v>
      </c>
      <c r="AD616">
        <v>-1.0745083220639999</v>
      </c>
      <c r="AE616">
        <v>-4.3242999999999903</v>
      </c>
      <c r="AF616">
        <v>5.0250901238783801</v>
      </c>
      <c r="AG616">
        <v>-1.0745083220639999</v>
      </c>
      <c r="AH616">
        <v>48.021644770333602</v>
      </c>
      <c r="AI616">
        <v>91.274849363056305</v>
      </c>
      <c r="AJ616">
        <v>84.026185191331095</v>
      </c>
      <c r="AK616">
        <v>48.295801736128098</v>
      </c>
      <c r="AL616">
        <v>78.962314698901395</v>
      </c>
      <c r="AM616">
        <v>87.913944359344399</v>
      </c>
      <c r="AN616">
        <v>0.99999998829736902</v>
      </c>
    </row>
    <row r="617" spans="1:40" x14ac:dyDescent="0.25">
      <c r="A617" t="str">
        <f>"20190303162510296"</f>
        <v>20190303162510296</v>
      </c>
      <c r="B617" t="str">
        <f>"1551601510283563"</f>
        <v>1551601510283563</v>
      </c>
      <c r="C617" t="s">
        <v>40</v>
      </c>
      <c r="D617">
        <v>4.3147960000000003</v>
      </c>
      <c r="E617">
        <v>0.52651729999999997</v>
      </c>
      <c r="F617" t="s">
        <v>41</v>
      </c>
      <c r="G617">
        <v>-262.21289999999999</v>
      </c>
      <c r="H617" s="1">
        <v>-4.4611450000000001E-6</v>
      </c>
      <c r="I617">
        <v>363.19970000000001</v>
      </c>
      <c r="J617">
        <v>-310.27760000000001</v>
      </c>
      <c r="K617">
        <v>1.073966</v>
      </c>
      <c r="L617">
        <v>367.5607</v>
      </c>
      <c r="M617">
        <v>0.99974470000000004</v>
      </c>
      <c r="N617">
        <v>-1.7102329999999999E-2</v>
      </c>
      <c r="O617">
        <v>1.4763510000000001E-2</v>
      </c>
      <c r="P617">
        <v>0.98432719999999996</v>
      </c>
      <c r="Q617">
        <v>0.1751279</v>
      </c>
      <c r="R617">
        <v>-2.0750660000000001E-2</v>
      </c>
      <c r="S617">
        <v>3.053375</v>
      </c>
      <c r="T617">
        <v>-6.7751530000000004E-2</v>
      </c>
      <c r="U617">
        <v>-0.27462769999999997</v>
      </c>
      <c r="V617">
        <v>3.5226449999999999E-2</v>
      </c>
      <c r="W617">
        <v>0.1919399</v>
      </c>
      <c r="X617">
        <v>0.98077429999999999</v>
      </c>
      <c r="Y617">
        <v>0.1042318</v>
      </c>
      <c r="Z617">
        <v>-2.1222659999999998E-3</v>
      </c>
      <c r="AA617">
        <v>0.99455079999999996</v>
      </c>
      <c r="AB617">
        <v>36</v>
      </c>
      <c r="AC617">
        <v>48.064700000000002</v>
      </c>
      <c r="AD617">
        <v>-1.0739704611450001</v>
      </c>
      <c r="AE617">
        <v>-4.36099999999999</v>
      </c>
      <c r="AF617">
        <v>5.0677225940132598</v>
      </c>
      <c r="AG617">
        <v>-1.0739704611450001</v>
      </c>
      <c r="AH617">
        <v>47.971312073370797</v>
      </c>
      <c r="AI617">
        <v>91.275415524815898</v>
      </c>
      <c r="AJ617">
        <v>83.969600838072907</v>
      </c>
      <c r="AK617">
        <v>48.2502021434317</v>
      </c>
      <c r="AL617">
        <v>78.933984073782597</v>
      </c>
      <c r="AM617">
        <v>87.942992915863897</v>
      </c>
      <c r="AN617">
        <v>1.0000000277660499</v>
      </c>
    </row>
    <row r="618" spans="1:40" x14ac:dyDescent="0.25">
      <c r="A618" t="str">
        <f>"20190303162510309"</f>
        <v>20190303162510309</v>
      </c>
      <c r="B618" t="str">
        <f>"1551601510303084"</f>
        <v>1551601510303084</v>
      </c>
      <c r="C618" t="s">
        <v>40</v>
      </c>
      <c r="D618">
        <v>4.3198759999999998</v>
      </c>
      <c r="E618">
        <v>0.52676420000000002</v>
      </c>
      <c r="F618" t="s">
        <v>41</v>
      </c>
      <c r="G618">
        <v>-260.79489999999998</v>
      </c>
      <c r="H618" s="1">
        <v>-5.0853579999999997E-6</v>
      </c>
      <c r="I618">
        <v>363.11009999999999</v>
      </c>
      <c r="J618">
        <v>-310.05520000000001</v>
      </c>
      <c r="K618">
        <v>1.0736859999999999</v>
      </c>
      <c r="L618">
        <v>367.5641</v>
      </c>
      <c r="M618">
        <v>0.99974660000000004</v>
      </c>
      <c r="N618">
        <v>-1.6920230000000001E-2</v>
      </c>
      <c r="O618">
        <v>1.484974E-2</v>
      </c>
      <c r="P618">
        <v>0.98429690000000003</v>
      </c>
      <c r="Q618">
        <v>0.1753219</v>
      </c>
      <c r="R618">
        <v>-2.0550470000000001E-2</v>
      </c>
      <c r="S618">
        <v>3.0537719999999999</v>
      </c>
      <c r="T618">
        <v>-6.627893E-2</v>
      </c>
      <c r="U618">
        <v>-0.27465820000000002</v>
      </c>
      <c r="V618">
        <v>3.5110759999999998E-2</v>
      </c>
      <c r="W618">
        <v>0.1919544</v>
      </c>
      <c r="X618">
        <v>0.98077559999999997</v>
      </c>
      <c r="Y618">
        <v>0.1043176</v>
      </c>
      <c r="Z618">
        <v>-2.0851289999999998E-3</v>
      </c>
      <c r="AA618">
        <v>0.99454180000000003</v>
      </c>
      <c r="AB618">
        <v>36</v>
      </c>
      <c r="AC618">
        <v>49.260300000000001</v>
      </c>
      <c r="AD618">
        <v>-1.073691085358</v>
      </c>
      <c r="AE618">
        <v>-4.4539999999999997</v>
      </c>
      <c r="AF618">
        <v>5.1826738948246103</v>
      </c>
      <c r="AG618">
        <v>-1.073691085358</v>
      </c>
      <c r="AH618">
        <v>49.165548578003303</v>
      </c>
      <c r="AI618">
        <v>91.244151378758801</v>
      </c>
      <c r="AJ618">
        <v>83.982519165548197</v>
      </c>
      <c r="AK618">
        <v>49.449611608412901</v>
      </c>
      <c r="AL618">
        <v>78.933137427291399</v>
      </c>
      <c r="AM618">
        <v>87.949745437583402</v>
      </c>
      <c r="AN618">
        <v>1.00000001735124</v>
      </c>
    </row>
    <row r="619" spans="1:40" x14ac:dyDescent="0.25">
      <c r="A619" t="str">
        <f>"20190303162510331"</f>
        <v>20190303162510331</v>
      </c>
      <c r="B619" t="str">
        <f>"1551601510323579"</f>
        <v>1551601510323579</v>
      </c>
      <c r="C619" t="s">
        <v>40</v>
      </c>
      <c r="D619">
        <v>4.3150380000000004</v>
      </c>
      <c r="E619">
        <v>0.52699180000000001</v>
      </c>
      <c r="F619" t="s">
        <v>41</v>
      </c>
      <c r="G619">
        <v>-260.3116</v>
      </c>
      <c r="H619" s="1">
        <v>-5.3003139999999999E-6</v>
      </c>
      <c r="I619">
        <v>363.06729999999999</v>
      </c>
      <c r="J619">
        <v>-309.72089999999997</v>
      </c>
      <c r="K619">
        <v>1.073307</v>
      </c>
      <c r="L619">
        <v>367.56920000000002</v>
      </c>
      <c r="M619">
        <v>0.99974890000000005</v>
      </c>
      <c r="N619">
        <v>-1.6667100000000001E-2</v>
      </c>
      <c r="O619">
        <v>1.497981E-2</v>
      </c>
      <c r="P619">
        <v>0.98419109999999999</v>
      </c>
      <c r="Q619">
        <v>0.17597279999999901</v>
      </c>
      <c r="R619">
        <v>-2.0040430000000001E-2</v>
      </c>
      <c r="S619">
        <v>3.053833</v>
      </c>
      <c r="T619">
        <v>-6.5915349999999998E-2</v>
      </c>
      <c r="U619">
        <v>-0.27606199999999997</v>
      </c>
      <c r="V619">
        <v>3.4727510000000003E-2</v>
      </c>
      <c r="W619">
        <v>0.19235550000000001</v>
      </c>
      <c r="X619">
        <v>0.98071059999999999</v>
      </c>
      <c r="Y619">
        <v>0.1048991</v>
      </c>
      <c r="Z619">
        <v>-2.0794059999999998E-3</v>
      </c>
      <c r="AA619">
        <v>0.9944807</v>
      </c>
      <c r="AB619">
        <v>35</v>
      </c>
      <c r="AC619">
        <v>49.409299999999902</v>
      </c>
      <c r="AD619">
        <v>-1.0733123003139999</v>
      </c>
      <c r="AE619">
        <v>-4.5019000000000302</v>
      </c>
      <c r="AF619">
        <v>5.23918753131582</v>
      </c>
      <c r="AG619">
        <v>-1.0733123003139999</v>
      </c>
      <c r="AH619">
        <v>49.3132290761421</v>
      </c>
      <c r="AI619">
        <v>91.239881443846002</v>
      </c>
      <c r="AJ619">
        <v>83.935471695702802</v>
      </c>
      <c r="AK619">
        <v>49.6023754189088</v>
      </c>
      <c r="AL619">
        <v>78.909719043325197</v>
      </c>
      <c r="AM619">
        <v>87.971971822105303</v>
      </c>
      <c r="AN619">
        <v>0.99999995964170396</v>
      </c>
    </row>
    <row r="620" spans="1:40" x14ac:dyDescent="0.25">
      <c r="A620" t="str">
        <f>"20190303162510351"</f>
        <v>20190303162510351</v>
      </c>
      <c r="B620" t="str">
        <f>"1551601510343099"</f>
        <v>1551601510343099</v>
      </c>
      <c r="C620" t="s">
        <v>40</v>
      </c>
      <c r="D620">
        <v>4.3311149999999996</v>
      </c>
      <c r="E620">
        <v>0.52714899999999998</v>
      </c>
      <c r="F620" t="s">
        <v>41</v>
      </c>
      <c r="G620">
        <v>-258.1626</v>
      </c>
      <c r="H620" s="1">
        <v>-2.3971030000000002E-6</v>
      </c>
      <c r="I620">
        <v>362.9049</v>
      </c>
      <c r="J620">
        <v>-309.39299999999997</v>
      </c>
      <c r="K620">
        <v>1.0729959999999901</v>
      </c>
      <c r="L620">
        <v>367.57420000000002</v>
      </c>
      <c r="M620">
        <v>0.99975069999999999</v>
      </c>
      <c r="N620">
        <v>-1.6444420000000001E-2</v>
      </c>
      <c r="O620">
        <v>1.5107280000000001E-2</v>
      </c>
      <c r="P620">
        <v>0.98419829999999997</v>
      </c>
      <c r="Q620">
        <v>0.17596529999999999</v>
      </c>
      <c r="R620">
        <v>-1.9751339999999999E-2</v>
      </c>
      <c r="S620">
        <v>3.053925</v>
      </c>
      <c r="T620">
        <v>-6.357467E-2</v>
      </c>
      <c r="U620">
        <v>-0.27627560000000001</v>
      </c>
      <c r="V620">
        <v>3.4564039999999997E-2</v>
      </c>
      <c r="W620">
        <v>0.19212950000000001</v>
      </c>
      <c r="X620">
        <v>0.98076079999999999</v>
      </c>
      <c r="Y620">
        <v>0.1050947</v>
      </c>
      <c r="Z620">
        <v>-2.0236120000000002E-3</v>
      </c>
      <c r="AA620">
        <v>0.99446020000000002</v>
      </c>
      <c r="AB620">
        <v>35</v>
      </c>
      <c r="AC620">
        <v>51.230399999999896</v>
      </c>
      <c r="AD620">
        <v>-1.0729983971029999</v>
      </c>
      <c r="AE620">
        <v>-4.6693000000000202</v>
      </c>
      <c r="AF620">
        <v>5.4404566809521402</v>
      </c>
      <c r="AG620">
        <v>-1.0729983971029999</v>
      </c>
      <c r="AH620">
        <v>51.131756555496501</v>
      </c>
      <c r="AI620">
        <v>91.195428018925796</v>
      </c>
      <c r="AJ620">
        <v>83.926537396537697</v>
      </c>
      <c r="AK620">
        <v>51.431570294013603</v>
      </c>
      <c r="AL620">
        <v>78.922915384846902</v>
      </c>
      <c r="AM620">
        <v>87.981613510241601</v>
      </c>
      <c r="AN620">
        <v>1.0000000822240001</v>
      </c>
    </row>
    <row r="621" spans="1:40" x14ac:dyDescent="0.25">
      <c r="A621" t="str">
        <f>"20190303162510373"</f>
        <v>20190303162510373</v>
      </c>
      <c r="B621" t="str">
        <f>"1551601510363596"</f>
        <v>1551601510363596</v>
      </c>
      <c r="C621" t="s">
        <v>40</v>
      </c>
      <c r="D621">
        <v>4.3443620000000003</v>
      </c>
      <c r="E621">
        <v>0.5273139</v>
      </c>
      <c r="F621" t="s">
        <v>41</v>
      </c>
      <c r="G621">
        <v>-257.83089999999999</v>
      </c>
      <c r="H621" s="1">
        <v>-2.5110409999999998E-6</v>
      </c>
      <c r="I621">
        <v>362.90089999999998</v>
      </c>
      <c r="J621">
        <v>-309.0471</v>
      </c>
      <c r="K621">
        <v>1.0727120000000001</v>
      </c>
      <c r="L621">
        <v>367.57960000000003</v>
      </c>
      <c r="M621">
        <v>0.99975199999999997</v>
      </c>
      <c r="N621">
        <v>-1.623374E-2</v>
      </c>
      <c r="O621">
        <v>1.524148E-2</v>
      </c>
      <c r="P621">
        <v>0.98427279999999995</v>
      </c>
      <c r="Q621">
        <v>0.1755679</v>
      </c>
      <c r="R621">
        <v>-1.9580980000000001E-2</v>
      </c>
      <c r="S621">
        <v>3.0539860000000001</v>
      </c>
      <c r="T621">
        <v>-6.3552739999999996E-2</v>
      </c>
      <c r="U621">
        <v>-0.2767944</v>
      </c>
      <c r="V621">
        <v>3.4527170000000003E-2</v>
      </c>
      <c r="W621">
        <v>0.19152620000000001</v>
      </c>
      <c r="X621">
        <v>0.98087999999999997</v>
      </c>
      <c r="Y621">
        <v>0.1053941</v>
      </c>
      <c r="Z621">
        <v>-2.0213319999999998E-3</v>
      </c>
      <c r="AA621">
        <v>0.99442850000000005</v>
      </c>
      <c r="AB621">
        <v>35</v>
      </c>
      <c r="AC621">
        <v>51.216200000000001</v>
      </c>
      <c r="AD621">
        <v>-1.0727145110409999</v>
      </c>
      <c r="AE621">
        <v>-4.67870000000004</v>
      </c>
      <c r="AF621">
        <v>5.4564961174500697</v>
      </c>
      <c r="AG621">
        <v>-1.0727145110409999</v>
      </c>
      <c r="AH621">
        <v>51.116690957168501</v>
      </c>
      <c r="AI621">
        <v>91.195420500413405</v>
      </c>
      <c r="AJ621">
        <v>83.906984397708896</v>
      </c>
      <c r="AK621">
        <v>51.418286248304902</v>
      </c>
      <c r="AL621">
        <v>78.958135020916302</v>
      </c>
      <c r="AM621">
        <v>87.9840095944257</v>
      </c>
      <c r="AN621">
        <v>0.99999999257732397</v>
      </c>
    </row>
    <row r="622" spans="1:40" x14ac:dyDescent="0.25">
      <c r="A622" t="str">
        <f>"20190303162510396"</f>
        <v>20190303162510396</v>
      </c>
      <c r="B622" t="str">
        <f>"1551601510383115"</f>
        <v>1551601510383115</v>
      </c>
      <c r="C622" t="s">
        <v>40</v>
      </c>
      <c r="D622">
        <v>4.3780530000000004</v>
      </c>
      <c r="E622">
        <v>0.52747639999999996</v>
      </c>
      <c r="F622" t="s">
        <v>41</v>
      </c>
      <c r="G622">
        <v>-258.87169999999998</v>
      </c>
      <c r="H622" s="1">
        <v>-2.125805E-6</v>
      </c>
      <c r="I622">
        <v>363.01749999999998</v>
      </c>
      <c r="J622">
        <v>-308.68130000000002</v>
      </c>
      <c r="K622">
        <v>1.07246</v>
      </c>
      <c r="L622">
        <v>367.58530000000002</v>
      </c>
      <c r="M622">
        <v>0.99975309999999995</v>
      </c>
      <c r="N622">
        <v>-1.6035279999999999E-2</v>
      </c>
      <c r="O622">
        <v>1.5383249999999999E-2</v>
      </c>
      <c r="P622">
        <v>0.98432359999999997</v>
      </c>
      <c r="Q622">
        <v>0.1752765</v>
      </c>
      <c r="R622">
        <v>-1.9633040000000001E-2</v>
      </c>
      <c r="S622">
        <v>3.0540470000000002</v>
      </c>
      <c r="T622">
        <v>-6.5293309999999993E-2</v>
      </c>
      <c r="U622">
        <v>-0.27767940000000002</v>
      </c>
      <c r="V622">
        <v>3.4719769999999997E-2</v>
      </c>
      <c r="W622">
        <v>0.1910413</v>
      </c>
      <c r="X622">
        <v>0.98096779999999995</v>
      </c>
      <c r="Y622">
        <v>0.1058173</v>
      </c>
      <c r="Z622">
        <v>-2.0611430000000001E-3</v>
      </c>
      <c r="AA622">
        <v>0.99438349999999998</v>
      </c>
      <c r="AB622">
        <v>35</v>
      </c>
      <c r="AC622">
        <v>49.809600000000003</v>
      </c>
      <c r="AD622">
        <v>-1.072462125805</v>
      </c>
      <c r="AE622">
        <v>-4.5678000000000303</v>
      </c>
      <c r="AF622">
        <v>5.3311405290174898</v>
      </c>
      <c r="AG622">
        <v>-1.072462125805</v>
      </c>
      <c r="AH622">
        <v>49.710574578933297</v>
      </c>
      <c r="AI622">
        <v>91.228870204969695</v>
      </c>
      <c r="AJ622">
        <v>83.878790373121305</v>
      </c>
      <c r="AK622">
        <v>50.007124085665097</v>
      </c>
      <c r="AL622">
        <v>78.986440857390207</v>
      </c>
      <c r="AM622">
        <v>87.972954614642902</v>
      </c>
      <c r="AN622">
        <v>1.0000000326856899</v>
      </c>
    </row>
    <row r="623" spans="1:40" x14ac:dyDescent="0.25">
      <c r="A623" t="str">
        <f>"20190303162510421"</f>
        <v>20190303162510421</v>
      </c>
      <c r="B623" t="str">
        <f>"1551601510413371"</f>
        <v>1551601510413371</v>
      </c>
      <c r="C623" t="s">
        <v>40</v>
      </c>
      <c r="D623">
        <v>4.3885719999999999</v>
      </c>
      <c r="E623">
        <v>0.52764750000000005</v>
      </c>
      <c r="F623" t="s">
        <v>41</v>
      </c>
      <c r="G623">
        <v>-259.8646</v>
      </c>
      <c r="H623" s="1">
        <v>-1.7591940000000001E-6</v>
      </c>
      <c r="I623">
        <v>363.12549999999999</v>
      </c>
      <c r="J623">
        <v>-308.31180000000001</v>
      </c>
      <c r="K623">
        <v>1.0722590000000001</v>
      </c>
      <c r="L623">
        <v>367.59109999999998</v>
      </c>
      <c r="M623">
        <v>0.99975380000000003</v>
      </c>
      <c r="N623">
        <v>-1.5859450000000001E-2</v>
      </c>
      <c r="O623">
        <v>1.5526140000000001E-2</v>
      </c>
      <c r="P623">
        <v>0.98442689999999999</v>
      </c>
      <c r="Q623">
        <v>0.17468349999999999</v>
      </c>
      <c r="R623">
        <v>-1.9730620000000001E-2</v>
      </c>
      <c r="S623">
        <v>3.0541689999999999</v>
      </c>
      <c r="T623">
        <v>-6.709743E-2</v>
      </c>
      <c r="U623">
        <v>-0.2790222</v>
      </c>
      <c r="V623">
        <v>3.496022E-2</v>
      </c>
      <c r="W623">
        <v>0.19027740000000001</v>
      </c>
      <c r="X623">
        <v>0.98110770000000003</v>
      </c>
      <c r="Y623">
        <v>0.10638739999999999</v>
      </c>
      <c r="Z623">
        <v>-2.1063560000000002E-3</v>
      </c>
      <c r="AA623">
        <v>0.9943225</v>
      </c>
      <c r="AB623">
        <v>35</v>
      </c>
      <c r="AC623">
        <v>48.447200000000002</v>
      </c>
      <c r="AD623">
        <v>-1.0722607591940001</v>
      </c>
      <c r="AE623">
        <v>-4.4655999999999896</v>
      </c>
      <c r="AF623">
        <v>5.2148211626017797</v>
      </c>
      <c r="AG623">
        <v>-1.0722607591940001</v>
      </c>
      <c r="AH623">
        <v>48.348532547104902</v>
      </c>
      <c r="AI623">
        <v>91.263158261708796</v>
      </c>
      <c r="AJ623">
        <v>83.8439369982286</v>
      </c>
      <c r="AK623">
        <v>48.640772016407098</v>
      </c>
      <c r="AL623">
        <v>79.031026754809602</v>
      </c>
      <c r="AM623">
        <v>87.959219046110107</v>
      </c>
      <c r="AN623">
        <v>1.00000001246624</v>
      </c>
    </row>
    <row r="624" spans="1:40" x14ac:dyDescent="0.25">
      <c r="A624" t="str">
        <f>"20190303162510443"</f>
        <v>20190303162510443</v>
      </c>
      <c r="B624" t="str">
        <f>"1551601510433877"</f>
        <v>1551601510433877</v>
      </c>
      <c r="C624" t="s">
        <v>40</v>
      </c>
      <c r="D624">
        <v>4.4124610000000004</v>
      </c>
      <c r="E624">
        <v>0.52776080000000003</v>
      </c>
      <c r="F624" t="s">
        <v>41</v>
      </c>
      <c r="G624">
        <v>-261.6628</v>
      </c>
      <c r="H624" s="1">
        <v>-4.6781699999999898E-6</v>
      </c>
      <c r="I624">
        <v>363.3066</v>
      </c>
      <c r="J624">
        <v>-307.95310000000001</v>
      </c>
      <c r="K624">
        <v>1.0720970000000001</v>
      </c>
      <c r="L624">
        <v>367.59679999999997</v>
      </c>
      <c r="M624">
        <v>0.99975400000000003</v>
      </c>
      <c r="N624">
        <v>-1.5709480000000001E-2</v>
      </c>
      <c r="O624">
        <v>1.5665169999999999E-2</v>
      </c>
      <c r="P624">
        <v>0.98446900000000004</v>
      </c>
      <c r="Q624">
        <v>0.1744309</v>
      </c>
      <c r="R624">
        <v>-1.987148E-2</v>
      </c>
      <c r="S624">
        <v>3.0542910000000001</v>
      </c>
      <c r="T624">
        <v>-7.0205210000000004E-2</v>
      </c>
      <c r="U624">
        <v>-0.28051759999999998</v>
      </c>
      <c r="V624">
        <v>3.5238650000000003E-2</v>
      </c>
      <c r="W624">
        <v>0.18987809999999999</v>
      </c>
      <c r="X624">
        <v>0.98117509999999997</v>
      </c>
      <c r="Y624">
        <v>0.10700129999999999</v>
      </c>
      <c r="Z624">
        <v>-2.183263E-3</v>
      </c>
      <c r="AA624">
        <v>0.99425649999999999</v>
      </c>
      <c r="AB624">
        <v>35</v>
      </c>
      <c r="AC624">
        <v>46.290300000000002</v>
      </c>
      <c r="AD624">
        <v>-1.0721016781699999</v>
      </c>
      <c r="AE624">
        <v>-4.2901999999999703</v>
      </c>
      <c r="AF624">
        <v>5.0122425709907601</v>
      </c>
      <c r="AG624">
        <v>-1.0721016781699999</v>
      </c>
      <c r="AH624">
        <v>46.192836491194697</v>
      </c>
      <c r="AI624">
        <v>91.321798386922794</v>
      </c>
      <c r="AJ624">
        <v>83.807239411499197</v>
      </c>
      <c r="AK624">
        <v>46.476339364251103</v>
      </c>
      <c r="AL624">
        <v>79.0543298363704</v>
      </c>
      <c r="AM624">
        <v>87.943120958523295</v>
      </c>
      <c r="AN624">
        <v>1.00000001608672</v>
      </c>
    </row>
    <row r="625" spans="1:40" x14ac:dyDescent="0.25">
      <c r="A625" t="str">
        <f>"20190303162510464"</f>
        <v>20190303162510464</v>
      </c>
      <c r="B625" t="str">
        <f>"1551601510453388"</f>
        <v>1551601510453388</v>
      </c>
      <c r="C625" t="s">
        <v>40</v>
      </c>
      <c r="D625">
        <v>4.4876430000000003</v>
      </c>
      <c r="E625">
        <v>0.52796160000000003</v>
      </c>
      <c r="F625" t="s">
        <v>41</v>
      </c>
      <c r="G625">
        <v>-262.03750000000002</v>
      </c>
      <c r="H625" s="1">
        <v>-4.5083069999999997E-6</v>
      </c>
      <c r="I625">
        <v>363.35809999999998</v>
      </c>
      <c r="J625">
        <v>-307.62790000000001</v>
      </c>
      <c r="K625">
        <v>1.0719689999999999</v>
      </c>
      <c r="L625">
        <v>367.60210000000001</v>
      </c>
      <c r="M625">
        <v>0.99975380000000003</v>
      </c>
      <c r="N625">
        <v>-1.558814E-2</v>
      </c>
      <c r="O625">
        <v>1.5791329999999999E-2</v>
      </c>
      <c r="P625">
        <v>0.98443499999999995</v>
      </c>
      <c r="Q625">
        <v>0.17462449999999999</v>
      </c>
      <c r="R625">
        <v>-1.9846229999999999E-2</v>
      </c>
      <c r="S625">
        <v>3.05423</v>
      </c>
      <c r="T625">
        <v>-7.1314329999999995E-2</v>
      </c>
      <c r="U625">
        <v>-0.28195189999999998</v>
      </c>
      <c r="V625">
        <v>3.5337340000000002E-2</v>
      </c>
      <c r="W625">
        <v>0.18995200000000001</v>
      </c>
      <c r="X625">
        <v>0.98115719999999995</v>
      </c>
      <c r="Y625">
        <v>0.1075902</v>
      </c>
      <c r="Z625">
        <v>-2.2161709999999999E-3</v>
      </c>
      <c r="AA625">
        <v>0.99419279999999999</v>
      </c>
      <c r="AB625">
        <v>35</v>
      </c>
      <c r="AC625">
        <v>45.590399999999903</v>
      </c>
      <c r="AD625">
        <v>-1.0719735083069999</v>
      </c>
      <c r="AE625">
        <v>-4.2440000000000202</v>
      </c>
      <c r="AF625">
        <v>4.9607721245666498</v>
      </c>
      <c r="AG625">
        <v>-1.0719735083069999</v>
      </c>
      <c r="AH625">
        <v>45.492751970780198</v>
      </c>
      <c r="AI625">
        <v>91.341894021425702</v>
      </c>
      <c r="AJ625">
        <v>83.776751757653898</v>
      </c>
      <c r="AK625">
        <v>45.774980820851397</v>
      </c>
      <c r="AL625">
        <v>79.050016685185597</v>
      </c>
      <c r="AM625">
        <v>87.937327797002396</v>
      </c>
      <c r="AN625">
        <v>0.99999997050705702</v>
      </c>
    </row>
    <row r="626" spans="1:40" x14ac:dyDescent="0.25">
      <c r="A626" t="str">
        <f>"20190303162510486"</f>
        <v>20190303162510486</v>
      </c>
      <c r="B626" t="str">
        <f>"1551601510472908"</f>
        <v>1551601510472908</v>
      </c>
      <c r="C626" t="s">
        <v>40</v>
      </c>
      <c r="D626">
        <v>4.4731540000000001</v>
      </c>
      <c r="E626">
        <v>0.52815019999999901</v>
      </c>
      <c r="F626" t="s">
        <v>41</v>
      </c>
      <c r="G626">
        <v>-261.8306</v>
      </c>
      <c r="H626" s="1">
        <v>-4.5977979999999998E-6</v>
      </c>
      <c r="I626">
        <v>363.35390000000001</v>
      </c>
      <c r="J626">
        <v>-307.27109999999999</v>
      </c>
      <c r="K626">
        <v>1.0718540000000001</v>
      </c>
      <c r="L626">
        <v>367.6078</v>
      </c>
      <c r="M626">
        <v>0.99975349999999996</v>
      </c>
      <c r="N626">
        <v>-1.546988E-2</v>
      </c>
      <c r="O626">
        <v>1.5929740000000001E-2</v>
      </c>
      <c r="P626">
        <v>0.98451429999999995</v>
      </c>
      <c r="Q626">
        <v>0.1741654</v>
      </c>
      <c r="R626">
        <v>-1.9960169999999999E-2</v>
      </c>
      <c r="S626">
        <v>3.0543819999999999</v>
      </c>
      <c r="T626">
        <v>-7.1493630000000002E-2</v>
      </c>
      <c r="U626">
        <v>-0.2833252</v>
      </c>
      <c r="V626">
        <v>3.558886E-2</v>
      </c>
      <c r="W626">
        <v>0.18937850000000001</v>
      </c>
      <c r="X626">
        <v>0.98125899999999999</v>
      </c>
      <c r="Y626">
        <v>0.1081661</v>
      </c>
      <c r="Z626">
        <v>-2.2279270000000002E-3</v>
      </c>
      <c r="AA626">
        <v>0.99413030000000002</v>
      </c>
      <c r="AB626">
        <v>35</v>
      </c>
      <c r="AC626">
        <v>45.440499999999901</v>
      </c>
      <c r="AD626">
        <v>-1.071858597798</v>
      </c>
      <c r="AE626">
        <v>-4.2538999999999803</v>
      </c>
      <c r="AF626">
        <v>4.9745582329271301</v>
      </c>
      <c r="AG626">
        <v>-1.071858597798</v>
      </c>
      <c r="AH626">
        <v>45.341952029017101</v>
      </c>
      <c r="AI626">
        <v>91.346114060653505</v>
      </c>
      <c r="AJ626">
        <v>83.739003440406506</v>
      </c>
      <c r="AK626">
        <v>45.626612018296299</v>
      </c>
      <c r="AL626">
        <v>79.083483646329697</v>
      </c>
      <c r="AM626">
        <v>87.922874489987194</v>
      </c>
      <c r="AN626">
        <v>1.0000000041496699</v>
      </c>
    </row>
    <row r="627" spans="1:40" x14ac:dyDescent="0.25">
      <c r="A627" t="str">
        <f>"20190303162510509"</f>
        <v>20190303162510509</v>
      </c>
      <c r="B627" t="str">
        <f>"1551601510503669"</f>
        <v>1551601510503669</v>
      </c>
      <c r="C627" t="s">
        <v>40</v>
      </c>
      <c r="D627">
        <v>4.5101979999999999</v>
      </c>
      <c r="E627">
        <v>0.52793199999999996</v>
      </c>
      <c r="F627" t="s">
        <v>41</v>
      </c>
      <c r="G627">
        <v>-262.2029</v>
      </c>
      <c r="H627" s="1">
        <v>-4.4302179999999996E-6</v>
      </c>
      <c r="I627">
        <v>363.39830000000001</v>
      </c>
      <c r="J627">
        <v>-306.90800000000002</v>
      </c>
      <c r="K627">
        <v>1.0717509999999999</v>
      </c>
      <c r="L627">
        <v>367.61369999999999</v>
      </c>
      <c r="M627">
        <v>0.9997528</v>
      </c>
      <c r="N627">
        <v>-1.536365E-2</v>
      </c>
      <c r="O627">
        <v>1.6070850000000001E-2</v>
      </c>
      <c r="P627">
        <v>0.98453740000000001</v>
      </c>
      <c r="Q627">
        <v>0.17402709999999999</v>
      </c>
      <c r="R627">
        <v>-2.0016519999999999E-2</v>
      </c>
      <c r="S627">
        <v>3.0542910000000001</v>
      </c>
      <c r="T627">
        <v>-7.2640300000000005E-2</v>
      </c>
      <c r="U627">
        <v>-0.28527829999999998</v>
      </c>
      <c r="V627">
        <v>3.5784660000000003E-2</v>
      </c>
      <c r="W627">
        <v>0.189136</v>
      </c>
      <c r="X627">
        <v>0.98129860000000002</v>
      </c>
      <c r="Y627">
        <v>0.1089378</v>
      </c>
      <c r="Z627">
        <v>-2.2663959999999999E-3</v>
      </c>
      <c r="AA627">
        <v>0.99404599999999999</v>
      </c>
      <c r="AB627">
        <v>35</v>
      </c>
      <c r="AC627">
        <v>44.705100000000002</v>
      </c>
      <c r="AD627">
        <v>-1.0717554302179999</v>
      </c>
      <c r="AE627">
        <v>-4.2153999999999803</v>
      </c>
      <c r="AF627">
        <v>4.9305803828297501</v>
      </c>
      <c r="AG627">
        <v>-1.0717554302179999</v>
      </c>
      <c r="AH627">
        <v>44.606160813031003</v>
      </c>
      <c r="AI627">
        <v>91.368055983178095</v>
      </c>
      <c r="AJ627">
        <v>83.692367776728702</v>
      </c>
      <c r="AK627">
        <v>44.890632264334698</v>
      </c>
      <c r="AL627">
        <v>79.097633058991207</v>
      </c>
      <c r="AM627">
        <v>87.911541024285697</v>
      </c>
      <c r="AN627">
        <v>0.99999995537463604</v>
      </c>
    </row>
    <row r="628" spans="1:40" x14ac:dyDescent="0.25">
      <c r="A628" t="str">
        <f>"20190303162510530"</f>
        <v>20190303162510530</v>
      </c>
      <c r="B628" t="str">
        <f>"1551601510523190"</f>
        <v>1551601510523190</v>
      </c>
      <c r="C628" t="s">
        <v>40</v>
      </c>
      <c r="D628">
        <v>4.5794829999999997</v>
      </c>
      <c r="E628">
        <v>0.50901399999999997</v>
      </c>
      <c r="F628" t="s">
        <v>41</v>
      </c>
      <c r="G628">
        <v>-262.55669999999998</v>
      </c>
      <c r="H628" s="1">
        <v>-4.2622719999999999E-6</v>
      </c>
      <c r="I628">
        <v>363.48939999999999</v>
      </c>
      <c r="J628">
        <v>-306.57069999999999</v>
      </c>
      <c r="K628">
        <v>1.071682</v>
      </c>
      <c r="L628">
        <v>367.61930000000001</v>
      </c>
      <c r="M628">
        <v>0.99975210000000003</v>
      </c>
      <c r="N628">
        <v>-1.5276430000000001E-2</v>
      </c>
      <c r="O628">
        <v>1.620156E-2</v>
      </c>
      <c r="P628">
        <v>0.98452700000000004</v>
      </c>
      <c r="Q628">
        <v>0.1740757</v>
      </c>
      <c r="R628">
        <v>-2.0109930000000002E-2</v>
      </c>
      <c r="S628">
        <v>3.0543819999999999</v>
      </c>
      <c r="T628">
        <v>-7.38095E-2</v>
      </c>
      <c r="U628">
        <v>-0.28402709999999998</v>
      </c>
      <c r="V628">
        <v>3.6006719999999999E-2</v>
      </c>
      <c r="W628">
        <v>0.1890985</v>
      </c>
      <c r="X628">
        <v>0.98129770000000005</v>
      </c>
      <c r="Y628">
        <v>0.1086601</v>
      </c>
      <c r="Z628">
        <v>-2.285619E-3</v>
      </c>
      <c r="AA628">
        <v>0.99407630000000002</v>
      </c>
      <c r="AB628">
        <v>35</v>
      </c>
      <c r="AC628">
        <v>44.014000000000003</v>
      </c>
      <c r="AD628">
        <v>-1.071686262272</v>
      </c>
      <c r="AE628">
        <v>-4.1299000000000197</v>
      </c>
      <c r="AF628">
        <v>4.83969222028575</v>
      </c>
      <c r="AG628">
        <v>-1.071686262272</v>
      </c>
      <c r="AH628">
        <v>43.915494414232903</v>
      </c>
      <c r="AI628">
        <v>91.389523778528002</v>
      </c>
      <c r="AJ628">
        <v>83.711115688656804</v>
      </c>
      <c r="AK628">
        <v>44.194363689031199</v>
      </c>
      <c r="AL628">
        <v>79.099821090844898</v>
      </c>
      <c r="AM628">
        <v>87.898590849350398</v>
      </c>
      <c r="AN628">
        <v>0.999999951306348</v>
      </c>
    </row>
    <row r="629" spans="1:40" x14ac:dyDescent="0.25">
      <c r="A629" t="str">
        <f>"20190303162510553"</f>
        <v>20190303162510553</v>
      </c>
      <c r="B629" t="str">
        <f>"1551601510543685"</f>
        <v>1551601510543685</v>
      </c>
      <c r="C629" t="s">
        <v>40</v>
      </c>
      <c r="D629">
        <v>4.5309379999999999</v>
      </c>
      <c r="E629">
        <v>0.50926510000000003</v>
      </c>
      <c r="F629" t="s">
        <v>41</v>
      </c>
      <c r="G629">
        <v>-276.87540000000001</v>
      </c>
      <c r="H629" s="1">
        <v>-1.9254339999999999E-6</v>
      </c>
      <c r="I629">
        <v>366.32380000000001</v>
      </c>
      <c r="J629">
        <v>-306.23110000000003</v>
      </c>
      <c r="K629">
        <v>1.0716209999999999</v>
      </c>
      <c r="L629">
        <v>367.62490000000003</v>
      </c>
      <c r="M629">
        <v>0.99975119999999895</v>
      </c>
      <c r="N629">
        <v>-1.5198369999999999E-2</v>
      </c>
      <c r="O629">
        <v>1.633273E-2</v>
      </c>
      <c r="P629">
        <v>0.98450340000000003</v>
      </c>
      <c r="Q629">
        <v>0.17426029999999901</v>
      </c>
      <c r="R629">
        <v>-1.9668229999999998E-2</v>
      </c>
      <c r="S629">
        <v>3.063965</v>
      </c>
      <c r="T629">
        <v>-0.11057640000000001</v>
      </c>
      <c r="U629">
        <v>-0.13366700000000001</v>
      </c>
      <c r="V629">
        <v>3.5693589999999997E-2</v>
      </c>
      <c r="W629">
        <v>0.18920619999999999</v>
      </c>
      <c r="X629">
        <v>0.98128839999999995</v>
      </c>
      <c r="Y629">
        <v>5.9838469999999998E-2</v>
      </c>
      <c r="Z629">
        <v>-1.875009E-3</v>
      </c>
      <c r="AA629">
        <v>0.99820629999999999</v>
      </c>
      <c r="AB629">
        <v>35</v>
      </c>
      <c r="AC629">
        <v>29.355699999999999</v>
      </c>
      <c r="AD629">
        <v>-1.071622925434</v>
      </c>
      <c r="AE629">
        <v>-1.3011000000000099</v>
      </c>
      <c r="AF629">
        <v>1.7780756509967901</v>
      </c>
      <c r="AG629">
        <v>-1.071622925434</v>
      </c>
      <c r="AH629">
        <v>29.291573073956499</v>
      </c>
      <c r="AI629">
        <v>92.0913673371237</v>
      </c>
      <c r="AJ629">
        <v>86.526257752901103</v>
      </c>
      <c r="AK629">
        <v>29.365050346660698</v>
      </c>
      <c r="AL629">
        <v>79.093537111107693</v>
      </c>
      <c r="AM629">
        <v>87.916829715165207</v>
      </c>
      <c r="AN629">
        <v>0.99999997123004303</v>
      </c>
    </row>
    <row r="630" spans="1:40" x14ac:dyDescent="0.25">
      <c r="A630" t="str">
        <f>"20190303162510574"</f>
        <v>20190303162510574</v>
      </c>
      <c r="B630" t="str">
        <f>"1551601510563206"</f>
        <v>1551601510563206</v>
      </c>
      <c r="C630" t="s">
        <v>40</v>
      </c>
      <c r="D630">
        <v>4.5867389999999997</v>
      </c>
      <c r="E630">
        <v>0.51040470000000004</v>
      </c>
      <c r="F630" t="s">
        <v>41</v>
      </c>
      <c r="G630">
        <v>-274.93060000000003</v>
      </c>
      <c r="H630" s="1">
        <v>-2.753203E-6</v>
      </c>
      <c r="I630">
        <v>366.25560000000002</v>
      </c>
      <c r="J630">
        <v>-305.8938</v>
      </c>
      <c r="K630">
        <v>1.071574</v>
      </c>
      <c r="L630">
        <v>367.63060000000002</v>
      </c>
      <c r="M630">
        <v>0.99975009999999997</v>
      </c>
      <c r="N630">
        <v>-1.512962E-2</v>
      </c>
      <c r="O630">
        <v>1.6463180000000001E-2</v>
      </c>
      <c r="P630">
        <v>0.98456220000000005</v>
      </c>
      <c r="Q630">
        <v>0.1739955</v>
      </c>
      <c r="R630">
        <v>-1.9065450000000001E-2</v>
      </c>
      <c r="S630">
        <v>3.0630799999999998</v>
      </c>
      <c r="T630">
        <v>-0.1048694</v>
      </c>
      <c r="U630">
        <v>-0.1340027</v>
      </c>
      <c r="V630">
        <v>3.522049E-2</v>
      </c>
      <c r="W630">
        <v>0.18887470000000001</v>
      </c>
      <c r="X630">
        <v>0.98136939999999995</v>
      </c>
      <c r="Y630">
        <v>6.0095599999999999E-2</v>
      </c>
      <c r="Z630">
        <v>-1.797306E-3</v>
      </c>
      <c r="AA630">
        <v>0.99819100000000005</v>
      </c>
      <c r="AB630">
        <v>35</v>
      </c>
      <c r="AC630">
        <v>30.963199999999901</v>
      </c>
      <c r="AD630">
        <v>-1.0715767532030001</v>
      </c>
      <c r="AE630">
        <v>-1.375</v>
      </c>
      <c r="AF630">
        <v>1.8823745246283199</v>
      </c>
      <c r="AG630">
        <v>-1.0715767532030001</v>
      </c>
      <c r="AH630">
        <v>30.899427230572499</v>
      </c>
      <c r="AI630">
        <v>91.982520729674107</v>
      </c>
      <c r="AJ630">
        <v>86.513883835803696</v>
      </c>
      <c r="AK630">
        <v>30.975251633625501</v>
      </c>
      <c r="AL630">
        <v>79.112879924985606</v>
      </c>
      <c r="AM630">
        <v>87.944586727300106</v>
      </c>
      <c r="AN630">
        <v>1.0000000172361401</v>
      </c>
    </row>
    <row r="631" spans="1:40" x14ac:dyDescent="0.25">
      <c r="A631" t="str">
        <f>"20190303162510599"</f>
        <v>20190303162510599</v>
      </c>
      <c r="B631" t="str">
        <f>"1551601510583702"</f>
        <v>1551601510583702</v>
      </c>
      <c r="C631" t="s">
        <v>40</v>
      </c>
      <c r="D631">
        <v>4.6390250000000002</v>
      </c>
      <c r="E631">
        <v>0.51026890000000003</v>
      </c>
      <c r="F631" t="s">
        <v>41</v>
      </c>
      <c r="G631">
        <v>-274.98270000000002</v>
      </c>
      <c r="H631" s="1">
        <v>-2.7402410000000001E-6</v>
      </c>
      <c r="I631">
        <v>366.20269999999999</v>
      </c>
      <c r="J631">
        <v>-305.524</v>
      </c>
      <c r="K631">
        <v>1.071528</v>
      </c>
      <c r="L631">
        <v>367.63679999999999</v>
      </c>
      <c r="M631">
        <v>0.99974859999999999</v>
      </c>
      <c r="N631">
        <v>-1.506302E-2</v>
      </c>
      <c r="O631">
        <v>1.660642E-2</v>
      </c>
      <c r="P631">
        <v>0.98459569999999996</v>
      </c>
      <c r="Q631">
        <v>0.1739404</v>
      </c>
      <c r="R631">
        <v>-1.7781269999999998E-2</v>
      </c>
      <c r="S631">
        <v>3.0630799999999998</v>
      </c>
      <c r="T631">
        <v>-0.1061856</v>
      </c>
      <c r="U631">
        <v>-0.14147950000000001</v>
      </c>
      <c r="V631">
        <v>3.4078320000000002E-2</v>
      </c>
      <c r="W631">
        <v>0.1887548</v>
      </c>
      <c r="X631">
        <v>0.98143279999999999</v>
      </c>
      <c r="Y631">
        <v>6.2666589999999994E-2</v>
      </c>
      <c r="Z631">
        <v>-1.883032E-3</v>
      </c>
      <c r="AA631">
        <v>0.99803269999999999</v>
      </c>
      <c r="AB631">
        <v>35</v>
      </c>
      <c r="AC631">
        <v>30.5412999999999</v>
      </c>
      <c r="AD631">
        <v>-1.0715307402409999</v>
      </c>
      <c r="AE631">
        <v>-1.4340999999999999</v>
      </c>
      <c r="AF631">
        <v>1.93876018657522</v>
      </c>
      <c r="AG631">
        <v>-1.0715307402409999</v>
      </c>
      <c r="AH631">
        <v>30.475838379409801</v>
      </c>
      <c r="AI631">
        <v>92.009631506337698</v>
      </c>
      <c r="AJ631">
        <v>86.359959463770195</v>
      </c>
      <c r="AK631">
        <v>30.556238219326701</v>
      </c>
      <c r="AL631">
        <v>79.119875591354699</v>
      </c>
      <c r="AM631">
        <v>88.011315949502702</v>
      </c>
      <c r="AN631">
        <v>1.0000000236664499</v>
      </c>
    </row>
    <row r="632" spans="1:40" x14ac:dyDescent="0.25">
      <c r="A632" t="str">
        <f>"20190303162510621"</f>
        <v>20190303162510621</v>
      </c>
      <c r="B632" t="str">
        <f>"1551601510612982"</f>
        <v>1551601510612982</v>
      </c>
      <c r="C632" t="s">
        <v>40</v>
      </c>
      <c r="D632">
        <v>4.6375669999999998</v>
      </c>
      <c r="E632">
        <v>0.51124009999999998</v>
      </c>
      <c r="F632" t="s">
        <v>41</v>
      </c>
      <c r="G632">
        <v>-274.40649999999999</v>
      </c>
      <c r="H632" s="1">
        <v>-2.9789890000000001E-6</v>
      </c>
      <c r="I632">
        <v>366.25029999999998</v>
      </c>
      <c r="J632">
        <v>-305.16559999999998</v>
      </c>
      <c r="K632">
        <v>1.071499</v>
      </c>
      <c r="L632">
        <v>367.6429</v>
      </c>
      <c r="M632">
        <v>0.99974719999999995</v>
      </c>
      <c r="N632">
        <v>-1.500691E-2</v>
      </c>
      <c r="O632">
        <v>1.6745409999999999E-2</v>
      </c>
      <c r="P632">
        <v>0.98449050000000005</v>
      </c>
      <c r="Q632">
        <v>0.17461670000000001</v>
      </c>
      <c r="R632">
        <v>-1.6957759999999999E-2</v>
      </c>
      <c r="S632">
        <v>3.0630799999999998</v>
      </c>
      <c r="T632">
        <v>-0.1054769</v>
      </c>
      <c r="U632">
        <v>-0.1364746</v>
      </c>
      <c r="V632">
        <v>3.3390099999999999E-2</v>
      </c>
      <c r="W632">
        <v>0.1893743</v>
      </c>
      <c r="X632">
        <v>0.98133709999999996</v>
      </c>
      <c r="Y632">
        <v>6.1179850000000001E-2</v>
      </c>
      <c r="Z632">
        <v>-1.8371100000000001E-3</v>
      </c>
      <c r="AA632">
        <v>0.99812509999999999</v>
      </c>
      <c r="AB632">
        <v>35</v>
      </c>
      <c r="AC632">
        <v>30.759099999999901</v>
      </c>
      <c r="AD632">
        <v>-1.0715019789889999</v>
      </c>
      <c r="AE632">
        <v>-1.3926000000000101</v>
      </c>
      <c r="AF632">
        <v>1.90522916231916</v>
      </c>
      <c r="AG632">
        <v>-1.0715019789889999</v>
      </c>
      <c r="AH632">
        <v>30.694292643095601</v>
      </c>
      <c r="AI632">
        <v>91.995479695551893</v>
      </c>
      <c r="AJ632">
        <v>86.448143601132998</v>
      </c>
      <c r="AK632">
        <v>30.772026509671399</v>
      </c>
      <c r="AL632">
        <v>79.083728832861794</v>
      </c>
      <c r="AM632">
        <v>88.051256754662404</v>
      </c>
      <c r="AN632">
        <v>1.0000000140574501</v>
      </c>
    </row>
    <row r="633" spans="1:40" x14ac:dyDescent="0.25">
      <c r="A633" t="str">
        <f>"20190303162510643"</f>
        <v>20190303162510643</v>
      </c>
      <c r="B633" t="str">
        <f>"1551601510633478"</f>
        <v>1551601510633478</v>
      </c>
      <c r="C633" t="s">
        <v>40</v>
      </c>
      <c r="D633">
        <v>4.7236320000000003</v>
      </c>
      <c r="E633">
        <v>0.5112409</v>
      </c>
      <c r="F633" t="s">
        <v>41</v>
      </c>
      <c r="G633">
        <v>-273.19369999999998</v>
      </c>
      <c r="H633" s="1">
        <v>-3.5142160000000002E-6</v>
      </c>
      <c r="I633">
        <v>366.16609999999997</v>
      </c>
      <c r="J633">
        <v>-304.82769999999999</v>
      </c>
      <c r="K633">
        <v>1.0714649999999999</v>
      </c>
      <c r="L633">
        <v>367.64870000000002</v>
      </c>
      <c r="M633">
        <v>0.99974569999999996</v>
      </c>
      <c r="N633">
        <v>-1.495994E-2</v>
      </c>
      <c r="O633">
        <v>1.687663E-2</v>
      </c>
      <c r="P633">
        <v>0.98446679999999998</v>
      </c>
      <c r="Q633">
        <v>0.17478540000000001</v>
      </c>
      <c r="R633">
        <v>-1.6591849999999998E-2</v>
      </c>
      <c r="S633">
        <v>3.0630190000000002</v>
      </c>
      <c r="T633">
        <v>-0.1026533</v>
      </c>
      <c r="U633">
        <v>-0.14147950000000001</v>
      </c>
      <c r="V633">
        <v>3.3153120000000001E-2</v>
      </c>
      <c r="W633">
        <v>0.18949650000000001</v>
      </c>
      <c r="X633">
        <v>0.98132149999999996</v>
      </c>
      <c r="Y633">
        <v>6.2940399999999994E-2</v>
      </c>
      <c r="Z633">
        <v>-1.8379640000000001E-3</v>
      </c>
      <c r="AA633">
        <v>0.9980156</v>
      </c>
      <c r="AB633">
        <v>35</v>
      </c>
      <c r="AC633">
        <v>31.634</v>
      </c>
      <c r="AD633">
        <v>-1.0714685142160001</v>
      </c>
      <c r="AE633">
        <v>-1.4826000000000401</v>
      </c>
      <c r="AF633">
        <v>2.0140183626943902</v>
      </c>
      <c r="AG633">
        <v>-1.0714685142160001</v>
      </c>
      <c r="AH633">
        <v>31.5683328002476</v>
      </c>
      <c r="AI633">
        <v>91.940002694837602</v>
      </c>
      <c r="AJ633">
        <v>86.349551580839105</v>
      </c>
      <c r="AK633">
        <v>31.650654819915101</v>
      </c>
      <c r="AL633">
        <v>79.076597683837704</v>
      </c>
      <c r="AM633">
        <v>88.065046309152905</v>
      </c>
      <c r="AN633">
        <v>0.99999996962011595</v>
      </c>
    </row>
    <row r="634" spans="1:40" x14ac:dyDescent="0.25">
      <c r="A634" t="str">
        <f>"20190303162510664"</f>
        <v>20190303162510664</v>
      </c>
      <c r="B634" t="str">
        <f>"1551601510652998"</f>
        <v>1551601510652998</v>
      </c>
      <c r="C634" t="s">
        <v>40</v>
      </c>
      <c r="D634">
        <v>4.8147440000000001</v>
      </c>
      <c r="E634">
        <v>0.50914349999999997</v>
      </c>
      <c r="F634" t="s">
        <v>41</v>
      </c>
      <c r="G634">
        <v>-272.7516</v>
      </c>
      <c r="H634" s="1">
        <v>-3.7000339999999998E-6</v>
      </c>
      <c r="I634">
        <v>366.18759999999997</v>
      </c>
      <c r="J634">
        <v>-304.49310000000003</v>
      </c>
      <c r="K634">
        <v>1.0714399999999999</v>
      </c>
      <c r="L634">
        <v>367.65449999999998</v>
      </c>
      <c r="M634">
        <v>0.99974410000000002</v>
      </c>
      <c r="N634">
        <v>-1.4918829999999999E-2</v>
      </c>
      <c r="O634">
        <v>1.7006449999999999E-2</v>
      </c>
      <c r="P634">
        <v>0.98455870000000001</v>
      </c>
      <c r="Q634">
        <v>0.17424410000000001</v>
      </c>
      <c r="R634">
        <v>-1.6830319999999999E-2</v>
      </c>
      <c r="S634">
        <v>3.0631409999999999</v>
      </c>
      <c r="T634">
        <v>-0.10232090000000001</v>
      </c>
      <c r="U634">
        <v>-0.13952639999999999</v>
      </c>
      <c r="V634">
        <v>3.3521290000000002E-2</v>
      </c>
      <c r="W634">
        <v>0.1889159</v>
      </c>
      <c r="X634">
        <v>0.98142090000000004</v>
      </c>
      <c r="Y634">
        <v>6.2433849999999999E-2</v>
      </c>
      <c r="Z634">
        <v>-1.8222309999999999E-3</v>
      </c>
      <c r="AA634">
        <v>0.99804740000000003</v>
      </c>
      <c r="AB634">
        <v>35</v>
      </c>
      <c r="AC634">
        <v>31.741499999999998</v>
      </c>
      <c r="AD634">
        <v>-1.071443700034</v>
      </c>
      <c r="AE634">
        <v>-1.4669000000000001</v>
      </c>
      <c r="AF634">
        <v>2.0042792614284699</v>
      </c>
      <c r="AG634">
        <v>-1.071443700034</v>
      </c>
      <c r="AH634">
        <v>31.675943697706199</v>
      </c>
      <c r="AI634">
        <v>91.933436387672003</v>
      </c>
      <c r="AJ634">
        <v>86.379465280348299</v>
      </c>
      <c r="AK634">
        <v>31.7573697919143</v>
      </c>
      <c r="AL634">
        <v>79.110475195487695</v>
      </c>
      <c r="AM634">
        <v>88.043772983064798</v>
      </c>
      <c r="AN634">
        <v>0.99999993855643998</v>
      </c>
    </row>
    <row r="635" spans="1:40" x14ac:dyDescent="0.25">
      <c r="A635" t="str">
        <f>"20190303162510688"</f>
        <v>20190303162510688</v>
      </c>
      <c r="B635" t="str">
        <f>"1551601510673494"</f>
        <v>1551601510673494</v>
      </c>
      <c r="C635" t="s">
        <v>40</v>
      </c>
      <c r="D635">
        <v>4.848935</v>
      </c>
      <c r="E635">
        <v>0.47373100000000001</v>
      </c>
      <c r="F635" t="s">
        <v>41</v>
      </c>
      <c r="G635">
        <v>-273.32459999999998</v>
      </c>
      <c r="H635" s="1">
        <v>-3.4169869999999999E-6</v>
      </c>
      <c r="I635">
        <v>366.39760000000001</v>
      </c>
      <c r="J635">
        <v>-304.13690000000003</v>
      </c>
      <c r="K635">
        <v>1.0714170000000001</v>
      </c>
      <c r="L635">
        <v>367.66070000000002</v>
      </c>
      <c r="M635">
        <v>0.99974229999999997</v>
      </c>
      <c r="N635">
        <v>-1.487985E-2</v>
      </c>
      <c r="O635">
        <v>1.714483E-2</v>
      </c>
      <c r="P635">
        <v>0.98470230000000003</v>
      </c>
      <c r="Q635">
        <v>0.17334359999999999</v>
      </c>
      <c r="R635">
        <v>-1.7711009999999999E-2</v>
      </c>
      <c r="S635">
        <v>3.063599</v>
      </c>
      <c r="T635">
        <v>-0.1053134</v>
      </c>
      <c r="U635">
        <v>-0.123535199999999</v>
      </c>
      <c r="V635">
        <v>3.4540889999999998E-2</v>
      </c>
      <c r="W635">
        <v>0.1879798</v>
      </c>
      <c r="X635">
        <v>0.98156540000000003</v>
      </c>
      <c r="Y635">
        <v>5.7365930000000002E-2</v>
      </c>
      <c r="Z635">
        <v>-1.7464959999999999E-3</v>
      </c>
      <c r="AA635">
        <v>0.99835169999999995</v>
      </c>
      <c r="AB635">
        <v>35</v>
      </c>
      <c r="AC635">
        <v>30.8123</v>
      </c>
      <c r="AD635">
        <v>-1.0714204169869901</v>
      </c>
      <c r="AE635">
        <v>-1.2630999999999999</v>
      </c>
      <c r="AF635">
        <v>1.78908483579918</v>
      </c>
      <c r="AG635">
        <v>-1.0714204169869901</v>
      </c>
      <c r="AH635">
        <v>30.748995028831601</v>
      </c>
      <c r="AI635">
        <v>91.992244684001804</v>
      </c>
      <c r="AJ635">
        <v>86.670083965800202</v>
      </c>
      <c r="AK635">
        <v>30.819627861847</v>
      </c>
      <c r="AL635">
        <v>79.165089564125097</v>
      </c>
      <c r="AM635">
        <v>87.984616272905299</v>
      </c>
      <c r="AN635">
        <v>1.00000005638359</v>
      </c>
    </row>
    <row r="636" spans="1:40" x14ac:dyDescent="0.25">
      <c r="A636" t="str">
        <f>"20190303162510721"</f>
        <v>20190303162510721</v>
      </c>
      <c r="B636" t="str">
        <f>"1551601510713510"</f>
        <v>1551601510713510</v>
      </c>
      <c r="C636" t="s">
        <v>40</v>
      </c>
      <c r="D636">
        <v>4.8105500000000001</v>
      </c>
      <c r="E636">
        <v>0.47103</v>
      </c>
      <c r="F636" t="s">
        <v>41</v>
      </c>
      <c r="G636">
        <v>-278.67899999999997</v>
      </c>
      <c r="H636" s="1">
        <v>-6.6728119999999898E-7</v>
      </c>
      <c r="I636">
        <v>368.94959999999998</v>
      </c>
      <c r="J636">
        <v>-303.61279999999999</v>
      </c>
      <c r="K636">
        <v>1.071383</v>
      </c>
      <c r="L636">
        <v>367.67</v>
      </c>
      <c r="M636">
        <v>0.9997395</v>
      </c>
      <c r="N636">
        <v>-1.4830299999999999E-2</v>
      </c>
      <c r="O636">
        <v>1.7348010000000001E-2</v>
      </c>
      <c r="P636">
        <v>0.98497400000000002</v>
      </c>
      <c r="Q636">
        <v>0.17170639999999901</v>
      </c>
      <c r="R636">
        <v>-1.85338E-2</v>
      </c>
      <c r="S636">
        <v>3.072174</v>
      </c>
      <c r="T636">
        <v>-0.12929450000000001</v>
      </c>
      <c r="U636">
        <v>0.15554809999999999</v>
      </c>
      <c r="V636">
        <v>3.556898E-2</v>
      </c>
      <c r="W636">
        <v>0.1862982</v>
      </c>
      <c r="X636">
        <v>0.98184919999999998</v>
      </c>
      <c r="Y636">
        <v>-3.3197919999999999E-2</v>
      </c>
      <c r="Z636">
        <v>4.7219310000000002E-4</v>
      </c>
      <c r="AA636">
        <v>0.99944869999999997</v>
      </c>
      <c r="AB636">
        <v>35</v>
      </c>
      <c r="AC636">
        <v>24.933799999999898</v>
      </c>
      <c r="AD636">
        <v>-1.0713836672812</v>
      </c>
      <c r="AE636">
        <v>1.2795999999999501</v>
      </c>
      <c r="AF636">
        <v>-0.84525147020945102</v>
      </c>
      <c r="AG636">
        <v>-1.0713836672812</v>
      </c>
      <c r="AH636">
        <v>24.906382885678301</v>
      </c>
      <c r="AI636">
        <v>92.461725872870304</v>
      </c>
      <c r="AJ636">
        <v>91.943709065540901</v>
      </c>
      <c r="AK636">
        <v>24.943741127954699</v>
      </c>
      <c r="AL636">
        <v>79.263170427526106</v>
      </c>
      <c r="AM636">
        <v>87.925280554992796</v>
      </c>
      <c r="AN636">
        <v>1.0000000116010599</v>
      </c>
    </row>
    <row r="637" spans="1:40" x14ac:dyDescent="0.25">
      <c r="A637" t="str">
        <f>"20190303162510741"</f>
        <v>20190303162510741</v>
      </c>
      <c r="B637" t="str">
        <f>"1551601510733030"</f>
        <v>1551601510733030</v>
      </c>
      <c r="C637" t="s">
        <v>40</v>
      </c>
      <c r="D637">
        <v>4.9905229999999996</v>
      </c>
      <c r="E637">
        <v>0.47114859999999997</v>
      </c>
      <c r="F637" t="s">
        <v>41</v>
      </c>
      <c r="G637">
        <v>-277.79219999999998</v>
      </c>
      <c r="H637" s="1">
        <v>-1.015038E-6</v>
      </c>
      <c r="I637">
        <v>369.13389999999998</v>
      </c>
      <c r="J637">
        <v>-303.29430000000002</v>
      </c>
      <c r="K637">
        <v>1.071364</v>
      </c>
      <c r="L637">
        <v>367.67559999999997</v>
      </c>
      <c r="M637">
        <v>0.99973789999999996</v>
      </c>
      <c r="N637">
        <v>-1.480441E-2</v>
      </c>
      <c r="O637">
        <v>1.7471569999999999E-2</v>
      </c>
      <c r="P637">
        <v>0.98515410000000003</v>
      </c>
      <c r="Q637">
        <v>0.170685</v>
      </c>
      <c r="R637">
        <v>-1.8390500000000001E-2</v>
      </c>
      <c r="S637">
        <v>3.0712890000000002</v>
      </c>
      <c r="T637">
        <v>-0.12743769999999999</v>
      </c>
      <c r="U637">
        <v>0.17413329999999999</v>
      </c>
      <c r="V637">
        <v>3.5551180000000002E-2</v>
      </c>
      <c r="W637">
        <v>0.1852538</v>
      </c>
      <c r="X637">
        <v>0.98204740000000001</v>
      </c>
      <c r="Y637">
        <v>-3.9112769999999998E-2</v>
      </c>
      <c r="Z637">
        <v>6.3488749999999995E-4</v>
      </c>
      <c r="AA637">
        <v>0.99923459999999997</v>
      </c>
      <c r="AB637">
        <v>35</v>
      </c>
      <c r="AC637">
        <v>25.502099999999999</v>
      </c>
      <c r="AD637">
        <v>-1.0713650150380001</v>
      </c>
      <c r="AE637">
        <v>1.4582999999999999</v>
      </c>
      <c r="AF637">
        <v>-1.0106888994452401</v>
      </c>
      <c r="AG637">
        <v>-1.0713650150380001</v>
      </c>
      <c r="AH637">
        <v>25.478866707365501</v>
      </c>
      <c r="AI637">
        <v>92.405931184545807</v>
      </c>
      <c r="AJ637">
        <v>92.271602745547796</v>
      </c>
      <c r="AK637">
        <v>25.521402072351101</v>
      </c>
      <c r="AL637">
        <v>79.324069898283298</v>
      </c>
      <c r="AM637">
        <v>87.926736064723499</v>
      </c>
      <c r="AN637">
        <v>0.99999997633029603</v>
      </c>
    </row>
    <row r="638" spans="1:40" x14ac:dyDescent="0.25">
      <c r="A638" t="str">
        <f>"20190303162510765"</f>
        <v>20190303162510765</v>
      </c>
      <c r="B638" t="str">
        <f>"1551601510753526"</f>
        <v>1551601510753526</v>
      </c>
      <c r="C638" t="s">
        <v>40</v>
      </c>
      <c r="D638">
        <v>4.8256119999999996</v>
      </c>
      <c r="E638">
        <v>0.47119220000000001</v>
      </c>
      <c r="F638" t="s">
        <v>41</v>
      </c>
      <c r="G638">
        <v>-276.53129999999999</v>
      </c>
      <c r="H638" s="1">
        <v>-1.545933E-6</v>
      </c>
      <c r="I638">
        <v>369.19049999999999</v>
      </c>
      <c r="J638">
        <v>-302.9418</v>
      </c>
      <c r="K638">
        <v>1.0713469999999901</v>
      </c>
      <c r="L638">
        <v>367.68189999999998</v>
      </c>
      <c r="M638">
        <v>0.99973579999999995</v>
      </c>
      <c r="N638">
        <v>-1.4778970000000001E-2</v>
      </c>
      <c r="O638">
        <v>1.7608599999999999E-2</v>
      </c>
      <c r="P638">
        <v>0.98528879999999996</v>
      </c>
      <c r="Q638">
        <v>0.16994049999999999</v>
      </c>
      <c r="R638">
        <v>-1.8075890000000001E-2</v>
      </c>
      <c r="S638">
        <v>3.0697329999999998</v>
      </c>
      <c r="T638">
        <v>-0.12288590000000001</v>
      </c>
      <c r="U638">
        <v>0.17376710000000001</v>
      </c>
      <c r="V638">
        <v>3.5373950000000001E-2</v>
      </c>
      <c r="W638">
        <v>0.18448619999999999</v>
      </c>
      <c r="X638">
        <v>0.98219829999999997</v>
      </c>
      <c r="Y638">
        <v>-3.8888029999999997E-2</v>
      </c>
      <c r="Z638">
        <v>6.2128659999999996E-4</v>
      </c>
      <c r="AA638">
        <v>0.9992434</v>
      </c>
      <c r="AB638">
        <v>35</v>
      </c>
      <c r="AC638">
        <v>26.410499999999999</v>
      </c>
      <c r="AD638">
        <v>-1.0713485459330001</v>
      </c>
      <c r="AE638">
        <v>1.5085999999999999</v>
      </c>
      <c r="AF638">
        <v>-1.0415550130771001</v>
      </c>
      <c r="AG638">
        <v>-1.0713485459330001</v>
      </c>
      <c r="AH638">
        <v>26.3896875197022</v>
      </c>
      <c r="AI638">
        <v>92.322967433394496</v>
      </c>
      <c r="AJ638">
        <v>92.260191533751097</v>
      </c>
      <c r="AK638">
        <v>26.431954750635999</v>
      </c>
      <c r="AL638">
        <v>79.368821644789605</v>
      </c>
      <c r="AM638">
        <v>87.937379428087098</v>
      </c>
      <c r="AN638">
        <v>0.99999998742596596</v>
      </c>
    </row>
    <row r="639" spans="1:40" x14ac:dyDescent="0.25">
      <c r="A639" t="str">
        <f>"20190303162510788"</f>
        <v>20190303162510788</v>
      </c>
      <c r="B639" t="str">
        <f>"1551601510773046"</f>
        <v>1551601510773046</v>
      </c>
      <c r="C639" t="s">
        <v>40</v>
      </c>
      <c r="D639">
        <v>4.9269189999999998</v>
      </c>
      <c r="E639">
        <v>0.47121469999999999</v>
      </c>
      <c r="F639" t="s">
        <v>41</v>
      </c>
      <c r="G639">
        <v>-275.33089999999999</v>
      </c>
      <c r="H639" s="1">
        <v>-2.0495119999999999E-6</v>
      </c>
      <c r="I639">
        <v>369.25450000000001</v>
      </c>
      <c r="J639">
        <v>-302.58210000000003</v>
      </c>
      <c r="K639">
        <v>1.0713440000000001</v>
      </c>
      <c r="L639">
        <v>367.6884</v>
      </c>
      <c r="M639">
        <v>0.99973369999999995</v>
      </c>
      <c r="N639">
        <v>-1.4756E-2</v>
      </c>
      <c r="O639">
        <v>1.7748409999999999E-2</v>
      </c>
      <c r="P639">
        <v>0.98532169999999997</v>
      </c>
      <c r="Q639">
        <v>0.16984830000000001</v>
      </c>
      <c r="R639">
        <v>-1.712004E-2</v>
      </c>
      <c r="S639">
        <v>3.0685419999999999</v>
      </c>
      <c r="T639">
        <v>-0.1190642</v>
      </c>
      <c r="U639">
        <v>0.17477419999999999</v>
      </c>
      <c r="V639">
        <v>3.4556780000000002E-2</v>
      </c>
      <c r="W639">
        <v>0.18437190000000001</v>
      </c>
      <c r="X639">
        <v>0.98224880000000003</v>
      </c>
      <c r="Y639">
        <v>-3.9098599999999997E-2</v>
      </c>
      <c r="Z639">
        <v>6.2045699999999896E-4</v>
      </c>
      <c r="AA639">
        <v>0.99923519999999999</v>
      </c>
      <c r="AB639">
        <v>35</v>
      </c>
      <c r="AC639">
        <v>27.251200000000001</v>
      </c>
      <c r="AD639">
        <v>-1.071346049512</v>
      </c>
      <c r="AE639">
        <v>1.5661</v>
      </c>
      <c r="AF639">
        <v>-1.0804707335544801</v>
      </c>
      <c r="AG639">
        <v>-1.071346049512</v>
      </c>
      <c r="AH639">
        <v>27.232753853850301</v>
      </c>
      <c r="AI639">
        <v>92.251104975280697</v>
      </c>
      <c r="AJ639">
        <v>92.272041998087104</v>
      </c>
      <c r="AK639">
        <v>27.275228355199399</v>
      </c>
      <c r="AL639">
        <v>79.375484310474505</v>
      </c>
      <c r="AM639">
        <v>87.985091583876198</v>
      </c>
      <c r="AN639">
        <v>0.99999993682750699</v>
      </c>
    </row>
    <row r="640" spans="1:40" x14ac:dyDescent="0.25">
      <c r="A640" t="str">
        <f>"20190303162510811"</f>
        <v>20190303162510811</v>
      </c>
      <c r="B640" t="str">
        <f>"1551601510803302"</f>
        <v>1551601510803302</v>
      </c>
      <c r="C640" t="s">
        <v>40</v>
      </c>
      <c r="D640">
        <v>4.9313379999999896</v>
      </c>
      <c r="E640">
        <v>0.47127619999999998</v>
      </c>
      <c r="F640" t="s">
        <v>41</v>
      </c>
      <c r="G640">
        <v>-273.7747</v>
      </c>
      <c r="H640" s="1">
        <v>-2.6994450000000001E-6</v>
      </c>
      <c r="I640">
        <v>369.35410000000002</v>
      </c>
      <c r="J640">
        <v>-302.23739999999998</v>
      </c>
      <c r="K640">
        <v>1.0713349999999999</v>
      </c>
      <c r="L640">
        <v>367.69470000000001</v>
      </c>
      <c r="M640">
        <v>0.9997315</v>
      </c>
      <c r="N640">
        <v>-1.4736320000000001E-2</v>
      </c>
      <c r="O640">
        <v>1.7882350000000002E-2</v>
      </c>
      <c r="P640">
        <v>0.98529650000000002</v>
      </c>
      <c r="Q640">
        <v>0.17001629999999901</v>
      </c>
      <c r="R640">
        <v>-1.6881899999999998E-2</v>
      </c>
      <c r="S640">
        <v>3.0674130000000002</v>
      </c>
      <c r="T640">
        <v>-0.1140771</v>
      </c>
      <c r="U640">
        <v>0.1773682</v>
      </c>
      <c r="V640">
        <v>3.4450599999999998E-2</v>
      </c>
      <c r="W640">
        <v>0.18451999999999999</v>
      </c>
      <c r="X640">
        <v>0.98222480000000001</v>
      </c>
      <c r="Y640">
        <v>-3.9829379999999998E-2</v>
      </c>
      <c r="Z640">
        <v>6.3278140000000004E-4</v>
      </c>
      <c r="AA640">
        <v>0.99920629999999999</v>
      </c>
      <c r="AB640">
        <v>35</v>
      </c>
      <c r="AC640">
        <v>28.462699999999899</v>
      </c>
      <c r="AD640">
        <v>-1.0713376994449999</v>
      </c>
      <c r="AE640">
        <v>1.6594</v>
      </c>
      <c r="AF640">
        <v>-1.14847774471097</v>
      </c>
      <c r="AG640">
        <v>-1.0713376994449999</v>
      </c>
      <c r="AH640">
        <v>28.447657588872399</v>
      </c>
      <c r="AI640">
        <v>92.154983845418798</v>
      </c>
      <c r="AJ640">
        <v>92.311867412854994</v>
      </c>
      <c r="AK640">
        <v>28.490980816568602</v>
      </c>
      <c r="AL640">
        <v>79.366851526248993</v>
      </c>
      <c r="AM640">
        <v>87.991228519160202</v>
      </c>
      <c r="AN640">
        <v>1.0000000159876901</v>
      </c>
    </row>
    <row r="641" spans="1:40" x14ac:dyDescent="0.25">
      <c r="A641" t="str">
        <f>"20190303162510833"</f>
        <v>20190303162510833</v>
      </c>
      <c r="B641" t="str">
        <f>"1551601510823798"</f>
        <v>1551601510823798</v>
      </c>
      <c r="C641" t="s">
        <v>40</v>
      </c>
      <c r="D641">
        <v>4.8841400000000004</v>
      </c>
      <c r="E641">
        <v>0.47133399999999998</v>
      </c>
      <c r="F641" t="s">
        <v>41</v>
      </c>
      <c r="G641">
        <v>-271.58920000000001</v>
      </c>
      <c r="H641" s="1">
        <v>-3.6166140000000002E-6</v>
      </c>
      <c r="I641">
        <v>369.46929999999998</v>
      </c>
      <c r="J641">
        <v>-301.89089999999999</v>
      </c>
      <c r="K641">
        <v>1.071331</v>
      </c>
      <c r="L641">
        <v>367.70100000000002</v>
      </c>
      <c r="M641">
        <v>0.99972930000000004</v>
      </c>
      <c r="N641">
        <v>-1.471863E-2</v>
      </c>
      <c r="O641">
        <v>1.8016999999999998E-2</v>
      </c>
      <c r="P641">
        <v>0.98525720000000006</v>
      </c>
      <c r="Q641">
        <v>0.17026929999999901</v>
      </c>
      <c r="R641">
        <v>-1.6646640000000001E-2</v>
      </c>
      <c r="S641">
        <v>3.066284</v>
      </c>
      <c r="T641">
        <v>-0.1071846</v>
      </c>
      <c r="U641">
        <v>0.1775513</v>
      </c>
      <c r="V641">
        <v>3.4347040000000002E-2</v>
      </c>
      <c r="W641">
        <v>0.18475520000000001</v>
      </c>
      <c r="X641">
        <v>0.98218419999999895</v>
      </c>
      <c r="Y641">
        <v>-3.9778580000000001E-2</v>
      </c>
      <c r="Z641">
        <v>6.2358779999999896E-4</v>
      </c>
      <c r="AA641">
        <v>0.99920830000000005</v>
      </c>
      <c r="AB641">
        <v>34</v>
      </c>
      <c r="AC641">
        <v>30.301699999999901</v>
      </c>
      <c r="AD641">
        <v>-1.0713346166140001</v>
      </c>
      <c r="AE641">
        <v>1.76830000000001</v>
      </c>
      <c r="AF641">
        <v>-1.2204875592300799</v>
      </c>
      <c r="AG641">
        <v>-1.0713346166140001</v>
      </c>
      <c r="AH641">
        <v>30.290907622725001</v>
      </c>
      <c r="AI641">
        <v>92.023962879260694</v>
      </c>
      <c r="AJ641">
        <v>92.307325403970395</v>
      </c>
      <c r="AK641">
        <v>30.334410037965899</v>
      </c>
      <c r="AL641">
        <v>79.3531396681621</v>
      </c>
      <c r="AM641">
        <v>87.997179330087704</v>
      </c>
      <c r="AN641">
        <v>1.00000000290672</v>
      </c>
    </row>
    <row r="642" spans="1:40" x14ac:dyDescent="0.25">
      <c r="A642" t="str">
        <f>"20190303162510856"</f>
        <v>20190303162510856</v>
      </c>
      <c r="B642" t="str">
        <f>"1551601510843318"</f>
        <v>1551601510843318</v>
      </c>
      <c r="C642" t="s">
        <v>40</v>
      </c>
      <c r="D642">
        <v>4.8792839999999904</v>
      </c>
      <c r="E642">
        <v>0.47133069999999999</v>
      </c>
      <c r="F642" t="s">
        <v>41</v>
      </c>
      <c r="G642">
        <v>-270.08460000000002</v>
      </c>
      <c r="H642" s="1">
        <v>-4.2485559999999999E-6</v>
      </c>
      <c r="I642">
        <v>369.5455</v>
      </c>
      <c r="J642">
        <v>-301.5378</v>
      </c>
      <c r="K642">
        <v>1.0713299999999999</v>
      </c>
      <c r="L642">
        <v>367.70749999999998</v>
      </c>
      <c r="M642">
        <v>0.99972720000000004</v>
      </c>
      <c r="N642">
        <v>-1.4702460000000001E-2</v>
      </c>
      <c r="O642">
        <v>1.815425E-2</v>
      </c>
      <c r="P642">
        <v>0.98514809999999997</v>
      </c>
      <c r="Q642">
        <v>0.17088719999999999</v>
      </c>
      <c r="R642">
        <v>-1.677294E-2</v>
      </c>
      <c r="S642">
        <v>3.0657350000000001</v>
      </c>
      <c r="T642">
        <v>-0.10326299999999999</v>
      </c>
      <c r="U642">
        <v>0.17779539999999999</v>
      </c>
      <c r="V642">
        <v>3.4606579999999998E-2</v>
      </c>
      <c r="W642">
        <v>0.18535550000000001</v>
      </c>
      <c r="X642">
        <v>0.98206199999999999</v>
      </c>
      <c r="Y642">
        <v>-3.9732770000000001E-2</v>
      </c>
      <c r="Z642">
        <v>6.1688119999999996E-4</v>
      </c>
      <c r="AA642">
        <v>0.99921020000000005</v>
      </c>
      <c r="AB642">
        <v>34</v>
      </c>
      <c r="AC642">
        <v>31.453199999999899</v>
      </c>
      <c r="AD642">
        <v>-1.07133424855599</v>
      </c>
      <c r="AE642">
        <v>1.8380000000000201</v>
      </c>
      <c r="AF642">
        <v>-1.2651633031854601</v>
      </c>
      <c r="AG642">
        <v>-1.07133424855599</v>
      </c>
      <c r="AH642">
        <v>31.445029129520201</v>
      </c>
      <c r="AI642">
        <v>91.949740021850204</v>
      </c>
      <c r="AJ642">
        <v>92.304002991195205</v>
      </c>
      <c r="AK642">
        <v>31.4887003893814</v>
      </c>
      <c r="AL642">
        <v>79.318140740463903</v>
      </c>
      <c r="AM642">
        <v>87.981806790559304</v>
      </c>
      <c r="AN642">
        <v>1.0000000243017699</v>
      </c>
    </row>
    <row r="643" spans="1:40" x14ac:dyDescent="0.25">
      <c r="A643" t="str">
        <f>"20190303162510877"</f>
        <v>20190303162510877</v>
      </c>
      <c r="B643" t="str">
        <f>"1551601510863814"</f>
        <v>1551601510863814</v>
      </c>
      <c r="C643" t="s">
        <v>40</v>
      </c>
      <c r="D643">
        <v>4.8352180000000002</v>
      </c>
      <c r="E643">
        <v>0.47122239999999999</v>
      </c>
      <c r="F643" t="s">
        <v>41</v>
      </c>
      <c r="G643">
        <v>-270.35390000000001</v>
      </c>
      <c r="H643" s="1">
        <v>-4.1394419999999996E-6</v>
      </c>
      <c r="I643">
        <v>369.5093</v>
      </c>
      <c r="J643">
        <v>-301.21370000000002</v>
      </c>
      <c r="K643">
        <v>1.0713269999999999</v>
      </c>
      <c r="L643">
        <v>367.71359999999999</v>
      </c>
      <c r="M643">
        <v>0.99972499999999997</v>
      </c>
      <c r="N643">
        <v>-1.468908E-2</v>
      </c>
      <c r="O643">
        <v>1.8280399999999999E-2</v>
      </c>
      <c r="P643">
        <v>0.98505880000000001</v>
      </c>
      <c r="Q643">
        <v>0.1714272</v>
      </c>
      <c r="R643">
        <v>-1.6480580000000002E-2</v>
      </c>
      <c r="S643">
        <v>3.0665279999999999</v>
      </c>
      <c r="T643">
        <v>-0.10535129999999999</v>
      </c>
      <c r="U643">
        <v>0.17718510000000001</v>
      </c>
      <c r="V643">
        <v>3.443715E-2</v>
      </c>
      <c r="W643">
        <v>0.18588080000000001</v>
      </c>
      <c r="X643">
        <v>0.98196859999999997</v>
      </c>
      <c r="Y643">
        <v>-3.9392990000000003E-2</v>
      </c>
      <c r="Z643">
        <v>6.0672030000000004E-4</v>
      </c>
      <c r="AA643">
        <v>0.99922359999999999</v>
      </c>
      <c r="AB643">
        <v>34</v>
      </c>
      <c r="AC643">
        <v>30.8598</v>
      </c>
      <c r="AD643">
        <v>-1.071331139442</v>
      </c>
      <c r="AE643">
        <v>1.7957000000000101</v>
      </c>
      <c r="AF643">
        <v>-1.2297324398601099</v>
      </c>
      <c r="AG643">
        <v>-1.071331139442</v>
      </c>
      <c r="AH643">
        <v>30.850416221583298</v>
      </c>
      <c r="AI643">
        <v>91.987313440462003</v>
      </c>
      <c r="AJ643">
        <v>92.282666022359294</v>
      </c>
      <c r="AK643">
        <v>30.893497266073901</v>
      </c>
      <c r="AL643">
        <v>79.287510288179107</v>
      </c>
      <c r="AM643">
        <v>87.991488665761906</v>
      </c>
      <c r="AN643">
        <v>0.99999996024736004</v>
      </c>
    </row>
    <row r="644" spans="1:40" x14ac:dyDescent="0.25">
      <c r="A644" t="str">
        <f>"20190303162510899"</f>
        <v>20190303162510899</v>
      </c>
      <c r="B644" t="str">
        <f>"1551601510893094"</f>
        <v>1551601510893094</v>
      </c>
      <c r="C644" t="s">
        <v>40</v>
      </c>
      <c r="D644">
        <v>4.7705690000000001</v>
      </c>
      <c r="E644">
        <v>0.47117350000000002</v>
      </c>
      <c r="F644" t="s">
        <v>41</v>
      </c>
      <c r="G644">
        <v>-270.5376</v>
      </c>
      <c r="H644" s="1">
        <v>-4.0622860000000001E-6</v>
      </c>
      <c r="I644">
        <v>369.5</v>
      </c>
      <c r="J644">
        <v>-300.86860000000001</v>
      </c>
      <c r="K644">
        <v>1.071326</v>
      </c>
      <c r="L644">
        <v>367.72</v>
      </c>
      <c r="M644">
        <v>0.99972280000000002</v>
      </c>
      <c r="N644">
        <v>-1.467621E-2</v>
      </c>
      <c r="O644">
        <v>1.841429E-2</v>
      </c>
      <c r="P644">
        <v>0.98500759999999998</v>
      </c>
      <c r="Q644">
        <v>0.17179129999999901</v>
      </c>
      <c r="R644">
        <v>-1.5751350000000001E-2</v>
      </c>
      <c r="S644">
        <v>3.0671390000000001</v>
      </c>
      <c r="T644">
        <v>-0.10711660000000001</v>
      </c>
      <c r="U644">
        <v>0.17861939999999901</v>
      </c>
      <c r="V644">
        <v>3.383895E-2</v>
      </c>
      <c r="W644">
        <v>0.1862317</v>
      </c>
      <c r="X644">
        <v>0.98192290000000004</v>
      </c>
      <c r="Y644">
        <v>-3.971247E-2</v>
      </c>
      <c r="Z644">
        <v>6.1225400000000001E-4</v>
      </c>
      <c r="AA644">
        <v>0.99921099999999996</v>
      </c>
      <c r="AB644">
        <v>34</v>
      </c>
      <c r="AC644">
        <v>30.331</v>
      </c>
      <c r="AD644">
        <v>-1.071330062286</v>
      </c>
      <c r="AE644">
        <v>1.7799999999999701</v>
      </c>
      <c r="AF644">
        <v>-1.21959783551652</v>
      </c>
      <c r="AG644">
        <v>-1.071330062286</v>
      </c>
      <c r="AH644">
        <v>30.320938637425101</v>
      </c>
      <c r="AI644">
        <v>92.0219569686748</v>
      </c>
      <c r="AJ644">
        <v>92.303364063665796</v>
      </c>
      <c r="AK644">
        <v>30.364362118069501</v>
      </c>
      <c r="AL644">
        <v>79.267047806959297</v>
      </c>
      <c r="AM644">
        <v>88.026258445242604</v>
      </c>
      <c r="AN644">
        <v>0.99999995108319994</v>
      </c>
    </row>
    <row r="645" spans="1:40" x14ac:dyDescent="0.25">
      <c r="A645" t="str">
        <f>"20190303162510921"</f>
        <v>20190303162510921</v>
      </c>
      <c r="B645" t="str">
        <f>"1551601510913590"</f>
        <v>1551601510913590</v>
      </c>
      <c r="C645" t="s">
        <v>40</v>
      </c>
      <c r="D645">
        <v>4.7701250000000002</v>
      </c>
      <c r="E645">
        <v>0.4811879</v>
      </c>
      <c r="F645" t="s">
        <v>41</v>
      </c>
      <c r="G645">
        <v>-270.8458</v>
      </c>
      <c r="H645" s="1">
        <v>-3.9308529999999997E-6</v>
      </c>
      <c r="I645">
        <v>369.49549999999999</v>
      </c>
      <c r="J645">
        <v>-300.53230000000002</v>
      </c>
      <c r="K645">
        <v>1.071331</v>
      </c>
      <c r="L645">
        <v>367.72629999999998</v>
      </c>
      <c r="M645">
        <v>0.99972059999999996</v>
      </c>
      <c r="N645">
        <v>-1.466484E-2</v>
      </c>
      <c r="O645">
        <v>1.8544120000000001E-2</v>
      </c>
      <c r="P645">
        <v>0.98494809999999999</v>
      </c>
      <c r="Q645">
        <v>0.17216400000000001</v>
      </c>
      <c r="R645">
        <v>-1.5392380000000001E-2</v>
      </c>
      <c r="S645">
        <v>3.067688</v>
      </c>
      <c r="T645">
        <v>-0.10946690000000001</v>
      </c>
      <c r="U645">
        <v>0.181427</v>
      </c>
      <c r="V645">
        <v>3.3606980000000002E-2</v>
      </c>
      <c r="W645">
        <v>0.1865919</v>
      </c>
      <c r="X645">
        <v>0.98186249999999997</v>
      </c>
      <c r="Y645">
        <v>-4.0482020000000001E-2</v>
      </c>
      <c r="Z645">
        <v>6.2955979999999997E-4</v>
      </c>
      <c r="AA645">
        <v>0.99918010000000002</v>
      </c>
      <c r="AB645">
        <v>34</v>
      </c>
      <c r="AC645">
        <v>29.686499999999999</v>
      </c>
      <c r="AD645">
        <v>-1.071334930853</v>
      </c>
      <c r="AE645">
        <v>1.7692000000000101</v>
      </c>
      <c r="AF645">
        <v>-1.2167475048848799</v>
      </c>
      <c r="AG645">
        <v>-1.071334930853</v>
      </c>
      <c r="AH645">
        <v>29.675694097031101</v>
      </c>
      <c r="AI645">
        <v>92.065827319804995</v>
      </c>
      <c r="AJ645">
        <v>92.347896891920101</v>
      </c>
      <c r="AK645">
        <v>29.7199436938443</v>
      </c>
      <c r="AL645">
        <v>79.246041843524694</v>
      </c>
      <c r="AM645">
        <v>88.039657594503595</v>
      </c>
      <c r="AN645">
        <v>0.99999996757828902</v>
      </c>
    </row>
    <row r="646" spans="1:40" x14ac:dyDescent="0.25">
      <c r="A646" t="str">
        <f>"20190303162510942"</f>
        <v>20190303162510942</v>
      </c>
      <c r="B646" t="str">
        <f>"1551601510933110"</f>
        <v>1551601510933110</v>
      </c>
      <c r="C646" t="s">
        <v>40</v>
      </c>
      <c r="D646">
        <v>4.6817719999999996</v>
      </c>
      <c r="E646">
        <v>0.50128909999999904</v>
      </c>
      <c r="F646" t="s">
        <v>44</v>
      </c>
      <c r="G646">
        <v>-284.07819999999998</v>
      </c>
      <c r="H646">
        <v>-0.05</v>
      </c>
      <c r="I646">
        <v>368.27499999999998</v>
      </c>
      <c r="J646">
        <v>-300.20179999999999</v>
      </c>
      <c r="K646">
        <v>1.071331</v>
      </c>
      <c r="L646">
        <v>367.73259999999999</v>
      </c>
      <c r="M646">
        <v>0.9997182</v>
      </c>
      <c r="N646">
        <v>-1.465466E-2</v>
      </c>
      <c r="O646">
        <v>1.8671610000000002E-2</v>
      </c>
      <c r="P646">
        <v>0.98494199999999998</v>
      </c>
      <c r="Q646">
        <v>0.17222000000000001</v>
      </c>
      <c r="R646">
        <v>-1.5152789999999999E-2</v>
      </c>
      <c r="S646">
        <v>3.0841669999999999</v>
      </c>
      <c r="T646">
        <v>-0.21018300000000001</v>
      </c>
      <c r="U646">
        <v>0.1028442</v>
      </c>
      <c r="V646">
        <v>3.3493120000000001E-2</v>
      </c>
      <c r="W646">
        <v>0.18663779999999999</v>
      </c>
      <c r="X646">
        <v>0.98185770000000006</v>
      </c>
      <c r="Y646">
        <v>-1.4643689999999999E-2</v>
      </c>
      <c r="Z646">
        <v>-3.9137619999999999E-4</v>
      </c>
      <c r="AA646">
        <v>0.99989269999999997</v>
      </c>
      <c r="AB646">
        <v>34</v>
      </c>
      <c r="AC646">
        <v>16.1236</v>
      </c>
      <c r="AD646">
        <v>-1.1213309999999901</v>
      </c>
      <c r="AE646">
        <v>0.542399999999986</v>
      </c>
      <c r="AF646">
        <v>-0.240059730429146</v>
      </c>
      <c r="AG646">
        <v>-1.1213309999999901</v>
      </c>
      <c r="AH646">
        <v>16.053360608856401</v>
      </c>
      <c r="AI646">
        <v>93.995188525045805</v>
      </c>
      <c r="AJ646">
        <v>90.856729292569796</v>
      </c>
      <c r="AK646">
        <v>16.094266020037001</v>
      </c>
      <c r="AL646">
        <v>79.243365298205703</v>
      </c>
      <c r="AM646">
        <v>88.046284509020097</v>
      </c>
      <c r="AN646">
        <v>1.0000000002627301</v>
      </c>
    </row>
    <row r="647" spans="1:40" x14ac:dyDescent="0.25">
      <c r="A647" t="str">
        <f>"20190303162510966"</f>
        <v>20190303162510966</v>
      </c>
      <c r="B647" t="str">
        <f>"1551601510963366"</f>
        <v>1551601510963366</v>
      </c>
      <c r="C647" t="s">
        <v>40</v>
      </c>
      <c r="D647">
        <v>4.6936349999999996</v>
      </c>
      <c r="E647">
        <v>0.5132622</v>
      </c>
      <c r="F647" t="s">
        <v>42</v>
      </c>
      <c r="G647">
        <v>-299.27749999999997</v>
      </c>
      <c r="H647">
        <v>0.92577960000000004</v>
      </c>
      <c r="I647">
        <v>367.71550000000002</v>
      </c>
      <c r="J647">
        <v>-299.85599999999999</v>
      </c>
      <c r="K647">
        <v>1.0713239999999999</v>
      </c>
      <c r="L647">
        <v>367.73919999999998</v>
      </c>
      <c r="M647">
        <v>0.99971589999999999</v>
      </c>
      <c r="N647">
        <v>-1.464497E-2</v>
      </c>
      <c r="O647">
        <v>1.880511E-2</v>
      </c>
      <c r="P647">
        <v>0.98491589999999996</v>
      </c>
      <c r="Q647">
        <v>0.17233109999999999</v>
      </c>
      <c r="R647">
        <v>-1.558205E-2</v>
      </c>
      <c r="S647">
        <v>3.131195</v>
      </c>
      <c r="T647">
        <v>-0.49310510000000002</v>
      </c>
      <c r="U647">
        <v>-5.7800289999999997E-2</v>
      </c>
      <c r="V647">
        <v>3.4053680000000003E-2</v>
      </c>
      <c r="W647">
        <v>0.1867386</v>
      </c>
      <c r="X647">
        <v>0.98181929999999995</v>
      </c>
      <c r="Y647">
        <v>3.6573359999999999E-2</v>
      </c>
      <c r="Z647">
        <v>-5.8007809999999996E-3</v>
      </c>
      <c r="AA647">
        <v>0.99931409999999998</v>
      </c>
      <c r="AB647">
        <v>34</v>
      </c>
      <c r="AC647">
        <v>0.578500000000019</v>
      </c>
      <c r="AD647">
        <v>-0.14554439999999899</v>
      </c>
      <c r="AE647">
        <v>-2.3699999999962501E-2</v>
      </c>
      <c r="AF647">
        <v>3.2520711386031999E-2</v>
      </c>
      <c r="AG647">
        <v>-0.14554439999999899</v>
      </c>
      <c r="AH647">
        <v>0.54360119019172903</v>
      </c>
      <c r="AI647">
        <v>104.96332737413</v>
      </c>
      <c r="AJ647">
        <v>86.576384672968402</v>
      </c>
      <c r="AK647">
        <v>0.56368699028652303</v>
      </c>
      <c r="AL647">
        <v>79.237487048570799</v>
      </c>
      <c r="AM647">
        <v>88.013534361837401</v>
      </c>
      <c r="AN647">
        <v>1.0000000478519899</v>
      </c>
    </row>
    <row r="648" spans="1:40" x14ac:dyDescent="0.25">
      <c r="A648" t="str">
        <f>"20190303162510989"</f>
        <v>20190303162510989</v>
      </c>
      <c r="B648" t="str">
        <f>"1551601510983862"</f>
        <v>1551601510983862</v>
      </c>
      <c r="C648" t="s">
        <v>40</v>
      </c>
      <c r="D648">
        <v>4.6555239999999998</v>
      </c>
      <c r="E648">
        <v>0.51684620000000003</v>
      </c>
      <c r="F648" t="s">
        <v>42</v>
      </c>
      <c r="G648">
        <v>-298.9973</v>
      </c>
      <c r="H648">
        <v>0.87524120000000005</v>
      </c>
      <c r="I648">
        <v>367.6968</v>
      </c>
      <c r="J648">
        <v>-299.5025</v>
      </c>
      <c r="K648">
        <v>1.0713200000000001</v>
      </c>
      <c r="L648">
        <v>367.74599999999998</v>
      </c>
      <c r="M648">
        <v>0.99971350000000003</v>
      </c>
      <c r="N648">
        <v>-1.463574E-2</v>
      </c>
      <c r="O648">
        <v>1.894088E-2</v>
      </c>
      <c r="P648">
        <v>0.98500909999999997</v>
      </c>
      <c r="Q648">
        <v>0.17175679999999999</v>
      </c>
      <c r="R648">
        <v>-1.6029979999999999E-2</v>
      </c>
      <c r="S648">
        <v>3.1701350000000001</v>
      </c>
      <c r="T648">
        <v>-0.72396249999999995</v>
      </c>
      <c r="U648">
        <v>-0.15490719999999999</v>
      </c>
      <c r="V648">
        <v>3.4637439999999999E-2</v>
      </c>
      <c r="W648">
        <v>0.18615670000000001</v>
      </c>
      <c r="X648">
        <v>0.98190929999999998</v>
      </c>
      <c r="Y648">
        <v>6.5498199999999895E-2</v>
      </c>
      <c r="Z648">
        <v>-1.186035E-2</v>
      </c>
      <c r="AA648">
        <v>0.99778219999999995</v>
      </c>
      <c r="AB648">
        <v>34</v>
      </c>
      <c r="AC648">
        <v>0.50520000000000198</v>
      </c>
      <c r="AD648">
        <v>-0.196078799999999</v>
      </c>
      <c r="AE648">
        <v>-4.9199999999984798E-2</v>
      </c>
      <c r="AF648">
        <v>5.1131192095247198E-2</v>
      </c>
      <c r="AG648">
        <v>-0.196078799999999</v>
      </c>
      <c r="AH648">
        <v>0.43871160621910599</v>
      </c>
      <c r="AI648">
        <v>113.93822507427301</v>
      </c>
      <c r="AJ648">
        <v>83.3522529750052</v>
      </c>
      <c r="AK648">
        <v>0.483248557210333</v>
      </c>
      <c r="AL648">
        <v>79.271421692746799</v>
      </c>
      <c r="AM648">
        <v>87.979694706058893</v>
      </c>
      <c r="AN648">
        <v>0.99999997131556595</v>
      </c>
    </row>
    <row r="649" spans="1:40" x14ac:dyDescent="0.25">
      <c r="A649" t="str">
        <f>"20190303162511011"</f>
        <v>20190303162511011</v>
      </c>
      <c r="B649" t="str">
        <f>"1551601511003382"</f>
        <v>1551601511003382</v>
      </c>
      <c r="C649" t="s">
        <v>40</v>
      </c>
      <c r="D649">
        <v>4.6269400000000003</v>
      </c>
      <c r="E649">
        <v>0.51903489999999997</v>
      </c>
      <c r="F649" t="s">
        <v>42</v>
      </c>
      <c r="G649">
        <v>-298.70100000000002</v>
      </c>
      <c r="H649">
        <v>0.85726059999999904</v>
      </c>
      <c r="I649">
        <v>367.69940000000003</v>
      </c>
      <c r="J649">
        <v>-299.16489999999999</v>
      </c>
      <c r="K649">
        <v>1.0713060000000001</v>
      </c>
      <c r="L649">
        <v>367.75259999999997</v>
      </c>
      <c r="M649">
        <v>0.99971120000000002</v>
      </c>
      <c r="N649">
        <v>-1.46275E-2</v>
      </c>
      <c r="O649">
        <v>1.9070509999999999E-2</v>
      </c>
      <c r="P649">
        <v>0.98512140000000004</v>
      </c>
      <c r="Q649">
        <v>0.17107849999999999</v>
      </c>
      <c r="R649">
        <v>-1.6381719999999999E-2</v>
      </c>
      <c r="S649">
        <v>3.191284</v>
      </c>
      <c r="T649">
        <v>-0.85226519999999995</v>
      </c>
      <c r="U649">
        <v>-0.18521119999999999</v>
      </c>
      <c r="V649">
        <v>3.5119240000000003E-2</v>
      </c>
      <c r="W649">
        <v>0.1854722</v>
      </c>
      <c r="X649">
        <v>0.9820217</v>
      </c>
      <c r="Y649">
        <v>7.3653930000000006E-2</v>
      </c>
      <c r="Z649">
        <v>-1.493441E-2</v>
      </c>
      <c r="AA649">
        <v>0.99717210000000001</v>
      </c>
      <c r="AB649">
        <v>34</v>
      </c>
      <c r="AC649">
        <v>0.46390000000002302</v>
      </c>
      <c r="AD649">
        <v>-0.214045399999999</v>
      </c>
      <c r="AE649">
        <v>-5.3199999999946998E-2</v>
      </c>
      <c r="AF649">
        <v>5.1265618990639798E-2</v>
      </c>
      <c r="AG649">
        <v>-0.214045399999999</v>
      </c>
      <c r="AH649">
        <v>0.38243894878620899</v>
      </c>
      <c r="AI649">
        <v>119.018156319292</v>
      </c>
      <c r="AJ649">
        <v>82.365063093280597</v>
      </c>
      <c r="AK649">
        <v>0.44125179489760002</v>
      </c>
      <c r="AL649">
        <v>79.311335628196801</v>
      </c>
      <c r="AM649">
        <v>87.951850684577806</v>
      </c>
      <c r="AN649">
        <v>0.99999995863095203</v>
      </c>
    </row>
    <row r="650" spans="1:40" x14ac:dyDescent="0.25">
      <c r="A650" t="str">
        <f>"20190303162511034"</f>
        <v>20190303162511034</v>
      </c>
      <c r="B650" t="str">
        <f>"1551601511022902"</f>
        <v>1551601511022902</v>
      </c>
      <c r="C650" t="s">
        <v>40</v>
      </c>
      <c r="D650">
        <v>4.5965530000000001</v>
      </c>
      <c r="E650">
        <v>0.52041139999999997</v>
      </c>
      <c r="F650" t="s">
        <v>42</v>
      </c>
      <c r="G650">
        <v>-298.399</v>
      </c>
      <c r="H650">
        <v>0.85195100000000001</v>
      </c>
      <c r="I650">
        <v>367.70350000000002</v>
      </c>
      <c r="J650">
        <v>-298.82679999999999</v>
      </c>
      <c r="K650">
        <v>1.0712999999999999</v>
      </c>
      <c r="L650">
        <v>367.75909999999999</v>
      </c>
      <c r="M650">
        <v>0.99970879999999995</v>
      </c>
      <c r="N650">
        <v>-1.461987E-2</v>
      </c>
      <c r="O650">
        <v>1.9200129999999999E-2</v>
      </c>
      <c r="P650">
        <v>0.98521420000000004</v>
      </c>
      <c r="Q650">
        <v>0.17054330000000001</v>
      </c>
      <c r="R650">
        <v>-1.637193E-2</v>
      </c>
      <c r="S650">
        <v>3.201111</v>
      </c>
      <c r="T650">
        <v>-0.91686610000000002</v>
      </c>
      <c r="U650">
        <v>-0.20382690000000001</v>
      </c>
      <c r="V650">
        <v>3.5239199999999998E-2</v>
      </c>
      <c r="W650">
        <v>0.18493100000000001</v>
      </c>
      <c r="X650">
        <v>0.98211950000000003</v>
      </c>
      <c r="Y650">
        <v>7.8683859999999994E-2</v>
      </c>
      <c r="Z650">
        <v>-1.6734599999999999E-2</v>
      </c>
      <c r="AA650">
        <v>0.99675919999999896</v>
      </c>
      <c r="AB650">
        <v>34</v>
      </c>
      <c r="AC650">
        <v>0.42779999999999002</v>
      </c>
      <c r="AD650">
        <v>-0.21934899999999899</v>
      </c>
      <c r="AE650">
        <v>-5.5599999999969799E-2</v>
      </c>
      <c r="AF650">
        <v>5.0697492428811802E-2</v>
      </c>
      <c r="AG650">
        <v>-0.21934899999999899</v>
      </c>
      <c r="AH650">
        <v>0.339008712080754</v>
      </c>
      <c r="AI650">
        <v>122.615770934696</v>
      </c>
      <c r="AJ650">
        <v>81.494660170017994</v>
      </c>
      <c r="AK650">
        <v>0.40695346958371198</v>
      </c>
      <c r="AL650">
        <v>79.342890361529797</v>
      </c>
      <c r="AM650">
        <v>87.945065099007095</v>
      </c>
      <c r="AN650">
        <v>0.99999999412894502</v>
      </c>
    </row>
    <row r="651" spans="1:40" x14ac:dyDescent="0.25">
      <c r="A651" t="str">
        <f>"20190303162511056"</f>
        <v>20190303162511056</v>
      </c>
      <c r="B651" t="str">
        <f>"1551601511043398"</f>
        <v>1551601511043398</v>
      </c>
      <c r="C651" t="s">
        <v>40</v>
      </c>
      <c r="D651">
        <v>4.5891780000000004</v>
      </c>
      <c r="E651">
        <v>0.52119219999999999</v>
      </c>
      <c r="F651" t="s">
        <v>42</v>
      </c>
      <c r="G651">
        <v>-298.09410000000003</v>
      </c>
      <c r="H651">
        <v>0.85413859999999997</v>
      </c>
      <c r="I651">
        <v>367.71030000000002</v>
      </c>
      <c r="J651">
        <v>-298.49160000000001</v>
      </c>
      <c r="K651">
        <v>1.071302</v>
      </c>
      <c r="L651">
        <v>367.76569999999998</v>
      </c>
      <c r="M651">
        <v>0.9997064</v>
      </c>
      <c r="N651">
        <v>-1.4612719999999999E-2</v>
      </c>
      <c r="O651">
        <v>1.9328209999999998E-2</v>
      </c>
      <c r="P651">
        <v>0.98525070000000003</v>
      </c>
      <c r="Q651">
        <v>0.17031940000000001</v>
      </c>
      <c r="R651">
        <v>-1.6513110000000001E-2</v>
      </c>
      <c r="S651">
        <v>3.205994</v>
      </c>
      <c r="T651">
        <v>-0.95020570000000004</v>
      </c>
      <c r="U651">
        <v>-0.21392820000000001</v>
      </c>
      <c r="V651">
        <v>3.5507299999999999E-2</v>
      </c>
      <c r="W651">
        <v>0.1847009</v>
      </c>
      <c r="X651">
        <v>0.98215319999999995</v>
      </c>
      <c r="Y651">
        <v>8.143881E-2</v>
      </c>
      <c r="Z651">
        <v>-1.7737389999999999E-2</v>
      </c>
      <c r="AA651">
        <v>0.99652050000000003</v>
      </c>
      <c r="AB651">
        <v>34</v>
      </c>
      <c r="AC651">
        <v>0.39749999999997898</v>
      </c>
      <c r="AD651">
        <v>-0.21716339999999901</v>
      </c>
      <c r="AE651">
        <v>-5.5399999999963201E-2</v>
      </c>
      <c r="AF651">
        <v>4.8788925114358603E-2</v>
      </c>
      <c r="AG651">
        <v>-0.21716339999999901</v>
      </c>
      <c r="AH651">
        <v>0.30659067355073999</v>
      </c>
      <c r="AI651">
        <v>124.973378040443</v>
      </c>
      <c r="AJ651">
        <v>80.958122924967896</v>
      </c>
      <c r="AK651">
        <v>0.37886427994952399</v>
      </c>
      <c r="AL651">
        <v>79.356305812877494</v>
      </c>
      <c r="AM651">
        <v>87.929515685034801</v>
      </c>
      <c r="AN651">
        <v>1.0000000495421599</v>
      </c>
    </row>
    <row r="652" spans="1:40" x14ac:dyDescent="0.25">
      <c r="A652" t="str">
        <f>"20190303162511079"</f>
        <v>20190303162511079</v>
      </c>
      <c r="B652" t="str">
        <f>"1551601511073654"</f>
        <v>1551601511073654</v>
      </c>
      <c r="C652" t="s">
        <v>40</v>
      </c>
      <c r="D652">
        <v>4.5001730000000002</v>
      </c>
      <c r="E652">
        <v>0.52208390000000005</v>
      </c>
      <c r="F652" t="s">
        <v>42</v>
      </c>
      <c r="G652">
        <v>-297.78829999999999</v>
      </c>
      <c r="H652">
        <v>0.858869199999999</v>
      </c>
      <c r="I652">
        <v>367.71719999999999</v>
      </c>
      <c r="J652">
        <v>-298.14249999999998</v>
      </c>
      <c r="K652">
        <v>1.0713029999999999</v>
      </c>
      <c r="L652">
        <v>367.77260000000001</v>
      </c>
      <c r="M652">
        <v>0.99970409999999998</v>
      </c>
      <c r="N652">
        <v>-1.46058E-2</v>
      </c>
      <c r="O652">
        <v>1.9461470000000002E-2</v>
      </c>
      <c r="P652">
        <v>0.98521780000000003</v>
      </c>
      <c r="Q652">
        <v>0.1705469</v>
      </c>
      <c r="R652">
        <v>-1.6128110000000001E-2</v>
      </c>
      <c r="S652">
        <v>3.208771</v>
      </c>
      <c r="T652">
        <v>-0.96916100000000005</v>
      </c>
      <c r="U652">
        <v>-0.22012329999999999</v>
      </c>
      <c r="V652">
        <v>3.5252859999999997E-2</v>
      </c>
      <c r="W652">
        <v>0.18492059999999999</v>
      </c>
      <c r="X652">
        <v>0.98212100000000002</v>
      </c>
      <c r="Y652">
        <v>8.3178779999999994E-2</v>
      </c>
      <c r="Z652">
        <v>-1.836198E-2</v>
      </c>
      <c r="AA652">
        <v>0.99636550000000002</v>
      </c>
      <c r="AB652">
        <v>34</v>
      </c>
      <c r="AC652">
        <v>0.35419999999999102</v>
      </c>
      <c r="AD652">
        <v>-0.21243380000000001</v>
      </c>
      <c r="AE652">
        <v>-5.54000000000201E-2</v>
      </c>
      <c r="AF652">
        <v>4.6097732083566698E-2</v>
      </c>
      <c r="AG652">
        <v>-0.21243380000000001</v>
      </c>
      <c r="AH652">
        <v>0.26130547317464498</v>
      </c>
      <c r="AI652">
        <v>128.68105882126201</v>
      </c>
      <c r="AJ652">
        <v>79.995209584842797</v>
      </c>
      <c r="AK652">
        <v>0.33990244276367498</v>
      </c>
      <c r="AL652">
        <v>79.343497034057194</v>
      </c>
      <c r="AM652">
        <v>87.944272351598698</v>
      </c>
      <c r="AN652">
        <v>1.00000002554176</v>
      </c>
    </row>
    <row r="653" spans="1:40" x14ac:dyDescent="0.25">
      <c r="A653" t="str">
        <f>"20190303162511100"</f>
        <v>20190303162511100</v>
      </c>
      <c r="B653" t="str">
        <f>"1551601511093174"</f>
        <v>1551601511093174</v>
      </c>
      <c r="C653" t="s">
        <v>40</v>
      </c>
      <c r="D653">
        <v>4.5213299999999998</v>
      </c>
      <c r="E653">
        <v>0.52266709999999905</v>
      </c>
      <c r="F653" t="s">
        <v>42</v>
      </c>
      <c r="G653">
        <v>-297.21190000000001</v>
      </c>
      <c r="H653">
        <v>0.78491339999999998</v>
      </c>
      <c r="I653">
        <v>367.70690000000002</v>
      </c>
      <c r="J653">
        <v>-297.8141</v>
      </c>
      <c r="K653">
        <v>1.071305</v>
      </c>
      <c r="L653">
        <v>367.77910000000003</v>
      </c>
      <c r="M653">
        <v>0.99970170000000003</v>
      </c>
      <c r="N653">
        <v>-1.459971E-2</v>
      </c>
      <c r="O653">
        <v>1.9587029999999998E-2</v>
      </c>
      <c r="P653">
        <v>0.98523930000000004</v>
      </c>
      <c r="Q653">
        <v>0.17037840000000001</v>
      </c>
      <c r="R653">
        <v>-1.658517E-2</v>
      </c>
      <c r="S653">
        <v>3.2124329999999999</v>
      </c>
      <c r="T653">
        <v>-0.9885832</v>
      </c>
      <c r="U653">
        <v>-0.22595209999999999</v>
      </c>
      <c r="V653">
        <v>3.5834169999999999E-2</v>
      </c>
      <c r="W653">
        <v>0.1847463</v>
      </c>
      <c r="X653">
        <v>0.98213269999999997</v>
      </c>
      <c r="Y653">
        <v>8.4771659999999999E-2</v>
      </c>
      <c r="Z653">
        <v>-1.8973980000000001E-2</v>
      </c>
      <c r="AA653">
        <v>0.99621979999999999</v>
      </c>
      <c r="AB653">
        <v>34</v>
      </c>
      <c r="AC653">
        <v>0.60219999999998197</v>
      </c>
      <c r="AD653">
        <v>-0.28639160000000002</v>
      </c>
      <c r="AE653">
        <v>-7.2200000000009298E-2</v>
      </c>
      <c r="AF653">
        <v>6.8671277494957397E-2</v>
      </c>
      <c r="AG653">
        <v>-0.28639160000000002</v>
      </c>
      <c r="AH653">
        <v>0.49115804352257603</v>
      </c>
      <c r="AI653">
        <v>120.00547030002799</v>
      </c>
      <c r="AJ653">
        <v>82.040784038598304</v>
      </c>
      <c r="AK653">
        <v>0.57268849876723904</v>
      </c>
      <c r="AL653">
        <v>79.353658089423604</v>
      </c>
      <c r="AM653">
        <v>87.910428644147402</v>
      </c>
      <c r="AN653">
        <v>0.99999996175628303</v>
      </c>
    </row>
    <row r="654" spans="1:40" x14ac:dyDescent="0.25">
      <c r="A654" t="str">
        <f>"20190303162511121"</f>
        <v>20190303162511121</v>
      </c>
      <c r="B654" t="str">
        <f>"1551601511113670"</f>
        <v>1551601511113670</v>
      </c>
      <c r="C654" t="s">
        <v>40</v>
      </c>
      <c r="D654">
        <v>4.5173719999999999</v>
      </c>
      <c r="E654">
        <v>0.52322579999999996</v>
      </c>
      <c r="F654" t="s">
        <v>42</v>
      </c>
      <c r="G654">
        <v>-296.9074</v>
      </c>
      <c r="H654">
        <v>0.78972540000000002</v>
      </c>
      <c r="I654">
        <v>367.71339999999998</v>
      </c>
      <c r="J654">
        <v>-297.48779999999999</v>
      </c>
      <c r="K654">
        <v>1.071305</v>
      </c>
      <c r="L654">
        <v>367.78559999999999</v>
      </c>
      <c r="M654">
        <v>0.99969909999999995</v>
      </c>
      <c r="N654">
        <v>-1.459393E-2</v>
      </c>
      <c r="O654">
        <v>1.9712400000000001E-2</v>
      </c>
      <c r="P654">
        <v>0.98532439999999999</v>
      </c>
      <c r="Q654">
        <v>0.16988729999999999</v>
      </c>
      <c r="R654">
        <v>-1.6549330000000001E-2</v>
      </c>
      <c r="S654">
        <v>3.2135929999999999</v>
      </c>
      <c r="T654">
        <v>-0.99805270000000001</v>
      </c>
      <c r="U654">
        <v>-0.2321472</v>
      </c>
      <c r="V654">
        <v>3.592389E-2</v>
      </c>
      <c r="W654">
        <v>0.1842509</v>
      </c>
      <c r="X654">
        <v>0.9822225</v>
      </c>
      <c r="Y654">
        <v>8.6599380000000004E-2</v>
      </c>
      <c r="Z654">
        <v>-1.9463850000000001E-2</v>
      </c>
      <c r="AA654">
        <v>0.99605299999999997</v>
      </c>
      <c r="AB654">
        <v>34</v>
      </c>
      <c r="AC654">
        <v>0.58039999999999703</v>
      </c>
      <c r="AD654">
        <v>-0.28157959999999899</v>
      </c>
      <c r="AE654">
        <v>-7.2200000000009298E-2</v>
      </c>
      <c r="AF654">
        <v>6.7892133519557196E-2</v>
      </c>
      <c r="AG654">
        <v>-0.28157959999999899</v>
      </c>
      <c r="AH654">
        <v>0.46994039109586</v>
      </c>
      <c r="AI654">
        <v>120.668993330917</v>
      </c>
      <c r="AJ654">
        <v>81.779374941751698</v>
      </c>
      <c r="AK654">
        <v>0.55203295564062804</v>
      </c>
      <c r="AL654">
        <v>79.382538404986207</v>
      </c>
      <c r="AM654">
        <v>87.905392870600494</v>
      </c>
      <c r="AN654">
        <v>0.99999997976489496</v>
      </c>
    </row>
    <row r="655" spans="1:40" x14ac:dyDescent="0.25">
      <c r="A655" t="str">
        <f>"20190303162511144"</f>
        <v>20190303162511144</v>
      </c>
      <c r="B655" t="str">
        <f>"1551601511133190"</f>
        <v>1551601511133190</v>
      </c>
      <c r="C655" t="s">
        <v>40</v>
      </c>
      <c r="D655">
        <v>4.4915929999999999</v>
      </c>
      <c r="E655">
        <v>0.52395700000000001</v>
      </c>
      <c r="F655" t="s">
        <v>42</v>
      </c>
      <c r="G655">
        <v>-296.60320000000002</v>
      </c>
      <c r="H655">
        <v>0.79468300000000003</v>
      </c>
      <c r="I655">
        <v>367.7201</v>
      </c>
      <c r="J655">
        <v>-297.14670000000001</v>
      </c>
      <c r="K655">
        <v>1.07131</v>
      </c>
      <c r="L655">
        <v>367.79250000000002</v>
      </c>
      <c r="M655">
        <v>0.99969669999999999</v>
      </c>
      <c r="N655">
        <v>-1.458812E-2</v>
      </c>
      <c r="O655">
        <v>1.9843320000000001E-2</v>
      </c>
      <c r="P655">
        <v>0.98522310000000002</v>
      </c>
      <c r="Q655">
        <v>0.17045289999999999</v>
      </c>
      <c r="R655">
        <v>-1.6770690000000001E-2</v>
      </c>
      <c r="S655">
        <v>3.2140499999999999</v>
      </c>
      <c r="T655">
        <v>-1.00512</v>
      </c>
      <c r="U655">
        <v>-0.2366943</v>
      </c>
      <c r="V655">
        <v>3.6272190000000003E-2</v>
      </c>
      <c r="W655">
        <v>0.1848091</v>
      </c>
      <c r="X655">
        <v>0.9821048</v>
      </c>
      <c r="Y655">
        <v>8.7978680000000004E-2</v>
      </c>
      <c r="Z655">
        <v>-1.984841E-2</v>
      </c>
      <c r="AA655">
        <v>0.99592460000000005</v>
      </c>
      <c r="AB655">
        <v>34</v>
      </c>
      <c r="AC655">
        <v>0.54349999999999399</v>
      </c>
      <c r="AD655">
        <v>-0.27662700000000001</v>
      </c>
      <c r="AE655">
        <v>-7.2400000000015993E-2</v>
      </c>
      <c r="AF655">
        <v>6.6296752821260005E-2</v>
      </c>
      <c r="AG655">
        <v>-0.27662700000000001</v>
      </c>
      <c r="AH655">
        <v>0.431996926250721</v>
      </c>
      <c r="AI655">
        <v>122.331145246291</v>
      </c>
      <c r="AJ655">
        <v>81.275127884593402</v>
      </c>
      <c r="AK655">
        <v>0.51724182048024103</v>
      </c>
      <c r="AL655">
        <v>79.349996814856894</v>
      </c>
      <c r="AM655">
        <v>87.8848497357871</v>
      </c>
      <c r="AN655">
        <v>0.99999995669662201</v>
      </c>
    </row>
    <row r="656" spans="1:40" x14ac:dyDescent="0.25">
      <c r="A656" t="str">
        <f>"20190303162511169"</f>
        <v>20190303162511169</v>
      </c>
      <c r="B656" t="str">
        <f>"1551601511163446"</f>
        <v>1551601511163446</v>
      </c>
      <c r="C656" t="s">
        <v>40</v>
      </c>
      <c r="D656">
        <v>4.4684059999999999</v>
      </c>
      <c r="E656">
        <v>0.52477039999999997</v>
      </c>
      <c r="F656" t="s">
        <v>42</v>
      </c>
      <c r="G656">
        <v>-296.29750000000001</v>
      </c>
      <c r="H656">
        <v>0.80443640000000005</v>
      </c>
      <c r="I656">
        <v>367.7285</v>
      </c>
      <c r="J656">
        <v>-296.78140000000002</v>
      </c>
      <c r="K656">
        <v>1.071312</v>
      </c>
      <c r="L656">
        <v>367.79989999999998</v>
      </c>
      <c r="M656">
        <v>0.99969399999999997</v>
      </c>
      <c r="N656">
        <v>-1.4582299999999901E-2</v>
      </c>
      <c r="O656">
        <v>1.9984020000000002E-2</v>
      </c>
      <c r="P656">
        <v>0.98515900000000001</v>
      </c>
      <c r="Q656">
        <v>0.170820899999999</v>
      </c>
      <c r="R656">
        <v>-1.678727E-2</v>
      </c>
      <c r="S656">
        <v>3.2156980000000002</v>
      </c>
      <c r="T656">
        <v>-1.0105569999999999</v>
      </c>
      <c r="U656">
        <v>-0.24249270000000001</v>
      </c>
      <c r="V656">
        <v>3.6426229999999997E-2</v>
      </c>
      <c r="W656">
        <v>0.18517</v>
      </c>
      <c r="X656">
        <v>0.98203119999999999</v>
      </c>
      <c r="Y656">
        <v>8.9724230000000002E-2</v>
      </c>
      <c r="Z656">
        <v>-2.0259940000000001E-2</v>
      </c>
      <c r="AA656">
        <v>0.9957606</v>
      </c>
      <c r="AB656">
        <v>34</v>
      </c>
      <c r="AC656">
        <v>0.48390000000000499</v>
      </c>
      <c r="AD656">
        <v>-0.26687559999999999</v>
      </c>
      <c r="AE656">
        <v>-7.1399999999982797E-2</v>
      </c>
      <c r="AF656">
        <v>6.2462933806381002E-2</v>
      </c>
      <c r="AG656">
        <v>-0.26687559999999999</v>
      </c>
      <c r="AH656">
        <v>0.37172148680981398</v>
      </c>
      <c r="AI656">
        <v>125.299206603827</v>
      </c>
      <c r="AJ656">
        <v>80.461306949118807</v>
      </c>
      <c r="AK656">
        <v>0.46184528549197001</v>
      </c>
      <c r="AL656">
        <v>79.328956488626005</v>
      </c>
      <c r="AM656">
        <v>87.875716319130305</v>
      </c>
      <c r="AN656">
        <v>1.0000000384527199</v>
      </c>
    </row>
    <row r="657" spans="1:40" x14ac:dyDescent="0.25">
      <c r="A657" t="str">
        <f>"20190303162511189"</f>
        <v>20190303162511189</v>
      </c>
      <c r="B657" t="str">
        <f>"1551601511182978"</f>
        <v>1551601511182978</v>
      </c>
      <c r="C657" t="s">
        <v>40</v>
      </c>
      <c r="D657">
        <v>4.4590300000000003</v>
      </c>
      <c r="E657">
        <v>0.52518609999999999</v>
      </c>
      <c r="F657" t="s">
        <v>42</v>
      </c>
      <c r="G657">
        <v>-295.98939999999999</v>
      </c>
      <c r="H657">
        <v>0.8208742</v>
      </c>
      <c r="I657">
        <v>367.738</v>
      </c>
      <c r="J657">
        <v>-296.4579</v>
      </c>
      <c r="K657">
        <v>1.071315</v>
      </c>
      <c r="L657">
        <v>367.8064</v>
      </c>
      <c r="M657">
        <v>0.99969149999999996</v>
      </c>
      <c r="N657">
        <v>-1.4577390000000001E-2</v>
      </c>
      <c r="O657">
        <v>2.0108379999999999E-2</v>
      </c>
      <c r="P657">
        <v>0.98514469999999998</v>
      </c>
      <c r="Q657">
        <v>0.17095829999999901</v>
      </c>
      <c r="R657">
        <v>-1.6233350000000001E-2</v>
      </c>
      <c r="S657">
        <v>3.217346</v>
      </c>
      <c r="T657">
        <v>-1.017388</v>
      </c>
      <c r="U657">
        <v>-0.2499084</v>
      </c>
      <c r="V657">
        <v>3.599463E-2</v>
      </c>
      <c r="W657">
        <v>0.18530260000000001</v>
      </c>
      <c r="X657">
        <v>0.98202199999999995</v>
      </c>
      <c r="Y657">
        <v>9.1910409999999998E-2</v>
      </c>
      <c r="Z657">
        <v>-2.076681E-2</v>
      </c>
      <c r="AA657">
        <v>0.99555070000000001</v>
      </c>
      <c r="AB657">
        <v>34</v>
      </c>
      <c r="AC657">
        <v>0.46850000000000502</v>
      </c>
      <c r="AD657">
        <v>-0.25044079999999902</v>
      </c>
      <c r="AE657">
        <v>-6.8399999999939995E-2</v>
      </c>
      <c r="AF657">
        <v>6.0797464344725799E-2</v>
      </c>
      <c r="AG657">
        <v>-0.25044079999999902</v>
      </c>
      <c r="AH657">
        <v>0.36492701739092598</v>
      </c>
      <c r="AI657">
        <v>124.095878672872</v>
      </c>
      <c r="AJ657">
        <v>80.5412991041417</v>
      </c>
      <c r="AK657">
        <v>0.44675345997230398</v>
      </c>
      <c r="AL657">
        <v>79.321224183852607</v>
      </c>
      <c r="AM657">
        <v>87.900843817056398</v>
      </c>
      <c r="AN657">
        <v>0.99999993771979601</v>
      </c>
    </row>
    <row r="658" spans="1:40" x14ac:dyDescent="0.25">
      <c r="A658" t="str">
        <f>"20190303162511211"</f>
        <v>20190303162511211</v>
      </c>
      <c r="B658" t="str">
        <f>"1551601511203462"</f>
        <v>1551601511203462</v>
      </c>
      <c r="C658" t="s">
        <v>40</v>
      </c>
      <c r="D658">
        <v>4.5255839999999896</v>
      </c>
      <c r="E658">
        <v>0.52546250000000005</v>
      </c>
      <c r="F658" t="s">
        <v>42</v>
      </c>
      <c r="G658">
        <v>-295.68599999999998</v>
      </c>
      <c r="H658">
        <v>0.82636239999999905</v>
      </c>
      <c r="I658">
        <v>367.74599999999998</v>
      </c>
      <c r="J658">
        <v>-296.13670000000002</v>
      </c>
      <c r="K658">
        <v>1.0713170000000001</v>
      </c>
      <c r="L658">
        <v>367.81299999999999</v>
      </c>
      <c r="M658">
        <v>0.99968919999999994</v>
      </c>
      <c r="N658">
        <v>-1.4572689999999999E-2</v>
      </c>
      <c r="O658">
        <v>2.023237E-2</v>
      </c>
      <c r="P658">
        <v>0.98517619999999895</v>
      </c>
      <c r="Q658">
        <v>0.1708056</v>
      </c>
      <c r="R658">
        <v>-1.591484E-2</v>
      </c>
      <c r="S658">
        <v>3.218353</v>
      </c>
      <c r="T658">
        <v>-1.021306</v>
      </c>
      <c r="U658">
        <v>-0.25167850000000003</v>
      </c>
      <c r="V658">
        <v>3.5799270000000001E-2</v>
      </c>
      <c r="W658">
        <v>0.18514559999999999</v>
      </c>
      <c r="X658">
        <v>0.98205880000000001</v>
      </c>
      <c r="Y658">
        <v>9.248141E-2</v>
      </c>
      <c r="Z658">
        <v>-2.096431E-2</v>
      </c>
      <c r="AA658">
        <v>0.99549370000000004</v>
      </c>
      <c r="AB658">
        <v>34</v>
      </c>
      <c r="AC658">
        <v>0.45070000000004001</v>
      </c>
      <c r="AD658">
        <v>-0.24495459999999999</v>
      </c>
      <c r="AE658">
        <v>-6.7000000000064105E-2</v>
      </c>
      <c r="AF658">
        <v>5.9042492917378703E-2</v>
      </c>
      <c r="AG658">
        <v>-0.24495459999999999</v>
      </c>
      <c r="AH658">
        <v>0.34852660758517701</v>
      </c>
      <c r="AI658">
        <v>124.7202543667</v>
      </c>
      <c r="AJ658">
        <v>80.385036562764398</v>
      </c>
      <c r="AK658">
        <v>0.43006925980112898</v>
      </c>
      <c r="AL658">
        <v>79.330378514303703</v>
      </c>
      <c r="AM658">
        <v>87.912304992125797</v>
      </c>
      <c r="AN658">
        <v>0.99999998379466604</v>
      </c>
    </row>
    <row r="659" spans="1:40" x14ac:dyDescent="0.25">
      <c r="A659" t="str">
        <f>"20190303162511234"</f>
        <v>20190303162511234</v>
      </c>
      <c r="B659" t="str">
        <f>"1551601511222982"</f>
        <v>1551601511222982</v>
      </c>
      <c r="C659" t="s">
        <v>40</v>
      </c>
      <c r="D659">
        <v>4.502745</v>
      </c>
      <c r="E659">
        <v>0.52567010000000003</v>
      </c>
      <c r="F659" t="s">
        <v>42</v>
      </c>
      <c r="G659">
        <v>-295.38319999999999</v>
      </c>
      <c r="H659">
        <v>0.83125579999999999</v>
      </c>
      <c r="I659">
        <v>367.75369999999998</v>
      </c>
      <c r="J659">
        <v>-295.78899999999999</v>
      </c>
      <c r="K659">
        <v>1.071315</v>
      </c>
      <c r="L659">
        <v>367.82029999999997</v>
      </c>
      <c r="M659">
        <v>0.99968650000000003</v>
      </c>
      <c r="N659">
        <v>-1.4567750000000001E-2</v>
      </c>
      <c r="O659">
        <v>2.0366390000000002E-2</v>
      </c>
      <c r="P659">
        <v>0.98510940000000002</v>
      </c>
      <c r="Q659">
        <v>0.17120529999999901</v>
      </c>
      <c r="R659">
        <v>-1.5757190000000001E-2</v>
      </c>
      <c r="S659">
        <v>3.2188720000000002</v>
      </c>
      <c r="T659">
        <v>-1.0255069999999999</v>
      </c>
      <c r="U659">
        <v>-0.25213619999999998</v>
      </c>
      <c r="V659">
        <v>3.5772270000000002E-2</v>
      </c>
      <c r="W659">
        <v>0.18553919999999999</v>
      </c>
      <c r="X659">
        <v>0.98198549999999996</v>
      </c>
      <c r="Y659">
        <v>9.2683520000000005E-2</v>
      </c>
      <c r="Z659">
        <v>-2.1114299999999999E-2</v>
      </c>
      <c r="AA659">
        <v>0.99547169999999896</v>
      </c>
      <c r="AB659">
        <v>34</v>
      </c>
      <c r="AC659">
        <v>0.40579999999999899</v>
      </c>
      <c r="AD659">
        <v>-0.240059199999999</v>
      </c>
      <c r="AE659">
        <v>-6.6599999999993997E-2</v>
      </c>
      <c r="AF659">
        <v>5.5827162877434097E-2</v>
      </c>
      <c r="AG659">
        <v>-0.240059199999999</v>
      </c>
      <c r="AH659">
        <v>0.30158591380446997</v>
      </c>
      <c r="AI659">
        <v>128.05001459884599</v>
      </c>
      <c r="AJ659">
        <v>79.512578827332206</v>
      </c>
      <c r="AK659">
        <v>0.38948575715276201</v>
      </c>
      <c r="AL659">
        <v>79.307429301699202</v>
      </c>
      <c r="AM659">
        <v>87.913722570793496</v>
      </c>
      <c r="AN659">
        <v>0.99999998612392105</v>
      </c>
    </row>
    <row r="660" spans="1:40" x14ac:dyDescent="0.25">
      <c r="A660" t="str">
        <f>"20190303162511257"</f>
        <v>20190303162511257</v>
      </c>
      <c r="B660" t="str">
        <f>"1551601511243478"</f>
        <v>1551601511243478</v>
      </c>
      <c r="C660" t="s">
        <v>40</v>
      </c>
      <c r="D660">
        <v>4.5220459999999996</v>
      </c>
      <c r="E660">
        <v>0.52591089999999996</v>
      </c>
      <c r="F660" t="s">
        <v>42</v>
      </c>
      <c r="G660">
        <v>-295.07749999999999</v>
      </c>
      <c r="H660">
        <v>0.84446239999999995</v>
      </c>
      <c r="I660">
        <v>367.76409999999998</v>
      </c>
      <c r="J660">
        <v>-295.44920000000002</v>
      </c>
      <c r="K660">
        <v>1.071315</v>
      </c>
      <c r="L660">
        <v>367.82729999999998</v>
      </c>
      <c r="M660">
        <v>0.99968389999999996</v>
      </c>
      <c r="N660">
        <v>-1.456326E-2</v>
      </c>
      <c r="O660">
        <v>2.049724E-2</v>
      </c>
      <c r="P660">
        <v>0.98513680000000003</v>
      </c>
      <c r="Q660">
        <v>0.17109250000000001</v>
      </c>
      <c r="R660">
        <v>-1.5270540000000001E-2</v>
      </c>
      <c r="S660">
        <v>3.2197269999999998</v>
      </c>
      <c r="T660">
        <v>-1.0266980000000001</v>
      </c>
      <c r="U660">
        <v>-0.25299070000000001</v>
      </c>
      <c r="V660">
        <v>3.5415189999999999E-2</v>
      </c>
      <c r="W660">
        <v>0.18542249999999999</v>
      </c>
      <c r="X660">
        <v>0.98202049999999996</v>
      </c>
      <c r="Y660">
        <v>9.3022670000000002E-2</v>
      </c>
      <c r="Z660">
        <v>-2.122574E-2</v>
      </c>
      <c r="AA660">
        <v>0.99543769999999998</v>
      </c>
      <c r="AB660">
        <v>34</v>
      </c>
      <c r="AC660">
        <v>0.371700000000032</v>
      </c>
      <c r="AD660">
        <v>-0.22685259999999999</v>
      </c>
      <c r="AE660">
        <v>-6.3199999999994802E-2</v>
      </c>
      <c r="AF660">
        <v>5.1986519707063798E-2</v>
      </c>
      <c r="AG660">
        <v>-0.22685259999999999</v>
      </c>
      <c r="AH660">
        <v>0.27189618917011998</v>
      </c>
      <c r="AI660">
        <v>129.33429557134599</v>
      </c>
      <c r="AJ660">
        <v>79.175694615163394</v>
      </c>
      <c r="AK660">
        <v>0.35789975976975302</v>
      </c>
      <c r="AL660">
        <v>79.314233950319306</v>
      </c>
      <c r="AM660">
        <v>87.934603284949304</v>
      </c>
      <c r="AN660">
        <v>1.0000000008046099</v>
      </c>
    </row>
    <row r="661" spans="1:40" x14ac:dyDescent="0.25">
      <c r="A661" t="str">
        <f>"20190303162511280"</f>
        <v>20190303162511280</v>
      </c>
      <c r="B661" t="str">
        <f>"1551601511273733"</f>
        <v>1551601511273733</v>
      </c>
      <c r="C661" t="s">
        <v>40</v>
      </c>
      <c r="D661">
        <v>4.5304699999999896</v>
      </c>
      <c r="E661">
        <v>0.5262886</v>
      </c>
      <c r="F661" t="s">
        <v>42</v>
      </c>
      <c r="G661">
        <v>-294.77289999999999</v>
      </c>
      <c r="H661">
        <v>0.8551223</v>
      </c>
      <c r="I661">
        <v>367.77390000000003</v>
      </c>
      <c r="J661">
        <v>-295.11939999999998</v>
      </c>
      <c r="K661">
        <v>1.071312</v>
      </c>
      <c r="L661">
        <v>367.83420000000001</v>
      </c>
      <c r="M661">
        <v>0.99968140000000005</v>
      </c>
      <c r="N661">
        <v>-1.455888E-2</v>
      </c>
      <c r="O661">
        <v>2.0624219999999999E-2</v>
      </c>
      <c r="P661">
        <v>0.98506579999999999</v>
      </c>
      <c r="Q661">
        <v>0.1714851</v>
      </c>
      <c r="R661">
        <v>-1.5439690000000001E-2</v>
      </c>
      <c r="S661">
        <v>3.2201230000000001</v>
      </c>
      <c r="T661">
        <v>-1.0294239999999999</v>
      </c>
      <c r="U661">
        <v>-0.25329590000000002</v>
      </c>
      <c r="V661">
        <v>3.5708240000000002E-2</v>
      </c>
      <c r="W661">
        <v>0.18580949999999999</v>
      </c>
      <c r="X661">
        <v>0.98193680000000005</v>
      </c>
      <c r="Y661">
        <v>9.3190770000000006E-2</v>
      </c>
      <c r="Z661">
        <v>-2.1341100000000002E-2</v>
      </c>
      <c r="AA661">
        <v>0.99541950000000001</v>
      </c>
      <c r="AB661">
        <v>34</v>
      </c>
      <c r="AC661">
        <v>0.34649999999999098</v>
      </c>
      <c r="AD661">
        <v>-0.21618970000000001</v>
      </c>
      <c r="AE661">
        <v>-6.0299999999983797E-2</v>
      </c>
      <c r="AF661">
        <v>4.8942037686315297E-2</v>
      </c>
      <c r="AG661">
        <v>-0.21618970000000001</v>
      </c>
      <c r="AH661">
        <v>0.25052466524665701</v>
      </c>
      <c r="AI661">
        <v>130.26251368583601</v>
      </c>
      <c r="AJ661">
        <v>78.946022989056004</v>
      </c>
      <c r="AK661">
        <v>0.33450847124688499</v>
      </c>
      <c r="AL661">
        <v>79.291669030651207</v>
      </c>
      <c r="AM661">
        <v>87.917350383772401</v>
      </c>
      <c r="AN661">
        <v>1.0000000639441899</v>
      </c>
    </row>
    <row r="662" spans="1:40" x14ac:dyDescent="0.25">
      <c r="A662" t="str">
        <f>"20190303162511301"</f>
        <v>20190303162511301</v>
      </c>
      <c r="B662" t="str">
        <f>"1551601511293254"</f>
        <v>1551601511293254</v>
      </c>
      <c r="C662" t="s">
        <v>40</v>
      </c>
      <c r="D662">
        <v>4.5472130000000002</v>
      </c>
      <c r="E662">
        <v>0.5265107</v>
      </c>
      <c r="F662" t="s">
        <v>42</v>
      </c>
      <c r="G662">
        <v>-294.20420000000001</v>
      </c>
      <c r="H662">
        <v>0.77827480000000004</v>
      </c>
      <c r="I662">
        <v>367.76089999999999</v>
      </c>
      <c r="J662">
        <v>-294.79309999999998</v>
      </c>
      <c r="K662">
        <v>1.071312</v>
      </c>
      <c r="L662">
        <v>367.84109999999998</v>
      </c>
      <c r="M662">
        <v>0.99967890000000004</v>
      </c>
      <c r="N662">
        <v>-1.4554610000000001E-2</v>
      </c>
      <c r="O662">
        <v>2.0749710000000001E-2</v>
      </c>
      <c r="P662">
        <v>0.98502279999999998</v>
      </c>
      <c r="Q662">
        <v>0.17173229999999901</v>
      </c>
      <c r="R662">
        <v>-1.5437269999999999E-2</v>
      </c>
      <c r="S662">
        <v>3.2210079999999999</v>
      </c>
      <c r="T662">
        <v>-1.0314509999999999</v>
      </c>
      <c r="U662">
        <v>-0.25689699999999999</v>
      </c>
      <c r="V662">
        <v>3.5828350000000002E-2</v>
      </c>
      <c r="W662">
        <v>0.1860522</v>
      </c>
      <c r="X662">
        <v>0.98188640000000005</v>
      </c>
      <c r="Y662">
        <v>9.4317399999999996E-2</v>
      </c>
      <c r="Z662">
        <v>-2.1595570000000001E-2</v>
      </c>
      <c r="AA662">
        <v>0.99530790000000002</v>
      </c>
      <c r="AB662">
        <v>34</v>
      </c>
      <c r="AC662">
        <v>0.58889999999996601</v>
      </c>
      <c r="AD662">
        <v>-0.2930372</v>
      </c>
      <c r="AE662">
        <v>-8.0199999999990695E-2</v>
      </c>
      <c r="AF662">
        <v>7.4333256583620499E-2</v>
      </c>
      <c r="AG662">
        <v>-0.2930372</v>
      </c>
      <c r="AH662">
        <v>0.47229490947170299</v>
      </c>
      <c r="AI662">
        <v>121.504514536754</v>
      </c>
      <c r="AJ662">
        <v>81.055738125608201</v>
      </c>
      <c r="AK662">
        <v>0.56076618579498005</v>
      </c>
      <c r="AL662">
        <v>79.277515842244995</v>
      </c>
      <c r="AM662">
        <v>87.910244114591094</v>
      </c>
      <c r="AN662">
        <v>0.99999999714676102</v>
      </c>
    </row>
    <row r="663" spans="1:40" x14ac:dyDescent="0.25">
      <c r="A663" t="str">
        <f>"20190303162511323"</f>
        <v>20190303162511323</v>
      </c>
      <c r="B663" t="str">
        <f>"1551601511312774"</f>
        <v>1551601511312774</v>
      </c>
      <c r="C663" t="s">
        <v>40</v>
      </c>
      <c r="D663">
        <v>4.5437409999999998</v>
      </c>
      <c r="E663">
        <v>0.52672759999999996</v>
      </c>
      <c r="F663" t="s">
        <v>42</v>
      </c>
      <c r="G663">
        <v>-293.90219999999999</v>
      </c>
      <c r="H663">
        <v>0.78584109999999996</v>
      </c>
      <c r="I663">
        <v>367.76960000000003</v>
      </c>
      <c r="J663">
        <v>-294.4665</v>
      </c>
      <c r="K663">
        <v>1.0713170000000001</v>
      </c>
      <c r="L663">
        <v>367.84800000000001</v>
      </c>
      <c r="M663">
        <v>0.99967620000000001</v>
      </c>
      <c r="N663">
        <v>-1.455041E-2</v>
      </c>
      <c r="O663">
        <v>2.0875020000000001E-2</v>
      </c>
      <c r="P663">
        <v>0.98492259999999998</v>
      </c>
      <c r="Q663">
        <v>0.17233329999999999</v>
      </c>
      <c r="R663">
        <v>-1.5128340000000001E-2</v>
      </c>
      <c r="S663">
        <v>3.221527</v>
      </c>
      <c r="T663">
        <v>-1.032254</v>
      </c>
      <c r="U663">
        <v>-0.258606</v>
      </c>
      <c r="V663">
        <v>3.5640600000000001E-2</v>
      </c>
      <c r="W663">
        <v>0.1866477</v>
      </c>
      <c r="X663">
        <v>0.98178019999999999</v>
      </c>
      <c r="Y663">
        <v>9.4910700000000001E-2</v>
      </c>
      <c r="Z663">
        <v>-2.174193E-2</v>
      </c>
      <c r="AA663">
        <v>0.99524829999999997</v>
      </c>
      <c r="AB663">
        <v>34</v>
      </c>
      <c r="AC663">
        <v>0.56430000000000202</v>
      </c>
      <c r="AD663">
        <v>-0.2854759</v>
      </c>
      <c r="AE663">
        <v>-7.8399999999987799E-2</v>
      </c>
      <c r="AF663">
        <v>7.2068758716781298E-2</v>
      </c>
      <c r="AG663">
        <v>-0.2854759</v>
      </c>
      <c r="AH663">
        <v>0.44964294286509598</v>
      </c>
      <c r="AI663">
        <v>122.083326541758</v>
      </c>
      <c r="AJ663">
        <v>80.894082900700695</v>
      </c>
      <c r="AK663">
        <v>0.53746550729527898</v>
      </c>
      <c r="AL663">
        <v>79.242787798400002</v>
      </c>
      <c r="AM663">
        <v>87.920960683368506</v>
      </c>
      <c r="AN663">
        <v>0.99999998869784401</v>
      </c>
    </row>
    <row r="664" spans="1:40" x14ac:dyDescent="0.25">
      <c r="A664" t="str">
        <f>"20190303162511339"</f>
        <v>20190303162511339</v>
      </c>
      <c r="B664" t="str">
        <f>"1551601511333270"</f>
        <v>1551601511333270</v>
      </c>
      <c r="C664" t="s">
        <v>40</v>
      </c>
      <c r="D664">
        <v>4.5477420000000004</v>
      </c>
      <c r="E664">
        <v>0.52930029999999995</v>
      </c>
      <c r="F664" t="s">
        <v>42</v>
      </c>
      <c r="G664">
        <v>-293.60019999999997</v>
      </c>
      <c r="H664">
        <v>0.79404830000000004</v>
      </c>
      <c r="I664">
        <v>367.77809999999999</v>
      </c>
      <c r="J664">
        <v>-294.2364</v>
      </c>
      <c r="K664">
        <v>1.0713189999999999</v>
      </c>
      <c r="L664">
        <v>367.85289999999998</v>
      </c>
      <c r="M664">
        <v>0.99967450000000002</v>
      </c>
      <c r="N664">
        <v>-1.454752E-2</v>
      </c>
      <c r="O664">
        <v>2.0963430000000002E-2</v>
      </c>
      <c r="P664">
        <v>0.98488419999999999</v>
      </c>
      <c r="Q664">
        <v>0.1725795</v>
      </c>
      <c r="R664">
        <v>-1.482313E-2</v>
      </c>
      <c r="S664">
        <v>3.2224430000000002</v>
      </c>
      <c r="T664">
        <v>-1.0313699999999999</v>
      </c>
      <c r="U664">
        <v>-0.2589417</v>
      </c>
      <c r="V664">
        <v>3.5421759999999997E-2</v>
      </c>
      <c r="W664">
        <v>0.18689030000000001</v>
      </c>
      <c r="X664">
        <v>0.981742</v>
      </c>
      <c r="Y664">
        <v>9.5079410000000003E-2</v>
      </c>
      <c r="Z664">
        <v>-2.1772440000000001E-2</v>
      </c>
      <c r="AA664">
        <v>0.99523159999999999</v>
      </c>
      <c r="AB664">
        <v>33</v>
      </c>
      <c r="AC664">
        <v>0.63620000000002996</v>
      </c>
      <c r="AD664">
        <v>-0.27727069999999998</v>
      </c>
      <c r="AE664">
        <v>-7.4799999999981895E-2</v>
      </c>
      <c r="AF664">
        <v>7.4217168929601507E-2</v>
      </c>
      <c r="AG664">
        <v>-0.27727069999999998</v>
      </c>
      <c r="AH664">
        <v>0.53437560020810504</v>
      </c>
      <c r="AI664">
        <v>117.200241554399</v>
      </c>
      <c r="AJ664">
        <v>82.093012380293004</v>
      </c>
      <c r="AK664">
        <v>0.606584298626487</v>
      </c>
      <c r="AL664">
        <v>79.228639216176802</v>
      </c>
      <c r="AM664">
        <v>87.933634946475195</v>
      </c>
      <c r="AN664">
        <v>1.00000001993979</v>
      </c>
    </row>
    <row r="665" spans="1:40" x14ac:dyDescent="0.25">
      <c r="A665" t="str">
        <f>"20190303162511356"</f>
        <v>20190303162511356</v>
      </c>
      <c r="B665" t="str">
        <f>"1551601511343032"</f>
        <v>1551601511343032</v>
      </c>
      <c r="C665" t="s">
        <v>40</v>
      </c>
      <c r="D665">
        <v>4.5636299999999999</v>
      </c>
      <c r="E665">
        <v>0.52930029999999995</v>
      </c>
      <c r="F665" t="s">
        <v>42</v>
      </c>
      <c r="G665">
        <v>-293.28320000000002</v>
      </c>
      <c r="H665">
        <v>0.83757190000000004</v>
      </c>
      <c r="I665">
        <v>367.76960000000003</v>
      </c>
      <c r="J665">
        <v>-293.95769999999999</v>
      </c>
      <c r="K665">
        <v>1.0713189999999999</v>
      </c>
      <c r="L665">
        <v>367.85879999999997</v>
      </c>
      <c r="M665">
        <v>0.99967229999999996</v>
      </c>
      <c r="N665">
        <v>-1.4544059999999999E-2</v>
      </c>
      <c r="O665">
        <v>2.1070849999999999E-2</v>
      </c>
      <c r="P665">
        <v>0.98480520000000005</v>
      </c>
      <c r="Q665">
        <v>0.17306369999999999</v>
      </c>
      <c r="R665">
        <v>-1.44222E-2</v>
      </c>
      <c r="S665">
        <v>3.178436</v>
      </c>
      <c r="T665">
        <v>-0.7794179</v>
      </c>
      <c r="U665">
        <v>-0.27771000000000001</v>
      </c>
      <c r="V665">
        <v>3.512498E-2</v>
      </c>
      <c r="W665">
        <v>0.18736949999999999</v>
      </c>
      <c r="X665">
        <v>0.98166129999999996</v>
      </c>
      <c r="Y665">
        <v>0.1042126</v>
      </c>
      <c r="Z665">
        <v>-1.8120589999999999E-2</v>
      </c>
      <c r="AA665">
        <v>0.99439</v>
      </c>
      <c r="AB665">
        <v>33</v>
      </c>
      <c r="AC665">
        <v>0.67449999999996602</v>
      </c>
      <c r="AD665">
        <v>-0.23374710000000001</v>
      </c>
      <c r="AE665">
        <v>-8.9199999999948404E-2</v>
      </c>
      <c r="AF665">
        <v>9.2478574925485404E-2</v>
      </c>
      <c r="AG665">
        <v>-0.23374710000000001</v>
      </c>
      <c r="AH665">
        <v>0.60147710958181</v>
      </c>
      <c r="AI665">
        <v>111.01219039303901</v>
      </c>
      <c r="AJ665">
        <v>81.259082910661604</v>
      </c>
      <c r="AK665">
        <v>0.65189317140889502</v>
      </c>
      <c r="AL665">
        <v>79.200689140650695</v>
      </c>
      <c r="AM665">
        <v>87.9507647893506</v>
      </c>
      <c r="AN665">
        <v>1.00000000083397</v>
      </c>
    </row>
    <row r="666" spans="1:40" x14ac:dyDescent="0.25">
      <c r="A666" t="str">
        <f>"20190303162511380"</f>
        <v>20190303162511380</v>
      </c>
      <c r="B666" t="str">
        <f>"1551601511373286"</f>
        <v>1551601511373286</v>
      </c>
      <c r="C666" t="s">
        <v>40</v>
      </c>
      <c r="D666">
        <v>4.5547589999999998</v>
      </c>
      <c r="E666">
        <v>0.53076820000000002</v>
      </c>
      <c r="F666" t="s">
        <v>42</v>
      </c>
      <c r="G666">
        <v>-293.25580000000002</v>
      </c>
      <c r="H666">
        <v>0.89954219999999896</v>
      </c>
      <c r="I666">
        <v>367.79790000000003</v>
      </c>
      <c r="J666">
        <v>-293.61540000000002</v>
      </c>
      <c r="K666">
        <v>1.0713189999999999</v>
      </c>
      <c r="L666">
        <v>367.86619999999999</v>
      </c>
      <c r="M666">
        <v>0.99966960000000005</v>
      </c>
      <c r="N666">
        <v>-1.453984E-2</v>
      </c>
      <c r="O666">
        <v>2.119977E-2</v>
      </c>
      <c r="P666">
        <v>0.98472850000000001</v>
      </c>
      <c r="Q666">
        <v>0.17349120000000001</v>
      </c>
      <c r="R666">
        <v>-1.452966E-2</v>
      </c>
      <c r="S666">
        <v>3.178925</v>
      </c>
      <c r="T666">
        <v>-0.77787640000000002</v>
      </c>
      <c r="U666">
        <v>-0.2763062</v>
      </c>
      <c r="V666">
        <v>3.5358390000000003E-2</v>
      </c>
      <c r="W666">
        <v>0.18779199999999999</v>
      </c>
      <c r="X666">
        <v>0.98157220000000001</v>
      </c>
      <c r="Y666">
        <v>0.1039132</v>
      </c>
      <c r="Z666">
        <v>-1.8075109999999998E-2</v>
      </c>
      <c r="AA666">
        <v>0.99442209999999998</v>
      </c>
      <c r="AB666">
        <v>33</v>
      </c>
      <c r="AC666">
        <v>0.35959999999999998</v>
      </c>
      <c r="AD666">
        <v>-0.17177680000000001</v>
      </c>
      <c r="AE666">
        <v>-6.8299999999965097E-2</v>
      </c>
      <c r="AF666">
        <v>6.2208101476321803E-2</v>
      </c>
      <c r="AG666">
        <v>-0.17177680000000001</v>
      </c>
      <c r="AH666">
        <v>0.29344285620551203</v>
      </c>
      <c r="AI666">
        <v>119.797935678141</v>
      </c>
      <c r="AJ666">
        <v>78.030846985033506</v>
      </c>
      <c r="AK666">
        <v>0.34566721968618402</v>
      </c>
      <c r="AL666">
        <v>79.176044387538596</v>
      </c>
      <c r="AM666">
        <v>87.936971996280207</v>
      </c>
      <c r="AN666">
        <v>1.00000001741011</v>
      </c>
    </row>
    <row r="667" spans="1:40" x14ac:dyDescent="0.25">
      <c r="A667" t="str">
        <f>"20190303162511401"</f>
        <v>20190303162511401</v>
      </c>
      <c r="B667" t="str">
        <f>"1551601511392806"</f>
        <v>1551601511392806</v>
      </c>
      <c r="C667" t="s">
        <v>40</v>
      </c>
      <c r="D667">
        <v>4.5884600000000004</v>
      </c>
      <c r="E667">
        <v>0.53015840000000003</v>
      </c>
      <c r="F667" t="s">
        <v>41</v>
      </c>
      <c r="G667">
        <v>-274.97399999999999</v>
      </c>
      <c r="H667" s="1">
        <v>-2.759429E-6</v>
      </c>
      <c r="I667">
        <v>366.11559999999997</v>
      </c>
      <c r="J667">
        <v>-293.29410000000001</v>
      </c>
      <c r="K667">
        <v>1.0713189999999999</v>
      </c>
      <c r="L667">
        <v>367.87310000000002</v>
      </c>
      <c r="M667">
        <v>0.99966719999999998</v>
      </c>
      <c r="N667">
        <v>-1.4535910000000001E-2</v>
      </c>
      <c r="O667">
        <v>2.1314639999999999E-2</v>
      </c>
      <c r="P667">
        <v>0.98461200000000004</v>
      </c>
      <c r="Q667">
        <v>0.17410709999999999</v>
      </c>
      <c r="R667">
        <v>-1.50358E-2</v>
      </c>
      <c r="S667">
        <v>3.0733950000000001</v>
      </c>
      <c r="T667">
        <v>-0.17662749999999999</v>
      </c>
      <c r="U667">
        <v>-0.28860469999999999</v>
      </c>
      <c r="V667">
        <v>3.5976679999999997E-2</v>
      </c>
      <c r="W667">
        <v>0.18840170000000001</v>
      </c>
      <c r="X667">
        <v>0.98143290000000005</v>
      </c>
      <c r="Y667">
        <v>0.11444070000000001</v>
      </c>
      <c r="Z667">
        <v>-5.0255930000000001E-3</v>
      </c>
      <c r="AA667">
        <v>0.99341740000000001</v>
      </c>
      <c r="AB667">
        <v>33</v>
      </c>
      <c r="AC667">
        <v>18.3201</v>
      </c>
      <c r="AD667">
        <v>-1.0713217594290001</v>
      </c>
      <c r="AE667">
        <v>-1.75750000000005</v>
      </c>
      <c r="AF667">
        <v>2.1403755844138601</v>
      </c>
      <c r="AG667">
        <v>-1.0713217594290001</v>
      </c>
      <c r="AH667">
        <v>18.216745502552602</v>
      </c>
      <c r="AI667">
        <v>93.342730811438102</v>
      </c>
      <c r="AJ667">
        <v>83.298759613287402</v>
      </c>
      <c r="AK667">
        <v>18.373316376184</v>
      </c>
      <c r="AL667">
        <v>79.140476411620796</v>
      </c>
      <c r="AM667">
        <v>87.900631446745606</v>
      </c>
      <c r="AN667">
        <v>1.0000000296345599</v>
      </c>
    </row>
    <row r="668" spans="1:40" x14ac:dyDescent="0.25">
      <c r="A668" t="str">
        <f>"20190303162511425"</f>
        <v>20190303162511425</v>
      </c>
      <c r="B668" t="str">
        <f>"1551601511413304"</f>
        <v>1551601511413304</v>
      </c>
      <c r="C668" t="s">
        <v>40</v>
      </c>
      <c r="D668">
        <v>4.6248930000000001</v>
      </c>
      <c r="E668">
        <v>0.52997019999999995</v>
      </c>
      <c r="F668" t="s">
        <v>41</v>
      </c>
      <c r="G668">
        <v>-274.34019999999998</v>
      </c>
      <c r="H668" s="1">
        <v>-3.0325850000000002E-6</v>
      </c>
      <c r="I668">
        <v>366.10849999999999</v>
      </c>
      <c r="J668">
        <v>-292.95679999999999</v>
      </c>
      <c r="K668">
        <v>1.0713109999999999</v>
      </c>
      <c r="L668">
        <v>367.88040000000001</v>
      </c>
      <c r="M668">
        <v>0.99966489999999997</v>
      </c>
      <c r="N668">
        <v>-1.4531850000000001E-2</v>
      </c>
      <c r="O668">
        <v>2.142668E-2</v>
      </c>
      <c r="P668">
        <v>0.98448270000000004</v>
      </c>
      <c r="Q668">
        <v>0.17475589999999999</v>
      </c>
      <c r="R668">
        <v>-1.5952319999999999E-2</v>
      </c>
      <c r="S668">
        <v>3.0732119999999998</v>
      </c>
      <c r="T668">
        <v>-0.1737049</v>
      </c>
      <c r="U668">
        <v>-0.28610229999999998</v>
      </c>
      <c r="V668">
        <v>3.7003179999999997E-2</v>
      </c>
      <c r="W668">
        <v>0.18904380000000001</v>
      </c>
      <c r="X668">
        <v>0.98127120000000001</v>
      </c>
      <c r="Y668">
        <v>0.11376459999999999</v>
      </c>
      <c r="Z668">
        <v>-4.9321670000000003E-3</v>
      </c>
      <c r="AA668">
        <v>0.99349549999999998</v>
      </c>
      <c r="AB668">
        <v>33</v>
      </c>
      <c r="AC668">
        <v>18.616599999999998</v>
      </c>
      <c r="AD668">
        <v>-1.0713140325849999</v>
      </c>
      <c r="AE668">
        <v>-1.77190000000001</v>
      </c>
      <c r="AF668">
        <v>2.1633274663539002</v>
      </c>
      <c r="AG668">
        <v>-1.0713140325849999</v>
      </c>
      <c r="AH668">
        <v>18.5135966926339</v>
      </c>
      <c r="AI668">
        <v>93.289472071848493</v>
      </c>
      <c r="AJ668">
        <v>83.335170195173006</v>
      </c>
      <c r="AK668">
        <v>18.670323028287399</v>
      </c>
      <c r="AL668">
        <v>79.103013061924301</v>
      </c>
      <c r="AM668">
        <v>87.840431922947502</v>
      </c>
      <c r="AN668">
        <v>0.99999998079899599</v>
      </c>
    </row>
    <row r="669" spans="1:40" x14ac:dyDescent="0.25">
      <c r="A669" t="str">
        <f>"20190303162511447"</f>
        <v>20190303162511447</v>
      </c>
      <c r="B669" t="str">
        <f>"1551601511433798"</f>
        <v>1551601511433798</v>
      </c>
      <c r="C669" t="s">
        <v>40</v>
      </c>
      <c r="D669">
        <v>4.6493739999999999</v>
      </c>
      <c r="E669">
        <v>0.52956829999999999</v>
      </c>
      <c r="F669" t="s">
        <v>41</v>
      </c>
      <c r="G669">
        <v>-273.9665</v>
      </c>
      <c r="H669" s="1">
        <v>-3.1946010000000001E-6</v>
      </c>
      <c r="I669">
        <v>366.09879999999998</v>
      </c>
      <c r="J669">
        <v>-292.61860000000001</v>
      </c>
      <c r="K669">
        <v>1.071312</v>
      </c>
      <c r="L669">
        <v>367.88780000000003</v>
      </c>
      <c r="M669">
        <v>0.99966290000000002</v>
      </c>
      <c r="N669">
        <v>-1.452785E-2</v>
      </c>
      <c r="O669">
        <v>2.1525059999999999E-2</v>
      </c>
      <c r="P669">
        <v>0.9842611</v>
      </c>
      <c r="Q669">
        <v>0.17592759999999999</v>
      </c>
      <c r="R669">
        <v>-1.6736259999999999E-2</v>
      </c>
      <c r="S669">
        <v>3.0733950000000001</v>
      </c>
      <c r="T669">
        <v>-0.17338139999999999</v>
      </c>
      <c r="U669">
        <v>-0.28833009999999998</v>
      </c>
      <c r="V669">
        <v>3.7883109999999998E-2</v>
      </c>
      <c r="W669">
        <v>0.19020719999999999</v>
      </c>
      <c r="X669">
        <v>0.98101280000000002</v>
      </c>
      <c r="Y669">
        <v>0.11457000000000001</v>
      </c>
      <c r="Z669">
        <v>-4.956078E-3</v>
      </c>
      <c r="AA669">
        <v>0.99340280000000003</v>
      </c>
      <c r="AB669">
        <v>33</v>
      </c>
      <c r="AC669">
        <v>18.652100000000001</v>
      </c>
      <c r="AD669">
        <v>-1.071315194601</v>
      </c>
      <c r="AE669">
        <v>-1.7890000000000399</v>
      </c>
      <c r="AF669">
        <v>2.18297935662385</v>
      </c>
      <c r="AG669">
        <v>-1.071315194601</v>
      </c>
      <c r="AH669">
        <v>18.5486314996039</v>
      </c>
      <c r="AI669">
        <v>93.282958190450501</v>
      </c>
      <c r="AJ669">
        <v>83.287764122916599</v>
      </c>
      <c r="AK669">
        <v>18.707347370103701</v>
      </c>
      <c r="AL669">
        <v>79.035123728765299</v>
      </c>
      <c r="AM669">
        <v>87.788546323770106</v>
      </c>
      <c r="AN669">
        <v>1.00000001135947</v>
      </c>
    </row>
    <row r="670" spans="1:40" x14ac:dyDescent="0.25">
      <c r="A670" t="str">
        <f>"20190303162511469"</f>
        <v>20190303162511469</v>
      </c>
      <c r="B670" t="str">
        <f>"1551601511463080"</f>
        <v>1551601511463080</v>
      </c>
      <c r="C670" t="s">
        <v>40</v>
      </c>
      <c r="D670">
        <v>4.7313099999999997</v>
      </c>
      <c r="E670">
        <v>0.52935159999999903</v>
      </c>
      <c r="F670" t="s">
        <v>41</v>
      </c>
      <c r="G670">
        <v>-273.58100000000002</v>
      </c>
      <c r="H670" s="1">
        <v>-3.359101E-6</v>
      </c>
      <c r="I670">
        <v>366.10379999999998</v>
      </c>
      <c r="J670">
        <v>-292.28339999999997</v>
      </c>
      <c r="K670">
        <v>1.0713010000000001</v>
      </c>
      <c r="L670">
        <v>367.89510000000001</v>
      </c>
      <c r="M670">
        <v>0.99966129999999997</v>
      </c>
      <c r="N670">
        <v>-1.4523930000000001E-2</v>
      </c>
      <c r="O670">
        <v>2.1601720000000001E-2</v>
      </c>
      <c r="P670">
        <v>0.98414500000000005</v>
      </c>
      <c r="Q670">
        <v>0.1764887</v>
      </c>
      <c r="R670">
        <v>-1.7631859999999999E-2</v>
      </c>
      <c r="S670">
        <v>3.0740050000000001</v>
      </c>
      <c r="T670">
        <v>-0.17298469999999999</v>
      </c>
      <c r="U670">
        <v>-0.28805540000000002</v>
      </c>
      <c r="V670">
        <v>3.8858209999999997E-2</v>
      </c>
      <c r="W670">
        <v>0.19076100000000001</v>
      </c>
      <c r="X670">
        <v>0.98086709999999999</v>
      </c>
      <c r="Y670">
        <v>0.114541</v>
      </c>
      <c r="Z670">
        <v>-4.9471109999999997E-3</v>
      </c>
      <c r="AA670">
        <v>0.99340620000000002</v>
      </c>
      <c r="AB670">
        <v>33</v>
      </c>
      <c r="AC670">
        <v>18.702400000000001</v>
      </c>
      <c r="AD670">
        <v>-1.0713043591010001</v>
      </c>
      <c r="AE670">
        <v>-1.7913000000000301</v>
      </c>
      <c r="AF670">
        <v>2.1878151126847598</v>
      </c>
      <c r="AG670">
        <v>-1.0713043591010001</v>
      </c>
      <c r="AH670">
        <v>18.598864126100398</v>
      </c>
      <c r="AI670">
        <v>93.274099642861003</v>
      </c>
      <c r="AJ670">
        <v>83.291033887992</v>
      </c>
      <c r="AK670">
        <v>18.757717739060499</v>
      </c>
      <c r="AL670">
        <v>79.002801319080803</v>
      </c>
      <c r="AM670">
        <v>87.731346288541701</v>
      </c>
      <c r="AN670">
        <v>0.99999999373390702</v>
      </c>
    </row>
    <row r="671" spans="1:40" x14ac:dyDescent="0.25">
      <c r="A671" t="str">
        <f>"20190303162511492"</f>
        <v>20190303162511492</v>
      </c>
      <c r="B671" t="str">
        <f>"1551601511483575"</f>
        <v>1551601511483575</v>
      </c>
      <c r="C671" t="s">
        <v>40</v>
      </c>
      <c r="D671">
        <v>4.783512</v>
      </c>
      <c r="E671">
        <v>0.52940350000000003</v>
      </c>
      <c r="F671" t="s">
        <v>41</v>
      </c>
      <c r="G671">
        <v>-273.81189999999998</v>
      </c>
      <c r="H671" s="1">
        <v>-3.2507839999999998E-6</v>
      </c>
      <c r="I671">
        <v>366.15609999999998</v>
      </c>
      <c r="J671">
        <v>-291.95490000000001</v>
      </c>
      <c r="K671">
        <v>1.0712919999999999</v>
      </c>
      <c r="L671">
        <v>367.90230000000003</v>
      </c>
      <c r="M671">
        <v>0.99966010000000005</v>
      </c>
      <c r="N671">
        <v>-1.4520099999999999E-2</v>
      </c>
      <c r="O671">
        <v>2.1655130000000002E-2</v>
      </c>
      <c r="P671">
        <v>0.98404809999999998</v>
      </c>
      <c r="Q671">
        <v>0.17701459999999999</v>
      </c>
      <c r="R671">
        <v>-1.7751510000000002E-2</v>
      </c>
      <c r="S671">
        <v>3.0751339999999998</v>
      </c>
      <c r="T671">
        <v>-0.1783489</v>
      </c>
      <c r="U671">
        <v>-0.28948970000000002</v>
      </c>
      <c r="V671">
        <v>3.903682E-2</v>
      </c>
      <c r="W671">
        <v>0.19128000000000001</v>
      </c>
      <c r="X671">
        <v>0.98075889999999999</v>
      </c>
      <c r="Y671">
        <v>0.1150043</v>
      </c>
      <c r="Z671">
        <v>-5.1013859999999899E-3</v>
      </c>
      <c r="AA671">
        <v>0.99335189999999995</v>
      </c>
      <c r="AB671">
        <v>33</v>
      </c>
      <c r="AC671">
        <v>18.143000000000001</v>
      </c>
      <c r="AD671">
        <v>-1.0712952507839999</v>
      </c>
      <c r="AE671">
        <v>-1.7462000000000399</v>
      </c>
      <c r="AF671">
        <v>2.13135790597119</v>
      </c>
      <c r="AG671">
        <v>-1.0712952507839999</v>
      </c>
      <c r="AH671">
        <v>18.0386105212683</v>
      </c>
      <c r="AI671">
        <v>93.375323221159306</v>
      </c>
      <c r="AJ671">
        <v>83.261440890992105</v>
      </c>
      <c r="AK671">
        <v>18.195654139813399</v>
      </c>
      <c r="AL671">
        <v>78.972506658581594</v>
      </c>
      <c r="AM671">
        <v>87.720678327375296</v>
      </c>
      <c r="AN671">
        <v>0.99999996582245998</v>
      </c>
    </row>
    <row r="672" spans="1:40" x14ac:dyDescent="0.25">
      <c r="A672" t="str">
        <f>"20190303162511511"</f>
        <v>20190303162511511</v>
      </c>
      <c r="B672" t="str">
        <f>"1551601511503191"</f>
        <v>1551601511503191</v>
      </c>
      <c r="C672" t="s">
        <v>40</v>
      </c>
      <c r="D672">
        <v>4.749771</v>
      </c>
      <c r="E672">
        <v>0.52943469999999904</v>
      </c>
      <c r="F672" t="s">
        <v>41</v>
      </c>
      <c r="G672">
        <v>-273.72160000000002</v>
      </c>
      <c r="H672" s="1">
        <v>-3.2851309999999999E-6</v>
      </c>
      <c r="I672">
        <v>366.18079999999998</v>
      </c>
      <c r="J672">
        <v>-291.65320000000003</v>
      </c>
      <c r="K672">
        <v>1.0712809999999999</v>
      </c>
      <c r="L672">
        <v>367.90890000000002</v>
      </c>
      <c r="M672">
        <v>0.99965950000000003</v>
      </c>
      <c r="N672">
        <v>-1.4516630000000001E-2</v>
      </c>
      <c r="O672">
        <v>2.1686690000000002E-2</v>
      </c>
      <c r="P672">
        <v>0.98393600000000003</v>
      </c>
      <c r="Q672">
        <v>0.17767869999999999</v>
      </c>
      <c r="R672">
        <v>-1.7338030000000001E-2</v>
      </c>
      <c r="S672">
        <v>3.0758969999999999</v>
      </c>
      <c r="T672">
        <v>-0.18072299999999999</v>
      </c>
      <c r="U672">
        <v>-0.29040529999999998</v>
      </c>
      <c r="V672">
        <v>3.8659590000000001E-2</v>
      </c>
      <c r="W672">
        <v>0.19193760000000001</v>
      </c>
      <c r="X672">
        <v>0.9806454</v>
      </c>
      <c r="Y672">
        <v>0.1152987</v>
      </c>
      <c r="Z672">
        <v>-5.1730769999999999E-3</v>
      </c>
      <c r="AA672">
        <v>0.99331740000000002</v>
      </c>
      <c r="AB672">
        <v>33</v>
      </c>
      <c r="AC672">
        <v>17.9316</v>
      </c>
      <c r="AD672">
        <v>-1.0712842851309901</v>
      </c>
      <c r="AE672">
        <v>-1.7281000000000399</v>
      </c>
      <c r="AF672">
        <v>2.1091527694660601</v>
      </c>
      <c r="AG672">
        <v>-1.0712842851309901</v>
      </c>
      <c r="AH672">
        <v>17.826858979654599</v>
      </c>
      <c r="AI672">
        <v>93.415224140694406</v>
      </c>
      <c r="AJ672">
        <v>83.252519962458905</v>
      </c>
      <c r="AK672">
        <v>17.983133111474402</v>
      </c>
      <c r="AL672">
        <v>78.934118077289298</v>
      </c>
      <c r="AM672">
        <v>87.742420529392504</v>
      </c>
      <c r="AN672">
        <v>1.0000000033669401</v>
      </c>
    </row>
    <row r="673" spans="1:40" x14ac:dyDescent="0.25">
      <c r="A673" t="str">
        <f>"20190303162511535"</f>
        <v>20190303162511535</v>
      </c>
      <c r="B673" t="str">
        <f>"1551601511523685"</f>
        <v>1551601511523685</v>
      </c>
      <c r="C673" t="s">
        <v>40</v>
      </c>
      <c r="D673">
        <v>4.8103939999999996</v>
      </c>
      <c r="E673">
        <v>0.52911540000000001</v>
      </c>
      <c r="F673" t="s">
        <v>41</v>
      </c>
      <c r="G673">
        <v>-273.59480000000002</v>
      </c>
      <c r="H673" s="1">
        <v>-3.334937E-6</v>
      </c>
      <c r="I673">
        <v>366.20650000000001</v>
      </c>
      <c r="J673">
        <v>-291.31060000000002</v>
      </c>
      <c r="K673">
        <v>1.0712710000000001</v>
      </c>
      <c r="L673">
        <v>367.91629999999998</v>
      </c>
      <c r="M673">
        <v>0.99965910000000002</v>
      </c>
      <c r="N673">
        <v>-1.451271E-2</v>
      </c>
      <c r="O673">
        <v>2.1707130000000002E-2</v>
      </c>
      <c r="P673">
        <v>0.98386510000000005</v>
      </c>
      <c r="Q673">
        <v>0.17808199999999999</v>
      </c>
      <c r="R673">
        <v>-1.7217960000000001E-2</v>
      </c>
      <c r="S673">
        <v>3.0768430000000002</v>
      </c>
      <c r="T673">
        <v>-0.18252840000000001</v>
      </c>
      <c r="U673">
        <v>-0.29003909999999899</v>
      </c>
      <c r="V673">
        <v>3.85654E-2</v>
      </c>
      <c r="W673">
        <v>0.19233439999999999</v>
      </c>
      <c r="X673">
        <v>0.98057130000000003</v>
      </c>
      <c r="Y673">
        <v>0.1151686</v>
      </c>
      <c r="Z673">
        <v>-5.2140049999999999E-3</v>
      </c>
      <c r="AA673">
        <v>0.99333229999999995</v>
      </c>
      <c r="AB673">
        <v>33</v>
      </c>
      <c r="AC673">
        <v>17.715800000000002</v>
      </c>
      <c r="AD673">
        <v>-1.071274334937</v>
      </c>
      <c r="AE673">
        <v>-1.70979999999997</v>
      </c>
      <c r="AF673">
        <v>2.08643778934711</v>
      </c>
      <c r="AG673">
        <v>-1.071274334937</v>
      </c>
      <c r="AH673">
        <v>17.610704664874898</v>
      </c>
      <c r="AI673">
        <v>93.456944256906993</v>
      </c>
      <c r="AJ673">
        <v>83.243347119969002</v>
      </c>
      <c r="AK673">
        <v>17.766197402453901</v>
      </c>
      <c r="AL673">
        <v>78.910950800431706</v>
      </c>
      <c r="AM673">
        <v>87.747745201688801</v>
      </c>
      <c r="AN673">
        <v>0.99999994294210304</v>
      </c>
    </row>
    <row r="674" spans="1:40" x14ac:dyDescent="0.25">
      <c r="A674" t="str">
        <f>"20190303162511557"</f>
        <v>20190303162511557</v>
      </c>
      <c r="B674" t="str">
        <f>"1551601511552966"</f>
        <v>1551601511552966</v>
      </c>
      <c r="C674" t="s">
        <v>40</v>
      </c>
      <c r="D674">
        <v>4.8541619999999996</v>
      </c>
      <c r="E674">
        <v>0.52522599999999997</v>
      </c>
      <c r="F674" t="s">
        <v>41</v>
      </c>
      <c r="G674">
        <v>-272.79349999999999</v>
      </c>
      <c r="H674" s="1">
        <v>-3.6826600000000001E-6</v>
      </c>
      <c r="I674">
        <v>366.18419999999998</v>
      </c>
      <c r="J674">
        <v>-290.97770000000003</v>
      </c>
      <c r="K674">
        <v>1.071258</v>
      </c>
      <c r="L674">
        <v>367.92349999999999</v>
      </c>
      <c r="M674">
        <v>0.99965910000000002</v>
      </c>
      <c r="N674">
        <v>-1.450891E-2</v>
      </c>
      <c r="O674">
        <v>2.1714480000000001E-2</v>
      </c>
      <c r="P674">
        <v>0.9838401</v>
      </c>
      <c r="Q674">
        <v>0.17815500000000001</v>
      </c>
      <c r="R674">
        <v>-1.7882760000000001E-2</v>
      </c>
      <c r="S674">
        <v>3.076416</v>
      </c>
      <c r="T674">
        <v>-0.17797969999999999</v>
      </c>
      <c r="U674">
        <v>-0.28775020000000001</v>
      </c>
      <c r="V674">
        <v>3.9241829999999998E-2</v>
      </c>
      <c r="W674">
        <v>0.1924022</v>
      </c>
      <c r="X674">
        <v>0.98053120000000005</v>
      </c>
      <c r="Y674">
        <v>0.11447010000000001</v>
      </c>
      <c r="Z674">
        <v>-5.0729829999999997E-3</v>
      </c>
      <c r="AA674">
        <v>0.99341369999999896</v>
      </c>
      <c r="AB674">
        <v>33</v>
      </c>
      <c r="AC674">
        <v>18.184200000000001</v>
      </c>
      <c r="AD674">
        <v>-1.0712616826600001</v>
      </c>
      <c r="AE674">
        <v>-1.7393000000000101</v>
      </c>
      <c r="AF674">
        <v>2.12647853708481</v>
      </c>
      <c r="AG674">
        <v>-1.0712616826600001</v>
      </c>
      <c r="AH674">
        <v>18.079960346755101</v>
      </c>
      <c r="AI674">
        <v>93.367727178648707</v>
      </c>
      <c r="AJ674">
        <v>83.291962452074699</v>
      </c>
      <c r="AK674">
        <v>18.236076296771</v>
      </c>
      <c r="AL674">
        <v>78.906992638288898</v>
      </c>
      <c r="AM674">
        <v>87.708189203176303</v>
      </c>
      <c r="AN674">
        <v>0.99999998098001397</v>
      </c>
    </row>
    <row r="675" spans="1:40" x14ac:dyDescent="0.25">
      <c r="A675" t="str">
        <f>"20190303162511581"</f>
        <v>20190303162511581</v>
      </c>
      <c r="B675" t="str">
        <f>"1551601511573462"</f>
        <v>1551601511573462</v>
      </c>
      <c r="C675" t="s">
        <v>40</v>
      </c>
      <c r="D675">
        <v>4.8597130000000002</v>
      </c>
      <c r="E675">
        <v>0.52558879999999997</v>
      </c>
      <c r="F675" t="s">
        <v>41</v>
      </c>
      <c r="G675">
        <v>-218.1003</v>
      </c>
      <c r="H675" s="1">
        <v>-2.7140039999999999E-6</v>
      </c>
      <c r="I675">
        <v>361.79349999999999</v>
      </c>
      <c r="J675">
        <v>-290.64190000000002</v>
      </c>
      <c r="K675">
        <v>1.0712520000000001</v>
      </c>
      <c r="L675">
        <v>367.93079999999998</v>
      </c>
      <c r="M675">
        <v>0.99965930000000003</v>
      </c>
      <c r="N675">
        <v>-1.450508E-2</v>
      </c>
      <c r="O675">
        <v>2.1708990000000001E-2</v>
      </c>
      <c r="P675">
        <v>0.98389190000000004</v>
      </c>
      <c r="Q675">
        <v>0.1777879</v>
      </c>
      <c r="R675">
        <v>-1.8673160000000001E-2</v>
      </c>
      <c r="S675">
        <v>3.0527340000000001</v>
      </c>
      <c r="T675">
        <v>-4.48736E-2</v>
      </c>
      <c r="U675">
        <v>-0.25677489999999997</v>
      </c>
      <c r="V675">
        <v>4.003172E-2</v>
      </c>
      <c r="W675">
        <v>0.19203120000000001</v>
      </c>
      <c r="X675">
        <v>0.980572</v>
      </c>
      <c r="Y675">
        <v>0.1054097</v>
      </c>
      <c r="Z675">
        <v>-1.54357E-3</v>
      </c>
      <c r="AA675">
        <v>0.99442770000000003</v>
      </c>
      <c r="AB675">
        <v>33</v>
      </c>
      <c r="AC675">
        <v>72.541600000000003</v>
      </c>
      <c r="AD675">
        <v>-1.0712547140040001</v>
      </c>
      <c r="AE675">
        <v>-6.1372999999999802</v>
      </c>
      <c r="AF675">
        <v>7.7091543376497604</v>
      </c>
      <c r="AG675">
        <v>-1.0712547140040001</v>
      </c>
      <c r="AH675">
        <v>72.375580779444505</v>
      </c>
      <c r="AI675">
        <v>90.843222439252898</v>
      </c>
      <c r="AJ675">
        <v>83.920009798629096</v>
      </c>
      <c r="AK675">
        <v>72.792879737141007</v>
      </c>
      <c r="AL675">
        <v>78.928653321340903</v>
      </c>
      <c r="AM675">
        <v>87.662205708617293</v>
      </c>
      <c r="AN675">
        <v>0.999999983781799</v>
      </c>
    </row>
    <row r="676" spans="1:40" x14ac:dyDescent="0.25">
      <c r="A676" t="str">
        <f>"20190303162511601"</f>
        <v>20190303162511601</v>
      </c>
      <c r="B676" t="str">
        <f>"1551601511592982"</f>
        <v>1551601511592982</v>
      </c>
      <c r="C676" t="s">
        <v>40</v>
      </c>
      <c r="D676">
        <v>4.8498960000000002</v>
      </c>
      <c r="E676">
        <v>0.5256923</v>
      </c>
      <c r="F676" t="s">
        <v>41</v>
      </c>
      <c r="G676">
        <v>-228.0668</v>
      </c>
      <c r="H676" s="1">
        <v>-2.516617E-6</v>
      </c>
      <c r="I676">
        <v>362.57819999999998</v>
      </c>
      <c r="J676">
        <v>-290.3306</v>
      </c>
      <c r="K676">
        <v>1.071242</v>
      </c>
      <c r="L676">
        <v>367.93759999999997</v>
      </c>
      <c r="M676">
        <v>0.99965950000000003</v>
      </c>
      <c r="N676">
        <v>-1.450155E-2</v>
      </c>
      <c r="O676">
        <v>2.1694379999999999E-2</v>
      </c>
      <c r="P676">
        <v>0.98403949999999996</v>
      </c>
      <c r="Q676">
        <v>0.17689820000000001</v>
      </c>
      <c r="R676">
        <v>-1.9332169999999999E-2</v>
      </c>
      <c r="S676">
        <v>3.0536189999999999</v>
      </c>
      <c r="T676">
        <v>-5.2276370000000003E-2</v>
      </c>
      <c r="U676">
        <v>-0.26119999999999999</v>
      </c>
      <c r="V676">
        <v>4.0683209999999997E-2</v>
      </c>
      <c r="W676">
        <v>0.19113910000000001</v>
      </c>
      <c r="X676">
        <v>0.98071949999999997</v>
      </c>
      <c r="Y676">
        <v>0.1067954</v>
      </c>
      <c r="Z676">
        <v>-1.745084E-3</v>
      </c>
      <c r="AA676">
        <v>0.99427949999999998</v>
      </c>
      <c r="AB676">
        <v>33</v>
      </c>
      <c r="AC676">
        <v>62.263800000000003</v>
      </c>
      <c r="AD676">
        <v>-1.0712445166169999</v>
      </c>
      <c r="AE676">
        <v>-5.3593999999999902</v>
      </c>
      <c r="AF676">
        <v>6.7070841870215796</v>
      </c>
      <c r="AG676">
        <v>-1.0712445166169999</v>
      </c>
      <c r="AH676">
        <v>62.114610697158099</v>
      </c>
      <c r="AI676">
        <v>90.982330747908193</v>
      </c>
      <c r="AJ676">
        <v>83.837127198638598</v>
      </c>
      <c r="AK676">
        <v>62.484857406940499</v>
      </c>
      <c r="AL676">
        <v>78.980731861777002</v>
      </c>
      <c r="AM676">
        <v>87.624559796263995</v>
      </c>
      <c r="AN676">
        <v>1.00000000840248</v>
      </c>
    </row>
    <row r="677" spans="1:40" x14ac:dyDescent="0.25">
      <c r="A677" t="str">
        <f>"20190303162511625"</f>
        <v>20190303162511625</v>
      </c>
      <c r="B677" t="str">
        <f>"1551601511613478"</f>
        <v>1551601511613478</v>
      </c>
      <c r="C677" t="s">
        <v>40</v>
      </c>
      <c r="D677">
        <v>4.8522829999999999</v>
      </c>
      <c r="E677">
        <v>0.52587249999999996</v>
      </c>
      <c r="F677" t="s">
        <v>41</v>
      </c>
      <c r="G677">
        <v>-236.14709999999999</v>
      </c>
      <c r="H677" s="1">
        <v>-2.9925449999999999E-6</v>
      </c>
      <c r="I677">
        <v>363.2448</v>
      </c>
      <c r="J677">
        <v>-289.99639999999999</v>
      </c>
      <c r="K677">
        <v>1.071231</v>
      </c>
      <c r="L677">
        <v>367.94479999999999</v>
      </c>
      <c r="M677">
        <v>0.99966010000000005</v>
      </c>
      <c r="N677">
        <v>-1.449783E-2</v>
      </c>
      <c r="O677">
        <v>2.1671719999999998E-2</v>
      </c>
      <c r="P677">
        <v>0.98406459999999996</v>
      </c>
      <c r="Q677">
        <v>0.17669260000000001</v>
      </c>
      <c r="R677">
        <v>-1.992091E-2</v>
      </c>
      <c r="S677">
        <v>3.0543209999999998</v>
      </c>
      <c r="T677">
        <v>-6.0385939999999999E-2</v>
      </c>
      <c r="U677">
        <v>-0.26452639999999999</v>
      </c>
      <c r="V677">
        <v>4.1254270000000003E-2</v>
      </c>
      <c r="W677">
        <v>0.1909295</v>
      </c>
      <c r="X677">
        <v>0.98073650000000001</v>
      </c>
      <c r="Y677">
        <v>0.1078205</v>
      </c>
      <c r="Z677">
        <v>-1.961099E-3</v>
      </c>
      <c r="AA677">
        <v>0.99416850000000001</v>
      </c>
      <c r="AB677">
        <v>33</v>
      </c>
      <c r="AC677">
        <v>53.849299999999999</v>
      </c>
      <c r="AD677">
        <v>-1.0712339925450001</v>
      </c>
      <c r="AE677">
        <v>-4.6999999999999797</v>
      </c>
      <c r="AF677">
        <v>5.8637224900392999</v>
      </c>
      <c r="AG677">
        <v>-1.0712339925450001</v>
      </c>
      <c r="AH677">
        <v>53.713686671921103</v>
      </c>
      <c r="AI677">
        <v>91.135775825615895</v>
      </c>
      <c r="AJ677">
        <v>83.769904239846696</v>
      </c>
      <c r="AK677">
        <v>54.043416986681102</v>
      </c>
      <c r="AL677">
        <v>78.992966678777805</v>
      </c>
      <c r="AM677">
        <v>87.591297044984998</v>
      </c>
      <c r="AN677">
        <v>1.00000003559786</v>
      </c>
    </row>
    <row r="678" spans="1:40" x14ac:dyDescent="0.25">
      <c r="A678" t="str">
        <f>"20190303162511648"</f>
        <v>20190303162511648</v>
      </c>
      <c r="B678" t="str">
        <f>"1551601511643734"</f>
        <v>1551601511643734</v>
      </c>
      <c r="C678" t="s">
        <v>40</v>
      </c>
      <c r="D678">
        <v>4.8981510000000004</v>
      </c>
      <c r="E678">
        <v>0.52589189999999997</v>
      </c>
      <c r="F678" t="s">
        <v>41</v>
      </c>
      <c r="G678">
        <v>-240.33629999999999</v>
      </c>
      <c r="H678" s="1">
        <v>-5.617302E-6</v>
      </c>
      <c r="I678">
        <v>363.59129999999999</v>
      </c>
      <c r="J678">
        <v>-289.65249999999997</v>
      </c>
      <c r="K678">
        <v>1.071221</v>
      </c>
      <c r="L678">
        <v>367.95229999999998</v>
      </c>
      <c r="M678">
        <v>0.99966069999999996</v>
      </c>
      <c r="N678">
        <v>-1.4494109999999999E-2</v>
      </c>
      <c r="O678">
        <v>2.1643289999999999E-2</v>
      </c>
      <c r="P678">
        <v>0.98407599999999995</v>
      </c>
      <c r="Q678">
        <v>0.17654410000000001</v>
      </c>
      <c r="R678">
        <v>-2.0657680000000001E-2</v>
      </c>
      <c r="S678">
        <v>3.0549930000000001</v>
      </c>
      <c r="T678">
        <v>-6.5900440000000005E-2</v>
      </c>
      <c r="U678">
        <v>-0.26782230000000001</v>
      </c>
      <c r="V678">
        <v>4.1967190000000001E-2</v>
      </c>
      <c r="W678">
        <v>0.1907759</v>
      </c>
      <c r="X678">
        <v>0.9807361</v>
      </c>
      <c r="Y678">
        <v>0.1088319</v>
      </c>
      <c r="Z678">
        <v>-2.1148230000000001E-3</v>
      </c>
      <c r="AA678">
        <v>0.99405790000000005</v>
      </c>
      <c r="AB678">
        <v>33</v>
      </c>
      <c r="AC678">
        <v>49.316199999999903</v>
      </c>
      <c r="AD678">
        <v>-1.071226617302</v>
      </c>
      <c r="AE678">
        <v>-4.36099999999999</v>
      </c>
      <c r="AF678">
        <v>5.4249154217915203</v>
      </c>
      <c r="AG678">
        <v>-1.071226617302</v>
      </c>
      <c r="AH678">
        <v>49.187221448981603</v>
      </c>
      <c r="AI678">
        <v>91.240104834546003</v>
      </c>
      <c r="AJ678">
        <v>83.706219567706896</v>
      </c>
      <c r="AK678">
        <v>49.497070495842102</v>
      </c>
      <c r="AL678">
        <v>79.001931637207903</v>
      </c>
      <c r="AM678">
        <v>87.549721264361494</v>
      </c>
      <c r="AN678">
        <v>0.99999999345025703</v>
      </c>
    </row>
    <row r="679" spans="1:40" x14ac:dyDescent="0.25">
      <c r="A679" t="str">
        <f>"20190303162511671"</f>
        <v>20190303162511671</v>
      </c>
      <c r="B679" t="str">
        <f>"1551601511663254"</f>
        <v>1551601511663254</v>
      </c>
      <c r="C679" t="s">
        <v>40</v>
      </c>
      <c r="D679">
        <v>4.929646</v>
      </c>
      <c r="E679">
        <v>0.52585890000000002</v>
      </c>
      <c r="F679" t="s">
        <v>41</v>
      </c>
      <c r="G679">
        <v>-243.37819999999999</v>
      </c>
      <c r="H679" s="1">
        <v>-4.1314449999999997E-6</v>
      </c>
      <c r="I679">
        <v>363.86160000000001</v>
      </c>
      <c r="J679">
        <v>-289.31689999999998</v>
      </c>
      <c r="K679">
        <v>1.071213</v>
      </c>
      <c r="L679">
        <v>367.95949999999999</v>
      </c>
      <c r="M679">
        <v>0.99966149999999998</v>
      </c>
      <c r="N679">
        <v>-1.449054E-2</v>
      </c>
      <c r="O679">
        <v>2.1612139999999998E-2</v>
      </c>
      <c r="P679">
        <v>0.9840894</v>
      </c>
      <c r="Q679">
        <v>0.17635429999999999</v>
      </c>
      <c r="R679">
        <v>-2.1618970000000001E-2</v>
      </c>
      <c r="S679">
        <v>3.0555729999999999</v>
      </c>
      <c r="T679">
        <v>-7.0734859999999997E-2</v>
      </c>
      <c r="U679">
        <v>-0.27011109999999999</v>
      </c>
      <c r="V679">
        <v>4.290091E-2</v>
      </c>
      <c r="W679">
        <v>0.1905821</v>
      </c>
      <c r="X679">
        <v>0.98073339999999998</v>
      </c>
      <c r="Y679">
        <v>0.1095177</v>
      </c>
      <c r="Z679">
        <v>-2.2470989999999998E-3</v>
      </c>
      <c r="AA679">
        <v>0.99398229999999999</v>
      </c>
      <c r="AB679">
        <v>33</v>
      </c>
      <c r="AC679">
        <v>45.938699999999898</v>
      </c>
      <c r="AD679">
        <v>-1.0712171314450001</v>
      </c>
      <c r="AE679">
        <v>-4.0978999999999797</v>
      </c>
      <c r="AF679">
        <v>5.0871361525321399</v>
      </c>
      <c r="AG679">
        <v>-1.0712171314450001</v>
      </c>
      <c r="AH679">
        <v>45.814679212346803</v>
      </c>
      <c r="AI679">
        <v>91.331240232661699</v>
      </c>
      <c r="AJ679">
        <v>83.663988407442901</v>
      </c>
      <c r="AK679">
        <v>46.108689980385897</v>
      </c>
      <c r="AL679">
        <v>79.013243318906802</v>
      </c>
      <c r="AM679">
        <v>87.495267268463294</v>
      </c>
      <c r="AN679">
        <v>1.0000000133973901</v>
      </c>
    </row>
    <row r="680" spans="1:40" x14ac:dyDescent="0.25">
      <c r="A680" t="str">
        <f>"20190303162511691"</f>
        <v>20190303162511691</v>
      </c>
      <c r="B680" t="str">
        <f>"1551601511682774"</f>
        <v>1551601511682774</v>
      </c>
      <c r="C680" t="s">
        <v>40</v>
      </c>
      <c r="D680">
        <v>4.8418970000000003</v>
      </c>
      <c r="E680">
        <v>0.52575329999999998</v>
      </c>
      <c r="F680" t="s">
        <v>41</v>
      </c>
      <c r="G680">
        <v>-244.7174</v>
      </c>
      <c r="H680" s="1">
        <v>-3.5120329999999999E-6</v>
      </c>
      <c r="I680">
        <v>363.9819</v>
      </c>
      <c r="J680">
        <v>-289.00959999999998</v>
      </c>
      <c r="K680">
        <v>1.07121</v>
      </c>
      <c r="L680">
        <v>367.96609999999998</v>
      </c>
      <c r="M680">
        <v>0.99966219999999995</v>
      </c>
      <c r="N680">
        <v>-1.448727E-2</v>
      </c>
      <c r="O680">
        <v>2.158057E-2</v>
      </c>
      <c r="P680">
        <v>0.98414840000000003</v>
      </c>
      <c r="Q680">
        <v>0.1759376</v>
      </c>
      <c r="R680">
        <v>-2.2312209999999999E-2</v>
      </c>
      <c r="S680">
        <v>3.0556950000000001</v>
      </c>
      <c r="T680">
        <v>-7.3393340000000001E-2</v>
      </c>
      <c r="U680">
        <v>-0.27252199999999999</v>
      </c>
      <c r="V680">
        <v>4.3566220000000003E-2</v>
      </c>
      <c r="W680">
        <v>0.19016230000000001</v>
      </c>
      <c r="X680">
        <v>0.98078549999999998</v>
      </c>
      <c r="Y680">
        <v>0.11025749999999999</v>
      </c>
      <c r="Z680">
        <v>-2.3271339999999998E-3</v>
      </c>
      <c r="AA680">
        <v>0.99390040000000002</v>
      </c>
      <c r="AB680">
        <v>33</v>
      </c>
      <c r="AC680">
        <v>44.292199999999902</v>
      </c>
      <c r="AD680">
        <v>-1.071213512033</v>
      </c>
      <c r="AE680">
        <v>-3.98419999999998</v>
      </c>
      <c r="AF680">
        <v>4.9363589179938003</v>
      </c>
      <c r="AG680">
        <v>-1.071213512033</v>
      </c>
      <c r="AH680">
        <v>44.170263642173701</v>
      </c>
      <c r="AI680">
        <v>91.380668111550804</v>
      </c>
      <c r="AJ680">
        <v>83.623226279818795</v>
      </c>
      <c r="AK680">
        <v>44.458152547927</v>
      </c>
      <c r="AL680">
        <v>79.037743526559595</v>
      </c>
      <c r="AM680">
        <v>87.456609277338103</v>
      </c>
      <c r="AN680">
        <v>0.99999995643831296</v>
      </c>
    </row>
    <row r="681" spans="1:40" x14ac:dyDescent="0.25">
      <c r="A681" t="str">
        <f>"20190303162511714"</f>
        <v>20190303162511714</v>
      </c>
      <c r="B681" t="str">
        <f>"1551601511703269"</f>
        <v>1551601511703269</v>
      </c>
      <c r="C681" t="s">
        <v>40</v>
      </c>
      <c r="D681">
        <v>4.944706</v>
      </c>
      <c r="E681">
        <v>0.52582229999999996</v>
      </c>
      <c r="F681" t="s">
        <v>41</v>
      </c>
      <c r="G681">
        <v>-246.11699999999999</v>
      </c>
      <c r="H681" s="1">
        <v>-2.9363909999999999E-6</v>
      </c>
      <c r="I681">
        <v>364.12529999999998</v>
      </c>
      <c r="J681">
        <v>-288.69450000000001</v>
      </c>
      <c r="K681">
        <v>1.071207</v>
      </c>
      <c r="L681">
        <v>367.97280000000001</v>
      </c>
      <c r="M681">
        <v>0.99966310000000003</v>
      </c>
      <c r="N681">
        <v>-1.4483920000000001E-2</v>
      </c>
      <c r="O681">
        <v>2.1546570000000001E-2</v>
      </c>
      <c r="P681">
        <v>0.98413200000000001</v>
      </c>
      <c r="Q681">
        <v>0.17596539999999999</v>
      </c>
      <c r="R681">
        <v>-2.281644E-2</v>
      </c>
      <c r="S681">
        <v>3.0557249999999998</v>
      </c>
      <c r="T681">
        <v>-7.6314569999999998E-2</v>
      </c>
      <c r="U681">
        <v>-0.27362059999999999</v>
      </c>
      <c r="V681">
        <v>4.4037750000000001E-2</v>
      </c>
      <c r="W681">
        <v>0.1901861</v>
      </c>
      <c r="X681">
        <v>0.98075990000000002</v>
      </c>
      <c r="Y681">
        <v>0.11057359999999999</v>
      </c>
      <c r="Z681">
        <v>-2.4060420000000002E-3</v>
      </c>
      <c r="AA681">
        <v>0.993865</v>
      </c>
      <c r="AB681">
        <v>33</v>
      </c>
      <c r="AC681">
        <v>42.577499999999901</v>
      </c>
      <c r="AD681">
        <v>-1.0712099363909999</v>
      </c>
      <c r="AE681">
        <v>-3.8475000000000201</v>
      </c>
      <c r="AF681">
        <v>4.7611124932653501</v>
      </c>
      <c r="AG681">
        <v>-1.0712099363909999</v>
      </c>
      <c r="AH681">
        <v>42.458046921922197</v>
      </c>
      <c r="AI681">
        <v>91.436258794006406</v>
      </c>
      <c r="AJ681">
        <v>83.6017598747666</v>
      </c>
      <c r="AK681">
        <v>42.737588038230498</v>
      </c>
      <c r="AL681">
        <v>79.036355341069594</v>
      </c>
      <c r="AM681">
        <v>87.429051133175804</v>
      </c>
      <c r="AN681">
        <v>1.0000000287531401</v>
      </c>
    </row>
    <row r="682" spans="1:40" x14ac:dyDescent="0.25">
      <c r="A682" t="str">
        <f>"20190303162511737"</f>
        <v>20190303162511737</v>
      </c>
      <c r="B682" t="str">
        <f>"1551601511722790"</f>
        <v>1551601511722790</v>
      </c>
      <c r="C682" t="s">
        <v>40</v>
      </c>
      <c r="D682">
        <v>4.9623249999999999</v>
      </c>
      <c r="E682">
        <v>0.52594169999999996</v>
      </c>
      <c r="F682" t="s">
        <v>41</v>
      </c>
      <c r="G682">
        <v>-246.39930000000001</v>
      </c>
      <c r="H682" s="1">
        <v>-2.8194640000000001E-6</v>
      </c>
      <c r="I682">
        <v>364.15730000000002</v>
      </c>
      <c r="J682">
        <v>-288.35849999999999</v>
      </c>
      <c r="K682">
        <v>1.071204</v>
      </c>
      <c r="L682">
        <v>367.98</v>
      </c>
      <c r="M682">
        <v>0.99966390000000005</v>
      </c>
      <c r="N682">
        <v>-1.448033E-2</v>
      </c>
      <c r="O682">
        <v>2.1508719999999999E-2</v>
      </c>
      <c r="P682">
        <v>0.98413119999999998</v>
      </c>
      <c r="Q682">
        <v>0.17594699999999999</v>
      </c>
      <c r="R682">
        <v>-2.2993220000000002E-2</v>
      </c>
      <c r="S682">
        <v>3.0557560000000001</v>
      </c>
      <c r="T682">
        <v>-7.7393050000000005E-2</v>
      </c>
      <c r="U682">
        <v>-0.2756653</v>
      </c>
      <c r="V682">
        <v>4.4177889999999997E-2</v>
      </c>
      <c r="W682">
        <v>0.19016359999999999</v>
      </c>
      <c r="X682">
        <v>0.98075789999999996</v>
      </c>
      <c r="Y682">
        <v>0.11119320000000001</v>
      </c>
      <c r="Z682">
        <v>-2.4448489999999998E-3</v>
      </c>
      <c r="AA682">
        <v>0.99379580000000001</v>
      </c>
      <c r="AB682">
        <v>33</v>
      </c>
      <c r="AC682">
        <v>41.959199999999903</v>
      </c>
      <c r="AD682">
        <v>-1.0712068194640001</v>
      </c>
      <c r="AE682">
        <v>-3.82269999999999</v>
      </c>
      <c r="AF682">
        <v>4.7213468055125096</v>
      </c>
      <c r="AG682">
        <v>-1.0712068194640001</v>
      </c>
      <c r="AH682">
        <v>41.8402155761923</v>
      </c>
      <c r="AI682">
        <v>91.4573397562948</v>
      </c>
      <c r="AJ682">
        <v>83.5618459027217</v>
      </c>
      <c r="AK682">
        <v>42.119380802312797</v>
      </c>
      <c r="AL682">
        <v>79.037667803376493</v>
      </c>
      <c r="AM682">
        <v>87.420875457943097</v>
      </c>
      <c r="AN682">
        <v>0.99999996957111004</v>
      </c>
    </row>
    <row r="683" spans="1:40" x14ac:dyDescent="0.25">
      <c r="A683" t="str">
        <f>"20190303162511751"</f>
        <v>20190303162511751</v>
      </c>
      <c r="B683" t="str">
        <f>"1551601511743286"</f>
        <v>1551601511743286</v>
      </c>
      <c r="C683" t="s">
        <v>40</v>
      </c>
      <c r="D683">
        <v>4.9233849999999997</v>
      </c>
      <c r="E683">
        <v>0.52599479999999998</v>
      </c>
      <c r="F683" t="s">
        <v>41</v>
      </c>
      <c r="G683">
        <v>-246.82820000000001</v>
      </c>
      <c r="H683" s="1">
        <v>-2.6396999999999999E-6</v>
      </c>
      <c r="I683">
        <v>364.21390000000002</v>
      </c>
      <c r="J683">
        <v>-288.1454</v>
      </c>
      <c r="K683">
        <v>1.0712060000000001</v>
      </c>
      <c r="L683">
        <v>367.9846</v>
      </c>
      <c r="M683">
        <v>0.99966449999999996</v>
      </c>
      <c r="N683">
        <v>-1.4478069999999999E-2</v>
      </c>
      <c r="O683">
        <v>2.1484880000000001E-2</v>
      </c>
      <c r="P683">
        <v>0.9841008</v>
      </c>
      <c r="Q683">
        <v>0.17609259999999999</v>
      </c>
      <c r="R683">
        <v>-2.318218E-2</v>
      </c>
      <c r="S683">
        <v>3.056</v>
      </c>
      <c r="T683">
        <v>-7.8824640000000001E-2</v>
      </c>
      <c r="U683">
        <v>-0.27713009999999999</v>
      </c>
      <c r="V683">
        <v>4.4343260000000002E-2</v>
      </c>
      <c r="W683">
        <v>0.19030639999999999</v>
      </c>
      <c r="X683">
        <v>0.98072280000000001</v>
      </c>
      <c r="Y683">
        <v>0.1116328</v>
      </c>
      <c r="Z683">
        <v>-2.4892149999999999E-3</v>
      </c>
      <c r="AA683">
        <v>0.99374640000000003</v>
      </c>
      <c r="AB683">
        <v>33</v>
      </c>
      <c r="AC683">
        <v>41.3171999999999</v>
      </c>
      <c r="AD683">
        <v>-1.07120863969999</v>
      </c>
      <c r="AE683">
        <v>-3.77069999999997</v>
      </c>
      <c r="AF683">
        <v>4.6545145954596396</v>
      </c>
      <c r="AG683">
        <v>-1.07120863969999</v>
      </c>
      <c r="AH683">
        <v>41.1991748111449</v>
      </c>
      <c r="AI683">
        <v>91.479985783027601</v>
      </c>
      <c r="AJ683">
        <v>83.554287400680494</v>
      </c>
      <c r="AK683">
        <v>41.475100954529204</v>
      </c>
      <c r="AL683">
        <v>79.029334451496396</v>
      </c>
      <c r="AM683">
        <v>87.411141668838994</v>
      </c>
      <c r="AN683">
        <v>1.0000000305141099</v>
      </c>
    </row>
    <row r="684" spans="1:40" x14ac:dyDescent="0.25">
      <c r="A684" t="str">
        <f>"20190303162511770"</f>
        <v>20190303162511770</v>
      </c>
      <c r="B684" t="str">
        <f>"1551601511762806"</f>
        <v>1551601511762806</v>
      </c>
      <c r="C684" t="s">
        <v>40</v>
      </c>
      <c r="D684">
        <v>4.9115289999999998</v>
      </c>
      <c r="E684">
        <v>0.52604379999999995</v>
      </c>
      <c r="F684" t="s">
        <v>41</v>
      </c>
      <c r="G684">
        <v>-246.1071</v>
      </c>
      <c r="H684" s="1">
        <v>-2.9291290000000002E-6</v>
      </c>
      <c r="I684">
        <v>364.16680000000002</v>
      </c>
      <c r="J684">
        <v>-287.863</v>
      </c>
      <c r="K684">
        <v>1.071199</v>
      </c>
      <c r="L684">
        <v>367.99059999999997</v>
      </c>
      <c r="M684">
        <v>0.99966509999999997</v>
      </c>
      <c r="N684">
        <v>-1.4475119999999999E-2</v>
      </c>
      <c r="O684">
        <v>2.1453360000000001E-2</v>
      </c>
      <c r="P684">
        <v>0.98399170000000002</v>
      </c>
      <c r="Q684">
        <v>0.17665310000000001</v>
      </c>
      <c r="R684">
        <v>-2.353355E-2</v>
      </c>
      <c r="S684">
        <v>3.0559080000000001</v>
      </c>
      <c r="T684">
        <v>-7.7869889999999997E-2</v>
      </c>
      <c r="U684">
        <v>-0.27752690000000002</v>
      </c>
      <c r="V684">
        <v>4.4661819999999998E-2</v>
      </c>
      <c r="W684">
        <v>0.19086249999999999</v>
      </c>
      <c r="X684">
        <v>0.98060020000000003</v>
      </c>
      <c r="Y684">
        <v>0.11173329999999999</v>
      </c>
      <c r="Z684">
        <v>-2.4667320000000001E-3</v>
      </c>
      <c r="AA684">
        <v>0.99373520000000004</v>
      </c>
      <c r="AB684">
        <v>33</v>
      </c>
      <c r="AC684">
        <v>41.755899999999997</v>
      </c>
      <c r="AD684">
        <v>-1.071201929129</v>
      </c>
      <c r="AE684">
        <v>-3.8237999999999399</v>
      </c>
      <c r="AF684">
        <v>4.7157402207285903</v>
      </c>
      <c r="AG684">
        <v>-1.071201929129</v>
      </c>
      <c r="AH684">
        <v>41.637071499041198</v>
      </c>
      <c r="AI684">
        <v>91.464372280080298</v>
      </c>
      <c r="AJ684">
        <v>83.538317557149796</v>
      </c>
      <c r="AK684">
        <v>41.916958410870301</v>
      </c>
      <c r="AL684">
        <v>78.9968765950521</v>
      </c>
      <c r="AM684">
        <v>87.392243456899195</v>
      </c>
      <c r="AN684">
        <v>0.99999996215599996</v>
      </c>
    </row>
    <row r="685" spans="1:40" x14ac:dyDescent="0.25">
      <c r="A685" t="str">
        <f>"20190303162511792"</f>
        <v>20190303162511792</v>
      </c>
      <c r="B685" t="str">
        <f>"1551601511783302"</f>
        <v>1551601511783302</v>
      </c>
      <c r="C685" t="s">
        <v>40</v>
      </c>
      <c r="D685">
        <v>4.8929349999999996</v>
      </c>
      <c r="E685">
        <v>0.52613199999999904</v>
      </c>
      <c r="F685" t="s">
        <v>41</v>
      </c>
      <c r="G685">
        <v>-245.40459999999999</v>
      </c>
      <c r="H685" s="1">
        <v>-3.2123940000000002E-6</v>
      </c>
      <c r="I685">
        <v>364.11610000000002</v>
      </c>
      <c r="J685">
        <v>-287.55009999999999</v>
      </c>
      <c r="K685">
        <v>1.0712010000000001</v>
      </c>
      <c r="L685">
        <v>367.9973</v>
      </c>
      <c r="M685">
        <v>0.9996659</v>
      </c>
      <c r="N685">
        <v>-1.4471879999999999E-2</v>
      </c>
      <c r="O685">
        <v>2.1418980000000001E-2</v>
      </c>
      <c r="P685">
        <v>0.98400330000000003</v>
      </c>
      <c r="Q685">
        <v>0.1766035</v>
      </c>
      <c r="R685">
        <v>-2.3429410000000001E-2</v>
      </c>
      <c r="S685">
        <v>3.055939</v>
      </c>
      <c r="T685">
        <v>-7.7099680000000004E-2</v>
      </c>
      <c r="U685">
        <v>-0.2788696</v>
      </c>
      <c r="V685">
        <v>4.4524300000000003E-2</v>
      </c>
      <c r="W685">
        <v>0.1908096</v>
      </c>
      <c r="X685">
        <v>0.98061679999999996</v>
      </c>
      <c r="Y685">
        <v>0.112132</v>
      </c>
      <c r="Z685">
        <v>-2.454683E-3</v>
      </c>
      <c r="AA685">
        <v>0.99369030000000003</v>
      </c>
      <c r="AB685">
        <v>33</v>
      </c>
      <c r="AC685">
        <v>42.145499999999998</v>
      </c>
      <c r="AD685">
        <v>-1.071204212394</v>
      </c>
      <c r="AE685">
        <v>-3.88119999999997</v>
      </c>
      <c r="AF685">
        <v>4.7800555133643901</v>
      </c>
      <c r="AG685">
        <v>-1.071204212394</v>
      </c>
      <c r="AH685">
        <v>42.025768277678502</v>
      </c>
      <c r="AI685">
        <v>91.450758728272803</v>
      </c>
      <c r="AJ685">
        <v>83.511004080851507</v>
      </c>
      <c r="AK685">
        <v>42.310301446629097</v>
      </c>
      <c r="AL685">
        <v>78.999964849479596</v>
      </c>
      <c r="AM685">
        <v>87.400306019500903</v>
      </c>
      <c r="AN685">
        <v>1.00000001259244</v>
      </c>
    </row>
    <row r="686" spans="1:40" x14ac:dyDescent="0.25">
      <c r="A686" t="str">
        <f>"20190303162511815"</f>
        <v>20190303162511815</v>
      </c>
      <c r="B686" t="str">
        <f>"1551601511802823"</f>
        <v>1551601511802823</v>
      </c>
      <c r="C686" t="s">
        <v>40</v>
      </c>
      <c r="D686">
        <v>5.0060840000000004</v>
      </c>
      <c r="E686">
        <v>0.52532559999999995</v>
      </c>
      <c r="F686" t="s">
        <v>41</v>
      </c>
      <c r="G686">
        <v>-245.33199999999999</v>
      </c>
      <c r="H686" s="1">
        <v>-3.2340849999999999E-6</v>
      </c>
      <c r="I686">
        <v>364.13940000000002</v>
      </c>
      <c r="J686">
        <v>-287.21190000000001</v>
      </c>
      <c r="K686">
        <v>1.0712010000000001</v>
      </c>
      <c r="L686">
        <v>368.00450000000001</v>
      </c>
      <c r="M686">
        <v>0.99966690000000002</v>
      </c>
      <c r="N686">
        <v>-1.446836E-2</v>
      </c>
      <c r="O686">
        <v>2.138199E-2</v>
      </c>
      <c r="P686">
        <v>0.98405469999999895</v>
      </c>
      <c r="Q686">
        <v>0.1763477</v>
      </c>
      <c r="R686">
        <v>-2.32009E-2</v>
      </c>
      <c r="S686">
        <v>3.0560610000000001</v>
      </c>
      <c r="T686">
        <v>-7.754171E-2</v>
      </c>
      <c r="U686">
        <v>-0.27926640000000003</v>
      </c>
      <c r="V686">
        <v>4.4260649999999999E-2</v>
      </c>
      <c r="W686">
        <v>0.1905512</v>
      </c>
      <c r="X686">
        <v>0.98067899999999997</v>
      </c>
      <c r="Y686">
        <v>0.112219</v>
      </c>
      <c r="Z686">
        <v>-2.4669890000000002E-3</v>
      </c>
      <c r="AA686">
        <v>0.99368040000000002</v>
      </c>
      <c r="AB686">
        <v>33</v>
      </c>
      <c r="AC686">
        <v>41.879899999999999</v>
      </c>
      <c r="AD686">
        <v>-1.0712042340850001</v>
      </c>
      <c r="AE686">
        <v>-3.86509999999998</v>
      </c>
      <c r="AF686">
        <v>4.7566996092114504</v>
      </c>
      <c r="AG686">
        <v>-1.0712042340850001</v>
      </c>
      <c r="AH686">
        <v>41.760580755470002</v>
      </c>
      <c r="AI686">
        <v>91.459940645250498</v>
      </c>
      <c r="AJ686">
        <v>83.501784544286394</v>
      </c>
      <c r="AK686">
        <v>42.044259711850302</v>
      </c>
      <c r="AL686">
        <v>79.015047026772294</v>
      </c>
      <c r="AM686">
        <v>87.415842826878901</v>
      </c>
      <c r="AN686">
        <v>1.0000000330004299</v>
      </c>
    </row>
    <row r="687" spans="1:40" x14ac:dyDescent="0.25">
      <c r="A687" t="str">
        <f>"20190303162511838"</f>
        <v>20190303162511838</v>
      </c>
      <c r="B687" t="str">
        <f>"1551601511833078"</f>
        <v>1551601511833078</v>
      </c>
      <c r="C687" t="s">
        <v>40</v>
      </c>
      <c r="D687">
        <v>5.165349</v>
      </c>
      <c r="E687">
        <v>0.47904629999999998</v>
      </c>
      <c r="F687" t="s">
        <v>41</v>
      </c>
      <c r="G687">
        <v>-246.11930000000001</v>
      </c>
      <c r="H687" s="1">
        <v>-2.8770070000000001E-6</v>
      </c>
      <c r="I687">
        <v>364.34519999999998</v>
      </c>
      <c r="J687">
        <v>-286.87700000000001</v>
      </c>
      <c r="K687">
        <v>1.071199</v>
      </c>
      <c r="L687">
        <v>368.01159999999999</v>
      </c>
      <c r="M687">
        <v>0.99966759999999999</v>
      </c>
      <c r="N687">
        <v>-1.4464869999999999E-2</v>
      </c>
      <c r="O687">
        <v>2.1346299999999999E-2</v>
      </c>
      <c r="P687">
        <v>0.98401740000000004</v>
      </c>
      <c r="Q687">
        <v>0.1765285</v>
      </c>
      <c r="R687">
        <v>-2.340627E-2</v>
      </c>
      <c r="S687">
        <v>3.0564879999999999</v>
      </c>
      <c r="T687">
        <v>-7.9676750000000005E-2</v>
      </c>
      <c r="U687">
        <v>-0.27218629999999999</v>
      </c>
      <c r="V687">
        <v>4.4430400000000002E-2</v>
      </c>
      <c r="W687">
        <v>0.19072819999999999</v>
      </c>
      <c r="X687">
        <v>0.98063690000000003</v>
      </c>
      <c r="Y687">
        <v>0.109885999999999</v>
      </c>
      <c r="Z687">
        <v>-2.4730160000000002E-3</v>
      </c>
      <c r="AA687">
        <v>0.99394110000000002</v>
      </c>
      <c r="AB687">
        <v>33</v>
      </c>
      <c r="AC687">
        <v>40.7577</v>
      </c>
      <c r="AD687">
        <v>-1.071201877007</v>
      </c>
      <c r="AE687">
        <v>-3.6663999999999999</v>
      </c>
      <c r="AF687">
        <v>4.5325756782912201</v>
      </c>
      <c r="AG687">
        <v>-1.071201877007</v>
      </c>
      <c r="AH687">
        <v>40.642290359580997</v>
      </c>
      <c r="AI687">
        <v>91.500487448538905</v>
      </c>
      <c r="AJ687">
        <v>83.636462063247507</v>
      </c>
      <c r="AK687">
        <v>40.908281330474303</v>
      </c>
      <c r="AL687">
        <v>79.004716042713994</v>
      </c>
      <c r="AM687">
        <v>87.405834274734602</v>
      </c>
      <c r="AN687">
        <v>1.0000000181805</v>
      </c>
    </row>
    <row r="688" spans="1:40" x14ac:dyDescent="0.25">
      <c r="A688" t="str">
        <f>"20190303162511861"</f>
        <v>20190303162511861</v>
      </c>
      <c r="B688" t="str">
        <f>"1551601511853574"</f>
        <v>1551601511853574</v>
      </c>
      <c r="C688" t="s">
        <v>40</v>
      </c>
      <c r="D688">
        <v>4.9582509999999997</v>
      </c>
      <c r="E688">
        <v>0.47629569999999999</v>
      </c>
      <c r="F688" t="s">
        <v>41</v>
      </c>
      <c r="G688">
        <v>-240.12819999999999</v>
      </c>
      <c r="H688" s="1">
        <v>-4.6694440000000001E-6</v>
      </c>
      <c r="I688">
        <v>369.48970000000003</v>
      </c>
      <c r="J688">
        <v>-286.54500000000002</v>
      </c>
      <c r="K688">
        <v>1.0712029999999999</v>
      </c>
      <c r="L688">
        <v>368.01870000000002</v>
      </c>
      <c r="M688">
        <v>0.99966829999999995</v>
      </c>
      <c r="N688">
        <v>-1.4461369999999999E-2</v>
      </c>
      <c r="O688">
        <v>2.1310800000000001E-2</v>
      </c>
      <c r="P688">
        <v>0.98397939999999995</v>
      </c>
      <c r="Q688">
        <v>0.17666960000000001</v>
      </c>
      <c r="R688">
        <v>-2.3928930000000001E-2</v>
      </c>
      <c r="S688">
        <v>3.0636290000000002</v>
      </c>
      <c r="T688">
        <v>-7.0200090000000007E-2</v>
      </c>
      <c r="U688">
        <v>9.6862790000000004E-2</v>
      </c>
      <c r="V688">
        <v>4.4917239999999997E-2</v>
      </c>
      <c r="W688">
        <v>0.1908649</v>
      </c>
      <c r="X688">
        <v>0.98058809999999996</v>
      </c>
      <c r="Y688">
        <v>-1.028802E-2</v>
      </c>
      <c r="Z688" s="1">
        <v>1.234241E-5</v>
      </c>
      <c r="AA688">
        <v>0.99994709999999998</v>
      </c>
      <c r="AB688">
        <v>32</v>
      </c>
      <c r="AC688">
        <v>46.416800000000002</v>
      </c>
      <c r="AD688">
        <v>-1.071207669444</v>
      </c>
      <c r="AE688">
        <v>1.4710000000000001</v>
      </c>
      <c r="AF688">
        <v>-0.48112727987759801</v>
      </c>
      <c r="AG688">
        <v>-1.071207669444</v>
      </c>
      <c r="AH688">
        <v>46.412913486825502</v>
      </c>
      <c r="AI688">
        <v>91.322077924125793</v>
      </c>
      <c r="AJ688">
        <v>90.593920379359901</v>
      </c>
      <c r="AK688">
        <v>46.427766559097599</v>
      </c>
      <c r="AL688">
        <v>78.996736877849301</v>
      </c>
      <c r="AM688">
        <v>87.377318199658703</v>
      </c>
      <c r="AN688">
        <v>0.99999999518141802</v>
      </c>
    </row>
    <row r="689" spans="1:40" x14ac:dyDescent="0.25">
      <c r="A689" t="str">
        <f>"20190303162511881"</f>
        <v>20190303162511881</v>
      </c>
      <c r="B689" t="str">
        <f>"1551601511873094"</f>
        <v>1551601511873094</v>
      </c>
      <c r="C689" t="s">
        <v>40</v>
      </c>
      <c r="D689">
        <v>5.0037000000000003</v>
      </c>
      <c r="E689">
        <v>0.47533500000000001</v>
      </c>
      <c r="F689" t="s">
        <v>41</v>
      </c>
      <c r="G689">
        <v>-240.5438</v>
      </c>
      <c r="H689" s="1">
        <v>-4.4934369999999996E-6</v>
      </c>
      <c r="I689">
        <v>369.77780000000001</v>
      </c>
      <c r="J689">
        <v>-286.2525</v>
      </c>
      <c r="K689">
        <v>1.0712010000000001</v>
      </c>
      <c r="L689">
        <v>368.0249</v>
      </c>
      <c r="M689">
        <v>0.99966900000000003</v>
      </c>
      <c r="N689">
        <v>-1.445827E-2</v>
      </c>
      <c r="O689">
        <v>2.1279650000000001E-2</v>
      </c>
      <c r="P689">
        <v>0.98406939999999998</v>
      </c>
      <c r="Q689">
        <v>0.17609320000000001</v>
      </c>
      <c r="R689">
        <v>-2.4470459999999999E-2</v>
      </c>
      <c r="S689">
        <v>3.0644840000000002</v>
      </c>
      <c r="T689">
        <v>-7.1361300000000003E-2</v>
      </c>
      <c r="U689">
        <v>0.1171875</v>
      </c>
      <c r="V689">
        <v>4.5429909999999997E-2</v>
      </c>
      <c r="W689">
        <v>0.19028680000000001</v>
      </c>
      <c r="X689">
        <v>0.98067680000000002</v>
      </c>
      <c r="Y689">
        <v>-1.693101E-2</v>
      </c>
      <c r="Z689">
        <v>1.319084E-4</v>
      </c>
      <c r="AA689">
        <v>0.99985670000000004</v>
      </c>
      <c r="AB689">
        <v>32</v>
      </c>
      <c r="AC689">
        <v>45.708699999999901</v>
      </c>
      <c r="AD689">
        <v>-1.0712054934369999</v>
      </c>
      <c r="AE689">
        <v>1.7529000000000099</v>
      </c>
      <c r="AF689">
        <v>-0.77930878002905002</v>
      </c>
      <c r="AG689">
        <v>-1.0712054934369999</v>
      </c>
      <c r="AH689">
        <v>45.710584288722998</v>
      </c>
      <c r="AI689">
        <v>91.342258258191706</v>
      </c>
      <c r="AJ689">
        <v>90.976727368120805</v>
      </c>
      <c r="AK689">
        <v>45.729774976488301</v>
      </c>
      <c r="AL689">
        <v>79.030477618705604</v>
      </c>
      <c r="AM689">
        <v>87.347665898017695</v>
      </c>
      <c r="AN689">
        <v>0.99999996451754303</v>
      </c>
    </row>
    <row r="690" spans="1:40" x14ac:dyDescent="0.25">
      <c r="A690" t="str">
        <f>"20190303162511915"</f>
        <v>20190303162511915</v>
      </c>
      <c r="B690" t="str">
        <f>"1551601511903350"</f>
        <v>1551601511903350</v>
      </c>
      <c r="C690" t="s">
        <v>40</v>
      </c>
      <c r="D690">
        <v>4.8911189999999998</v>
      </c>
      <c r="E690">
        <v>0.4752596</v>
      </c>
      <c r="F690" t="s">
        <v>41</v>
      </c>
      <c r="G690">
        <v>-245.83879999999999</v>
      </c>
      <c r="H690" s="1">
        <v>-1.9561249999999998E-6</v>
      </c>
      <c r="I690">
        <v>369.64870000000002</v>
      </c>
      <c r="J690">
        <v>-285.76929999999999</v>
      </c>
      <c r="K690">
        <v>1.071199</v>
      </c>
      <c r="L690">
        <v>368.0351</v>
      </c>
      <c r="M690">
        <v>0.99967030000000001</v>
      </c>
      <c r="N690">
        <v>-1.445307E-2</v>
      </c>
      <c r="O690">
        <v>2.1227179999999998E-2</v>
      </c>
      <c r="P690">
        <v>0.98417790000000005</v>
      </c>
      <c r="Q690">
        <v>0.17534949999999999</v>
      </c>
      <c r="R690">
        <v>-2.542848E-2</v>
      </c>
      <c r="S690">
        <v>3.0661619999999998</v>
      </c>
      <c r="T690">
        <v>-8.1271410000000002E-2</v>
      </c>
      <c r="U690">
        <v>0.1231995</v>
      </c>
      <c r="V690">
        <v>4.6338280000000003E-2</v>
      </c>
      <c r="W690">
        <v>0.18953909999999999</v>
      </c>
      <c r="X690">
        <v>0.98077910000000001</v>
      </c>
      <c r="Y690">
        <v>-1.891791E-2</v>
      </c>
      <c r="Z690">
        <v>1.3187069999999999E-4</v>
      </c>
      <c r="AA690">
        <v>0.99982099999999996</v>
      </c>
      <c r="AB690">
        <v>32</v>
      </c>
      <c r="AC690">
        <v>39.930500000000002</v>
      </c>
      <c r="AD690">
        <v>-1.071200956125</v>
      </c>
      <c r="AE690">
        <v>1.6136000000000099</v>
      </c>
      <c r="AF690">
        <v>-0.76498633331616595</v>
      </c>
      <c r="AG690">
        <v>-1.071200956125</v>
      </c>
      <c r="AH690">
        <v>39.927069252995402</v>
      </c>
      <c r="AI690">
        <v>91.536534525515407</v>
      </c>
      <c r="AJ690">
        <v>91.097629428888297</v>
      </c>
      <c r="AK690">
        <v>39.9487613664311</v>
      </c>
      <c r="AL690">
        <v>79.074111890587304</v>
      </c>
      <c r="AM690">
        <v>87.294992309720499</v>
      </c>
      <c r="AN690">
        <v>0.99999997480948899</v>
      </c>
    </row>
    <row r="691" spans="1:40" x14ac:dyDescent="0.25">
      <c r="A691" t="str">
        <f>"20190303162511938"</f>
        <v>20190303162511938</v>
      </c>
      <c r="B691" t="str">
        <f>"1551601511922871"</f>
        <v>1551601511922871</v>
      </c>
      <c r="C691" t="s">
        <v>40</v>
      </c>
      <c r="D691">
        <v>5.0959070000000004</v>
      </c>
      <c r="E691">
        <v>0.47545949999999998</v>
      </c>
      <c r="F691" t="s">
        <v>41</v>
      </c>
      <c r="G691">
        <v>-249.53720000000001</v>
      </c>
      <c r="H691" s="1">
        <v>-2.2553599999999999E-7</v>
      </c>
      <c r="I691">
        <v>369.4683</v>
      </c>
      <c r="J691">
        <v>-285.43509999999998</v>
      </c>
      <c r="K691">
        <v>1.0712010000000001</v>
      </c>
      <c r="L691">
        <v>368.0421</v>
      </c>
      <c r="M691">
        <v>0.99967110000000003</v>
      </c>
      <c r="N691">
        <v>-1.4449480000000001E-2</v>
      </c>
      <c r="O691">
        <v>2.1188619999999998E-2</v>
      </c>
      <c r="P691">
        <v>0.9841993</v>
      </c>
      <c r="Q691">
        <v>0.175151</v>
      </c>
      <c r="R691">
        <v>-2.5958410000000001E-2</v>
      </c>
      <c r="S691">
        <v>3.0675349999999999</v>
      </c>
      <c r="T691">
        <v>-9.0691330000000001E-2</v>
      </c>
      <c r="U691">
        <v>0.121337899999999</v>
      </c>
      <c r="V691">
        <v>4.683118E-2</v>
      </c>
      <c r="W691">
        <v>0.1893369</v>
      </c>
      <c r="X691">
        <v>0.98079479999999997</v>
      </c>
      <c r="Y691">
        <v>-1.8331940000000001E-2</v>
      </c>
      <c r="Z691" s="1">
        <v>8.3490119999999902E-5</v>
      </c>
      <c r="AA691">
        <v>0.99983200000000005</v>
      </c>
      <c r="AB691">
        <v>32</v>
      </c>
      <c r="AC691">
        <v>35.8978999999999</v>
      </c>
      <c r="AD691">
        <v>-1.0712012255359999</v>
      </c>
      <c r="AE691">
        <v>1.4261999999999899</v>
      </c>
      <c r="AF691">
        <v>-0.66458254932281302</v>
      </c>
      <c r="AG691">
        <v>-1.0712012255359999</v>
      </c>
      <c r="AH691">
        <v>35.888155616584903</v>
      </c>
      <c r="AI691">
        <v>91.709382375021704</v>
      </c>
      <c r="AJ691">
        <v>91.060891062360298</v>
      </c>
      <c r="AK691">
        <v>35.910288993416202</v>
      </c>
      <c r="AL691">
        <v>79.0859113573987</v>
      </c>
      <c r="AM691">
        <v>87.266306272328904</v>
      </c>
      <c r="AN691">
        <v>1.0000000304144201</v>
      </c>
    </row>
    <row r="692" spans="1:40" x14ac:dyDescent="0.25">
      <c r="A692" t="str">
        <f>"20190303162511960"</f>
        <v>20190303162511960</v>
      </c>
      <c r="B692" t="str">
        <f>"1551601511953127"</f>
        <v>1551601511953127</v>
      </c>
      <c r="C692" t="s">
        <v>40</v>
      </c>
      <c r="D692">
        <v>5.0319789999999998</v>
      </c>
      <c r="E692">
        <v>0.4756804</v>
      </c>
      <c r="F692" t="s">
        <v>41</v>
      </c>
      <c r="G692">
        <v>-249.33629999999999</v>
      </c>
      <c r="H692" s="1">
        <v>-3.2626320000000003E-7</v>
      </c>
      <c r="I692">
        <v>369.43560000000002</v>
      </c>
      <c r="J692">
        <v>-285.11020000000002</v>
      </c>
      <c r="K692">
        <v>1.0712029999999999</v>
      </c>
      <c r="L692">
        <v>368.04899999999998</v>
      </c>
      <c r="M692">
        <v>0.99967220000000001</v>
      </c>
      <c r="N692">
        <v>-1.4445970000000001E-2</v>
      </c>
      <c r="O692">
        <v>2.1143760000000001E-2</v>
      </c>
      <c r="P692">
        <v>0.9841588</v>
      </c>
      <c r="Q692">
        <v>0.17536779999999999</v>
      </c>
      <c r="R692">
        <v>-2.6035679999999999E-2</v>
      </c>
      <c r="S692">
        <v>3.0674739999999998</v>
      </c>
      <c r="T692">
        <v>-9.1024880000000002E-2</v>
      </c>
      <c r="U692">
        <v>0.11840820000000001</v>
      </c>
      <c r="V692">
        <v>4.6865360000000002E-2</v>
      </c>
      <c r="W692">
        <v>0.18954940000000001</v>
      </c>
      <c r="X692">
        <v>0.98075210000000002</v>
      </c>
      <c r="Y692">
        <v>-1.7424680000000001E-2</v>
      </c>
      <c r="Z692" s="1">
        <v>6.2735590000000002E-5</v>
      </c>
      <c r="AA692">
        <v>0.99984819999999996</v>
      </c>
      <c r="AB692">
        <v>32</v>
      </c>
      <c r="AC692">
        <v>35.773899999999998</v>
      </c>
      <c r="AD692">
        <v>-1.0712033262631999</v>
      </c>
      <c r="AE692">
        <v>1.3865999999999801</v>
      </c>
      <c r="AF692">
        <v>-0.62925299949850499</v>
      </c>
      <c r="AG692">
        <v>-1.0712033262631999</v>
      </c>
      <c r="AH692">
        <v>35.763203807358501</v>
      </c>
      <c r="AI692">
        <v>91.715383094188297</v>
      </c>
      <c r="AJ692">
        <v>91.008014312018304</v>
      </c>
      <c r="AK692">
        <v>35.784775847701397</v>
      </c>
      <c r="AL692">
        <v>79.073511230302103</v>
      </c>
      <c r="AM692">
        <v>87.264195175098706</v>
      </c>
      <c r="AN692">
        <v>1.0000000093313399</v>
      </c>
    </row>
    <row r="693" spans="1:40" x14ac:dyDescent="0.25">
      <c r="A693" t="str">
        <f>"20190303162511981"</f>
        <v>20190303162511981</v>
      </c>
      <c r="B693" t="str">
        <f>"1551601511973622"</f>
        <v>1551601511973622</v>
      </c>
      <c r="C693" t="s">
        <v>40</v>
      </c>
      <c r="D693">
        <v>5.0315830000000004</v>
      </c>
      <c r="E693">
        <v>0.47560140000000001</v>
      </c>
      <c r="F693" t="s">
        <v>41</v>
      </c>
      <c r="G693">
        <v>-248.28389999999999</v>
      </c>
      <c r="H693" s="1">
        <v>-8.2234279999999998E-7</v>
      </c>
      <c r="I693">
        <v>369.44349999999997</v>
      </c>
      <c r="J693">
        <v>-284.80790000000002</v>
      </c>
      <c r="K693">
        <v>1.0712010000000001</v>
      </c>
      <c r="L693">
        <v>368.05529999999999</v>
      </c>
      <c r="M693">
        <v>0.99967320000000004</v>
      </c>
      <c r="N693">
        <v>-1.4442719999999999E-2</v>
      </c>
      <c r="O693">
        <v>2.1092110000000001E-2</v>
      </c>
      <c r="P693">
        <v>0.9840468</v>
      </c>
      <c r="Q693">
        <v>0.17600370000000001</v>
      </c>
      <c r="R693">
        <v>-2.597988E-2</v>
      </c>
      <c r="S693">
        <v>3.0672609999999998</v>
      </c>
      <c r="T693">
        <v>-8.9220519999999998E-2</v>
      </c>
      <c r="U693">
        <v>0.1161499</v>
      </c>
      <c r="V693">
        <v>4.6759269999999999E-2</v>
      </c>
      <c r="W693">
        <v>0.19017999999999999</v>
      </c>
      <c r="X693">
        <v>0.98063500000000003</v>
      </c>
      <c r="Y693">
        <v>-1.674455E-2</v>
      </c>
      <c r="Z693" s="1">
        <v>5.5866650000000002E-5</v>
      </c>
      <c r="AA693">
        <v>0.99985979999999997</v>
      </c>
      <c r="AB693">
        <v>32</v>
      </c>
      <c r="AC693">
        <v>36.524000000000001</v>
      </c>
      <c r="AD693">
        <v>-1.0712018223427999</v>
      </c>
      <c r="AE693">
        <v>1.3881999999999799</v>
      </c>
      <c r="AF693">
        <v>-0.61691263190741397</v>
      </c>
      <c r="AG693">
        <v>-1.0712018223427999</v>
      </c>
      <c r="AH693">
        <v>36.513793294861102</v>
      </c>
      <c r="AI693">
        <v>91.680159437561997</v>
      </c>
      <c r="AJ693">
        <v>90.967939079416993</v>
      </c>
      <c r="AK693">
        <v>36.534711649600297</v>
      </c>
      <c r="AL693">
        <v>79.036710274261907</v>
      </c>
      <c r="AM693">
        <v>87.270053433384007</v>
      </c>
      <c r="AN693">
        <v>0.99999993247796404</v>
      </c>
    </row>
    <row r="694" spans="1:40" x14ac:dyDescent="0.25">
      <c r="A694" t="str">
        <f>"20190303162512004"</f>
        <v>20190303162512004</v>
      </c>
      <c r="B694" t="str">
        <f>"1551601511993142"</f>
        <v>1551601511993142</v>
      </c>
      <c r="C694" t="s">
        <v>40</v>
      </c>
      <c r="D694">
        <v>4.9307290000000004</v>
      </c>
      <c r="E694">
        <v>0.47559230000000002</v>
      </c>
      <c r="F694" t="s">
        <v>41</v>
      </c>
      <c r="G694">
        <v>-247.1788</v>
      </c>
      <c r="H694" s="1">
        <v>-1.3364959999999999E-6</v>
      </c>
      <c r="I694">
        <v>369.49</v>
      </c>
      <c r="J694">
        <v>-284.48169999999999</v>
      </c>
      <c r="K694">
        <v>1.0711869999999999</v>
      </c>
      <c r="L694">
        <v>368.06209999999999</v>
      </c>
      <c r="M694">
        <v>0.99967459999999997</v>
      </c>
      <c r="N694">
        <v>-1.4439209999999999E-2</v>
      </c>
      <c r="O694">
        <v>2.1026429999999999E-2</v>
      </c>
      <c r="P694">
        <v>0.98400129999999997</v>
      </c>
      <c r="Q694">
        <v>0.1762621</v>
      </c>
      <c r="R694">
        <v>-2.5943810000000001E-2</v>
      </c>
      <c r="S694">
        <v>3.0673219999999999</v>
      </c>
      <c r="T694">
        <v>-8.7318660000000006E-2</v>
      </c>
      <c r="U694">
        <v>0.1169434</v>
      </c>
      <c r="V694">
        <v>4.6661830000000001E-2</v>
      </c>
      <c r="W694">
        <v>0.1904333</v>
      </c>
      <c r="X694">
        <v>0.98059059999999998</v>
      </c>
      <c r="Y694">
        <v>-1.706775E-2</v>
      </c>
      <c r="Z694" s="1">
        <v>7.1502480000000001E-5</v>
      </c>
      <c r="AA694">
        <v>0.99985429999999997</v>
      </c>
      <c r="AB694">
        <v>32</v>
      </c>
      <c r="AC694">
        <v>37.302900000000001</v>
      </c>
      <c r="AD694">
        <v>-1.071188336496</v>
      </c>
      <c r="AE694">
        <v>1.4279000000000199</v>
      </c>
      <c r="AF694">
        <v>-0.64262648664608302</v>
      </c>
      <c r="AG694">
        <v>-1.071188336496</v>
      </c>
      <c r="AH694">
        <v>37.293970295761</v>
      </c>
      <c r="AI694">
        <v>91.645000476989495</v>
      </c>
      <c r="AJ694">
        <v>90.987187517545905</v>
      </c>
      <c r="AK694">
        <v>37.314884880898298</v>
      </c>
      <c r="AL694">
        <v>79.021928351906894</v>
      </c>
      <c r="AM694">
        <v>87.275610528255001</v>
      </c>
      <c r="AN694">
        <v>1.00000004646809</v>
      </c>
    </row>
    <row r="695" spans="1:40" x14ac:dyDescent="0.25">
      <c r="A695" t="str">
        <f>"20190303162512027"</f>
        <v>20190303162512027</v>
      </c>
      <c r="B695" t="str">
        <f>"1551601512013638"</f>
        <v>1551601512013638</v>
      </c>
      <c r="C695" t="s">
        <v>40</v>
      </c>
      <c r="D695">
        <v>5.0370759999999999</v>
      </c>
      <c r="E695">
        <v>0.47538730000000001</v>
      </c>
      <c r="F695" t="s">
        <v>41</v>
      </c>
      <c r="G695">
        <v>-248.0051</v>
      </c>
      <c r="H695" s="1">
        <v>-9.523679E-7</v>
      </c>
      <c r="I695">
        <v>369.45359999999999</v>
      </c>
      <c r="J695">
        <v>-284.14929999999998</v>
      </c>
      <c r="K695">
        <v>1.0711809999999999</v>
      </c>
      <c r="L695">
        <v>368.06909999999999</v>
      </c>
      <c r="M695">
        <v>0.99967649999999997</v>
      </c>
      <c r="N695">
        <v>-1.4435659999999999E-2</v>
      </c>
      <c r="O695">
        <v>2.0944910000000001E-2</v>
      </c>
      <c r="P695">
        <v>0.98393260000000005</v>
      </c>
      <c r="Q695">
        <v>0.1765487</v>
      </c>
      <c r="R695">
        <v>-2.6591360000000001E-2</v>
      </c>
      <c r="S695">
        <v>3.067993</v>
      </c>
      <c r="T695">
        <v>-9.0096120000000002E-2</v>
      </c>
      <c r="U695">
        <v>0.1170349</v>
      </c>
      <c r="V695">
        <v>4.723252E-2</v>
      </c>
      <c r="W695">
        <v>0.19071370000000001</v>
      </c>
      <c r="X695">
        <v>0.98050870000000001</v>
      </c>
      <c r="Y695">
        <v>-1.7170399999999999E-2</v>
      </c>
      <c r="Z695" s="1">
        <v>6.3641739999999994E-5</v>
      </c>
      <c r="AA695">
        <v>0.99985259999999998</v>
      </c>
      <c r="AB695">
        <v>32</v>
      </c>
      <c r="AC695">
        <v>36.144199999999898</v>
      </c>
      <c r="AD695">
        <v>-1.0711819523679</v>
      </c>
      <c r="AE695">
        <v>1.3845000000000001</v>
      </c>
      <c r="AF695">
        <v>-0.62653089867393197</v>
      </c>
      <c r="AG695">
        <v>-1.0711819523679</v>
      </c>
      <c r="AH695">
        <v>36.133580597921899</v>
      </c>
      <c r="AI695">
        <v>91.697784120330994</v>
      </c>
      <c r="AJ695">
        <v>90.993369013898899</v>
      </c>
      <c r="AK695">
        <v>36.154883744365499</v>
      </c>
      <c r="AL695">
        <v>79.005561813851202</v>
      </c>
      <c r="AM695">
        <v>87.242111459218293</v>
      </c>
      <c r="AN695">
        <v>0.99999996854446405</v>
      </c>
    </row>
    <row r="696" spans="1:40" x14ac:dyDescent="0.25">
      <c r="A696" t="str">
        <f>"20190303162512050"</f>
        <v>20190303162512050</v>
      </c>
      <c r="B696" t="str">
        <f>"1551601512043896"</f>
        <v>1551601512043896</v>
      </c>
      <c r="C696" t="s">
        <v>40</v>
      </c>
      <c r="D696">
        <v>5.0404059999999999</v>
      </c>
      <c r="E696">
        <v>0.47532839999999998</v>
      </c>
      <c r="F696" t="s">
        <v>41</v>
      </c>
      <c r="G696">
        <v>-247.2663</v>
      </c>
      <c r="H696" s="1">
        <v>-1.299094E-6</v>
      </c>
      <c r="I696">
        <v>369.4676</v>
      </c>
      <c r="J696">
        <v>-283.82920000000001</v>
      </c>
      <c r="K696">
        <v>1.0711679999999999</v>
      </c>
      <c r="L696">
        <v>368.07569999999998</v>
      </c>
      <c r="M696">
        <v>0.99967850000000003</v>
      </c>
      <c r="N696">
        <v>-1.4432230000000001E-2</v>
      </c>
      <c r="O696">
        <v>2.0848640000000002E-2</v>
      </c>
      <c r="P696">
        <v>0.98390599999999995</v>
      </c>
      <c r="Q696">
        <v>0.17662919999999999</v>
      </c>
      <c r="R696">
        <v>-2.7040709999999999E-2</v>
      </c>
      <c r="S696">
        <v>3.068085</v>
      </c>
      <c r="T696">
        <v>-8.9105729999999994E-2</v>
      </c>
      <c r="U696">
        <v>0.11633300000000001</v>
      </c>
      <c r="V696">
        <v>4.7592139999999998E-2</v>
      </c>
      <c r="W696">
        <v>0.19078899999999999</v>
      </c>
      <c r="X696">
        <v>0.98047669999999998</v>
      </c>
      <c r="Y696">
        <v>-1.703731E-2</v>
      </c>
      <c r="Z696" s="1">
        <v>6.6046240000000001E-5</v>
      </c>
      <c r="AA696">
        <v>0.99985489999999999</v>
      </c>
      <c r="AB696">
        <v>32</v>
      </c>
      <c r="AC696">
        <v>36.562899999999999</v>
      </c>
      <c r="AD696">
        <v>-1.071169299094</v>
      </c>
      <c r="AE696">
        <v>1.3919000000000199</v>
      </c>
      <c r="AF696">
        <v>-0.62869246007259205</v>
      </c>
      <c r="AG696">
        <v>-1.071169299094</v>
      </c>
      <c r="AH696">
        <v>36.552645967897398</v>
      </c>
      <c r="AI696">
        <v>91.678314950356494</v>
      </c>
      <c r="AJ696">
        <v>90.985369792122697</v>
      </c>
      <c r="AK696">
        <v>36.573741743648803</v>
      </c>
      <c r="AL696">
        <v>79.001167166636293</v>
      </c>
      <c r="AM696">
        <v>87.221055624112694</v>
      </c>
      <c r="AN696">
        <v>1.00000000677683</v>
      </c>
    </row>
    <row r="697" spans="1:40" x14ac:dyDescent="0.25">
      <c r="A697" t="str">
        <f>"20190303162512073"</f>
        <v>20190303162512073</v>
      </c>
      <c r="B697" t="str">
        <f>"1551601512063414"</f>
        <v>1551601512063414</v>
      </c>
      <c r="C697" t="s">
        <v>40</v>
      </c>
      <c r="D697">
        <v>5.0367050000000004</v>
      </c>
      <c r="E697">
        <v>0.4753484</v>
      </c>
      <c r="F697" t="s">
        <v>41</v>
      </c>
      <c r="G697">
        <v>-246.65940000000001</v>
      </c>
      <c r="H697" s="1">
        <v>-1.5848090000000001E-6</v>
      </c>
      <c r="I697">
        <v>369.47430000000003</v>
      </c>
      <c r="J697">
        <v>-283.50569999999999</v>
      </c>
      <c r="K697">
        <v>1.071156</v>
      </c>
      <c r="L697">
        <v>368.08229999999998</v>
      </c>
      <c r="M697">
        <v>0.99968109999999999</v>
      </c>
      <c r="N697">
        <v>-1.442877E-2</v>
      </c>
      <c r="O697">
        <v>2.073094E-2</v>
      </c>
      <c r="P697">
        <v>0.98394570000000003</v>
      </c>
      <c r="Q697">
        <v>0.17632970000000001</v>
      </c>
      <c r="R697">
        <v>-2.7552819999999999E-2</v>
      </c>
      <c r="S697">
        <v>3.0681150000000001</v>
      </c>
      <c r="T697">
        <v>-8.841765E-2</v>
      </c>
      <c r="U697">
        <v>0.115448</v>
      </c>
      <c r="V697">
        <v>4.7995940000000001E-2</v>
      </c>
      <c r="W697">
        <v>0.19048480000000001</v>
      </c>
      <c r="X697">
        <v>0.9805161</v>
      </c>
      <c r="Y697">
        <v>-1.6866829999999999E-2</v>
      </c>
      <c r="Z697" s="1">
        <v>6.6713260000000001E-5</v>
      </c>
      <c r="AA697">
        <v>0.99985769999999996</v>
      </c>
      <c r="AB697">
        <v>32</v>
      </c>
      <c r="AC697">
        <v>36.8462999999999</v>
      </c>
      <c r="AD697">
        <v>-1.071157584809</v>
      </c>
      <c r="AE697">
        <v>1.3920000000000501</v>
      </c>
      <c r="AF697">
        <v>-0.62723359142673496</v>
      </c>
      <c r="AG697">
        <v>-1.071157584809</v>
      </c>
      <c r="AH697">
        <v>36.836153574706799</v>
      </c>
      <c r="AI697">
        <v>91.665391880943801</v>
      </c>
      <c r="AJ697">
        <v>90.9755189233084</v>
      </c>
      <c r="AK697">
        <v>36.857061884109697</v>
      </c>
      <c r="AL697">
        <v>79.018921480609706</v>
      </c>
      <c r="AM697">
        <v>87.197627271638595</v>
      </c>
      <c r="AN697">
        <v>0.99999994582336504</v>
      </c>
    </row>
    <row r="698" spans="1:40" x14ac:dyDescent="0.25">
      <c r="A698" t="str">
        <f>"20190303162512093"</f>
        <v>20190303162512093</v>
      </c>
      <c r="B698" t="str">
        <f>"1551601512083911"</f>
        <v>1551601512083911</v>
      </c>
      <c r="C698" t="s">
        <v>40</v>
      </c>
      <c r="D698">
        <v>5.0897110000000003</v>
      </c>
      <c r="E698">
        <v>0.47554659999999899</v>
      </c>
      <c r="F698" t="s">
        <v>41</v>
      </c>
      <c r="G698">
        <v>-246.46639999999999</v>
      </c>
      <c r="H698" s="1">
        <v>-1.680085E-6</v>
      </c>
      <c r="I698">
        <v>369.45139999999998</v>
      </c>
      <c r="J698">
        <v>-283.20069999999998</v>
      </c>
      <c r="K698">
        <v>1.0711360000000001</v>
      </c>
      <c r="L698">
        <v>368.08850000000001</v>
      </c>
      <c r="M698">
        <v>0.99968380000000001</v>
      </c>
      <c r="N698">
        <v>-1.4425500000000001E-2</v>
      </c>
      <c r="O698">
        <v>2.0600569999999999E-2</v>
      </c>
      <c r="P698">
        <v>0.98395319999999997</v>
      </c>
      <c r="Q698">
        <v>0.17616780000000001</v>
      </c>
      <c r="R698">
        <v>-2.8305460000000001E-2</v>
      </c>
      <c r="S698">
        <v>3.067993</v>
      </c>
      <c r="T698">
        <v>-8.872497E-2</v>
      </c>
      <c r="U698">
        <v>0.1134033</v>
      </c>
      <c r="V698">
        <v>4.8627400000000001E-2</v>
      </c>
      <c r="W698">
        <v>0.19031809999999999</v>
      </c>
      <c r="X698">
        <v>0.98051739999999998</v>
      </c>
      <c r="Y698">
        <v>-1.6333569999999999E-2</v>
      </c>
      <c r="Z698" s="1">
        <v>5.5700179999999998E-5</v>
      </c>
      <c r="AA698">
        <v>0.99986660000000005</v>
      </c>
      <c r="AB698">
        <v>32</v>
      </c>
      <c r="AC698">
        <v>36.734299999999898</v>
      </c>
      <c r="AD698">
        <v>-1.0711376800849901</v>
      </c>
      <c r="AE698">
        <v>1.36289999999996</v>
      </c>
      <c r="AF698">
        <v>-0.60527058767011199</v>
      </c>
      <c r="AG698">
        <v>-1.0711376800849901</v>
      </c>
      <c r="AH698">
        <v>36.723401092465998</v>
      </c>
      <c r="AI698">
        <v>91.670486507466293</v>
      </c>
      <c r="AJ698">
        <v>90.944256505839306</v>
      </c>
      <c r="AK698">
        <v>36.744004629491997</v>
      </c>
      <c r="AL698">
        <v>79.028651132824507</v>
      </c>
      <c r="AM698">
        <v>87.160821465561995</v>
      </c>
      <c r="AN698">
        <v>0.99999998746056495</v>
      </c>
    </row>
    <row r="699" spans="1:40" x14ac:dyDescent="0.25">
      <c r="A699" t="str">
        <f>"20190303162512116"</f>
        <v>20190303162512116</v>
      </c>
      <c r="B699" t="str">
        <f>"1551601512103430"</f>
        <v>1551601512103430</v>
      </c>
      <c r="C699" t="s">
        <v>40</v>
      </c>
      <c r="D699">
        <v>5.0306199999999999</v>
      </c>
      <c r="E699">
        <v>0.4781282</v>
      </c>
      <c r="F699" t="s">
        <v>41</v>
      </c>
      <c r="G699">
        <v>-245.56870000000001</v>
      </c>
      <c r="H699" s="1">
        <v>-2.1088090000000001E-6</v>
      </c>
      <c r="I699">
        <v>369.42680000000001</v>
      </c>
      <c r="J699">
        <v>-282.88499999999999</v>
      </c>
      <c r="K699">
        <v>1.071116</v>
      </c>
      <c r="L699">
        <v>368.09480000000002</v>
      </c>
      <c r="M699">
        <v>0.99968699999999999</v>
      </c>
      <c r="N699">
        <v>-1.442211E-2</v>
      </c>
      <c r="O699">
        <v>2.0445990000000001E-2</v>
      </c>
      <c r="P699">
        <v>0.98395440000000001</v>
      </c>
      <c r="Q699">
        <v>0.1759638</v>
      </c>
      <c r="R699">
        <v>-2.950846E-2</v>
      </c>
      <c r="S699">
        <v>3.0677189999999999</v>
      </c>
      <c r="T699">
        <v>-8.7318060000000003E-2</v>
      </c>
      <c r="U699">
        <v>0.1091003</v>
      </c>
      <c r="V699">
        <v>4.9685819999999999E-2</v>
      </c>
      <c r="W699">
        <v>0.1901079</v>
      </c>
      <c r="X699">
        <v>0.98050510000000002</v>
      </c>
      <c r="Y699">
        <v>-1.509171E-2</v>
      </c>
      <c r="Z699" s="1">
        <v>3.6799869999999998E-5</v>
      </c>
      <c r="AA699">
        <v>0.9998861</v>
      </c>
      <c r="AB699">
        <v>32</v>
      </c>
      <c r="AC699">
        <v>37.316299999999899</v>
      </c>
      <c r="AD699">
        <v>-1.071118108809</v>
      </c>
      <c r="AE699">
        <v>1.3319999999999901</v>
      </c>
      <c r="AF699">
        <v>-0.568205941209044</v>
      </c>
      <c r="AG699">
        <v>-1.071118108809</v>
      </c>
      <c r="AH699">
        <v>37.305037900614799</v>
      </c>
      <c r="AI699">
        <v>91.644458292860307</v>
      </c>
      <c r="AJ699">
        <v>90.872624367253096</v>
      </c>
      <c r="AK699">
        <v>37.324737169348602</v>
      </c>
      <c r="AL699">
        <v>79.040918512963003</v>
      </c>
      <c r="AM699">
        <v>87.099092241466707</v>
      </c>
      <c r="AN699">
        <v>0.99999997273874497</v>
      </c>
    </row>
    <row r="700" spans="1:40" x14ac:dyDescent="0.25">
      <c r="A700" t="str">
        <f>"20190303162512139"</f>
        <v>20190303162512139</v>
      </c>
      <c r="B700" t="str">
        <f>"1551601512133642"</f>
        <v>1551601512133642</v>
      </c>
      <c r="C700" t="s">
        <v>40</v>
      </c>
      <c r="D700">
        <v>4.897551</v>
      </c>
      <c r="E700">
        <v>0.55037939999999996</v>
      </c>
      <c r="F700" t="s">
        <v>41</v>
      </c>
      <c r="G700">
        <v>-244.76390000000001</v>
      </c>
      <c r="H700" s="1">
        <v>-2.5377899999999998E-6</v>
      </c>
      <c r="I700">
        <v>369.15309999999999</v>
      </c>
      <c r="J700">
        <v>-282.55439999999999</v>
      </c>
      <c r="K700">
        <v>1.0711059999999999</v>
      </c>
      <c r="L700">
        <v>368.10140000000001</v>
      </c>
      <c r="M700">
        <v>0.99969079999999999</v>
      </c>
      <c r="N700">
        <v>-1.441855E-2</v>
      </c>
      <c r="O700">
        <v>2.026567E-2</v>
      </c>
      <c r="P700">
        <v>0.98402800000000001</v>
      </c>
      <c r="Q700">
        <v>0.17535529999999999</v>
      </c>
      <c r="R700">
        <v>-3.0653260000000002E-2</v>
      </c>
      <c r="S700">
        <v>3.0668950000000001</v>
      </c>
      <c r="T700">
        <v>-8.6172819999999997E-2</v>
      </c>
      <c r="U700">
        <v>8.5144040000000004E-2</v>
      </c>
      <c r="V700">
        <v>5.0661810000000002E-2</v>
      </c>
      <c r="W700">
        <v>0.18949460000000001</v>
      </c>
      <c r="X700">
        <v>0.9805739</v>
      </c>
      <c r="Y700">
        <v>-7.4833599999999997E-3</v>
      </c>
      <c r="Z700">
        <v>-1.178898E-4</v>
      </c>
      <c r="AA700">
        <v>0.99997199999999997</v>
      </c>
      <c r="AB700">
        <v>32</v>
      </c>
      <c r="AC700">
        <v>37.790499999999902</v>
      </c>
      <c r="AD700">
        <v>-1.07110853778999</v>
      </c>
      <c r="AE700">
        <v>1.0516999999999801</v>
      </c>
      <c r="AF700">
        <v>-0.285325618033753</v>
      </c>
      <c r="AG700">
        <v>-1.07110853778999</v>
      </c>
      <c r="AH700">
        <v>37.773731154137302</v>
      </c>
      <c r="AI700">
        <v>91.624192449332995</v>
      </c>
      <c r="AJ700">
        <v>90.432778078703294</v>
      </c>
      <c r="AK700">
        <v>37.789991393397798</v>
      </c>
      <c r="AL700">
        <v>79.076708867238196</v>
      </c>
      <c r="AM700">
        <v>87.042416414061506</v>
      </c>
      <c r="AN700">
        <v>0.99999999789142302</v>
      </c>
    </row>
    <row r="701" spans="1:40" x14ac:dyDescent="0.25">
      <c r="A701" t="str">
        <f>"20190303162512161"</f>
        <v>20190303162512161</v>
      </c>
      <c r="B701" t="str">
        <f>"1551601512153162"</f>
        <v>1551601512153162</v>
      </c>
      <c r="C701" t="s">
        <v>40</v>
      </c>
      <c r="D701">
        <v>4.7510810000000001</v>
      </c>
      <c r="E701">
        <v>0.54940299999999997</v>
      </c>
      <c r="F701" t="s">
        <v>41</v>
      </c>
      <c r="G701">
        <v>-244.95330000000001</v>
      </c>
      <c r="H701" s="1">
        <v>-3.948785E-6</v>
      </c>
      <c r="I701">
        <v>361.99990000000003</v>
      </c>
      <c r="J701">
        <v>-282.23540000000003</v>
      </c>
      <c r="K701">
        <v>1.0710919999999999</v>
      </c>
      <c r="L701">
        <v>368.10770000000002</v>
      </c>
      <c r="M701">
        <v>0.99969450000000004</v>
      </c>
      <c r="N701">
        <v>-1.44151E-2</v>
      </c>
      <c r="O701">
        <v>2.0077910000000001E-2</v>
      </c>
      <c r="P701">
        <v>0.98410109999999995</v>
      </c>
      <c r="Q701">
        <v>0.17471239999999999</v>
      </c>
      <c r="R701">
        <v>-3.1944130000000001E-2</v>
      </c>
      <c r="S701">
        <v>3.0487669999999998</v>
      </c>
      <c r="T701">
        <v>-8.6847419999999995E-2</v>
      </c>
      <c r="U701">
        <v>-0.49472050000000001</v>
      </c>
      <c r="V701">
        <v>5.1774639999999997E-2</v>
      </c>
      <c r="W701">
        <v>0.1888475</v>
      </c>
      <c r="X701">
        <v>0.98064059999999997</v>
      </c>
      <c r="Y701">
        <v>0.1798525</v>
      </c>
      <c r="Z701">
        <v>-4.130557E-3</v>
      </c>
      <c r="AA701">
        <v>0.98368489999999997</v>
      </c>
      <c r="AB701">
        <v>32</v>
      </c>
      <c r="AC701">
        <v>37.2821</v>
      </c>
      <c r="AD701">
        <v>-1.071095948785</v>
      </c>
      <c r="AE701">
        <v>-6.1077999999999903</v>
      </c>
      <c r="AF701">
        <v>6.8496871034677902</v>
      </c>
      <c r="AG701">
        <v>-1.071095948785</v>
      </c>
      <c r="AH701">
        <v>37.122099325273702</v>
      </c>
      <c r="AI701">
        <v>91.625293772845197</v>
      </c>
      <c r="AJ701">
        <v>79.545499390993498</v>
      </c>
      <c r="AK701">
        <v>37.763947334228803</v>
      </c>
      <c r="AL701">
        <v>79.114466618932894</v>
      </c>
      <c r="AM701">
        <v>86.977774917843206</v>
      </c>
      <c r="AN701">
        <v>0.99999998898586895</v>
      </c>
    </row>
    <row r="702" spans="1:40" x14ac:dyDescent="0.25">
      <c r="A702" t="str">
        <f>"20190303162512183"</f>
        <v>20190303162512183</v>
      </c>
      <c r="B702" t="str">
        <f>"1551601512173658"</f>
        <v>1551601512173658</v>
      </c>
      <c r="C702" t="s">
        <v>40</v>
      </c>
      <c r="D702">
        <v>4.7333350000000003</v>
      </c>
      <c r="E702">
        <v>0.54958490000000004</v>
      </c>
      <c r="F702" t="s">
        <v>41</v>
      </c>
      <c r="G702">
        <v>-251.46</v>
      </c>
      <c r="H702" s="1">
        <v>-4.7906749999999997E-6</v>
      </c>
      <c r="I702">
        <v>363.16300000000001</v>
      </c>
      <c r="J702">
        <v>-281.9282</v>
      </c>
      <c r="K702">
        <v>1.0710740000000001</v>
      </c>
      <c r="L702">
        <v>368.11360000000002</v>
      </c>
      <c r="M702">
        <v>0.99969830000000004</v>
      </c>
      <c r="N702">
        <v>-1.4411780000000001E-2</v>
      </c>
      <c r="O702">
        <v>1.9888739999999999E-2</v>
      </c>
      <c r="P702">
        <v>0.98411749999999998</v>
      </c>
      <c r="Q702">
        <v>0.1742938</v>
      </c>
      <c r="R702">
        <v>-3.368554E-2</v>
      </c>
      <c r="S702">
        <v>3.0513919999999999</v>
      </c>
      <c r="T702">
        <v>-0.1061991</v>
      </c>
      <c r="U702">
        <v>-0.4902649</v>
      </c>
      <c r="V702">
        <v>5.3333279999999997E-2</v>
      </c>
      <c r="W702">
        <v>0.1884238</v>
      </c>
      <c r="X702">
        <v>0.98063860000000003</v>
      </c>
      <c r="Y702">
        <v>0.17808860000000001</v>
      </c>
      <c r="Z702">
        <v>-4.7736159999999996E-3</v>
      </c>
      <c r="AA702">
        <v>0.98400290000000001</v>
      </c>
      <c r="AB702">
        <v>32</v>
      </c>
      <c r="AC702">
        <v>30.4682</v>
      </c>
      <c r="AD702">
        <v>-1.0710787906749999</v>
      </c>
      <c r="AE702">
        <v>-4.9505999999999997</v>
      </c>
      <c r="AF702">
        <v>5.5489765729642304</v>
      </c>
      <c r="AG702">
        <v>-1.0710787906749999</v>
      </c>
      <c r="AH702">
        <v>30.327186288450498</v>
      </c>
      <c r="AI702">
        <v>91.989695666855098</v>
      </c>
      <c r="AJ702">
        <v>79.631263350062</v>
      </c>
      <c r="AK702">
        <v>30.8492557277727</v>
      </c>
      <c r="AL702">
        <v>79.139186927436896</v>
      </c>
      <c r="AM702">
        <v>86.886962911842502</v>
      </c>
      <c r="AN702">
        <v>1.0000000154859701</v>
      </c>
    </row>
    <row r="703" spans="1:40" x14ac:dyDescent="0.25">
      <c r="A703" t="str">
        <f>"20190303162512205"</f>
        <v>20190303162512205</v>
      </c>
      <c r="B703" t="str">
        <f>"1551601512193178"</f>
        <v>1551601512193178</v>
      </c>
      <c r="C703" t="s">
        <v>40</v>
      </c>
      <c r="D703">
        <v>4.7082860000000002</v>
      </c>
      <c r="E703">
        <v>0.54952539999999905</v>
      </c>
      <c r="F703" t="s">
        <v>41</v>
      </c>
      <c r="G703">
        <v>-251.81389999999999</v>
      </c>
      <c r="H703" s="1">
        <v>-4.6308790000000001E-6</v>
      </c>
      <c r="I703">
        <v>363.20800000000003</v>
      </c>
      <c r="J703">
        <v>-281.61169999999998</v>
      </c>
      <c r="K703">
        <v>1.071067</v>
      </c>
      <c r="L703">
        <v>368.11970000000002</v>
      </c>
      <c r="M703">
        <v>0.99970250000000005</v>
      </c>
      <c r="N703">
        <v>-1.440835E-2</v>
      </c>
      <c r="O703">
        <v>1.96887E-2</v>
      </c>
      <c r="P703">
        <v>0.98411020000000005</v>
      </c>
      <c r="Q703">
        <v>0.17408189999999901</v>
      </c>
      <c r="R703">
        <v>-3.4969220000000002E-2</v>
      </c>
      <c r="S703">
        <v>3.0506289999999998</v>
      </c>
      <c r="T703">
        <v>-0.10850170000000001</v>
      </c>
      <c r="U703">
        <v>-0.49694820000000001</v>
      </c>
      <c r="V703">
        <v>5.4422360000000003E-2</v>
      </c>
      <c r="W703">
        <v>0.18820690000000001</v>
      </c>
      <c r="X703">
        <v>0.98062039999999995</v>
      </c>
      <c r="Y703">
        <v>0.18002319999999999</v>
      </c>
      <c r="Z703">
        <v>-4.8995610000000002E-3</v>
      </c>
      <c r="AA703">
        <v>0.98365009999999997</v>
      </c>
      <c r="AB703">
        <v>32</v>
      </c>
      <c r="AC703">
        <v>29.797799999999899</v>
      </c>
      <c r="AD703">
        <v>-1.071071630879</v>
      </c>
      <c r="AE703">
        <v>-4.91169999999999</v>
      </c>
      <c r="AF703">
        <v>5.4905821805836998</v>
      </c>
      <c r="AG703">
        <v>-1.071071630879</v>
      </c>
      <c r="AH703">
        <v>29.6580026618646</v>
      </c>
      <c r="AI703">
        <v>92.033757609301801</v>
      </c>
      <c r="AJ703">
        <v>79.511587254667106</v>
      </c>
      <c r="AK703">
        <v>30.1809676619452</v>
      </c>
      <c r="AL703">
        <v>79.151840603268894</v>
      </c>
      <c r="AM703">
        <v>86.823463897520497</v>
      </c>
      <c r="AN703">
        <v>0.99999999968586895</v>
      </c>
    </row>
    <row r="704" spans="1:40" x14ac:dyDescent="0.25">
      <c r="A704" t="str">
        <f>"20190303162512227"</f>
        <v>20190303162512227</v>
      </c>
      <c r="B704" t="str">
        <f>"1551601512223085"</f>
        <v>1551601512223085</v>
      </c>
      <c r="C704" t="s">
        <v>40</v>
      </c>
      <c r="D704">
        <v>4.7122809999999999</v>
      </c>
      <c r="E704">
        <v>0.54940250000000002</v>
      </c>
      <c r="F704" t="s">
        <v>41</v>
      </c>
      <c r="G704">
        <v>-251.47739999999999</v>
      </c>
      <c r="H704" s="1">
        <v>-4.781412E-6</v>
      </c>
      <c r="I704">
        <v>363.173</v>
      </c>
      <c r="J704">
        <v>-281.28620000000001</v>
      </c>
      <c r="K704">
        <v>1.0710679999999999</v>
      </c>
      <c r="L704">
        <v>368.1259</v>
      </c>
      <c r="M704">
        <v>0.9997064</v>
      </c>
      <c r="N704">
        <v>-1.4404790000000001E-2</v>
      </c>
      <c r="O704">
        <v>1.948072E-2</v>
      </c>
      <c r="P704">
        <v>0.98412449999999996</v>
      </c>
      <c r="Q704">
        <v>0.1738683</v>
      </c>
      <c r="R704">
        <v>-3.561814E-2</v>
      </c>
      <c r="S704">
        <v>3.0498349999999999</v>
      </c>
      <c r="T704">
        <v>-0.10840089999999999</v>
      </c>
      <c r="U704">
        <v>-0.50064090000000006</v>
      </c>
      <c r="V704">
        <v>5.486825E-2</v>
      </c>
      <c r="W704">
        <v>0.18798970000000001</v>
      </c>
      <c r="X704">
        <v>0.98063730000000005</v>
      </c>
      <c r="Y704">
        <v>0.1810184</v>
      </c>
      <c r="Z704">
        <v>-4.9169010000000004E-3</v>
      </c>
      <c r="AA704">
        <v>0.98346739999999999</v>
      </c>
      <c r="AB704">
        <v>32</v>
      </c>
      <c r="AC704">
        <v>29.808800000000002</v>
      </c>
      <c r="AD704">
        <v>-1.071072781412</v>
      </c>
      <c r="AE704">
        <v>-4.9528999999999996</v>
      </c>
      <c r="AF704">
        <v>5.5257746006284698</v>
      </c>
      <c r="AG704">
        <v>-1.071072781412</v>
      </c>
      <c r="AH704">
        <v>29.669369960057299</v>
      </c>
      <c r="AI704">
        <v>92.032574664832595</v>
      </c>
      <c r="AJ704">
        <v>79.449819378055395</v>
      </c>
      <c r="AK704">
        <v>30.198557840843701</v>
      </c>
      <c r="AL704">
        <v>79.164512333426401</v>
      </c>
      <c r="AM704">
        <v>86.797547122364605</v>
      </c>
      <c r="AN704">
        <v>1.0000000831577101</v>
      </c>
    </row>
    <row r="705" spans="1:40" x14ac:dyDescent="0.25">
      <c r="A705" t="str">
        <f>"20190303162512250"</f>
        <v>20190303162512250</v>
      </c>
      <c r="B705" t="str">
        <f>"1551601512243582"</f>
        <v>1551601512243582</v>
      </c>
      <c r="C705" t="s">
        <v>40</v>
      </c>
      <c r="D705">
        <v>4.7044319999999997</v>
      </c>
      <c r="E705">
        <v>0.54933480000000001</v>
      </c>
      <c r="F705" t="s">
        <v>41</v>
      </c>
      <c r="G705">
        <v>-251.30529999999999</v>
      </c>
      <c r="H705" s="1">
        <v>-4.8516040000000004E-6</v>
      </c>
      <c r="I705">
        <v>363.1936</v>
      </c>
      <c r="J705">
        <v>-280.97030000000001</v>
      </c>
      <c r="K705">
        <v>1.0712349999999999</v>
      </c>
      <c r="L705">
        <v>368.13189999999997</v>
      </c>
      <c r="M705">
        <v>0.99970199999999998</v>
      </c>
      <c r="N705">
        <v>-1.4963189999999999E-2</v>
      </c>
      <c r="O705">
        <v>1.9293520000000002E-2</v>
      </c>
      <c r="P705">
        <v>0.9841761</v>
      </c>
      <c r="Q705">
        <v>0.1733809</v>
      </c>
      <c r="R705">
        <v>-3.6563119999999998E-2</v>
      </c>
      <c r="S705">
        <v>3.0495000000000001</v>
      </c>
      <c r="T705">
        <v>-0.1089435</v>
      </c>
      <c r="U705">
        <v>-0.50167850000000003</v>
      </c>
      <c r="V705">
        <v>5.5628200000000003E-2</v>
      </c>
      <c r="W705">
        <v>0.18805050000000001</v>
      </c>
      <c r="X705">
        <v>0.98058270000000003</v>
      </c>
      <c r="Y705">
        <v>0.18117440000000001</v>
      </c>
      <c r="Z705">
        <v>-4.9768770000000002E-3</v>
      </c>
      <c r="AA705">
        <v>0.98343840000000005</v>
      </c>
      <c r="AB705">
        <v>32</v>
      </c>
      <c r="AC705">
        <v>29.664999999999999</v>
      </c>
      <c r="AD705">
        <v>-1.071239851604</v>
      </c>
      <c r="AE705">
        <v>-4.9382999999999697</v>
      </c>
      <c r="AF705">
        <v>5.5028045994582904</v>
      </c>
      <c r="AG705">
        <v>-1.071239851604</v>
      </c>
      <c r="AH705">
        <v>29.526723906792402</v>
      </c>
      <c r="AI705">
        <v>92.0426594457644</v>
      </c>
      <c r="AJ705">
        <v>79.443073407257401</v>
      </c>
      <c r="AK705">
        <v>30.0542149780598</v>
      </c>
      <c r="AL705">
        <v>79.160964135013202</v>
      </c>
      <c r="AM705">
        <v>86.753105555871201</v>
      </c>
      <c r="AN705">
        <v>0.99999995936238895</v>
      </c>
    </row>
    <row r="706" spans="1:40" x14ac:dyDescent="0.25">
      <c r="A706" t="str">
        <f>"20190303162512272"</f>
        <v>20190303162512272</v>
      </c>
      <c r="B706" t="str">
        <f>"1551601512263102"</f>
        <v>1551601512263102</v>
      </c>
      <c r="C706" t="s">
        <v>40</v>
      </c>
      <c r="D706">
        <v>4.6992570000000002</v>
      </c>
      <c r="E706">
        <v>0.54924430000000002</v>
      </c>
      <c r="F706" t="s">
        <v>41</v>
      </c>
      <c r="G706">
        <v>-250.97280000000001</v>
      </c>
      <c r="H706" s="1">
        <v>-4.9971739999999999E-6</v>
      </c>
      <c r="I706">
        <v>363.17700000000002</v>
      </c>
      <c r="J706">
        <v>-280.6617</v>
      </c>
      <c r="K706">
        <v>1.0717760000000001</v>
      </c>
      <c r="L706">
        <v>368.13760000000002</v>
      </c>
      <c r="M706">
        <v>0.99968729999999995</v>
      </c>
      <c r="N706">
        <v>-1.611711E-2</v>
      </c>
      <c r="O706">
        <v>1.9124439999999999E-2</v>
      </c>
      <c r="P706">
        <v>0.98433850000000001</v>
      </c>
      <c r="Q706">
        <v>0.17231679999999999</v>
      </c>
      <c r="R706">
        <v>-3.7211340000000002E-2</v>
      </c>
      <c r="S706">
        <v>3.0487060000000001</v>
      </c>
      <c r="T706">
        <v>-0.1088721</v>
      </c>
      <c r="U706">
        <v>-0.50357059999999998</v>
      </c>
      <c r="V706">
        <v>5.6108619999999998E-2</v>
      </c>
      <c r="W706">
        <v>0.18812219999999999</v>
      </c>
      <c r="X706">
        <v>0.98054160000000001</v>
      </c>
      <c r="Y706">
        <v>0.18164</v>
      </c>
      <c r="Z706">
        <v>-5.0671620000000001E-3</v>
      </c>
      <c r="AA706">
        <v>0.98335209999999995</v>
      </c>
      <c r="AB706">
        <v>32</v>
      </c>
      <c r="AC706">
        <v>29.688899999999901</v>
      </c>
      <c r="AD706">
        <v>-1.071780997174</v>
      </c>
      <c r="AE706">
        <v>-4.9606000000000501</v>
      </c>
      <c r="AF706">
        <v>5.5205506212342703</v>
      </c>
      <c r="AG706">
        <v>-1.071780997174</v>
      </c>
      <c r="AH706">
        <v>29.551121623245699</v>
      </c>
      <c r="AI706">
        <v>92.041840262526307</v>
      </c>
      <c r="AJ706">
        <v>79.4183430896624</v>
      </c>
      <c r="AK706">
        <v>30.081455796875399</v>
      </c>
      <c r="AL706">
        <v>79.156781649869501</v>
      </c>
      <c r="AM706">
        <v>86.724988310658404</v>
      </c>
      <c r="AN706">
        <v>0.99999998435085202</v>
      </c>
    </row>
    <row r="707" spans="1:40" x14ac:dyDescent="0.25">
      <c r="A707" t="str">
        <f>"20190303162512295"</f>
        <v>20190303162512295</v>
      </c>
      <c r="B707" t="str">
        <f>"1551601512283599"</f>
        <v>1551601512283599</v>
      </c>
      <c r="C707" t="s">
        <v>40</v>
      </c>
      <c r="D707">
        <v>4.6642479999999997</v>
      </c>
      <c r="E707">
        <v>0.54913080000000003</v>
      </c>
      <c r="F707" t="s">
        <v>41</v>
      </c>
      <c r="G707">
        <v>-251.05879999999999</v>
      </c>
      <c r="H707" s="1">
        <v>-4.9500299999999996E-6</v>
      </c>
      <c r="I707">
        <v>363.23489999999998</v>
      </c>
      <c r="J707">
        <v>-280.35969999999998</v>
      </c>
      <c r="K707">
        <v>1.0724370000000001</v>
      </c>
      <c r="L707">
        <v>368.14319999999998</v>
      </c>
      <c r="M707">
        <v>0.99968769999999996</v>
      </c>
      <c r="N707">
        <v>-1.6289029999999999E-2</v>
      </c>
      <c r="O707">
        <v>1.8947269999999999E-2</v>
      </c>
      <c r="P707">
        <v>0.98432059999999999</v>
      </c>
      <c r="Q707">
        <v>0.1722805</v>
      </c>
      <c r="R707">
        <v>-3.7849309999999997E-2</v>
      </c>
      <c r="S707">
        <v>3.047974</v>
      </c>
      <c r="T707">
        <v>-0.1103524</v>
      </c>
      <c r="U707">
        <v>-0.50479129999999905</v>
      </c>
      <c r="V707">
        <v>5.6573579999999998E-2</v>
      </c>
      <c r="W707">
        <v>0.18825330000000001</v>
      </c>
      <c r="X707">
        <v>0.98048970000000002</v>
      </c>
      <c r="Y707">
        <v>0.1818824</v>
      </c>
      <c r="Z707">
        <v>-5.1363340000000002E-3</v>
      </c>
      <c r="AA707">
        <v>0.98330689999999998</v>
      </c>
      <c r="AB707">
        <v>31</v>
      </c>
      <c r="AC707">
        <v>29.300899999999899</v>
      </c>
      <c r="AD707">
        <v>-1.07244195003</v>
      </c>
      <c r="AE707">
        <v>-4.9082999999999899</v>
      </c>
      <c r="AF707">
        <v>5.4555554714880197</v>
      </c>
      <c r="AG707">
        <v>-1.07244195003</v>
      </c>
      <c r="AH707">
        <v>29.1646239307751</v>
      </c>
      <c r="AI707">
        <v>92.070058343930896</v>
      </c>
      <c r="AJ707">
        <v>79.404660905652094</v>
      </c>
      <c r="AK707">
        <v>29.689872115962501</v>
      </c>
      <c r="AL707">
        <v>79.149133294015101</v>
      </c>
      <c r="AM707">
        <v>86.697734404599402</v>
      </c>
      <c r="AN707">
        <v>0.99999996336049701</v>
      </c>
    </row>
    <row r="708" spans="1:40" x14ac:dyDescent="0.25">
      <c r="A708" t="str">
        <f>"20190303162512317"</f>
        <v>20190303162512317</v>
      </c>
      <c r="B708" t="str">
        <f>"1551601512313855"</f>
        <v>1551601512313855</v>
      </c>
      <c r="C708" t="s">
        <v>40</v>
      </c>
      <c r="D708">
        <v>4.6197010000000001</v>
      </c>
      <c r="E708">
        <v>0.5490043</v>
      </c>
      <c r="F708" t="s">
        <v>41</v>
      </c>
      <c r="G708">
        <v>-250.50280000000001</v>
      </c>
      <c r="H708" s="1">
        <v>-5.1963660000000002E-6</v>
      </c>
      <c r="I708">
        <v>363.19080000000002</v>
      </c>
      <c r="J708">
        <v>-280.0394</v>
      </c>
      <c r="K708">
        <v>1.0731059999999999</v>
      </c>
      <c r="L708">
        <v>368.149</v>
      </c>
      <c r="M708">
        <v>0.99971620000000005</v>
      </c>
      <c r="N708">
        <v>-1.46797E-2</v>
      </c>
      <c r="O708">
        <v>1.876019E-2</v>
      </c>
      <c r="P708">
        <v>0.98405379999999998</v>
      </c>
      <c r="Q708">
        <v>0.1736849</v>
      </c>
      <c r="R708">
        <v>-3.8362149999999998E-2</v>
      </c>
      <c r="S708">
        <v>3.0475159999999999</v>
      </c>
      <c r="T708">
        <v>-0.1094646</v>
      </c>
      <c r="U708">
        <v>-0.50549319999999998</v>
      </c>
      <c r="V708">
        <v>5.6903299999999997E-2</v>
      </c>
      <c r="W708">
        <v>0.1880735</v>
      </c>
      <c r="X708">
        <v>0.98050519999999997</v>
      </c>
      <c r="Y708">
        <v>0.1819491</v>
      </c>
      <c r="Z708">
        <v>-4.9856579999999996E-3</v>
      </c>
      <c r="AA708">
        <v>0.98329529999999998</v>
      </c>
      <c r="AB708">
        <v>31</v>
      </c>
      <c r="AC708">
        <v>29.5366</v>
      </c>
      <c r="AD708">
        <v>-1.0731111963659901</v>
      </c>
      <c r="AE708">
        <v>-4.9581999999999704</v>
      </c>
      <c r="AF708">
        <v>5.5044325647182299</v>
      </c>
      <c r="AG708">
        <v>-1.0731111963659901</v>
      </c>
      <c r="AH708">
        <v>29.4006292662657</v>
      </c>
      <c r="AI708">
        <v>92.054676437428398</v>
      </c>
      <c r="AJ708">
        <v>79.395755449921296</v>
      </c>
      <c r="AK708">
        <v>29.930709092029399</v>
      </c>
      <c r="AL708">
        <v>79.159623244310097</v>
      </c>
      <c r="AM708">
        <v>86.678583619434605</v>
      </c>
      <c r="AN708">
        <v>1.0000000370900799</v>
      </c>
    </row>
    <row r="709" spans="1:40" x14ac:dyDescent="0.25">
      <c r="A709" t="str">
        <f>"20190303162512340"</f>
        <v>20190303162512340</v>
      </c>
      <c r="B709" t="str">
        <f>"1551601512333374"</f>
        <v>1551601512333374</v>
      </c>
      <c r="C709" t="s">
        <v>40</v>
      </c>
      <c r="D709">
        <v>4.6032679999999999</v>
      </c>
      <c r="E709">
        <v>0.54901750000000005</v>
      </c>
      <c r="F709" t="s">
        <v>41</v>
      </c>
      <c r="G709">
        <v>-248.8141</v>
      </c>
      <c r="H709" s="1">
        <v>-2.2092700000000002E-6</v>
      </c>
      <c r="I709">
        <v>362.96530000000001</v>
      </c>
      <c r="J709">
        <v>-279.72719999999998</v>
      </c>
      <c r="K709">
        <v>1.0740959999999999</v>
      </c>
      <c r="L709">
        <v>368.15460000000002</v>
      </c>
      <c r="M709">
        <v>0.99974819999999998</v>
      </c>
      <c r="N709">
        <v>-1.258219E-2</v>
      </c>
      <c r="O709">
        <v>1.858624E-2</v>
      </c>
      <c r="P709">
        <v>0.98371819999999999</v>
      </c>
      <c r="Q709">
        <v>0.1753972</v>
      </c>
      <c r="R709">
        <v>-3.9175099999999997E-2</v>
      </c>
      <c r="S709">
        <v>3.0473629999999998</v>
      </c>
      <c r="T709">
        <v>-0.1047279</v>
      </c>
      <c r="U709">
        <v>-0.5058899</v>
      </c>
      <c r="V709">
        <v>5.7541050000000003E-2</v>
      </c>
      <c r="W709">
        <v>0.18772220000000001</v>
      </c>
      <c r="X709">
        <v>0.9805353</v>
      </c>
      <c r="Y709">
        <v>0.18192820000000001</v>
      </c>
      <c r="Z709">
        <v>-4.6590829999999996E-3</v>
      </c>
      <c r="AA709">
        <v>0.98330079999999997</v>
      </c>
      <c r="AB709">
        <v>31</v>
      </c>
      <c r="AC709">
        <v>30.913099999999901</v>
      </c>
      <c r="AD709">
        <v>-1.07409820927</v>
      </c>
      <c r="AE709">
        <v>-5.1893000000000002</v>
      </c>
      <c r="AF709">
        <v>5.7562483196418199</v>
      </c>
      <c r="AG709">
        <v>-1.07409820927</v>
      </c>
      <c r="AH709">
        <v>30.775166530905398</v>
      </c>
      <c r="AI709">
        <v>91.964847981595895</v>
      </c>
      <c r="AJ709">
        <v>79.405697753856799</v>
      </c>
      <c r="AK709">
        <v>31.327287732670001</v>
      </c>
      <c r="AL709">
        <v>79.180116245339505</v>
      </c>
      <c r="AM709">
        <v>86.641546085668793</v>
      </c>
      <c r="AN709">
        <v>1.00000003567701</v>
      </c>
    </row>
    <row r="710" spans="1:40" x14ac:dyDescent="0.25">
      <c r="A710" t="str">
        <f>"20190303162512383"</f>
        <v>20190303162512383</v>
      </c>
      <c r="B710" t="str">
        <f>"1551601512373390"</f>
        <v>1551601512373390</v>
      </c>
      <c r="C710" t="s">
        <v>40</v>
      </c>
      <c r="D710">
        <v>4.5179</v>
      </c>
      <c r="E710">
        <v>0.5490216</v>
      </c>
      <c r="F710" t="s">
        <v>41</v>
      </c>
      <c r="G710">
        <v>-246.47200000000001</v>
      </c>
      <c r="H710" s="1">
        <v>-3.2043220000000002E-6</v>
      </c>
      <c r="I710">
        <v>362.60590000000002</v>
      </c>
      <c r="J710">
        <v>-279.1232</v>
      </c>
      <c r="K710">
        <v>1.0769329999999999</v>
      </c>
      <c r="L710">
        <v>368.1653</v>
      </c>
      <c r="M710">
        <v>0.99979390000000001</v>
      </c>
      <c r="N710">
        <v>-9.0094749999999994E-3</v>
      </c>
      <c r="O710">
        <v>1.819602E-2</v>
      </c>
      <c r="P710">
        <v>0.98315529999999995</v>
      </c>
      <c r="Q710">
        <v>0.1782366</v>
      </c>
      <c r="R710">
        <v>-4.0467280000000001E-2</v>
      </c>
      <c r="S710">
        <v>3.046967</v>
      </c>
      <c r="T710">
        <v>-9.8413109999999998E-2</v>
      </c>
      <c r="U710">
        <v>-0.50839230000000002</v>
      </c>
      <c r="V710">
        <v>5.8429920000000003E-2</v>
      </c>
      <c r="W710">
        <v>0.18705430000000001</v>
      </c>
      <c r="X710">
        <v>0.98061039999999999</v>
      </c>
      <c r="Y710">
        <v>0.18237439999999999</v>
      </c>
      <c r="Z710">
        <v>-4.172729E-3</v>
      </c>
      <c r="AA710">
        <v>0.98322030000000005</v>
      </c>
      <c r="AB710">
        <v>31</v>
      </c>
      <c r="AC710">
        <v>32.651199999999903</v>
      </c>
      <c r="AD710">
        <v>-1.0769362043220001</v>
      </c>
      <c r="AE710">
        <v>-5.5593999999999797</v>
      </c>
      <c r="AF710">
        <v>6.1461275922486296</v>
      </c>
      <c r="AG710">
        <v>-1.0769362043220001</v>
      </c>
      <c r="AH710">
        <v>32.510259850864998</v>
      </c>
      <c r="AI710">
        <v>91.864289518830304</v>
      </c>
      <c r="AJ710">
        <v>79.2944694019358</v>
      </c>
      <c r="AK710">
        <v>33.103650426186299</v>
      </c>
      <c r="AL710">
        <v>79.219074483201396</v>
      </c>
      <c r="AM710">
        <v>86.590048164026399</v>
      </c>
      <c r="AN710">
        <v>1.00000006164392</v>
      </c>
    </row>
    <row r="711" spans="1:40" x14ac:dyDescent="0.25">
      <c r="A711" t="str">
        <f>"20190303162512408"</f>
        <v>20190303162512408</v>
      </c>
      <c r="B711" t="str">
        <f>"1551601512403646"</f>
        <v>1551601512403646</v>
      </c>
      <c r="C711" t="s">
        <v>40</v>
      </c>
      <c r="D711">
        <v>4.4931390000000002</v>
      </c>
      <c r="E711">
        <v>0.54906679999999997</v>
      </c>
      <c r="F711" t="s">
        <v>41</v>
      </c>
      <c r="G711">
        <v>-241.74709999999999</v>
      </c>
      <c r="H711" s="1">
        <v>-5.2531249999999998E-6</v>
      </c>
      <c r="I711">
        <v>361.88490000000002</v>
      </c>
      <c r="J711">
        <v>-278.77980000000002</v>
      </c>
      <c r="K711">
        <v>1.0787180000000001</v>
      </c>
      <c r="L711">
        <v>368.17140000000001</v>
      </c>
      <c r="M711">
        <v>0.99981370000000003</v>
      </c>
      <c r="N711">
        <v>-7.0897579999999998E-3</v>
      </c>
      <c r="O711">
        <v>1.7958330000000002E-2</v>
      </c>
      <c r="P711">
        <v>0.98282329999999996</v>
      </c>
      <c r="Q711">
        <v>0.1800117</v>
      </c>
      <c r="R711">
        <v>-4.0674630000000003E-2</v>
      </c>
      <c r="S711">
        <v>3.0462340000000001</v>
      </c>
      <c r="T711">
        <v>-8.7772729999999993E-2</v>
      </c>
      <c r="U711">
        <v>-0.51187130000000003</v>
      </c>
      <c r="V711">
        <v>5.8393460000000001E-2</v>
      </c>
      <c r="W711">
        <v>0.1869451</v>
      </c>
      <c r="X711">
        <v>0.98063330000000004</v>
      </c>
      <c r="Y711">
        <v>0.18329799999999999</v>
      </c>
      <c r="Z711">
        <v>-3.663815E-3</v>
      </c>
      <c r="AA711">
        <v>0.9830506</v>
      </c>
      <c r="AB711">
        <v>31</v>
      </c>
      <c r="AC711">
        <v>37.032699999999998</v>
      </c>
      <c r="AD711">
        <v>-1.0787232531249999</v>
      </c>
      <c r="AE711">
        <v>-6.2864999999999798</v>
      </c>
      <c r="AF711">
        <v>6.9448206649252597</v>
      </c>
      <c r="AG711">
        <v>-1.0787232531249999</v>
      </c>
      <c r="AH711">
        <v>36.8834109820124</v>
      </c>
      <c r="AI711">
        <v>91.6463294052907</v>
      </c>
      <c r="AJ711">
        <v>79.336559752100797</v>
      </c>
      <c r="AK711">
        <v>37.547039611570398</v>
      </c>
      <c r="AL711">
        <v>79.225442509213295</v>
      </c>
      <c r="AM711">
        <v>86.592250334944495</v>
      </c>
      <c r="AN711">
        <v>0.99999996782683498</v>
      </c>
    </row>
    <row r="712" spans="1:40" x14ac:dyDescent="0.25">
      <c r="A712" t="str">
        <f>"20190303162512429"</f>
        <v>20190303162512429</v>
      </c>
      <c r="B712" t="str">
        <f>"1551601512423634"</f>
        <v>1551601512423634</v>
      </c>
      <c r="C712" t="s">
        <v>40</v>
      </c>
      <c r="D712">
        <v>4.4848559999999997</v>
      </c>
      <c r="E712">
        <v>0.54913299999999998</v>
      </c>
      <c r="F712" t="s">
        <v>41</v>
      </c>
      <c r="G712">
        <v>-236.94149999999999</v>
      </c>
      <c r="H712" s="1">
        <v>-3.2871900000000002E-6</v>
      </c>
      <c r="I712">
        <v>361.12150000000003</v>
      </c>
      <c r="J712">
        <v>-278.47519999999997</v>
      </c>
      <c r="K712">
        <v>1.0804320000000001</v>
      </c>
      <c r="L712">
        <v>368.17660000000001</v>
      </c>
      <c r="M712">
        <v>0.99982519999999997</v>
      </c>
      <c r="N712">
        <v>-5.9007699999999996E-3</v>
      </c>
      <c r="O712">
        <v>1.7746379999999999E-2</v>
      </c>
      <c r="P712">
        <v>0.98259059999999998</v>
      </c>
      <c r="Q712">
        <v>0.1811894</v>
      </c>
      <c r="R712">
        <v>-4.1067289999999999E-2</v>
      </c>
      <c r="S712">
        <v>3.045563</v>
      </c>
      <c r="T712">
        <v>-7.8523869999999996E-2</v>
      </c>
      <c r="U712">
        <v>-0.51318359999999996</v>
      </c>
      <c r="V712">
        <v>5.8570089999999998E-2</v>
      </c>
      <c r="W712">
        <v>0.18695690000000001</v>
      </c>
      <c r="X712">
        <v>0.98062059999999995</v>
      </c>
      <c r="Y712">
        <v>0.1835569</v>
      </c>
      <c r="Z712">
        <v>-3.245342E-3</v>
      </c>
      <c r="AA712">
        <v>0.98300370000000004</v>
      </c>
      <c r="AB712">
        <v>31</v>
      </c>
      <c r="AC712">
        <v>41.533699999999897</v>
      </c>
      <c r="AD712">
        <v>-1.08043528719</v>
      </c>
      <c r="AE712">
        <v>-7.0550999999999799</v>
      </c>
      <c r="AF712">
        <v>7.7859535212658999</v>
      </c>
      <c r="AG712">
        <v>-1.08043528719</v>
      </c>
      <c r="AH712">
        <v>41.374741328304999</v>
      </c>
      <c r="AI712">
        <v>91.470056905537106</v>
      </c>
      <c r="AJ712">
        <v>79.342638287253905</v>
      </c>
      <c r="AK712">
        <v>42.1148148829989</v>
      </c>
      <c r="AL712">
        <v>79.224755175893407</v>
      </c>
      <c r="AM712">
        <v>86.581922728298593</v>
      </c>
      <c r="AN712">
        <v>1.0000000495222801</v>
      </c>
    </row>
    <row r="713" spans="1:40" x14ac:dyDescent="0.25">
      <c r="A713" t="str">
        <f>"20190303162512451"</f>
        <v>20190303162512451</v>
      </c>
      <c r="B713" t="str">
        <f>"1551601512443154"</f>
        <v>1551601512443154</v>
      </c>
      <c r="C713" t="s">
        <v>40</v>
      </c>
      <c r="D713">
        <v>4.4043340000000004</v>
      </c>
      <c r="E713">
        <v>0.54902569999999995</v>
      </c>
      <c r="F713" t="s">
        <v>41</v>
      </c>
      <c r="G713">
        <v>-233.22989999999999</v>
      </c>
      <c r="H713" s="1">
        <v>-4.7078519999999998E-6</v>
      </c>
      <c r="I713">
        <v>360.52910000000003</v>
      </c>
      <c r="J713">
        <v>-278.17469999999997</v>
      </c>
      <c r="K713">
        <v>1.082525</v>
      </c>
      <c r="L713">
        <v>368.18180000000001</v>
      </c>
      <c r="M713">
        <v>0.99983029999999995</v>
      </c>
      <c r="N713">
        <v>-5.6795730000000003E-3</v>
      </c>
      <c r="O713">
        <v>1.7530520000000001E-2</v>
      </c>
      <c r="P713">
        <v>0.98252249999999997</v>
      </c>
      <c r="Q713">
        <v>0.18143870000000001</v>
      </c>
      <c r="R713">
        <v>-4.1590620000000002E-2</v>
      </c>
      <c r="S713">
        <v>3.0450439999999999</v>
      </c>
      <c r="T713">
        <v>-7.2714089999999995E-2</v>
      </c>
      <c r="U713">
        <v>-0.514679</v>
      </c>
      <c r="V713">
        <v>5.8877329999999999E-2</v>
      </c>
      <c r="W713">
        <v>0.18698909999999999</v>
      </c>
      <c r="X713">
        <v>0.98059600000000002</v>
      </c>
      <c r="Y713">
        <v>0.18385190000000001</v>
      </c>
      <c r="Z713">
        <v>-3.022182E-3</v>
      </c>
      <c r="AA713">
        <v>0.98294930000000003</v>
      </c>
      <c r="AB713">
        <v>31</v>
      </c>
      <c r="AC713">
        <v>44.944800000000001</v>
      </c>
      <c r="AD713">
        <v>-1.082529707852</v>
      </c>
      <c r="AE713">
        <v>-7.6526999999999799</v>
      </c>
      <c r="AF713">
        <v>8.4346870038576505</v>
      </c>
      <c r="AG713">
        <v>-1.082529707852</v>
      </c>
      <c r="AH713">
        <v>44.7784899129</v>
      </c>
      <c r="AI713">
        <v>91.360943835599599</v>
      </c>
      <c r="AJ713">
        <v>79.332490955815601</v>
      </c>
      <c r="AK713">
        <v>45.578821554545698</v>
      </c>
      <c r="AL713">
        <v>79.222876476577497</v>
      </c>
      <c r="AM713">
        <v>86.563949440172195</v>
      </c>
      <c r="AN713">
        <v>0.99999998936136902</v>
      </c>
    </row>
    <row r="714" spans="1:40" x14ac:dyDescent="0.25">
      <c r="A714" t="str">
        <f>"20190303162512475"</f>
        <v>20190303162512475</v>
      </c>
      <c r="B714" t="str">
        <f>"1551601512463651"</f>
        <v>1551601512463651</v>
      </c>
      <c r="C714" t="s">
        <v>40</v>
      </c>
      <c r="D714">
        <v>4.4494059999999998</v>
      </c>
      <c r="E714">
        <v>0.52695669999999994</v>
      </c>
      <c r="F714" t="s">
        <v>41</v>
      </c>
      <c r="G714">
        <v>-232.6695</v>
      </c>
      <c r="H714" s="1">
        <v>-4.9092859999999998E-6</v>
      </c>
      <c r="I714">
        <v>360.48880000000003</v>
      </c>
      <c r="J714">
        <v>-277.86250000000001</v>
      </c>
      <c r="K714">
        <v>1.0850709999999999</v>
      </c>
      <c r="L714">
        <v>368.18709999999999</v>
      </c>
      <c r="M714">
        <v>0.99983350000000004</v>
      </c>
      <c r="N714">
        <v>-5.7941019999999998E-3</v>
      </c>
      <c r="O714">
        <v>1.7311090000000001E-2</v>
      </c>
      <c r="P714">
        <v>0.98249869999999995</v>
      </c>
      <c r="Q714">
        <v>0.18145259999999999</v>
      </c>
      <c r="R714">
        <v>-4.208887E-2</v>
      </c>
      <c r="S714">
        <v>3.0449519999999999</v>
      </c>
      <c r="T714">
        <v>-7.2436810000000004E-2</v>
      </c>
      <c r="U714">
        <v>-0.51477050000000002</v>
      </c>
      <c r="V714">
        <v>5.9161060000000001E-2</v>
      </c>
      <c r="W714">
        <v>0.18711520000000001</v>
      </c>
      <c r="X714">
        <v>0.98055490000000001</v>
      </c>
      <c r="Y714">
        <v>0.1836701</v>
      </c>
      <c r="Z714">
        <v>-3.0143700000000002E-3</v>
      </c>
      <c r="AA714">
        <v>0.98298339999999995</v>
      </c>
      <c r="AB714">
        <v>31</v>
      </c>
      <c r="AC714">
        <v>45.192999999999998</v>
      </c>
      <c r="AD714">
        <v>-1.0850759092859901</v>
      </c>
      <c r="AE714">
        <v>-7.6982999999999597</v>
      </c>
      <c r="AF714">
        <v>8.4747518102212602</v>
      </c>
      <c r="AG714">
        <v>-1.0850759092859901</v>
      </c>
      <c r="AH714">
        <v>45.027734247771598</v>
      </c>
      <c r="AI714">
        <v>91.356633198075897</v>
      </c>
      <c r="AJ714">
        <v>79.340950657765106</v>
      </c>
      <c r="AK714">
        <v>45.831164718581</v>
      </c>
      <c r="AL714">
        <v>79.215522006048502</v>
      </c>
      <c r="AM714">
        <v>86.547286698126001</v>
      </c>
      <c r="AN714">
        <v>1.00000002050268</v>
      </c>
    </row>
    <row r="715" spans="1:40" x14ac:dyDescent="0.25">
      <c r="A715" t="str">
        <f>"20190303162512497"</f>
        <v>20190303162512497</v>
      </c>
      <c r="B715" t="str">
        <f>"1551601512483171"</f>
        <v>1551601512483171</v>
      </c>
      <c r="C715" t="s">
        <v>40</v>
      </c>
      <c r="D715">
        <v>4.4186949999999996</v>
      </c>
      <c r="E715">
        <v>0.52573309999999995</v>
      </c>
      <c r="F715" t="s">
        <v>43</v>
      </c>
      <c r="G715">
        <v>-169.2955</v>
      </c>
      <c r="H715">
        <v>0.80213449999999997</v>
      </c>
      <c r="I715">
        <v>356.04180000000002</v>
      </c>
      <c r="J715">
        <v>-277.54610000000002</v>
      </c>
      <c r="K715">
        <v>1.0878479999999999</v>
      </c>
      <c r="L715">
        <v>368.19240000000002</v>
      </c>
      <c r="M715">
        <v>0.99983789999999995</v>
      </c>
      <c r="N715">
        <v>-5.6740169999999999E-3</v>
      </c>
      <c r="O715">
        <v>1.709463E-2</v>
      </c>
      <c r="P715">
        <v>0.9824872</v>
      </c>
      <c r="Q715">
        <v>0.18124609999999999</v>
      </c>
      <c r="R715">
        <v>-4.323076E-2</v>
      </c>
      <c r="S715">
        <v>3.040314</v>
      </c>
      <c r="T715">
        <v>-7.9208609999999995E-3</v>
      </c>
      <c r="U715">
        <v>-0.34011839999999999</v>
      </c>
      <c r="V715">
        <v>6.0093519999999997E-2</v>
      </c>
      <c r="W715">
        <v>0.1867896</v>
      </c>
      <c r="X715">
        <v>0.98056019999999999</v>
      </c>
      <c r="Y715">
        <v>0.12814719999999999</v>
      </c>
      <c r="Z715">
        <v>-4.7883209999999998E-4</v>
      </c>
      <c r="AA715">
        <v>0.9917551</v>
      </c>
      <c r="AB715">
        <v>31</v>
      </c>
      <c r="AC715">
        <v>108.25060000000001</v>
      </c>
      <c r="AD715">
        <v>-0.28571349999999901</v>
      </c>
      <c r="AE715">
        <v>-12.150599999999899</v>
      </c>
      <c r="AF715">
        <v>13.999261655617699</v>
      </c>
      <c r="AG715">
        <v>-0.28571349999999901</v>
      </c>
      <c r="AH715">
        <v>108.02632499115199</v>
      </c>
      <c r="AI715">
        <v>90.150281781282203</v>
      </c>
      <c r="AJ715">
        <v>82.616122030251603</v>
      </c>
      <c r="AK715">
        <v>108.930013541726</v>
      </c>
      <c r="AL715">
        <v>79.234511516866704</v>
      </c>
      <c r="AM715">
        <v>86.493020847418407</v>
      </c>
      <c r="AN715">
        <v>0.99999994581909302</v>
      </c>
    </row>
    <row r="716" spans="1:40" x14ac:dyDescent="0.25">
      <c r="A716" t="str">
        <f>"20190303162512519"</f>
        <v>20190303162512519</v>
      </c>
      <c r="B716" t="str">
        <f>"1551601512514910"</f>
        <v>1551601512514910</v>
      </c>
      <c r="C716" t="s">
        <v>40</v>
      </c>
      <c r="D716">
        <v>4.337955</v>
      </c>
      <c r="E716">
        <v>0.5259954</v>
      </c>
      <c r="F716" t="s">
        <v>43</v>
      </c>
      <c r="G716">
        <v>-169.2955</v>
      </c>
      <c r="H716">
        <v>1.025485</v>
      </c>
      <c r="I716">
        <v>356.28609999999998</v>
      </c>
      <c r="J716">
        <v>-277.25139999999999</v>
      </c>
      <c r="K716">
        <v>1.0905910000000001</v>
      </c>
      <c r="L716">
        <v>368.19720000000001</v>
      </c>
      <c r="M716">
        <v>0.9998418</v>
      </c>
      <c r="N716">
        <v>-5.5527889999999998E-3</v>
      </c>
      <c r="O716">
        <v>1.6901550000000001E-2</v>
      </c>
      <c r="P716">
        <v>0.98238150000000002</v>
      </c>
      <c r="Q716">
        <v>0.18146109999999999</v>
      </c>
      <c r="R716">
        <v>-4.4705910000000001E-2</v>
      </c>
      <c r="S716">
        <v>3.0390630000000001</v>
      </c>
      <c r="T716">
        <v>-1.748323E-3</v>
      </c>
      <c r="U716">
        <v>-0.33425899999999997</v>
      </c>
      <c r="V716">
        <v>6.1379429999999999E-2</v>
      </c>
      <c r="W716">
        <v>0.18688379999999999</v>
      </c>
      <c r="X716">
        <v>0.98046270000000002</v>
      </c>
      <c r="Y716">
        <v>0.12611269999999999</v>
      </c>
      <c r="Z716">
        <v>-3.0350530000000002E-4</v>
      </c>
      <c r="AA716">
        <v>0.99201589999999995</v>
      </c>
      <c r="AB716">
        <v>31</v>
      </c>
      <c r="AC716">
        <v>107.9559</v>
      </c>
      <c r="AD716">
        <v>-6.5106000000000094E-2</v>
      </c>
      <c r="AE716">
        <v>-11.911099999999999</v>
      </c>
      <c r="AF716">
        <v>13.734043676216301</v>
      </c>
      <c r="AG716">
        <v>-6.5106000000000094E-2</v>
      </c>
      <c r="AH716">
        <v>107.73912109694299</v>
      </c>
      <c r="AI716">
        <v>90.034345505563607</v>
      </c>
      <c r="AJ716">
        <v>82.735401450138298</v>
      </c>
      <c r="AK716">
        <v>108.610986595433</v>
      </c>
      <c r="AL716">
        <v>79.229018619577005</v>
      </c>
      <c r="AM716">
        <v>86.417814891740093</v>
      </c>
      <c r="AN716">
        <v>1.0000000476104201</v>
      </c>
    </row>
    <row r="717" spans="1:40" x14ac:dyDescent="0.25">
      <c r="A717" t="str">
        <f>"20190303162512540"</f>
        <v>20190303162512540</v>
      </c>
      <c r="B717" t="str">
        <f>"1551601512533453"</f>
        <v>1551601512533453</v>
      </c>
      <c r="C717" t="s">
        <v>40</v>
      </c>
      <c r="D717">
        <v>4.3371089999999999</v>
      </c>
      <c r="E717">
        <v>0.52630699999999997</v>
      </c>
      <c r="F717" t="s">
        <v>43</v>
      </c>
      <c r="G717">
        <v>-169.2955</v>
      </c>
      <c r="H717">
        <v>0.93770600000000004</v>
      </c>
      <c r="I717">
        <v>356.09050000000002</v>
      </c>
      <c r="J717">
        <v>-276.94959999999998</v>
      </c>
      <c r="K717">
        <v>1.0934980000000001</v>
      </c>
      <c r="L717">
        <v>368.20209999999997</v>
      </c>
      <c r="M717">
        <v>0.99984470000000003</v>
      </c>
      <c r="N717">
        <v>-5.6423300000000001E-3</v>
      </c>
      <c r="O717">
        <v>1.670957E-2</v>
      </c>
      <c r="P717">
        <v>0.9823982</v>
      </c>
      <c r="Q717">
        <v>0.1810872</v>
      </c>
      <c r="R717">
        <v>-4.5841600000000003E-2</v>
      </c>
      <c r="S717">
        <v>3.0390929999999998</v>
      </c>
      <c r="T717">
        <v>-4.3014289999999998E-3</v>
      </c>
      <c r="U717">
        <v>-0.34082030000000002</v>
      </c>
      <c r="V717">
        <v>6.2327840000000002E-2</v>
      </c>
      <c r="W717">
        <v>0.18659609999999999</v>
      </c>
      <c r="X717">
        <v>0.98045760000000004</v>
      </c>
      <c r="Y717">
        <v>0.12803619999999999</v>
      </c>
      <c r="Z717">
        <v>-3.8228189999999998E-4</v>
      </c>
      <c r="AA717">
        <v>0.99176940000000002</v>
      </c>
      <c r="AB717">
        <v>31</v>
      </c>
      <c r="AC717">
        <v>107.654099999999</v>
      </c>
      <c r="AD717">
        <v>-0.15579199999999899</v>
      </c>
      <c r="AE717">
        <v>-12.1115999999999</v>
      </c>
      <c r="AF717">
        <v>13.9087621582074</v>
      </c>
      <c r="AG717">
        <v>-0.15579199999999899</v>
      </c>
      <c r="AH717">
        <v>107.43646445435699</v>
      </c>
      <c r="AI717">
        <v>90.082396080892295</v>
      </c>
      <c r="AJ717">
        <v>82.623495845349893</v>
      </c>
      <c r="AK717">
        <v>108.333152037468</v>
      </c>
      <c r="AL717">
        <v>79.245797086574598</v>
      </c>
      <c r="AM717">
        <v>86.362593026623898</v>
      </c>
      <c r="AN717">
        <v>0.99999998478601704</v>
      </c>
    </row>
    <row r="718" spans="1:40" x14ac:dyDescent="0.25">
      <c r="A718" t="str">
        <f>"20190303162512562"</f>
        <v>20190303162512562</v>
      </c>
      <c r="B718" t="str">
        <f>"1551601512552974"</f>
        <v>1551601512552974</v>
      </c>
      <c r="C718" t="s">
        <v>40</v>
      </c>
      <c r="D718">
        <v>4.3111870000000003</v>
      </c>
      <c r="E718">
        <v>0.52639799999999903</v>
      </c>
      <c r="F718" t="s">
        <v>43</v>
      </c>
      <c r="G718">
        <v>-169.2955</v>
      </c>
      <c r="H718">
        <v>0.89204409999999901</v>
      </c>
      <c r="I718">
        <v>355.92959999999999</v>
      </c>
      <c r="J718">
        <v>-276.6447</v>
      </c>
      <c r="K718">
        <v>1.096449</v>
      </c>
      <c r="L718">
        <v>368.20710000000003</v>
      </c>
      <c r="M718">
        <v>0.99984589999999995</v>
      </c>
      <c r="N718">
        <v>-5.9577509999999998E-3</v>
      </c>
      <c r="O718">
        <v>1.6515990000000001E-2</v>
      </c>
      <c r="P718">
        <v>0.98244799999999999</v>
      </c>
      <c r="Q718">
        <v>0.18057580000000001</v>
      </c>
      <c r="R718">
        <v>-4.6782589999999999E-2</v>
      </c>
      <c r="S718">
        <v>3.0386350000000002</v>
      </c>
      <c r="T718">
        <v>-5.6837800000000003E-3</v>
      </c>
      <c r="U718">
        <v>-0.34640500000000002</v>
      </c>
      <c r="V718">
        <v>6.3079640000000006E-2</v>
      </c>
      <c r="W718">
        <v>0.18639420000000001</v>
      </c>
      <c r="X718">
        <v>0.98044790000000004</v>
      </c>
      <c r="Y718">
        <v>0.12966</v>
      </c>
      <c r="Z718">
        <v>-4.4110390000000002E-4</v>
      </c>
      <c r="AA718">
        <v>0.99155839999999995</v>
      </c>
      <c r="AB718">
        <v>31</v>
      </c>
      <c r="AC718">
        <v>107.3492</v>
      </c>
      <c r="AD718">
        <v>-0.2044049</v>
      </c>
      <c r="AE718">
        <v>-12.2775</v>
      </c>
      <c r="AF718">
        <v>14.048784727579701</v>
      </c>
      <c r="AG718">
        <v>-0.2044049</v>
      </c>
      <c r="AH718">
        <v>107.13139517569201</v>
      </c>
      <c r="AI718">
        <v>90.108391242389999</v>
      </c>
      <c r="AJ718">
        <v>82.529089794277496</v>
      </c>
      <c r="AK718">
        <v>108.048812885544</v>
      </c>
      <c r="AL718">
        <v>79.257571428519</v>
      </c>
      <c r="AM718">
        <v>86.318802134459503</v>
      </c>
      <c r="AN718">
        <v>0.99999996169528904</v>
      </c>
    </row>
    <row r="719" spans="1:40" x14ac:dyDescent="0.25">
      <c r="A719" t="str">
        <f>"20190303162512585"</f>
        <v>20190303162512585</v>
      </c>
      <c r="B719" t="str">
        <f>"1551601512573469"</f>
        <v>1551601512573469</v>
      </c>
      <c r="C719" t="s">
        <v>40</v>
      </c>
      <c r="D719">
        <v>4.3685390000000002</v>
      </c>
      <c r="E719">
        <v>0.52637789999999995</v>
      </c>
      <c r="F719" t="s">
        <v>43</v>
      </c>
      <c r="G719">
        <v>-169.2955</v>
      </c>
      <c r="H719">
        <v>0.89510820000000002</v>
      </c>
      <c r="I719">
        <v>355.84160000000003</v>
      </c>
      <c r="J719">
        <v>-276.33539999999999</v>
      </c>
      <c r="K719">
        <v>1.0993489999999999</v>
      </c>
      <c r="L719">
        <v>368.21199999999999</v>
      </c>
      <c r="M719">
        <v>0.99984620000000002</v>
      </c>
      <c r="N719">
        <v>-6.4309909999999996E-3</v>
      </c>
      <c r="O719">
        <v>1.6318780000000001E-2</v>
      </c>
      <c r="P719">
        <v>0.98256250000000001</v>
      </c>
      <c r="Q719">
        <v>0.17976059999999999</v>
      </c>
      <c r="R719">
        <v>-4.7510289999999997E-2</v>
      </c>
      <c r="S719">
        <v>3.0379939999999999</v>
      </c>
      <c r="T719">
        <v>-5.6954619999999897E-3</v>
      </c>
      <c r="U719">
        <v>-0.34994509999999901</v>
      </c>
      <c r="V719">
        <v>6.3615610000000003E-2</v>
      </c>
      <c r="W719">
        <v>0.18604380000000001</v>
      </c>
      <c r="X719">
        <v>0.98047989999999996</v>
      </c>
      <c r="Y719">
        <v>0.1306283</v>
      </c>
      <c r="Z719">
        <v>-4.6938740000000001E-4</v>
      </c>
      <c r="AA719">
        <v>0.99143130000000002</v>
      </c>
      <c r="AB719">
        <v>31</v>
      </c>
      <c r="AC719">
        <v>107.0399</v>
      </c>
      <c r="AD719">
        <v>-0.204240799999999</v>
      </c>
      <c r="AE719">
        <v>-12.370399999999901</v>
      </c>
      <c r="AF719">
        <v>14.1154986017472</v>
      </c>
      <c r="AG719">
        <v>-0.204240799999999</v>
      </c>
      <c r="AH719">
        <v>106.823388165864</v>
      </c>
      <c r="AI719">
        <v>90.108602409617504</v>
      </c>
      <c r="AJ719">
        <v>82.472621643580894</v>
      </c>
      <c r="AK719">
        <v>107.752147423219</v>
      </c>
      <c r="AL719">
        <v>79.2780061203824</v>
      </c>
      <c r="AM719">
        <v>86.287731952482901</v>
      </c>
      <c r="AN719">
        <v>1.0000000378290601</v>
      </c>
    </row>
    <row r="720" spans="1:40" x14ac:dyDescent="0.25">
      <c r="A720" t="str">
        <f>"20190303162512609"</f>
        <v>20190303162512609</v>
      </c>
      <c r="B720" t="str">
        <f>"1551601512603726"</f>
        <v>1551601512603726</v>
      </c>
      <c r="C720" t="s">
        <v>40</v>
      </c>
      <c r="D720">
        <v>4.336131</v>
      </c>
      <c r="E720">
        <v>0.52637149999999999</v>
      </c>
      <c r="F720" t="s">
        <v>43</v>
      </c>
      <c r="G720">
        <v>-169.2955</v>
      </c>
      <c r="H720">
        <v>0.75864319999999996</v>
      </c>
      <c r="I720">
        <v>355.80770000000001</v>
      </c>
      <c r="J720">
        <v>-276.01010000000002</v>
      </c>
      <c r="K720">
        <v>1.102209</v>
      </c>
      <c r="L720">
        <v>368.21710000000002</v>
      </c>
      <c r="M720">
        <v>0.9998456</v>
      </c>
      <c r="N720">
        <v>-7.0183299999999997E-3</v>
      </c>
      <c r="O720">
        <v>1.6111299999999999E-2</v>
      </c>
      <c r="P720">
        <v>0.98262119999999997</v>
      </c>
      <c r="Q720">
        <v>0.17929700000000001</v>
      </c>
      <c r="R720">
        <v>-4.8046949999999998E-2</v>
      </c>
      <c r="S720">
        <v>3.0379330000000002</v>
      </c>
      <c r="T720">
        <v>-9.6671580000000003E-3</v>
      </c>
      <c r="U720">
        <v>-0.3520508</v>
      </c>
      <c r="V720">
        <v>6.3949820000000004E-2</v>
      </c>
      <c r="W720">
        <v>0.18615619999999999</v>
      </c>
      <c r="X720">
        <v>0.9804368</v>
      </c>
      <c r="Y720">
        <v>0.131102</v>
      </c>
      <c r="Z720">
        <v>-6.0793049999999997E-4</v>
      </c>
      <c r="AA720">
        <v>0.99136869999999999</v>
      </c>
      <c r="AB720">
        <v>31</v>
      </c>
      <c r="AC720">
        <v>106.7146</v>
      </c>
      <c r="AD720">
        <v>-0.34356579999999998</v>
      </c>
      <c r="AE720">
        <v>-12.4094</v>
      </c>
      <c r="AF720">
        <v>14.1269979972801</v>
      </c>
      <c r="AG720">
        <v>-0.34356579999999998</v>
      </c>
      <c r="AH720">
        <v>106.499722618457</v>
      </c>
      <c r="AI720">
        <v>90.183229333470393</v>
      </c>
      <c r="AJ720">
        <v>82.443928866422993</v>
      </c>
      <c r="AK720">
        <v>107.433146782929</v>
      </c>
      <c r="AL720">
        <v>79.271451319490197</v>
      </c>
      <c r="AM720">
        <v>86.268120618641902</v>
      </c>
      <c r="AN720">
        <v>1.00000001453535</v>
      </c>
    </row>
    <row r="721" spans="1:40" x14ac:dyDescent="0.25">
      <c r="A721" t="str">
        <f>"20190303162512630"</f>
        <v>20190303162512630</v>
      </c>
      <c r="B721" t="str">
        <f>"1551601512623751"</f>
        <v>1551601512623751</v>
      </c>
      <c r="C721" t="s">
        <v>40</v>
      </c>
      <c r="D721">
        <v>4.3847019999999999</v>
      </c>
      <c r="E721">
        <v>0.52648169999999905</v>
      </c>
      <c r="F721" t="s">
        <v>43</v>
      </c>
      <c r="G721">
        <v>-169.2955</v>
      </c>
      <c r="H721">
        <v>0.73502639999999997</v>
      </c>
      <c r="I721">
        <v>355.78930000000003</v>
      </c>
      <c r="J721">
        <v>-275.70080000000002</v>
      </c>
      <c r="K721">
        <v>1.104711</v>
      </c>
      <c r="L721">
        <v>368.22179999999997</v>
      </c>
      <c r="M721">
        <v>0.99984439999999997</v>
      </c>
      <c r="N721">
        <v>-7.6140940000000001E-3</v>
      </c>
      <c r="O721">
        <v>1.59153E-2</v>
      </c>
      <c r="P721">
        <v>0.98266710000000002</v>
      </c>
      <c r="Q721">
        <v>0.17903329999999901</v>
      </c>
      <c r="R721">
        <v>-4.8089680000000003E-2</v>
      </c>
      <c r="S721">
        <v>3.0376590000000001</v>
      </c>
      <c r="T721">
        <v>-1.0449409999999999E-2</v>
      </c>
      <c r="U721">
        <v>-0.35375980000000001</v>
      </c>
      <c r="V721">
        <v>6.3801529999999995E-2</v>
      </c>
      <c r="W721">
        <v>0.18647720000000001</v>
      </c>
      <c r="X721">
        <v>0.98038550000000002</v>
      </c>
      <c r="Y721">
        <v>0.1314679</v>
      </c>
      <c r="Z721">
        <v>-6.6138549999999996E-4</v>
      </c>
      <c r="AA721">
        <v>0.99132019999999998</v>
      </c>
      <c r="AB721">
        <v>31</v>
      </c>
      <c r="AC721">
        <v>106.4053</v>
      </c>
      <c r="AD721">
        <v>-0.36968459999999997</v>
      </c>
      <c r="AE721">
        <v>-12.4324999999999</v>
      </c>
      <c r="AF721">
        <v>14.1242783393027</v>
      </c>
      <c r="AG721">
        <v>-0.36968459999999997</v>
      </c>
      <c r="AH721">
        <v>106.192685045671</v>
      </c>
      <c r="AI721">
        <v>90.197719624866394</v>
      </c>
      <c r="AJ721">
        <v>82.423777183850802</v>
      </c>
      <c r="AK721">
        <v>107.128512836307</v>
      </c>
      <c r="AL721">
        <v>79.252732026895004</v>
      </c>
      <c r="AM721">
        <v>86.276555639427201</v>
      </c>
      <c r="AN721">
        <v>1.0000000549802099</v>
      </c>
    </row>
    <row r="722" spans="1:40" x14ac:dyDescent="0.25">
      <c r="A722" t="str">
        <f>"20190303162512652"</f>
        <v>20190303162512652</v>
      </c>
      <c r="B722" t="str">
        <f>"1551601512643271"</f>
        <v>1551601512643271</v>
      </c>
      <c r="C722" t="s">
        <v>40</v>
      </c>
      <c r="D722">
        <v>4.3679860000000001</v>
      </c>
      <c r="E722">
        <v>0.52645920000000002</v>
      </c>
      <c r="F722" t="s">
        <v>43</v>
      </c>
      <c r="G722">
        <v>-169.2955</v>
      </c>
      <c r="H722">
        <v>0.69531919999999903</v>
      </c>
      <c r="I722">
        <v>355.77969999999999</v>
      </c>
      <c r="J722">
        <v>-275.4085</v>
      </c>
      <c r="K722">
        <v>1.1068639999999901</v>
      </c>
      <c r="L722">
        <v>368.22629999999998</v>
      </c>
      <c r="M722">
        <v>0.99984280000000003</v>
      </c>
      <c r="N722">
        <v>-8.1815919999999997E-3</v>
      </c>
      <c r="O722">
        <v>1.5731229999999999E-2</v>
      </c>
      <c r="P722">
        <v>0.98275619999999997</v>
      </c>
      <c r="Q722">
        <v>0.17836099999999999</v>
      </c>
      <c r="R722">
        <v>-4.8762079999999999E-2</v>
      </c>
      <c r="S722">
        <v>3.0376280000000002</v>
      </c>
      <c r="T722">
        <v>-1.1684659999999999E-2</v>
      </c>
      <c r="U722">
        <v>-0.35519410000000001</v>
      </c>
      <c r="V722">
        <v>6.4294939999999995E-2</v>
      </c>
      <c r="W722">
        <v>0.18636150000000001</v>
      </c>
      <c r="X722">
        <v>0.9803752</v>
      </c>
      <c r="Y722">
        <v>0.1317479</v>
      </c>
      <c r="Z722">
        <v>-7.2540259999999998E-4</v>
      </c>
      <c r="AA722">
        <v>0.99128300000000003</v>
      </c>
      <c r="AB722">
        <v>31</v>
      </c>
      <c r="AC722">
        <v>106.113</v>
      </c>
      <c r="AD722">
        <v>-0.41154479999999899</v>
      </c>
      <c r="AE722">
        <v>-12.446599999999901</v>
      </c>
      <c r="AF722">
        <v>14.1141941439404</v>
      </c>
      <c r="AG722">
        <v>-0.41154479999999899</v>
      </c>
      <c r="AH722">
        <v>105.902490119549</v>
      </c>
      <c r="AI722">
        <v>90.220703004681596</v>
      </c>
      <c r="AJ722">
        <v>82.408619387585802</v>
      </c>
      <c r="AK722">
        <v>106.839680170695</v>
      </c>
      <c r="AL722">
        <v>79.259478726310306</v>
      </c>
      <c r="AM722">
        <v>86.247802966764297</v>
      </c>
      <c r="AN722">
        <v>0.999999990383446</v>
      </c>
    </row>
    <row r="723" spans="1:40" x14ac:dyDescent="0.25">
      <c r="A723" t="str">
        <f>"20190303162512675"</f>
        <v>20190303162512675</v>
      </c>
      <c r="B723" t="str">
        <f>"1551601512663767"</f>
        <v>1551601512663767</v>
      </c>
      <c r="C723" t="s">
        <v>40</v>
      </c>
      <c r="D723">
        <v>4.3581149999999997</v>
      </c>
      <c r="E723">
        <v>0.5261825</v>
      </c>
      <c r="F723" t="s">
        <v>43</v>
      </c>
      <c r="G723">
        <v>-169.2955</v>
      </c>
      <c r="H723">
        <v>0.63773059999999904</v>
      </c>
      <c r="I723">
        <v>355.76069999999999</v>
      </c>
      <c r="J723">
        <v>-275.09089999999998</v>
      </c>
      <c r="K723">
        <v>1.108959</v>
      </c>
      <c r="L723">
        <v>368.23110000000003</v>
      </c>
      <c r="M723">
        <v>0.99984090000000003</v>
      </c>
      <c r="N723">
        <v>-8.7815730000000009E-3</v>
      </c>
      <c r="O723">
        <v>1.553152E-2</v>
      </c>
      <c r="P723">
        <v>0.98282619999999998</v>
      </c>
      <c r="Q723">
        <v>0.1779551</v>
      </c>
      <c r="R723">
        <v>-4.8838199999999998E-2</v>
      </c>
      <c r="S723">
        <v>3.0373540000000001</v>
      </c>
      <c r="T723">
        <v>-1.342583E-2</v>
      </c>
      <c r="U723">
        <v>-0.3568115</v>
      </c>
      <c r="V723">
        <v>6.4176300000000006E-2</v>
      </c>
      <c r="W723">
        <v>0.18654419999999999</v>
      </c>
      <c r="X723">
        <v>0.9803482</v>
      </c>
      <c r="Y723">
        <v>0.13208020000000001</v>
      </c>
      <c r="Z723">
        <v>-8.0538479999999997E-4</v>
      </c>
      <c r="AA723">
        <v>0.99123870000000003</v>
      </c>
      <c r="AB723">
        <v>31</v>
      </c>
      <c r="AC723">
        <v>105.79539999999901</v>
      </c>
      <c r="AD723">
        <v>-0.47122839999999999</v>
      </c>
      <c r="AE723">
        <v>-12.4704</v>
      </c>
      <c r="AF723">
        <v>14.111846146070199</v>
      </c>
      <c r="AG723">
        <v>-0.47122839999999999</v>
      </c>
      <c r="AH723">
        <v>105.58688003864199</v>
      </c>
      <c r="AI723">
        <v>90.253452566608203</v>
      </c>
      <c r="AJ723">
        <v>82.387445526781605</v>
      </c>
      <c r="AK723">
        <v>106.526782989772</v>
      </c>
      <c r="AL723">
        <v>79.2488236639783</v>
      </c>
      <c r="AM723">
        <v>86.254604113671604</v>
      </c>
      <c r="AN723">
        <v>0.99999996463928398</v>
      </c>
    </row>
    <row r="724" spans="1:40" x14ac:dyDescent="0.25">
      <c r="A724" t="str">
        <f>"20190303162512699"</f>
        <v>20190303162512699</v>
      </c>
      <c r="B724" t="str">
        <f>"1551601512693047"</f>
        <v>1551601512693047</v>
      </c>
      <c r="C724" t="s">
        <v>40</v>
      </c>
      <c r="D724">
        <v>4.3958959999999996</v>
      </c>
      <c r="E724">
        <v>0.52602550000000003</v>
      </c>
      <c r="F724" t="s">
        <v>43</v>
      </c>
      <c r="G724">
        <v>-169.2955</v>
      </c>
      <c r="H724">
        <v>0.50800420000000002</v>
      </c>
      <c r="I724">
        <v>355.87959999999998</v>
      </c>
      <c r="J724">
        <v>-274.75729999999999</v>
      </c>
      <c r="K724">
        <v>1.110892</v>
      </c>
      <c r="L724">
        <v>368.23610000000002</v>
      </c>
      <c r="M724">
        <v>0.99983880000000003</v>
      </c>
      <c r="N724">
        <v>-9.3769509999999997E-3</v>
      </c>
      <c r="O724">
        <v>1.5321700000000001E-2</v>
      </c>
      <c r="P724">
        <v>0.98287369999999996</v>
      </c>
      <c r="Q724">
        <v>0.177637299999999</v>
      </c>
      <c r="R724">
        <v>-4.9038480000000002E-2</v>
      </c>
      <c r="S724">
        <v>3.0379330000000002</v>
      </c>
      <c r="T724">
        <v>-1.725399E-2</v>
      </c>
      <c r="U724">
        <v>-0.35467530000000003</v>
      </c>
      <c r="V724">
        <v>6.4171519999999996E-2</v>
      </c>
      <c r="W724">
        <v>0.1868107</v>
      </c>
      <c r="X724">
        <v>0.9802978</v>
      </c>
      <c r="Y724">
        <v>0.1311609</v>
      </c>
      <c r="Z724">
        <v>-9.3183559999999999E-4</v>
      </c>
      <c r="AA724">
        <v>0.99136069999999998</v>
      </c>
      <c r="AB724">
        <v>31</v>
      </c>
      <c r="AC724">
        <v>105.461799999999</v>
      </c>
      <c r="AD724">
        <v>-0.60288779999999997</v>
      </c>
      <c r="AE724">
        <v>-12.3565</v>
      </c>
      <c r="AF724">
        <v>13.9705238970366</v>
      </c>
      <c r="AG724">
        <v>-0.60288779999999997</v>
      </c>
      <c r="AH724">
        <v>105.256695280084</v>
      </c>
      <c r="AI724">
        <v>90.325321379992999</v>
      </c>
      <c r="AJ724">
        <v>82.4394294722929</v>
      </c>
      <c r="AK724">
        <v>106.181499861988</v>
      </c>
      <c r="AL724">
        <v>79.233281495758703</v>
      </c>
      <c r="AM724">
        <v>86.254690285993206</v>
      </c>
      <c r="AN724">
        <v>0.99999999914922</v>
      </c>
    </row>
    <row r="725" spans="1:40" x14ac:dyDescent="0.25">
      <c r="A725" t="str">
        <f>"20190303162512720"</f>
        <v>20190303162512720</v>
      </c>
      <c r="B725" t="str">
        <f>"1551601512713543"</f>
        <v>1551601512713543</v>
      </c>
      <c r="C725" t="s">
        <v>40</v>
      </c>
      <c r="D725">
        <v>4.3976230000000003</v>
      </c>
      <c r="E725">
        <v>0.5258313</v>
      </c>
      <c r="F725" t="s">
        <v>43</v>
      </c>
      <c r="G725">
        <v>-169.2955</v>
      </c>
      <c r="H725">
        <v>0.34041310000000002</v>
      </c>
      <c r="I725">
        <v>355.94119999999998</v>
      </c>
      <c r="J725">
        <v>-274.47469999999998</v>
      </c>
      <c r="K725">
        <v>1.1123149999999999</v>
      </c>
      <c r="L725">
        <v>368.24020000000002</v>
      </c>
      <c r="M725">
        <v>0.99983690000000003</v>
      </c>
      <c r="N725">
        <v>-9.8449920000000003E-3</v>
      </c>
      <c r="O725">
        <v>1.5144029999999999E-2</v>
      </c>
      <c r="P725">
        <v>0.98292769999999996</v>
      </c>
      <c r="Q725">
        <v>0.17733959999999999</v>
      </c>
      <c r="R725">
        <v>-4.9031020000000002E-2</v>
      </c>
      <c r="S725">
        <v>3.0386350000000002</v>
      </c>
      <c r="T725">
        <v>-2.219701E-2</v>
      </c>
      <c r="U725">
        <v>-0.35424800000000001</v>
      </c>
      <c r="V725">
        <v>6.3990240000000004E-2</v>
      </c>
      <c r="W725">
        <v>0.18697230000000001</v>
      </c>
      <c r="X725">
        <v>0.98027880000000001</v>
      </c>
      <c r="Y725">
        <v>0.1308185</v>
      </c>
      <c r="Z725">
        <v>-1.08406E-3</v>
      </c>
      <c r="AA725">
        <v>0.99140569999999895</v>
      </c>
      <c r="AB725">
        <v>31</v>
      </c>
      <c r="AC725">
        <v>105.179199999999</v>
      </c>
      <c r="AD725">
        <v>-0.77190190000000003</v>
      </c>
      <c r="AE725">
        <v>-12.298999999999999</v>
      </c>
      <c r="AF725">
        <v>13.8897655220535</v>
      </c>
      <c r="AG725">
        <v>-0.77190190000000003</v>
      </c>
      <c r="AH725">
        <v>104.975294032761</v>
      </c>
      <c r="AI725">
        <v>90.417658393590003</v>
      </c>
      <c r="AJ725">
        <v>82.462713044469496</v>
      </c>
      <c r="AK725">
        <v>105.893029874801</v>
      </c>
      <c r="AL725">
        <v>79.223855992972801</v>
      </c>
      <c r="AM725">
        <v>86.265168351021103</v>
      </c>
      <c r="AN725">
        <v>0.99999995875599301</v>
      </c>
    </row>
    <row r="726" spans="1:40" x14ac:dyDescent="0.25">
      <c r="A726" t="str">
        <f>"20190303162512741"</f>
        <v>20190303162512741</v>
      </c>
      <c r="B726" t="str">
        <f>"1551601512733064"</f>
        <v>1551601512733064</v>
      </c>
      <c r="C726" t="s">
        <v>40</v>
      </c>
      <c r="D726">
        <v>4.4316719999999998</v>
      </c>
      <c r="E726">
        <v>0.52578290000000005</v>
      </c>
      <c r="F726" t="s">
        <v>43</v>
      </c>
      <c r="G726">
        <v>-169.2955</v>
      </c>
      <c r="H726">
        <v>0.1831837</v>
      </c>
      <c r="I726">
        <v>356.04969999999997</v>
      </c>
      <c r="J726">
        <v>-274.17669999999998</v>
      </c>
      <c r="K726">
        <v>1.1136269999999999</v>
      </c>
      <c r="L726">
        <v>368.24450000000002</v>
      </c>
      <c r="M726">
        <v>0.99983520000000004</v>
      </c>
      <c r="N726">
        <v>-1.030057E-2</v>
      </c>
      <c r="O726">
        <v>1.4956189999999999E-2</v>
      </c>
      <c r="P726">
        <v>0.98296649999999997</v>
      </c>
      <c r="Q726">
        <v>0.17705940000000001</v>
      </c>
      <c r="R726">
        <v>-4.926465E-2</v>
      </c>
      <c r="S726">
        <v>3.0393370000000002</v>
      </c>
      <c r="T726">
        <v>-2.6846289999999998E-2</v>
      </c>
      <c r="U726">
        <v>-0.35226439999999998</v>
      </c>
      <c r="V726">
        <v>6.4040109999999997E-2</v>
      </c>
      <c r="W726">
        <v>0.18713949999999999</v>
      </c>
      <c r="X726">
        <v>0.98024370000000005</v>
      </c>
      <c r="Y726">
        <v>0.12996469999999999</v>
      </c>
      <c r="Z726">
        <v>-1.221864E-3</v>
      </c>
      <c r="AA726">
        <v>0.9915178</v>
      </c>
      <c r="AB726">
        <v>31</v>
      </c>
      <c r="AC726">
        <v>104.881199999999</v>
      </c>
      <c r="AD726">
        <v>-0.93044329999999997</v>
      </c>
      <c r="AE726">
        <v>-12.194800000000001</v>
      </c>
      <c r="AF726">
        <v>13.7610735000651</v>
      </c>
      <c r="AG726">
        <v>-0.93044329999999997</v>
      </c>
      <c r="AH726">
        <v>104.678941859342</v>
      </c>
      <c r="AI726">
        <v>90.5049185970595</v>
      </c>
      <c r="AJ726">
        <v>82.510852528995898</v>
      </c>
      <c r="AK726">
        <v>105.58368120784699</v>
      </c>
      <c r="AL726">
        <v>79.214104674552004</v>
      </c>
      <c r="AM726">
        <v>86.262132444899294</v>
      </c>
      <c r="AN726">
        <v>1.0000000197693699</v>
      </c>
    </row>
    <row r="727" spans="1:40" x14ac:dyDescent="0.25">
      <c r="A727" t="str">
        <f>"20190303162512763"</f>
        <v>20190303162512763</v>
      </c>
      <c r="B727" t="str">
        <f>"1551601512753560"</f>
        <v>1551601512753560</v>
      </c>
      <c r="C727" t="s">
        <v>40</v>
      </c>
      <c r="D727">
        <v>4.4287789999999996</v>
      </c>
      <c r="E727">
        <v>0.52574489999999996</v>
      </c>
      <c r="F727" t="s">
        <v>43</v>
      </c>
      <c r="G727">
        <v>-169.2955</v>
      </c>
      <c r="H727">
        <v>6.7532540000000002E-2</v>
      </c>
      <c r="I727">
        <v>356.09039999999999</v>
      </c>
      <c r="J727">
        <v>-273.87580000000003</v>
      </c>
      <c r="K727">
        <v>1.1147739999999999</v>
      </c>
      <c r="L727">
        <v>368.24880000000002</v>
      </c>
      <c r="M727">
        <v>0.99983350000000004</v>
      </c>
      <c r="N727">
        <v>-1.0721970000000001E-2</v>
      </c>
      <c r="O727">
        <v>1.4767000000000001E-2</v>
      </c>
      <c r="P727">
        <v>0.98302780000000001</v>
      </c>
      <c r="Q727">
        <v>0.17665600000000001</v>
      </c>
      <c r="R727">
        <v>-4.9490680000000002E-2</v>
      </c>
      <c r="S727">
        <v>3.0397949999999998</v>
      </c>
      <c r="T727">
        <v>-3.0316590000000001E-2</v>
      </c>
      <c r="U727">
        <v>-0.35226439999999998</v>
      </c>
      <c r="V727">
        <v>6.4080999999999999E-2</v>
      </c>
      <c r="W727">
        <v>0.18714990000000001</v>
      </c>
      <c r="X727">
        <v>0.98023899999999997</v>
      </c>
      <c r="Y727">
        <v>0.1297577</v>
      </c>
      <c r="Z727">
        <v>-1.331912E-3</v>
      </c>
      <c r="AA727">
        <v>0.9915448</v>
      </c>
      <c r="AB727">
        <v>31</v>
      </c>
      <c r="AC727">
        <v>104.58029999999999</v>
      </c>
      <c r="AD727">
        <v>-1.04724146</v>
      </c>
      <c r="AE727">
        <v>-12.1584</v>
      </c>
      <c r="AF727">
        <v>13.700144679842399</v>
      </c>
      <c r="AG727">
        <v>-1.04724146</v>
      </c>
      <c r="AH727">
        <v>104.37901499117299</v>
      </c>
      <c r="AI727">
        <v>90.569944911297199</v>
      </c>
      <c r="AJ727">
        <v>82.522454403597195</v>
      </c>
      <c r="AK727">
        <v>105.27948256641299</v>
      </c>
      <c r="AL727">
        <v>79.213497629545898</v>
      </c>
      <c r="AM727">
        <v>86.259734683510501</v>
      </c>
      <c r="AN727">
        <v>0.99999997837600396</v>
      </c>
    </row>
    <row r="728" spans="1:40" x14ac:dyDescent="0.25">
      <c r="A728" t="str">
        <f>"20190303162512786"</f>
        <v>20190303162512786</v>
      </c>
      <c r="B728" t="str">
        <f>"1551601512773080"</f>
        <v>1551601512773080</v>
      </c>
      <c r="C728" t="s">
        <v>40</v>
      </c>
      <c r="D728">
        <v>4.4453760000000004</v>
      </c>
      <c r="E728">
        <v>0.52572569999999996</v>
      </c>
      <c r="F728" t="s">
        <v>45</v>
      </c>
      <c r="G728">
        <v>-176.69069999999999</v>
      </c>
      <c r="H728">
        <v>7.9988030000000002E-2</v>
      </c>
      <c r="I728">
        <v>356.95839999999998</v>
      </c>
      <c r="J728">
        <v>-273.55840000000001</v>
      </c>
      <c r="K728">
        <v>1.1158079999999999</v>
      </c>
      <c r="L728">
        <v>368.25319999999999</v>
      </c>
      <c r="M728">
        <v>0.99983200000000005</v>
      </c>
      <c r="N728">
        <v>-1.1125410000000001E-2</v>
      </c>
      <c r="O728">
        <v>1.4566859999999999E-2</v>
      </c>
      <c r="P728">
        <v>0.98312279999999996</v>
      </c>
      <c r="Q728">
        <v>0.17606079999999999</v>
      </c>
      <c r="R728">
        <v>-4.9722130000000003E-2</v>
      </c>
      <c r="S728">
        <v>3.039825</v>
      </c>
      <c r="T728">
        <v>-3.236675E-2</v>
      </c>
      <c r="U728">
        <v>-0.3531494</v>
      </c>
      <c r="V728">
        <v>6.4117069999999998E-2</v>
      </c>
      <c r="W728">
        <v>0.1869517</v>
      </c>
      <c r="X728">
        <v>0.98027450000000005</v>
      </c>
      <c r="Y728">
        <v>0.1298414</v>
      </c>
      <c r="Z728">
        <v>-1.4067769999999999E-3</v>
      </c>
      <c r="AA728">
        <v>0.99153380000000002</v>
      </c>
      <c r="AB728">
        <v>31</v>
      </c>
      <c r="AC728">
        <v>96.867699999999999</v>
      </c>
      <c r="AD728">
        <v>-1.0358199699999999</v>
      </c>
      <c r="AE728">
        <v>-11.2948</v>
      </c>
      <c r="AF728">
        <v>12.7033139536683</v>
      </c>
      <c r="AG728">
        <v>-1.0358199699999999</v>
      </c>
      <c r="AH728">
        <v>96.681974234896998</v>
      </c>
      <c r="AI728">
        <v>90.608594771322004</v>
      </c>
      <c r="AJ728">
        <v>82.5146273491263</v>
      </c>
      <c r="AK728">
        <v>97.518466201909703</v>
      </c>
      <c r="AL728">
        <v>79.2250580965637</v>
      </c>
      <c r="AM728">
        <v>86.257770481206805</v>
      </c>
      <c r="AN728">
        <v>1.0000000160742599</v>
      </c>
    </row>
    <row r="729" spans="1:40" x14ac:dyDescent="0.25">
      <c r="A729" t="str">
        <f>"20190303162512809"</f>
        <v>20190303162512809</v>
      </c>
      <c r="B729" t="str">
        <f>"1551601512803335"</f>
        <v>1551601512803335</v>
      </c>
      <c r="C729" t="s">
        <v>40</v>
      </c>
      <c r="D729">
        <v>4.4647220000000001</v>
      </c>
      <c r="E729">
        <v>0.52568110000000001</v>
      </c>
      <c r="F729" t="s">
        <v>45</v>
      </c>
      <c r="G729">
        <v>-180</v>
      </c>
      <c r="H729">
        <v>1.5637809999999999E-2</v>
      </c>
      <c r="I729">
        <v>357.3623</v>
      </c>
      <c r="J729">
        <v>-273.24959999999999</v>
      </c>
      <c r="K729">
        <v>1.116668</v>
      </c>
      <c r="L729">
        <v>368.25749999999999</v>
      </c>
      <c r="M729">
        <v>0.99983089999999997</v>
      </c>
      <c r="N729">
        <v>-1.147974E-2</v>
      </c>
      <c r="O729">
        <v>1.437278E-2</v>
      </c>
      <c r="P729">
        <v>0.98316910000000002</v>
      </c>
      <c r="Q729">
        <v>0.17571489999999901</v>
      </c>
      <c r="R729">
        <v>-5.002914E-2</v>
      </c>
      <c r="S729">
        <v>3.040009</v>
      </c>
      <c r="T729">
        <v>-3.5748000000000002E-2</v>
      </c>
      <c r="U729">
        <v>-0.35388180000000002</v>
      </c>
      <c r="V729">
        <v>6.4234189999999997E-2</v>
      </c>
      <c r="W729">
        <v>0.1869536</v>
      </c>
      <c r="X729">
        <v>0.98026650000000004</v>
      </c>
      <c r="Y729">
        <v>0.12987509999999999</v>
      </c>
      <c r="Z729">
        <v>-1.51312E-3</v>
      </c>
      <c r="AA729">
        <v>0.9915292</v>
      </c>
      <c r="AB729">
        <v>31</v>
      </c>
      <c r="AC729">
        <v>93.249600000000001</v>
      </c>
      <c r="AD729">
        <v>-1.1010301899999999</v>
      </c>
      <c r="AE729">
        <v>-10.8951999999999</v>
      </c>
      <c r="AF729">
        <v>12.232736186117201</v>
      </c>
      <c r="AG729">
        <v>-1.1010301899999999</v>
      </c>
      <c r="AH729">
        <v>93.070561477522205</v>
      </c>
      <c r="AI729">
        <v>90.672001724004105</v>
      </c>
      <c r="AJ729">
        <v>82.512245528640506</v>
      </c>
      <c r="AK729">
        <v>93.877481409652603</v>
      </c>
      <c r="AL729">
        <v>79.224947600221896</v>
      </c>
      <c r="AM729">
        <v>86.250923673642205</v>
      </c>
      <c r="AN729">
        <v>1.0000000453700799</v>
      </c>
    </row>
    <row r="730" spans="1:40" x14ac:dyDescent="0.25">
      <c r="A730" t="str">
        <f>"20190303162512842"</f>
        <v>20190303162512842</v>
      </c>
      <c r="B730" t="str">
        <f>"1551601512833591"</f>
        <v>1551601512833591</v>
      </c>
      <c r="C730" t="s">
        <v>40</v>
      </c>
      <c r="D730">
        <v>4.4853440000000004</v>
      </c>
      <c r="E730">
        <v>0.52570810000000001</v>
      </c>
      <c r="F730" t="s">
        <v>45</v>
      </c>
      <c r="G730">
        <v>-184.13140000000001</v>
      </c>
      <c r="H730" s="1">
        <v>-4.823735E-6</v>
      </c>
      <c r="I730">
        <v>357.87400000000002</v>
      </c>
      <c r="J730">
        <v>-272.80349999999999</v>
      </c>
      <c r="K730">
        <v>1.117691</v>
      </c>
      <c r="L730">
        <v>368.2636</v>
      </c>
      <c r="M730">
        <v>0.99982959999999999</v>
      </c>
      <c r="N730">
        <v>-1.193085E-2</v>
      </c>
      <c r="O730">
        <v>1.4092199999999999E-2</v>
      </c>
      <c r="P730">
        <v>0.98325280000000004</v>
      </c>
      <c r="Q730">
        <v>0.17514150000000001</v>
      </c>
      <c r="R730">
        <v>-5.039706E-2</v>
      </c>
      <c r="S730">
        <v>3.0401310000000001</v>
      </c>
      <c r="T730">
        <v>-3.809357E-2</v>
      </c>
      <c r="U730">
        <v>-0.35421750000000002</v>
      </c>
      <c r="V730">
        <v>6.4327280000000001E-2</v>
      </c>
      <c r="W730">
        <v>0.1868233</v>
      </c>
      <c r="X730">
        <v>0.98028519999999997</v>
      </c>
      <c r="Y730">
        <v>0.12969829999999999</v>
      </c>
      <c r="Z730">
        <v>-1.59467299999999E-3</v>
      </c>
      <c r="AA730">
        <v>0.99155219999999999</v>
      </c>
      <c r="AB730">
        <v>31</v>
      </c>
      <c r="AC730">
        <v>88.672099999999901</v>
      </c>
      <c r="AD730">
        <v>-1.1176958237350001</v>
      </c>
      <c r="AE730">
        <v>-10.3895999999999</v>
      </c>
      <c r="AF730">
        <v>11.6364182032325</v>
      </c>
      <c r="AG730">
        <v>-1.1176958237350001</v>
      </c>
      <c r="AH730">
        <v>88.502999821018705</v>
      </c>
      <c r="AI730">
        <v>90.717370975942799</v>
      </c>
      <c r="AJ730">
        <v>82.509687351128207</v>
      </c>
      <c r="AK730">
        <v>89.271700162336799</v>
      </c>
      <c r="AL730">
        <v>79.232546737229697</v>
      </c>
      <c r="AM730">
        <v>86.245577351598499</v>
      </c>
      <c r="AN730">
        <v>1.00000000885706</v>
      </c>
    </row>
    <row r="731" spans="1:40" x14ac:dyDescent="0.25">
      <c r="A731" t="str">
        <f>"20190303162512863"</f>
        <v>20190303162512863</v>
      </c>
      <c r="B731" t="str">
        <f>"1551601512853111"</f>
        <v>1551601512853111</v>
      </c>
      <c r="C731" t="s">
        <v>40</v>
      </c>
      <c r="D731">
        <v>4.4642480000000004</v>
      </c>
      <c r="E731">
        <v>0.52567249999999999</v>
      </c>
      <c r="F731" t="s">
        <v>45</v>
      </c>
      <c r="G731">
        <v>-191.16929999999999</v>
      </c>
      <c r="H731" s="1">
        <v>-5.1363619999999999E-6</v>
      </c>
      <c r="I731">
        <v>358.71980000000002</v>
      </c>
      <c r="J731">
        <v>-272.50080000000003</v>
      </c>
      <c r="K731">
        <v>1.118249</v>
      </c>
      <c r="L731">
        <v>368.26769999999999</v>
      </c>
      <c r="M731">
        <v>0.99982899999999997</v>
      </c>
      <c r="N731">
        <v>-1.2196800000000001E-2</v>
      </c>
      <c r="O731">
        <v>1.3901699999999999E-2</v>
      </c>
      <c r="P731">
        <v>0.98335280000000003</v>
      </c>
      <c r="Q731">
        <v>0.17451369999999999</v>
      </c>
      <c r="R731">
        <v>-5.0623319999999999E-2</v>
      </c>
      <c r="S731">
        <v>3.0402830000000001</v>
      </c>
      <c r="T731">
        <v>-4.1626099999999999E-2</v>
      </c>
      <c r="U731">
        <v>-0.35543819999999998</v>
      </c>
      <c r="V731">
        <v>6.4367530000000006E-2</v>
      </c>
      <c r="W731">
        <v>0.1864575</v>
      </c>
      <c r="X731">
        <v>0.98035220000000001</v>
      </c>
      <c r="Y731">
        <v>0.12989329999999999</v>
      </c>
      <c r="Z731">
        <v>-1.701847E-3</v>
      </c>
      <c r="AA731">
        <v>0.99152649999999998</v>
      </c>
      <c r="AB731">
        <v>31</v>
      </c>
      <c r="AC731">
        <v>81.331500000000005</v>
      </c>
      <c r="AD731">
        <v>-1.118254136362</v>
      </c>
      <c r="AE731">
        <v>-9.5478999999999701</v>
      </c>
      <c r="AF731">
        <v>10.6757166645544</v>
      </c>
      <c r="AG731">
        <v>-1.118254136362</v>
      </c>
      <c r="AH731">
        <v>81.175760391335203</v>
      </c>
      <c r="AI731">
        <v>90.782503242448897</v>
      </c>
      <c r="AJ731">
        <v>82.507822673987405</v>
      </c>
      <c r="AK731">
        <v>81.882388177964103</v>
      </c>
      <c r="AL731">
        <v>79.253880383386402</v>
      </c>
      <c r="AM731">
        <v>86.243490922484099</v>
      </c>
      <c r="AN731">
        <v>1.0000000071346899</v>
      </c>
    </row>
    <row r="732" spans="1:40" x14ac:dyDescent="0.25">
      <c r="A732" t="str">
        <f>"20190303162512888"</f>
        <v>20190303162512888</v>
      </c>
      <c r="B732" t="str">
        <f>"1551601512873607"</f>
        <v>1551601512873607</v>
      </c>
      <c r="C732" t="s">
        <v>40</v>
      </c>
      <c r="D732">
        <v>4.5241730000000002</v>
      </c>
      <c r="E732">
        <v>0.52568309999999996</v>
      </c>
      <c r="F732" t="s">
        <v>45</v>
      </c>
      <c r="G732">
        <v>-195.2808</v>
      </c>
      <c r="H732" s="1">
        <v>-5.99084899999999E-6</v>
      </c>
      <c r="I732">
        <v>359.23829999999998</v>
      </c>
      <c r="J732">
        <v>-272.17610000000002</v>
      </c>
      <c r="K732">
        <v>1.1187560000000001</v>
      </c>
      <c r="L732">
        <v>368.27199999999999</v>
      </c>
      <c r="M732">
        <v>0.99982859999999996</v>
      </c>
      <c r="N732">
        <v>-1.245136E-2</v>
      </c>
      <c r="O732">
        <v>1.3697000000000001E-2</v>
      </c>
      <c r="P732">
        <v>0.9834659</v>
      </c>
      <c r="Q732">
        <v>0.1738536</v>
      </c>
      <c r="R732">
        <v>-5.0693780000000001E-2</v>
      </c>
      <c r="S732">
        <v>3.0402529999999999</v>
      </c>
      <c r="T732">
        <v>-4.4027209999999997E-2</v>
      </c>
      <c r="U732">
        <v>-0.35549930000000002</v>
      </c>
      <c r="V732">
        <v>6.4238229999999993E-2</v>
      </c>
      <c r="W732">
        <v>0.18604889999999999</v>
      </c>
      <c r="X732">
        <v>0.98043829999999998</v>
      </c>
      <c r="Y732">
        <v>0.12970889999999999</v>
      </c>
      <c r="Z732">
        <v>-1.774086E-3</v>
      </c>
      <c r="AA732">
        <v>0.9915505</v>
      </c>
      <c r="AB732">
        <v>30</v>
      </c>
      <c r="AC732">
        <v>76.895300000000006</v>
      </c>
      <c r="AD732">
        <v>-1.1187619908490001</v>
      </c>
      <c r="AE732">
        <v>-9.0337000000000103</v>
      </c>
      <c r="AF732">
        <v>10.084063562236199</v>
      </c>
      <c r="AG732">
        <v>-1.1187619908490001</v>
      </c>
      <c r="AH732">
        <v>76.748316508288198</v>
      </c>
      <c r="AI732">
        <v>90.828026948727796</v>
      </c>
      <c r="AJ732">
        <v>82.514709224956903</v>
      </c>
      <c r="AK732">
        <v>77.416045192038695</v>
      </c>
      <c r="AL732">
        <v>79.277708328112894</v>
      </c>
      <c r="AM732">
        <v>86.251343658577298</v>
      </c>
      <c r="AN732">
        <v>1.0000000017458099</v>
      </c>
    </row>
    <row r="733" spans="1:40" x14ac:dyDescent="0.25">
      <c r="A733" t="str">
        <f>"20190303162512910"</f>
        <v>20190303162512910</v>
      </c>
      <c r="B733" t="str">
        <f>"1551601512903863"</f>
        <v>1551601512903863</v>
      </c>
      <c r="C733" t="s">
        <v>40</v>
      </c>
      <c r="D733">
        <v>4.5876460000000003</v>
      </c>
      <c r="E733">
        <v>0.51977379999999995</v>
      </c>
      <c r="F733" t="s">
        <v>45</v>
      </c>
      <c r="G733">
        <v>-200.9974</v>
      </c>
      <c r="H733" s="1">
        <v>-3.0877929999999999E-6</v>
      </c>
      <c r="I733">
        <v>359.93279999999999</v>
      </c>
      <c r="J733">
        <v>-271.87670000000003</v>
      </c>
      <c r="K733">
        <v>1.1191549999999999</v>
      </c>
      <c r="L733">
        <v>368.2758</v>
      </c>
      <c r="M733">
        <v>0.99982870000000001</v>
      </c>
      <c r="N733">
        <v>-1.2660619999999999E-2</v>
      </c>
      <c r="O733">
        <v>1.3507760000000001E-2</v>
      </c>
      <c r="P733">
        <v>0.98346140000000004</v>
      </c>
      <c r="Q733">
        <v>0.17368020000000001</v>
      </c>
      <c r="R733">
        <v>-5.1369819999999997E-2</v>
      </c>
      <c r="S733">
        <v>3.0405880000000001</v>
      </c>
      <c r="T733">
        <v>-4.7790770000000003E-2</v>
      </c>
      <c r="U733">
        <v>-0.35623169999999998</v>
      </c>
      <c r="V733">
        <v>6.4728099999999997E-2</v>
      </c>
      <c r="W733">
        <v>0.18608079999999999</v>
      </c>
      <c r="X733">
        <v>0.98040000000000005</v>
      </c>
      <c r="Y733">
        <v>0.12974059999999901</v>
      </c>
      <c r="Z733">
        <v>-1.8814909999999999E-3</v>
      </c>
      <c r="AA733">
        <v>0.99154620000000004</v>
      </c>
      <c r="AB733">
        <v>30</v>
      </c>
      <c r="AC733">
        <v>70.879300000000001</v>
      </c>
      <c r="AD733">
        <v>-1.1191580877930001</v>
      </c>
      <c r="AE733">
        <v>-8.3430000000000106</v>
      </c>
      <c r="AF733">
        <v>9.2974496488529699</v>
      </c>
      <c r="AG733">
        <v>-1.1191580877930001</v>
      </c>
      <c r="AH733">
        <v>70.742732075910098</v>
      </c>
      <c r="AI733">
        <v>90.898623770887895</v>
      </c>
      <c r="AJ733">
        <v>82.512744417584599</v>
      </c>
      <c r="AK733">
        <v>71.359857247351798</v>
      </c>
      <c r="AL733">
        <v>79.275847824121001</v>
      </c>
      <c r="AM733">
        <v>86.222692342513199</v>
      </c>
      <c r="AN733">
        <v>0.99999997552912401</v>
      </c>
    </row>
    <row r="734" spans="1:40" x14ac:dyDescent="0.25">
      <c r="A734" t="str">
        <f>"20190303162512931"</f>
        <v>20190303162512931</v>
      </c>
      <c r="B734" t="str">
        <f>"1551601512923383"</f>
        <v>1551601512923383</v>
      </c>
      <c r="C734" t="s">
        <v>40</v>
      </c>
      <c r="D734">
        <v>4.6639290000000004</v>
      </c>
      <c r="E734">
        <v>0.51302209999999904</v>
      </c>
      <c r="F734" t="s">
        <v>41</v>
      </c>
      <c r="G734">
        <v>-243.8545</v>
      </c>
      <c r="H734" s="1">
        <v>-3.6292790000000002E-6</v>
      </c>
      <c r="I734">
        <v>365.42329999999998</v>
      </c>
      <c r="J734">
        <v>-271.58449999999999</v>
      </c>
      <c r="K734">
        <v>1.1194789999999999</v>
      </c>
      <c r="L734">
        <v>368.27960000000002</v>
      </c>
      <c r="M734">
        <v>0.99982879999999996</v>
      </c>
      <c r="N734">
        <v>-1.2843129999999999E-2</v>
      </c>
      <c r="O734">
        <v>1.33235E-2</v>
      </c>
      <c r="P734">
        <v>0.9835467</v>
      </c>
      <c r="Q734">
        <v>0.1731452</v>
      </c>
      <c r="R734">
        <v>-5.1542980000000002E-2</v>
      </c>
      <c r="S734">
        <v>3.0557560000000001</v>
      </c>
      <c r="T734">
        <v>-0.1220416</v>
      </c>
      <c r="U734">
        <v>-0.3110657</v>
      </c>
      <c r="V734">
        <v>6.4721189999999998E-2</v>
      </c>
      <c r="W734">
        <v>0.18572620000000001</v>
      </c>
      <c r="X734">
        <v>0.98046770000000005</v>
      </c>
      <c r="Y734">
        <v>0.114395899999999</v>
      </c>
      <c r="Z734">
        <v>-3.3745120000000001E-3</v>
      </c>
      <c r="AA734">
        <v>0.99342949999999997</v>
      </c>
      <c r="AB734">
        <v>30</v>
      </c>
      <c r="AC734">
        <v>27.729999999999901</v>
      </c>
      <c r="AD734">
        <v>-1.1194826292790001</v>
      </c>
      <c r="AE734">
        <v>-2.8563000000000298</v>
      </c>
      <c r="AF734">
        <v>3.2203441168450002</v>
      </c>
      <c r="AG734">
        <v>-1.1194826292790001</v>
      </c>
      <c r="AH734">
        <v>27.644896473140101</v>
      </c>
      <c r="AI734">
        <v>92.303372269870906</v>
      </c>
      <c r="AJ734">
        <v>83.355581675396294</v>
      </c>
      <c r="AK734">
        <v>27.854338236597702</v>
      </c>
      <c r="AL734">
        <v>79.296525431837793</v>
      </c>
      <c r="AM734">
        <v>86.223354454552705</v>
      </c>
      <c r="AN734">
        <v>0.99999998227237297</v>
      </c>
    </row>
    <row r="735" spans="1:40" x14ac:dyDescent="0.25">
      <c r="A735" t="str">
        <f>"20190303162512953"</f>
        <v>20190303162512953</v>
      </c>
      <c r="B735" t="str">
        <f>"1551601512943880"</f>
        <v>1551601512943880</v>
      </c>
      <c r="C735" t="s">
        <v>40</v>
      </c>
      <c r="D735">
        <v>4.6432349999999998</v>
      </c>
      <c r="E735">
        <v>0.50890709999999995</v>
      </c>
      <c r="F735" t="s">
        <v>41</v>
      </c>
      <c r="G735">
        <v>-243.2578</v>
      </c>
      <c r="H735" s="1">
        <v>-3.8280399999999999E-6</v>
      </c>
      <c r="I735">
        <v>365.89280000000002</v>
      </c>
      <c r="J735">
        <v>-271.28129999999999</v>
      </c>
      <c r="K735">
        <v>1.1197589999999999</v>
      </c>
      <c r="L735">
        <v>368.28339999999997</v>
      </c>
      <c r="M735">
        <v>0.99982910000000003</v>
      </c>
      <c r="N735">
        <v>-1.301215E-2</v>
      </c>
      <c r="O735">
        <v>1.313217E-2</v>
      </c>
      <c r="P735">
        <v>0.98350669999999996</v>
      </c>
      <c r="Q735">
        <v>0.17316019999999999</v>
      </c>
      <c r="R735">
        <v>-5.225146E-2</v>
      </c>
      <c r="S735">
        <v>3.0579529999999999</v>
      </c>
      <c r="T735">
        <v>-0.1208515</v>
      </c>
      <c r="U735">
        <v>-0.2576599</v>
      </c>
      <c r="V735">
        <v>6.5241010000000002E-2</v>
      </c>
      <c r="W735">
        <v>0.18590609999999999</v>
      </c>
      <c r="X735">
        <v>0.98039920000000003</v>
      </c>
      <c r="Y735">
        <v>9.6936449999999993E-2</v>
      </c>
      <c r="Z735">
        <v>-2.8909080000000002E-3</v>
      </c>
      <c r="AA735">
        <v>0.99528629999999996</v>
      </c>
      <c r="AB735">
        <v>30</v>
      </c>
      <c r="AC735">
        <v>28.023499999999899</v>
      </c>
      <c r="AD735">
        <v>-1.1197628280399901</v>
      </c>
      <c r="AE735">
        <v>-2.3905999999999401</v>
      </c>
      <c r="AF735">
        <v>2.7540688561188502</v>
      </c>
      <c r="AG735">
        <v>-1.1197628280399901</v>
      </c>
      <c r="AH735">
        <v>27.945390276960001</v>
      </c>
      <c r="AI735">
        <v>92.283545159979994</v>
      </c>
      <c r="AJ735">
        <v>84.371572097757806</v>
      </c>
      <c r="AK735">
        <v>28.1030888300008</v>
      </c>
      <c r="AL735">
        <v>79.286035739781397</v>
      </c>
      <c r="AM735">
        <v>86.192845276072404</v>
      </c>
      <c r="AN735">
        <v>1.0000000293818301</v>
      </c>
    </row>
    <row r="736" spans="1:40" x14ac:dyDescent="0.25">
      <c r="A736" t="str">
        <f>"20190303162512976"</f>
        <v>20190303162512976</v>
      </c>
      <c r="B736" t="str">
        <f>"1551601512963400"</f>
        <v>1551601512963400</v>
      </c>
      <c r="C736" t="s">
        <v>40</v>
      </c>
      <c r="D736">
        <v>4.6348379999999896</v>
      </c>
      <c r="E736">
        <v>0.50770950000000004</v>
      </c>
      <c r="F736" t="s">
        <v>41</v>
      </c>
      <c r="G736">
        <v>-242.44540000000001</v>
      </c>
      <c r="H736" s="1">
        <v>-4.1678320000000002E-6</v>
      </c>
      <c r="I736">
        <v>366.14229999999998</v>
      </c>
      <c r="J736">
        <v>-270.97699999999998</v>
      </c>
      <c r="K736">
        <v>1.1199950000000001</v>
      </c>
      <c r="L736">
        <v>368.28719999999998</v>
      </c>
      <c r="M736">
        <v>0.99982969999999904</v>
      </c>
      <c r="N736">
        <v>-1.3163029999999999E-2</v>
      </c>
      <c r="O736">
        <v>1.294006E-2</v>
      </c>
      <c r="P736">
        <v>0.98353710000000005</v>
      </c>
      <c r="Q736">
        <v>0.1728083</v>
      </c>
      <c r="R736">
        <v>-5.2844080000000002E-2</v>
      </c>
      <c r="S736">
        <v>3.0591430000000002</v>
      </c>
      <c r="T736">
        <v>-0.1187932</v>
      </c>
      <c r="U736">
        <v>-0.22714229999999999</v>
      </c>
      <c r="V736">
        <v>6.5645029999999993E-2</v>
      </c>
      <c r="W736">
        <v>0.18570220000000001</v>
      </c>
      <c r="X736">
        <v>0.98041080000000003</v>
      </c>
      <c r="Y736">
        <v>8.6854390000000004E-2</v>
      </c>
      <c r="Z736">
        <v>-2.5877719999999999E-3</v>
      </c>
      <c r="AA736">
        <v>0.99621769999999998</v>
      </c>
      <c r="AB736">
        <v>30</v>
      </c>
      <c r="AC736">
        <v>28.531600000000001</v>
      </c>
      <c r="AD736">
        <v>-1.119999167832</v>
      </c>
      <c r="AE736">
        <v>-2.1448999999999998</v>
      </c>
      <c r="AF736">
        <v>2.51010679949299</v>
      </c>
      <c r="AG736">
        <v>-1.119999167832</v>
      </c>
      <c r="AH736">
        <v>28.457848067444701</v>
      </c>
      <c r="AI736">
        <v>92.245086376204796</v>
      </c>
      <c r="AJ736">
        <v>84.959306591350597</v>
      </c>
      <c r="AK736">
        <v>28.5902807070965</v>
      </c>
      <c r="AL736">
        <v>79.297924600857101</v>
      </c>
      <c r="AM736">
        <v>86.169383760936597</v>
      </c>
      <c r="AN736">
        <v>0.99999995690258903</v>
      </c>
    </row>
    <row r="737" spans="1:40" x14ac:dyDescent="0.25">
      <c r="A737" t="str">
        <f>"20190303162512999"</f>
        <v>20190303162512999</v>
      </c>
      <c r="B737" t="str">
        <f>"1551601512993656"</f>
        <v>1551601512993656</v>
      </c>
      <c r="C737" t="s">
        <v>40</v>
      </c>
      <c r="D737">
        <v>4.6525460000000001</v>
      </c>
      <c r="E737">
        <v>0.50722389999999995</v>
      </c>
      <c r="F737" t="s">
        <v>41</v>
      </c>
      <c r="G737">
        <v>-242.59829999999999</v>
      </c>
      <c r="H737" s="1">
        <v>-4.0759269999999999E-6</v>
      </c>
      <c r="I737">
        <v>366.25279999999998</v>
      </c>
      <c r="J737">
        <v>-270.67009999999999</v>
      </c>
      <c r="K737">
        <v>1.12019</v>
      </c>
      <c r="L737">
        <v>368.291</v>
      </c>
      <c r="M737">
        <v>0.99983040000000001</v>
      </c>
      <c r="N737">
        <v>-1.3297359999999999E-2</v>
      </c>
      <c r="O737">
        <v>1.274602E-2</v>
      </c>
      <c r="P737">
        <v>0.98362240000000001</v>
      </c>
      <c r="Q737">
        <v>0.17219979999999999</v>
      </c>
      <c r="R737">
        <v>-5.3240309999999999E-2</v>
      </c>
      <c r="S737">
        <v>3.059631</v>
      </c>
      <c r="T737">
        <v>-0.1207521</v>
      </c>
      <c r="U737">
        <v>-0.21932979999999999</v>
      </c>
      <c r="V737">
        <v>6.5851199999999999E-2</v>
      </c>
      <c r="W737">
        <v>0.18522669999999999</v>
      </c>
      <c r="X737">
        <v>0.980487</v>
      </c>
      <c r="Y737">
        <v>8.4118719999999994E-2</v>
      </c>
      <c r="Z737">
        <v>-2.5504899999999999E-3</v>
      </c>
      <c r="AA737">
        <v>0.99645249999999996</v>
      </c>
      <c r="AB737">
        <v>30</v>
      </c>
      <c r="AC737">
        <v>28.0718</v>
      </c>
      <c r="AD737">
        <v>-1.1201940759269999</v>
      </c>
      <c r="AE737">
        <v>-2.03820000000001</v>
      </c>
      <c r="AF737">
        <v>2.39208062214382</v>
      </c>
      <c r="AG737">
        <v>-1.1201940759269999</v>
      </c>
      <c r="AH737">
        <v>27.999186519404599</v>
      </c>
      <c r="AI737">
        <v>92.282766118883899</v>
      </c>
      <c r="AJ737">
        <v>85.116853806255804</v>
      </c>
      <c r="AK737">
        <v>28.123501386189201</v>
      </c>
      <c r="AL737">
        <v>79.325650583019097</v>
      </c>
      <c r="AM737">
        <v>86.157686749273097</v>
      </c>
      <c r="AN737">
        <v>1.0000000340516599</v>
      </c>
    </row>
    <row r="738" spans="1:40" x14ac:dyDescent="0.25">
      <c r="A738" t="str">
        <f>"20190303162513020"</f>
        <v>20190303162513020</v>
      </c>
      <c r="B738" t="str">
        <f>"1551601513013176"</f>
        <v>1551601513013176</v>
      </c>
      <c r="C738" t="s">
        <v>40</v>
      </c>
      <c r="D738">
        <v>4.6877139999999997</v>
      </c>
      <c r="E738">
        <v>0.50675890000000001</v>
      </c>
      <c r="F738" t="s">
        <v>41</v>
      </c>
      <c r="G738">
        <v>-242.83529999999999</v>
      </c>
      <c r="H738" s="1">
        <v>-3.951892E-6</v>
      </c>
      <c r="I738">
        <v>366.32069999999999</v>
      </c>
      <c r="J738">
        <v>-270.37020000000001</v>
      </c>
      <c r="K738">
        <v>1.1203459999999901</v>
      </c>
      <c r="L738">
        <v>368.2946</v>
      </c>
      <c r="M738">
        <v>0.99983140000000004</v>
      </c>
      <c r="N738">
        <v>-1.3412169999999999E-2</v>
      </c>
      <c r="O738">
        <v>1.255623E-2</v>
      </c>
      <c r="P738">
        <v>0.98366149999999997</v>
      </c>
      <c r="Q738">
        <v>0.1720092</v>
      </c>
      <c r="R738">
        <v>-5.3135500000000002E-2</v>
      </c>
      <c r="S738">
        <v>3.0598139999999998</v>
      </c>
      <c r="T738">
        <v>-0.12314</v>
      </c>
      <c r="U738">
        <v>-0.21658330000000001</v>
      </c>
      <c r="V738">
        <v>6.556025E-2</v>
      </c>
      <c r="W738">
        <v>0.1851498</v>
      </c>
      <c r="X738">
        <v>0.98052099999999998</v>
      </c>
      <c r="Y738">
        <v>8.3033129999999997E-2</v>
      </c>
      <c r="Z738">
        <v>-2.5622750000000001E-3</v>
      </c>
      <c r="AA738">
        <v>0.99654350000000003</v>
      </c>
      <c r="AB738">
        <v>30</v>
      </c>
      <c r="AC738">
        <v>27.5349</v>
      </c>
      <c r="AD738">
        <v>-1.1203499518919999</v>
      </c>
      <c r="AE738">
        <v>-1.97390000000001</v>
      </c>
      <c r="AF738">
        <v>2.3156958056309001</v>
      </c>
      <c r="AG738">
        <v>-1.1203499518919999</v>
      </c>
      <c r="AH738">
        <v>27.462708764665201</v>
      </c>
      <c r="AI738">
        <v>92.327852342666503</v>
      </c>
      <c r="AJ738">
        <v>85.180137667072799</v>
      </c>
      <c r="AK738">
        <v>27.582929571960602</v>
      </c>
      <c r="AL738">
        <v>79.330133954971302</v>
      </c>
      <c r="AM738">
        <v>86.1747449578356</v>
      </c>
      <c r="AN738">
        <v>1.00000001313055</v>
      </c>
    </row>
    <row r="739" spans="1:40" x14ac:dyDescent="0.25">
      <c r="A739" t="str">
        <f>"20190303162513043"</f>
        <v>20190303162513043</v>
      </c>
      <c r="B739" t="str">
        <f>"1551601513033672"</f>
        <v>1551601513033672</v>
      </c>
      <c r="C739" t="s">
        <v>40</v>
      </c>
      <c r="D739">
        <v>4.7020499999999998</v>
      </c>
      <c r="E739">
        <v>0.50669719999999996</v>
      </c>
      <c r="F739" t="s">
        <v>41</v>
      </c>
      <c r="G739">
        <v>-242.97559999999999</v>
      </c>
      <c r="H739" s="1">
        <v>-3.8735280000000002E-6</v>
      </c>
      <c r="I739">
        <v>366.38850000000002</v>
      </c>
      <c r="J739">
        <v>-270.07799999999997</v>
      </c>
      <c r="K739">
        <v>1.120466</v>
      </c>
      <c r="L739">
        <v>368.298</v>
      </c>
      <c r="M739">
        <v>0.99983230000000001</v>
      </c>
      <c r="N739">
        <v>-1.3511520000000001E-2</v>
      </c>
      <c r="O739">
        <v>1.2371480000000001E-2</v>
      </c>
      <c r="P739">
        <v>0.98365100000000005</v>
      </c>
      <c r="Q739">
        <v>0.17228460000000001</v>
      </c>
      <c r="R739">
        <v>-5.2433210000000001E-2</v>
      </c>
      <c r="S739">
        <v>3.0602109999999998</v>
      </c>
      <c r="T739">
        <v>-0.12515270000000001</v>
      </c>
      <c r="U739">
        <v>-0.2129211</v>
      </c>
      <c r="V739">
        <v>6.4676339999999999E-2</v>
      </c>
      <c r="W739">
        <v>0.18552279999999999</v>
      </c>
      <c r="X739">
        <v>0.98050919999999997</v>
      </c>
      <c r="Y739">
        <v>8.165182E-2</v>
      </c>
      <c r="Z739">
        <v>-2.5578290000000002E-3</v>
      </c>
      <c r="AA739">
        <v>0.99665760000000003</v>
      </c>
      <c r="AB739">
        <v>30</v>
      </c>
      <c r="AC739">
        <v>27.1023999999999</v>
      </c>
      <c r="AD739">
        <v>-1.1204698735280001</v>
      </c>
      <c r="AE739">
        <v>-1.90949999999998</v>
      </c>
      <c r="AF739">
        <v>2.2408701025408102</v>
      </c>
      <c r="AG739">
        <v>-1.1204698735280001</v>
      </c>
      <c r="AH739">
        <v>27.030728121307199</v>
      </c>
      <c r="AI739">
        <v>92.3655436195302</v>
      </c>
      <c r="AJ739">
        <v>85.260968259760702</v>
      </c>
      <c r="AK739">
        <v>27.146587526279799</v>
      </c>
      <c r="AL739">
        <v>79.308385864553003</v>
      </c>
      <c r="AM739">
        <v>86.226123273964902</v>
      </c>
      <c r="AN739">
        <v>1.00000001478013</v>
      </c>
    </row>
    <row r="740" spans="1:40" x14ac:dyDescent="0.25">
      <c r="A740" t="str">
        <f>"20190303162513065"</f>
        <v>20190303162513065</v>
      </c>
      <c r="B740" t="str">
        <f>"1551601513053192"</f>
        <v>1551601513053192</v>
      </c>
      <c r="C740" t="s">
        <v>40</v>
      </c>
      <c r="D740">
        <v>4.7477640000000001</v>
      </c>
      <c r="E740">
        <v>0.50655039999999996</v>
      </c>
      <c r="F740" t="s">
        <v>41</v>
      </c>
      <c r="G740">
        <v>-242.7285</v>
      </c>
      <c r="H740" s="1">
        <v>-3.9855750000000004E-6</v>
      </c>
      <c r="I740">
        <v>366.4153</v>
      </c>
      <c r="J740">
        <v>-269.77600000000001</v>
      </c>
      <c r="K740">
        <v>1.1205780000000001</v>
      </c>
      <c r="L740">
        <v>368.30160000000001</v>
      </c>
      <c r="M740">
        <v>0.99983339999999998</v>
      </c>
      <c r="N740">
        <v>-1.360218E-2</v>
      </c>
      <c r="O740">
        <v>1.218E-2</v>
      </c>
      <c r="P740">
        <v>0.98372599999999999</v>
      </c>
      <c r="Q740">
        <v>0.17194599999999999</v>
      </c>
      <c r="R740">
        <v>-5.2134159999999999E-2</v>
      </c>
      <c r="S740">
        <v>3.0606080000000002</v>
      </c>
      <c r="T740">
        <v>-0.12538869999999999</v>
      </c>
      <c r="U740">
        <v>-0.2106934</v>
      </c>
      <c r="V740">
        <v>6.4189930000000006E-2</v>
      </c>
      <c r="W740">
        <v>0.18527489999999999</v>
      </c>
      <c r="X740">
        <v>0.98058800000000002</v>
      </c>
      <c r="Y740">
        <v>8.0730659999999996E-2</v>
      </c>
      <c r="Z740">
        <v>-2.533918E-3</v>
      </c>
      <c r="AA740">
        <v>0.99673270000000003</v>
      </c>
      <c r="AB740">
        <v>30</v>
      </c>
      <c r="AC740">
        <v>27.047499999999999</v>
      </c>
      <c r="AD740">
        <v>-1.1205819855750001</v>
      </c>
      <c r="AE740">
        <v>-1.8863000000000001</v>
      </c>
      <c r="AF740">
        <v>2.2118508762333202</v>
      </c>
      <c r="AG740">
        <v>-1.1205819855750001</v>
      </c>
      <c r="AH740">
        <v>26.976436233022799</v>
      </c>
      <c r="AI740">
        <v>92.370712146889502</v>
      </c>
      <c r="AJ740">
        <v>85.312691743091406</v>
      </c>
      <c r="AK740">
        <v>27.090147657763598</v>
      </c>
      <c r="AL740">
        <v>79.322839707663803</v>
      </c>
      <c r="AM740">
        <v>86.254724429630699</v>
      </c>
      <c r="AN740">
        <v>0.99999998071370699</v>
      </c>
    </row>
    <row r="741" spans="1:40" x14ac:dyDescent="0.25">
      <c r="A741" t="str">
        <f>"20190303162513088"</f>
        <v>20190303162513088</v>
      </c>
      <c r="B741" t="str">
        <f>"1551601513073687"</f>
        <v>1551601513073687</v>
      </c>
      <c r="C741" t="s">
        <v>40</v>
      </c>
      <c r="D741">
        <v>4.7497470000000002</v>
      </c>
      <c r="E741">
        <v>0.5064147</v>
      </c>
      <c r="F741" t="s">
        <v>41</v>
      </c>
      <c r="G741">
        <v>-242.65690000000001</v>
      </c>
      <c r="H741" s="1">
        <v>-4.011622E-6</v>
      </c>
      <c r="I741">
        <v>366.45940000000002</v>
      </c>
      <c r="J741">
        <v>-269.46339999999998</v>
      </c>
      <c r="K741">
        <v>1.1206769999999999</v>
      </c>
      <c r="L741">
        <v>368.30520000000001</v>
      </c>
      <c r="M741">
        <v>0.99983469999999997</v>
      </c>
      <c r="N741">
        <v>-1.368461E-2</v>
      </c>
      <c r="O741">
        <v>1.1982019999999999E-2</v>
      </c>
      <c r="P741">
        <v>0.98374490000000003</v>
      </c>
      <c r="Q741">
        <v>0.17181649999999901</v>
      </c>
      <c r="R741">
        <v>-5.2203359999999997E-2</v>
      </c>
      <c r="S741">
        <v>3.0606990000000001</v>
      </c>
      <c r="T741">
        <v>-0.12647059999999999</v>
      </c>
      <c r="U741">
        <v>-0.2079163</v>
      </c>
      <c r="V741">
        <v>6.4064609999999994E-2</v>
      </c>
      <c r="W741">
        <v>0.18522659999999999</v>
      </c>
      <c r="X741">
        <v>0.98060530000000001</v>
      </c>
      <c r="Y741">
        <v>7.9630779999999998E-2</v>
      </c>
      <c r="Z741">
        <v>-2.5190709999999999E-3</v>
      </c>
      <c r="AA741">
        <v>0.99682119999999996</v>
      </c>
      <c r="AB741">
        <v>30</v>
      </c>
      <c r="AC741">
        <v>26.8064999999999</v>
      </c>
      <c r="AD741">
        <v>-1.1206810116220001</v>
      </c>
      <c r="AE741">
        <v>-1.8457999999999899</v>
      </c>
      <c r="AF741">
        <v>2.1631307160911</v>
      </c>
      <c r="AG741">
        <v>-1.1206810116220001</v>
      </c>
      <c r="AH741">
        <v>26.735949066645901</v>
      </c>
      <c r="AI741">
        <v>92.392432674842496</v>
      </c>
      <c r="AJ741">
        <v>85.374434428095</v>
      </c>
      <c r="AK741">
        <v>26.846713633496901</v>
      </c>
      <c r="AL741">
        <v>79.325655624507604</v>
      </c>
      <c r="AM741">
        <v>86.262081456472799</v>
      </c>
      <c r="AN741">
        <v>0.99999996099504995</v>
      </c>
    </row>
    <row r="742" spans="1:40" x14ac:dyDescent="0.25">
      <c r="A742" t="str">
        <f>"20190303162513110"</f>
        <v>20190303162513110</v>
      </c>
      <c r="B742" t="str">
        <f>"1551601513103943"</f>
        <v>1551601513103943</v>
      </c>
      <c r="C742" t="s">
        <v>40</v>
      </c>
      <c r="D742">
        <v>4.8423939999999996</v>
      </c>
      <c r="E742">
        <v>0.50623409999999902</v>
      </c>
      <c r="F742" t="s">
        <v>41</v>
      </c>
      <c r="G742">
        <v>-242.3758</v>
      </c>
      <c r="H742" s="1">
        <v>-4.1423089999999997E-6</v>
      </c>
      <c r="I742">
        <v>366.47160000000002</v>
      </c>
      <c r="J742">
        <v>-269.15780000000001</v>
      </c>
      <c r="K742">
        <v>1.120754</v>
      </c>
      <c r="L742">
        <v>368.30860000000001</v>
      </c>
      <c r="M742">
        <v>0.99983599999999995</v>
      </c>
      <c r="N742">
        <v>-1.3755150000000001E-2</v>
      </c>
      <c r="O742">
        <v>1.178864E-2</v>
      </c>
      <c r="P742">
        <v>0.98378319999999997</v>
      </c>
      <c r="Q742">
        <v>0.17171249999999999</v>
      </c>
      <c r="R742">
        <v>-5.1823670000000002E-2</v>
      </c>
      <c r="S742">
        <v>3.0606689999999999</v>
      </c>
      <c r="T742">
        <v>-0.1266274</v>
      </c>
      <c r="U742">
        <v>-0.2071838</v>
      </c>
      <c r="V742">
        <v>6.3495179999999998E-2</v>
      </c>
      <c r="W742">
        <v>0.18519289999999999</v>
      </c>
      <c r="X742">
        <v>0.98064879999999999</v>
      </c>
      <c r="Y742">
        <v>7.9201469999999996E-2</v>
      </c>
      <c r="Z742">
        <v>-2.5065650000000001E-3</v>
      </c>
      <c r="AA742">
        <v>0.99685550000000001</v>
      </c>
      <c r="AB742">
        <v>30</v>
      </c>
      <c r="AC742">
        <v>26.782</v>
      </c>
      <c r="AD742">
        <v>-1.1207581423090001</v>
      </c>
      <c r="AE742">
        <v>-1.83699999999998</v>
      </c>
      <c r="AF742">
        <v>2.1488800075032501</v>
      </c>
      <c r="AG742">
        <v>-1.1207581423090001</v>
      </c>
      <c r="AH742">
        <v>26.711921739654901</v>
      </c>
      <c r="AI742">
        <v>92.394835109318393</v>
      </c>
      <c r="AJ742">
        <v>85.400661054394604</v>
      </c>
      <c r="AK742">
        <v>26.821643259234602</v>
      </c>
      <c r="AL742">
        <v>79.3276215394106</v>
      </c>
      <c r="AM742">
        <v>86.295376400478006</v>
      </c>
      <c r="AN742">
        <v>1.0000000585175299</v>
      </c>
    </row>
    <row r="743" spans="1:40" x14ac:dyDescent="0.25">
      <c r="A743" t="str">
        <f>"20190303162513132"</f>
        <v>20190303162513132</v>
      </c>
      <c r="B743" t="str">
        <f>"1551601513123464"</f>
        <v>1551601513123464</v>
      </c>
      <c r="C743" t="s">
        <v>40</v>
      </c>
      <c r="D743">
        <v>4.9019149999999998</v>
      </c>
      <c r="E743">
        <v>0.4798827</v>
      </c>
      <c r="F743" t="s">
        <v>41</v>
      </c>
      <c r="G743">
        <v>-242.34180000000001</v>
      </c>
      <c r="H743" s="1">
        <v>-4.1506690000000001E-6</v>
      </c>
      <c r="I743">
        <v>366.51499999999999</v>
      </c>
      <c r="J743">
        <v>-268.8775</v>
      </c>
      <c r="K743">
        <v>1.1208070000000001</v>
      </c>
      <c r="L743">
        <v>368.31169999999997</v>
      </c>
      <c r="M743">
        <v>0.99983719999999998</v>
      </c>
      <c r="N743">
        <v>-1.381197E-2</v>
      </c>
      <c r="O743">
        <v>1.1611460000000001E-2</v>
      </c>
      <c r="P743">
        <v>0.98378100000000002</v>
      </c>
      <c r="Q743">
        <v>0.17178560000000001</v>
      </c>
      <c r="R743">
        <v>-5.1624959999999998E-2</v>
      </c>
      <c r="S743">
        <v>3.0610659999999998</v>
      </c>
      <c r="T743">
        <v>-0.12793560000000001</v>
      </c>
      <c r="U743">
        <v>-0.20474239999999999</v>
      </c>
      <c r="V743">
        <v>6.3122139999999993E-2</v>
      </c>
      <c r="W743">
        <v>0.18532180000000001</v>
      </c>
      <c r="X743">
        <v>0.98064850000000003</v>
      </c>
      <c r="Y743">
        <v>7.8223970000000004E-2</v>
      </c>
      <c r="Z743">
        <v>-2.4977210000000001E-3</v>
      </c>
      <c r="AA743">
        <v>0.9969327</v>
      </c>
      <c r="AB743">
        <v>30</v>
      </c>
      <c r="AC743">
        <v>26.535699999999899</v>
      </c>
      <c r="AD743">
        <v>-1.1208111506689999</v>
      </c>
      <c r="AE743">
        <v>-1.79669999999998</v>
      </c>
      <c r="AF743">
        <v>2.1009953141654298</v>
      </c>
      <c r="AG743">
        <v>-1.1208111506689999</v>
      </c>
      <c r="AH743">
        <v>26.4660455247671</v>
      </c>
      <c r="AI743">
        <v>92.417375243066601</v>
      </c>
      <c r="AJ743">
        <v>85.461118461418295</v>
      </c>
      <c r="AK743">
        <v>26.572955512412499</v>
      </c>
      <c r="AL743">
        <v>79.3201056835793</v>
      </c>
      <c r="AM743">
        <v>86.317080200882998</v>
      </c>
      <c r="AN743">
        <v>1.00000002733283</v>
      </c>
    </row>
    <row r="744" spans="1:40" x14ac:dyDescent="0.25">
      <c r="A744" t="str">
        <f>"20190303162513155"</f>
        <v>20190303162513155</v>
      </c>
      <c r="B744" t="str">
        <f>"1551601513143960"</f>
        <v>1551601513143960</v>
      </c>
      <c r="C744" t="s">
        <v>40</v>
      </c>
      <c r="D744">
        <v>5.0031160000000003</v>
      </c>
      <c r="E744">
        <v>0.46263759999999998</v>
      </c>
      <c r="F744" t="s">
        <v>41</v>
      </c>
      <c r="G744">
        <v>-231.98500000000001</v>
      </c>
      <c r="H744" s="1">
        <v>-3.63985E-6</v>
      </c>
      <c r="I744">
        <v>368.3811</v>
      </c>
      <c r="J744">
        <v>-268.572</v>
      </c>
      <c r="K744">
        <v>1.120865</v>
      </c>
      <c r="L744">
        <v>368.315</v>
      </c>
      <c r="M744">
        <v>0.99983869999999997</v>
      </c>
      <c r="N744">
        <v>-1.386678E-2</v>
      </c>
      <c r="O744">
        <v>1.141784E-2</v>
      </c>
      <c r="P744">
        <v>0.98378600000000005</v>
      </c>
      <c r="Q744">
        <v>0.1716936</v>
      </c>
      <c r="R744">
        <v>-5.1831990000000001E-2</v>
      </c>
      <c r="S744">
        <v>3.0660400000000001</v>
      </c>
      <c r="T744">
        <v>-9.3147519999999998E-2</v>
      </c>
      <c r="U744">
        <v>5.7678219999999997E-3</v>
      </c>
      <c r="V744">
        <v>6.3138810000000004E-2</v>
      </c>
      <c r="W744">
        <v>0.1852838</v>
      </c>
      <c r="X744">
        <v>0.98065460000000004</v>
      </c>
      <c r="Y744">
        <v>9.5298840000000006E-3</v>
      </c>
      <c r="Z744">
        <v>-3.9929940000000001E-4</v>
      </c>
      <c r="AA744">
        <v>0.99995449999999997</v>
      </c>
      <c r="AB744">
        <v>30</v>
      </c>
      <c r="AC744">
        <v>36.586999999999897</v>
      </c>
      <c r="AD744">
        <v>-1.1208686398500001</v>
      </c>
      <c r="AE744">
        <v>6.6100000000005807E-2</v>
      </c>
      <c r="AF744">
        <v>0.35135920824966999</v>
      </c>
      <c r="AG744">
        <v>-1.1208686398500001</v>
      </c>
      <c r="AH744">
        <v>36.551064620436499</v>
      </c>
      <c r="AI744">
        <v>91.756390935133993</v>
      </c>
      <c r="AJ744">
        <v>89.449242316788201</v>
      </c>
      <c r="AK744">
        <v>36.569934709927303</v>
      </c>
      <c r="AL744">
        <v>79.322321217049904</v>
      </c>
      <c r="AM744">
        <v>86.316133104176203</v>
      </c>
      <c r="AN744">
        <v>1.0000000201859001</v>
      </c>
    </row>
    <row r="745" spans="1:40" x14ac:dyDescent="0.25">
      <c r="A745" t="str">
        <f>"20190303162513177"</f>
        <v>20190303162513177</v>
      </c>
      <c r="B745" t="str">
        <f>"1551601513163480"</f>
        <v>1551601513163480</v>
      </c>
      <c r="C745" t="s">
        <v>40</v>
      </c>
      <c r="D745">
        <v>4.9282399999999997</v>
      </c>
      <c r="E745">
        <v>0.45431749999999999</v>
      </c>
      <c r="F745" t="s">
        <v>41</v>
      </c>
      <c r="G745">
        <v>-236.25489999999999</v>
      </c>
      <c r="H745" s="1">
        <v>-1.6409039999999999E-6</v>
      </c>
      <c r="I745">
        <v>369.8116</v>
      </c>
      <c r="J745">
        <v>-268.27589999999998</v>
      </c>
      <c r="K745">
        <v>1.120908</v>
      </c>
      <c r="L745">
        <v>368.31819999999999</v>
      </c>
      <c r="M745">
        <v>0.99984030000000002</v>
      </c>
      <c r="N745">
        <v>-1.391296E-2</v>
      </c>
      <c r="O745">
        <v>1.1230240000000001E-2</v>
      </c>
      <c r="P745">
        <v>0.98377999999999999</v>
      </c>
      <c r="Q745">
        <v>0.17163210000000001</v>
      </c>
      <c r="R745">
        <v>-5.2148899999999998E-2</v>
      </c>
      <c r="S745">
        <v>3.0755620000000001</v>
      </c>
      <c r="T745">
        <v>-0.1066706</v>
      </c>
      <c r="U745">
        <v>0.14242550000000001</v>
      </c>
      <c r="V745">
        <v>6.3271229999999998E-2</v>
      </c>
      <c r="W745">
        <v>0.1852674</v>
      </c>
      <c r="X745">
        <v>0.98064910000000005</v>
      </c>
      <c r="Y745">
        <v>-3.500996E-2</v>
      </c>
      <c r="Z745">
        <v>6.1742350000000004E-4</v>
      </c>
      <c r="AA745">
        <v>0.99938680000000002</v>
      </c>
      <c r="AB745">
        <v>30</v>
      </c>
      <c r="AC745">
        <v>32.020999999999901</v>
      </c>
      <c r="AD745">
        <v>-1.120909640904</v>
      </c>
      <c r="AE745">
        <v>1.4934000000000001</v>
      </c>
      <c r="AF745">
        <v>-1.13228307072055</v>
      </c>
      <c r="AG745">
        <v>-1.120909640904</v>
      </c>
      <c r="AH745">
        <v>31.9966301988967</v>
      </c>
      <c r="AI745">
        <v>92.005117787979103</v>
      </c>
      <c r="AJ745">
        <v>92.026712829263701</v>
      </c>
      <c r="AK745">
        <v>32.036273932220297</v>
      </c>
      <c r="AL745">
        <v>79.323276747903705</v>
      </c>
      <c r="AM745">
        <v>86.308407684913306</v>
      </c>
      <c r="AN745">
        <v>0.99999995768964001</v>
      </c>
    </row>
    <row r="746" spans="1:40" x14ac:dyDescent="0.25">
      <c r="A746" t="str">
        <f>"20190303162513200"</f>
        <v>20190303162513200</v>
      </c>
      <c r="B746" t="str">
        <f>"1551601513193735"</f>
        <v>1551601513193735</v>
      </c>
      <c r="C746" t="s">
        <v>40</v>
      </c>
      <c r="D746">
        <v>4.9104510000000001</v>
      </c>
      <c r="E746">
        <v>0.45002350000000002</v>
      </c>
      <c r="F746" t="s">
        <v>41</v>
      </c>
      <c r="G746">
        <v>-235.64940000000001</v>
      </c>
      <c r="H746" s="1">
        <v>-2.0889949999999999E-6</v>
      </c>
      <c r="I746">
        <v>370.51940000000002</v>
      </c>
      <c r="J746">
        <v>-267.96719999999999</v>
      </c>
      <c r="K746">
        <v>1.1209450000000001</v>
      </c>
      <c r="L746">
        <v>368.32150000000001</v>
      </c>
      <c r="M746">
        <v>0.99984170000000006</v>
      </c>
      <c r="N746">
        <v>-1.395469E-2</v>
      </c>
      <c r="O746">
        <v>1.1033980000000001E-2</v>
      </c>
      <c r="P746">
        <v>0.98378719999999997</v>
      </c>
      <c r="Q746">
        <v>0.17141219999999999</v>
      </c>
      <c r="R746">
        <v>-5.2731310000000003E-2</v>
      </c>
      <c r="S746">
        <v>3.0789490000000002</v>
      </c>
      <c r="T746">
        <v>-0.1057795</v>
      </c>
      <c r="U746">
        <v>0.20773320000000001</v>
      </c>
      <c r="V746">
        <v>6.3660410000000001E-2</v>
      </c>
      <c r="W746">
        <v>0.1850889</v>
      </c>
      <c r="X746">
        <v>0.98065760000000002</v>
      </c>
      <c r="Y746">
        <v>-5.6257460000000002E-2</v>
      </c>
      <c r="Z746">
        <v>1.133457E-3</v>
      </c>
      <c r="AA746">
        <v>0.99841559999999996</v>
      </c>
      <c r="AB746">
        <v>30</v>
      </c>
      <c r="AC746">
        <v>32.317799999999899</v>
      </c>
      <c r="AD746">
        <v>-1.120947088995</v>
      </c>
      <c r="AE746">
        <v>2.1979000000000002</v>
      </c>
      <c r="AF746">
        <v>-1.8389353124657899</v>
      </c>
      <c r="AG746">
        <v>-1.120947088995</v>
      </c>
      <c r="AH746">
        <v>32.301404618792198</v>
      </c>
      <c r="AI746">
        <v>91.984312188812396</v>
      </c>
      <c r="AJ746">
        <v>93.258360556844806</v>
      </c>
      <c r="AK746">
        <v>32.373120730116398</v>
      </c>
      <c r="AL746">
        <v>79.333683833145599</v>
      </c>
      <c r="AM746">
        <v>86.285796250367298</v>
      </c>
      <c r="AN746">
        <v>0.99999993857116698</v>
      </c>
    </row>
    <row r="747" spans="1:40" x14ac:dyDescent="0.25">
      <c r="A747" t="str">
        <f>"20190303162513222"</f>
        <v>20190303162513222</v>
      </c>
      <c r="B747" t="str">
        <f>"1551601513213256"</f>
        <v>1551601513213256</v>
      </c>
      <c r="C747" t="s">
        <v>40</v>
      </c>
      <c r="D747">
        <v>4.8397920000000001</v>
      </c>
      <c r="E747">
        <v>0.44870100000000002</v>
      </c>
      <c r="F747" t="s">
        <v>41</v>
      </c>
      <c r="G747">
        <v>-236.10820000000001</v>
      </c>
      <c r="H747" s="1">
        <v>-1.9666579999999998E-6</v>
      </c>
      <c r="I747">
        <v>370.79950000000002</v>
      </c>
      <c r="J747">
        <v>-267.67939999999999</v>
      </c>
      <c r="K747">
        <v>1.1209690000000001</v>
      </c>
      <c r="L747">
        <v>368.3245</v>
      </c>
      <c r="M747">
        <v>0.9998435</v>
      </c>
      <c r="N747">
        <v>-1.3988250000000001E-2</v>
      </c>
      <c r="O747">
        <v>1.0851710000000001E-2</v>
      </c>
      <c r="P747">
        <v>0.98382849999999999</v>
      </c>
      <c r="Q747">
        <v>0.171022799999999</v>
      </c>
      <c r="R747">
        <v>-5.322561E-2</v>
      </c>
      <c r="S747">
        <v>3.0811769999999998</v>
      </c>
      <c r="T747">
        <v>-0.1084099</v>
      </c>
      <c r="U747">
        <v>0.23965449999999999</v>
      </c>
      <c r="V747">
        <v>6.3975539999999997E-2</v>
      </c>
      <c r="W747">
        <v>0.18473319999999999</v>
      </c>
      <c r="X747">
        <v>0.98070420000000003</v>
      </c>
      <c r="Y747">
        <v>-6.6666359999999994E-2</v>
      </c>
      <c r="Z747">
        <v>1.4083749999999999E-3</v>
      </c>
      <c r="AA747">
        <v>0.9977743</v>
      </c>
      <c r="AB747">
        <v>30</v>
      </c>
      <c r="AC747">
        <v>31.571199999999902</v>
      </c>
      <c r="AD747">
        <v>-1.1209709666579999</v>
      </c>
      <c r="AE747">
        <v>2.4750000000000201</v>
      </c>
      <c r="AF747">
        <v>-2.1295509931017498</v>
      </c>
      <c r="AG747">
        <v>-1.1209709666579999</v>
      </c>
      <c r="AH747">
        <v>31.556661273384801</v>
      </c>
      <c r="AI747">
        <v>92.029820147162098</v>
      </c>
      <c r="AJ747">
        <v>93.8606609698911</v>
      </c>
      <c r="AK747">
        <v>31.648292751165201</v>
      </c>
      <c r="AL747">
        <v>79.354421967418105</v>
      </c>
      <c r="AM747">
        <v>86.2676390059016</v>
      </c>
      <c r="AN747">
        <v>0.999999976399085</v>
      </c>
    </row>
    <row r="748" spans="1:40" x14ac:dyDescent="0.25">
      <c r="A748" t="str">
        <f>"20190303162513243"</f>
        <v>20190303162513243</v>
      </c>
      <c r="B748" t="str">
        <f>"1551601513233752"</f>
        <v>1551601513233752</v>
      </c>
      <c r="C748" t="s">
        <v>40</v>
      </c>
      <c r="D748">
        <v>4.8360300000000001</v>
      </c>
      <c r="E748">
        <v>0.44764100000000001</v>
      </c>
      <c r="F748" t="s">
        <v>41</v>
      </c>
      <c r="G748">
        <v>-235.51249999999999</v>
      </c>
      <c r="H748" s="1">
        <v>-2.2551760000000002E-6</v>
      </c>
      <c r="I748">
        <v>370.92329999999998</v>
      </c>
      <c r="J748">
        <v>-267.38459999999998</v>
      </c>
      <c r="K748">
        <v>1.1209929999999999</v>
      </c>
      <c r="L748">
        <v>368.32749999999999</v>
      </c>
      <c r="M748">
        <v>0.99984490000000004</v>
      </c>
      <c r="N748">
        <v>-1.401817E-2</v>
      </c>
      <c r="O748">
        <v>1.066488E-2</v>
      </c>
      <c r="P748">
        <v>0.98389150000000003</v>
      </c>
      <c r="Q748">
        <v>0.17059589999999999</v>
      </c>
      <c r="R748">
        <v>-5.3429989999999997E-2</v>
      </c>
      <c r="S748">
        <v>3.0814509999999999</v>
      </c>
      <c r="T748">
        <v>-0.1073841</v>
      </c>
      <c r="U748">
        <v>0.2489624</v>
      </c>
      <c r="V748">
        <v>6.3996620000000004E-2</v>
      </c>
      <c r="W748">
        <v>0.18433620000000001</v>
      </c>
      <c r="X748">
        <v>0.98077760000000003</v>
      </c>
      <c r="Y748">
        <v>-6.9838730000000002E-2</v>
      </c>
      <c r="Z748">
        <v>1.483439E-3</v>
      </c>
      <c r="AA748">
        <v>0.99755720000000003</v>
      </c>
      <c r="AB748">
        <v>30</v>
      </c>
      <c r="AC748">
        <v>31.8720999999999</v>
      </c>
      <c r="AD748">
        <v>-1.1209952551760001</v>
      </c>
      <c r="AE748">
        <v>2.5957999999999899</v>
      </c>
      <c r="AF748">
        <v>-2.2529382061617298</v>
      </c>
      <c r="AG748">
        <v>-1.1209952551760001</v>
      </c>
      <c r="AH748">
        <v>31.858822482756899</v>
      </c>
      <c r="AI748">
        <v>92.010181356065203</v>
      </c>
      <c r="AJ748">
        <v>94.045012025219094</v>
      </c>
      <c r="AK748">
        <v>31.958049547973399</v>
      </c>
      <c r="AL748">
        <v>79.377566671160494</v>
      </c>
      <c r="AM748">
        <v>86.266691293511599</v>
      </c>
      <c r="AN748">
        <v>1.0000000513318099</v>
      </c>
    </row>
    <row r="749" spans="1:40" x14ac:dyDescent="0.25">
      <c r="A749" t="str">
        <f>"20190303162513266"</f>
        <v>20190303162513266</v>
      </c>
      <c r="B749" t="str">
        <f>"1551601513253271"</f>
        <v>1551601513253271</v>
      </c>
      <c r="C749" t="s">
        <v>40</v>
      </c>
      <c r="D749">
        <v>4.8796350000000004</v>
      </c>
      <c r="E749">
        <v>0.44692029999999999</v>
      </c>
      <c r="F749" t="s">
        <v>41</v>
      </c>
      <c r="G749">
        <v>-235.7354</v>
      </c>
      <c r="H749" s="1">
        <v>-2.1705479999999999E-6</v>
      </c>
      <c r="I749">
        <v>370.96460000000002</v>
      </c>
      <c r="J749">
        <v>-267.07569999999998</v>
      </c>
      <c r="K749">
        <v>1.1210100000000001</v>
      </c>
      <c r="L749">
        <v>368.33049999999997</v>
      </c>
      <c r="M749">
        <v>0.99984660000000003</v>
      </c>
      <c r="N749">
        <v>-1.404528E-2</v>
      </c>
      <c r="O749">
        <v>1.0468959999999999E-2</v>
      </c>
      <c r="P749">
        <v>0.98386169999999995</v>
      </c>
      <c r="Q749">
        <v>0.17080300000000001</v>
      </c>
      <c r="R749">
        <v>-5.3316349999999998E-2</v>
      </c>
      <c r="S749">
        <v>3.082001</v>
      </c>
      <c r="T749">
        <v>-0.1091623</v>
      </c>
      <c r="U749">
        <v>0.25680540000000002</v>
      </c>
      <c r="V749">
        <v>6.3690070000000001E-2</v>
      </c>
      <c r="W749">
        <v>0.18457009999999999</v>
      </c>
      <c r="X749">
        <v>0.98075349999999994</v>
      </c>
      <c r="Y749">
        <v>-7.2537279999999996E-2</v>
      </c>
      <c r="Z749">
        <v>1.5693020000000001E-3</v>
      </c>
      <c r="AA749">
        <v>0.99736449999999999</v>
      </c>
      <c r="AB749">
        <v>30</v>
      </c>
      <c r="AC749">
        <v>31.3402999999999</v>
      </c>
      <c r="AD749">
        <v>-1.1210121705480001</v>
      </c>
      <c r="AE749">
        <v>2.6341000000000401</v>
      </c>
      <c r="AF749">
        <v>-2.3028972077672898</v>
      </c>
      <c r="AG749">
        <v>-1.1210121705480001</v>
      </c>
      <c r="AH749">
        <v>31.326362640368899</v>
      </c>
      <c r="AI749">
        <v>92.043941046102304</v>
      </c>
      <c r="AJ749">
        <v>94.204425936394998</v>
      </c>
      <c r="AK749">
        <v>31.430892448544299</v>
      </c>
      <c r="AL749">
        <v>79.363930533520204</v>
      </c>
      <c r="AM749">
        <v>86.284432947241001</v>
      </c>
      <c r="AN749">
        <v>0.99999998729643202</v>
      </c>
    </row>
    <row r="750" spans="1:40" x14ac:dyDescent="0.25">
      <c r="A750" t="str">
        <f>"20190303162513290"</f>
        <v>20190303162513290</v>
      </c>
      <c r="B750" t="str">
        <f>"1551601513283528"</f>
        <v>1551601513283528</v>
      </c>
      <c r="C750" t="s">
        <v>40</v>
      </c>
      <c r="D750">
        <v>4.7696050000000003</v>
      </c>
      <c r="E750">
        <v>0.44588260000000002</v>
      </c>
      <c r="F750" t="s">
        <v>41</v>
      </c>
      <c r="G750">
        <v>-234.6035</v>
      </c>
      <c r="H750" s="1">
        <v>-2.6921290000000002E-6</v>
      </c>
      <c r="I750">
        <v>371.09989999999999</v>
      </c>
      <c r="J750">
        <v>-266.77</v>
      </c>
      <c r="K750">
        <v>1.1210230000000001</v>
      </c>
      <c r="L750">
        <v>368.33350000000002</v>
      </c>
      <c r="M750">
        <v>0.99984830000000002</v>
      </c>
      <c r="N750">
        <v>-1.406818E-2</v>
      </c>
      <c r="O750">
        <v>1.0274800000000001E-2</v>
      </c>
      <c r="P750">
        <v>0.98382559999999997</v>
      </c>
      <c r="Q750">
        <v>0.17105109999999901</v>
      </c>
      <c r="R750">
        <v>-5.3188829999999999E-2</v>
      </c>
      <c r="S750">
        <v>3.0819399999999999</v>
      </c>
      <c r="T750">
        <v>-0.1063952</v>
      </c>
      <c r="U750">
        <v>0.26284790000000002</v>
      </c>
      <c r="V750">
        <v>6.3370899999999994E-2</v>
      </c>
      <c r="W750">
        <v>0.18484049999999999</v>
      </c>
      <c r="X750">
        <v>0.98072329999999996</v>
      </c>
      <c r="Y750">
        <v>-7.4674749999999998E-2</v>
      </c>
      <c r="Z750">
        <v>1.6030839999999901E-3</v>
      </c>
      <c r="AA750">
        <v>0.99720660000000005</v>
      </c>
      <c r="AB750">
        <v>30</v>
      </c>
      <c r="AC750">
        <v>32.1664999999999</v>
      </c>
      <c r="AD750">
        <v>-1.1210256921289901</v>
      </c>
      <c r="AE750">
        <v>2.7663999999999702</v>
      </c>
      <c r="AF750">
        <v>-2.4327837955808498</v>
      </c>
      <c r="AG750">
        <v>-1.1210256921289901</v>
      </c>
      <c r="AH750">
        <v>32.154461512340497</v>
      </c>
      <c r="AI750">
        <v>91.991052050665104</v>
      </c>
      <c r="AJ750">
        <v>94.326714836886794</v>
      </c>
      <c r="AK750">
        <v>32.265841547169401</v>
      </c>
      <c r="AL750">
        <v>79.348167045989996</v>
      </c>
      <c r="AM750">
        <v>86.302887469222995</v>
      </c>
      <c r="AN750">
        <v>1.0000000362849699</v>
      </c>
    </row>
    <row r="751" spans="1:40" x14ac:dyDescent="0.25">
      <c r="A751" t="str">
        <f>"20190303162513312"</f>
        <v>20190303162513312</v>
      </c>
      <c r="B751" t="str">
        <f>"1551601513303048"</f>
        <v>1551601513303048</v>
      </c>
      <c r="C751" t="s">
        <v>40</v>
      </c>
      <c r="D751">
        <v>4.7849789999999999</v>
      </c>
      <c r="E751">
        <v>0.44554860000000002</v>
      </c>
      <c r="F751" t="s">
        <v>41</v>
      </c>
      <c r="G751">
        <v>-233.7148</v>
      </c>
      <c r="H751" s="1">
        <v>-3.1117580000000001E-6</v>
      </c>
      <c r="I751">
        <v>371.2441</v>
      </c>
      <c r="J751">
        <v>-266.47489999999999</v>
      </c>
      <c r="K751">
        <v>1.121035</v>
      </c>
      <c r="L751">
        <v>368.33640000000003</v>
      </c>
      <c r="M751">
        <v>0.99985000000000002</v>
      </c>
      <c r="N751">
        <v>-1.408716E-2</v>
      </c>
      <c r="O751">
        <v>1.0087520000000001E-2</v>
      </c>
      <c r="P751">
        <v>0.98379280000000002</v>
      </c>
      <c r="Q751">
        <v>0.17126920000000001</v>
      </c>
      <c r="R751">
        <v>-5.3093599999999998E-2</v>
      </c>
      <c r="S751">
        <v>3.0821230000000002</v>
      </c>
      <c r="T751">
        <v>-0.10452599999999999</v>
      </c>
      <c r="U751">
        <v>0.27139279999999999</v>
      </c>
      <c r="V751">
        <v>6.3091190000000005E-2</v>
      </c>
      <c r="W751">
        <v>0.1850772</v>
      </c>
      <c r="X751">
        <v>0.98069669999999998</v>
      </c>
      <c r="Y751">
        <v>-7.7599559999999998E-2</v>
      </c>
      <c r="Z751">
        <v>1.661336E-3</v>
      </c>
      <c r="AA751">
        <v>0.99698319999999996</v>
      </c>
      <c r="AB751">
        <v>30</v>
      </c>
      <c r="AC751">
        <v>32.760099999999902</v>
      </c>
      <c r="AD751">
        <v>-1.1210381117579999</v>
      </c>
      <c r="AE751">
        <v>2.90769999999997</v>
      </c>
      <c r="AF751">
        <v>-2.5740604850520499</v>
      </c>
      <c r="AG751">
        <v>-1.1210381117579999</v>
      </c>
      <c r="AH751">
        <v>32.749717625549302</v>
      </c>
      <c r="AI751">
        <v>91.954472759249796</v>
      </c>
      <c r="AJ751">
        <v>94.494091400394694</v>
      </c>
      <c r="AK751">
        <v>32.869842080270701</v>
      </c>
      <c r="AL751">
        <v>79.334367104049804</v>
      </c>
      <c r="AM751">
        <v>86.319061465844499</v>
      </c>
      <c r="AN751">
        <v>1.0000000428031699</v>
      </c>
    </row>
    <row r="752" spans="1:40" x14ac:dyDescent="0.25">
      <c r="A752" t="str">
        <f>"20190303162513333"</f>
        <v>20190303162513333</v>
      </c>
      <c r="B752" t="str">
        <f>"1551601513323544"</f>
        <v>1551601513323544</v>
      </c>
      <c r="C752" t="s">
        <v>40</v>
      </c>
      <c r="D752">
        <v>4.7344749999999998</v>
      </c>
      <c r="E752">
        <v>0.44510129999999998</v>
      </c>
      <c r="F752" t="s">
        <v>41</v>
      </c>
      <c r="G752">
        <v>-232.75550000000001</v>
      </c>
      <c r="H752" s="1">
        <v>-3.5477029999999998E-6</v>
      </c>
      <c r="I752">
        <v>371.33589999999998</v>
      </c>
      <c r="J752">
        <v>-266.19920000000002</v>
      </c>
      <c r="K752">
        <v>1.121041</v>
      </c>
      <c r="L752">
        <v>368.339</v>
      </c>
      <c r="M752">
        <v>0.9998515</v>
      </c>
      <c r="N752">
        <v>-1.4102440000000001E-2</v>
      </c>
      <c r="O752">
        <v>9.9124759999999999E-3</v>
      </c>
      <c r="P752">
        <v>0.98378410000000005</v>
      </c>
      <c r="Q752">
        <v>0.17144189999999901</v>
      </c>
      <c r="R752">
        <v>-5.2691479999999999E-2</v>
      </c>
      <c r="S752">
        <v>3.0820620000000001</v>
      </c>
      <c r="T752">
        <v>-0.10246619999999999</v>
      </c>
      <c r="U752">
        <v>0.27416990000000002</v>
      </c>
      <c r="V752">
        <v>6.2516959999999996E-2</v>
      </c>
      <c r="W752">
        <v>0.1852655</v>
      </c>
      <c r="X752">
        <v>0.98069790000000001</v>
      </c>
      <c r="Y752">
        <v>-7.8668219999999997E-2</v>
      </c>
      <c r="Z752">
        <v>1.6715580000000001E-3</v>
      </c>
      <c r="AA752">
        <v>0.99689939999999999</v>
      </c>
      <c r="AB752">
        <v>30</v>
      </c>
      <c r="AC752">
        <v>33.4437</v>
      </c>
      <c r="AD752">
        <v>-1.121044547703</v>
      </c>
      <c r="AE752">
        <v>2.9968999999999801</v>
      </c>
      <c r="AF752">
        <v>-2.6622424126739799</v>
      </c>
      <c r="AG752">
        <v>-1.121044547703</v>
      </c>
      <c r="AH752">
        <v>33.434498039769402</v>
      </c>
      <c r="AI752">
        <v>91.914329231342293</v>
      </c>
      <c r="AJ752">
        <v>94.552606262163494</v>
      </c>
      <c r="AK752">
        <v>33.559051457291197</v>
      </c>
      <c r="AL752">
        <v>79.323388237700101</v>
      </c>
      <c r="AM752">
        <v>86.352477443435404</v>
      </c>
      <c r="AN752">
        <v>1.0000000234211499</v>
      </c>
    </row>
    <row r="753" spans="1:40" x14ac:dyDescent="0.25">
      <c r="A753" t="str">
        <f>"20190303162513355"</f>
        <v>20190303162513355</v>
      </c>
      <c r="B753" t="str">
        <f>"1551601513343064"</f>
        <v>1551601513343064</v>
      </c>
      <c r="C753" t="s">
        <v>40</v>
      </c>
      <c r="D753">
        <v>4.7064640000000004</v>
      </c>
      <c r="E753">
        <v>0.44478309999999999</v>
      </c>
      <c r="F753" t="s">
        <v>41</v>
      </c>
      <c r="G753">
        <v>-231.7363</v>
      </c>
      <c r="H753" s="1">
        <v>-4.0113050000000004E-6</v>
      </c>
      <c r="I753">
        <v>371.45499999999998</v>
      </c>
      <c r="J753">
        <v>-265.89729999999997</v>
      </c>
      <c r="K753">
        <v>1.121048</v>
      </c>
      <c r="L753">
        <v>368.3417</v>
      </c>
      <c r="M753">
        <v>0.99985310000000005</v>
      </c>
      <c r="N753">
        <v>-1.411681E-2</v>
      </c>
      <c r="O753">
        <v>9.7209359999999995E-3</v>
      </c>
      <c r="P753">
        <v>0.98380789999999996</v>
      </c>
      <c r="Q753">
        <v>0.17136170000000001</v>
      </c>
      <c r="R753">
        <v>-5.2513789999999998E-2</v>
      </c>
      <c r="S753">
        <v>3.0818479999999999</v>
      </c>
      <c r="T753">
        <v>-0.1002493</v>
      </c>
      <c r="U753">
        <v>0.27865600000000001</v>
      </c>
      <c r="V753">
        <v>6.2150869999999997E-2</v>
      </c>
      <c r="W753">
        <v>0.1851999</v>
      </c>
      <c r="X753">
        <v>0.98073350000000004</v>
      </c>
      <c r="Y753">
        <v>-8.0305550000000003E-2</v>
      </c>
      <c r="Z753">
        <v>1.6928570000000001E-3</v>
      </c>
      <c r="AA753">
        <v>0.99676880000000001</v>
      </c>
      <c r="AB753">
        <v>30</v>
      </c>
      <c r="AC753">
        <v>34.160999999999902</v>
      </c>
      <c r="AD753">
        <v>-1.121052011305</v>
      </c>
      <c r="AE753">
        <v>3.1132999999999802</v>
      </c>
      <c r="AF753">
        <v>-2.7780757126142399</v>
      </c>
      <c r="AG753">
        <v>-1.121052011305</v>
      </c>
      <c r="AH753">
        <v>34.153174950131699</v>
      </c>
      <c r="AI753">
        <v>91.873831002035502</v>
      </c>
      <c r="AJ753">
        <v>94.650295289354403</v>
      </c>
      <c r="AK753">
        <v>34.284308676876897</v>
      </c>
      <c r="AL753">
        <v>79.327212407913507</v>
      </c>
      <c r="AM753">
        <v>86.373910911298694</v>
      </c>
      <c r="AN753">
        <v>0.99999996581200701</v>
      </c>
    </row>
    <row r="754" spans="1:40" x14ac:dyDescent="0.25">
      <c r="A754" t="str">
        <f>"20190303162513379"</f>
        <v>20190303162513379</v>
      </c>
      <c r="B754" t="str">
        <f>"1551601513373320"</f>
        <v>1551601513373320</v>
      </c>
      <c r="C754" t="s">
        <v>40</v>
      </c>
      <c r="D754">
        <v>4.6487259999999999</v>
      </c>
      <c r="E754">
        <v>0.44440780000000002</v>
      </c>
      <c r="F754" t="s">
        <v>41</v>
      </c>
      <c r="G754">
        <v>-231.47450000000001</v>
      </c>
      <c r="H754" s="1">
        <v>-4.1065149999999998E-6</v>
      </c>
      <c r="I754">
        <v>371.4896</v>
      </c>
      <c r="J754">
        <v>-265.59710000000001</v>
      </c>
      <c r="K754">
        <v>1.1210629999999999</v>
      </c>
      <c r="L754">
        <v>368.34440000000001</v>
      </c>
      <c r="M754">
        <v>0.99985469999999999</v>
      </c>
      <c r="N754">
        <v>-1.412885E-2</v>
      </c>
      <c r="O754">
        <v>9.5299559999999991E-3</v>
      </c>
      <c r="P754">
        <v>0.98371330000000001</v>
      </c>
      <c r="Q754">
        <v>0.17197000000000001</v>
      </c>
      <c r="R754">
        <v>-5.2292169999999999E-2</v>
      </c>
      <c r="S754">
        <v>3.081909</v>
      </c>
      <c r="T754">
        <v>-0.1003686</v>
      </c>
      <c r="U754">
        <v>0.28182980000000002</v>
      </c>
      <c r="V754">
        <v>6.1740530000000002E-2</v>
      </c>
      <c r="W754">
        <v>0.1858194</v>
      </c>
      <c r="X754">
        <v>0.98064229999999997</v>
      </c>
      <c r="Y754">
        <v>-8.1511120000000006E-2</v>
      </c>
      <c r="Z754">
        <v>1.7262219999999999E-3</v>
      </c>
      <c r="AA754">
        <v>0.99667099999999997</v>
      </c>
      <c r="AB754">
        <v>30</v>
      </c>
      <c r="AC754">
        <v>34.122599999999998</v>
      </c>
      <c r="AD754">
        <v>-1.121067106515</v>
      </c>
      <c r="AE754">
        <v>3.14519999999998</v>
      </c>
      <c r="AF754">
        <v>-2.8168229428887002</v>
      </c>
      <c r="AG754">
        <v>-1.121067106515</v>
      </c>
      <c r="AH754">
        <v>34.114514052934801</v>
      </c>
      <c r="AI754">
        <v>91.875790885584905</v>
      </c>
      <c r="AJ754">
        <v>94.720183980232406</v>
      </c>
      <c r="AK754">
        <v>34.248961327561197</v>
      </c>
      <c r="AL754">
        <v>79.291091397537201</v>
      </c>
      <c r="AM754">
        <v>86.397454145992796</v>
      </c>
      <c r="AN754">
        <v>1.00000003150516</v>
      </c>
    </row>
    <row r="755" spans="1:40" x14ac:dyDescent="0.25">
      <c r="A755" t="str">
        <f>"20190303162513392"</f>
        <v>20190303162513392</v>
      </c>
      <c r="B755" t="str">
        <f>"1551601513383080"</f>
        <v>1551601513383080</v>
      </c>
      <c r="C755" t="s">
        <v>40</v>
      </c>
      <c r="D755">
        <v>4.7076409999999997</v>
      </c>
      <c r="E755">
        <v>0.44418809999999898</v>
      </c>
      <c r="F755" t="s">
        <v>41</v>
      </c>
      <c r="G755">
        <v>-229.09110000000001</v>
      </c>
      <c r="H755" s="1">
        <v>-9.3384410000000005E-7</v>
      </c>
      <c r="I755">
        <v>371.72710000000001</v>
      </c>
      <c r="J755">
        <v>-265.3981</v>
      </c>
      <c r="K755">
        <v>1.121068</v>
      </c>
      <c r="L755">
        <v>368.34620000000001</v>
      </c>
      <c r="M755">
        <v>0.99985599999999997</v>
      </c>
      <c r="N755">
        <v>-1.41356E-2</v>
      </c>
      <c r="O755">
        <v>9.4034370000000006E-3</v>
      </c>
      <c r="P755">
        <v>0.98372649999999995</v>
      </c>
      <c r="Q755">
        <v>0.17190269999999999</v>
      </c>
      <c r="R755">
        <v>-5.2264909999999998E-2</v>
      </c>
      <c r="S755">
        <v>3.0813899999999999</v>
      </c>
      <c r="T755">
        <v>-9.4626189999999999E-2</v>
      </c>
      <c r="U755">
        <v>0.28552250000000001</v>
      </c>
      <c r="V755">
        <v>6.1588919999999998E-2</v>
      </c>
      <c r="W755">
        <v>0.1857589</v>
      </c>
      <c r="X755">
        <v>0.98066319999999996</v>
      </c>
      <c r="Y755">
        <v>-8.2841289999999998E-2</v>
      </c>
      <c r="Z755">
        <v>1.700549E-3</v>
      </c>
      <c r="AA755">
        <v>0.99656129999999998</v>
      </c>
      <c r="AB755">
        <v>30</v>
      </c>
      <c r="AC755">
        <v>36.306999999999903</v>
      </c>
      <c r="AD755">
        <v>-1.1210689338441</v>
      </c>
      <c r="AE755">
        <v>3.3808999999999898</v>
      </c>
      <c r="AF755">
        <v>-3.0364357235155301</v>
      </c>
      <c r="AG755">
        <v>-1.1210689338441</v>
      </c>
      <c r="AH755">
        <v>36.302875370523601</v>
      </c>
      <c r="AI755">
        <v>91.762637591521496</v>
      </c>
      <c r="AJ755">
        <v>94.781189872691897</v>
      </c>
      <c r="AK755">
        <v>36.446885979809601</v>
      </c>
      <c r="AL755">
        <v>79.294618198890404</v>
      </c>
      <c r="AM755">
        <v>86.406353732179298</v>
      </c>
      <c r="AN755">
        <v>0.999999937915106</v>
      </c>
    </row>
    <row r="756" spans="1:40" x14ac:dyDescent="0.25">
      <c r="A756" t="str">
        <f>"20190303162513412"</f>
        <v>20190303162513412</v>
      </c>
      <c r="B756" t="str">
        <f>"1551601513403576"</f>
        <v>1551601513403576</v>
      </c>
      <c r="C756" t="s">
        <v>40</v>
      </c>
      <c r="D756">
        <v>4.5921279999999998</v>
      </c>
      <c r="E756">
        <v>0.44393549999999998</v>
      </c>
      <c r="F756" t="s">
        <v>41</v>
      </c>
      <c r="G756">
        <v>-228.8766</v>
      </c>
      <c r="H756" s="1">
        <v>-1.0344640000000001E-6</v>
      </c>
      <c r="I756">
        <v>371.7595</v>
      </c>
      <c r="J756">
        <v>-265.15699999999998</v>
      </c>
      <c r="K756">
        <v>1.1210789999999999</v>
      </c>
      <c r="L756">
        <v>368.34829999999999</v>
      </c>
      <c r="M756">
        <v>0.9998572</v>
      </c>
      <c r="N756">
        <v>-1.414284E-2</v>
      </c>
      <c r="O756">
        <v>9.2508729999999997E-3</v>
      </c>
      <c r="P756">
        <v>0.98385049999999996</v>
      </c>
      <c r="Q756">
        <v>0.17110739999999999</v>
      </c>
      <c r="R756">
        <v>-5.2541539999999998E-2</v>
      </c>
      <c r="S756">
        <v>3.0814819999999998</v>
      </c>
      <c r="T756">
        <v>-9.4589469999999995E-2</v>
      </c>
      <c r="U756">
        <v>0.28799439999999998</v>
      </c>
      <c r="V756">
        <v>6.1715899999999997E-2</v>
      </c>
      <c r="W756">
        <v>0.1849722</v>
      </c>
      <c r="X756">
        <v>0.98080400000000001</v>
      </c>
      <c r="Y756">
        <v>-8.3782499999999996E-2</v>
      </c>
      <c r="Z756">
        <v>1.72409E-3</v>
      </c>
      <c r="AA756">
        <v>0.9964826</v>
      </c>
      <c r="AB756">
        <v>30</v>
      </c>
      <c r="AC756">
        <v>36.280399999999901</v>
      </c>
      <c r="AD756">
        <v>-1.121080034464</v>
      </c>
      <c r="AE756">
        <v>3.4112</v>
      </c>
      <c r="AF756">
        <v>-3.0724870487331</v>
      </c>
      <c r="AG756">
        <v>-1.121080034464</v>
      </c>
      <c r="AH756">
        <v>36.276072777751999</v>
      </c>
      <c r="AI756">
        <v>91.763801030643606</v>
      </c>
      <c r="AJ756">
        <v>94.841246010596393</v>
      </c>
      <c r="AK756">
        <v>36.423213110392503</v>
      </c>
      <c r="AL756">
        <v>79.340488686547701</v>
      </c>
      <c r="AM756">
        <v>86.3994796529323</v>
      </c>
      <c r="AN756">
        <v>1.00000002675082</v>
      </c>
    </row>
    <row r="757" spans="1:40" x14ac:dyDescent="0.25">
      <c r="A757" t="str">
        <f>"20190303162513434"</f>
        <v>20190303162513434</v>
      </c>
      <c r="B757" t="str">
        <f>"1551601513424072"</f>
        <v>1551601513424072</v>
      </c>
      <c r="C757" t="s">
        <v>40</v>
      </c>
      <c r="D757">
        <v>4.5852050000000002</v>
      </c>
      <c r="E757">
        <v>0.44371440000000001</v>
      </c>
      <c r="F757" t="s">
        <v>41</v>
      </c>
      <c r="G757">
        <v>-229.00069999999999</v>
      </c>
      <c r="H757" s="1">
        <v>-9.7687519999999995E-7</v>
      </c>
      <c r="I757">
        <v>371.74299999999999</v>
      </c>
      <c r="J757">
        <v>-264.86430000000001</v>
      </c>
      <c r="K757">
        <v>1.121081</v>
      </c>
      <c r="L757">
        <v>368.35079999999999</v>
      </c>
      <c r="M757">
        <v>0.99985889999999999</v>
      </c>
      <c r="N757">
        <v>-1.4150309999999999E-2</v>
      </c>
      <c r="O757">
        <v>9.0658879999999994E-3</v>
      </c>
      <c r="P757">
        <v>0.98398390000000002</v>
      </c>
      <c r="Q757">
        <v>0.17000770000000001</v>
      </c>
      <c r="R757">
        <v>-5.36067E-2</v>
      </c>
      <c r="S757">
        <v>3.081299</v>
      </c>
      <c r="T757">
        <v>-9.5539810000000003E-2</v>
      </c>
      <c r="U757">
        <v>0.28930660000000002</v>
      </c>
      <c r="V757">
        <v>6.259961E-2</v>
      </c>
      <c r="W757">
        <v>0.18388209999999999</v>
      </c>
      <c r="X757">
        <v>0.98095290000000002</v>
      </c>
      <c r="Y757">
        <v>-8.4391640000000004E-2</v>
      </c>
      <c r="Z757">
        <v>1.7514119999999999E-3</v>
      </c>
      <c r="AA757">
        <v>0.99643110000000001</v>
      </c>
      <c r="AB757">
        <v>30</v>
      </c>
      <c r="AC757">
        <v>35.863599999999998</v>
      </c>
      <c r="AD757">
        <v>-1.1210819768752001</v>
      </c>
      <c r="AE757">
        <v>3.3922000000000501</v>
      </c>
      <c r="AF757">
        <v>-3.06392526248306</v>
      </c>
      <c r="AG757">
        <v>-1.1210819768752001</v>
      </c>
      <c r="AH757">
        <v>35.8581536777344</v>
      </c>
      <c r="AI757">
        <v>91.784234924547604</v>
      </c>
      <c r="AJ757">
        <v>94.883815863550097</v>
      </c>
      <c r="AK757">
        <v>36.006272342315199</v>
      </c>
      <c r="AL757">
        <v>79.404036249555404</v>
      </c>
      <c r="AM757">
        <v>86.348615171635402</v>
      </c>
      <c r="AN757">
        <v>0.99999996494548504</v>
      </c>
    </row>
    <row r="758" spans="1:40" x14ac:dyDescent="0.25">
      <c r="A758" t="str">
        <f>"20190303162513457"</f>
        <v>20190303162513457</v>
      </c>
      <c r="B758" t="str">
        <f>"1551601513453352"</f>
        <v>1551601513453352</v>
      </c>
      <c r="C758" t="s">
        <v>40</v>
      </c>
      <c r="D758">
        <v>4.5981019999999999</v>
      </c>
      <c r="E758">
        <v>0.47497070000000002</v>
      </c>
      <c r="F758" t="s">
        <v>41</v>
      </c>
      <c r="G758">
        <v>-229.37549999999999</v>
      </c>
      <c r="H758" s="1">
        <v>-7.9352759999999996E-7</v>
      </c>
      <c r="I758">
        <v>371.65820000000002</v>
      </c>
      <c r="J758">
        <v>-264.55790000000002</v>
      </c>
      <c r="K758">
        <v>1.121081</v>
      </c>
      <c r="L758">
        <v>368.35329999999999</v>
      </c>
      <c r="M758">
        <v>0.99986039999999998</v>
      </c>
      <c r="N758">
        <v>-1.4156699999999999E-2</v>
      </c>
      <c r="O758">
        <v>8.8740750000000004E-3</v>
      </c>
      <c r="P758">
        <v>0.98404959999999997</v>
      </c>
      <c r="Q758">
        <v>0.16924939999999999</v>
      </c>
      <c r="R758">
        <v>-5.4783989999999998E-2</v>
      </c>
      <c r="S758">
        <v>3.0813290000000002</v>
      </c>
      <c r="T758">
        <v>-9.7337960000000001E-2</v>
      </c>
      <c r="U758">
        <v>0.28717039999999999</v>
      </c>
      <c r="V758">
        <v>6.3587599999999994E-2</v>
      </c>
      <c r="W758">
        <v>0.18313119999999999</v>
      </c>
      <c r="X758">
        <v>0.98102990000000001</v>
      </c>
      <c r="Y758">
        <v>-8.3895590000000006E-2</v>
      </c>
      <c r="Z758">
        <v>1.7630289999999999E-3</v>
      </c>
      <c r="AA758">
        <v>0.99647300000000005</v>
      </c>
      <c r="AB758">
        <v>29</v>
      </c>
      <c r="AC758">
        <v>35.182400000000001</v>
      </c>
      <c r="AD758">
        <v>-1.1210817935276001</v>
      </c>
      <c r="AE758">
        <v>3.3049000000000301</v>
      </c>
      <c r="AF758">
        <v>-2.9895183807177701</v>
      </c>
      <c r="AG758">
        <v>-1.1210817935276001</v>
      </c>
      <c r="AH758">
        <v>35.174942141992702</v>
      </c>
      <c r="AI758">
        <v>91.818937282609198</v>
      </c>
      <c r="AJ758">
        <v>94.857894148423398</v>
      </c>
      <c r="AK758">
        <v>35.319549816340597</v>
      </c>
      <c r="AL758">
        <v>79.447803699792303</v>
      </c>
      <c r="AM758">
        <v>86.291436406930401</v>
      </c>
      <c r="AN758">
        <v>1.0000000419906001</v>
      </c>
    </row>
    <row r="759" spans="1:40" x14ac:dyDescent="0.25">
      <c r="A759" t="str">
        <f>"20190303162513480"</f>
        <v>20190303162513480</v>
      </c>
      <c r="B759" t="str">
        <f>"1551601513472872"</f>
        <v>1551601513472872</v>
      </c>
      <c r="C759" t="s">
        <v>40</v>
      </c>
      <c r="D759">
        <v>4.4720409999999999</v>
      </c>
      <c r="E759">
        <v>0.50655669999999997</v>
      </c>
      <c r="F759" t="s">
        <v>41</v>
      </c>
      <c r="G759">
        <v>-253.82220000000001</v>
      </c>
      <c r="H759" s="1">
        <v>-2.8352099999999901E-6</v>
      </c>
      <c r="I759">
        <v>368.47410000000002</v>
      </c>
      <c r="J759">
        <v>-264.26330000000002</v>
      </c>
      <c r="K759">
        <v>1.121078</v>
      </c>
      <c r="L759">
        <v>368.35570000000001</v>
      </c>
      <c r="M759">
        <v>0.99986200000000003</v>
      </c>
      <c r="N759">
        <v>-1.416155E-2</v>
      </c>
      <c r="O759">
        <v>8.693671E-3</v>
      </c>
      <c r="P759">
        <v>0.98409729999999995</v>
      </c>
      <c r="Q759">
        <v>0.1685574</v>
      </c>
      <c r="R759">
        <v>-5.6046100000000001E-2</v>
      </c>
      <c r="S759">
        <v>3.1063540000000001</v>
      </c>
      <c r="T759">
        <v>-0.32438109999999998</v>
      </c>
      <c r="U759">
        <v>3.4942630000000002E-2</v>
      </c>
      <c r="V759">
        <v>6.4671380000000001E-2</v>
      </c>
      <c r="W759">
        <v>0.18244440000000001</v>
      </c>
      <c r="X759">
        <v>0.98108700000000004</v>
      </c>
      <c r="Y759">
        <v>-2.573044E-3</v>
      </c>
      <c r="Z759">
        <v>-6.3024160000000001E-4</v>
      </c>
      <c r="AA759">
        <v>0.99999649999999995</v>
      </c>
      <c r="AB759">
        <v>29</v>
      </c>
      <c r="AC759">
        <v>10.4411</v>
      </c>
      <c r="AD759">
        <v>-1.1210808352099999</v>
      </c>
      <c r="AE759">
        <v>0.118400000000008</v>
      </c>
      <c r="AF759">
        <v>-2.73002431156062E-2</v>
      </c>
      <c r="AG759">
        <v>-1.1210808352099999</v>
      </c>
      <c r="AH759">
        <v>10.3227420078828</v>
      </c>
      <c r="AI759">
        <v>96.198180216843497</v>
      </c>
      <c r="AJ759">
        <v>90.151528059331099</v>
      </c>
      <c r="AK759">
        <v>10.3834758199582</v>
      </c>
      <c r="AL759">
        <v>79.487828576098394</v>
      </c>
      <c r="AM759">
        <v>86.228627850752403</v>
      </c>
      <c r="AN759">
        <v>1.0000000240257301</v>
      </c>
    </row>
    <row r="760" spans="1:40" x14ac:dyDescent="0.25">
      <c r="A760" t="str">
        <f>"20190303162513502"</f>
        <v>20190303162513502</v>
      </c>
      <c r="B760" t="str">
        <f>"1551601513493368"</f>
        <v>1551601513493368</v>
      </c>
      <c r="C760" t="s">
        <v>40</v>
      </c>
      <c r="D760">
        <v>4.3991639999999999</v>
      </c>
      <c r="E760">
        <v>0.5115113</v>
      </c>
      <c r="F760" t="s">
        <v>42</v>
      </c>
      <c r="G760">
        <v>-263.3519</v>
      </c>
      <c r="H760">
        <v>0.92400360000000004</v>
      </c>
      <c r="I760">
        <v>368.29180000000002</v>
      </c>
      <c r="J760">
        <v>-263.97129999999999</v>
      </c>
      <c r="K760">
        <v>1.121084</v>
      </c>
      <c r="L760">
        <v>368.35809999999998</v>
      </c>
      <c r="M760">
        <v>0.99986339999999996</v>
      </c>
      <c r="N760">
        <v>-1.416532E-2</v>
      </c>
      <c r="O760">
        <v>8.5205109999999997E-3</v>
      </c>
      <c r="P760">
        <v>0.98414579999999996</v>
      </c>
      <c r="Q760">
        <v>0.16781679999999999</v>
      </c>
      <c r="R760">
        <v>-5.7401870000000001E-2</v>
      </c>
      <c r="S760">
        <v>3.152771</v>
      </c>
      <c r="T760">
        <v>-0.68180669999999899</v>
      </c>
      <c r="U760">
        <v>-0.22030640000000001</v>
      </c>
      <c r="V760">
        <v>6.5854979999999994E-2</v>
      </c>
      <c r="W760">
        <v>0.18170819999999999</v>
      </c>
      <c r="X760">
        <v>0.98114480000000004</v>
      </c>
      <c r="Y760">
        <v>7.6163659999999994E-2</v>
      </c>
      <c r="Z760">
        <v>-1.0378699999999999E-2</v>
      </c>
      <c r="AA760">
        <v>0.99704130000000002</v>
      </c>
      <c r="AB760">
        <v>29</v>
      </c>
      <c r="AC760">
        <v>0.61939999999998396</v>
      </c>
      <c r="AD760">
        <v>-0.19708039999999999</v>
      </c>
      <c r="AE760">
        <v>-6.6299999999955603E-2</v>
      </c>
      <c r="AF760">
        <v>6.5063434584301694E-2</v>
      </c>
      <c r="AG760">
        <v>-0.19708039999999999</v>
      </c>
      <c r="AH760">
        <v>0.56251010460940298</v>
      </c>
      <c r="AI760">
        <v>109.189861590435</v>
      </c>
      <c r="AJ760">
        <v>83.402131373350898</v>
      </c>
      <c r="AK760">
        <v>0.59957614393148395</v>
      </c>
      <c r="AL760">
        <v>79.530725839394705</v>
      </c>
      <c r="AM760">
        <v>86.160035335971898</v>
      </c>
      <c r="AN760">
        <v>0.99999993345253801</v>
      </c>
    </row>
    <row r="761" spans="1:40" x14ac:dyDescent="0.25">
      <c r="A761" t="str">
        <f>"20190303162513524"</f>
        <v>20190303162513524</v>
      </c>
      <c r="B761" t="str">
        <f>"1551601513513864"</f>
        <v>1551601513513864</v>
      </c>
      <c r="C761" t="s">
        <v>40</v>
      </c>
      <c r="D761">
        <v>4.3920409999999999</v>
      </c>
      <c r="E761">
        <v>0.51353340000000003</v>
      </c>
      <c r="F761" t="s">
        <v>42</v>
      </c>
      <c r="G761">
        <v>-263.10599999999999</v>
      </c>
      <c r="H761">
        <v>0.88689430000000002</v>
      </c>
      <c r="I761">
        <v>368.28590000000003</v>
      </c>
      <c r="J761">
        <v>-263.68099999999998</v>
      </c>
      <c r="K761">
        <v>1.1210830000000001</v>
      </c>
      <c r="L761">
        <v>368.36040000000003</v>
      </c>
      <c r="M761">
        <v>0.9998648</v>
      </c>
      <c r="N761">
        <v>-1.4168200000000001E-2</v>
      </c>
      <c r="O761">
        <v>8.3533269999999903E-3</v>
      </c>
      <c r="P761">
        <v>0.98408419999999996</v>
      </c>
      <c r="Q761">
        <v>0.16780519999999999</v>
      </c>
      <c r="R761">
        <v>-5.848134E-2</v>
      </c>
      <c r="S761">
        <v>3.1795960000000001</v>
      </c>
      <c r="T761">
        <v>-0.86049500000000001</v>
      </c>
      <c r="U761">
        <v>-0.26428220000000002</v>
      </c>
      <c r="V761">
        <v>6.6767380000000001E-2</v>
      </c>
      <c r="W761">
        <v>0.18169940000000001</v>
      </c>
      <c r="X761">
        <v>0.98108479999999998</v>
      </c>
      <c r="Y761">
        <v>8.7586209999999998E-2</v>
      </c>
      <c r="Z761">
        <v>-1.4357470000000001E-2</v>
      </c>
      <c r="AA761">
        <v>0.99605350000000004</v>
      </c>
      <c r="AB761">
        <v>29</v>
      </c>
      <c r="AC761">
        <v>0.57499999999998797</v>
      </c>
      <c r="AD761">
        <v>-0.234188699999999</v>
      </c>
      <c r="AE761">
        <v>-7.4500000000000399E-2</v>
      </c>
      <c r="AF761">
        <v>6.8178292954727396E-2</v>
      </c>
      <c r="AG761">
        <v>-0.234188699999999</v>
      </c>
      <c r="AH761">
        <v>0.49379824962661101</v>
      </c>
      <c r="AI761">
        <v>115.16428230427699</v>
      </c>
      <c r="AJ761">
        <v>82.138922474762097</v>
      </c>
      <c r="AK761">
        <v>0.55075342774440805</v>
      </c>
      <c r="AL761">
        <v>79.531238963461206</v>
      </c>
      <c r="AM761">
        <v>86.106758961256503</v>
      </c>
      <c r="AN761">
        <v>0.99999996989173101</v>
      </c>
    </row>
    <row r="762" spans="1:40" x14ac:dyDescent="0.25">
      <c r="A762" t="str">
        <f>"20190303162513546"</f>
        <v>20190303162513546</v>
      </c>
      <c r="B762" t="str">
        <f>"1551601513543145"</f>
        <v>1551601513543145</v>
      </c>
      <c r="C762" t="s">
        <v>40</v>
      </c>
      <c r="D762">
        <v>4.4088390000000004</v>
      </c>
      <c r="E762">
        <v>0.51361009999999996</v>
      </c>
      <c r="F762" t="s">
        <v>42</v>
      </c>
      <c r="G762">
        <v>-262.84980000000002</v>
      </c>
      <c r="H762">
        <v>0.87308390000000002</v>
      </c>
      <c r="I762">
        <v>368.28660000000002</v>
      </c>
      <c r="J762">
        <v>-263.40300000000002</v>
      </c>
      <c r="K762">
        <v>1.1210929999999999</v>
      </c>
      <c r="L762">
        <v>368.36250000000001</v>
      </c>
      <c r="M762">
        <v>0.99986600000000003</v>
      </c>
      <c r="N762">
        <v>-1.4170220000000001E-2</v>
      </c>
      <c r="O762">
        <v>8.2010030000000001E-3</v>
      </c>
      <c r="P762">
        <v>0.98400969999999999</v>
      </c>
      <c r="Q762">
        <v>0.16800370000000001</v>
      </c>
      <c r="R762">
        <v>-5.9155680000000002E-2</v>
      </c>
      <c r="S762">
        <v>3.1941830000000002</v>
      </c>
      <c r="T762">
        <v>-0.95305229999999996</v>
      </c>
      <c r="U762">
        <v>-0.2828369</v>
      </c>
      <c r="V762">
        <v>6.7289349999999998E-2</v>
      </c>
      <c r="W762">
        <v>0.18189959999999999</v>
      </c>
      <c r="X762">
        <v>0.981012</v>
      </c>
      <c r="Y762">
        <v>9.1876669999999994E-2</v>
      </c>
      <c r="Z762">
        <v>-1.633358E-2</v>
      </c>
      <c r="AA762">
        <v>0.99563639999999998</v>
      </c>
      <c r="AB762">
        <v>29</v>
      </c>
      <c r="AC762">
        <v>0.55320000000000302</v>
      </c>
      <c r="AD762">
        <v>-0.24800910000000001</v>
      </c>
      <c r="AE762">
        <v>-7.5899999999990003E-2</v>
      </c>
      <c r="AF762">
        <v>6.7181484181619705E-2</v>
      </c>
      <c r="AG762">
        <v>-0.24800910000000001</v>
      </c>
      <c r="AH762">
        <v>0.46151383054654099</v>
      </c>
      <c r="AI762">
        <v>118.0030225248</v>
      </c>
      <c r="AJ762">
        <v>81.717761075846198</v>
      </c>
      <c r="AK762">
        <v>0.52822048548442102</v>
      </c>
      <c r="AL762">
        <v>79.519573562941105</v>
      </c>
      <c r="AM762">
        <v>86.076127056834196</v>
      </c>
      <c r="AN762">
        <v>0.99999993262378895</v>
      </c>
    </row>
    <row r="763" spans="1:40" x14ac:dyDescent="0.25">
      <c r="A763" t="str">
        <f>"20190303162513568"</f>
        <v>20190303162513568</v>
      </c>
      <c r="B763" t="str">
        <f>"1551601513563640"</f>
        <v>1551601513563640</v>
      </c>
      <c r="C763" t="s">
        <v>40</v>
      </c>
      <c r="D763">
        <v>4.3538019999999999</v>
      </c>
      <c r="E763">
        <v>0.51365640000000001</v>
      </c>
      <c r="F763" t="s">
        <v>42</v>
      </c>
      <c r="G763">
        <v>-262.58969999999999</v>
      </c>
      <c r="H763">
        <v>0.86949959999999904</v>
      </c>
      <c r="I763">
        <v>368.29</v>
      </c>
      <c r="J763">
        <v>-263.1019</v>
      </c>
      <c r="K763">
        <v>1.1211059999999999</v>
      </c>
      <c r="L763">
        <v>368.3648</v>
      </c>
      <c r="M763">
        <v>0.99986710000000001</v>
      </c>
      <c r="N763">
        <v>-1.4171700000000001E-2</v>
      </c>
      <c r="O763">
        <v>8.0463340000000005E-3</v>
      </c>
      <c r="P763">
        <v>0.98392749999999995</v>
      </c>
      <c r="Q763">
        <v>0.16837160000000001</v>
      </c>
      <c r="R763">
        <v>-5.9480270000000002E-2</v>
      </c>
      <c r="S763">
        <v>3.2006839999999999</v>
      </c>
      <c r="T763">
        <v>-0.99024520000000005</v>
      </c>
      <c r="U763">
        <v>-0.28500370000000003</v>
      </c>
      <c r="V763">
        <v>6.7457600000000006E-2</v>
      </c>
      <c r="W763">
        <v>0.1822686</v>
      </c>
      <c r="X763">
        <v>0.98093200000000003</v>
      </c>
      <c r="Y763">
        <v>9.1895080000000004E-2</v>
      </c>
      <c r="Z763">
        <v>-1.6849949999999999E-2</v>
      </c>
      <c r="AA763">
        <v>0.99562620000000002</v>
      </c>
      <c r="AB763">
        <v>29</v>
      </c>
      <c r="AC763">
        <v>0.51220000000000698</v>
      </c>
      <c r="AD763">
        <v>-0.25160640000000001</v>
      </c>
      <c r="AE763">
        <v>-7.4799999999981895E-2</v>
      </c>
      <c r="AF763">
        <v>6.3836895796635498E-2</v>
      </c>
      <c r="AG763">
        <v>-0.25160640000000001</v>
      </c>
      <c r="AH763">
        <v>0.41381213482026402</v>
      </c>
      <c r="AI763">
        <v>121.002191256637</v>
      </c>
      <c r="AJ763">
        <v>81.230373406688898</v>
      </c>
      <c r="AK763">
        <v>0.48848890745892598</v>
      </c>
      <c r="AL763">
        <v>79.498072473517894</v>
      </c>
      <c r="AM763">
        <v>86.066026782826199</v>
      </c>
      <c r="AN763">
        <v>0.99999997948385899</v>
      </c>
    </row>
    <row r="764" spans="1:40" x14ac:dyDescent="0.25">
      <c r="A764" t="str">
        <f>"20190303162513590"</f>
        <v>20190303162513590</v>
      </c>
      <c r="B764" t="str">
        <f>"1551601513583160"</f>
        <v>1551601513583160</v>
      </c>
      <c r="C764" t="s">
        <v>40</v>
      </c>
      <c r="D764">
        <v>4.3180589999999999</v>
      </c>
      <c r="E764">
        <v>0.51348159999999998</v>
      </c>
      <c r="F764" t="s">
        <v>42</v>
      </c>
      <c r="G764">
        <v>-262.32499999999999</v>
      </c>
      <c r="H764">
        <v>0.87841059999999904</v>
      </c>
      <c r="I764">
        <v>368.2953</v>
      </c>
      <c r="J764">
        <v>-262.8109</v>
      </c>
      <c r="K764">
        <v>1.121132</v>
      </c>
      <c r="L764">
        <v>368.36700000000002</v>
      </c>
      <c r="M764">
        <v>0.99986830000000004</v>
      </c>
      <c r="N764">
        <v>-1.4172550000000001E-2</v>
      </c>
      <c r="O764">
        <v>7.9084350000000001E-3</v>
      </c>
      <c r="P764">
        <v>0.98384590000000005</v>
      </c>
      <c r="Q764">
        <v>0.1689031</v>
      </c>
      <c r="R764">
        <v>-5.9320299999999999E-2</v>
      </c>
      <c r="S764">
        <v>3.2029719999999999</v>
      </c>
      <c r="T764">
        <v>-1.0006299999999999</v>
      </c>
      <c r="U764">
        <v>-0.28598020000000002</v>
      </c>
      <c r="V764">
        <v>6.7158129999999996E-2</v>
      </c>
      <c r="W764">
        <v>0.1828012</v>
      </c>
      <c r="X764">
        <v>0.98085339999999999</v>
      </c>
      <c r="Y764">
        <v>9.1910649999999997E-2</v>
      </c>
      <c r="Z764">
        <v>-1.6964480000000001E-2</v>
      </c>
      <c r="AA764">
        <v>0.99562280000000003</v>
      </c>
      <c r="AB764">
        <v>29</v>
      </c>
      <c r="AC764">
        <v>0.48590000000001499</v>
      </c>
      <c r="AD764">
        <v>-0.2427214</v>
      </c>
      <c r="AE764">
        <v>-7.1699999999964306E-2</v>
      </c>
      <c r="AF764">
        <v>6.0713800913573202E-2</v>
      </c>
      <c r="AG764">
        <v>-0.2427214</v>
      </c>
      <c r="AH764">
        <v>0.39006024038071402</v>
      </c>
      <c r="AI764">
        <v>121.585806695811</v>
      </c>
      <c r="AJ764">
        <v>81.152769506383606</v>
      </c>
      <c r="AK764">
        <v>0.46340784927015799</v>
      </c>
      <c r="AL764">
        <v>79.467034904638496</v>
      </c>
      <c r="AM764">
        <v>86.083123841970604</v>
      </c>
      <c r="AN764">
        <v>0.99999994271904602</v>
      </c>
    </row>
    <row r="765" spans="1:40" x14ac:dyDescent="0.25">
      <c r="A765" t="str">
        <f>"20190303162513611"</f>
        <v>20190303162513611</v>
      </c>
      <c r="B765" t="str">
        <f>"1551601513603655"</f>
        <v>1551601513603655</v>
      </c>
      <c r="C765" t="s">
        <v>40</v>
      </c>
      <c r="D765">
        <v>4.3697759999999999</v>
      </c>
      <c r="E765">
        <v>0.51336359999999903</v>
      </c>
      <c r="F765" t="s">
        <v>42</v>
      </c>
      <c r="G765">
        <v>-262.06130000000002</v>
      </c>
      <c r="H765">
        <v>0.88566270000000002</v>
      </c>
      <c r="I765">
        <v>368.30040000000002</v>
      </c>
      <c r="J765">
        <v>-262.53579999999999</v>
      </c>
      <c r="K765">
        <v>1.1211439999999999</v>
      </c>
      <c r="L765">
        <v>368.36900000000003</v>
      </c>
      <c r="M765">
        <v>0.99986929999999996</v>
      </c>
      <c r="N765">
        <v>-1.4172880000000001E-2</v>
      </c>
      <c r="O765">
        <v>7.7890260000000001E-3</v>
      </c>
      <c r="P765">
        <v>0.98365150000000001</v>
      </c>
      <c r="Q765">
        <v>0.170123</v>
      </c>
      <c r="R765">
        <v>-5.9062089999999998E-2</v>
      </c>
      <c r="S765">
        <v>3.204987</v>
      </c>
      <c r="T765">
        <v>-1.0067999999999999</v>
      </c>
      <c r="U765">
        <v>-0.28384399999999999</v>
      </c>
      <c r="V765">
        <v>6.6777429999999999E-2</v>
      </c>
      <c r="W765">
        <v>0.18401989999999999</v>
      </c>
      <c r="X765">
        <v>0.98065159999999996</v>
      </c>
      <c r="Y765">
        <v>9.1072529999999999E-2</v>
      </c>
      <c r="Z765">
        <v>-1.688247E-2</v>
      </c>
      <c r="AA765">
        <v>0.99570110000000001</v>
      </c>
      <c r="AB765">
        <v>29</v>
      </c>
      <c r="AC765">
        <v>0.474499999999977</v>
      </c>
      <c r="AD765">
        <v>-0.2354813</v>
      </c>
      <c r="AE765">
        <v>-6.8600000000003505E-2</v>
      </c>
      <c r="AF765">
        <v>5.8243326525021399E-2</v>
      </c>
      <c r="AG765">
        <v>-0.2354813</v>
      </c>
      <c r="AH765">
        <v>0.38183564544461501</v>
      </c>
      <c r="AI765">
        <v>121.368861186372</v>
      </c>
      <c r="AJ765">
        <v>81.327234917787493</v>
      </c>
      <c r="AK765">
        <v>0.45237394693604499</v>
      </c>
      <c r="AL765">
        <v>79.396004783210103</v>
      </c>
      <c r="AM765">
        <v>86.104459951873096</v>
      </c>
      <c r="AN765">
        <v>1.0000000546679799</v>
      </c>
    </row>
    <row r="766" spans="1:40" x14ac:dyDescent="0.25">
      <c r="A766" t="str">
        <f>"20190303162513634"</f>
        <v>20190303162513634</v>
      </c>
      <c r="B766" t="str">
        <f>"1551601513624152"</f>
        <v>1551601513624152</v>
      </c>
      <c r="C766" t="s">
        <v>40</v>
      </c>
      <c r="D766">
        <v>4.345383</v>
      </c>
      <c r="E766">
        <v>0.51392729999999998</v>
      </c>
      <c r="F766" t="s">
        <v>42</v>
      </c>
      <c r="G766">
        <v>-261.79930000000002</v>
      </c>
      <c r="H766">
        <v>0.88944519999999905</v>
      </c>
      <c r="I766">
        <v>368.3039</v>
      </c>
      <c r="J766">
        <v>-262.24040000000002</v>
      </c>
      <c r="K766">
        <v>1.1211610000000001</v>
      </c>
      <c r="L766">
        <v>368.37119999999999</v>
      </c>
      <c r="M766">
        <v>0.99987009999999998</v>
      </c>
      <c r="N766">
        <v>-1.4172779999999999E-2</v>
      </c>
      <c r="O766">
        <v>7.67351699999999E-3</v>
      </c>
      <c r="P766">
        <v>0.98353469999999998</v>
      </c>
      <c r="Q766">
        <v>0.1709089</v>
      </c>
      <c r="R766">
        <v>-5.8735519999999999E-2</v>
      </c>
      <c r="S766">
        <v>3.2073969999999998</v>
      </c>
      <c r="T766">
        <v>-1.0090049999999999</v>
      </c>
      <c r="U766">
        <v>-0.28244019999999997</v>
      </c>
      <c r="V766">
        <v>6.6332070000000007E-2</v>
      </c>
      <c r="W766">
        <v>0.18480630000000001</v>
      </c>
      <c r="X766">
        <v>0.98053389999999996</v>
      </c>
      <c r="Y766">
        <v>9.0480340000000006E-2</v>
      </c>
      <c r="Z766">
        <v>-1.6776320000000001E-2</v>
      </c>
      <c r="AA766">
        <v>0.99575689999999994</v>
      </c>
      <c r="AB766">
        <v>29</v>
      </c>
      <c r="AC766">
        <v>0.44110000000000499</v>
      </c>
      <c r="AD766">
        <v>-0.2317158</v>
      </c>
      <c r="AE766">
        <v>-6.7299999999988799E-2</v>
      </c>
      <c r="AF766">
        <v>5.5670195898647301E-2</v>
      </c>
      <c r="AG766">
        <v>-0.2317158</v>
      </c>
      <c r="AH766">
        <v>0.34699428307378599</v>
      </c>
      <c r="AI766">
        <v>123.39878681663799</v>
      </c>
      <c r="AJ766">
        <v>80.885396125959801</v>
      </c>
      <c r="AK766">
        <v>0.42094704556146301</v>
      </c>
      <c r="AL766">
        <v>79.350160742763805</v>
      </c>
      <c r="AM766">
        <v>86.129898268723196</v>
      </c>
      <c r="AN766">
        <v>1.0000000205396899</v>
      </c>
    </row>
    <row r="767" spans="1:40" x14ac:dyDescent="0.25">
      <c r="A767" t="str">
        <f>"20190303162513657"</f>
        <v>20190303162513657</v>
      </c>
      <c r="B767" t="str">
        <f>"1551601513653433"</f>
        <v>1551601513653433</v>
      </c>
      <c r="C767" t="s">
        <v>40</v>
      </c>
      <c r="D767">
        <v>4.3510879999999998</v>
      </c>
      <c r="E767">
        <v>0.51526570000000005</v>
      </c>
      <c r="F767" t="s">
        <v>42</v>
      </c>
      <c r="G767">
        <v>-261.53500000000003</v>
      </c>
      <c r="H767">
        <v>0.89928069999999904</v>
      </c>
      <c r="I767">
        <v>368.30799999999999</v>
      </c>
      <c r="J767">
        <v>-261.9434</v>
      </c>
      <c r="K767">
        <v>1.1211739999999999</v>
      </c>
      <c r="L767">
        <v>368.37329999999997</v>
      </c>
      <c r="M767">
        <v>0.99987090000000001</v>
      </c>
      <c r="N767">
        <v>-1.4172280000000001E-2</v>
      </c>
      <c r="O767">
        <v>7.5693799999999997E-3</v>
      </c>
      <c r="P767">
        <v>0.98345090000000002</v>
      </c>
      <c r="Q767">
        <v>0.17160989999999901</v>
      </c>
      <c r="R767">
        <v>-5.809069E-2</v>
      </c>
      <c r="S767">
        <v>3.208466</v>
      </c>
      <c r="T767">
        <v>-1.009215</v>
      </c>
      <c r="U767">
        <v>-0.2863464</v>
      </c>
      <c r="V767">
        <v>6.5580260000000001E-2</v>
      </c>
      <c r="W767">
        <v>0.18550730000000001</v>
      </c>
      <c r="X767">
        <v>0.98045210000000005</v>
      </c>
      <c r="Y767">
        <v>9.1505359999999994E-2</v>
      </c>
      <c r="Z767">
        <v>-1.690769E-2</v>
      </c>
      <c r="AA767">
        <v>0.99566100000000002</v>
      </c>
      <c r="AB767">
        <v>29</v>
      </c>
      <c r="AC767">
        <v>0.40839999999997101</v>
      </c>
      <c r="AD767">
        <v>-0.22189329999999999</v>
      </c>
      <c r="AE767">
        <v>-6.5299999999922406E-2</v>
      </c>
      <c r="AF767">
        <v>5.3104183456897602E-2</v>
      </c>
      <c r="AG767">
        <v>-0.22189329999999999</v>
      </c>
      <c r="AH767">
        <v>0.31672682538300201</v>
      </c>
      <c r="AI767">
        <v>124.64207501584799</v>
      </c>
      <c r="AJ767">
        <v>80.482000764438197</v>
      </c>
      <c r="AK767">
        <v>0.39034929589113998</v>
      </c>
      <c r="AL767">
        <v>79.309289743815</v>
      </c>
      <c r="AM767">
        <v>86.173312801089907</v>
      </c>
      <c r="AN767">
        <v>1.0000000246246801</v>
      </c>
    </row>
    <row r="768" spans="1:40" x14ac:dyDescent="0.25">
      <c r="A768" t="str">
        <f>"20190303162513680"</f>
        <v>20190303162513680</v>
      </c>
      <c r="B768" t="str">
        <f>"1551601513672953"</f>
        <v>1551601513672953</v>
      </c>
      <c r="C768" t="s">
        <v>40</v>
      </c>
      <c r="D768">
        <v>4.354279</v>
      </c>
      <c r="E768">
        <v>0.51591299999999995</v>
      </c>
      <c r="F768" t="s">
        <v>42</v>
      </c>
      <c r="G768">
        <v>-261.27080000000001</v>
      </c>
      <c r="H768">
        <v>0.90910349999999995</v>
      </c>
      <c r="I768">
        <v>368.31130000000002</v>
      </c>
      <c r="J768">
        <v>-261.64760000000001</v>
      </c>
      <c r="K768">
        <v>1.121189</v>
      </c>
      <c r="L768">
        <v>368.37549999999999</v>
      </c>
      <c r="M768">
        <v>0.99987170000000003</v>
      </c>
      <c r="N768">
        <v>-1.4171370000000001E-2</v>
      </c>
      <c r="O768">
        <v>7.4745180000000003E-3</v>
      </c>
      <c r="P768">
        <v>0.98346389999999995</v>
      </c>
      <c r="Q768">
        <v>0.171613299999999</v>
      </c>
      <c r="R768">
        <v>-5.785875E-2</v>
      </c>
      <c r="S768">
        <v>3.209625</v>
      </c>
      <c r="T768">
        <v>-1.012079</v>
      </c>
      <c r="U768">
        <v>-0.29470829999999998</v>
      </c>
      <c r="V768">
        <v>6.5251760000000006E-2</v>
      </c>
      <c r="W768">
        <v>0.1855115</v>
      </c>
      <c r="X768">
        <v>0.98047320000000004</v>
      </c>
      <c r="Y768">
        <v>9.3817090000000006E-2</v>
      </c>
      <c r="Z768">
        <v>-1.7288769999999998E-2</v>
      </c>
      <c r="AA768">
        <v>0.99543939999999997</v>
      </c>
      <c r="AB768">
        <v>29</v>
      </c>
      <c r="AC768">
        <v>0.37680000000000202</v>
      </c>
      <c r="AD768">
        <v>-0.21208550000000001</v>
      </c>
      <c r="AE768">
        <v>-6.41999999999711E-2</v>
      </c>
      <c r="AF768">
        <v>5.1239584760678199E-2</v>
      </c>
      <c r="AG768">
        <v>-0.21208550000000001</v>
      </c>
      <c r="AH768">
        <v>0.28772630030514801</v>
      </c>
      <c r="AI768">
        <v>125.968054328471</v>
      </c>
      <c r="AJ768">
        <v>79.902369276309102</v>
      </c>
      <c r="AK768">
        <v>0.36109857136796503</v>
      </c>
      <c r="AL768">
        <v>79.309044610055693</v>
      </c>
      <c r="AM768">
        <v>86.192506344725103</v>
      </c>
      <c r="AN768">
        <v>1.0000000023667901</v>
      </c>
    </row>
    <row r="769" spans="1:40" x14ac:dyDescent="0.25">
      <c r="A769" t="str">
        <f>"20190303162513704"</f>
        <v>20190303162513704</v>
      </c>
      <c r="B769" t="str">
        <f>"1551601513693448"</f>
        <v>1551601513693448</v>
      </c>
      <c r="C769" t="s">
        <v>40</v>
      </c>
      <c r="D769">
        <v>4.3801680000000003</v>
      </c>
      <c r="E769">
        <v>0.51660839999999997</v>
      </c>
      <c r="F769" t="s">
        <v>42</v>
      </c>
      <c r="G769">
        <v>-260.7774</v>
      </c>
      <c r="H769">
        <v>0.84630799999999995</v>
      </c>
      <c r="I769">
        <v>368.29450000000003</v>
      </c>
      <c r="J769">
        <v>-261.35239999999999</v>
      </c>
      <c r="K769">
        <v>1.121197</v>
      </c>
      <c r="L769">
        <v>368.37759999999997</v>
      </c>
      <c r="M769">
        <v>0.99987239999999999</v>
      </c>
      <c r="N769">
        <v>-1.4170149999999999E-2</v>
      </c>
      <c r="O769">
        <v>7.38676E-3</v>
      </c>
      <c r="P769">
        <v>0.9835005</v>
      </c>
      <c r="Q769">
        <v>0.17150000000000001</v>
      </c>
      <c r="R769">
        <v>-5.7573489999999998E-2</v>
      </c>
      <c r="S769">
        <v>3.2098390000000001</v>
      </c>
      <c r="T769">
        <v>-1.013973</v>
      </c>
      <c r="U769">
        <v>-0.29806519999999997</v>
      </c>
      <c r="V769">
        <v>6.4878210000000006E-2</v>
      </c>
      <c r="W769">
        <v>0.1853986</v>
      </c>
      <c r="X769">
        <v>0.98051940000000004</v>
      </c>
      <c r="Y769">
        <v>9.4698240000000003E-2</v>
      </c>
      <c r="Z769">
        <v>-1.7433049999999999E-2</v>
      </c>
      <c r="AA769">
        <v>0.9953533</v>
      </c>
      <c r="AB769">
        <v>29</v>
      </c>
      <c r="AC769">
        <v>0.57499999999998797</v>
      </c>
      <c r="AD769">
        <v>-0.27488899999999999</v>
      </c>
      <c r="AE769">
        <v>-8.3099999999944801E-2</v>
      </c>
      <c r="AF769">
        <v>7.13681496323023E-2</v>
      </c>
      <c r="AG769">
        <v>-0.27488899999999999</v>
      </c>
      <c r="AH769">
        <v>0.46930559536878602</v>
      </c>
      <c r="AI769">
        <v>120.074190391871</v>
      </c>
      <c r="AJ769">
        <v>81.3531761683344</v>
      </c>
      <c r="AK769">
        <v>0.54854819017784495</v>
      </c>
      <c r="AL769">
        <v>79.315628104241497</v>
      </c>
      <c r="AM769">
        <v>86.214417585025899</v>
      </c>
      <c r="AN769">
        <v>1.0000000583955599</v>
      </c>
    </row>
    <row r="770" spans="1:40" x14ac:dyDescent="0.25">
      <c r="A770" t="str">
        <f>"20190303162513725"</f>
        <v>20190303162513725</v>
      </c>
      <c r="B770" t="str">
        <f>"1551601513713080"</f>
        <v>1551601513713080</v>
      </c>
      <c r="C770" t="s">
        <v>40</v>
      </c>
      <c r="D770">
        <v>4.4144940000000004</v>
      </c>
      <c r="E770">
        <v>0.51713089999999995</v>
      </c>
      <c r="F770" t="s">
        <v>42</v>
      </c>
      <c r="G770">
        <v>-260.51490000000001</v>
      </c>
      <c r="H770">
        <v>0.85504979999999997</v>
      </c>
      <c r="I770">
        <v>368.29829999999998</v>
      </c>
      <c r="J770">
        <v>-261.06729999999999</v>
      </c>
      <c r="K770">
        <v>1.1212009999999999</v>
      </c>
      <c r="L770">
        <v>368.37959999999998</v>
      </c>
      <c r="M770">
        <v>0.99987300000000001</v>
      </c>
      <c r="N770">
        <v>-1.416883E-2</v>
      </c>
      <c r="O770">
        <v>7.3048710000000001E-3</v>
      </c>
      <c r="P770">
        <v>0.98354549999999996</v>
      </c>
      <c r="Q770">
        <v>0.1712784</v>
      </c>
      <c r="R770">
        <v>-5.7466440000000001E-2</v>
      </c>
      <c r="S770">
        <v>3.2104490000000001</v>
      </c>
      <c r="T770">
        <v>-1.020257</v>
      </c>
      <c r="U770">
        <v>-0.30364989999999997</v>
      </c>
      <c r="V770">
        <v>6.4689440000000001E-2</v>
      </c>
      <c r="W770">
        <v>0.18517700000000001</v>
      </c>
      <c r="X770">
        <v>0.98057369999999999</v>
      </c>
      <c r="Y770">
        <v>9.6184930000000002E-2</v>
      </c>
      <c r="Z770">
        <v>-1.7745150000000001E-2</v>
      </c>
      <c r="AA770">
        <v>0.99520529999999996</v>
      </c>
      <c r="AB770">
        <v>29</v>
      </c>
      <c r="AC770">
        <v>0.55239999999997702</v>
      </c>
      <c r="AD770">
        <v>-0.26615119999999998</v>
      </c>
      <c r="AE770">
        <v>-8.1299999999998804E-2</v>
      </c>
      <c r="AF770">
        <v>6.9534054614891705E-2</v>
      </c>
      <c r="AG770">
        <v>-0.26615119999999998</v>
      </c>
      <c r="AH770">
        <v>0.44962777308419</v>
      </c>
      <c r="AI770">
        <v>120.326901854174</v>
      </c>
      <c r="AJ770">
        <v>81.208960670908198</v>
      </c>
      <c r="AK770">
        <v>0.52710205875264304</v>
      </c>
      <c r="AL770">
        <v>79.3285480857257</v>
      </c>
      <c r="AM770">
        <v>86.225608665849094</v>
      </c>
      <c r="AN770">
        <v>1.0000000130541</v>
      </c>
    </row>
    <row r="771" spans="1:40" x14ac:dyDescent="0.25">
      <c r="A771" t="str">
        <f>"20190303162513748"</f>
        <v>20190303162513748</v>
      </c>
      <c r="B771" t="str">
        <f>"1551601513743311"</f>
        <v>1551601513743311</v>
      </c>
      <c r="C771" t="s">
        <v>40</v>
      </c>
      <c r="D771">
        <v>4.3914160000000004</v>
      </c>
      <c r="E771">
        <v>0.51774900000000001</v>
      </c>
      <c r="F771" t="s">
        <v>42</v>
      </c>
      <c r="G771">
        <v>-260.25369999999998</v>
      </c>
      <c r="H771">
        <v>0.86134219999999895</v>
      </c>
      <c r="I771">
        <v>368.30130000000003</v>
      </c>
      <c r="J771">
        <v>-260.77870000000001</v>
      </c>
      <c r="K771">
        <v>1.121197</v>
      </c>
      <c r="L771">
        <v>368.38159999999999</v>
      </c>
      <c r="M771">
        <v>0.99987369999999998</v>
      </c>
      <c r="N771">
        <v>-1.416736E-2</v>
      </c>
      <c r="O771">
        <v>7.223078E-3</v>
      </c>
      <c r="P771">
        <v>0.98360259999999999</v>
      </c>
      <c r="Q771">
        <v>0.17069699999999999</v>
      </c>
      <c r="R771">
        <v>-5.8214229999999999E-2</v>
      </c>
      <c r="S771">
        <v>3.210785</v>
      </c>
      <c r="T771">
        <v>-1.0255050000000001</v>
      </c>
      <c r="U771">
        <v>-0.30746459999999998</v>
      </c>
      <c r="V771">
        <v>6.5356410000000004E-2</v>
      </c>
      <c r="W771">
        <v>0.18459500000000001</v>
      </c>
      <c r="X771">
        <v>0.98063920000000004</v>
      </c>
      <c r="Y771">
        <v>9.7168240000000003E-2</v>
      </c>
      <c r="Z771">
        <v>-1.7962499999999999E-2</v>
      </c>
      <c r="AA771">
        <v>0.99510589999999999</v>
      </c>
      <c r="AB771">
        <v>29</v>
      </c>
      <c r="AC771">
        <v>0.525000000000034</v>
      </c>
      <c r="AD771">
        <v>-0.2598548</v>
      </c>
      <c r="AE771">
        <v>-8.0299999999965593E-2</v>
      </c>
      <c r="AF771">
        <v>6.7848402607766506E-2</v>
      </c>
      <c r="AG771">
        <v>-0.2598548</v>
      </c>
      <c r="AH771">
        <v>0.42311755810018198</v>
      </c>
      <c r="AI771">
        <v>121.232477422786</v>
      </c>
      <c r="AJ771">
        <v>80.889972866395595</v>
      </c>
      <c r="AK771">
        <v>0.50115505663629401</v>
      </c>
      <c r="AL771">
        <v>79.362479142674601</v>
      </c>
      <c r="AM771">
        <v>86.187061584752399</v>
      </c>
      <c r="AN771">
        <v>1.0000000074648601</v>
      </c>
    </row>
    <row r="772" spans="1:40" x14ac:dyDescent="0.25">
      <c r="A772" t="str">
        <f>"20190303162513770"</f>
        <v>20190303162513770</v>
      </c>
      <c r="B772" t="str">
        <f>"1551601513763807"</f>
        <v>1551601513763807</v>
      </c>
      <c r="C772" t="s">
        <v>40</v>
      </c>
      <c r="D772">
        <v>4.3987350000000003</v>
      </c>
      <c r="E772">
        <v>0.5181673</v>
      </c>
      <c r="F772" t="s">
        <v>42</v>
      </c>
      <c r="G772">
        <v>-259.99270000000001</v>
      </c>
      <c r="H772">
        <v>0.86793960000000003</v>
      </c>
      <c r="I772">
        <v>368.30470000000003</v>
      </c>
      <c r="J772">
        <v>-260.49169999999998</v>
      </c>
      <c r="K772">
        <v>1.1211960000000001</v>
      </c>
      <c r="L772">
        <v>368.3836</v>
      </c>
      <c r="M772">
        <v>0.99987429999999999</v>
      </c>
      <c r="N772">
        <v>-1.4165479999999999E-2</v>
      </c>
      <c r="O772">
        <v>7.141985E-3</v>
      </c>
      <c r="P772">
        <v>0.98367470000000001</v>
      </c>
      <c r="Q772">
        <v>0.17007710000000001</v>
      </c>
      <c r="R772">
        <v>-5.880701E-2</v>
      </c>
      <c r="S772">
        <v>3.2109990000000002</v>
      </c>
      <c r="T772">
        <v>-1.0347630000000001</v>
      </c>
      <c r="U772">
        <v>-0.31402590000000002</v>
      </c>
      <c r="V772">
        <v>6.5869469999999999E-2</v>
      </c>
      <c r="W772">
        <v>0.18397440000000001</v>
      </c>
      <c r="X772">
        <v>0.98072150000000002</v>
      </c>
      <c r="Y772">
        <v>9.8916409999999996E-2</v>
      </c>
      <c r="Z772">
        <v>-1.8371849999999999E-2</v>
      </c>
      <c r="AA772">
        <v>0.99492619999999998</v>
      </c>
      <c r="AB772">
        <v>29</v>
      </c>
      <c r="AC772">
        <v>0.49899999999996603</v>
      </c>
      <c r="AD772">
        <v>-0.25325639999999899</v>
      </c>
      <c r="AE772">
        <v>-7.8899999999975906E-2</v>
      </c>
      <c r="AF772">
        <v>6.59011242583213E-2</v>
      </c>
      <c r="AG772">
        <v>-0.25325639999999899</v>
      </c>
      <c r="AH772">
        <v>0.39832414098077401</v>
      </c>
      <c r="AI772">
        <v>122.09913241930199</v>
      </c>
      <c r="AJ772">
        <v>80.6057416562236</v>
      </c>
      <c r="AK772">
        <v>0.47659614308924297</v>
      </c>
      <c r="AL772">
        <v>79.398656584489999</v>
      </c>
      <c r="AM772">
        <v>86.157540153336598</v>
      </c>
      <c r="AN772">
        <v>1.00000001374784</v>
      </c>
    </row>
    <row r="773" spans="1:40" x14ac:dyDescent="0.25">
      <c r="A773" t="str">
        <f>"20190303162513791"</f>
        <v>20190303162513791</v>
      </c>
      <c r="B773" t="str">
        <f>"1551601513783327"</f>
        <v>1551601513783327</v>
      </c>
      <c r="C773" t="s">
        <v>40</v>
      </c>
      <c r="D773">
        <v>4.4047000000000001</v>
      </c>
      <c r="E773">
        <v>0.51856170000000001</v>
      </c>
      <c r="F773" t="s">
        <v>42</v>
      </c>
      <c r="G773">
        <v>-259.73180000000002</v>
      </c>
      <c r="H773">
        <v>0.87500940000000005</v>
      </c>
      <c r="I773">
        <v>368.30810000000002</v>
      </c>
      <c r="J773">
        <v>-260.2097</v>
      </c>
      <c r="K773">
        <v>1.121189</v>
      </c>
      <c r="L773">
        <v>368.38549999999998</v>
      </c>
      <c r="M773">
        <v>0.99987479999999995</v>
      </c>
      <c r="N773">
        <v>-1.416335E-2</v>
      </c>
      <c r="O773">
        <v>7.0608939999999999E-3</v>
      </c>
      <c r="P773">
        <v>0.98372510000000002</v>
      </c>
      <c r="Q773">
        <v>0.16947870000000001</v>
      </c>
      <c r="R773">
        <v>-5.9683100000000003E-2</v>
      </c>
      <c r="S773">
        <v>3.2105709999999998</v>
      </c>
      <c r="T773">
        <v>-1.040143</v>
      </c>
      <c r="U773">
        <v>-0.318573</v>
      </c>
      <c r="V773">
        <v>6.6665810000000006E-2</v>
      </c>
      <c r="W773">
        <v>0.1833745</v>
      </c>
      <c r="X773">
        <v>0.98077999999999999</v>
      </c>
      <c r="Y773">
        <v>0.1001278</v>
      </c>
      <c r="Z773">
        <v>-1.863623E-2</v>
      </c>
      <c r="AA773">
        <v>0.99480000000000002</v>
      </c>
      <c r="AB773">
        <v>29</v>
      </c>
      <c r="AC773">
        <v>0.47789999999997601</v>
      </c>
      <c r="AD773">
        <v>-0.246179599999999</v>
      </c>
      <c r="AE773">
        <v>-7.7399999999954602E-2</v>
      </c>
      <c r="AF773">
        <v>6.4178030003067807E-2</v>
      </c>
      <c r="AG773">
        <v>-0.246179599999999</v>
      </c>
      <c r="AH773">
        <v>0.37927166629808501</v>
      </c>
      <c r="AI773">
        <v>122.618727362181</v>
      </c>
      <c r="AJ773">
        <v>80.395736620435102</v>
      </c>
      <c r="AK773">
        <v>0.45669487828063099</v>
      </c>
      <c r="AL773">
        <v>79.433622769135198</v>
      </c>
      <c r="AM773">
        <v>86.111459015257907</v>
      </c>
      <c r="AN773">
        <v>0.99999997293660203</v>
      </c>
    </row>
    <row r="774" spans="1:40" x14ac:dyDescent="0.25">
      <c r="A774" t="str">
        <f>"20190303162513814"</f>
        <v>20190303162513814</v>
      </c>
      <c r="B774" t="str">
        <f>"1551601513803823"</f>
        <v>1551601513803823</v>
      </c>
      <c r="C774" t="s">
        <v>40</v>
      </c>
      <c r="D774">
        <v>4.4360460000000002</v>
      </c>
      <c r="E774">
        <v>0.51884529999999995</v>
      </c>
      <c r="F774" t="s">
        <v>42</v>
      </c>
      <c r="G774">
        <v>-259.47160000000002</v>
      </c>
      <c r="H774">
        <v>0.88105859999999903</v>
      </c>
      <c r="I774">
        <v>368.3109</v>
      </c>
      <c r="J774">
        <v>-259.91969999999998</v>
      </c>
      <c r="K774">
        <v>1.121189</v>
      </c>
      <c r="L774">
        <v>368.38740000000001</v>
      </c>
      <c r="M774">
        <v>0.99987539999999997</v>
      </c>
      <c r="N774">
        <v>-1.416104E-2</v>
      </c>
      <c r="O774">
        <v>6.9764010000000001E-3</v>
      </c>
      <c r="P774">
        <v>0.98370329999999995</v>
      </c>
      <c r="Q774">
        <v>0.1692331</v>
      </c>
      <c r="R774">
        <v>-6.0726519999999999E-2</v>
      </c>
      <c r="S774">
        <v>3.2099000000000002</v>
      </c>
      <c r="T774">
        <v>-1.0443929999999999</v>
      </c>
      <c r="U774">
        <v>-0.32421879999999997</v>
      </c>
      <c r="V774">
        <v>6.7625959999999999E-2</v>
      </c>
      <c r="W774">
        <v>0.1831265</v>
      </c>
      <c r="X774">
        <v>0.98076059999999998</v>
      </c>
      <c r="Y774">
        <v>0.1016724</v>
      </c>
      <c r="Z774">
        <v>-1.8938529999999999E-2</v>
      </c>
      <c r="AA774">
        <v>0.99463769999999996</v>
      </c>
      <c r="AB774">
        <v>29</v>
      </c>
      <c r="AC774">
        <v>0.44809999999995398</v>
      </c>
      <c r="AD774">
        <v>-0.24013039999999999</v>
      </c>
      <c r="AE774">
        <v>-7.6500000000009893E-2</v>
      </c>
      <c r="AF774">
        <v>6.22533556936977E-2</v>
      </c>
      <c r="AG774">
        <v>-0.24013039999999999</v>
      </c>
      <c r="AH774">
        <v>0.34991485327958499</v>
      </c>
      <c r="AI774">
        <v>124.044705730076</v>
      </c>
      <c r="AJ774">
        <v>79.912057842888998</v>
      </c>
      <c r="AK774">
        <v>0.42892714281677202</v>
      </c>
      <c r="AL774">
        <v>79.448076853819799</v>
      </c>
      <c r="AM774">
        <v>86.055552310518493</v>
      </c>
      <c r="AN774">
        <v>0.99999996999026497</v>
      </c>
    </row>
    <row r="775" spans="1:40" x14ac:dyDescent="0.25">
      <c r="A775" t="str">
        <f>"20190303162513837"</f>
        <v>20190303162513837</v>
      </c>
      <c r="B775" t="str">
        <f>"1551601513833104"</f>
        <v>1551601513833104</v>
      </c>
      <c r="C775" t="s">
        <v>40</v>
      </c>
      <c r="D775">
        <v>4.4532660000000002</v>
      </c>
      <c r="E775">
        <v>0.51923229999999998</v>
      </c>
      <c r="F775" t="s">
        <v>42</v>
      </c>
      <c r="G775">
        <v>-259.21080000000001</v>
      </c>
      <c r="H775">
        <v>0.88979209999999997</v>
      </c>
      <c r="I775">
        <v>368.31459999999998</v>
      </c>
      <c r="J775">
        <v>-259.63130000000001</v>
      </c>
      <c r="K775">
        <v>1.1211880000000001</v>
      </c>
      <c r="L775">
        <v>368.38940000000002</v>
      </c>
      <c r="M775">
        <v>0.99987610000000005</v>
      </c>
      <c r="N775">
        <v>-1.415865E-2</v>
      </c>
      <c r="O775">
        <v>6.891426E-3</v>
      </c>
      <c r="P775">
        <v>0.98368449999999996</v>
      </c>
      <c r="Q775">
        <v>0.16894799999999999</v>
      </c>
      <c r="R775">
        <v>-6.1818930000000001E-2</v>
      </c>
      <c r="S775">
        <v>3.2095950000000002</v>
      </c>
      <c r="T775">
        <v>-1.04752</v>
      </c>
      <c r="U775">
        <v>-0.32910159999999899</v>
      </c>
      <c r="V775">
        <v>6.8634379999999995E-2</v>
      </c>
      <c r="W775">
        <v>0.18283820000000001</v>
      </c>
      <c r="X775">
        <v>0.98074439999999996</v>
      </c>
      <c r="Y775">
        <v>0.10299469999999999</v>
      </c>
      <c r="Z775">
        <v>-1.9184670000000001E-2</v>
      </c>
      <c r="AA775">
        <v>0.99449690000000002</v>
      </c>
      <c r="AB775">
        <v>29</v>
      </c>
      <c r="AC775">
        <v>0.42050000000000398</v>
      </c>
      <c r="AD775">
        <v>-0.23139589999999899</v>
      </c>
      <c r="AE775">
        <v>-7.4800000000038794E-2</v>
      </c>
      <c r="AF775">
        <v>6.0065445942148701E-2</v>
      </c>
      <c r="AG775">
        <v>-0.23139589999999899</v>
      </c>
      <c r="AH775">
        <v>0.32467357697004201</v>
      </c>
      <c r="AI775">
        <v>125.02319963136399</v>
      </c>
      <c r="AJ775">
        <v>79.518639514203898</v>
      </c>
      <c r="AK775">
        <v>0.40319331829230598</v>
      </c>
      <c r="AL775">
        <v>79.464879568982496</v>
      </c>
      <c r="AM775">
        <v>85.996857692753196</v>
      </c>
      <c r="AN775">
        <v>1.0000000318142901</v>
      </c>
    </row>
    <row r="776" spans="1:40" x14ac:dyDescent="0.25">
      <c r="A776" t="str">
        <f>"20190303162513859"</f>
        <v>20190303162513859</v>
      </c>
      <c r="B776" t="str">
        <f>"1551601513853600"</f>
        <v>1551601513853600</v>
      </c>
      <c r="C776" t="s">
        <v>40</v>
      </c>
      <c r="D776">
        <v>4.4267979999999998</v>
      </c>
      <c r="E776">
        <v>0.51946859999999995</v>
      </c>
      <c r="F776" t="s">
        <v>42</v>
      </c>
      <c r="G776">
        <v>-258.95030000000003</v>
      </c>
      <c r="H776">
        <v>0.89796160000000003</v>
      </c>
      <c r="I776">
        <v>368.31799999999998</v>
      </c>
      <c r="J776">
        <v>-259.33949999999999</v>
      </c>
      <c r="K776">
        <v>1.1211899999999999</v>
      </c>
      <c r="L776">
        <v>368.39120000000003</v>
      </c>
      <c r="M776">
        <v>0.99987680000000001</v>
      </c>
      <c r="N776">
        <v>-1.4156139999999999E-2</v>
      </c>
      <c r="O776">
        <v>6.8057899999999999E-3</v>
      </c>
      <c r="P776">
        <v>0.98365119999999895</v>
      </c>
      <c r="Q776">
        <v>0.1689667</v>
      </c>
      <c r="R776">
        <v>-6.229672E-2</v>
      </c>
      <c r="S776">
        <v>3.2093509999999998</v>
      </c>
      <c r="T776">
        <v>-1.052033</v>
      </c>
      <c r="U776">
        <v>-0.33575440000000001</v>
      </c>
      <c r="V776">
        <v>6.9027809999999995E-2</v>
      </c>
      <c r="W776">
        <v>0.18285409999999999</v>
      </c>
      <c r="X776">
        <v>0.98071379999999997</v>
      </c>
      <c r="Y776">
        <v>0.1048143</v>
      </c>
      <c r="Z776">
        <v>-1.9537249999999999E-2</v>
      </c>
      <c r="AA776">
        <v>0.99429990000000001</v>
      </c>
      <c r="AB776">
        <v>29</v>
      </c>
      <c r="AC776">
        <v>0.38919999999995902</v>
      </c>
      <c r="AD776">
        <v>-0.22322839999999899</v>
      </c>
      <c r="AE776">
        <v>-7.3199999999985693E-2</v>
      </c>
      <c r="AF776">
        <v>5.7559186232890899E-2</v>
      </c>
      <c r="AG776">
        <v>-0.22322839999999899</v>
      </c>
      <c r="AH776">
        <v>0.29497179189512202</v>
      </c>
      <c r="AI776">
        <v>126.603839474475</v>
      </c>
      <c r="AJ776">
        <v>78.958364746463303</v>
      </c>
      <c r="AK776">
        <v>0.37436925154207301</v>
      </c>
      <c r="AL776">
        <v>79.463952701276</v>
      </c>
      <c r="AM776">
        <v>85.973860686317906</v>
      </c>
      <c r="AN776">
        <v>1.00000000897532</v>
      </c>
    </row>
    <row r="777" spans="1:40" x14ac:dyDescent="0.25">
      <c r="A777" t="str">
        <f>"20190303162513880"</f>
        <v>20190303162513880</v>
      </c>
      <c r="B777" t="str">
        <f>"1551601513873119"</f>
        <v>1551601513873119</v>
      </c>
      <c r="C777" t="s">
        <v>40</v>
      </c>
      <c r="D777">
        <v>4.5038169999999997</v>
      </c>
      <c r="E777">
        <v>0.51965620000000001</v>
      </c>
      <c r="F777" t="s">
        <v>42</v>
      </c>
      <c r="G777">
        <v>-258.46280000000002</v>
      </c>
      <c r="H777">
        <v>0.83307249999999999</v>
      </c>
      <c r="I777">
        <v>368.29849999999999</v>
      </c>
      <c r="J777">
        <v>-259.05900000000003</v>
      </c>
      <c r="K777">
        <v>1.1211930000000001</v>
      </c>
      <c r="L777">
        <v>368.3931</v>
      </c>
      <c r="M777">
        <v>0.99987729999999997</v>
      </c>
      <c r="N777">
        <v>-1.4153590000000001E-2</v>
      </c>
      <c r="O777">
        <v>6.7234510000000001E-3</v>
      </c>
      <c r="P777">
        <v>0.98356900000000003</v>
      </c>
      <c r="Q777">
        <v>0.16938710000000001</v>
      </c>
      <c r="R777">
        <v>-6.2452100000000003E-2</v>
      </c>
      <c r="S777">
        <v>3.2095639999999999</v>
      </c>
      <c r="T777">
        <v>-1.054724</v>
      </c>
      <c r="U777">
        <v>-0.33917239999999999</v>
      </c>
      <c r="V777">
        <v>6.9101620000000002E-2</v>
      </c>
      <c r="W777">
        <v>0.18327089999999999</v>
      </c>
      <c r="X777">
        <v>0.98063080000000002</v>
      </c>
      <c r="Y777">
        <v>0.10570060000000001</v>
      </c>
      <c r="Z777">
        <v>-1.9703809999999999E-2</v>
      </c>
      <c r="AA777">
        <v>0.99420280000000005</v>
      </c>
      <c r="AB777">
        <v>29</v>
      </c>
      <c r="AC777">
        <v>0.59620000000001006</v>
      </c>
      <c r="AD777">
        <v>-0.2881205</v>
      </c>
      <c r="AE777">
        <v>-9.4600000000014006E-2</v>
      </c>
      <c r="AF777">
        <v>8.0311354529139303E-2</v>
      </c>
      <c r="AG777">
        <v>-0.2881205</v>
      </c>
      <c r="AH777">
        <v>0.48505243634281903</v>
      </c>
      <c r="AI777">
        <v>120.371169299828</v>
      </c>
      <c r="AJ777">
        <v>80.598684219630101</v>
      </c>
      <c r="AK777">
        <v>0.56985893183195802</v>
      </c>
      <c r="AL777">
        <v>79.439661351936095</v>
      </c>
      <c r="AM777">
        <v>85.969229790886402</v>
      </c>
      <c r="AN777">
        <v>1.0000000112910301</v>
      </c>
    </row>
    <row r="778" spans="1:40" x14ac:dyDescent="0.25">
      <c r="A778" t="str">
        <f>"20190303162513915"</f>
        <v>20190303162513915</v>
      </c>
      <c r="B778" t="str">
        <f>"1551601513903374"</f>
        <v>1551601513903374</v>
      </c>
      <c r="C778" t="s">
        <v>40</v>
      </c>
      <c r="D778">
        <v>4.5108470000000001</v>
      </c>
      <c r="E778">
        <v>0.53053090000000003</v>
      </c>
      <c r="F778" t="s">
        <v>42</v>
      </c>
      <c r="G778">
        <v>-258.20389999999998</v>
      </c>
      <c r="H778">
        <v>0.83982029999999996</v>
      </c>
      <c r="I778">
        <v>368.30189999999999</v>
      </c>
      <c r="J778">
        <v>-258.62740000000002</v>
      </c>
      <c r="K778">
        <v>1.1212009999999999</v>
      </c>
      <c r="L778">
        <v>368.39580000000001</v>
      </c>
      <c r="M778">
        <v>0.99987809999999999</v>
      </c>
      <c r="N778">
        <v>-1.414955E-2</v>
      </c>
      <c r="O778">
        <v>6.5995350000000001E-3</v>
      </c>
      <c r="P778">
        <v>0.98344390000000004</v>
      </c>
      <c r="Q778">
        <v>0.17019389999999901</v>
      </c>
      <c r="R778">
        <v>-6.2224849999999998E-2</v>
      </c>
      <c r="S778">
        <v>3.2103730000000001</v>
      </c>
      <c r="T778">
        <v>-1.0563340000000001</v>
      </c>
      <c r="U778">
        <v>-0.34127809999999997</v>
      </c>
      <c r="V778">
        <v>6.8751279999999998E-2</v>
      </c>
      <c r="W778">
        <v>0.1840724</v>
      </c>
      <c r="X778">
        <v>0.98050530000000002</v>
      </c>
      <c r="Y778">
        <v>0.10616250000000001</v>
      </c>
      <c r="Z778">
        <v>-1.9765439999999999E-2</v>
      </c>
      <c r="AA778">
        <v>0.99415229999999999</v>
      </c>
      <c r="AB778">
        <v>29</v>
      </c>
      <c r="AC778">
        <v>0.42350000000004601</v>
      </c>
      <c r="AD778">
        <v>-0.28138069999999898</v>
      </c>
      <c r="AE778">
        <v>-9.3900000000019204E-2</v>
      </c>
      <c r="AF778">
        <v>6.8057100579744401E-2</v>
      </c>
      <c r="AG778">
        <v>-0.28138069999999898</v>
      </c>
      <c r="AH778">
        <v>0.29763617198826298</v>
      </c>
      <c r="AI778">
        <v>132.66363196895</v>
      </c>
      <c r="AJ778">
        <v>77.120246437719501</v>
      </c>
      <c r="AK778">
        <v>0.41520375497776801</v>
      </c>
      <c r="AL778">
        <v>79.392944053423093</v>
      </c>
      <c r="AM778">
        <v>85.989087004586395</v>
      </c>
      <c r="AN778">
        <v>1.00000001513574</v>
      </c>
    </row>
    <row r="779" spans="1:40" x14ac:dyDescent="0.25">
      <c r="A779" t="str">
        <f>"20190303162513939"</f>
        <v>20190303162513939</v>
      </c>
      <c r="B779" t="str">
        <f>"1551601513933631"</f>
        <v>1551601513933631</v>
      </c>
      <c r="C779" t="s">
        <v>40</v>
      </c>
      <c r="D779">
        <v>4.5259869999999998</v>
      </c>
      <c r="E779">
        <v>0.53450109999999995</v>
      </c>
      <c r="F779" t="s">
        <v>42</v>
      </c>
      <c r="G779">
        <v>-257.8974</v>
      </c>
      <c r="H779">
        <v>0.95407940000000002</v>
      </c>
      <c r="I779">
        <v>368.29669999999999</v>
      </c>
      <c r="J779">
        <v>-258.32339999999999</v>
      </c>
      <c r="K779">
        <v>1.121208</v>
      </c>
      <c r="L779">
        <v>368.39780000000002</v>
      </c>
      <c r="M779">
        <v>0.99987879999999996</v>
      </c>
      <c r="N779">
        <v>-1.4146769999999999E-2</v>
      </c>
      <c r="O779">
        <v>6.5135640000000003E-3</v>
      </c>
      <c r="P779">
        <v>0.98340959999999999</v>
      </c>
      <c r="Q779">
        <v>0.17061170000000001</v>
      </c>
      <c r="R779">
        <v>-6.162173E-2</v>
      </c>
      <c r="S779">
        <v>3.148193</v>
      </c>
      <c r="T779">
        <v>-0.72076209999999996</v>
      </c>
      <c r="U779">
        <v>-0.42691040000000002</v>
      </c>
      <c r="V779">
        <v>6.8063009999999993E-2</v>
      </c>
      <c r="W779">
        <v>0.1844877</v>
      </c>
      <c r="X779">
        <v>0.98047519999999999</v>
      </c>
      <c r="Y779">
        <v>0.13697619999999999</v>
      </c>
      <c r="Z779">
        <v>-1.777339E-2</v>
      </c>
      <c r="AA779">
        <v>0.99041489999999999</v>
      </c>
      <c r="AB779">
        <v>29</v>
      </c>
      <c r="AC779">
        <v>0.425999999999987</v>
      </c>
      <c r="AD779">
        <v>-0.16712859999999899</v>
      </c>
      <c r="AE779">
        <v>-0.10110000000003</v>
      </c>
      <c r="AF779">
        <v>9.0662576145914303E-2</v>
      </c>
      <c r="AG779">
        <v>-0.16712859999999899</v>
      </c>
      <c r="AH779">
        <v>0.371239513019545</v>
      </c>
      <c r="AI779">
        <v>113.621582209534</v>
      </c>
      <c r="AJ779">
        <v>76.276090928563605</v>
      </c>
      <c r="AK779">
        <v>0.417097647653835</v>
      </c>
      <c r="AL779">
        <v>79.368733811576107</v>
      </c>
      <c r="AM779">
        <v>86.028989696528299</v>
      </c>
      <c r="AN779">
        <v>0.999999951298293</v>
      </c>
    </row>
    <row r="780" spans="1:40" x14ac:dyDescent="0.25">
      <c r="A780" t="str">
        <f>"20190303162513970"</f>
        <v>20190303162513970</v>
      </c>
      <c r="B780" t="str">
        <f>"1551601513963887"</f>
        <v>1551601513963887</v>
      </c>
      <c r="C780" t="s">
        <v>40</v>
      </c>
      <c r="D780">
        <v>4.6242150000000004</v>
      </c>
      <c r="E780">
        <v>0.535753699999999</v>
      </c>
      <c r="F780" t="s">
        <v>42</v>
      </c>
      <c r="G780">
        <v>-257.35919999999999</v>
      </c>
      <c r="H780">
        <v>1.0071859999999999</v>
      </c>
      <c r="I780">
        <v>368.25450000000001</v>
      </c>
      <c r="J780">
        <v>-257.91410000000002</v>
      </c>
      <c r="K780">
        <v>1.1212059999999999</v>
      </c>
      <c r="L780">
        <v>368.40030000000002</v>
      </c>
      <c r="M780">
        <v>0.99987959999999998</v>
      </c>
      <c r="N780">
        <v>-1.414287E-2</v>
      </c>
      <c r="O780">
        <v>6.3993510000000002E-3</v>
      </c>
      <c r="P780">
        <v>0.98345099999999996</v>
      </c>
      <c r="Q780">
        <v>0.17064849999999901</v>
      </c>
      <c r="R780">
        <v>-6.0859370000000003E-2</v>
      </c>
      <c r="S780">
        <v>3.0852200000000001</v>
      </c>
      <c r="T780">
        <v>-0.3649038</v>
      </c>
      <c r="U780">
        <v>-0.45797729999999998</v>
      </c>
      <c r="V780">
        <v>6.7188040000000004E-2</v>
      </c>
      <c r="W780">
        <v>0.18452180000000001</v>
      </c>
      <c r="X780">
        <v>0.98052919999999999</v>
      </c>
      <c r="Y780">
        <v>0.1519635</v>
      </c>
      <c r="Z780">
        <v>-1.065237E-2</v>
      </c>
      <c r="AA780">
        <v>0.98832869999999995</v>
      </c>
      <c r="AB780">
        <v>29</v>
      </c>
      <c r="AC780">
        <v>0.55490000000003104</v>
      </c>
      <c r="AD780">
        <v>-0.114019999999999</v>
      </c>
      <c r="AE780">
        <v>-0.14580000000000801</v>
      </c>
      <c r="AF780">
        <v>0.14367399649334001</v>
      </c>
      <c r="AG780">
        <v>-0.114019999999999</v>
      </c>
      <c r="AH780">
        <v>0.53290841862369498</v>
      </c>
      <c r="AI780">
        <v>101.672076468539</v>
      </c>
      <c r="AJ780">
        <v>74.9115989983476</v>
      </c>
      <c r="AK780">
        <v>0.56359041892883199</v>
      </c>
      <c r="AL780">
        <v>79.366746632163995</v>
      </c>
      <c r="AM780">
        <v>86.080093225296594</v>
      </c>
      <c r="AN780">
        <v>1.00000001972346</v>
      </c>
    </row>
    <row r="781" spans="1:40" x14ac:dyDescent="0.25">
      <c r="A781" t="str">
        <f>"20190303162513992"</f>
        <v>20190303162513992</v>
      </c>
      <c r="B781" t="str">
        <f>"1551601513983407"</f>
        <v>1551601513983407</v>
      </c>
      <c r="C781" t="s">
        <v>40</v>
      </c>
      <c r="D781">
        <v>4.6194559999999996</v>
      </c>
      <c r="E781">
        <v>0.53644230000000004</v>
      </c>
      <c r="F781" t="s">
        <v>41</v>
      </c>
      <c r="G781">
        <v>-244.2508</v>
      </c>
      <c r="H781" s="1">
        <v>-3.2826339999999998E-6</v>
      </c>
      <c r="I781">
        <v>366.32150000000001</v>
      </c>
      <c r="J781">
        <v>-257.64060000000001</v>
      </c>
      <c r="K781">
        <v>1.1212040000000001</v>
      </c>
      <c r="L781">
        <v>368.40190000000001</v>
      </c>
      <c r="M781">
        <v>0.99988010000000005</v>
      </c>
      <c r="N781">
        <v>-1.4140160000000001E-2</v>
      </c>
      <c r="O781">
        <v>6.3235640000000003E-3</v>
      </c>
      <c r="P781">
        <v>0.98356390000000005</v>
      </c>
      <c r="Q781">
        <v>0.17017739999999901</v>
      </c>
      <c r="R781">
        <v>-6.0348140000000002E-2</v>
      </c>
      <c r="S781">
        <v>3.0653079999999999</v>
      </c>
      <c r="T781">
        <v>-0.25153900000000001</v>
      </c>
      <c r="U781">
        <v>-0.4663696</v>
      </c>
      <c r="V781">
        <v>6.6602960000000003E-2</v>
      </c>
      <c r="W781">
        <v>0.1840494</v>
      </c>
      <c r="X781">
        <v>0.98065789999999997</v>
      </c>
      <c r="Y781">
        <v>0.1560455</v>
      </c>
      <c r="Z781">
        <v>-7.8935419999999999E-3</v>
      </c>
      <c r="AA781">
        <v>0.98771830000000005</v>
      </c>
      <c r="AB781">
        <v>29</v>
      </c>
      <c r="AC781">
        <v>13.389799999999999</v>
      </c>
      <c r="AD781">
        <v>-1.121207282634</v>
      </c>
      <c r="AE781">
        <v>-2.0803999999999898</v>
      </c>
      <c r="AF781">
        <v>2.1503161264538502</v>
      </c>
      <c r="AG781">
        <v>-1.121207282634</v>
      </c>
      <c r="AH781">
        <v>13.2854177040909</v>
      </c>
      <c r="AI781">
        <v>94.762293900816999</v>
      </c>
      <c r="AJ781">
        <v>80.806102091664002</v>
      </c>
      <c r="AK781">
        <v>13.504935719450501</v>
      </c>
      <c r="AL781">
        <v>79.394284883159401</v>
      </c>
      <c r="AM781">
        <v>86.114631534535704</v>
      </c>
      <c r="AN781">
        <v>1.0000000263767601</v>
      </c>
    </row>
    <row r="782" spans="1:40" x14ac:dyDescent="0.25">
      <c r="A782" t="str">
        <f>"20190303162514014"</f>
        <v>20190303162514014</v>
      </c>
      <c r="B782" t="str">
        <f>"1551601514002928"</f>
        <v>1551601514002928</v>
      </c>
      <c r="C782" t="s">
        <v>40</v>
      </c>
      <c r="D782">
        <v>4.6828070000000004</v>
      </c>
      <c r="E782">
        <v>0.53684229999999999</v>
      </c>
      <c r="F782" t="s">
        <v>41</v>
      </c>
      <c r="G782">
        <v>-242.25790000000001</v>
      </c>
      <c r="H782" s="1">
        <v>-4.275171E-6</v>
      </c>
      <c r="I782">
        <v>366.03680000000003</v>
      </c>
      <c r="J782">
        <v>-257.35910000000001</v>
      </c>
      <c r="K782">
        <v>1.1212089999999999</v>
      </c>
      <c r="L782">
        <v>368.40370000000001</v>
      </c>
      <c r="M782">
        <v>0.99988069999999896</v>
      </c>
      <c r="N782">
        <v>-1.413736E-2</v>
      </c>
      <c r="O782">
        <v>6.2454519999999899E-3</v>
      </c>
      <c r="P782">
        <v>0.98361710000000002</v>
      </c>
      <c r="Q782">
        <v>0.16990269999999999</v>
      </c>
      <c r="R782">
        <v>-6.0256610000000002E-2</v>
      </c>
      <c r="S782">
        <v>3.0598299999999998</v>
      </c>
      <c r="T782">
        <v>-0.2230239</v>
      </c>
      <c r="U782">
        <v>-0.47045900000000002</v>
      </c>
      <c r="V782">
        <v>6.6434800000000002E-2</v>
      </c>
      <c r="W782">
        <v>0.18377289999999999</v>
      </c>
      <c r="X782">
        <v>0.98072110000000001</v>
      </c>
      <c r="Y782">
        <v>0.157638</v>
      </c>
      <c r="Z782">
        <v>-7.1908680000000004E-3</v>
      </c>
      <c r="AA782">
        <v>0.98747079999999998</v>
      </c>
      <c r="AB782">
        <v>29</v>
      </c>
      <c r="AC782">
        <v>15.1012</v>
      </c>
      <c r="AD782">
        <v>-1.121213275171</v>
      </c>
      <c r="AE782">
        <v>-2.3668999999999798</v>
      </c>
      <c r="AF782">
        <v>2.4480058420802102</v>
      </c>
      <c r="AG782">
        <v>-1.121213275171</v>
      </c>
      <c r="AH782">
        <v>15.005386792774599</v>
      </c>
      <c r="AI782">
        <v>94.217687204794103</v>
      </c>
      <c r="AJ782">
        <v>80.7342908948645</v>
      </c>
      <c r="AK782">
        <v>15.245047871753499</v>
      </c>
      <c r="AL782">
        <v>79.410401461128799</v>
      </c>
      <c r="AM782">
        <v>86.124660420386107</v>
      </c>
      <c r="AN782">
        <v>0.99999996870532903</v>
      </c>
    </row>
    <row r="783" spans="1:40" x14ac:dyDescent="0.25">
      <c r="A783" t="str">
        <f>"20190303162514038"</f>
        <v>20190303162514038</v>
      </c>
      <c r="B783" t="str">
        <f>"1551601514033183"</f>
        <v>1551601514033183</v>
      </c>
      <c r="C783" t="s">
        <v>40</v>
      </c>
      <c r="D783">
        <v>4.7070169999999996</v>
      </c>
      <c r="E783">
        <v>0.5372519</v>
      </c>
      <c r="F783" t="s">
        <v>41</v>
      </c>
      <c r="G783">
        <v>-240.9914</v>
      </c>
      <c r="H783" s="1">
        <v>-4.903816E-6</v>
      </c>
      <c r="I783">
        <v>365.86799999999999</v>
      </c>
      <c r="J783">
        <v>-257.06180000000001</v>
      </c>
      <c r="K783">
        <v>1.121202</v>
      </c>
      <c r="L783">
        <v>368.40539999999999</v>
      </c>
      <c r="M783">
        <v>0.99988109999999997</v>
      </c>
      <c r="N783">
        <v>-1.413441E-2</v>
      </c>
      <c r="O783">
        <v>6.1636399999999997E-3</v>
      </c>
      <c r="P783">
        <v>0.98364680000000004</v>
      </c>
      <c r="Q783">
        <v>0.1697621</v>
      </c>
      <c r="R783">
        <v>-6.0165410000000002E-2</v>
      </c>
      <c r="S783">
        <v>3.0571290000000002</v>
      </c>
      <c r="T783">
        <v>-0.2094183</v>
      </c>
      <c r="U783">
        <v>-0.47360229999999998</v>
      </c>
      <c r="V783">
        <v>6.626319E-2</v>
      </c>
      <c r="W783">
        <v>0.18362990000000001</v>
      </c>
      <c r="X783">
        <v>0.98075950000000001</v>
      </c>
      <c r="Y783">
        <v>0.15873110000000001</v>
      </c>
      <c r="Z783">
        <v>-6.8610290000000003E-3</v>
      </c>
      <c r="AA783">
        <v>0.98729800000000001</v>
      </c>
      <c r="AB783">
        <v>28</v>
      </c>
      <c r="AC783">
        <v>16.070399999999999</v>
      </c>
      <c r="AD783">
        <v>-1.121206903816</v>
      </c>
      <c r="AE783">
        <v>-2.5373999999999302</v>
      </c>
      <c r="AF783">
        <v>2.6239520764787501</v>
      </c>
      <c r="AG783">
        <v>-1.121206903816</v>
      </c>
      <c r="AH783">
        <v>15.978567479593799</v>
      </c>
      <c r="AI783">
        <v>93.960952496457494</v>
      </c>
      <c r="AJ783">
        <v>80.674295155465302</v>
      </c>
      <c r="AK783">
        <v>16.231353859760201</v>
      </c>
      <c r="AL783">
        <v>79.418736657828703</v>
      </c>
      <c r="AM783">
        <v>86.134791439970002</v>
      </c>
      <c r="AN783">
        <v>0.99999997368161697</v>
      </c>
    </row>
    <row r="784" spans="1:40" x14ac:dyDescent="0.25">
      <c r="A784" t="str">
        <f>"20190303162514060"</f>
        <v>20190303162514060</v>
      </c>
      <c r="B784" t="str">
        <f>"1551601514053679"</f>
        <v>1551601514053679</v>
      </c>
      <c r="C784" t="s">
        <v>40</v>
      </c>
      <c r="D784">
        <v>4.7479300000000002</v>
      </c>
      <c r="E784">
        <v>0.53758019999999995</v>
      </c>
      <c r="F784" t="s">
        <v>41</v>
      </c>
      <c r="G784">
        <v>-239.50729999999999</v>
      </c>
      <c r="H784" s="1">
        <v>-1.2043170000000001E-6</v>
      </c>
      <c r="I784">
        <v>365.66800000000001</v>
      </c>
      <c r="J784">
        <v>-256.78140000000002</v>
      </c>
      <c r="K784">
        <v>1.1212040000000001</v>
      </c>
      <c r="L784">
        <v>368.40699999999998</v>
      </c>
      <c r="M784">
        <v>0.99988169999999998</v>
      </c>
      <c r="N784">
        <v>-1.4131619999999999E-2</v>
      </c>
      <c r="O784">
        <v>6.0858240000000001E-3</v>
      </c>
      <c r="P784">
        <v>0.98367590000000005</v>
      </c>
      <c r="Q784">
        <v>0.1694571</v>
      </c>
      <c r="R784">
        <v>-6.0548539999999998E-2</v>
      </c>
      <c r="S784">
        <v>3.0544129999999998</v>
      </c>
      <c r="T784">
        <v>-0.19508310000000001</v>
      </c>
      <c r="U784">
        <v>-0.47628779999999998</v>
      </c>
      <c r="V784">
        <v>6.6569920000000005E-2</v>
      </c>
      <c r="W784">
        <v>0.18332290000000001</v>
      </c>
      <c r="X784">
        <v>0.98079620000000001</v>
      </c>
      <c r="Y784">
        <v>0.15968640000000001</v>
      </c>
      <c r="Z784">
        <v>-6.5009619999999999E-3</v>
      </c>
      <c r="AA784">
        <v>0.98714639999999998</v>
      </c>
      <c r="AB784">
        <v>28</v>
      </c>
      <c r="AC784">
        <v>17.274100000000001</v>
      </c>
      <c r="AD784">
        <v>-1.121205204317</v>
      </c>
      <c r="AE784">
        <v>-2.7389999999999701</v>
      </c>
      <c r="AF784">
        <v>2.8324467755262499</v>
      </c>
      <c r="AG784">
        <v>-1.121205204317</v>
      </c>
      <c r="AH784">
        <v>17.186480406657001</v>
      </c>
      <c r="AI784">
        <v>93.683008598474899</v>
      </c>
      <c r="AJ784">
        <v>80.641398098877403</v>
      </c>
      <c r="AK784">
        <v>17.454368066898901</v>
      </c>
      <c r="AL784">
        <v>79.436630641072796</v>
      </c>
      <c r="AM784">
        <v>86.117098987348797</v>
      </c>
      <c r="AN784">
        <v>1.00000001292382</v>
      </c>
    </row>
    <row r="785" spans="1:40" x14ac:dyDescent="0.25">
      <c r="A785" t="str">
        <f>"20190303162514081"</f>
        <v>20190303162514081</v>
      </c>
      <c r="B785" t="str">
        <f>"1551601514073199"</f>
        <v>1551601514073199</v>
      </c>
      <c r="C785" t="s">
        <v>40</v>
      </c>
      <c r="D785">
        <v>4.75793</v>
      </c>
      <c r="E785">
        <v>0.53785399999999906</v>
      </c>
      <c r="F785" t="s">
        <v>41</v>
      </c>
      <c r="G785">
        <v>-238.69710000000001</v>
      </c>
      <c r="H785" s="1">
        <v>-1.508032E-6</v>
      </c>
      <c r="I785">
        <v>365.56279999999998</v>
      </c>
      <c r="J785">
        <v>-256.50069999999999</v>
      </c>
      <c r="K785">
        <v>1.1212070000000001</v>
      </c>
      <c r="L785">
        <v>368.40859999999998</v>
      </c>
      <c r="M785">
        <v>0.99988220000000005</v>
      </c>
      <c r="N785">
        <v>-1.412883E-2</v>
      </c>
      <c r="O785">
        <v>6.0077119999999897E-3</v>
      </c>
      <c r="P785">
        <v>0.98360380000000003</v>
      </c>
      <c r="Q785">
        <v>0.16964409999999999</v>
      </c>
      <c r="R785">
        <v>-6.1194459999999999E-2</v>
      </c>
      <c r="S785">
        <v>3.0528409999999999</v>
      </c>
      <c r="T785">
        <v>-0.1892712</v>
      </c>
      <c r="U785">
        <v>-0.48013309999999998</v>
      </c>
      <c r="V785">
        <v>6.7138340000000005E-2</v>
      </c>
      <c r="W785">
        <v>0.18350620000000001</v>
      </c>
      <c r="X785">
        <v>0.98072309999999996</v>
      </c>
      <c r="Y785">
        <v>0.16091849999999999</v>
      </c>
      <c r="Z785">
        <v>-6.3838999999999996E-3</v>
      </c>
      <c r="AA785">
        <v>0.98694709999999997</v>
      </c>
      <c r="AB785">
        <v>28</v>
      </c>
      <c r="AC785">
        <v>17.8035999999999</v>
      </c>
      <c r="AD785">
        <v>-1.121208508032</v>
      </c>
      <c r="AE785">
        <v>-2.8457999999999899</v>
      </c>
      <c r="AF785">
        <v>2.9413433479641999</v>
      </c>
      <c r="AG785">
        <v>-1.121208508032</v>
      </c>
      <c r="AH785">
        <v>17.7176618836186</v>
      </c>
      <c r="AI785">
        <v>93.5722002230209</v>
      </c>
      <c r="AJ785">
        <v>80.5741811021107</v>
      </c>
      <c r="AK785">
        <v>17.995114665689901</v>
      </c>
      <c r="AL785">
        <v>79.4259463107323</v>
      </c>
      <c r="AM785">
        <v>86.083755837635394</v>
      </c>
      <c r="AN785">
        <v>0.99999994050500096</v>
      </c>
    </row>
    <row r="786" spans="1:40" x14ac:dyDescent="0.25">
      <c r="A786" t="str">
        <f>"20190303162514104"</f>
        <v>20190303162514104</v>
      </c>
      <c r="B786" t="str">
        <f>"1551601514093695"</f>
        <v>1551601514093695</v>
      </c>
      <c r="C786" t="s">
        <v>40</v>
      </c>
      <c r="D786">
        <v>4.7795209999999999</v>
      </c>
      <c r="E786">
        <v>0.53811819999999999</v>
      </c>
      <c r="F786" t="s">
        <v>41</v>
      </c>
      <c r="G786">
        <v>-237.88810000000001</v>
      </c>
      <c r="H786" s="1">
        <v>-1.8122279999999999E-6</v>
      </c>
      <c r="I786">
        <v>365.45420000000001</v>
      </c>
      <c r="J786">
        <v>-256.21559999999999</v>
      </c>
      <c r="K786">
        <v>1.1212059999999999</v>
      </c>
      <c r="L786">
        <v>368.41030000000001</v>
      </c>
      <c r="M786">
        <v>0.99988270000000001</v>
      </c>
      <c r="N786">
        <v>-1.412596E-2</v>
      </c>
      <c r="O786">
        <v>5.9279329999999998E-3</v>
      </c>
      <c r="P786">
        <v>0.98361880000000002</v>
      </c>
      <c r="Q786">
        <v>0.16931860000000001</v>
      </c>
      <c r="R786">
        <v>-6.1847739999999998E-2</v>
      </c>
      <c r="S786">
        <v>3.0515750000000001</v>
      </c>
      <c r="T786">
        <v>-0.18382319999999999</v>
      </c>
      <c r="U786">
        <v>-0.484375</v>
      </c>
      <c r="V786">
        <v>6.7713220000000005E-2</v>
      </c>
      <c r="W786">
        <v>0.18317810000000001</v>
      </c>
      <c r="X786">
        <v>0.98074499999999998</v>
      </c>
      <c r="Y786">
        <v>0.1622575</v>
      </c>
      <c r="Z786">
        <v>-6.2782879999999999E-3</v>
      </c>
      <c r="AA786">
        <v>0.98672850000000001</v>
      </c>
      <c r="AB786">
        <v>28</v>
      </c>
      <c r="AC786">
        <v>18.327499999999901</v>
      </c>
      <c r="AD786">
        <v>-1.121207812228</v>
      </c>
      <c r="AE786">
        <v>-2.95609999999999</v>
      </c>
      <c r="AF786">
        <v>3.0535647756615898</v>
      </c>
      <c r="AG786">
        <v>-1.121207812228</v>
      </c>
      <c r="AH786">
        <v>18.243108329477099</v>
      </c>
      <c r="AI786">
        <v>93.468796055384999</v>
      </c>
      <c r="AJ786">
        <v>80.497814284723205</v>
      </c>
      <c r="AK786">
        <v>18.5308490447254</v>
      </c>
      <c r="AL786">
        <v>79.445070116451504</v>
      </c>
      <c r="AM786">
        <v>86.0504161337591</v>
      </c>
      <c r="AN786">
        <v>1.0000000257536801</v>
      </c>
    </row>
    <row r="787" spans="1:40" x14ac:dyDescent="0.25">
      <c r="A787" t="str">
        <f>"20190303162514127"</f>
        <v>20190303162514127</v>
      </c>
      <c r="B787" t="str">
        <f>"1551601514113215"</f>
        <v>1551601514113215</v>
      </c>
      <c r="C787" t="s">
        <v>40</v>
      </c>
      <c r="D787">
        <v>4.7935349999999897</v>
      </c>
      <c r="E787">
        <v>0.53830840000000002</v>
      </c>
      <c r="F787" t="s">
        <v>41</v>
      </c>
      <c r="G787">
        <v>-237.38</v>
      </c>
      <c r="H787" s="1">
        <v>-2.0004349999999998E-6</v>
      </c>
      <c r="I787">
        <v>365.39659999999998</v>
      </c>
      <c r="J787">
        <v>-255.92609999999999</v>
      </c>
      <c r="K787">
        <v>1.121211</v>
      </c>
      <c r="L787">
        <v>368.4119</v>
      </c>
      <c r="M787">
        <v>0.99988319999999997</v>
      </c>
      <c r="N787">
        <v>-1.4122930000000001E-2</v>
      </c>
      <c r="O787">
        <v>5.8469000000000004E-3</v>
      </c>
      <c r="P787">
        <v>0.98359359999999996</v>
      </c>
      <c r="Q787">
        <v>0.1690711</v>
      </c>
      <c r="R787">
        <v>-6.2921610000000003E-2</v>
      </c>
      <c r="S787">
        <v>3.050522</v>
      </c>
      <c r="T787">
        <v>-0.1815842</v>
      </c>
      <c r="U787">
        <v>-0.48806759999999899</v>
      </c>
      <c r="V787">
        <v>6.8706859999999995E-2</v>
      </c>
      <c r="W787">
        <v>0.1829268</v>
      </c>
      <c r="X787">
        <v>0.98072280000000001</v>
      </c>
      <c r="Y787">
        <v>0.1634005</v>
      </c>
      <c r="Z787">
        <v>-6.2543529999999998E-3</v>
      </c>
      <c r="AA787">
        <v>0.98653999999999997</v>
      </c>
      <c r="AB787">
        <v>28</v>
      </c>
      <c r="AC787">
        <v>18.546099999999999</v>
      </c>
      <c r="AD787">
        <v>-1.1212130004350001</v>
      </c>
      <c r="AE787">
        <v>-3.0153000000000199</v>
      </c>
      <c r="AF787">
        <v>3.1126132482427602</v>
      </c>
      <c r="AG787">
        <v>-1.1212130004350001</v>
      </c>
      <c r="AH787">
        <v>18.4624111704025</v>
      </c>
      <c r="AI787">
        <v>93.427031184574105</v>
      </c>
      <c r="AJ787">
        <v>80.430384143974607</v>
      </c>
      <c r="AK787">
        <v>18.756495036399699</v>
      </c>
      <c r="AL787">
        <v>79.459716045469904</v>
      </c>
      <c r="AM787">
        <v>85.992556045443706</v>
      </c>
      <c r="AN787">
        <v>1.0000000286045601</v>
      </c>
    </row>
    <row r="788" spans="1:40" x14ac:dyDescent="0.25">
      <c r="A788" t="str">
        <f>"20190303162514149"</f>
        <v>20190303162514149</v>
      </c>
      <c r="B788" t="str">
        <f>"1551601514143535"</f>
        <v>1551601514143535</v>
      </c>
      <c r="C788" t="s">
        <v>40</v>
      </c>
      <c r="D788">
        <v>4.827502</v>
      </c>
      <c r="E788">
        <v>0.53858269999999997</v>
      </c>
      <c r="F788" t="s">
        <v>41</v>
      </c>
      <c r="G788">
        <v>-236.95930000000001</v>
      </c>
      <c r="H788" s="1">
        <v>-2.156737E-6</v>
      </c>
      <c r="I788">
        <v>365.34719999999999</v>
      </c>
      <c r="J788">
        <v>-255.64859999999999</v>
      </c>
      <c r="K788">
        <v>1.121213</v>
      </c>
      <c r="L788">
        <v>368.41340000000002</v>
      </c>
      <c r="M788">
        <v>0.99988379999999999</v>
      </c>
      <c r="N788">
        <v>-1.4120000000000001E-2</v>
      </c>
      <c r="O788">
        <v>5.7691449999999998E-3</v>
      </c>
      <c r="P788">
        <v>0.98353950000000001</v>
      </c>
      <c r="Q788">
        <v>0.16925399999999999</v>
      </c>
      <c r="R788">
        <v>-6.3274639999999993E-2</v>
      </c>
      <c r="S788">
        <v>3.0495000000000001</v>
      </c>
      <c r="T788">
        <v>-0.1802695</v>
      </c>
      <c r="U788">
        <v>-0.49273679999999997</v>
      </c>
      <c r="V788">
        <v>6.8983169999999996E-2</v>
      </c>
      <c r="W788">
        <v>0.1831063</v>
      </c>
      <c r="X788">
        <v>0.98066989999999998</v>
      </c>
      <c r="Y788">
        <v>0.1648492</v>
      </c>
      <c r="Z788">
        <v>-6.2672860000000004E-3</v>
      </c>
      <c r="AA788">
        <v>0.98629889999999998</v>
      </c>
      <c r="AB788">
        <v>28</v>
      </c>
      <c r="AC788">
        <v>18.6892999999999</v>
      </c>
      <c r="AD788">
        <v>-1.1212151567369999</v>
      </c>
      <c r="AE788">
        <v>-3.06620000000003</v>
      </c>
      <c r="AF788">
        <v>3.1628958269666798</v>
      </c>
      <c r="AG788">
        <v>-1.1212151567369999</v>
      </c>
      <c r="AH788">
        <v>18.606088150616799</v>
      </c>
      <c r="AI788">
        <v>93.399854442963303</v>
      </c>
      <c r="AJ788">
        <v>80.352371174399806</v>
      </c>
      <c r="AK788">
        <v>18.906283339367999</v>
      </c>
      <c r="AL788">
        <v>79.449254709253495</v>
      </c>
      <c r="AM788">
        <v>85.976276296137499</v>
      </c>
      <c r="AN788">
        <v>1.00000002380447</v>
      </c>
    </row>
    <row r="789" spans="1:40" x14ac:dyDescent="0.25">
      <c r="A789" t="str">
        <f>"20190303162514170"</f>
        <v>20190303162514170</v>
      </c>
      <c r="B789" t="str">
        <f>"1551601514163055"</f>
        <v>1551601514163055</v>
      </c>
      <c r="C789" t="s">
        <v>40</v>
      </c>
      <c r="D789">
        <v>4.8450879999999996</v>
      </c>
      <c r="E789">
        <v>0.53877069999999905</v>
      </c>
      <c r="F789" t="s">
        <v>41</v>
      </c>
      <c r="G789">
        <v>-236.40979999999999</v>
      </c>
      <c r="H789" s="1">
        <v>-2.36045E-6</v>
      </c>
      <c r="I789">
        <v>365.28449999999998</v>
      </c>
      <c r="J789">
        <v>-255.3775</v>
      </c>
      <c r="K789">
        <v>1.121213</v>
      </c>
      <c r="L789">
        <v>368.41489999999999</v>
      </c>
      <c r="M789">
        <v>0.99988410000000005</v>
      </c>
      <c r="N789">
        <v>-1.411718E-2</v>
      </c>
      <c r="O789">
        <v>5.6936499999999998E-3</v>
      </c>
      <c r="P789">
        <v>0.98342669999999999</v>
      </c>
      <c r="Q789">
        <v>0.16976930000000001</v>
      </c>
      <c r="R789">
        <v>-6.3641760000000006E-2</v>
      </c>
      <c r="S789">
        <v>3.048889</v>
      </c>
      <c r="T789">
        <v>-0.1776845</v>
      </c>
      <c r="U789">
        <v>-0.4958496</v>
      </c>
      <c r="V789">
        <v>6.9275649999999994E-2</v>
      </c>
      <c r="W789">
        <v>0.1836168</v>
      </c>
      <c r="X789">
        <v>0.98055380000000003</v>
      </c>
      <c r="Y789">
        <v>0.1657941</v>
      </c>
      <c r="Z789">
        <v>-6.2243860000000002E-3</v>
      </c>
      <c r="AA789">
        <v>0.98614069999999998</v>
      </c>
      <c r="AB789">
        <v>28</v>
      </c>
      <c r="AC789">
        <v>18.967700000000001</v>
      </c>
      <c r="AD789">
        <v>-1.1212153604499999</v>
      </c>
      <c r="AE789">
        <v>-3.1303999999999998</v>
      </c>
      <c r="AF789">
        <v>3.2273773526658398</v>
      </c>
      <c r="AG789">
        <v>-1.1212153604499999</v>
      </c>
      <c r="AH789">
        <v>18.885327789181801</v>
      </c>
      <c r="AI789">
        <v>93.349201284578001</v>
      </c>
      <c r="AJ789">
        <v>80.302213315045094</v>
      </c>
      <c r="AK789">
        <v>19.191891364997101</v>
      </c>
      <c r="AL789">
        <v>79.419500495215601</v>
      </c>
      <c r="AM789">
        <v>85.958795756745502</v>
      </c>
      <c r="AN789">
        <v>0.99999999980980103</v>
      </c>
    </row>
    <row r="790" spans="1:40" x14ac:dyDescent="0.25">
      <c r="A790" t="str">
        <f>"20190303162514193"</f>
        <v>20190303162514193</v>
      </c>
      <c r="B790" t="str">
        <f>"1551601514183551"</f>
        <v>1551601514183551</v>
      </c>
      <c r="C790" t="s">
        <v>40</v>
      </c>
      <c r="D790">
        <v>4.8738989999999998</v>
      </c>
      <c r="E790">
        <v>0.53891709999999904</v>
      </c>
      <c r="F790" t="s">
        <v>41</v>
      </c>
      <c r="G790">
        <v>-235.71680000000001</v>
      </c>
      <c r="H790" s="1">
        <v>-2.6184440000000001E-6</v>
      </c>
      <c r="I790">
        <v>365.20119999999997</v>
      </c>
      <c r="J790">
        <v>-255.09880000000001</v>
      </c>
      <c r="K790">
        <v>1.1212139999999999</v>
      </c>
      <c r="L790">
        <v>368.41640000000001</v>
      </c>
      <c r="M790">
        <v>0.99988469999999996</v>
      </c>
      <c r="N790">
        <v>-1.411426E-2</v>
      </c>
      <c r="O790">
        <v>5.6161889999999997E-3</v>
      </c>
      <c r="P790">
        <v>0.98335919999999999</v>
      </c>
      <c r="Q790">
        <v>0.17024449999999999</v>
      </c>
      <c r="R790">
        <v>-6.3416180000000003E-2</v>
      </c>
      <c r="S790">
        <v>3.0483250000000002</v>
      </c>
      <c r="T790">
        <v>-0.173839299999999</v>
      </c>
      <c r="U790">
        <v>-0.4982605</v>
      </c>
      <c r="V790">
        <v>6.8973649999999997E-2</v>
      </c>
      <c r="W790">
        <v>0.1840888</v>
      </c>
      <c r="X790">
        <v>0.98048659999999999</v>
      </c>
      <c r="Y790">
        <v>0.16651850000000001</v>
      </c>
      <c r="Z790">
        <v>-6.1364119999999999E-3</v>
      </c>
      <c r="AA790">
        <v>0.98601930000000004</v>
      </c>
      <c r="AB790">
        <v>28</v>
      </c>
      <c r="AC790">
        <v>19.382000000000001</v>
      </c>
      <c r="AD790">
        <v>-1.121216618444</v>
      </c>
      <c r="AE790">
        <v>-3.21520000000003</v>
      </c>
      <c r="AF790">
        <v>3.3132225580297101</v>
      </c>
      <c r="AG790">
        <v>-1.121216618444</v>
      </c>
      <c r="AH790">
        <v>19.300776343381699</v>
      </c>
      <c r="AI790">
        <v>93.276853801511095</v>
      </c>
      <c r="AJ790">
        <v>80.259392715576695</v>
      </c>
      <c r="AK790">
        <v>19.615160919089</v>
      </c>
      <c r="AL790">
        <v>79.391988029378396</v>
      </c>
      <c r="AM790">
        <v>85.976080112140593</v>
      </c>
      <c r="AN790">
        <v>1.0000000117296599</v>
      </c>
    </row>
    <row r="791" spans="1:40" x14ac:dyDescent="0.25">
      <c r="A791" t="str">
        <f>"20190303162514216"</f>
        <v>20190303162514216</v>
      </c>
      <c r="B791" t="str">
        <f>"1551601514203074"</f>
        <v>1551601514203074</v>
      </c>
      <c r="C791" t="s">
        <v>40</v>
      </c>
      <c r="D791">
        <v>4.8568449999999999</v>
      </c>
      <c r="E791">
        <v>0.53902519999999998</v>
      </c>
      <c r="F791" t="s">
        <v>41</v>
      </c>
      <c r="G791">
        <v>-235.11359999999999</v>
      </c>
      <c r="H791" s="1">
        <v>-2.8719169999999998E-6</v>
      </c>
      <c r="I791">
        <v>365.1438</v>
      </c>
      <c r="J791">
        <v>-254.80619999999999</v>
      </c>
      <c r="K791">
        <v>1.121208</v>
      </c>
      <c r="L791">
        <v>368.41800000000001</v>
      </c>
      <c r="M791">
        <v>0.99988529999999998</v>
      </c>
      <c r="N791">
        <v>-1.4111220000000001E-2</v>
      </c>
      <c r="O791">
        <v>5.5345580000000002E-3</v>
      </c>
      <c r="P791">
        <v>0.98330879999999998</v>
      </c>
      <c r="Q791">
        <v>0.17044479999999901</v>
      </c>
      <c r="R791">
        <v>-6.3661869999999995E-2</v>
      </c>
      <c r="S791">
        <v>3.048187</v>
      </c>
      <c r="T791">
        <v>-0.17100979999999999</v>
      </c>
      <c r="U791">
        <v>-0.49914550000000002</v>
      </c>
      <c r="V791">
        <v>6.913859E-2</v>
      </c>
      <c r="W791">
        <v>0.18428520000000001</v>
      </c>
      <c r="X791">
        <v>0.98043809999999998</v>
      </c>
      <c r="Y791">
        <v>0.166733399999999</v>
      </c>
      <c r="Z791">
        <v>-6.0586169999999996E-3</v>
      </c>
      <c r="AA791">
        <v>0.98598339999999995</v>
      </c>
      <c r="AB791">
        <v>28</v>
      </c>
      <c r="AC791">
        <v>19.692599999999999</v>
      </c>
      <c r="AD791">
        <v>-1.121210871917</v>
      </c>
      <c r="AE791">
        <v>-3.2742</v>
      </c>
      <c r="AF791">
        <v>3.3725120418906198</v>
      </c>
      <c r="AG791">
        <v>-1.121210871917</v>
      </c>
      <c r="AH791">
        <v>19.612308941404599</v>
      </c>
      <c r="AI791">
        <v>93.224737605456099</v>
      </c>
      <c r="AJ791">
        <v>80.242903188265402</v>
      </c>
      <c r="AK791">
        <v>19.931723791611699</v>
      </c>
      <c r="AL791">
        <v>79.380539393101799</v>
      </c>
      <c r="AM791">
        <v>85.966290372681698</v>
      </c>
      <c r="AN791">
        <v>1.0000000237489099</v>
      </c>
    </row>
    <row r="792" spans="1:40" x14ac:dyDescent="0.25">
      <c r="A792" t="str">
        <f>"20190303162514250"</f>
        <v>20190303162514250</v>
      </c>
      <c r="B792" t="str">
        <f>"1551601514242962"</f>
        <v>1551601514242962</v>
      </c>
      <c r="C792" t="s">
        <v>40</v>
      </c>
      <c r="D792">
        <v>4.8697010000000001</v>
      </c>
      <c r="E792">
        <v>0.53924819999999996</v>
      </c>
      <c r="F792" t="s">
        <v>41</v>
      </c>
      <c r="G792">
        <v>-234.65029999999999</v>
      </c>
      <c r="H792" s="1">
        <v>-3.0770380000000001E-6</v>
      </c>
      <c r="I792">
        <v>365.108</v>
      </c>
      <c r="J792">
        <v>-254.3802</v>
      </c>
      <c r="K792">
        <v>1.121213</v>
      </c>
      <c r="L792">
        <v>368.42020000000002</v>
      </c>
      <c r="M792">
        <v>0.99988589999999999</v>
      </c>
      <c r="N792">
        <v>-1.4106830000000001E-2</v>
      </c>
      <c r="O792">
        <v>5.4156899999999999E-3</v>
      </c>
      <c r="P792">
        <v>0.98331299999999999</v>
      </c>
      <c r="Q792">
        <v>0.17054269999999999</v>
      </c>
      <c r="R792">
        <v>-6.3332009999999994E-2</v>
      </c>
      <c r="S792">
        <v>3.0478969999999999</v>
      </c>
      <c r="T792">
        <v>-0.1695441</v>
      </c>
      <c r="U792">
        <v>-0.50051880000000004</v>
      </c>
      <c r="V792">
        <v>6.8691799999999997E-2</v>
      </c>
      <c r="W792">
        <v>0.1843794</v>
      </c>
      <c r="X792">
        <v>0.98045179999999998</v>
      </c>
      <c r="Y792">
        <v>0.1670682</v>
      </c>
      <c r="Z792">
        <v>-6.0229389999999997E-3</v>
      </c>
      <c r="AA792">
        <v>0.98592690000000005</v>
      </c>
      <c r="AB792">
        <v>28</v>
      </c>
      <c r="AC792">
        <v>19.729900000000001</v>
      </c>
      <c r="AD792">
        <v>-1.121216077038</v>
      </c>
      <c r="AE792">
        <v>-3.31220000000001</v>
      </c>
      <c r="AF792">
        <v>3.4083078013525498</v>
      </c>
      <c r="AG792">
        <v>-1.121216077038</v>
      </c>
      <c r="AH792">
        <v>19.649951807105001</v>
      </c>
      <c r="AI792">
        <v>93.217784300240297</v>
      </c>
      <c r="AJ792">
        <v>80.159879655405803</v>
      </c>
      <c r="AK792">
        <v>19.9748415158098</v>
      </c>
      <c r="AL792">
        <v>79.375048090666496</v>
      </c>
      <c r="AM792">
        <v>85.992327764240201</v>
      </c>
      <c r="AN792">
        <v>1.0000000293274101</v>
      </c>
    </row>
    <row r="793" spans="1:40" x14ac:dyDescent="0.25">
      <c r="A793" t="str">
        <f>"20190303162514271"</f>
        <v>20190303162514271</v>
      </c>
      <c r="B793" t="str">
        <f>"1551601514263458"</f>
        <v>1551601514263458</v>
      </c>
      <c r="C793" t="s">
        <v>40</v>
      </c>
      <c r="D793">
        <v>4.8812350000000002</v>
      </c>
      <c r="E793">
        <v>0.53931039999999997</v>
      </c>
      <c r="F793" t="s">
        <v>41</v>
      </c>
      <c r="G793">
        <v>-234.07310000000001</v>
      </c>
      <c r="H793" s="1">
        <v>-3.329914E-6</v>
      </c>
      <c r="I793">
        <v>365.07830000000001</v>
      </c>
      <c r="J793">
        <v>-254.11179999999999</v>
      </c>
      <c r="K793">
        <v>1.1212150000000001</v>
      </c>
      <c r="L793">
        <v>368.42160000000001</v>
      </c>
      <c r="M793">
        <v>0.99988639999999995</v>
      </c>
      <c r="N793">
        <v>-1.410407E-2</v>
      </c>
      <c r="O793">
        <v>5.3406149999999999E-3</v>
      </c>
      <c r="P793">
        <v>0.98329250000000001</v>
      </c>
      <c r="Q793">
        <v>0.17083870000000001</v>
      </c>
      <c r="R793">
        <v>-6.2852560000000002E-2</v>
      </c>
      <c r="S793">
        <v>3.0477910000000001</v>
      </c>
      <c r="T793">
        <v>-0.1682765</v>
      </c>
      <c r="U793">
        <v>-0.50155640000000001</v>
      </c>
      <c r="V793">
        <v>6.8138329999999997E-2</v>
      </c>
      <c r="W793">
        <v>0.18467230000000001</v>
      </c>
      <c r="X793">
        <v>0.98043530000000001</v>
      </c>
      <c r="Y793">
        <v>0.16733039999999999</v>
      </c>
      <c r="Z793">
        <v>-5.9920980000000004E-3</v>
      </c>
      <c r="AA793">
        <v>0.98588260000000005</v>
      </c>
      <c r="AB793">
        <v>28</v>
      </c>
      <c r="AC793">
        <v>20.038699999999899</v>
      </c>
      <c r="AD793">
        <v>-1.1212183299139999</v>
      </c>
      <c r="AE793">
        <v>-3.3433000000000002</v>
      </c>
      <c r="AF793">
        <v>3.43980458325071</v>
      </c>
      <c r="AG793">
        <v>-1.1212183299139999</v>
      </c>
      <c r="AH793">
        <v>19.9597614407954</v>
      </c>
      <c r="AI793">
        <v>93.168539094357698</v>
      </c>
      <c r="AJ793">
        <v>80.221868222951997</v>
      </c>
      <c r="AK793">
        <v>20.285005863636101</v>
      </c>
      <c r="AL793">
        <v>79.357972986660897</v>
      </c>
      <c r="AM793">
        <v>86.024448108070899</v>
      </c>
      <c r="AN793">
        <v>1.0000000339442801</v>
      </c>
    </row>
    <row r="794" spans="1:40" x14ac:dyDescent="0.25">
      <c r="A794" t="str">
        <f>"20190303162514293"</f>
        <v>20190303162514293</v>
      </c>
      <c r="B794" t="str">
        <f>"1551601514282978"</f>
        <v>1551601514282978</v>
      </c>
      <c r="C794" t="s">
        <v>40</v>
      </c>
      <c r="D794">
        <v>4.8541540000000003</v>
      </c>
      <c r="E794">
        <v>0.53939709999999996</v>
      </c>
      <c r="F794" t="s">
        <v>41</v>
      </c>
      <c r="G794">
        <v>-233.71039999999999</v>
      </c>
      <c r="H794" s="1">
        <v>-3.4872970000000002E-6</v>
      </c>
      <c r="I794">
        <v>365.0684</v>
      </c>
      <c r="J794">
        <v>-253.8364</v>
      </c>
      <c r="K794">
        <v>1.121218</v>
      </c>
      <c r="L794">
        <v>368.42290000000003</v>
      </c>
      <c r="M794">
        <v>0.99988690000000002</v>
      </c>
      <c r="N794">
        <v>-1.4101239999999999E-2</v>
      </c>
      <c r="O794">
        <v>5.2639269999999998E-3</v>
      </c>
      <c r="P794">
        <v>0.98341789999999996</v>
      </c>
      <c r="Q794">
        <v>0.17035449999999999</v>
      </c>
      <c r="R794">
        <v>-6.2198969999999999E-2</v>
      </c>
      <c r="S794">
        <v>3.0480649999999998</v>
      </c>
      <c r="T794">
        <v>-0.16751429999999901</v>
      </c>
      <c r="U794">
        <v>-0.50097659999999999</v>
      </c>
      <c r="V794">
        <v>6.7410109999999995E-2</v>
      </c>
      <c r="W794">
        <v>0.18418770000000001</v>
      </c>
      <c r="X794">
        <v>0.98057680000000003</v>
      </c>
      <c r="Y794">
        <v>0.16706119999999999</v>
      </c>
      <c r="Z794">
        <v>-5.9570580000000003E-3</v>
      </c>
      <c r="AA794">
        <v>0.98592849999999999</v>
      </c>
      <c r="AB794">
        <v>28</v>
      </c>
      <c r="AC794">
        <v>20.126000000000001</v>
      </c>
      <c r="AD794">
        <v>-1.1212214872969899</v>
      </c>
      <c r="AE794">
        <v>-3.35450000000003</v>
      </c>
      <c r="AF794">
        <v>3.44998780868189</v>
      </c>
      <c r="AG794">
        <v>-1.1212214872969899</v>
      </c>
      <c r="AH794">
        <v>20.047523489788599</v>
      </c>
      <c r="AI794">
        <v>93.154834918243907</v>
      </c>
      <c r="AJ794">
        <v>80.235584011530506</v>
      </c>
      <c r="AK794">
        <v>20.373088906134399</v>
      </c>
      <c r="AL794">
        <v>79.386223265516705</v>
      </c>
      <c r="AM794">
        <v>86.067368046025194</v>
      </c>
      <c r="AN794">
        <v>1.0000000462298699</v>
      </c>
    </row>
    <row r="795" spans="1:40" x14ac:dyDescent="0.25">
      <c r="A795" t="str">
        <f>"20190303162514317"</f>
        <v>20190303162514317</v>
      </c>
      <c r="B795" t="str">
        <f>"1551601514303475"</f>
        <v>1551601514303475</v>
      </c>
      <c r="C795" t="s">
        <v>40</v>
      </c>
      <c r="D795">
        <v>4.8626259999999997</v>
      </c>
      <c r="E795">
        <v>0.53950120000000001</v>
      </c>
      <c r="F795" t="s">
        <v>41</v>
      </c>
      <c r="G795">
        <v>-233.61340000000001</v>
      </c>
      <c r="H795" s="1">
        <v>-3.522319E-6</v>
      </c>
      <c r="I795">
        <v>365.1053</v>
      </c>
      <c r="J795">
        <v>-253.5429</v>
      </c>
      <c r="K795">
        <v>1.1212219999999999</v>
      </c>
      <c r="L795">
        <v>368.42439999999999</v>
      </c>
      <c r="M795">
        <v>0.99988719999999998</v>
      </c>
      <c r="N795">
        <v>-1.409822E-2</v>
      </c>
      <c r="O795">
        <v>5.1822370000000001E-3</v>
      </c>
      <c r="P795">
        <v>0.98341860000000003</v>
      </c>
      <c r="Q795">
        <v>0.17049410000000001</v>
      </c>
      <c r="R795">
        <v>-6.1800540000000001E-2</v>
      </c>
      <c r="S795">
        <v>3.0482480000000001</v>
      </c>
      <c r="T795">
        <v>-0.1690036</v>
      </c>
      <c r="U795">
        <v>-0.50006099999999998</v>
      </c>
      <c r="V795">
        <v>6.6931450000000003E-2</v>
      </c>
      <c r="W795">
        <v>0.18432409999999999</v>
      </c>
      <c r="X795">
        <v>0.98058389999999995</v>
      </c>
      <c r="Y795">
        <v>0.16667850000000001</v>
      </c>
      <c r="Z795">
        <v>-5.9830350000000003E-3</v>
      </c>
      <c r="AA795">
        <v>0.98599309999999996</v>
      </c>
      <c r="AB795">
        <v>28</v>
      </c>
      <c r="AC795">
        <v>19.929499999999901</v>
      </c>
      <c r="AD795">
        <v>-1.121225522319</v>
      </c>
      <c r="AE795">
        <v>-3.3190999999999899</v>
      </c>
      <c r="AF795">
        <v>3.41183756891885</v>
      </c>
      <c r="AG795">
        <v>-1.121225522319</v>
      </c>
      <c r="AH795">
        <v>19.850895032550302</v>
      </c>
      <c r="AI795">
        <v>93.186147163558203</v>
      </c>
      <c r="AJ795">
        <v>80.247673221990595</v>
      </c>
      <c r="AK795">
        <v>20.173145908903599</v>
      </c>
      <c r="AL795">
        <v>79.378271365984801</v>
      </c>
      <c r="AM795">
        <v>86.095234038439003</v>
      </c>
      <c r="AN795">
        <v>0.99999998888956099</v>
      </c>
    </row>
    <row r="796" spans="1:40" x14ac:dyDescent="0.25">
      <c r="A796" t="str">
        <f>"20190303162514341"</f>
        <v>20190303162514341</v>
      </c>
      <c r="B796" t="str">
        <f>"1551601514333260"</f>
        <v>1551601514333260</v>
      </c>
      <c r="C796" t="s">
        <v>40</v>
      </c>
      <c r="D796">
        <v>4.8487809999999998</v>
      </c>
      <c r="E796">
        <v>0.53970790000000002</v>
      </c>
      <c r="F796" t="s">
        <v>41</v>
      </c>
      <c r="G796">
        <v>-233.26679999999999</v>
      </c>
      <c r="H796" s="1">
        <v>-3.6712269999999998E-6</v>
      </c>
      <c r="I796">
        <v>365.10430000000002</v>
      </c>
      <c r="J796">
        <v>-253.26</v>
      </c>
      <c r="K796">
        <v>1.121218</v>
      </c>
      <c r="L796">
        <v>368.42579999999998</v>
      </c>
      <c r="M796">
        <v>0.99988759999999999</v>
      </c>
      <c r="N796">
        <v>-1.409529E-2</v>
      </c>
      <c r="O796">
        <v>5.1032289999999999E-3</v>
      </c>
      <c r="P796">
        <v>0.98338899999999996</v>
      </c>
      <c r="Q796">
        <v>0.17056370000000001</v>
      </c>
      <c r="R796">
        <v>-6.2081949999999997E-2</v>
      </c>
      <c r="S796">
        <v>3.0484309999999999</v>
      </c>
      <c r="T796">
        <v>-0.16857030000000001</v>
      </c>
      <c r="U796">
        <v>-0.49914550000000002</v>
      </c>
      <c r="V796">
        <v>6.7134689999999997E-2</v>
      </c>
      <c r="W796">
        <v>0.18439059999999999</v>
      </c>
      <c r="X796">
        <v>0.98055749999999997</v>
      </c>
      <c r="Y796">
        <v>0.16630500000000001</v>
      </c>
      <c r="Z796">
        <v>-5.9539889999999998E-3</v>
      </c>
      <c r="AA796">
        <v>0.98605640000000006</v>
      </c>
      <c r="AB796">
        <v>28</v>
      </c>
      <c r="AC796">
        <v>19.993200000000002</v>
      </c>
      <c r="AD796">
        <v>-1.121221671227</v>
      </c>
      <c r="AE796">
        <v>-3.3214999999999502</v>
      </c>
      <c r="AF796">
        <v>3.4130510677523098</v>
      </c>
      <c r="AG796">
        <v>-1.121221671227</v>
      </c>
      <c r="AH796">
        <v>19.915037292744302</v>
      </c>
      <c r="AI796">
        <v>93.1761557036412</v>
      </c>
      <c r="AJ796">
        <v>80.275091485442601</v>
      </c>
      <c r="AK796">
        <v>20.236471184436098</v>
      </c>
      <c r="AL796">
        <v>79.374394710957105</v>
      </c>
      <c r="AM796">
        <v>86.083308788187395</v>
      </c>
      <c r="AN796">
        <v>0.99999998538800206</v>
      </c>
    </row>
    <row r="797" spans="1:40" x14ac:dyDescent="0.25">
      <c r="A797" t="str">
        <f>"20190303162514360"</f>
        <v>20190303162514360</v>
      </c>
      <c r="B797" t="str">
        <f>"1551601514353756"</f>
        <v>1551601514353756</v>
      </c>
      <c r="C797" t="s">
        <v>40</v>
      </c>
      <c r="D797">
        <v>4.8515430000000004</v>
      </c>
      <c r="E797">
        <v>0.53983649999999905</v>
      </c>
      <c r="F797" t="s">
        <v>41</v>
      </c>
      <c r="G797">
        <v>-233.03720000000001</v>
      </c>
      <c r="H797" s="1">
        <v>-3.769926E-6</v>
      </c>
      <c r="I797">
        <v>365.10309999999998</v>
      </c>
      <c r="J797">
        <v>-252.9949</v>
      </c>
      <c r="K797">
        <v>1.1212169999999999</v>
      </c>
      <c r="L797">
        <v>368.4271</v>
      </c>
      <c r="M797">
        <v>0.999888</v>
      </c>
      <c r="N797">
        <v>-1.4092530000000001E-2</v>
      </c>
      <c r="O797">
        <v>5.0291069999999997E-3</v>
      </c>
      <c r="P797">
        <v>0.98341199999999995</v>
      </c>
      <c r="Q797">
        <v>0.1701482</v>
      </c>
      <c r="R797">
        <v>-6.2855899999999895E-2</v>
      </c>
      <c r="S797">
        <v>3.0483699999999998</v>
      </c>
      <c r="T797">
        <v>-0.1690112</v>
      </c>
      <c r="U797">
        <v>-0.50085449999999998</v>
      </c>
      <c r="V797">
        <v>6.7835670000000001E-2</v>
      </c>
      <c r="W797">
        <v>0.183973</v>
      </c>
      <c r="X797">
        <v>0.98058769999999995</v>
      </c>
      <c r="Y797">
        <v>0.16677110000000001</v>
      </c>
      <c r="Z797">
        <v>-5.9794560000000002E-3</v>
      </c>
      <c r="AA797">
        <v>0.98597749999999995</v>
      </c>
      <c r="AB797">
        <v>28</v>
      </c>
      <c r="AC797">
        <v>19.9576999999999</v>
      </c>
      <c r="AD797">
        <v>-1.1212207699259999</v>
      </c>
      <c r="AE797">
        <v>-3.3240000000000101</v>
      </c>
      <c r="AF797">
        <v>3.4138534336960902</v>
      </c>
      <c r="AG797">
        <v>-1.1212207699259999</v>
      </c>
      <c r="AH797">
        <v>19.879678888278299</v>
      </c>
      <c r="AI797">
        <v>93.181608081514</v>
      </c>
      <c r="AJ797">
        <v>80.255879424992997</v>
      </c>
      <c r="AK797">
        <v>20.201810908498601</v>
      </c>
      <c r="AL797">
        <v>79.398737938158703</v>
      </c>
      <c r="AM797">
        <v>86.042663828399597</v>
      </c>
      <c r="AN797">
        <v>0.99999999012231899</v>
      </c>
    </row>
    <row r="798" spans="1:40" x14ac:dyDescent="0.25">
      <c r="A798" t="str">
        <f>"20190303162514383"</f>
        <v>20190303162514383</v>
      </c>
      <c r="B798" t="str">
        <f>"1551601514373276"</f>
        <v>1551601514373276</v>
      </c>
      <c r="C798" t="s">
        <v>40</v>
      </c>
      <c r="D798">
        <v>4.840192</v>
      </c>
      <c r="E798">
        <v>0.53997050000000002</v>
      </c>
      <c r="F798" t="s">
        <v>41</v>
      </c>
      <c r="G798">
        <v>-232.8458</v>
      </c>
      <c r="H798" s="1">
        <v>-3.8537199999999998E-6</v>
      </c>
      <c r="I798">
        <v>365.09350000000001</v>
      </c>
      <c r="J798">
        <v>-252.72049999999999</v>
      </c>
      <c r="K798">
        <v>1.1212150000000001</v>
      </c>
      <c r="L798">
        <v>368.42829999999998</v>
      </c>
      <c r="M798">
        <v>0.99988860000000002</v>
      </c>
      <c r="N798">
        <v>-1.408805E-2</v>
      </c>
      <c r="O798">
        <v>4.952316E-3</v>
      </c>
      <c r="P798">
        <v>0.98339189999999999</v>
      </c>
      <c r="Q798">
        <v>0.16982639999999999</v>
      </c>
      <c r="R798">
        <v>-6.4029409999999995E-2</v>
      </c>
      <c r="S798">
        <v>3.0476990000000002</v>
      </c>
      <c r="T798">
        <v>-0.169592299999999</v>
      </c>
      <c r="U798">
        <v>-0.50421139999999998</v>
      </c>
      <c r="V798">
        <v>6.8933469999999997E-2</v>
      </c>
      <c r="W798">
        <v>0.18364630000000001</v>
      </c>
      <c r="X798">
        <v>0.98057240000000001</v>
      </c>
      <c r="Y798">
        <v>0.167783399999999</v>
      </c>
      <c r="Z798">
        <v>-6.028523E-3</v>
      </c>
      <c r="AA798">
        <v>0.9858055</v>
      </c>
      <c r="AB798">
        <v>28</v>
      </c>
      <c r="AC798">
        <v>19.874699999999901</v>
      </c>
      <c r="AD798">
        <v>-1.1212188537200001</v>
      </c>
      <c r="AE798">
        <v>-3.3347999999999698</v>
      </c>
      <c r="AF798">
        <v>3.4226002194168799</v>
      </c>
      <c r="AG798">
        <v>-1.1212188537200001</v>
      </c>
      <c r="AH798">
        <v>19.796660363289099</v>
      </c>
      <c r="AI798">
        <v>93.194297438397001</v>
      </c>
      <c r="AJ798">
        <v>80.191222847949604</v>
      </c>
      <c r="AK798">
        <v>20.121607428814301</v>
      </c>
      <c r="AL798">
        <v>79.417781131154101</v>
      </c>
      <c r="AM798">
        <v>85.978767251791496</v>
      </c>
      <c r="AN798">
        <v>1.0000000092158401</v>
      </c>
    </row>
    <row r="799" spans="1:40" x14ac:dyDescent="0.25">
      <c r="A799" t="str">
        <f>"20190303162514406"</f>
        <v>20190303162514406</v>
      </c>
      <c r="B799" t="str">
        <f>"1551601514393773"</f>
        <v>1551601514393773</v>
      </c>
      <c r="C799" t="s">
        <v>40</v>
      </c>
      <c r="D799">
        <v>4.8669250000000002</v>
      </c>
      <c r="E799">
        <v>0.54008529999999999</v>
      </c>
      <c r="F799" t="s">
        <v>41</v>
      </c>
      <c r="G799">
        <v>-232.65790000000001</v>
      </c>
      <c r="H799" s="1">
        <v>-3.9378330000000001E-6</v>
      </c>
      <c r="I799">
        <v>365.07369999999997</v>
      </c>
      <c r="J799">
        <v>-252.43360000000001</v>
      </c>
      <c r="K799">
        <v>1.121218</v>
      </c>
      <c r="L799">
        <v>368.42970000000003</v>
      </c>
      <c r="M799">
        <v>0.99988909999999998</v>
      </c>
      <c r="N799">
        <v>-1.4075300000000001E-2</v>
      </c>
      <c r="O799">
        <v>4.8720070000000002E-3</v>
      </c>
      <c r="P799">
        <v>0.98343749999999996</v>
      </c>
      <c r="Q799">
        <v>0.16909669999999999</v>
      </c>
      <c r="R799">
        <v>-6.5247840000000001E-2</v>
      </c>
      <c r="S799">
        <v>3.0469059999999999</v>
      </c>
      <c r="T799">
        <v>-0.1702794</v>
      </c>
      <c r="U799">
        <v>-0.50946040000000004</v>
      </c>
      <c r="V799">
        <v>7.0072990000000002E-2</v>
      </c>
      <c r="W799">
        <v>0.18290429999999999</v>
      </c>
      <c r="X799">
        <v>0.98063029999999995</v>
      </c>
      <c r="Y799">
        <v>0.1693925</v>
      </c>
      <c r="Z799">
        <v>-6.1008190000000004E-3</v>
      </c>
      <c r="AA799">
        <v>0.98552980000000001</v>
      </c>
      <c r="AB799">
        <v>28</v>
      </c>
      <c r="AC799">
        <v>19.775700000000001</v>
      </c>
      <c r="AD799">
        <v>-1.1212219378329999</v>
      </c>
      <c r="AE799">
        <v>-3.3560000000000501</v>
      </c>
      <c r="AF799">
        <v>3.4415636819023101</v>
      </c>
      <c r="AG799">
        <v>-1.1212219378329999</v>
      </c>
      <c r="AH799">
        <v>19.697566950205101</v>
      </c>
      <c r="AI799">
        <v>93.209352151554398</v>
      </c>
      <c r="AJ799">
        <v>80.089307834952805</v>
      </c>
      <c r="AK799">
        <v>20.027372343077801</v>
      </c>
      <c r="AL799">
        <v>79.4610269768568</v>
      </c>
      <c r="AM799">
        <v>85.912757384633196</v>
      </c>
      <c r="AN799">
        <v>0.99999999608206003</v>
      </c>
    </row>
    <row r="800" spans="1:40" x14ac:dyDescent="0.25">
      <c r="A800" t="str">
        <f>"20190303162514440"</f>
        <v>20190303162514440</v>
      </c>
      <c r="B800" t="str">
        <f>"1551601514433789"</f>
        <v>1551601514433789</v>
      </c>
      <c r="C800" t="s">
        <v>40</v>
      </c>
      <c r="D800">
        <v>4.8733610000000001</v>
      </c>
      <c r="E800">
        <v>0.53982339999999995</v>
      </c>
      <c r="F800" t="s">
        <v>41</v>
      </c>
      <c r="G800">
        <v>-232.6996</v>
      </c>
      <c r="H800" s="1">
        <v>-3.9153959999999997E-6</v>
      </c>
      <c r="I800">
        <v>365.09949999999998</v>
      </c>
      <c r="J800">
        <v>-252.01390000000001</v>
      </c>
      <c r="K800">
        <v>1.121205</v>
      </c>
      <c r="L800">
        <v>368.4316</v>
      </c>
      <c r="M800">
        <v>0.9998901</v>
      </c>
      <c r="N800">
        <v>-1.404352E-2</v>
      </c>
      <c r="O800">
        <v>4.7553530000000004E-3</v>
      </c>
      <c r="P800">
        <v>0.98335790000000001</v>
      </c>
      <c r="Q800">
        <v>0.169317</v>
      </c>
      <c r="R800">
        <v>-6.5872639999999996E-2</v>
      </c>
      <c r="S800">
        <v>3.0461879999999999</v>
      </c>
      <c r="T800">
        <v>-0.1730739</v>
      </c>
      <c r="U800">
        <v>-0.51403809999999905</v>
      </c>
      <c r="V800">
        <v>7.0582809999999996E-2</v>
      </c>
      <c r="W800">
        <v>0.18309230000000001</v>
      </c>
      <c r="X800">
        <v>0.98055859999999995</v>
      </c>
      <c r="Y800">
        <v>0.17074329999999999</v>
      </c>
      <c r="Z800">
        <v>-6.2230760000000001E-3</v>
      </c>
      <c r="AA800">
        <v>0.9852959</v>
      </c>
      <c r="AB800">
        <v>28</v>
      </c>
      <c r="AC800">
        <v>19.314299999999999</v>
      </c>
      <c r="AD800">
        <v>-1.1212089153960001</v>
      </c>
      <c r="AE800">
        <v>-3.33210000000002</v>
      </c>
      <c r="AF800">
        <v>3.4127495125295</v>
      </c>
      <c r="AG800">
        <v>-1.1212089153960001</v>
      </c>
      <c r="AH800">
        <v>19.235287489128201</v>
      </c>
      <c r="AI800">
        <v>93.284764776954404</v>
      </c>
      <c r="AJ800">
        <v>79.939202732878101</v>
      </c>
      <c r="AK800">
        <v>19.5678372196992</v>
      </c>
      <c r="AL800">
        <v>79.450069810667301</v>
      </c>
      <c r="AM800">
        <v>85.882822301525906</v>
      </c>
      <c r="AN800">
        <v>0.99999994571037099</v>
      </c>
    </row>
    <row r="801" spans="1:40" x14ac:dyDescent="0.25">
      <c r="A801" t="str">
        <f>"20190303162514462"</f>
        <v>20190303162514462</v>
      </c>
      <c r="B801" t="str">
        <f>"1551601514453308"</f>
        <v>1551601514453308</v>
      </c>
      <c r="C801" t="s">
        <v>40</v>
      </c>
      <c r="D801">
        <v>4.8977130000000004</v>
      </c>
      <c r="E801">
        <v>0.53959999999999997</v>
      </c>
      <c r="F801" t="s">
        <v>41</v>
      </c>
      <c r="G801">
        <v>-232.05840000000001</v>
      </c>
      <c r="H801" s="1">
        <v>-4.1961419999999901E-6</v>
      </c>
      <c r="I801">
        <v>365.0675</v>
      </c>
      <c r="J801">
        <v>-251.7433</v>
      </c>
      <c r="K801">
        <v>1.1212009999999999</v>
      </c>
      <c r="L801">
        <v>368.43279999999999</v>
      </c>
      <c r="M801">
        <v>0.99989099999999997</v>
      </c>
      <c r="N801">
        <v>-1.400672E-2</v>
      </c>
      <c r="O801">
        <v>4.6798040000000001E-3</v>
      </c>
      <c r="P801">
        <v>0.9833906</v>
      </c>
      <c r="Q801">
        <v>0.16922699999999999</v>
      </c>
      <c r="R801">
        <v>-6.5613770000000002E-2</v>
      </c>
      <c r="S801">
        <v>3.0458530000000001</v>
      </c>
      <c r="T801">
        <v>-0.1711318</v>
      </c>
      <c r="U801">
        <v>-0.51345829999999903</v>
      </c>
      <c r="V801">
        <v>7.0249919999999993E-2</v>
      </c>
      <c r="W801">
        <v>0.18296709999999999</v>
      </c>
      <c r="X801">
        <v>0.98060590000000003</v>
      </c>
      <c r="Y801">
        <v>0.17051169999999999</v>
      </c>
      <c r="Z801">
        <v>-6.1524880000000002E-3</v>
      </c>
      <c r="AA801">
        <v>0.9853364</v>
      </c>
      <c r="AB801">
        <v>28</v>
      </c>
      <c r="AC801">
        <v>19.684899999999999</v>
      </c>
      <c r="AD801">
        <v>-1.121205196142</v>
      </c>
      <c r="AE801">
        <v>-3.3652999999999902</v>
      </c>
      <c r="AF801">
        <v>3.4465300237275902</v>
      </c>
      <c r="AG801">
        <v>-1.121205196142</v>
      </c>
      <c r="AH801">
        <v>19.6071313116983</v>
      </c>
      <c r="AI801">
        <v>93.223496380493202</v>
      </c>
      <c r="AJ801">
        <v>80.030430169089399</v>
      </c>
      <c r="AK801">
        <v>19.939289570355601</v>
      </c>
      <c r="AL801">
        <v>79.457366772863494</v>
      </c>
      <c r="AM801">
        <v>85.902370845587996</v>
      </c>
      <c r="AN801">
        <v>0.99999997102861204</v>
      </c>
    </row>
    <row r="802" spans="1:40" x14ac:dyDescent="0.25">
      <c r="A802" t="str">
        <f>"20190303162514483"</f>
        <v>20190303162514483</v>
      </c>
      <c r="B802" t="str">
        <f>"1551601514473805"</f>
        <v>1551601514473805</v>
      </c>
      <c r="C802" t="s">
        <v>40</v>
      </c>
      <c r="D802">
        <v>4.8823210000000001</v>
      </c>
      <c r="E802">
        <v>0.53946700000000003</v>
      </c>
      <c r="F802" t="s">
        <v>41</v>
      </c>
      <c r="G802">
        <v>-231.65819999999999</v>
      </c>
      <c r="H802" s="1">
        <v>-4.3679570000000002E-6</v>
      </c>
      <c r="I802">
        <v>365.0668</v>
      </c>
      <c r="J802">
        <v>-251.47499999999999</v>
      </c>
      <c r="K802">
        <v>1.1211960000000001</v>
      </c>
      <c r="L802">
        <v>368.43400000000003</v>
      </c>
      <c r="M802">
        <v>0.99989189999999994</v>
      </c>
      <c r="N802">
        <v>-1.395826E-2</v>
      </c>
      <c r="O802">
        <v>4.6048159999999899E-3</v>
      </c>
      <c r="P802">
        <v>0.98333139999999997</v>
      </c>
      <c r="Q802">
        <v>0.1696868</v>
      </c>
      <c r="R802">
        <v>-6.5311549999999996E-2</v>
      </c>
      <c r="S802">
        <v>3.0458530000000001</v>
      </c>
      <c r="T802">
        <v>-0.1700265</v>
      </c>
      <c r="U802">
        <v>-0.51043700000000003</v>
      </c>
      <c r="V802">
        <v>6.9873619999999997E-2</v>
      </c>
      <c r="W802">
        <v>0.18337870000000001</v>
      </c>
      <c r="X802">
        <v>0.98055599999999998</v>
      </c>
      <c r="Y802">
        <v>0.16949330000000001</v>
      </c>
      <c r="Z802">
        <v>-6.0780160000000003E-3</v>
      </c>
      <c r="AA802">
        <v>0.98551259999999996</v>
      </c>
      <c r="AB802">
        <v>28</v>
      </c>
      <c r="AC802">
        <v>19.816800000000001</v>
      </c>
      <c r="AD802">
        <v>-1.121200367957</v>
      </c>
      <c r="AE802">
        <v>-3.36720000000002</v>
      </c>
      <c r="AF802">
        <v>3.4476991725142798</v>
      </c>
      <c r="AG802">
        <v>-1.121200367957</v>
      </c>
      <c r="AH802">
        <v>19.739667498102001</v>
      </c>
      <c r="AI802">
        <v>93.202493552750497</v>
      </c>
      <c r="AJ802">
        <v>80.092745030570299</v>
      </c>
      <c r="AK802">
        <v>20.069832903761</v>
      </c>
      <c r="AL802">
        <v>79.433379010693699</v>
      </c>
      <c r="AM802">
        <v>85.924039280816402</v>
      </c>
      <c r="AN802">
        <v>1.00000006976079</v>
      </c>
    </row>
    <row r="803" spans="1:40" x14ac:dyDescent="0.25">
      <c r="A803" t="str">
        <f>"20190303162514506"</f>
        <v>20190303162514506</v>
      </c>
      <c r="B803" t="str">
        <f>"1551601514493325"</f>
        <v>1551601514493325</v>
      </c>
      <c r="C803" t="s">
        <v>40</v>
      </c>
      <c r="D803">
        <v>4.8999949999999997</v>
      </c>
      <c r="E803">
        <v>0.53932630000000004</v>
      </c>
      <c r="F803" t="s">
        <v>41</v>
      </c>
      <c r="G803">
        <v>-231.09139999999999</v>
      </c>
      <c r="H803" s="1">
        <v>-4.6179189999999998E-6</v>
      </c>
      <c r="I803">
        <v>365.0283</v>
      </c>
      <c r="J803">
        <v>-251.19229999999999</v>
      </c>
      <c r="K803">
        <v>1.1211819999999999</v>
      </c>
      <c r="L803">
        <v>368.43520000000001</v>
      </c>
      <c r="M803">
        <v>0.99989340000000004</v>
      </c>
      <c r="N803">
        <v>-1.38817E-2</v>
      </c>
      <c r="O803">
        <v>4.5257860000000004E-3</v>
      </c>
      <c r="P803">
        <v>0.98325879999999999</v>
      </c>
      <c r="Q803">
        <v>0.17010999999999901</v>
      </c>
      <c r="R803">
        <v>-6.530466E-2</v>
      </c>
      <c r="S803">
        <v>3.045944</v>
      </c>
      <c r="T803">
        <v>-0.16754160000000001</v>
      </c>
      <c r="U803">
        <v>-0.50891109999999995</v>
      </c>
      <c r="V803">
        <v>6.9788760000000005E-2</v>
      </c>
      <c r="W803">
        <v>0.183726</v>
      </c>
      <c r="X803">
        <v>0.9804969</v>
      </c>
      <c r="Y803">
        <v>0.16894020000000001</v>
      </c>
      <c r="Z803">
        <v>-5.9773810000000004E-3</v>
      </c>
      <c r="AA803">
        <v>0.98560820000000005</v>
      </c>
      <c r="AB803">
        <v>28</v>
      </c>
      <c r="AC803">
        <v>20.100899999999999</v>
      </c>
      <c r="AD803">
        <v>-1.121186617919</v>
      </c>
      <c r="AE803">
        <v>-3.4068999999999998</v>
      </c>
      <c r="AF803">
        <v>3.4872996033414401</v>
      </c>
      <c r="AG803">
        <v>-1.121186617919</v>
      </c>
      <c r="AH803">
        <v>20.024712991356399</v>
      </c>
      <c r="AI803">
        <v>93.157232541108698</v>
      </c>
      <c r="AJ803">
        <v>80.121027118804506</v>
      </c>
      <c r="AK803">
        <v>20.356999983835198</v>
      </c>
      <c r="AL803">
        <v>79.413134899408504</v>
      </c>
      <c r="AM803">
        <v>85.928728234739907</v>
      </c>
      <c r="AN803">
        <v>0.99999994250397195</v>
      </c>
    </row>
    <row r="804" spans="1:40" x14ac:dyDescent="0.25">
      <c r="A804" t="str">
        <f>"20190303162514529"</f>
        <v>20190303162514529</v>
      </c>
      <c r="B804" t="str">
        <f>"1551601514523111"</f>
        <v>1551601514523111</v>
      </c>
      <c r="C804" t="s">
        <v>40</v>
      </c>
      <c r="D804">
        <v>4.9307970000000001</v>
      </c>
      <c r="E804">
        <v>0.53918829999999995</v>
      </c>
      <c r="F804" t="s">
        <v>41</v>
      </c>
      <c r="G804">
        <v>-230.55549999999999</v>
      </c>
      <c r="H804" s="1">
        <v>-4.8537330000000001E-6</v>
      </c>
      <c r="I804">
        <v>364.99509999999998</v>
      </c>
      <c r="J804">
        <v>-250.91069999999999</v>
      </c>
      <c r="K804">
        <v>1.121159</v>
      </c>
      <c r="L804">
        <v>368.43630000000002</v>
      </c>
      <c r="M804">
        <v>0.99989519999999998</v>
      </c>
      <c r="N804">
        <v>-1.3774659999999999E-2</v>
      </c>
      <c r="O804">
        <v>4.4487670000000002E-3</v>
      </c>
      <c r="P804">
        <v>0.98313399999999995</v>
      </c>
      <c r="Q804">
        <v>0.17076469999999999</v>
      </c>
      <c r="R804">
        <v>-6.5475539999999999E-2</v>
      </c>
      <c r="S804">
        <v>3.0460050000000001</v>
      </c>
      <c r="T804">
        <v>-0.165487299999999</v>
      </c>
      <c r="U804">
        <v>-0.50775150000000002</v>
      </c>
      <c r="V804">
        <v>6.9884749999999995E-2</v>
      </c>
      <c r="W804">
        <v>0.18427299999999999</v>
      </c>
      <c r="X804">
        <v>0.98038740000000002</v>
      </c>
      <c r="Y804">
        <v>0.1685043</v>
      </c>
      <c r="Z804">
        <v>-5.8913799999999999E-3</v>
      </c>
      <c r="AA804">
        <v>0.98568330000000004</v>
      </c>
      <c r="AB804">
        <v>28</v>
      </c>
      <c r="AC804">
        <v>20.3552</v>
      </c>
      <c r="AD804">
        <v>-1.121163853733</v>
      </c>
      <c r="AE804">
        <v>-3.44120000000003</v>
      </c>
      <c r="AF804">
        <v>3.5213438550327099</v>
      </c>
      <c r="AG804">
        <v>-1.121163853733</v>
      </c>
      <c r="AH804">
        <v>20.2798723920519</v>
      </c>
      <c r="AI804">
        <v>93.117793345052704</v>
      </c>
      <c r="AJ804">
        <v>80.149524584105293</v>
      </c>
      <c r="AK804">
        <v>20.613832617206398</v>
      </c>
      <c r="AL804">
        <v>79.381249632876603</v>
      </c>
      <c r="AM804">
        <v>85.922693518100004</v>
      </c>
      <c r="AN804">
        <v>0.99999993544515897</v>
      </c>
    </row>
    <row r="805" spans="1:40" x14ac:dyDescent="0.25">
      <c r="A805" t="str">
        <f>"20190303162514552"</f>
        <v>20190303162514552</v>
      </c>
      <c r="B805" t="str">
        <f>"1551601514543608"</f>
        <v>1551601514543608</v>
      </c>
      <c r="C805" t="s">
        <v>40</v>
      </c>
      <c r="D805">
        <v>4.9311600000000002</v>
      </c>
      <c r="E805">
        <v>0.5390819</v>
      </c>
      <c r="F805" t="s">
        <v>41</v>
      </c>
      <c r="G805">
        <v>-229.98220000000001</v>
      </c>
      <c r="H805" s="1">
        <v>-5.1075419999999997E-6</v>
      </c>
      <c r="I805">
        <v>364.95060000000001</v>
      </c>
      <c r="J805">
        <v>-250.6277</v>
      </c>
      <c r="K805">
        <v>1.121132</v>
      </c>
      <c r="L805">
        <v>368.4375</v>
      </c>
      <c r="M805">
        <v>0.99989760000000005</v>
      </c>
      <c r="N805">
        <v>-1.3633279999999999E-2</v>
      </c>
      <c r="O805">
        <v>4.3715179999999996E-3</v>
      </c>
      <c r="P805">
        <v>0.98300639999999995</v>
      </c>
      <c r="Q805">
        <v>0.17155619999999999</v>
      </c>
      <c r="R805">
        <v>-6.5323610000000004E-2</v>
      </c>
      <c r="S805">
        <v>3.046036</v>
      </c>
      <c r="T805">
        <v>-0.16317899999999999</v>
      </c>
      <c r="U805">
        <v>-0.5073242</v>
      </c>
      <c r="V805">
        <v>6.9657529999999995E-2</v>
      </c>
      <c r="W805">
        <v>0.1849239</v>
      </c>
      <c r="X805">
        <v>0.98028110000000002</v>
      </c>
      <c r="Y805">
        <v>0.1683007</v>
      </c>
      <c r="Z805">
        <v>-5.8034769999999996E-3</v>
      </c>
      <c r="AA805">
        <v>0.9857186</v>
      </c>
      <c r="AB805">
        <v>28</v>
      </c>
      <c r="AC805">
        <v>20.645499999999998</v>
      </c>
      <c r="AD805">
        <v>-1.121137107542</v>
      </c>
      <c r="AE805">
        <v>-3.4868999999999901</v>
      </c>
      <c r="AF805">
        <v>3.5669003618948598</v>
      </c>
      <c r="AG805">
        <v>-1.121137107542</v>
      </c>
      <c r="AH805">
        <v>20.571077688544101</v>
      </c>
      <c r="AI805">
        <v>93.073795540010195</v>
      </c>
      <c r="AJ805">
        <v>80.163064440927002</v>
      </c>
      <c r="AK805">
        <v>20.9081076110133</v>
      </c>
      <c r="AL805">
        <v>79.343304662493395</v>
      </c>
      <c r="AM805">
        <v>85.935466561436499</v>
      </c>
      <c r="AN805">
        <v>1.00000002764706</v>
      </c>
    </row>
    <row r="806" spans="1:40" x14ac:dyDescent="0.25">
      <c r="A806" t="str">
        <f>"20190303162514573"</f>
        <v>20190303162514573</v>
      </c>
      <c r="B806" t="str">
        <f>"1551601514564105"</f>
        <v>1551601514564105</v>
      </c>
      <c r="C806" t="s">
        <v>40</v>
      </c>
      <c r="D806">
        <v>4.9626159999999997</v>
      </c>
      <c r="E806">
        <v>0.53900190000000003</v>
      </c>
      <c r="F806" t="s">
        <v>41</v>
      </c>
      <c r="G806">
        <v>-229.3554</v>
      </c>
      <c r="H806" s="1">
        <v>-1.4592349999999901E-6</v>
      </c>
      <c r="I806">
        <v>364.90410000000003</v>
      </c>
      <c r="J806">
        <v>-250.3638</v>
      </c>
      <c r="K806">
        <v>1.121111</v>
      </c>
      <c r="L806">
        <v>368.43860000000001</v>
      </c>
      <c r="M806">
        <v>0.99990000000000001</v>
      </c>
      <c r="N806">
        <v>-1.3481440000000001E-2</v>
      </c>
      <c r="O806">
        <v>4.2961980000000002E-3</v>
      </c>
      <c r="P806">
        <v>0.98296450000000002</v>
      </c>
      <c r="Q806">
        <v>0.17203379999999999</v>
      </c>
      <c r="R806">
        <v>-6.4698130000000006E-2</v>
      </c>
      <c r="S806">
        <v>3.046265</v>
      </c>
      <c r="T806">
        <v>-0.1605492</v>
      </c>
      <c r="U806">
        <v>-0.50598140000000003</v>
      </c>
      <c r="V806">
        <v>6.8956879999999998E-2</v>
      </c>
      <c r="W806">
        <v>0.1852529</v>
      </c>
      <c r="X806">
        <v>0.98026849999999999</v>
      </c>
      <c r="Y806">
        <v>0.167801799999999</v>
      </c>
      <c r="Z806">
        <v>-5.6958879999999996E-3</v>
      </c>
      <c r="AA806">
        <v>0.98580429999999997</v>
      </c>
      <c r="AB806">
        <v>28</v>
      </c>
      <c r="AC806">
        <v>21.008399999999899</v>
      </c>
      <c r="AD806">
        <v>-1.1211124592349999</v>
      </c>
      <c r="AE806">
        <v>-3.5344999999999702</v>
      </c>
      <c r="AF806">
        <v>3.6147211004925599</v>
      </c>
      <c r="AG806">
        <v>-1.1211124592349999</v>
      </c>
      <c r="AH806">
        <v>20.9350416786246</v>
      </c>
      <c r="AI806">
        <v>93.020759826867604</v>
      </c>
      <c r="AJ806">
        <v>80.203690036423794</v>
      </c>
      <c r="AK806">
        <v>21.2743759454032</v>
      </c>
      <c r="AL806">
        <v>79.324122738340293</v>
      </c>
      <c r="AM806">
        <v>85.976163135114703</v>
      </c>
      <c r="AN806">
        <v>1.00000001017499</v>
      </c>
    </row>
    <row r="807" spans="1:40" x14ac:dyDescent="0.25">
      <c r="A807" t="str">
        <f>"20190303162514596"</f>
        <v>20190303162514596</v>
      </c>
      <c r="B807" t="str">
        <f>"1551601514583624"</f>
        <v>1551601514583624</v>
      </c>
      <c r="C807" t="s">
        <v>40</v>
      </c>
      <c r="D807">
        <v>4.9732830000000003</v>
      </c>
      <c r="E807">
        <v>0.53894409999999904</v>
      </c>
      <c r="F807" t="s">
        <v>41</v>
      </c>
      <c r="G807">
        <v>-228.8434</v>
      </c>
      <c r="H807" s="1">
        <v>-1.6404429999999999E-6</v>
      </c>
      <c r="I807">
        <v>364.87799999999999</v>
      </c>
      <c r="J807">
        <v>-250.0916</v>
      </c>
      <c r="K807">
        <v>1.121095</v>
      </c>
      <c r="L807">
        <v>368.43959999999998</v>
      </c>
      <c r="M807">
        <v>0.99990239999999997</v>
      </c>
      <c r="N807">
        <v>-1.3323069999999999E-2</v>
      </c>
      <c r="O807">
        <v>4.2156249999999998E-3</v>
      </c>
      <c r="P807">
        <v>0.98282670000000005</v>
      </c>
      <c r="Q807">
        <v>0.1729234</v>
      </c>
      <c r="R807">
        <v>-6.4415940000000005E-2</v>
      </c>
      <c r="S807">
        <v>3.0466160000000002</v>
      </c>
      <c r="T807">
        <v>-0.158713299999999</v>
      </c>
      <c r="U807">
        <v>-0.50405880000000003</v>
      </c>
      <c r="V807">
        <v>6.8593230000000005E-2</v>
      </c>
      <c r="W807">
        <v>0.18598619999999999</v>
      </c>
      <c r="X807">
        <v>0.9801552</v>
      </c>
      <c r="Y807">
        <v>0.16710639999999999</v>
      </c>
      <c r="Z807">
        <v>-5.6043689999999997E-3</v>
      </c>
      <c r="AA807">
        <v>0.98592290000000005</v>
      </c>
      <c r="AB807">
        <v>28</v>
      </c>
      <c r="AC807">
        <v>21.248200000000001</v>
      </c>
      <c r="AD807">
        <v>-1.1210966404430001</v>
      </c>
      <c r="AE807">
        <v>-3.5615999999999399</v>
      </c>
      <c r="AF807">
        <v>3.6412910417622402</v>
      </c>
      <c r="AG807">
        <v>-1.1210966404430001</v>
      </c>
      <c r="AH807">
        <v>21.175657133055999</v>
      </c>
      <c r="AI807">
        <v>92.986808682547306</v>
      </c>
      <c r="AJ807">
        <v>80.243041718991407</v>
      </c>
      <c r="AK807">
        <v>21.515675986237898</v>
      </c>
      <c r="AL807">
        <v>79.281365186907607</v>
      </c>
      <c r="AM807">
        <v>85.996852844230204</v>
      </c>
      <c r="AN807">
        <v>1.0000000569396501</v>
      </c>
    </row>
    <row r="808" spans="1:40" x14ac:dyDescent="0.25">
      <c r="A808" t="str">
        <f>"20190303162514619"</f>
        <v>20190303162514619</v>
      </c>
      <c r="B808" t="str">
        <f>"1551601514613880"</f>
        <v>1551601514613880</v>
      </c>
      <c r="C808" t="s">
        <v>40</v>
      </c>
      <c r="D808">
        <v>4.9718390000000001</v>
      </c>
      <c r="E808">
        <v>0.53887989999999997</v>
      </c>
      <c r="F808" t="s">
        <v>41</v>
      </c>
      <c r="G808">
        <v>-228.20779999999999</v>
      </c>
      <c r="H808" s="1">
        <v>-1.868968E-6</v>
      </c>
      <c r="I808">
        <v>364.83199999999999</v>
      </c>
      <c r="J808">
        <v>-249.8022</v>
      </c>
      <c r="K808">
        <v>1.121076</v>
      </c>
      <c r="L808">
        <v>368.44069999999999</v>
      </c>
      <c r="M808">
        <v>0.99990480000000004</v>
      </c>
      <c r="N808">
        <v>-1.3164520000000001E-2</v>
      </c>
      <c r="O808">
        <v>4.1282330000000002E-3</v>
      </c>
      <c r="P808">
        <v>0.98278969999999999</v>
      </c>
      <c r="Q808">
        <v>0.17317340000000001</v>
      </c>
      <c r="R808">
        <v>-6.4309450000000004E-2</v>
      </c>
      <c r="S808">
        <v>3.046967</v>
      </c>
      <c r="T808">
        <v>-0.15609379999999901</v>
      </c>
      <c r="U808">
        <v>-0.50228879999999998</v>
      </c>
      <c r="V808">
        <v>6.8399470000000004E-2</v>
      </c>
      <c r="W808">
        <v>0.1860803</v>
      </c>
      <c r="X808">
        <v>0.98015079999999999</v>
      </c>
      <c r="Y808">
        <v>0.166454399999999</v>
      </c>
      <c r="Z808">
        <v>-5.492289E-3</v>
      </c>
      <c r="AA808">
        <v>0.98603390000000002</v>
      </c>
      <c r="AB808">
        <v>28</v>
      </c>
      <c r="AC808">
        <v>21.5944</v>
      </c>
      <c r="AD808">
        <v>-1.1210778689680001</v>
      </c>
      <c r="AE808">
        <v>-3.60869999999999</v>
      </c>
      <c r="AF808">
        <v>3.6881534718476798</v>
      </c>
      <c r="AG808">
        <v>-1.1210778689680001</v>
      </c>
      <c r="AH808">
        <v>21.522884829375499</v>
      </c>
      <c r="AI808">
        <v>92.938950626911094</v>
      </c>
      <c r="AJ808">
        <v>80.276259058396306</v>
      </c>
      <c r="AK808">
        <v>21.865357600523101</v>
      </c>
      <c r="AL808">
        <v>79.275877009613794</v>
      </c>
      <c r="AM808">
        <v>86.008106337134706</v>
      </c>
      <c r="AN808">
        <v>0.99999997814250496</v>
      </c>
    </row>
    <row r="809" spans="1:40" x14ac:dyDescent="0.25">
      <c r="A809" t="str">
        <f>"20190303162514640"</f>
        <v>20190303162514640</v>
      </c>
      <c r="B809" t="str">
        <f>"1551601514633399"</f>
        <v>1551601514633399</v>
      </c>
      <c r="C809" t="s">
        <v>40</v>
      </c>
      <c r="D809">
        <v>5.0017719999999999</v>
      </c>
      <c r="E809">
        <v>0.53884569999999998</v>
      </c>
      <c r="F809" t="s">
        <v>41</v>
      </c>
      <c r="G809">
        <v>-227.85390000000001</v>
      </c>
      <c r="H809" s="1">
        <v>-1.9893000000000002E-6</v>
      </c>
      <c r="I809">
        <v>364.83240000000001</v>
      </c>
      <c r="J809">
        <v>-249.53579999999999</v>
      </c>
      <c r="K809">
        <v>1.121067</v>
      </c>
      <c r="L809">
        <v>368.4418</v>
      </c>
      <c r="M809">
        <v>0.99990699999999999</v>
      </c>
      <c r="N809">
        <v>-1.3030170000000001E-2</v>
      </c>
      <c r="O809">
        <v>4.0502150000000002E-3</v>
      </c>
      <c r="P809">
        <v>0.98269890000000004</v>
      </c>
      <c r="Q809">
        <v>0.17354349999999999</v>
      </c>
      <c r="R809">
        <v>-6.4697409999999997E-2</v>
      </c>
      <c r="S809">
        <v>3.0471650000000001</v>
      </c>
      <c r="T809">
        <v>-0.155643</v>
      </c>
      <c r="U809">
        <v>-0.500946</v>
      </c>
      <c r="V809">
        <v>6.8710549999999995E-2</v>
      </c>
      <c r="W809">
        <v>0.18631790000000001</v>
      </c>
      <c r="X809">
        <v>0.98008390000000001</v>
      </c>
      <c r="Y809">
        <v>0.16594700000000001</v>
      </c>
      <c r="Z809">
        <v>-5.4494390000000004E-3</v>
      </c>
      <c r="AA809">
        <v>0.98611959999999999</v>
      </c>
      <c r="AB809">
        <v>28</v>
      </c>
      <c r="AC809">
        <v>21.681899999999899</v>
      </c>
      <c r="AD809">
        <v>-1.1210689893000001</v>
      </c>
      <c r="AE809">
        <v>-3.6093999999999902</v>
      </c>
      <c r="AF809">
        <v>3.6876014610049901</v>
      </c>
      <c r="AG809">
        <v>-1.1210689893000001</v>
      </c>
      <c r="AH809">
        <v>21.6108846245479</v>
      </c>
      <c r="AI809">
        <v>92.927332044782204</v>
      </c>
      <c r="AJ809">
        <v>80.316524952966304</v>
      </c>
      <c r="AK809">
        <v>21.951891364287899</v>
      </c>
      <c r="AL809">
        <v>79.2620211915212</v>
      </c>
      <c r="AM809">
        <v>85.989737518191902</v>
      </c>
      <c r="AN809">
        <v>0.99999997529046103</v>
      </c>
    </row>
    <row r="810" spans="1:40" x14ac:dyDescent="0.25">
      <c r="A810" t="str">
        <f>"20190303162514661"</f>
        <v>20190303162514661</v>
      </c>
      <c r="B810" t="str">
        <f>"1551601514653896"</f>
        <v>1551601514653896</v>
      </c>
      <c r="C810" t="s">
        <v>40</v>
      </c>
      <c r="D810">
        <v>5.0054259999999999</v>
      </c>
      <c r="E810">
        <v>0.53881880000000004</v>
      </c>
      <c r="F810" t="s">
        <v>41</v>
      </c>
      <c r="G810">
        <v>-227.46639999999999</v>
      </c>
      <c r="H810" s="1">
        <v>-2.1280000000000002E-6</v>
      </c>
      <c r="I810">
        <v>364.80669999999998</v>
      </c>
      <c r="J810">
        <v>-249.2663</v>
      </c>
      <c r="K810">
        <v>1.1210549999999999</v>
      </c>
      <c r="L810">
        <v>368.44279999999998</v>
      </c>
      <c r="M810">
        <v>0.99990880000000004</v>
      </c>
      <c r="N810">
        <v>-1.290473E-2</v>
      </c>
      <c r="O810">
        <v>3.9746690000000001E-3</v>
      </c>
      <c r="P810">
        <v>0.98266520000000002</v>
      </c>
      <c r="Q810">
        <v>0.17371619999999999</v>
      </c>
      <c r="R810">
        <v>-6.4742190000000005E-2</v>
      </c>
      <c r="S810">
        <v>3.0471339999999998</v>
      </c>
      <c r="T810">
        <v>-0.15478620000000001</v>
      </c>
      <c r="U810">
        <v>-0.50189209999999995</v>
      </c>
      <c r="V810">
        <v>6.8681640000000002E-2</v>
      </c>
      <c r="W810">
        <v>0.18636710000000001</v>
      </c>
      <c r="X810">
        <v>0.98007659999999996</v>
      </c>
      <c r="Y810">
        <v>0.16617499999999999</v>
      </c>
      <c r="Z810">
        <v>-5.4195370000000003E-3</v>
      </c>
      <c r="AA810">
        <v>0.9860814</v>
      </c>
      <c r="AB810">
        <v>28</v>
      </c>
      <c r="AC810">
        <v>21.799900000000001</v>
      </c>
      <c r="AD810">
        <v>-1.1210571279999999</v>
      </c>
      <c r="AE810">
        <v>-3.6360999999999901</v>
      </c>
      <c r="AF810">
        <v>3.71317211807236</v>
      </c>
      <c r="AG810">
        <v>-1.1210571279999999</v>
      </c>
      <c r="AH810">
        <v>21.729365970184698</v>
      </c>
      <c r="AI810">
        <v>92.911248482587197</v>
      </c>
      <c r="AJ810">
        <v>80.302809000203993</v>
      </c>
      <c r="AK810">
        <v>22.072828584685102</v>
      </c>
      <c r="AL810">
        <v>79.259152282953494</v>
      </c>
      <c r="AM810">
        <v>85.991389576232606</v>
      </c>
      <c r="AN810">
        <v>1.0000000027515199</v>
      </c>
    </row>
    <row r="811" spans="1:40" x14ac:dyDescent="0.25">
      <c r="A811" t="str">
        <f>"20190303162514685"</f>
        <v>20190303162514685</v>
      </c>
      <c r="B811" t="str">
        <f>"1551601514673416"</f>
        <v>1551601514673416</v>
      </c>
      <c r="C811" t="s">
        <v>40</v>
      </c>
      <c r="D811">
        <v>4.9939839999999904</v>
      </c>
      <c r="E811">
        <v>0.53879149999999998</v>
      </c>
      <c r="F811" t="s">
        <v>41</v>
      </c>
      <c r="G811">
        <v>-227.1472</v>
      </c>
      <c r="H811" s="1">
        <v>-2.2390250000000001E-6</v>
      </c>
      <c r="I811">
        <v>364.79770000000002</v>
      </c>
      <c r="J811">
        <v>-248.98609999999999</v>
      </c>
      <c r="K811">
        <v>1.1210340000000001</v>
      </c>
      <c r="L811">
        <v>368.44380000000001</v>
      </c>
      <c r="M811">
        <v>0.99991079999999999</v>
      </c>
      <c r="N811">
        <v>-1.2786509999999999E-2</v>
      </c>
      <c r="O811">
        <v>3.897513E-3</v>
      </c>
      <c r="P811">
        <v>0.98265020000000003</v>
      </c>
      <c r="Q811">
        <v>0.173512</v>
      </c>
      <c r="R811">
        <v>-6.551659E-2</v>
      </c>
      <c r="S811">
        <v>3.0471339999999998</v>
      </c>
      <c r="T811">
        <v>-0.1544362</v>
      </c>
      <c r="U811">
        <v>-0.50213620000000003</v>
      </c>
      <c r="V811">
        <v>6.9380919999999999E-2</v>
      </c>
      <c r="W811">
        <v>0.18604619999999999</v>
      </c>
      <c r="X811">
        <v>0.98008830000000002</v>
      </c>
      <c r="Y811">
        <v>0.166177399999999</v>
      </c>
      <c r="Z811">
        <v>-5.3973409999999999E-3</v>
      </c>
      <c r="AA811">
        <v>0.98608110000000004</v>
      </c>
      <c r="AB811">
        <v>28</v>
      </c>
      <c r="AC811">
        <v>21.838899999999899</v>
      </c>
      <c r="AD811">
        <v>-1.1210362390249999</v>
      </c>
      <c r="AE811">
        <v>-3.6460999999999899</v>
      </c>
      <c r="AF811">
        <v>3.7216560770891398</v>
      </c>
      <c r="AG811">
        <v>-1.1210362390249999</v>
      </c>
      <c r="AH811">
        <v>21.7687175084465</v>
      </c>
      <c r="AI811">
        <v>92.905901822998899</v>
      </c>
      <c r="AJ811">
        <v>80.2983095033875</v>
      </c>
      <c r="AK811">
        <v>22.112994102289399</v>
      </c>
      <c r="AL811">
        <v>79.277865628627893</v>
      </c>
      <c r="AM811">
        <v>85.950759296751599</v>
      </c>
      <c r="AN811">
        <v>0.99999998819568803</v>
      </c>
    </row>
    <row r="812" spans="1:40" x14ac:dyDescent="0.25">
      <c r="A812" t="str">
        <f>"20190303162514707"</f>
        <v>20190303162514707</v>
      </c>
      <c r="B812" t="str">
        <f>"1551601514703672"</f>
        <v>1551601514703672</v>
      </c>
      <c r="C812" t="s">
        <v>40</v>
      </c>
      <c r="D812">
        <v>5.0364709999999997</v>
      </c>
      <c r="E812">
        <v>0.53878029999999999</v>
      </c>
      <c r="F812" t="s">
        <v>41</v>
      </c>
      <c r="G812">
        <v>-227.00020000000001</v>
      </c>
      <c r="H812" s="1">
        <v>-2.2870409999999999E-6</v>
      </c>
      <c r="I812">
        <v>364.80529999999999</v>
      </c>
      <c r="J812">
        <v>-248.70310000000001</v>
      </c>
      <c r="K812">
        <v>1.121032</v>
      </c>
      <c r="L812">
        <v>368.44479999999999</v>
      </c>
      <c r="M812">
        <v>0.99991229999999998</v>
      </c>
      <c r="N812">
        <v>-1.268001E-2</v>
      </c>
      <c r="O812">
        <v>3.818447E-3</v>
      </c>
      <c r="P812">
        <v>0.98264079999999998</v>
      </c>
      <c r="Q812">
        <v>0.17332939999999999</v>
      </c>
      <c r="R812">
        <v>-6.6136760000000003E-2</v>
      </c>
      <c r="S812">
        <v>3.046799</v>
      </c>
      <c r="T812">
        <v>-0.1553522</v>
      </c>
      <c r="U812">
        <v>-0.50421139999999998</v>
      </c>
      <c r="V812">
        <v>6.9923509999999994E-2</v>
      </c>
      <c r="W812">
        <v>0.1857589</v>
      </c>
      <c r="X812">
        <v>0.98010419999999998</v>
      </c>
      <c r="Y812">
        <v>0.16676740000000001</v>
      </c>
      <c r="Z812">
        <v>-5.4307579999999999E-3</v>
      </c>
      <c r="AA812">
        <v>0.98598129999999995</v>
      </c>
      <c r="AB812">
        <v>28</v>
      </c>
      <c r="AC812">
        <v>21.7029</v>
      </c>
      <c r="AD812">
        <v>-1.1210342870409999</v>
      </c>
      <c r="AE812">
        <v>-3.6394999999999902</v>
      </c>
      <c r="AF812">
        <v>3.7127165528461101</v>
      </c>
      <c r="AG812">
        <v>-1.1210342870409999</v>
      </c>
      <c r="AH812">
        <v>21.632703921876001</v>
      </c>
      <c r="AI812">
        <v>92.923814312019402</v>
      </c>
      <c r="AJ812">
        <v>80.261478953158601</v>
      </c>
      <c r="AK812">
        <v>21.9775990737398</v>
      </c>
      <c r="AL812">
        <v>79.294618378736899</v>
      </c>
      <c r="AM812">
        <v>85.919264962623402</v>
      </c>
      <c r="AN812">
        <v>0.99999995451878398</v>
      </c>
    </row>
    <row r="813" spans="1:40" x14ac:dyDescent="0.25">
      <c r="A813" t="str">
        <f>"20190303162514731"</f>
        <v>20190303162514731</v>
      </c>
      <c r="B813" t="str">
        <f>"1551601514723192"</f>
        <v>1551601514723192</v>
      </c>
      <c r="C813" t="s">
        <v>40</v>
      </c>
      <c r="D813">
        <v>5.0541559999999999</v>
      </c>
      <c r="E813">
        <v>0.53878280000000001</v>
      </c>
      <c r="F813" t="s">
        <v>41</v>
      </c>
      <c r="G813">
        <v>-226.9169</v>
      </c>
      <c r="H813" s="1">
        <v>-2.3084089999999998E-6</v>
      </c>
      <c r="I813">
        <v>364.83150000000001</v>
      </c>
      <c r="J813">
        <v>-248.40969999999999</v>
      </c>
      <c r="K813">
        <v>1.1210290000000001</v>
      </c>
      <c r="L813">
        <v>368.44580000000002</v>
      </c>
      <c r="M813">
        <v>0.99991399999999997</v>
      </c>
      <c r="N813">
        <v>-1.2582599999999999E-2</v>
      </c>
      <c r="O813">
        <v>3.7340839999999999E-3</v>
      </c>
      <c r="P813">
        <v>0.98259929999999995</v>
      </c>
      <c r="Q813">
        <v>0.1734735</v>
      </c>
      <c r="R813">
        <v>-6.6376279999999996E-2</v>
      </c>
      <c r="S813">
        <v>3.046646</v>
      </c>
      <c r="T813">
        <v>-0.1567675</v>
      </c>
      <c r="U813">
        <v>-0.50527949999999999</v>
      </c>
      <c r="V813">
        <v>7.0080110000000001E-2</v>
      </c>
      <c r="W813">
        <v>0.18580720000000001</v>
      </c>
      <c r="X813">
        <v>0.98008390000000001</v>
      </c>
      <c r="Y813">
        <v>0.16702420000000001</v>
      </c>
      <c r="Z813">
        <v>-5.468166E-3</v>
      </c>
      <c r="AA813">
        <v>0.98593770000000003</v>
      </c>
      <c r="AB813">
        <v>28</v>
      </c>
      <c r="AC813">
        <v>21.4927999999999</v>
      </c>
      <c r="AD813">
        <v>-1.121031308409</v>
      </c>
      <c r="AE813">
        <v>-3.6143000000000098</v>
      </c>
      <c r="AF813">
        <v>3.6847882629379498</v>
      </c>
      <c r="AG813">
        <v>-1.121031308409</v>
      </c>
      <c r="AH813">
        <v>21.422475788853799</v>
      </c>
      <c r="AI813">
        <v>92.952261464166298</v>
      </c>
      <c r="AJ813">
        <v>80.2403007017476</v>
      </c>
      <c r="AK813">
        <v>21.7659560934305</v>
      </c>
      <c r="AL813">
        <v>79.291802390928893</v>
      </c>
      <c r="AM813">
        <v>85.9100723437639</v>
      </c>
      <c r="AN813">
        <v>0.99999999421433095</v>
      </c>
    </row>
    <row r="814" spans="1:40" x14ac:dyDescent="0.25">
      <c r="A814" t="str">
        <f>"20190303162514753"</f>
        <v>20190303162514753</v>
      </c>
      <c r="B814" t="str">
        <f>"1551601514743688"</f>
        <v>1551601514743688</v>
      </c>
      <c r="C814" t="s">
        <v>40</v>
      </c>
      <c r="D814">
        <v>5.0596439999999996</v>
      </c>
      <c r="E814">
        <v>0.53878210000000004</v>
      </c>
      <c r="F814" t="s">
        <v>41</v>
      </c>
      <c r="G814">
        <v>-226.59909999999999</v>
      </c>
      <c r="H814" s="1">
        <v>-2.4188839999999998E-6</v>
      </c>
      <c r="I814">
        <v>364.8227</v>
      </c>
      <c r="J814">
        <v>-248.14830000000001</v>
      </c>
      <c r="K814">
        <v>1.1210310000000001</v>
      </c>
      <c r="L814">
        <v>368.44670000000002</v>
      </c>
      <c r="M814">
        <v>0.99991509999999995</v>
      </c>
      <c r="N814">
        <v>-1.250622E-2</v>
      </c>
      <c r="O814">
        <v>3.6582289999999998E-3</v>
      </c>
      <c r="P814">
        <v>0.98253279999999998</v>
      </c>
      <c r="Q814">
        <v>0.173737</v>
      </c>
      <c r="R814">
        <v>-6.6670149999999997E-2</v>
      </c>
      <c r="S814">
        <v>3.0466000000000002</v>
      </c>
      <c r="T814">
        <v>-0.1565897</v>
      </c>
      <c r="U814">
        <v>-0.506073</v>
      </c>
      <c r="V814">
        <v>7.0298869999999999E-2</v>
      </c>
      <c r="W814">
        <v>0.1859951</v>
      </c>
      <c r="X814">
        <v>0.98003260000000003</v>
      </c>
      <c r="Y814">
        <v>0.1672023</v>
      </c>
      <c r="Z814">
        <v>-5.4597049999999996E-3</v>
      </c>
      <c r="AA814">
        <v>0.98590750000000005</v>
      </c>
      <c r="AB814">
        <v>28</v>
      </c>
      <c r="AC814">
        <v>21.549199999999999</v>
      </c>
      <c r="AD814">
        <v>-1.1210334188840001</v>
      </c>
      <c r="AE814">
        <v>-3.6240000000000201</v>
      </c>
      <c r="AF814">
        <v>3.6930941211914798</v>
      </c>
      <c r="AG814">
        <v>-1.1210334188840001</v>
      </c>
      <c r="AH814">
        <v>21.479266942525499</v>
      </c>
      <c r="AI814">
        <v>92.944508406404395</v>
      </c>
      <c r="AJ814">
        <v>80.244089963976705</v>
      </c>
      <c r="AK814">
        <v>21.823257513545101</v>
      </c>
      <c r="AL814">
        <v>79.280845610717805</v>
      </c>
      <c r="AM814">
        <v>85.897134853241099</v>
      </c>
      <c r="AN814">
        <v>1.00000000270502</v>
      </c>
    </row>
    <row r="815" spans="1:40" x14ac:dyDescent="0.25">
      <c r="A815" t="str">
        <f>"20190303162514774"</f>
        <v>20190303162514774</v>
      </c>
      <c r="B815" t="str">
        <f>"1551601514763208"</f>
        <v>1551601514763208</v>
      </c>
      <c r="C815" t="s">
        <v>40</v>
      </c>
      <c r="D815">
        <v>5.0525679999999999</v>
      </c>
      <c r="E815">
        <v>0.53877379999999997</v>
      </c>
      <c r="F815" t="s">
        <v>41</v>
      </c>
      <c r="G815">
        <v>-226.2423</v>
      </c>
      <c r="H815" s="1">
        <v>-2.545746E-6</v>
      </c>
      <c r="I815">
        <v>364.80220000000003</v>
      </c>
      <c r="J815">
        <v>-247.8792</v>
      </c>
      <c r="K815">
        <v>1.1210279999999999</v>
      </c>
      <c r="L815">
        <v>368.44760000000002</v>
      </c>
      <c r="M815">
        <v>0.99991629999999998</v>
      </c>
      <c r="N815">
        <v>-1.243679E-2</v>
      </c>
      <c r="O815">
        <v>3.5800580000000001E-3</v>
      </c>
      <c r="P815">
        <v>0.98247899999999999</v>
      </c>
      <c r="Q815">
        <v>0.17390459999999999</v>
      </c>
      <c r="R815">
        <v>-6.7027320000000001E-2</v>
      </c>
      <c r="S815">
        <v>3.0465239999999998</v>
      </c>
      <c r="T815">
        <v>-0.1559045</v>
      </c>
      <c r="U815">
        <v>-0.50683590000000001</v>
      </c>
      <c r="V815">
        <v>7.05789E-2</v>
      </c>
      <c r="W815">
        <v>0.18609390000000001</v>
      </c>
      <c r="X815">
        <v>0.97999369999999997</v>
      </c>
      <c r="Y815">
        <v>0.16737170000000001</v>
      </c>
      <c r="Z815">
        <v>-5.4370429999999999E-3</v>
      </c>
      <c r="AA815">
        <v>0.9858789</v>
      </c>
      <c r="AB815">
        <v>28</v>
      </c>
      <c r="AC815">
        <v>21.636900000000001</v>
      </c>
      <c r="AD815">
        <v>-1.1210305457459999</v>
      </c>
      <c r="AE815">
        <v>-3.6453999999999902</v>
      </c>
      <c r="AF815">
        <v>3.713151576944</v>
      </c>
      <c r="AG815">
        <v>-1.1210305457459999</v>
      </c>
      <c r="AH815">
        <v>21.567412365810799</v>
      </c>
      <c r="AI815">
        <v>92.932376646315305</v>
      </c>
      <c r="AJ815">
        <v>80.231441917470406</v>
      </c>
      <c r="AK815">
        <v>21.9134086868014</v>
      </c>
      <c r="AL815">
        <v>79.275084024065393</v>
      </c>
      <c r="AM815">
        <v>85.880684616068393</v>
      </c>
      <c r="AN815">
        <v>0.99999998639105403</v>
      </c>
    </row>
    <row r="816" spans="1:40" x14ac:dyDescent="0.25">
      <c r="A816" t="str">
        <f>"20190303162514797"</f>
        <v>20190303162514797</v>
      </c>
      <c r="B816" t="str">
        <f>"1551601514783704"</f>
        <v>1551601514783704</v>
      </c>
      <c r="C816" t="s">
        <v>40</v>
      </c>
      <c r="D816">
        <v>5.0358970000000003</v>
      </c>
      <c r="E816">
        <v>0.53878440000000005</v>
      </c>
      <c r="F816" t="s">
        <v>41</v>
      </c>
      <c r="G816">
        <v>-225.92670000000001</v>
      </c>
      <c r="H816" s="1">
        <v>-2.6568339999999998E-6</v>
      </c>
      <c r="I816">
        <v>364.78840000000002</v>
      </c>
      <c r="J816">
        <v>-247.59819999999999</v>
      </c>
      <c r="K816">
        <v>1.1210260000000001</v>
      </c>
      <c r="L816">
        <v>368.44850000000002</v>
      </c>
      <c r="M816">
        <v>0.99991730000000001</v>
      </c>
      <c r="N816">
        <v>-1.2373200000000001E-2</v>
      </c>
      <c r="O816">
        <v>3.4993379999999998E-3</v>
      </c>
      <c r="P816">
        <v>0.98245490000000002</v>
      </c>
      <c r="Q816">
        <v>0.17383940000000001</v>
      </c>
      <c r="R816">
        <v>-6.7544850000000003E-2</v>
      </c>
      <c r="S816">
        <v>3.0464020000000001</v>
      </c>
      <c r="T816">
        <v>-0.15556719999999999</v>
      </c>
      <c r="U816">
        <v>-0.50778199999999996</v>
      </c>
      <c r="V816">
        <v>7.1017350000000007E-2</v>
      </c>
      <c r="W816">
        <v>0.18596599999999999</v>
      </c>
      <c r="X816">
        <v>0.97998629999999998</v>
      </c>
      <c r="Y816">
        <v>0.16759739999999901</v>
      </c>
      <c r="Z816">
        <v>-5.4264430000000004E-3</v>
      </c>
      <c r="AA816">
        <v>0.98584059999999996</v>
      </c>
      <c r="AB816">
        <v>28</v>
      </c>
      <c r="AC816">
        <v>21.671499999999899</v>
      </c>
      <c r="AD816">
        <v>-1.121028656834</v>
      </c>
      <c r="AE816">
        <v>-3.6600999999999999</v>
      </c>
      <c r="AF816">
        <v>3.7262251373576101</v>
      </c>
      <c r="AG816">
        <v>-1.121028656834</v>
      </c>
      <c r="AH816">
        <v>21.602357612551401</v>
      </c>
      <c r="AI816">
        <v>92.927476613472194</v>
      </c>
      <c r="AJ816">
        <v>80.213263947551994</v>
      </c>
      <c r="AK816">
        <v>21.950018529474601</v>
      </c>
      <c r="AL816">
        <v>79.282542305967297</v>
      </c>
      <c r="AM816">
        <v>85.855152341042498</v>
      </c>
      <c r="AN816">
        <v>0.99999998267235601</v>
      </c>
    </row>
    <row r="817" spans="1:40" x14ac:dyDescent="0.25">
      <c r="A817" t="str">
        <f>"20190303162514820"</f>
        <v>20190303162514820</v>
      </c>
      <c r="B817" t="str">
        <f>"1551601514813960"</f>
        <v>1551601514813960</v>
      </c>
      <c r="C817" t="s">
        <v>40</v>
      </c>
      <c r="D817">
        <v>5.0905959999999997</v>
      </c>
      <c r="E817">
        <v>0.53879100000000002</v>
      </c>
      <c r="F817" t="s">
        <v>41</v>
      </c>
      <c r="G817">
        <v>-225.71379999999999</v>
      </c>
      <c r="H817" s="1">
        <v>-2.7297229999999999E-6</v>
      </c>
      <c r="I817">
        <v>364.78680000000003</v>
      </c>
      <c r="J817">
        <v>-247.31299999999999</v>
      </c>
      <c r="K817">
        <v>1.121019</v>
      </c>
      <c r="L817">
        <v>368.44940000000003</v>
      </c>
      <c r="M817">
        <v>0.99991819999999998</v>
      </c>
      <c r="N817">
        <v>-1.2328550000000001E-2</v>
      </c>
      <c r="O817">
        <v>3.4154290000000002E-3</v>
      </c>
      <c r="P817">
        <v>0.98245950000000004</v>
      </c>
      <c r="Q817">
        <v>0.17391860000000001</v>
      </c>
      <c r="R817">
        <v>-6.7273769999999997E-2</v>
      </c>
      <c r="S817">
        <v>3.0461429999999998</v>
      </c>
      <c r="T817">
        <v>-0.1560377</v>
      </c>
      <c r="U817">
        <v>-0.50967410000000002</v>
      </c>
      <c r="V817">
        <v>7.0664599999999994E-2</v>
      </c>
      <c r="W817">
        <v>0.18600120000000001</v>
      </c>
      <c r="X817">
        <v>0.98000509999999996</v>
      </c>
      <c r="Y817">
        <v>0.16812189999999999</v>
      </c>
      <c r="Z817">
        <v>-5.4497499999999997E-3</v>
      </c>
      <c r="AA817">
        <v>0.98575119999999905</v>
      </c>
      <c r="AB817">
        <v>28</v>
      </c>
      <c r="AC817">
        <v>21.5992</v>
      </c>
      <c r="AD817">
        <v>-1.1210217297229901</v>
      </c>
      <c r="AE817">
        <v>-3.6625999999999901</v>
      </c>
      <c r="AF817">
        <v>3.7265969379980399</v>
      </c>
      <c r="AG817">
        <v>-1.1210217297229901</v>
      </c>
      <c r="AH817">
        <v>21.530188399934001</v>
      </c>
      <c r="AI817">
        <v>92.936961322160201</v>
      </c>
      <c r="AJ817">
        <v>80.180135641216097</v>
      </c>
      <c r="AK817">
        <v>21.879059097535698</v>
      </c>
      <c r="AL817">
        <v>79.280489480179199</v>
      </c>
      <c r="AM817">
        <v>85.875747822924495</v>
      </c>
      <c r="AN817">
        <v>0.999999964060304</v>
      </c>
    </row>
    <row r="818" spans="1:40" x14ac:dyDescent="0.25">
      <c r="A818" t="str">
        <f>"20190303162514841"</f>
        <v>20190303162514841</v>
      </c>
      <c r="B818" t="str">
        <f>"1551601514833480"</f>
        <v>1551601514833480</v>
      </c>
      <c r="C818" t="s">
        <v>40</v>
      </c>
      <c r="D818">
        <v>5.1382059999999896</v>
      </c>
      <c r="E818">
        <v>0.53878709999999996</v>
      </c>
      <c r="F818" t="s">
        <v>41</v>
      </c>
      <c r="G818">
        <v>-225.48699999999999</v>
      </c>
      <c r="H818" s="1">
        <v>-2.8016999999999998E-6</v>
      </c>
      <c r="I818">
        <v>364.80630000000002</v>
      </c>
      <c r="J818">
        <v>-247.04929999999999</v>
      </c>
      <c r="K818">
        <v>1.121022</v>
      </c>
      <c r="L818">
        <v>368.4502</v>
      </c>
      <c r="M818">
        <v>0.99991890000000005</v>
      </c>
      <c r="N818">
        <v>-1.2302230000000001E-2</v>
      </c>
      <c r="O818">
        <v>3.3320939999999999E-3</v>
      </c>
      <c r="P818">
        <v>0.98243409999999998</v>
      </c>
      <c r="Q818">
        <v>0.17414189999999999</v>
      </c>
      <c r="R818">
        <v>-6.7069429999999999E-2</v>
      </c>
      <c r="S818">
        <v>3.0464479999999998</v>
      </c>
      <c r="T818">
        <v>-0.1564701</v>
      </c>
      <c r="U818">
        <v>-0.50848389999999999</v>
      </c>
      <c r="V818">
        <v>7.0380090000000006E-2</v>
      </c>
      <c r="W818">
        <v>0.1861979</v>
      </c>
      <c r="X818">
        <v>0.97998830000000003</v>
      </c>
      <c r="Y818">
        <v>0.16764870000000001</v>
      </c>
      <c r="Z818">
        <v>-5.4413580000000003E-3</v>
      </c>
      <c r="AA818">
        <v>0.98583180000000004</v>
      </c>
      <c r="AB818">
        <v>28</v>
      </c>
      <c r="AC818">
        <v>21.5623</v>
      </c>
      <c r="AD818">
        <v>-1.1210248017</v>
      </c>
      <c r="AE818">
        <v>-3.6438999999999702</v>
      </c>
      <c r="AF818">
        <v>3.7059937756464398</v>
      </c>
      <c r="AG818">
        <v>-1.1210248017</v>
      </c>
      <c r="AH818">
        <v>21.4935543429172</v>
      </c>
      <c r="AI818">
        <v>92.942293318699498</v>
      </c>
      <c r="AJ818">
        <v>80.217053097543399</v>
      </c>
      <c r="AK818">
        <v>21.839504682183001</v>
      </c>
      <c r="AL818">
        <v>79.269019863024695</v>
      </c>
      <c r="AM818">
        <v>85.892225765881193</v>
      </c>
      <c r="AN818">
        <v>1.00000004158485</v>
      </c>
    </row>
    <row r="819" spans="1:40" x14ac:dyDescent="0.25">
      <c r="A819" t="str">
        <f>"20190303162514863"</f>
        <v>20190303162514863</v>
      </c>
      <c r="B819" t="str">
        <f>"1551601514853977"</f>
        <v>1551601514853977</v>
      </c>
      <c r="C819" t="s">
        <v>40</v>
      </c>
      <c r="D819">
        <v>5.2321519999999904</v>
      </c>
      <c r="E819">
        <v>0.53307280000000001</v>
      </c>
      <c r="F819" t="s">
        <v>41</v>
      </c>
      <c r="G819">
        <v>-225.2088</v>
      </c>
      <c r="H819" s="1">
        <v>-2.8963620000000001E-6</v>
      </c>
      <c r="I819">
        <v>364.80630000000002</v>
      </c>
      <c r="J819">
        <v>-246.77770000000001</v>
      </c>
      <c r="K819">
        <v>1.1210230000000001</v>
      </c>
      <c r="L819">
        <v>368.45100000000002</v>
      </c>
      <c r="M819">
        <v>0.99991940000000001</v>
      </c>
      <c r="N819">
        <v>-1.2282980000000001E-2</v>
      </c>
      <c r="O819">
        <v>3.2463380000000001E-3</v>
      </c>
      <c r="P819">
        <v>0.982464</v>
      </c>
      <c r="Q819">
        <v>0.1740823</v>
      </c>
      <c r="R819">
        <v>-6.6787089999999993E-2</v>
      </c>
      <c r="S819">
        <v>3.046646</v>
      </c>
      <c r="T819">
        <v>-0.15637719999999999</v>
      </c>
      <c r="U819">
        <v>-0.5083008</v>
      </c>
      <c r="V819">
        <v>7.0015010000000003E-2</v>
      </c>
      <c r="W819">
        <v>0.1861197</v>
      </c>
      <c r="X819">
        <v>0.98002929999999999</v>
      </c>
      <c r="Y819">
        <v>0.167496799999999</v>
      </c>
      <c r="Z819">
        <v>-5.4287600000000004E-3</v>
      </c>
      <c r="AA819">
        <v>0.98585769999999995</v>
      </c>
      <c r="AB819">
        <v>28</v>
      </c>
      <c r="AC819">
        <v>21.568899999999999</v>
      </c>
      <c r="AD819">
        <v>-1.1210258963619999</v>
      </c>
      <c r="AE819">
        <v>-3.6446999999999399</v>
      </c>
      <c r="AF819">
        <v>3.7049755430570599</v>
      </c>
      <c r="AG819">
        <v>-1.1210258963619999</v>
      </c>
      <c r="AH819">
        <v>21.5004862814646</v>
      </c>
      <c r="AI819">
        <v>92.9413998329468</v>
      </c>
      <c r="AJ819">
        <v>80.222781460566296</v>
      </c>
      <c r="AK819">
        <v>21.846154196434899</v>
      </c>
      <c r="AL819">
        <v>79.273580053329994</v>
      </c>
      <c r="AM819">
        <v>85.913631874899096</v>
      </c>
      <c r="AN819">
        <v>1.0000000366059301</v>
      </c>
    </row>
    <row r="820" spans="1:40" x14ac:dyDescent="0.25">
      <c r="A820" t="str">
        <f>"20190303162514886"</f>
        <v>20190303162514886</v>
      </c>
      <c r="B820" t="str">
        <f>"1551601514883256"</f>
        <v>1551601514883256</v>
      </c>
      <c r="C820" t="s">
        <v>40</v>
      </c>
      <c r="D820">
        <v>5.1418699999999999</v>
      </c>
      <c r="E820">
        <v>0.52731879999999998</v>
      </c>
      <c r="F820" t="s">
        <v>42</v>
      </c>
      <c r="G820">
        <v>-245.89250000000001</v>
      </c>
      <c r="H820">
        <v>0.98097480000000004</v>
      </c>
      <c r="I820">
        <v>368.31950000000001</v>
      </c>
      <c r="J820">
        <v>-246.49539999999999</v>
      </c>
      <c r="K820">
        <v>1.121024</v>
      </c>
      <c r="L820">
        <v>368.45179999999999</v>
      </c>
      <c r="M820">
        <v>0.99991980000000003</v>
      </c>
      <c r="N820">
        <v>-1.22723E-2</v>
      </c>
      <c r="O820">
        <v>3.1580000000000002E-3</v>
      </c>
      <c r="P820">
        <v>0.98250170000000003</v>
      </c>
      <c r="Q820">
        <v>0.1739329</v>
      </c>
      <c r="R820">
        <v>-6.6620109999999996E-2</v>
      </c>
      <c r="S820">
        <v>3.1093600000000001</v>
      </c>
      <c r="T820">
        <v>-0.49202420000000002</v>
      </c>
      <c r="U820">
        <v>-0.46127319999999999</v>
      </c>
      <c r="V820">
        <v>6.9761719999999999E-2</v>
      </c>
      <c r="W820">
        <v>0.18595999999999999</v>
      </c>
      <c r="X820">
        <v>0.98007759999999999</v>
      </c>
      <c r="Y820">
        <v>0.14788979999999999</v>
      </c>
      <c r="Z820">
        <v>-1.294059E-2</v>
      </c>
      <c r="AA820">
        <v>0.9889192</v>
      </c>
      <c r="AB820">
        <v>28</v>
      </c>
      <c r="AC820">
        <v>0.60289999999997601</v>
      </c>
      <c r="AD820">
        <v>-0.14004920000000001</v>
      </c>
      <c r="AE820">
        <v>-0.13229999999998601</v>
      </c>
      <c r="AF820">
        <v>0.12763279614391401</v>
      </c>
      <c r="AG820">
        <v>-0.14004920000000001</v>
      </c>
      <c r="AH820">
        <v>0.57298157694805796</v>
      </c>
      <c r="AI820">
        <v>103.418488092166</v>
      </c>
      <c r="AJ820">
        <v>77.442269559251002</v>
      </c>
      <c r="AK820">
        <v>0.60349962435285598</v>
      </c>
      <c r="AL820">
        <v>79.2828919443008</v>
      </c>
      <c r="AM820">
        <v>85.928565109607803</v>
      </c>
      <c r="AN820">
        <v>0.99999996059955798</v>
      </c>
    </row>
    <row r="821" spans="1:40" x14ac:dyDescent="0.25">
      <c r="A821" t="str">
        <f>"20190303162514909"</f>
        <v>20190303162514909</v>
      </c>
      <c r="B821" t="str">
        <f>"1551601514903752"</f>
        <v>1551601514903752</v>
      </c>
      <c r="C821" t="s">
        <v>40</v>
      </c>
      <c r="D821">
        <v>5.1990550000000004</v>
      </c>
      <c r="E821">
        <v>0.52730949999999999</v>
      </c>
      <c r="F821" t="s">
        <v>42</v>
      </c>
      <c r="G821">
        <v>-245.71119999999999</v>
      </c>
      <c r="H821">
        <v>0.83472239999999998</v>
      </c>
      <c r="I821">
        <v>368.35129999999998</v>
      </c>
      <c r="J821">
        <v>-246.21109999999999</v>
      </c>
      <c r="K821">
        <v>1.1210310000000001</v>
      </c>
      <c r="L821">
        <v>368.45260000000002</v>
      </c>
      <c r="M821">
        <v>0.99992000000000003</v>
      </c>
      <c r="N821">
        <v>-1.2268650000000001E-2</v>
      </c>
      <c r="O821">
        <v>3.0713950000000002E-3</v>
      </c>
      <c r="P821">
        <v>0.98251189999999999</v>
      </c>
      <c r="Q821">
        <v>0.17388190000000001</v>
      </c>
      <c r="R821">
        <v>-6.6601309999999997E-2</v>
      </c>
      <c r="S821">
        <v>3.2343899999999999</v>
      </c>
      <c r="T821">
        <v>-1.180706</v>
      </c>
      <c r="U821">
        <v>-0.41333009999999898</v>
      </c>
      <c r="V821">
        <v>6.9656759999999998E-2</v>
      </c>
      <c r="W821">
        <v>0.18590609999999999</v>
      </c>
      <c r="X821">
        <v>0.9800953</v>
      </c>
      <c r="Y821">
        <v>0.12161710000000001</v>
      </c>
      <c r="Z821">
        <v>-2.3243369999999999E-2</v>
      </c>
      <c r="AA821">
        <v>0.99230490000000005</v>
      </c>
      <c r="AB821">
        <v>28</v>
      </c>
      <c r="AC821">
        <v>0.49989999999999601</v>
      </c>
      <c r="AD821">
        <v>-0.28630859999999902</v>
      </c>
      <c r="AE821">
        <v>-0.101300000000037</v>
      </c>
      <c r="AF821">
        <v>7.8196587118195104E-2</v>
      </c>
      <c r="AG821">
        <v>-0.28630859999999902</v>
      </c>
      <c r="AH821">
        <v>0.37988960479275002</v>
      </c>
      <c r="AI821">
        <v>126.434235685186</v>
      </c>
      <c r="AJ821">
        <v>78.368677946854007</v>
      </c>
      <c r="AK821">
        <v>0.48208239181750401</v>
      </c>
      <c r="AL821">
        <v>79.286035092321995</v>
      </c>
      <c r="AM821">
        <v>85.934743404715505</v>
      </c>
      <c r="AN821">
        <v>0.99999996965649796</v>
      </c>
    </row>
    <row r="822" spans="1:40" x14ac:dyDescent="0.25">
      <c r="A822" t="str">
        <f>"20190303162514932"</f>
        <v>20190303162514932</v>
      </c>
      <c r="B822" t="str">
        <f>"1551601514923271"</f>
        <v>1551601514923271</v>
      </c>
      <c r="C822" t="s">
        <v>40</v>
      </c>
      <c r="D822">
        <v>5.1801199999999996</v>
      </c>
      <c r="E822">
        <v>0.52725200000000005</v>
      </c>
      <c r="F822" t="s">
        <v>42</v>
      </c>
      <c r="G822">
        <v>-245.4631</v>
      </c>
      <c r="H822">
        <v>0.83676340000000005</v>
      </c>
      <c r="I822">
        <v>368.3571</v>
      </c>
      <c r="J822">
        <v>-245.9331</v>
      </c>
      <c r="K822">
        <v>1.1210389999999999</v>
      </c>
      <c r="L822">
        <v>368.45339999999999</v>
      </c>
      <c r="M822">
        <v>0.99992040000000004</v>
      </c>
      <c r="N822">
        <v>-1.227148E-2</v>
      </c>
      <c r="O822">
        <v>2.9879260000000001E-3</v>
      </c>
      <c r="P822">
        <v>0.98256169999999998</v>
      </c>
      <c r="Q822">
        <v>0.17372750000000001</v>
      </c>
      <c r="R822">
        <v>-6.6269690000000006E-2</v>
      </c>
      <c r="S822">
        <v>3.2434690000000002</v>
      </c>
      <c r="T822">
        <v>-1.232507</v>
      </c>
      <c r="U822">
        <v>-0.41366579999999997</v>
      </c>
      <c r="V822">
        <v>6.9241929999999993E-2</v>
      </c>
      <c r="W822">
        <v>0.1857557</v>
      </c>
      <c r="X822">
        <v>0.98015330000000001</v>
      </c>
      <c r="Y822">
        <v>0.12070350000000001</v>
      </c>
      <c r="Z822">
        <v>-2.390654E-2</v>
      </c>
      <c r="AA822">
        <v>0.99240070000000002</v>
      </c>
      <c r="AB822">
        <v>28</v>
      </c>
      <c r="AC822">
        <v>0.46999999999999797</v>
      </c>
      <c r="AD822">
        <v>-0.28427559999999902</v>
      </c>
      <c r="AE822">
        <v>-9.6299999999985106E-2</v>
      </c>
      <c r="AF822">
        <v>7.2314728672514803E-2</v>
      </c>
      <c r="AG822">
        <v>-0.28427559999999902</v>
      </c>
      <c r="AH822">
        <v>0.34765169541070801</v>
      </c>
      <c r="AI822">
        <v>128.67958903808801</v>
      </c>
      <c r="AJ822">
        <v>78.249514701231107</v>
      </c>
      <c r="AK822">
        <v>0.45486672560243302</v>
      </c>
      <c r="AL822">
        <v>79.294806096102704</v>
      </c>
      <c r="AM822">
        <v>85.959111297716206</v>
      </c>
      <c r="AN822">
        <v>1.0000000582267501</v>
      </c>
    </row>
    <row r="823" spans="1:40" x14ac:dyDescent="0.25">
      <c r="A823" t="str">
        <f>"20190303162514953"</f>
        <v>20190303162514953</v>
      </c>
      <c r="B823" t="str">
        <f>"1551601514943768"</f>
        <v>1551601514943768</v>
      </c>
      <c r="C823" t="s">
        <v>40</v>
      </c>
      <c r="D823">
        <v>5.1877740000000001</v>
      </c>
      <c r="E823">
        <v>0.52718900000000002</v>
      </c>
      <c r="F823" t="s">
        <v>42</v>
      </c>
      <c r="G823">
        <v>-245.2132</v>
      </c>
      <c r="H823">
        <v>0.84326199999999996</v>
      </c>
      <c r="I823">
        <v>368.36160000000001</v>
      </c>
      <c r="J823">
        <v>-245.65960000000001</v>
      </c>
      <c r="K823">
        <v>1.1210439999999999</v>
      </c>
      <c r="L823">
        <v>368.45409999999998</v>
      </c>
      <c r="M823">
        <v>0.99992040000000004</v>
      </c>
      <c r="N823">
        <v>-1.2288240000000001E-2</v>
      </c>
      <c r="O823">
        <v>2.9097870000000001E-3</v>
      </c>
      <c r="P823">
        <v>0.98258140000000005</v>
      </c>
      <c r="Q823">
        <v>0.1737696</v>
      </c>
      <c r="R823">
        <v>-6.5868189999999993E-2</v>
      </c>
      <c r="S823">
        <v>3.246902</v>
      </c>
      <c r="T823">
        <v>-1.25275</v>
      </c>
      <c r="U823">
        <v>-0.41281129999999999</v>
      </c>
      <c r="V823">
        <v>6.8762229999999994E-2</v>
      </c>
      <c r="W823">
        <v>0.1858156</v>
      </c>
      <c r="X823">
        <v>0.98017569999999998</v>
      </c>
      <c r="Y823">
        <v>0.120032</v>
      </c>
      <c r="Z823">
        <v>-2.4084109999999999E-2</v>
      </c>
      <c r="AA823">
        <v>0.99247779999999997</v>
      </c>
      <c r="AB823">
        <v>28</v>
      </c>
      <c r="AC823">
        <v>0.44640000000001101</v>
      </c>
      <c r="AD823">
        <v>-0.27778199999999997</v>
      </c>
      <c r="AE823">
        <v>-9.2499999999972701E-2</v>
      </c>
      <c r="AF823">
        <v>6.8402245881862306E-2</v>
      </c>
      <c r="AG823">
        <v>-0.27778199999999997</v>
      </c>
      <c r="AH823">
        <v>0.32533758093772602</v>
      </c>
      <c r="AI823">
        <v>129.88073707403299</v>
      </c>
      <c r="AJ823">
        <v>78.126499342400606</v>
      </c>
      <c r="AK823">
        <v>0.43322770956633699</v>
      </c>
      <c r="AL823">
        <v>79.2913130961213</v>
      </c>
      <c r="AM823">
        <v>85.987105730460996</v>
      </c>
      <c r="AN823">
        <v>1.0000000421742099</v>
      </c>
    </row>
    <row r="824" spans="1:40" x14ac:dyDescent="0.25">
      <c r="A824" t="str">
        <f>"20190303162514975"</f>
        <v>20190303162514975</v>
      </c>
      <c r="B824" t="str">
        <f>"1551601514963288"</f>
        <v>1551601514963288</v>
      </c>
      <c r="C824" t="s">
        <v>40</v>
      </c>
      <c r="D824">
        <v>5.2492739999999998</v>
      </c>
      <c r="E824">
        <v>0.52724359999999904</v>
      </c>
      <c r="F824" t="s">
        <v>42</v>
      </c>
      <c r="G824">
        <v>-244.96340000000001</v>
      </c>
      <c r="H824">
        <v>0.85007749999999904</v>
      </c>
      <c r="I824">
        <v>368.36590000000001</v>
      </c>
      <c r="J824">
        <v>-245.38560000000001</v>
      </c>
      <c r="K824">
        <v>1.121051</v>
      </c>
      <c r="L824">
        <v>368.45479999999998</v>
      </c>
      <c r="M824">
        <v>0.99992020000000004</v>
      </c>
      <c r="N824">
        <v>-1.231782E-2</v>
      </c>
      <c r="O824">
        <v>2.843595E-3</v>
      </c>
      <c r="P824">
        <v>0.98264649999999998</v>
      </c>
      <c r="Q824">
        <v>0.17368939999999999</v>
      </c>
      <c r="R824">
        <v>-6.5098520000000007E-2</v>
      </c>
      <c r="S824">
        <v>3.2492679999999998</v>
      </c>
      <c r="T824">
        <v>-1.264483</v>
      </c>
      <c r="U824">
        <v>-0.41094969999999997</v>
      </c>
      <c r="V824">
        <v>6.792869E-2</v>
      </c>
      <c r="W824">
        <v>0.1857645</v>
      </c>
      <c r="X824">
        <v>0.98024339999999999</v>
      </c>
      <c r="Y824">
        <v>0.11923060000000001</v>
      </c>
      <c r="Z824">
        <v>-2.4096159999999998E-2</v>
      </c>
      <c r="AA824">
        <v>0.99257419999999996</v>
      </c>
      <c r="AB824">
        <v>28</v>
      </c>
      <c r="AC824">
        <v>0.42220000000000302</v>
      </c>
      <c r="AD824">
        <v>-0.27097349999999998</v>
      </c>
      <c r="AE824">
        <v>-8.8899999999966894E-2</v>
      </c>
      <c r="AF824">
        <v>6.4614152797757798E-2</v>
      </c>
      <c r="AG824">
        <v>-0.27097349999999998</v>
      </c>
      <c r="AH824">
        <v>0.30259222677919301</v>
      </c>
      <c r="AI824">
        <v>131.210690086189</v>
      </c>
      <c r="AJ824">
        <v>77.946351606791794</v>
      </c>
      <c r="AK824">
        <v>0.411295127799021</v>
      </c>
      <c r="AL824">
        <v>79.294291679595005</v>
      </c>
      <c r="AM824">
        <v>86.035867153247693</v>
      </c>
      <c r="AN824">
        <v>0.999999939814461</v>
      </c>
    </row>
    <row r="825" spans="1:40" x14ac:dyDescent="0.25">
      <c r="A825" t="str">
        <f>"20190303162514999"</f>
        <v>20190303162514999</v>
      </c>
      <c r="B825" t="str">
        <f>"1551601514993544"</f>
        <v>1551601514993544</v>
      </c>
      <c r="C825" t="s">
        <v>40</v>
      </c>
      <c r="D825">
        <v>5.2120290000000002</v>
      </c>
      <c r="E825">
        <v>0.52735940000000003</v>
      </c>
      <c r="F825" t="s">
        <v>42</v>
      </c>
      <c r="G825">
        <v>-244.7132</v>
      </c>
      <c r="H825">
        <v>0.85788790000000004</v>
      </c>
      <c r="I825">
        <v>368.37009999999998</v>
      </c>
      <c r="J825">
        <v>-245.108</v>
      </c>
      <c r="K825">
        <v>1.1210599999999999</v>
      </c>
      <c r="L825">
        <v>368.45549999999997</v>
      </c>
      <c r="M825">
        <v>0.99991980000000003</v>
      </c>
      <c r="N825">
        <v>-1.235556E-2</v>
      </c>
      <c r="O825">
        <v>2.7738369999999999E-3</v>
      </c>
      <c r="P825">
        <v>0.98269119999999999</v>
      </c>
      <c r="Q825">
        <v>0.173415299999999</v>
      </c>
      <c r="R825">
        <v>-6.5157229999999997E-2</v>
      </c>
      <c r="S825">
        <v>3.2508240000000002</v>
      </c>
      <c r="T825">
        <v>-1.27227</v>
      </c>
      <c r="U825">
        <v>-0.40814210000000001</v>
      </c>
      <c r="V825">
        <v>6.791788E-2</v>
      </c>
      <c r="W825">
        <v>0.1855289</v>
      </c>
      <c r="X825">
        <v>0.98028890000000002</v>
      </c>
      <c r="Y825">
        <v>0.11823740000000001</v>
      </c>
      <c r="Z825">
        <v>-2.4004959999999999E-2</v>
      </c>
      <c r="AA825">
        <v>0.9926952</v>
      </c>
      <c r="AB825">
        <v>28</v>
      </c>
      <c r="AC825">
        <v>0.39480000000000298</v>
      </c>
      <c r="AD825">
        <v>-0.26317209999999902</v>
      </c>
      <c r="AE825">
        <v>-8.5399999999992801E-2</v>
      </c>
      <c r="AF825">
        <v>6.0719966178690202E-2</v>
      </c>
      <c r="AG825">
        <v>-0.26317209999999902</v>
      </c>
      <c r="AH825">
        <v>0.27698482884757603</v>
      </c>
      <c r="AI825">
        <v>132.86418308288799</v>
      </c>
      <c r="AJ825">
        <v>77.635343874575696</v>
      </c>
      <c r="AK825">
        <v>0.38686827722478401</v>
      </c>
      <c r="AL825">
        <v>79.308030775402102</v>
      </c>
      <c r="AM825">
        <v>86.036679363868203</v>
      </c>
      <c r="AN825">
        <v>1.00000006931105</v>
      </c>
    </row>
    <row r="826" spans="1:40" x14ac:dyDescent="0.25">
      <c r="A826" t="str">
        <f>"20190303162515020"</f>
        <v>20190303162515020</v>
      </c>
      <c r="B826" t="str">
        <f>"1551601515014039"</f>
        <v>1551601515014039</v>
      </c>
      <c r="C826" t="s">
        <v>40</v>
      </c>
      <c r="D826">
        <v>5.1751889999999996</v>
      </c>
      <c r="E826">
        <v>0.52700279999999999</v>
      </c>
      <c r="F826" t="s">
        <v>42</v>
      </c>
      <c r="G826">
        <v>-244.24850000000001</v>
      </c>
      <c r="H826">
        <v>0.78441050000000001</v>
      </c>
      <c r="I826">
        <v>368.34690000000001</v>
      </c>
      <c r="J826">
        <v>-244.8348</v>
      </c>
      <c r="K826">
        <v>1.1210739999999999</v>
      </c>
      <c r="L826">
        <v>368.45609999999999</v>
      </c>
      <c r="M826">
        <v>0.99991949999999996</v>
      </c>
      <c r="N826">
        <v>-1.240116E-2</v>
      </c>
      <c r="O826">
        <v>2.696862E-3</v>
      </c>
      <c r="P826">
        <v>0.98274799999999995</v>
      </c>
      <c r="Q826">
        <v>0.1728874</v>
      </c>
      <c r="R826">
        <v>-6.5698670000000001E-2</v>
      </c>
      <c r="S826">
        <v>3.2503199999999999</v>
      </c>
      <c r="T826">
        <v>-1.273075</v>
      </c>
      <c r="U826">
        <v>-0.40978999999999999</v>
      </c>
      <c r="V826">
        <v>6.8381330000000004E-2</v>
      </c>
      <c r="W826">
        <v>0.18504709999999999</v>
      </c>
      <c r="X826">
        <v>0.98034770000000004</v>
      </c>
      <c r="Y826">
        <v>0.1186367</v>
      </c>
      <c r="Z826">
        <v>-2.4073770000000001E-2</v>
      </c>
      <c r="AA826">
        <v>0.99264589999999997</v>
      </c>
      <c r="AB826">
        <v>28</v>
      </c>
      <c r="AC826">
        <v>0.58629999999999405</v>
      </c>
      <c r="AD826">
        <v>-0.33666349999999901</v>
      </c>
      <c r="AE826">
        <v>-0.109199999999987</v>
      </c>
      <c r="AF826">
        <v>8.4009528361485897E-2</v>
      </c>
      <c r="AG826">
        <v>-0.33666349999999901</v>
      </c>
      <c r="AH826">
        <v>0.444389486514015</v>
      </c>
      <c r="AI826">
        <v>126.66405708267899</v>
      </c>
      <c r="AJ826">
        <v>79.294863361635393</v>
      </c>
      <c r="AK826">
        <v>0.56381018863794896</v>
      </c>
      <c r="AL826">
        <v>79.336121819245307</v>
      </c>
      <c r="AM826">
        <v>86.009960552039203</v>
      </c>
      <c r="AN826">
        <v>1.0000000242031299</v>
      </c>
    </row>
    <row r="827" spans="1:40" x14ac:dyDescent="0.25">
      <c r="A827" t="str">
        <f>"20190303162515053"</f>
        <v>20190303162515053</v>
      </c>
      <c r="B827" t="str">
        <f>"1551601515043320"</f>
        <v>1551601515043320</v>
      </c>
      <c r="C827" t="s">
        <v>40</v>
      </c>
      <c r="D827">
        <v>5.1927640000000004</v>
      </c>
      <c r="E827">
        <v>0.52629150000000002</v>
      </c>
      <c r="F827" t="s">
        <v>42</v>
      </c>
      <c r="G827">
        <v>-243.99809999999999</v>
      </c>
      <c r="H827">
        <v>0.79366269999999906</v>
      </c>
      <c r="I827">
        <v>368.35079999999999</v>
      </c>
      <c r="J827">
        <v>-244.43090000000001</v>
      </c>
      <c r="K827">
        <v>1.121081</v>
      </c>
      <c r="L827">
        <v>368.45710000000003</v>
      </c>
      <c r="M827">
        <v>0.9999188</v>
      </c>
      <c r="N827">
        <v>-1.247552E-2</v>
      </c>
      <c r="O827">
        <v>2.5809909999999999E-3</v>
      </c>
      <c r="P827">
        <v>0.98285319999999998</v>
      </c>
      <c r="Q827">
        <v>0.17185629999999999</v>
      </c>
      <c r="R827">
        <v>-6.6820350000000001E-2</v>
      </c>
      <c r="S827">
        <v>3.2490230000000002</v>
      </c>
      <c r="T827">
        <v>-1.271387</v>
      </c>
      <c r="U827">
        <v>-0.40835569999999999</v>
      </c>
      <c r="V827">
        <v>6.9387950000000004E-2</v>
      </c>
      <c r="W827">
        <v>0.1840907</v>
      </c>
      <c r="X827">
        <v>0.98045700000000002</v>
      </c>
      <c r="Y827">
        <v>0.1181947</v>
      </c>
      <c r="Z827">
        <v>-2.393027E-2</v>
      </c>
      <c r="AA827">
        <v>0.99270210000000003</v>
      </c>
      <c r="AB827">
        <v>28</v>
      </c>
      <c r="AC827">
        <v>0.43280000000001401</v>
      </c>
      <c r="AD827">
        <v>-0.3274183</v>
      </c>
      <c r="AE827">
        <v>-0.10630000000003199</v>
      </c>
      <c r="AF827">
        <v>6.97624821994169E-2</v>
      </c>
      <c r="AG827">
        <v>-0.3274183</v>
      </c>
      <c r="AH827">
        <v>0.28090544708979098</v>
      </c>
      <c r="AI827">
        <v>138.52324191093601</v>
      </c>
      <c r="AJ827">
        <v>76.052842071324704</v>
      </c>
      <c r="AK827">
        <v>0.43700963067446202</v>
      </c>
      <c r="AL827">
        <v>79.391877160902098</v>
      </c>
      <c r="AM827">
        <v>85.951868177043394</v>
      </c>
      <c r="AN827">
        <v>1.00000000114034</v>
      </c>
    </row>
    <row r="828" spans="1:40" x14ac:dyDescent="0.25">
      <c r="A828" t="str">
        <f>"20190303162515075"</f>
        <v>20190303162515075</v>
      </c>
      <c r="B828" t="str">
        <f>"1551601515063817"</f>
        <v>1551601515063817</v>
      </c>
      <c r="C828" t="s">
        <v>40</v>
      </c>
      <c r="D828">
        <v>5.1794060000000002</v>
      </c>
      <c r="E828">
        <v>0.52584390000000003</v>
      </c>
      <c r="F828" t="s">
        <v>42</v>
      </c>
      <c r="G828">
        <v>-243.73009999999999</v>
      </c>
      <c r="H828">
        <v>0.84776059999999998</v>
      </c>
      <c r="I828">
        <v>368.36930000000001</v>
      </c>
      <c r="J828">
        <v>-244.15559999999999</v>
      </c>
      <c r="K828">
        <v>1.121078</v>
      </c>
      <c r="L828">
        <v>368.45769999999999</v>
      </c>
      <c r="M828">
        <v>0.99991839999999999</v>
      </c>
      <c r="N828">
        <v>-1.2529169999999999E-2</v>
      </c>
      <c r="O828">
        <v>2.505181E-3</v>
      </c>
      <c r="P828">
        <v>0.98297080000000003</v>
      </c>
      <c r="Q828">
        <v>0.170681</v>
      </c>
      <c r="R828">
        <v>-6.8091360000000004E-2</v>
      </c>
      <c r="S828">
        <v>3.246124</v>
      </c>
      <c r="T828">
        <v>-1.2660089999999999</v>
      </c>
      <c r="U828">
        <v>-0.4054565</v>
      </c>
      <c r="V828">
        <v>7.0584830000000001E-2</v>
      </c>
      <c r="W828">
        <v>0.18296950000000001</v>
      </c>
      <c r="X828">
        <v>0.98058149999999999</v>
      </c>
      <c r="Y828">
        <v>0.11747100000000001</v>
      </c>
      <c r="Z828">
        <v>-2.3694119999999999E-2</v>
      </c>
      <c r="AA828">
        <v>0.99279360000000005</v>
      </c>
      <c r="AB828">
        <v>28</v>
      </c>
      <c r="AC828">
        <v>0.42549999999999899</v>
      </c>
      <c r="AD828">
        <v>-0.27331739999999999</v>
      </c>
      <c r="AE828">
        <v>-8.8399999999978704E-2</v>
      </c>
      <c r="AF828">
        <v>6.4108634098901399E-2</v>
      </c>
      <c r="AG828">
        <v>-0.27331739999999999</v>
      </c>
      <c r="AH828">
        <v>0.30474160722988802</v>
      </c>
      <c r="AI828">
        <v>131.272508872732</v>
      </c>
      <c r="AJ828">
        <v>78.119892760065099</v>
      </c>
      <c r="AK828">
        <v>0.41434256996577301</v>
      </c>
      <c r="AL828">
        <v>79.457227926771793</v>
      </c>
      <c r="AM828">
        <v>85.882800700327195</v>
      </c>
      <c r="AN828">
        <v>1.0000000671493099</v>
      </c>
    </row>
    <row r="829" spans="1:40" x14ac:dyDescent="0.25">
      <c r="A829" t="str">
        <f>"20190303162515098"</f>
        <v>20190303162515098</v>
      </c>
      <c r="B829" t="str">
        <f>"1551601515094072"</f>
        <v>1551601515094072</v>
      </c>
      <c r="C829" t="s">
        <v>40</v>
      </c>
      <c r="D829">
        <v>5.1065189999999996</v>
      </c>
      <c r="E829">
        <v>0.52541700000000002</v>
      </c>
      <c r="F829" t="s">
        <v>42</v>
      </c>
      <c r="G829">
        <v>-243.48</v>
      </c>
      <c r="H829">
        <v>0.85702420000000001</v>
      </c>
      <c r="I829">
        <v>368.37329999999997</v>
      </c>
      <c r="J829">
        <v>-243.87469999999999</v>
      </c>
      <c r="K829">
        <v>1.1210770000000001</v>
      </c>
      <c r="L829">
        <v>368.45830000000001</v>
      </c>
      <c r="M829">
        <v>0.99991790000000003</v>
      </c>
      <c r="N829">
        <v>-1.2581820000000001E-2</v>
      </c>
      <c r="O829">
        <v>2.4300749999999999E-3</v>
      </c>
      <c r="P829">
        <v>0.98294009999999998</v>
      </c>
      <c r="Q829">
        <v>0.17031979999999999</v>
      </c>
      <c r="R829">
        <v>-6.9429169999999998E-2</v>
      </c>
      <c r="S829">
        <v>3.244049</v>
      </c>
      <c r="T829">
        <v>-1.2678560000000001</v>
      </c>
      <c r="U829">
        <v>-0.40509030000000001</v>
      </c>
      <c r="V829">
        <v>7.1849419999999997E-2</v>
      </c>
      <c r="W829">
        <v>0.1826586</v>
      </c>
      <c r="X829">
        <v>0.98054750000000002</v>
      </c>
      <c r="Y829">
        <v>0.1173419</v>
      </c>
      <c r="Z829">
        <v>-2.368992E-2</v>
      </c>
      <c r="AA829">
        <v>0.99280900000000005</v>
      </c>
      <c r="AB829">
        <v>28</v>
      </c>
      <c r="AC829">
        <v>0.3947</v>
      </c>
      <c r="AD829">
        <v>-0.26405279999999998</v>
      </c>
      <c r="AE829">
        <v>-8.5000000000036297E-2</v>
      </c>
      <c r="AF829">
        <v>6.0207186419046599E-2</v>
      </c>
      <c r="AG829">
        <v>-0.26405279999999998</v>
      </c>
      <c r="AH829">
        <v>0.27630935570821002</v>
      </c>
      <c r="AI829">
        <v>133.037283923513</v>
      </c>
      <c r="AJ829">
        <v>77.707521526516501</v>
      </c>
      <c r="AK829">
        <v>0.38690521647585002</v>
      </c>
      <c r="AL829">
        <v>79.475345296324093</v>
      </c>
      <c r="AM829">
        <v>85.809153113266504</v>
      </c>
      <c r="AN829">
        <v>0.99999995153227195</v>
      </c>
    </row>
    <row r="830" spans="1:40" x14ac:dyDescent="0.25">
      <c r="A830" t="str">
        <f>"20190303162515120"</f>
        <v>20190303162515120</v>
      </c>
      <c r="B830" t="str">
        <f>"1551601515113592"</f>
        <v>1551601515113592</v>
      </c>
      <c r="C830" t="s">
        <v>40</v>
      </c>
      <c r="D830">
        <v>5.1072129999999998</v>
      </c>
      <c r="E830">
        <v>0.52525290000000002</v>
      </c>
      <c r="F830" t="s">
        <v>42</v>
      </c>
      <c r="G830">
        <v>-243.01580000000001</v>
      </c>
      <c r="H830">
        <v>0.78577739999999996</v>
      </c>
      <c r="I830">
        <v>368.35090000000002</v>
      </c>
      <c r="J830">
        <v>-243.60319999999999</v>
      </c>
      <c r="K830">
        <v>1.121081</v>
      </c>
      <c r="L830">
        <v>368.45890000000003</v>
      </c>
      <c r="M830">
        <v>0.99991759999999996</v>
      </c>
      <c r="N830">
        <v>-1.262827E-2</v>
      </c>
      <c r="O830">
        <v>2.357161E-3</v>
      </c>
      <c r="P830">
        <v>0.98298090000000005</v>
      </c>
      <c r="Q830">
        <v>0.16955390000000001</v>
      </c>
      <c r="R830">
        <v>-7.0713769999999995E-2</v>
      </c>
      <c r="S830">
        <v>3.2428129999999999</v>
      </c>
      <c r="T830">
        <v>-1.2659659999999999</v>
      </c>
      <c r="U830">
        <v>-0.40487669999999998</v>
      </c>
      <c r="V830">
        <v>7.3063089999999997E-2</v>
      </c>
      <c r="W830">
        <v>0.1819385</v>
      </c>
      <c r="X830">
        <v>0.98059180000000001</v>
      </c>
      <c r="Y830">
        <v>0.1172793</v>
      </c>
      <c r="Z830">
        <v>-2.3630200000000001E-2</v>
      </c>
      <c r="AA830">
        <v>0.99281779999999997</v>
      </c>
      <c r="AB830">
        <v>28</v>
      </c>
      <c r="AC830">
        <v>0.58739999999997305</v>
      </c>
      <c r="AD830">
        <v>-0.33530359999999898</v>
      </c>
      <c r="AE830">
        <v>-0.108000000000004</v>
      </c>
      <c r="AF830">
        <v>8.3170154482856695E-2</v>
      </c>
      <c r="AG830">
        <v>-0.33530359999999898</v>
      </c>
      <c r="AH830">
        <v>0.44643327097466401</v>
      </c>
      <c r="AI830">
        <v>126.44097484962001</v>
      </c>
      <c r="AJ830">
        <v>79.446824133009997</v>
      </c>
      <c r="AK830">
        <v>0.56448954304114396</v>
      </c>
      <c r="AL830">
        <v>79.517308238225596</v>
      </c>
      <c r="AM830">
        <v>85.7388123604063</v>
      </c>
      <c r="AN830">
        <v>1.00000005556491</v>
      </c>
    </row>
    <row r="831" spans="1:40" x14ac:dyDescent="0.25">
      <c r="A831" t="str">
        <f>"20190303162515142"</f>
        <v>20190303162515142</v>
      </c>
      <c r="B831" t="str">
        <f>"1551601515134088"</f>
        <v>1551601515134088</v>
      </c>
      <c r="C831" t="s">
        <v>40</v>
      </c>
      <c r="D831">
        <v>5.0027229999999996</v>
      </c>
      <c r="E831">
        <v>0.52503500000000003</v>
      </c>
      <c r="F831" t="s">
        <v>42</v>
      </c>
      <c r="G831">
        <v>-242.76660000000001</v>
      </c>
      <c r="H831">
        <v>0.79393530000000001</v>
      </c>
      <c r="I831">
        <v>368.3537</v>
      </c>
      <c r="J831">
        <v>-243.327</v>
      </c>
      <c r="K831">
        <v>1.121084</v>
      </c>
      <c r="L831">
        <v>368.45940000000002</v>
      </c>
      <c r="M831">
        <v>0.99991730000000001</v>
      </c>
      <c r="N831">
        <v>-1.2671150000000001E-2</v>
      </c>
      <c r="O831">
        <v>2.2813E-3</v>
      </c>
      <c r="P831">
        <v>0.98288379999999997</v>
      </c>
      <c r="Q831">
        <v>0.16963120000000001</v>
      </c>
      <c r="R831">
        <v>-7.1869790000000003E-2</v>
      </c>
      <c r="S831">
        <v>3.241333</v>
      </c>
      <c r="T831">
        <v>-1.2673369999999999</v>
      </c>
      <c r="U831">
        <v>-0.40649410000000002</v>
      </c>
      <c r="V831">
        <v>7.4144479999999999E-2</v>
      </c>
      <c r="W831">
        <v>0.18205669999999999</v>
      </c>
      <c r="X831">
        <v>0.98048869999999999</v>
      </c>
      <c r="Y831">
        <v>0.11769489999999901</v>
      </c>
      <c r="Z831">
        <v>-2.371823E-2</v>
      </c>
      <c r="AA831">
        <v>0.9927665</v>
      </c>
      <c r="AB831">
        <v>28</v>
      </c>
      <c r="AC831">
        <v>0.56039999999998702</v>
      </c>
      <c r="AD831">
        <v>-0.32714870000000001</v>
      </c>
      <c r="AE831">
        <v>-0.10570000000001301</v>
      </c>
      <c r="AF831">
        <v>8.0489970055321894E-2</v>
      </c>
      <c r="AG831">
        <v>-0.32714870000000001</v>
      </c>
      <c r="AH831">
        <v>0.42145991295305402</v>
      </c>
      <c r="AI831">
        <v>127.323617879419</v>
      </c>
      <c r="AJ831">
        <v>79.187907437695301</v>
      </c>
      <c r="AK831">
        <v>0.53956775794851997</v>
      </c>
      <c r="AL831">
        <v>79.510420986975603</v>
      </c>
      <c r="AM831">
        <v>85.675528013507602</v>
      </c>
      <c r="AN831">
        <v>1.00000006837852</v>
      </c>
    </row>
    <row r="832" spans="1:40" x14ac:dyDescent="0.25">
      <c r="A832" t="str">
        <f>"20190303162515165"</f>
        <v>20190303162515165</v>
      </c>
      <c r="B832" t="str">
        <f>"1551601515153608"</f>
        <v>1551601515153608</v>
      </c>
      <c r="C832" t="s">
        <v>40</v>
      </c>
      <c r="D832">
        <v>4.9812260000000004</v>
      </c>
      <c r="E832">
        <v>0.52482649999999997</v>
      </c>
      <c r="F832" t="s">
        <v>42</v>
      </c>
      <c r="G832">
        <v>-242.51650000000001</v>
      </c>
      <c r="H832">
        <v>0.80471530000000002</v>
      </c>
      <c r="I832">
        <v>368.35750000000002</v>
      </c>
      <c r="J832">
        <v>-243.05179999999999</v>
      </c>
      <c r="K832">
        <v>1.121081</v>
      </c>
      <c r="L832">
        <v>368.46</v>
      </c>
      <c r="M832">
        <v>0.9999169</v>
      </c>
      <c r="N832">
        <v>-1.270956E-2</v>
      </c>
      <c r="O832">
        <v>2.2047579999999998E-3</v>
      </c>
      <c r="P832">
        <v>0.98271949999999997</v>
      </c>
      <c r="Q832">
        <v>0.17019139999999999</v>
      </c>
      <c r="R832">
        <v>-7.2782189999999997E-2</v>
      </c>
      <c r="S832">
        <v>3.240799</v>
      </c>
      <c r="T832">
        <v>-1.2649520000000001</v>
      </c>
      <c r="U832">
        <v>-0.40710449999999998</v>
      </c>
      <c r="V832">
        <v>7.4981640000000002E-2</v>
      </c>
      <c r="W832">
        <v>0.18265210000000001</v>
      </c>
      <c r="X832">
        <v>0.98031420000000002</v>
      </c>
      <c r="Y832">
        <v>0.11784600000000001</v>
      </c>
      <c r="Z832">
        <v>-2.3684920000000002E-2</v>
      </c>
      <c r="AA832">
        <v>0.9927494</v>
      </c>
      <c r="AB832">
        <v>28</v>
      </c>
      <c r="AC832">
        <v>0.53529999999997802</v>
      </c>
      <c r="AD832">
        <v>-0.31636570000000003</v>
      </c>
      <c r="AE832">
        <v>-0.102499999999963</v>
      </c>
      <c r="AF832">
        <v>7.7550570773236696E-2</v>
      </c>
      <c r="AG832">
        <v>-0.31636570000000003</v>
      </c>
      <c r="AH832">
        <v>0.40022349073331598</v>
      </c>
      <c r="AI832">
        <v>127.812829874725</v>
      </c>
      <c r="AJ832">
        <v>79.033800281676307</v>
      </c>
      <c r="AK832">
        <v>0.51602343909797799</v>
      </c>
      <c r="AL832">
        <v>79.475724430016498</v>
      </c>
      <c r="AM832">
        <v>85.626113657738003</v>
      </c>
      <c r="AN832">
        <v>0.99999998334656903</v>
      </c>
    </row>
    <row r="833" spans="1:40" x14ac:dyDescent="0.25">
      <c r="A833" t="str">
        <f>"20190303162515199"</f>
        <v>20190303162515199</v>
      </c>
      <c r="B833" t="str">
        <f>"1551601515193624"</f>
        <v>1551601515193624</v>
      </c>
      <c r="C833" t="s">
        <v>40</v>
      </c>
      <c r="D833">
        <v>4.839391</v>
      </c>
      <c r="E833">
        <v>0.54723120000000003</v>
      </c>
      <c r="F833" t="s">
        <v>42</v>
      </c>
      <c r="G833">
        <v>-242.2664</v>
      </c>
      <c r="H833">
        <v>0.81566830000000001</v>
      </c>
      <c r="I833">
        <v>368.36079999999998</v>
      </c>
      <c r="J833">
        <v>-242.63319999999999</v>
      </c>
      <c r="K833">
        <v>1.121092</v>
      </c>
      <c r="L833">
        <v>368.46080000000001</v>
      </c>
      <c r="M833">
        <v>0.99991640000000004</v>
      </c>
      <c r="N833">
        <v>-1.2760499999999999E-2</v>
      </c>
      <c r="O833">
        <v>2.0887319999999998E-3</v>
      </c>
      <c r="P833">
        <v>0.98261739999999997</v>
      </c>
      <c r="Q833">
        <v>0.16985899999999901</v>
      </c>
      <c r="R833">
        <v>-7.4905230000000003E-2</v>
      </c>
      <c r="S833">
        <v>3.240723</v>
      </c>
      <c r="T833">
        <v>-1.26014</v>
      </c>
      <c r="U833">
        <v>-0.40841670000000002</v>
      </c>
      <c r="V833">
        <v>7.6990649999999994E-2</v>
      </c>
      <c r="W833">
        <v>0.182368</v>
      </c>
      <c r="X833">
        <v>0.98021139999999995</v>
      </c>
      <c r="Y833">
        <v>0.11817660000000001</v>
      </c>
      <c r="Z833">
        <v>-2.3628440000000001E-2</v>
      </c>
      <c r="AA833">
        <v>0.99271140000000002</v>
      </c>
      <c r="AB833">
        <v>27</v>
      </c>
      <c r="AC833">
        <v>0.36679999999998297</v>
      </c>
      <c r="AD833">
        <v>-0.30542369999999902</v>
      </c>
      <c r="AE833">
        <v>-0.100000000000022</v>
      </c>
      <c r="AF833">
        <v>6.1242040955359102E-2</v>
      </c>
      <c r="AG833">
        <v>-0.30542369999999902</v>
      </c>
      <c r="AH833">
        <v>0.22280075354201201</v>
      </c>
      <c r="AI833">
        <v>142.891136284249</v>
      </c>
      <c r="AJ833">
        <v>74.630482988884197</v>
      </c>
      <c r="AK833">
        <v>0.38298093931807597</v>
      </c>
      <c r="AL833">
        <v>79.492280602652102</v>
      </c>
      <c r="AM833">
        <v>85.508926639071902</v>
      </c>
      <c r="AN833">
        <v>1.0000000181506901</v>
      </c>
    </row>
    <row r="834" spans="1:40" x14ac:dyDescent="0.25">
      <c r="A834" t="str">
        <f>"20190303162515221"</f>
        <v>20190303162515221</v>
      </c>
      <c r="B834" t="str">
        <f>"1551601515213144"</f>
        <v>1551601515213144</v>
      </c>
      <c r="C834" t="s">
        <v>40</v>
      </c>
      <c r="D834">
        <v>4.8069819999999996</v>
      </c>
      <c r="E834">
        <v>0.55013669999999903</v>
      </c>
      <c r="F834" t="s">
        <v>41</v>
      </c>
      <c r="G834">
        <v>-227.34639999999999</v>
      </c>
      <c r="H834" s="1">
        <v>-1.9945250000000002E-6</v>
      </c>
      <c r="I834">
        <v>365.46190000000001</v>
      </c>
      <c r="J834">
        <v>-242.35830000000001</v>
      </c>
      <c r="K834">
        <v>1.121081</v>
      </c>
      <c r="L834">
        <v>368.46120000000002</v>
      </c>
      <c r="M834">
        <v>0.99991629999999998</v>
      </c>
      <c r="N834">
        <v>-1.2788580000000001E-2</v>
      </c>
      <c r="O834">
        <v>2.012256E-3</v>
      </c>
      <c r="P834">
        <v>0.98244710000000002</v>
      </c>
      <c r="Q834">
        <v>0.16977120000000001</v>
      </c>
      <c r="R834">
        <v>-7.7306730000000004E-2</v>
      </c>
      <c r="S834">
        <v>3.0461269999999998</v>
      </c>
      <c r="T834">
        <v>-0.2233937</v>
      </c>
      <c r="U834">
        <v>-0.59756469999999995</v>
      </c>
      <c r="V834">
        <v>7.9316429999999993E-2</v>
      </c>
      <c r="W834">
        <v>0.1823051</v>
      </c>
      <c r="X834">
        <v>0.98003759999999995</v>
      </c>
      <c r="Y834">
        <v>0.19388179999999999</v>
      </c>
      <c r="Z834">
        <v>-8.4069729999999999E-3</v>
      </c>
      <c r="AA834">
        <v>0.98098890000000005</v>
      </c>
      <c r="AB834">
        <v>27</v>
      </c>
      <c r="AC834">
        <v>15.011900000000001</v>
      </c>
      <c r="AD834">
        <v>-1.121082994525</v>
      </c>
      <c r="AE834">
        <v>-2.9992999999999999</v>
      </c>
      <c r="AF834">
        <v>3.01334371720182</v>
      </c>
      <c r="AG834">
        <v>-1.121082994525</v>
      </c>
      <c r="AH834">
        <v>14.9257872461598</v>
      </c>
      <c r="AI834">
        <v>94.210805626362301</v>
      </c>
      <c r="AJ834">
        <v>78.586067976869799</v>
      </c>
      <c r="AK834">
        <v>15.2681430552717</v>
      </c>
      <c r="AL834">
        <v>79.495945456627894</v>
      </c>
      <c r="AM834">
        <v>85.373021038277003</v>
      </c>
      <c r="AN834">
        <v>0.999999971483857</v>
      </c>
    </row>
    <row r="835" spans="1:40" x14ac:dyDescent="0.25">
      <c r="A835" t="str">
        <f>"20190303162515243"</f>
        <v>20190303162515243</v>
      </c>
      <c r="B835" t="str">
        <f>"1551601515233640"</f>
        <v>1551601515233640</v>
      </c>
      <c r="C835" t="s">
        <v>40</v>
      </c>
      <c r="D835">
        <v>4.8467529999999996</v>
      </c>
      <c r="E835">
        <v>0.55109039999999998</v>
      </c>
      <c r="F835" t="s">
        <v>45</v>
      </c>
      <c r="G835">
        <v>-190.9365</v>
      </c>
      <c r="H835" s="1">
        <v>-4.6305089999999996E-6</v>
      </c>
      <c r="I835">
        <v>357.74470000000002</v>
      </c>
      <c r="J835">
        <v>-242.09399999999999</v>
      </c>
      <c r="K835">
        <v>1.121081</v>
      </c>
      <c r="L835">
        <v>368.46170000000001</v>
      </c>
      <c r="M835">
        <v>0.99991620000000003</v>
      </c>
      <c r="N835">
        <v>-1.281349E-2</v>
      </c>
      <c r="O835">
        <v>1.9394970000000001E-3</v>
      </c>
      <c r="P835">
        <v>0.98232949999999997</v>
      </c>
      <c r="Q835">
        <v>0.1698867</v>
      </c>
      <c r="R835">
        <v>-7.8532379999999999E-2</v>
      </c>
      <c r="S835">
        <v>3.0155029999999998</v>
      </c>
      <c r="T835">
        <v>-6.5743330000000003E-2</v>
      </c>
      <c r="U835">
        <v>-0.62844849999999997</v>
      </c>
      <c r="V835">
        <v>8.0470780000000006E-2</v>
      </c>
      <c r="W835">
        <v>0.18244340000000001</v>
      </c>
      <c r="X835">
        <v>0.97991779999999995</v>
      </c>
      <c r="Y835">
        <v>0.20584520000000001</v>
      </c>
      <c r="Z835">
        <v>-3.5701489999999999E-3</v>
      </c>
      <c r="AA835">
        <v>0.97857799999999995</v>
      </c>
      <c r="AB835">
        <v>27</v>
      </c>
      <c r="AC835">
        <v>51.157499999999999</v>
      </c>
      <c r="AD835">
        <v>-1.121085630509</v>
      </c>
      <c r="AE835">
        <v>-10.716999999999899</v>
      </c>
      <c r="AF835">
        <v>10.8112340693703</v>
      </c>
      <c r="AG835">
        <v>-1.121085630509</v>
      </c>
      <c r="AH835">
        <v>51.113101849947498</v>
      </c>
      <c r="AI835">
        <v>91.229302131852094</v>
      </c>
      <c r="AJ835">
        <v>78.057059776364795</v>
      </c>
      <c r="AK835">
        <v>52.255992917719503</v>
      </c>
      <c r="AL835">
        <v>79.487886782645106</v>
      </c>
      <c r="AM835">
        <v>85.305408697804793</v>
      </c>
      <c r="AN835">
        <v>1.0000000176971</v>
      </c>
    </row>
    <row r="836" spans="1:40" x14ac:dyDescent="0.25">
      <c r="A836" t="str">
        <f>"20190303162515277"</f>
        <v>20190303162515277</v>
      </c>
      <c r="B836" t="str">
        <f>"1551601515273657"</f>
        <v>1551601515273657</v>
      </c>
      <c r="C836" t="s">
        <v>40</v>
      </c>
      <c r="D836">
        <v>4.889221</v>
      </c>
      <c r="E836">
        <v>0.54936779999999996</v>
      </c>
      <c r="F836" t="s">
        <v>44</v>
      </c>
      <c r="G836">
        <v>-84.030319999999904</v>
      </c>
      <c r="H836">
        <v>-0.05</v>
      </c>
      <c r="I836">
        <v>334.82029999999997</v>
      </c>
      <c r="J836">
        <v>-241.679</v>
      </c>
      <c r="K836">
        <v>1.121095</v>
      </c>
      <c r="L836">
        <v>368.46230000000003</v>
      </c>
      <c r="M836">
        <v>0.99991580000000002</v>
      </c>
      <c r="N836">
        <v>-1.2856650000000001E-2</v>
      </c>
      <c r="O836">
        <v>1.824018E-3</v>
      </c>
      <c r="P836">
        <v>0.98237070000000004</v>
      </c>
      <c r="Q836">
        <v>0.17052970000000001</v>
      </c>
      <c r="R836">
        <v>-7.6602649999999994E-2</v>
      </c>
      <c r="S836">
        <v>3.0066679999999999</v>
      </c>
      <c r="T836">
        <v>-2.227616E-2</v>
      </c>
      <c r="U836">
        <v>-0.63992309999999997</v>
      </c>
      <c r="V836">
        <v>7.8427350000000007E-2</v>
      </c>
      <c r="W836">
        <v>0.18312929999999999</v>
      </c>
      <c r="X836">
        <v>0.97995549999999998</v>
      </c>
      <c r="Y836">
        <v>0.20994019999999999</v>
      </c>
      <c r="Z836">
        <v>-2.1238820000000001E-3</v>
      </c>
      <c r="AA836">
        <v>0.97771189999999997</v>
      </c>
      <c r="AB836">
        <v>27</v>
      </c>
      <c r="AC836">
        <v>157.64868000000001</v>
      </c>
      <c r="AD836">
        <v>-1.171095</v>
      </c>
      <c r="AE836">
        <v>-33.642000000000003</v>
      </c>
      <c r="AF836">
        <v>33.927731111344698</v>
      </c>
      <c r="AG836">
        <v>-1.171095</v>
      </c>
      <c r="AH836">
        <v>157.57873213577901</v>
      </c>
      <c r="AI836">
        <v>90.416264709900602</v>
      </c>
      <c r="AJ836">
        <v>77.849333606473806</v>
      </c>
      <c r="AK836">
        <v>161.19404214605001</v>
      </c>
      <c r="AL836">
        <v>79.447913835392598</v>
      </c>
      <c r="AM836">
        <v>85.424282999648696</v>
      </c>
      <c r="AN836">
        <v>0.99999998586338101</v>
      </c>
    </row>
    <row r="837" spans="1:40" x14ac:dyDescent="0.25">
      <c r="A837" t="str">
        <f>"20190303162515300"</f>
        <v>20190303162515300</v>
      </c>
      <c r="B837" t="str">
        <f>"1551601515293176"</f>
        <v>1551601515293176</v>
      </c>
      <c r="C837" t="s">
        <v>40</v>
      </c>
      <c r="D837">
        <v>4.9066859999999997</v>
      </c>
      <c r="E837">
        <v>0.5486356</v>
      </c>
      <c r="F837" t="s">
        <v>43</v>
      </c>
      <c r="G837">
        <v>-158.78319999999999</v>
      </c>
      <c r="H837">
        <v>0.2024822</v>
      </c>
      <c r="I837">
        <v>351.39839999999998</v>
      </c>
      <c r="J837">
        <v>-241.39060000000001</v>
      </c>
      <c r="K837">
        <v>1.1211040000000001</v>
      </c>
      <c r="L837">
        <v>368.46280000000002</v>
      </c>
      <c r="M837">
        <v>0.99991560000000002</v>
      </c>
      <c r="N837">
        <v>-1.288516E-2</v>
      </c>
      <c r="O837">
        <v>1.742841E-3</v>
      </c>
      <c r="P837">
        <v>0.98246659999999997</v>
      </c>
      <c r="Q837">
        <v>0.1714967</v>
      </c>
      <c r="R837">
        <v>-7.3134000000000005E-2</v>
      </c>
      <c r="S837">
        <v>3.0113219999999998</v>
      </c>
      <c r="T837">
        <v>-3.3366920000000001E-2</v>
      </c>
      <c r="U837">
        <v>-0.61987300000000001</v>
      </c>
      <c r="V837">
        <v>7.4878920000000002E-2</v>
      </c>
      <c r="W837">
        <v>0.18412680000000001</v>
      </c>
      <c r="X837">
        <v>0.98004619999999998</v>
      </c>
      <c r="Y837">
        <v>0.2033005</v>
      </c>
      <c r="Z837">
        <v>-2.4350130000000002E-3</v>
      </c>
      <c r="AA837">
        <v>0.97911329999999996</v>
      </c>
      <c r="AB837">
        <v>27</v>
      </c>
      <c r="AC837">
        <v>82.607399999999998</v>
      </c>
      <c r="AD837">
        <v>-0.91862180000000004</v>
      </c>
      <c r="AE837">
        <v>-17.064399999999999</v>
      </c>
      <c r="AF837">
        <v>17.2063168923634</v>
      </c>
      <c r="AG837">
        <v>-0.91862180000000004</v>
      </c>
      <c r="AH837">
        <v>82.5677389135667</v>
      </c>
      <c r="AI837">
        <v>90.624023406515093</v>
      </c>
      <c r="AJ837">
        <v>78.228582254012593</v>
      </c>
      <c r="AK837">
        <v>84.346503877225302</v>
      </c>
      <c r="AL837">
        <v>79.389773256644503</v>
      </c>
      <c r="AM837">
        <v>85.630892583733996</v>
      </c>
      <c r="AN837">
        <v>1.0000000426365201</v>
      </c>
    </row>
    <row r="838" spans="1:40" x14ac:dyDescent="0.25">
      <c r="A838" t="str">
        <f>"20190303162515321"</f>
        <v>20190303162515321</v>
      </c>
      <c r="B838" t="str">
        <f>"1551601515313672"</f>
        <v>1551601515313672</v>
      </c>
      <c r="C838" t="s">
        <v>40</v>
      </c>
      <c r="D838">
        <v>4.8235260000000002</v>
      </c>
      <c r="E838">
        <v>0.54924830000000002</v>
      </c>
      <c r="F838" t="s">
        <v>43</v>
      </c>
      <c r="G838">
        <v>-169.2955</v>
      </c>
      <c r="H838">
        <v>0.196661</v>
      </c>
      <c r="I838">
        <v>354.05849999999998</v>
      </c>
      <c r="J838">
        <v>-241.14060000000001</v>
      </c>
      <c r="K838">
        <v>1.1211089999999999</v>
      </c>
      <c r="L838">
        <v>368.4631</v>
      </c>
      <c r="M838">
        <v>0.9999152</v>
      </c>
      <c r="N838">
        <v>-1.290706E-2</v>
      </c>
      <c r="O838">
        <v>1.672787E-3</v>
      </c>
      <c r="P838">
        <v>0.98262349999999998</v>
      </c>
      <c r="Q838">
        <v>0.1717931</v>
      </c>
      <c r="R838">
        <v>-7.0272660000000001E-2</v>
      </c>
      <c r="S838">
        <v>3.0154719999999999</v>
      </c>
      <c r="T838">
        <v>-3.8662309999999998E-2</v>
      </c>
      <c r="U838">
        <v>-0.60247799999999996</v>
      </c>
      <c r="V838">
        <v>7.1949150000000003E-2</v>
      </c>
      <c r="W838">
        <v>0.18444730000000001</v>
      </c>
      <c r="X838">
        <v>0.9802054</v>
      </c>
      <c r="Y838">
        <v>0.1975316</v>
      </c>
      <c r="Z838">
        <v>-2.5411330000000001E-3</v>
      </c>
      <c r="AA838">
        <v>0.98029319999999998</v>
      </c>
      <c r="AB838">
        <v>27</v>
      </c>
      <c r="AC838">
        <v>71.845100000000002</v>
      </c>
      <c r="AD838">
        <v>-0.92444800000000005</v>
      </c>
      <c r="AE838">
        <v>-14.4046</v>
      </c>
      <c r="AF838">
        <v>14.522459912135201</v>
      </c>
      <c r="AG838">
        <v>-0.92444800000000005</v>
      </c>
      <c r="AH838">
        <v>71.8094718895086</v>
      </c>
      <c r="AI838">
        <v>90.722929522794303</v>
      </c>
      <c r="AJ838">
        <v>78.566935077811607</v>
      </c>
      <c r="AK838">
        <v>73.269070548591003</v>
      </c>
      <c r="AL838">
        <v>79.371090109515094</v>
      </c>
      <c r="AM838">
        <v>85.801897382595897</v>
      </c>
      <c r="AN838">
        <v>1.00000005642608</v>
      </c>
    </row>
    <row r="839" spans="1:40" x14ac:dyDescent="0.25">
      <c r="A839" t="str">
        <f>"20190303162515344"</f>
        <v>20190303162515344</v>
      </c>
      <c r="B839" t="str">
        <f>"1551601515333192"</f>
        <v>1551601515333192</v>
      </c>
      <c r="C839" t="s">
        <v>40</v>
      </c>
      <c r="D839">
        <v>4.8069940000000004</v>
      </c>
      <c r="E839">
        <v>0.54972469999999996</v>
      </c>
      <c r="F839" t="s">
        <v>43</v>
      </c>
      <c r="G839">
        <v>-169.2955</v>
      </c>
      <c r="H839">
        <v>0.34215069999999997</v>
      </c>
      <c r="I839">
        <v>354.2063</v>
      </c>
      <c r="J839">
        <v>-240.86170000000001</v>
      </c>
      <c r="K839">
        <v>1.1211040000000001</v>
      </c>
      <c r="L839">
        <v>368.46350000000001</v>
      </c>
      <c r="M839">
        <v>0.99991509999999995</v>
      </c>
      <c r="N839">
        <v>-1.292885E-2</v>
      </c>
      <c r="O839">
        <v>1.5953359999999999E-3</v>
      </c>
      <c r="P839">
        <v>0.98261330000000002</v>
      </c>
      <c r="Q839">
        <v>0.17210309999999901</v>
      </c>
      <c r="R839">
        <v>-6.9654560000000004E-2</v>
      </c>
      <c r="S839">
        <v>3.0159449999999999</v>
      </c>
      <c r="T839">
        <v>-3.2695769999999999E-2</v>
      </c>
      <c r="U839">
        <v>-0.59848020000000002</v>
      </c>
      <c r="V839">
        <v>7.1255009999999994E-2</v>
      </c>
      <c r="W839">
        <v>0.18477859999999999</v>
      </c>
      <c r="X839">
        <v>0.9801936</v>
      </c>
      <c r="Y839">
        <v>0.1961832</v>
      </c>
      <c r="Z839">
        <v>-2.330403E-3</v>
      </c>
      <c r="AA839">
        <v>0.98056449999999995</v>
      </c>
      <c r="AB839">
        <v>27</v>
      </c>
      <c r="AC839">
        <v>71.566199999999995</v>
      </c>
      <c r="AD839">
        <v>-0.77895329999999996</v>
      </c>
      <c r="AE839">
        <v>-14.257199999999999</v>
      </c>
      <c r="AF839">
        <v>14.3697261460158</v>
      </c>
      <c r="AG839">
        <v>-0.77895329999999996</v>
      </c>
      <c r="AH839">
        <v>71.535210740366793</v>
      </c>
      <c r="AI839">
        <v>90.611656637117505</v>
      </c>
      <c r="AJ839">
        <v>78.641800244504694</v>
      </c>
      <c r="AK839">
        <v>72.9683641958881</v>
      </c>
      <c r="AL839">
        <v>79.351774893644006</v>
      </c>
      <c r="AM839">
        <v>85.842206594355105</v>
      </c>
      <c r="AN839">
        <v>0.99999995047450796</v>
      </c>
    </row>
    <row r="840" spans="1:40" x14ac:dyDescent="0.25">
      <c r="A840" t="str">
        <f>"20190303162515368"</f>
        <v>20190303162515368</v>
      </c>
      <c r="B840" t="str">
        <f>"1551601515353688"</f>
        <v>1551601515353688</v>
      </c>
      <c r="C840" t="s">
        <v>40</v>
      </c>
      <c r="D840">
        <v>4.7794179999999997</v>
      </c>
      <c r="E840">
        <v>0.55022890000000002</v>
      </c>
      <c r="F840" t="s">
        <v>43</v>
      </c>
      <c r="G840">
        <v>-169.2955</v>
      </c>
      <c r="H840">
        <v>0.49311159999999998</v>
      </c>
      <c r="I840">
        <v>354.19439999999997</v>
      </c>
      <c r="J840">
        <v>-240.5839</v>
      </c>
      <c r="K840">
        <v>1.1211009999999999</v>
      </c>
      <c r="L840">
        <v>368.46390000000002</v>
      </c>
      <c r="M840">
        <v>0.9999152</v>
      </c>
      <c r="N840">
        <v>-1.2948049999999999E-2</v>
      </c>
      <c r="O840">
        <v>1.5190900000000001E-3</v>
      </c>
      <c r="P840">
        <v>0.98261889999999996</v>
      </c>
      <c r="Q840">
        <v>0.1717475</v>
      </c>
      <c r="R840">
        <v>-7.045129E-2</v>
      </c>
      <c r="S840">
        <v>3.0151210000000002</v>
      </c>
      <c r="T840">
        <v>-2.645397E-2</v>
      </c>
      <c r="U840">
        <v>-0.60116579999999997</v>
      </c>
      <c r="V840">
        <v>7.1977059999999995E-2</v>
      </c>
      <c r="W840">
        <v>0.1844422</v>
      </c>
      <c r="X840">
        <v>0.98020430000000003</v>
      </c>
      <c r="Y840">
        <v>0.19700599999999999</v>
      </c>
      <c r="Z840">
        <v>-2.1374900000000001E-3</v>
      </c>
      <c r="AA840">
        <v>0.98040000000000005</v>
      </c>
      <c r="AB840">
        <v>27</v>
      </c>
      <c r="AC840">
        <v>71.288399999999996</v>
      </c>
      <c r="AD840">
        <v>-0.62798940000000003</v>
      </c>
      <c r="AE840">
        <v>-14.269500000000001</v>
      </c>
      <c r="AF840">
        <v>14.3767134191437</v>
      </c>
      <c r="AG840">
        <v>-0.62798940000000003</v>
      </c>
      <c r="AH840">
        <v>71.261322349264503</v>
      </c>
      <c r="AI840">
        <v>90.494933847360102</v>
      </c>
      <c r="AJ840">
        <v>78.593888491508906</v>
      </c>
      <c r="AK840">
        <v>72.699795889593005</v>
      </c>
      <c r="AL840">
        <v>79.371387307087303</v>
      </c>
      <c r="AM840">
        <v>85.800270014122006</v>
      </c>
      <c r="AN840">
        <v>1.00000004602278</v>
      </c>
    </row>
    <row r="841" spans="1:40" x14ac:dyDescent="0.25">
      <c r="A841" t="str">
        <f>"20190303162515389"</f>
        <v>20190303162515389</v>
      </c>
      <c r="B841" t="str">
        <f>"1551601515383945"</f>
        <v>1551601515383945</v>
      </c>
      <c r="C841" t="s">
        <v>40</v>
      </c>
      <c r="D841">
        <v>4.7995799999999997</v>
      </c>
      <c r="E841">
        <v>0.55098329999999995</v>
      </c>
      <c r="F841" t="s">
        <v>43</v>
      </c>
      <c r="G841">
        <v>-169.2955</v>
      </c>
      <c r="H841">
        <v>0.55582330000000002</v>
      </c>
      <c r="I841">
        <v>354.07490000000001</v>
      </c>
      <c r="J841">
        <v>-240.3038</v>
      </c>
      <c r="K841">
        <v>1.1210990000000001</v>
      </c>
      <c r="L841">
        <v>368.46420000000001</v>
      </c>
      <c r="M841">
        <v>0.99991490000000005</v>
      </c>
      <c r="N841">
        <v>-1.296489E-2</v>
      </c>
      <c r="O841">
        <v>1.4419719999999999E-3</v>
      </c>
      <c r="P841">
        <v>0.98276390000000002</v>
      </c>
      <c r="Q841">
        <v>0.17049489999999901</v>
      </c>
      <c r="R841">
        <v>-7.1460919999999997E-2</v>
      </c>
      <c r="S841">
        <v>3.0136259999999999</v>
      </c>
      <c r="T841">
        <v>-2.389264E-2</v>
      </c>
      <c r="U841">
        <v>-0.60827640000000005</v>
      </c>
      <c r="V841">
        <v>7.2910879999999997E-2</v>
      </c>
      <c r="W841">
        <v>0.1832076</v>
      </c>
      <c r="X841">
        <v>0.98036679999999998</v>
      </c>
      <c r="Y841">
        <v>0.19924900000000001</v>
      </c>
      <c r="Z841">
        <v>-2.0793790000000001E-3</v>
      </c>
      <c r="AA841">
        <v>0.97994669999999895</v>
      </c>
      <c r="AB841">
        <v>27</v>
      </c>
      <c r="AC841">
        <v>71.008299999999906</v>
      </c>
      <c r="AD841">
        <v>-0.56527569999999905</v>
      </c>
      <c r="AE841">
        <v>-14.389299999999899</v>
      </c>
      <c r="AF841">
        <v>14.4908035267116</v>
      </c>
      <c r="AG841">
        <v>-0.56527569999999905</v>
      </c>
      <c r="AH841">
        <v>70.983154492069204</v>
      </c>
      <c r="AI841">
        <v>90.447046547164504</v>
      </c>
      <c r="AJ841">
        <v>78.461934595021305</v>
      </c>
      <c r="AK841">
        <v>72.4493695287387</v>
      </c>
      <c r="AL841">
        <v>79.443350966586806</v>
      </c>
      <c r="AM841">
        <v>85.7466846032451</v>
      </c>
      <c r="AN841">
        <v>1.0000000418311801</v>
      </c>
    </row>
    <row r="842" spans="1:40" x14ac:dyDescent="0.25">
      <c r="A842" t="str">
        <f>"20190303162515411"</f>
        <v>20190303162515411</v>
      </c>
      <c r="B842" t="str">
        <f>"1551601515403465"</f>
        <v>1551601515403465</v>
      </c>
      <c r="C842" t="s">
        <v>40</v>
      </c>
      <c r="D842">
        <v>4.8223510000000003</v>
      </c>
      <c r="E842">
        <v>0.55153419999999997</v>
      </c>
      <c r="F842" t="s">
        <v>43</v>
      </c>
      <c r="G842">
        <v>-169.2955</v>
      </c>
      <c r="H842">
        <v>0.46871570000000001</v>
      </c>
      <c r="I842">
        <v>353.89769999999999</v>
      </c>
      <c r="J842">
        <v>-240.04140000000001</v>
      </c>
      <c r="K842">
        <v>1.1210960000000001</v>
      </c>
      <c r="L842">
        <v>368.46449999999999</v>
      </c>
      <c r="M842">
        <v>0.99991479999999999</v>
      </c>
      <c r="N842">
        <v>-1.297861E-2</v>
      </c>
      <c r="O842">
        <v>1.3692870000000001E-3</v>
      </c>
      <c r="P842">
        <v>0.98278460000000001</v>
      </c>
      <c r="Q842">
        <v>0.1701377</v>
      </c>
      <c r="R842">
        <v>-7.2026419999999994E-2</v>
      </c>
      <c r="S842">
        <v>3.0124970000000002</v>
      </c>
      <c r="T842">
        <v>-2.7673360000000001E-2</v>
      </c>
      <c r="U842">
        <v>-0.617981</v>
      </c>
      <c r="V842">
        <v>7.3404860000000002E-2</v>
      </c>
      <c r="W842">
        <v>0.182864</v>
      </c>
      <c r="X842">
        <v>0.98039410000000005</v>
      </c>
      <c r="Y842">
        <v>0.20227539999999999</v>
      </c>
      <c r="Z842">
        <v>-2.2406129999999998E-3</v>
      </c>
      <c r="AA842">
        <v>0.97932609999999998</v>
      </c>
      <c r="AB842">
        <v>27</v>
      </c>
      <c r="AC842">
        <v>70.745900000000006</v>
      </c>
      <c r="AD842">
        <v>-0.65238029999999902</v>
      </c>
      <c r="AE842">
        <v>-14.566800000000001</v>
      </c>
      <c r="AF842">
        <v>14.6624698296822</v>
      </c>
      <c r="AG842">
        <v>-0.65238029999999902</v>
      </c>
      <c r="AH842">
        <v>70.720116739000602</v>
      </c>
      <c r="AI842">
        <v>90.517522724657397</v>
      </c>
      <c r="AJ842">
        <v>78.286764717905697</v>
      </c>
      <c r="AK842">
        <v>72.227062332203701</v>
      </c>
      <c r="AL842">
        <v>79.463376221092204</v>
      </c>
      <c r="AM842">
        <v>85.718093495715294</v>
      </c>
      <c r="AN842">
        <v>1.0000000536412099</v>
      </c>
    </row>
    <row r="843" spans="1:40" x14ac:dyDescent="0.25">
      <c r="A843" t="str">
        <f>"20190303162515432"</f>
        <v>20190303162515432</v>
      </c>
      <c r="B843" t="str">
        <f>"1551601515423961"</f>
        <v>1551601515423961</v>
      </c>
      <c r="C843" t="s">
        <v>40</v>
      </c>
      <c r="D843">
        <v>4.8264430000000003</v>
      </c>
      <c r="E843">
        <v>0.55199209999999999</v>
      </c>
      <c r="F843" t="s">
        <v>43</v>
      </c>
      <c r="G843">
        <v>-169.2955</v>
      </c>
      <c r="H843">
        <v>0.4725761</v>
      </c>
      <c r="I843">
        <v>353.7996</v>
      </c>
      <c r="J843">
        <v>-239.7766</v>
      </c>
      <c r="K843">
        <v>1.1211</v>
      </c>
      <c r="L843">
        <v>368.46480000000003</v>
      </c>
      <c r="M843">
        <v>0.99991479999999999</v>
      </c>
      <c r="N843">
        <v>-1.2990679999999999E-2</v>
      </c>
      <c r="O843">
        <v>1.2956020000000001E-3</v>
      </c>
      <c r="P843">
        <v>0.98265000000000002</v>
      </c>
      <c r="Q843">
        <v>0.17083229999999999</v>
      </c>
      <c r="R843">
        <v>-7.2218400000000002E-2</v>
      </c>
      <c r="S843">
        <v>3.0115660000000002</v>
      </c>
      <c r="T843">
        <v>-2.7602910000000001E-2</v>
      </c>
      <c r="U843">
        <v>-0.62426759999999903</v>
      </c>
      <c r="V843">
        <v>7.3524329999999999E-2</v>
      </c>
      <c r="W843">
        <v>0.18356900000000001</v>
      </c>
      <c r="X843">
        <v>0.98025329999999999</v>
      </c>
      <c r="Y843">
        <v>0.20422319999999999</v>
      </c>
      <c r="Z843">
        <v>-2.261725E-3</v>
      </c>
      <c r="AA843">
        <v>0.97892179999999995</v>
      </c>
      <c r="AB843">
        <v>27</v>
      </c>
      <c r="AC843">
        <v>70.481099999999998</v>
      </c>
      <c r="AD843">
        <v>-0.64852390000000004</v>
      </c>
      <c r="AE843">
        <v>-14.6652</v>
      </c>
      <c r="AF843">
        <v>14.7553134229754</v>
      </c>
      <c r="AG843">
        <v>-0.64852390000000004</v>
      </c>
      <c r="AH843">
        <v>70.456321291453904</v>
      </c>
      <c r="AI843">
        <v>90.516173877709207</v>
      </c>
      <c r="AJ843">
        <v>78.171779382546305</v>
      </c>
      <c r="AK843">
        <v>71.987728588862197</v>
      </c>
      <c r="AL843">
        <v>79.422286255638397</v>
      </c>
      <c r="AM843">
        <v>85.710536730240904</v>
      </c>
      <c r="AN843">
        <v>0.99999996851191897</v>
      </c>
    </row>
    <row r="844" spans="1:40" x14ac:dyDescent="0.25">
      <c r="A844" t="str">
        <f>"20190303162515458"</f>
        <v>20190303162515458</v>
      </c>
      <c r="B844" t="str">
        <f>"1551601515453240"</f>
        <v>1551601515453240</v>
      </c>
      <c r="C844" t="s">
        <v>40</v>
      </c>
      <c r="D844">
        <v>4.7992119999999998</v>
      </c>
      <c r="E844">
        <v>0.55268009999999901</v>
      </c>
      <c r="F844" t="s">
        <v>43</v>
      </c>
      <c r="G844">
        <v>-169.2955</v>
      </c>
      <c r="H844">
        <v>0.4295311</v>
      </c>
      <c r="I844">
        <v>353.75139999999999</v>
      </c>
      <c r="J844">
        <v>-239.4905</v>
      </c>
      <c r="K844">
        <v>1.121097</v>
      </c>
      <c r="L844">
        <v>368.46510000000001</v>
      </c>
      <c r="M844">
        <v>0.99991479999999999</v>
      </c>
      <c r="N844">
        <v>-1.300191E-2</v>
      </c>
      <c r="O844">
        <v>1.215311E-3</v>
      </c>
      <c r="P844">
        <v>0.98254379999999997</v>
      </c>
      <c r="Q844">
        <v>0.1715401</v>
      </c>
      <c r="R844">
        <v>-7.1982519999999994E-2</v>
      </c>
      <c r="S844">
        <v>3.0119020000000001</v>
      </c>
      <c r="T844">
        <v>-2.954936E-2</v>
      </c>
      <c r="U844">
        <v>-0.62875369999999997</v>
      </c>
      <c r="V844">
        <v>7.3209570000000002E-2</v>
      </c>
      <c r="W844">
        <v>0.18428659999999999</v>
      </c>
      <c r="X844">
        <v>0.98014219999999996</v>
      </c>
      <c r="Y844">
        <v>0.20551810000000001</v>
      </c>
      <c r="Z844">
        <v>-2.3439860000000002E-3</v>
      </c>
      <c r="AA844">
        <v>0.97865049999999998</v>
      </c>
      <c r="AB844">
        <v>27</v>
      </c>
      <c r="AC844">
        <v>70.194999999999993</v>
      </c>
      <c r="AD844">
        <v>-0.69156589999999996</v>
      </c>
      <c r="AE844">
        <v>-14.713699999999999</v>
      </c>
      <c r="AF844">
        <v>14.797629239022999</v>
      </c>
      <c r="AG844">
        <v>-0.69156589999999996</v>
      </c>
      <c r="AH844">
        <v>70.170540600695006</v>
      </c>
      <c r="AI844">
        <v>90.552509530565999</v>
      </c>
      <c r="AJ844">
        <v>78.091887456339904</v>
      </c>
      <c r="AK844">
        <v>71.717172718139295</v>
      </c>
      <c r="AL844">
        <v>79.380457119472197</v>
      </c>
      <c r="AM844">
        <v>85.728349609531705</v>
      </c>
      <c r="AN844">
        <v>0.99999996214999098</v>
      </c>
    </row>
    <row r="845" spans="1:40" x14ac:dyDescent="0.25">
      <c r="A845" t="str">
        <f>"20190303162515479"</f>
        <v>20190303162515479</v>
      </c>
      <c r="B845" t="str">
        <f>"1551601515473736"</f>
        <v>1551601515473736</v>
      </c>
      <c r="C845" t="s">
        <v>40</v>
      </c>
      <c r="D845">
        <v>4.7928230000000003</v>
      </c>
      <c r="E845">
        <v>0.55316709999999902</v>
      </c>
      <c r="F845" t="s">
        <v>43</v>
      </c>
      <c r="G845">
        <v>-169.2955</v>
      </c>
      <c r="H845">
        <v>0.1789637</v>
      </c>
      <c r="I845">
        <v>353.71690000000001</v>
      </c>
      <c r="J845">
        <v>-239.22139999999999</v>
      </c>
      <c r="K845">
        <v>1.1210979999999999</v>
      </c>
      <c r="L845">
        <v>368.46530000000001</v>
      </c>
      <c r="M845">
        <v>0.99991479999999999</v>
      </c>
      <c r="N845">
        <v>-1.3010849999999999E-2</v>
      </c>
      <c r="O845">
        <v>1.1401549999999999E-3</v>
      </c>
      <c r="P845">
        <v>0.98259419999999997</v>
      </c>
      <c r="Q845">
        <v>0.17105719999999999</v>
      </c>
      <c r="R845">
        <v>-7.2445750000000003E-2</v>
      </c>
      <c r="S845">
        <v>3.0139469999999999</v>
      </c>
      <c r="T845">
        <v>-4.0448310000000001E-2</v>
      </c>
      <c r="U845">
        <v>-0.63323969999999996</v>
      </c>
      <c r="V845">
        <v>7.3598720000000006E-2</v>
      </c>
      <c r="W845">
        <v>0.1838127</v>
      </c>
      <c r="X845">
        <v>0.98020209999999997</v>
      </c>
      <c r="Y845">
        <v>0.20669390000000001</v>
      </c>
      <c r="Z845">
        <v>-2.7317050000000001E-3</v>
      </c>
      <c r="AA845">
        <v>0.97840179999999999</v>
      </c>
      <c r="AB845">
        <v>27</v>
      </c>
      <c r="AC845">
        <v>69.925899999999899</v>
      </c>
      <c r="AD845">
        <v>-0.94213429999999998</v>
      </c>
      <c r="AE845">
        <v>-14.7484</v>
      </c>
      <c r="AF845">
        <v>14.825546852889801</v>
      </c>
      <c r="AG845">
        <v>-0.94213429999999998</v>
      </c>
      <c r="AH845">
        <v>69.896889648237902</v>
      </c>
      <c r="AI845">
        <v>90.755434098324798</v>
      </c>
      <c r="AJ845">
        <v>78.024703834095106</v>
      </c>
      <c r="AK845">
        <v>71.458097085105805</v>
      </c>
      <c r="AL845">
        <v>79.408082103806805</v>
      </c>
      <c r="AM845">
        <v>85.705989542553695</v>
      </c>
      <c r="AN845">
        <v>1.0000000185556599</v>
      </c>
    </row>
    <row r="846" spans="1:40" x14ac:dyDescent="0.25">
      <c r="A846" t="str">
        <f>"20190303162515500"</f>
        <v>20190303162515500</v>
      </c>
      <c r="B846" t="str">
        <f>"1551601515493257"</f>
        <v>1551601515493257</v>
      </c>
      <c r="C846" t="s">
        <v>40</v>
      </c>
      <c r="D846">
        <v>4.7601009999999997</v>
      </c>
      <c r="E846">
        <v>0.55364530000000001</v>
      </c>
      <c r="F846" t="s">
        <v>44</v>
      </c>
      <c r="G846">
        <v>-166.41810000000001</v>
      </c>
      <c r="H846">
        <v>-0.05</v>
      </c>
      <c r="I846">
        <v>353.0564</v>
      </c>
      <c r="J846">
        <v>-238.95439999999999</v>
      </c>
      <c r="K846">
        <v>1.1211009999999999</v>
      </c>
      <c r="L846">
        <v>368.46550000000002</v>
      </c>
      <c r="M846">
        <v>0.99991459999999999</v>
      </c>
      <c r="N846">
        <v>-1.30183E-2</v>
      </c>
      <c r="O846">
        <v>1.065309E-3</v>
      </c>
      <c r="P846">
        <v>0.98251270000000002</v>
      </c>
      <c r="Q846">
        <v>0.17098189999999999</v>
      </c>
      <c r="R846">
        <v>-7.3716589999999999E-2</v>
      </c>
      <c r="S846">
        <v>3.0145420000000001</v>
      </c>
      <c r="T846">
        <v>-4.8491239999999998E-2</v>
      </c>
      <c r="U846">
        <v>-0.63803100000000001</v>
      </c>
      <c r="V846">
        <v>7.4795749999999994E-2</v>
      </c>
      <c r="W846">
        <v>0.18374380000000001</v>
      </c>
      <c r="X846">
        <v>0.98012440000000001</v>
      </c>
      <c r="Y846">
        <v>0.20805879999999999</v>
      </c>
      <c r="Z846">
        <v>-3.0275240000000002E-3</v>
      </c>
      <c r="AA846">
        <v>0.97811159999999997</v>
      </c>
      <c r="AB846">
        <v>27</v>
      </c>
      <c r="AC846">
        <v>72.536299999999898</v>
      </c>
      <c r="AD846">
        <v>-1.1711009999999999</v>
      </c>
      <c r="AE846">
        <v>-15.4091</v>
      </c>
      <c r="AF846">
        <v>15.482509938497399</v>
      </c>
      <c r="AG846">
        <v>-1.1711009999999999</v>
      </c>
      <c r="AH846">
        <v>72.501759545729797</v>
      </c>
      <c r="AI846">
        <v>90.905001038036602</v>
      </c>
      <c r="AJ846">
        <v>77.945733688190302</v>
      </c>
      <c r="AK846">
        <v>74.145699327571805</v>
      </c>
      <c r="AL846">
        <v>79.412098135715098</v>
      </c>
      <c r="AM846">
        <v>85.636073569348</v>
      </c>
      <c r="AN846">
        <v>1.00000001386593</v>
      </c>
    </row>
    <row r="847" spans="1:40" x14ac:dyDescent="0.25">
      <c r="A847" t="str">
        <f>"20190303162515522"</f>
        <v>20190303162515522</v>
      </c>
      <c r="B847" t="str">
        <f>"1551601515513752"</f>
        <v>1551601515513752</v>
      </c>
      <c r="C847" t="s">
        <v>40</v>
      </c>
      <c r="D847">
        <v>4.763655</v>
      </c>
      <c r="E847">
        <v>0.55407419999999996</v>
      </c>
      <c r="F847" t="s">
        <v>45</v>
      </c>
      <c r="G847">
        <v>-179.9804</v>
      </c>
      <c r="H847">
        <v>6.9605020000000004E-2</v>
      </c>
      <c r="I847">
        <v>355.834</v>
      </c>
      <c r="J847">
        <v>-238.68700000000001</v>
      </c>
      <c r="K847">
        <v>1.1211120000000001</v>
      </c>
      <c r="L847">
        <v>368.46570000000003</v>
      </c>
      <c r="M847">
        <v>0.99991479999999999</v>
      </c>
      <c r="N847">
        <v>-1.3024630000000001E-2</v>
      </c>
      <c r="O847">
        <v>9.9112000000000007E-4</v>
      </c>
      <c r="P847">
        <v>0.98240130000000003</v>
      </c>
      <c r="Q847">
        <v>0.17110919999999999</v>
      </c>
      <c r="R847">
        <v>-7.489825E-2</v>
      </c>
      <c r="S847">
        <v>3.014313</v>
      </c>
      <c r="T847">
        <v>-5.3744670000000001E-2</v>
      </c>
      <c r="U847">
        <v>-0.64562989999999998</v>
      </c>
      <c r="V847">
        <v>7.5904529999999998E-2</v>
      </c>
      <c r="W847">
        <v>0.1838755</v>
      </c>
      <c r="X847">
        <v>0.98001439999999995</v>
      </c>
      <c r="Y847">
        <v>0.2103506</v>
      </c>
      <c r="Z847">
        <v>-3.2442690000000001E-3</v>
      </c>
      <c r="AA847">
        <v>0.97762059999999995</v>
      </c>
      <c r="AB847">
        <v>27</v>
      </c>
      <c r="AC847">
        <v>58.706600000000002</v>
      </c>
      <c r="AD847">
        <v>-1.0515069800000001</v>
      </c>
      <c r="AE847">
        <v>-12.6317</v>
      </c>
      <c r="AF847">
        <v>12.6859942733489</v>
      </c>
      <c r="AG847">
        <v>-1.0515069800000001</v>
      </c>
      <c r="AH847">
        <v>58.676059517663099</v>
      </c>
      <c r="AI847">
        <v>91.003481048435205</v>
      </c>
      <c r="AJ847">
        <v>77.800204148254906</v>
      </c>
      <c r="AK847">
        <v>60.040986652059402</v>
      </c>
      <c r="AL847">
        <v>79.404420915866893</v>
      </c>
      <c r="AM847">
        <v>85.571142646685701</v>
      </c>
      <c r="AN847">
        <v>0.999999960691064</v>
      </c>
    </row>
    <row r="848" spans="1:40" x14ac:dyDescent="0.25">
      <c r="A848" t="str">
        <f>"20190303162515545"</f>
        <v>20190303162515545</v>
      </c>
      <c r="B848" t="str">
        <f>"1551601515533272"</f>
        <v>1551601515533272</v>
      </c>
      <c r="C848" t="s">
        <v>40</v>
      </c>
      <c r="D848">
        <v>4.7628879999999896</v>
      </c>
      <c r="E848">
        <v>0.55452109999999899</v>
      </c>
      <c r="F848" t="s">
        <v>45</v>
      </c>
      <c r="G848">
        <v>-180</v>
      </c>
      <c r="H848">
        <v>2.6584410000000001E-3</v>
      </c>
      <c r="I848">
        <v>355.75810000000001</v>
      </c>
      <c r="J848">
        <v>-238.40690000000001</v>
      </c>
      <c r="K848">
        <v>1.1211100000000001</v>
      </c>
      <c r="L848">
        <v>368.46589999999998</v>
      </c>
      <c r="M848">
        <v>0.99991479999999999</v>
      </c>
      <c r="N848">
        <v>-1.303034E-2</v>
      </c>
      <c r="O848">
        <v>9.1371449999999999E-4</v>
      </c>
      <c r="P848">
        <v>0.98222730000000003</v>
      </c>
      <c r="Q848">
        <v>0.17179169999999999</v>
      </c>
      <c r="R848">
        <v>-7.5612769999999996E-2</v>
      </c>
      <c r="S848">
        <v>3.0139619999999998</v>
      </c>
      <c r="T848">
        <v>-5.7439919999999998E-2</v>
      </c>
      <c r="U848">
        <v>-0.65261840000000004</v>
      </c>
      <c r="V848">
        <v>7.6543089999999994E-2</v>
      </c>
      <c r="W848">
        <v>0.18456120000000001</v>
      </c>
      <c r="X848">
        <v>0.97983589999999998</v>
      </c>
      <c r="Y848">
        <v>0.21245729999999999</v>
      </c>
      <c r="Z848">
        <v>-3.4068940000000002E-3</v>
      </c>
      <c r="AA848">
        <v>0.97716440000000004</v>
      </c>
      <c r="AB848">
        <v>27</v>
      </c>
      <c r="AC848">
        <v>58.4069</v>
      </c>
      <c r="AD848">
        <v>-1.1184515589999999</v>
      </c>
      <c r="AE848">
        <v>-12.707799999999899</v>
      </c>
      <c r="AF848">
        <v>12.7567000528718</v>
      </c>
      <c r="AG848">
        <v>-1.1184515589999999</v>
      </c>
      <c r="AH848">
        <v>58.374825034047902</v>
      </c>
      <c r="AI848">
        <v>91.072342414328702</v>
      </c>
      <c r="AJ848">
        <v>77.672896311492806</v>
      </c>
      <c r="AK848">
        <v>59.762902605918299</v>
      </c>
      <c r="AL848">
        <v>79.364449904208797</v>
      </c>
      <c r="AM848">
        <v>85.533223932341301</v>
      </c>
      <c r="AN848">
        <v>1.0000000360504899</v>
      </c>
    </row>
    <row r="849" spans="1:40" x14ac:dyDescent="0.25">
      <c r="A849" t="str">
        <f>"20190303162515570"</f>
        <v>20190303162515570</v>
      </c>
      <c r="B849" t="str">
        <f>"1551601515564505"</f>
        <v>1551601515564505</v>
      </c>
      <c r="C849" t="s">
        <v>40</v>
      </c>
      <c r="D849">
        <v>4.7845649999999997</v>
      </c>
      <c r="E849">
        <v>0.5550079</v>
      </c>
      <c r="F849" t="s">
        <v>45</v>
      </c>
      <c r="G849">
        <v>-180.67</v>
      </c>
      <c r="H849" s="1">
        <v>-4.6361880000000003E-6</v>
      </c>
      <c r="I849">
        <v>355.8494</v>
      </c>
      <c r="J849">
        <v>-238.1129</v>
      </c>
      <c r="K849">
        <v>1.1211139999999999</v>
      </c>
      <c r="L849">
        <v>368.46609999999998</v>
      </c>
      <c r="M849">
        <v>0.99991470000000005</v>
      </c>
      <c r="N849">
        <v>-1.303528E-2</v>
      </c>
      <c r="O849">
        <v>8.3232599999999999E-4</v>
      </c>
      <c r="P849">
        <v>0.9821685</v>
      </c>
      <c r="Q849">
        <v>0.17202799999999999</v>
      </c>
      <c r="R849">
        <v>-7.5838939999999994E-2</v>
      </c>
      <c r="S849">
        <v>3.0138090000000002</v>
      </c>
      <c r="T849">
        <v>-5.8521150000000001E-2</v>
      </c>
      <c r="U849">
        <v>-0.65856930000000002</v>
      </c>
      <c r="V849">
        <v>7.6689240000000006E-2</v>
      </c>
      <c r="W849">
        <v>0.18480160000000001</v>
      </c>
      <c r="X849">
        <v>0.97977910000000001</v>
      </c>
      <c r="Y849">
        <v>0.21422740000000001</v>
      </c>
      <c r="Z849">
        <v>-3.4735209999999998E-3</v>
      </c>
      <c r="AA849">
        <v>0.97677760000000002</v>
      </c>
      <c r="AB849">
        <v>27</v>
      </c>
      <c r="AC849">
        <v>57.442900000000002</v>
      </c>
      <c r="AD849">
        <v>-1.1211186361879999</v>
      </c>
      <c r="AE849">
        <v>-12.6166999999999</v>
      </c>
      <c r="AF849">
        <v>12.6599104657132</v>
      </c>
      <c r="AG849">
        <v>-1.1211186361879999</v>
      </c>
      <c r="AH849">
        <v>57.411515411753498</v>
      </c>
      <c r="AI849">
        <v>91.092477170419698</v>
      </c>
      <c r="AJ849">
        <v>77.5646200992107</v>
      </c>
      <c r="AK849">
        <v>58.801465473832302</v>
      </c>
      <c r="AL849">
        <v>79.350434292647094</v>
      </c>
      <c r="AM849">
        <v>85.524471376627105</v>
      </c>
      <c r="AN849">
        <v>0.99999997784557304</v>
      </c>
    </row>
    <row r="850" spans="1:40" x14ac:dyDescent="0.25">
      <c r="A850" t="str">
        <f>"20190303162515589"</f>
        <v>20190303162515589</v>
      </c>
      <c r="B850" t="str">
        <f>"1551601515583049"</f>
        <v>1551601515583049</v>
      </c>
      <c r="C850" t="s">
        <v>40</v>
      </c>
      <c r="D850">
        <v>4.7567069999999996</v>
      </c>
      <c r="E850">
        <v>0.55516549999999998</v>
      </c>
      <c r="F850" t="s">
        <v>45</v>
      </c>
      <c r="G850">
        <v>-184.50190000000001</v>
      </c>
      <c r="H850" s="1">
        <v>-4.3561700000000003E-6</v>
      </c>
      <c r="I850">
        <v>356.68490000000003</v>
      </c>
      <c r="J850">
        <v>-237.87020000000001</v>
      </c>
      <c r="K850">
        <v>1.12112099999999</v>
      </c>
      <c r="L850">
        <v>368.46620000000001</v>
      </c>
      <c r="M850">
        <v>0.99991490000000005</v>
      </c>
      <c r="N850">
        <v>-1.3033039999999999E-2</v>
      </c>
      <c r="O850">
        <v>7.6457420000000003E-4</v>
      </c>
      <c r="P850">
        <v>0.9820411</v>
      </c>
      <c r="Q850">
        <v>0.17269570000000001</v>
      </c>
      <c r="R850">
        <v>-7.5971129999999998E-2</v>
      </c>
      <c r="S850">
        <v>3.0143589999999998</v>
      </c>
      <c r="T850">
        <v>-6.3036560000000005E-2</v>
      </c>
      <c r="U850">
        <v>-0.66241459999999996</v>
      </c>
      <c r="V850">
        <v>7.6754989999999995E-2</v>
      </c>
      <c r="W850">
        <v>0.18546609999999999</v>
      </c>
      <c r="X850">
        <v>0.97964839999999997</v>
      </c>
      <c r="Y850">
        <v>0.2153043</v>
      </c>
      <c r="Z850">
        <v>-3.6502879999999998E-3</v>
      </c>
      <c r="AA850">
        <v>0.97654010000000002</v>
      </c>
      <c r="AB850">
        <v>27</v>
      </c>
      <c r="AC850">
        <v>53.368299999999998</v>
      </c>
      <c r="AD850">
        <v>-1.1211253561700001</v>
      </c>
      <c r="AE850">
        <v>-11.7812999999999</v>
      </c>
      <c r="AF850">
        <v>11.817131380396701</v>
      </c>
      <c r="AG850">
        <v>-1.1211253561700001</v>
      </c>
      <c r="AH850">
        <v>53.336831760450501</v>
      </c>
      <c r="AI850">
        <v>91.175662883776695</v>
      </c>
      <c r="AJ850">
        <v>77.5075356715666</v>
      </c>
      <c r="AK850">
        <v>54.6417344011737</v>
      </c>
      <c r="AL850">
        <v>79.311691698652496</v>
      </c>
      <c r="AM850">
        <v>85.520054682584302</v>
      </c>
      <c r="AN850">
        <v>0.99999999518083504</v>
      </c>
    </row>
    <row r="851" spans="1:40" x14ac:dyDescent="0.25">
      <c r="A851" t="str">
        <f>"20190303162515613"</f>
        <v>20190303162515613</v>
      </c>
      <c r="B851" t="str">
        <f>"1551601515603545"</f>
        <v>1551601515603545</v>
      </c>
      <c r="C851" t="s">
        <v>40</v>
      </c>
      <c r="D851">
        <v>4.8179030000000003</v>
      </c>
      <c r="E851">
        <v>0.55520389999999997</v>
      </c>
      <c r="F851" t="s">
        <v>45</v>
      </c>
      <c r="G851">
        <v>-185.76840000000001</v>
      </c>
      <c r="H851" s="1">
        <v>-4.3140079999999999E-6</v>
      </c>
      <c r="I851">
        <v>356.9837</v>
      </c>
      <c r="J851">
        <v>-237.59289999999999</v>
      </c>
      <c r="K851">
        <v>1.1211249999999999</v>
      </c>
      <c r="L851">
        <v>368.46629999999999</v>
      </c>
      <c r="M851">
        <v>0.999915</v>
      </c>
      <c r="N851">
        <v>-1.301954E-2</v>
      </c>
      <c r="O851">
        <v>6.8765089999999905E-4</v>
      </c>
      <c r="P851">
        <v>0.98210810000000004</v>
      </c>
      <c r="Q851">
        <v>0.17252310000000001</v>
      </c>
      <c r="R851">
        <v>-7.549612E-2</v>
      </c>
      <c r="S851">
        <v>3.0148619999999999</v>
      </c>
      <c r="T851">
        <v>-6.4873810000000004E-2</v>
      </c>
      <c r="U851">
        <v>-0.66442869999999998</v>
      </c>
      <c r="V851">
        <v>7.6204610000000006E-2</v>
      </c>
      <c r="W851">
        <v>0.18528049999999999</v>
      </c>
      <c r="X851">
        <v>0.97972649999999994</v>
      </c>
      <c r="Y851">
        <v>0.2158137</v>
      </c>
      <c r="Z851">
        <v>-3.7217959999999999E-3</v>
      </c>
      <c r="AA851">
        <v>0.9764275</v>
      </c>
      <c r="AB851">
        <v>27</v>
      </c>
      <c r="AC851">
        <v>51.824499999999901</v>
      </c>
      <c r="AD851">
        <v>-1.1211293140080001</v>
      </c>
      <c r="AE851">
        <v>-11.4825999999999</v>
      </c>
      <c r="AF851">
        <v>11.513101529555801</v>
      </c>
      <c r="AG851">
        <v>-1.1211293140080001</v>
      </c>
      <c r="AH851">
        <v>51.793486225929698</v>
      </c>
      <c r="AI851">
        <v>91.210502005357199</v>
      </c>
      <c r="AJ851">
        <v>77.467568161232293</v>
      </c>
      <c r="AK851">
        <v>53.069517175155802</v>
      </c>
      <c r="AL851">
        <v>79.322513520315496</v>
      </c>
      <c r="AM851">
        <v>85.552402395074594</v>
      </c>
      <c r="AN851">
        <v>1.00000001053387</v>
      </c>
    </row>
    <row r="852" spans="1:40" x14ac:dyDescent="0.25">
      <c r="A852" t="str">
        <f>"20190303162515633"</f>
        <v>20190303162515633</v>
      </c>
      <c r="B852" t="str">
        <f>"1551601515623064"</f>
        <v>1551601515623064</v>
      </c>
      <c r="C852" t="s">
        <v>40</v>
      </c>
      <c r="D852">
        <v>4.7395959999999997</v>
      </c>
      <c r="E852">
        <v>0.55521509999999996</v>
      </c>
      <c r="F852" t="s">
        <v>45</v>
      </c>
      <c r="G852">
        <v>-189.63489999999999</v>
      </c>
      <c r="H852" s="1">
        <v>-4.5230289999999999E-6</v>
      </c>
      <c r="I852">
        <v>357.91419999999999</v>
      </c>
      <c r="J852">
        <v>-237.3381</v>
      </c>
      <c r="K852">
        <v>1.121122</v>
      </c>
      <c r="L852">
        <v>368.46640000000002</v>
      </c>
      <c r="M852">
        <v>0.99991540000000001</v>
      </c>
      <c r="N852">
        <v>-1.3002700000000001E-2</v>
      </c>
      <c r="O852">
        <v>6.1967209999999997E-4</v>
      </c>
      <c r="P852">
        <v>0.98223720000000003</v>
      </c>
      <c r="Q852">
        <v>0.1721007</v>
      </c>
      <c r="R852">
        <v>-7.4777750000000004E-2</v>
      </c>
      <c r="S852">
        <v>3.016006</v>
      </c>
      <c r="T852">
        <v>-7.0506100000000002E-2</v>
      </c>
      <c r="U852">
        <v>-0.66360469999999905</v>
      </c>
      <c r="V852">
        <v>7.5420290000000001E-2</v>
      </c>
      <c r="W852">
        <v>0.18484329999999999</v>
      </c>
      <c r="X852">
        <v>0.97986969999999995</v>
      </c>
      <c r="Y852">
        <v>0.21540400000000001</v>
      </c>
      <c r="Z852">
        <v>-3.9113669999999998E-3</v>
      </c>
      <c r="AA852">
        <v>0.97651719999999997</v>
      </c>
      <c r="AB852">
        <v>27</v>
      </c>
      <c r="AC852">
        <v>47.703200000000002</v>
      </c>
      <c r="AD852">
        <v>-1.121126523029</v>
      </c>
      <c r="AE852">
        <v>-10.552199999999999</v>
      </c>
      <c r="AF852">
        <v>10.5761915665187</v>
      </c>
      <c r="AG852">
        <v>-1.121126523029</v>
      </c>
      <c r="AH852">
        <v>47.6715483480451</v>
      </c>
      <c r="AI852">
        <v>91.315250462368795</v>
      </c>
      <c r="AJ852">
        <v>77.491220853744693</v>
      </c>
      <c r="AK852">
        <v>48.843518245846496</v>
      </c>
      <c r="AL852">
        <v>79.348002846358497</v>
      </c>
      <c r="AM852">
        <v>85.598638298000097</v>
      </c>
      <c r="AN852">
        <v>0.99999994733832998</v>
      </c>
    </row>
    <row r="853" spans="1:40" x14ac:dyDescent="0.25">
      <c r="A853" t="str">
        <f>"20190303162515656"</f>
        <v>20190303162515656</v>
      </c>
      <c r="B853" t="str">
        <f>"1551601515643561"</f>
        <v>1551601515643561</v>
      </c>
      <c r="C853" t="s">
        <v>40</v>
      </c>
      <c r="D853">
        <v>4.7156000000000002</v>
      </c>
      <c r="E853">
        <v>0.55552509999999999</v>
      </c>
      <c r="F853" t="s">
        <v>45</v>
      </c>
      <c r="G853">
        <v>-193.11449999999999</v>
      </c>
      <c r="H853" s="1">
        <v>-5.4945459999999997E-6</v>
      </c>
      <c r="I853">
        <v>358.76639999999998</v>
      </c>
      <c r="J853">
        <v>-237.06139999999999</v>
      </c>
      <c r="K853">
        <v>1.1211089999999999</v>
      </c>
      <c r="L853">
        <v>368.4665</v>
      </c>
      <c r="M853">
        <v>0.99991560000000002</v>
      </c>
      <c r="N853">
        <v>-1.2985150000000001E-2</v>
      </c>
      <c r="O853">
        <v>5.4777069999999996E-4</v>
      </c>
      <c r="P853">
        <v>0.98233269999999995</v>
      </c>
      <c r="Q853">
        <v>0.1717785</v>
      </c>
      <c r="R853">
        <v>-7.4261389999999997E-2</v>
      </c>
      <c r="S853">
        <v>3.0172729999999999</v>
      </c>
      <c r="T853">
        <v>-7.6491950000000003E-2</v>
      </c>
      <c r="U853">
        <v>-0.66180419999999995</v>
      </c>
      <c r="V853">
        <v>7.4833700000000003E-2</v>
      </c>
      <c r="W853">
        <v>0.18450540000000001</v>
      </c>
      <c r="X853">
        <v>0.97997840000000003</v>
      </c>
      <c r="Y853">
        <v>0.2146795</v>
      </c>
      <c r="Z853">
        <v>-4.1061029999999998E-3</v>
      </c>
      <c r="AA853">
        <v>0.97667590000000004</v>
      </c>
      <c r="AB853">
        <v>27</v>
      </c>
      <c r="AC853">
        <v>43.946899999999999</v>
      </c>
      <c r="AD853">
        <v>-1.1211144945460001</v>
      </c>
      <c r="AE853">
        <v>-9.7001000000000097</v>
      </c>
      <c r="AF853">
        <v>9.7181426974149705</v>
      </c>
      <c r="AG853">
        <v>-1.1211144945460001</v>
      </c>
      <c r="AH853">
        <v>43.914328011744601</v>
      </c>
      <c r="AI853">
        <v>91.4278886536747</v>
      </c>
      <c r="AJ853">
        <v>77.521676999310898</v>
      </c>
      <c r="AK853">
        <v>44.990747936884702</v>
      </c>
      <c r="AL853">
        <v>79.367702431364094</v>
      </c>
      <c r="AM853">
        <v>85.633219989205699</v>
      </c>
      <c r="AN853">
        <v>0.99999999487570501</v>
      </c>
    </row>
    <row r="854" spans="1:40" x14ac:dyDescent="0.25">
      <c r="A854" t="str">
        <f>"20190303162515679"</f>
        <v>20190303162515679</v>
      </c>
      <c r="B854" t="str">
        <f>"1551601515673817"</f>
        <v>1551601515673817</v>
      </c>
      <c r="C854" t="s">
        <v>40</v>
      </c>
      <c r="D854">
        <v>4.7188999999999997</v>
      </c>
      <c r="E854">
        <v>0.55589119999999903</v>
      </c>
      <c r="F854" t="s">
        <v>45</v>
      </c>
      <c r="G854">
        <v>-194.49440000000001</v>
      </c>
      <c r="H854" s="1">
        <v>-5.8305880000000002E-6</v>
      </c>
      <c r="I854">
        <v>359.12650000000002</v>
      </c>
      <c r="J854">
        <v>-236.78559999999999</v>
      </c>
      <c r="K854">
        <v>1.1211070000000001</v>
      </c>
      <c r="L854">
        <v>368.4665</v>
      </c>
      <c r="M854">
        <v>0.99991580000000002</v>
      </c>
      <c r="N854">
        <v>-1.2968789999999999E-2</v>
      </c>
      <c r="O854">
        <v>4.7209239999999999E-4</v>
      </c>
      <c r="P854">
        <v>0.98234589999999999</v>
      </c>
      <c r="Q854">
        <v>0.17172950000000001</v>
      </c>
      <c r="R854">
        <v>-7.4200409999999994E-2</v>
      </c>
      <c r="S854">
        <v>3.0178219999999998</v>
      </c>
      <c r="T854">
        <v>-7.9482440000000001E-2</v>
      </c>
      <c r="U854">
        <v>-0.66217040000000005</v>
      </c>
      <c r="V854">
        <v>7.4697529999999998E-2</v>
      </c>
      <c r="W854">
        <v>0.18444079999999999</v>
      </c>
      <c r="X854">
        <v>0.98000100000000001</v>
      </c>
      <c r="Y854">
        <v>0.214675</v>
      </c>
      <c r="Z854">
        <v>-4.2083659999999998E-3</v>
      </c>
      <c r="AA854">
        <v>0.97667649999999995</v>
      </c>
      <c r="AB854">
        <v>27</v>
      </c>
      <c r="AC854">
        <v>42.291199999999897</v>
      </c>
      <c r="AD854">
        <v>-1.121112830588</v>
      </c>
      <c r="AE854">
        <v>-9.3399999999999697</v>
      </c>
      <c r="AF854">
        <v>9.3536984129226095</v>
      </c>
      <c r="AG854">
        <v>-1.121112830588</v>
      </c>
      <c r="AH854">
        <v>42.258469681545797</v>
      </c>
      <c r="AI854">
        <v>91.4837976208632</v>
      </c>
      <c r="AJ854">
        <v>77.519100387251896</v>
      </c>
      <c r="AK854">
        <v>43.295806122590498</v>
      </c>
      <c r="AL854">
        <v>79.371468908747502</v>
      </c>
      <c r="AM854">
        <v>85.641235415950504</v>
      </c>
      <c r="AN854">
        <v>1.00000004484686</v>
      </c>
    </row>
    <row r="855" spans="1:40" x14ac:dyDescent="0.25">
      <c r="A855" t="str">
        <f>"20190303162515701"</f>
        <v>20190303162515701</v>
      </c>
      <c r="B855" t="str">
        <f>"1551601515693336"</f>
        <v>1551601515693336</v>
      </c>
      <c r="C855" t="s">
        <v>40</v>
      </c>
      <c r="D855">
        <v>4.7689089999999998</v>
      </c>
      <c r="E855">
        <v>0.55613179999999995</v>
      </c>
      <c r="F855" t="s">
        <v>45</v>
      </c>
      <c r="G855">
        <v>-195.5095</v>
      </c>
      <c r="H855" s="1">
        <v>-6.0717069999999998E-6</v>
      </c>
      <c r="I855">
        <v>359.3732</v>
      </c>
      <c r="J855">
        <v>-236.5204</v>
      </c>
      <c r="K855">
        <v>1.1211089999999999</v>
      </c>
      <c r="L855">
        <v>368.46660000000003</v>
      </c>
      <c r="M855">
        <v>0.99991609999999997</v>
      </c>
      <c r="N855">
        <v>-1.295341E-2</v>
      </c>
      <c r="O855">
        <v>3.9606169999999998E-4</v>
      </c>
      <c r="P855">
        <v>0.98233110000000001</v>
      </c>
      <c r="Q855">
        <v>0.17162769999999999</v>
      </c>
      <c r="R855">
        <v>-7.4631210000000003E-2</v>
      </c>
      <c r="S855">
        <v>3.0180210000000001</v>
      </c>
      <c r="T855">
        <v>-8.1973309999999994E-2</v>
      </c>
      <c r="U855">
        <v>-0.66488649999999905</v>
      </c>
      <c r="V855">
        <v>7.5052380000000002E-2</v>
      </c>
      <c r="W855">
        <v>0.18432409999999999</v>
      </c>
      <c r="X855">
        <v>0.97999579999999997</v>
      </c>
      <c r="Y855">
        <v>0.21541969999999999</v>
      </c>
      <c r="Z855">
        <v>-4.3080879999999998E-3</v>
      </c>
      <c r="AA855">
        <v>0.97651209999999999</v>
      </c>
      <c r="AB855">
        <v>27</v>
      </c>
      <c r="AC855">
        <v>41.0108999999999</v>
      </c>
      <c r="AD855">
        <v>-1.121115071707</v>
      </c>
      <c r="AE855">
        <v>-9.0934000000000292</v>
      </c>
      <c r="AF855">
        <v>9.1031593871874303</v>
      </c>
      <c r="AG855">
        <v>-1.121115071707</v>
      </c>
      <c r="AH855">
        <v>40.9781065548706</v>
      </c>
      <c r="AI855">
        <v>91.529881097904706</v>
      </c>
      <c r="AJ855">
        <v>77.475304848518206</v>
      </c>
      <c r="AK855">
        <v>41.992018606574298</v>
      </c>
      <c r="AL855">
        <v>79.378271493975106</v>
      </c>
      <c r="AM855">
        <v>85.6205863578936</v>
      </c>
      <c r="AN855">
        <v>1.0000000008010499</v>
      </c>
    </row>
    <row r="856" spans="1:40" x14ac:dyDescent="0.25">
      <c r="A856" t="str">
        <f>"20190303162515734"</f>
        <v>20190303162515734</v>
      </c>
      <c r="B856" t="str">
        <f>"1551601515723593"</f>
        <v>1551601515723593</v>
      </c>
      <c r="C856" t="s">
        <v>40</v>
      </c>
      <c r="D856">
        <v>4.8486659999999997</v>
      </c>
      <c r="E856">
        <v>0.54493829999999999</v>
      </c>
      <c r="F856" t="s">
        <v>45</v>
      </c>
      <c r="G856">
        <v>-196.23320000000001</v>
      </c>
      <c r="H856" s="1">
        <v>-6.2440790000000001E-6</v>
      </c>
      <c r="I856">
        <v>359.55040000000002</v>
      </c>
      <c r="J856">
        <v>-236.11930000000001</v>
      </c>
      <c r="K856">
        <v>1.1211089999999999</v>
      </c>
      <c r="L856">
        <v>368.46660000000003</v>
      </c>
      <c r="M856">
        <v>0.99991649999999999</v>
      </c>
      <c r="N856">
        <v>-1.2931430000000001E-2</v>
      </c>
      <c r="O856">
        <v>2.8279820000000003E-4</v>
      </c>
      <c r="P856">
        <v>0.98234460000000001</v>
      </c>
      <c r="Q856">
        <v>0.17094579999999901</v>
      </c>
      <c r="R856">
        <v>-7.6006799999999999E-2</v>
      </c>
      <c r="S856">
        <v>3.0178989999999999</v>
      </c>
      <c r="T856">
        <v>-8.3982349999999997E-2</v>
      </c>
      <c r="U856">
        <v>-0.66790769999999899</v>
      </c>
      <c r="V856">
        <v>7.6316179999999997E-2</v>
      </c>
      <c r="W856">
        <v>0.18362100000000001</v>
      </c>
      <c r="X856">
        <v>0.98003019999999996</v>
      </c>
      <c r="Y856">
        <v>0.2162444</v>
      </c>
      <c r="Z856">
        <v>-4.3918029999999997E-3</v>
      </c>
      <c r="AA856">
        <v>0.97632940000000001</v>
      </c>
      <c r="AB856">
        <v>27</v>
      </c>
      <c r="AC856">
        <v>39.886099999999999</v>
      </c>
      <c r="AD856">
        <v>-1.121115244079</v>
      </c>
      <c r="AE856">
        <v>-8.9161999999999999</v>
      </c>
      <c r="AF856">
        <v>8.9207678318880994</v>
      </c>
      <c r="AG856">
        <v>-1.121115244079</v>
      </c>
      <c r="AH856">
        <v>39.853588704064897</v>
      </c>
      <c r="AI856">
        <v>91.572462541617099</v>
      </c>
      <c r="AJ856">
        <v>77.3829741505469</v>
      </c>
      <c r="AK856">
        <v>40.855177526156098</v>
      </c>
      <c r="AL856">
        <v>79.419255820494698</v>
      </c>
      <c r="AM856">
        <v>85.547291636521507</v>
      </c>
      <c r="AN856">
        <v>1.0000000119414101</v>
      </c>
    </row>
    <row r="857" spans="1:40" x14ac:dyDescent="0.25">
      <c r="A857" t="str">
        <f>"20190303162515760"</f>
        <v>20190303162515760</v>
      </c>
      <c r="B857" t="str">
        <f>"1551601515753850"</f>
        <v>1551601515753850</v>
      </c>
      <c r="C857" t="s">
        <v>40</v>
      </c>
      <c r="D857">
        <v>4.8998889999999999</v>
      </c>
      <c r="E857">
        <v>0.52205579999999996</v>
      </c>
      <c r="F857" t="s">
        <v>42</v>
      </c>
      <c r="G857">
        <v>-235.34719999999999</v>
      </c>
      <c r="H857">
        <v>1.031398</v>
      </c>
      <c r="I857">
        <v>368.32</v>
      </c>
      <c r="J857">
        <v>-235.80940000000001</v>
      </c>
      <c r="K857">
        <v>1.1211070000000001</v>
      </c>
      <c r="L857">
        <v>368.4665</v>
      </c>
      <c r="M857">
        <v>0.99991649999999999</v>
      </c>
      <c r="N857">
        <v>-1.291631E-2</v>
      </c>
      <c r="O857">
        <v>1.9926009999999999E-4</v>
      </c>
      <c r="P857">
        <v>0.98246900000000004</v>
      </c>
      <c r="Q857">
        <v>0.16993429999999901</v>
      </c>
      <c r="R857">
        <v>-7.6662419999999995E-2</v>
      </c>
      <c r="S857">
        <v>3.071075</v>
      </c>
      <c r="T857">
        <v>-0.35714649999999998</v>
      </c>
      <c r="U857">
        <v>-0.5817871</v>
      </c>
      <c r="V857">
        <v>7.6890009999999995E-2</v>
      </c>
      <c r="W857">
        <v>0.18259629999999999</v>
      </c>
      <c r="X857">
        <v>0.98017679999999996</v>
      </c>
      <c r="Y857">
        <v>0.18498319999999999</v>
      </c>
      <c r="Z857">
        <v>-1.18564E-2</v>
      </c>
      <c r="AA857">
        <v>0.98267020000000005</v>
      </c>
      <c r="AB857">
        <v>27</v>
      </c>
      <c r="AC857">
        <v>0.46220000000002398</v>
      </c>
      <c r="AD857">
        <v>-8.9708999999999997E-2</v>
      </c>
      <c r="AE857">
        <v>-0.14650000000000299</v>
      </c>
      <c r="AF857">
        <v>0.14174001840174</v>
      </c>
      <c r="AG857">
        <v>-8.9708999999999997E-2</v>
      </c>
      <c r="AH857">
        <v>0.44687330347246301</v>
      </c>
      <c r="AI857">
        <v>100.832786815538</v>
      </c>
      <c r="AJ857">
        <v>72.401927219194206</v>
      </c>
      <c r="AK857">
        <v>0.47731927140428498</v>
      </c>
      <c r="AL857">
        <v>79.478976619518093</v>
      </c>
      <c r="AM857">
        <v>85.514615591972699</v>
      </c>
      <c r="AN857">
        <v>1.0000000208348601</v>
      </c>
    </row>
    <row r="858" spans="1:40" x14ac:dyDescent="0.25">
      <c r="A858" t="str">
        <f>"20190303162515781"</f>
        <v>20190303162515781</v>
      </c>
      <c r="B858" t="str">
        <f>"1551601515773369"</f>
        <v>1551601515773369</v>
      </c>
      <c r="C858" t="s">
        <v>40</v>
      </c>
      <c r="D858">
        <v>4.8888369999999997</v>
      </c>
      <c r="E858">
        <v>0.52296719999999997</v>
      </c>
      <c r="F858" t="s">
        <v>42</v>
      </c>
      <c r="G858">
        <v>-234.93510000000001</v>
      </c>
      <c r="H858">
        <v>0.88680680000000001</v>
      </c>
      <c r="I858">
        <v>368.35579999999999</v>
      </c>
      <c r="J858">
        <v>-235.56479999999999</v>
      </c>
      <c r="K858">
        <v>1.121102</v>
      </c>
      <c r="L858">
        <v>368.4665</v>
      </c>
      <c r="M858">
        <v>0.99991669999999999</v>
      </c>
      <c r="N858">
        <v>-1.290561E-2</v>
      </c>
      <c r="O858">
        <v>1.335834E-4</v>
      </c>
      <c r="P858">
        <v>0.98241350000000005</v>
      </c>
      <c r="Q858">
        <v>0.16987430000000001</v>
      </c>
      <c r="R858">
        <v>-7.750187E-2</v>
      </c>
      <c r="S858">
        <v>3.1692049999999998</v>
      </c>
      <c r="T858">
        <v>-0.84937070000000003</v>
      </c>
      <c r="U858">
        <v>-0.40032960000000001</v>
      </c>
      <c r="V858">
        <v>7.7665040000000005E-2</v>
      </c>
      <c r="W858">
        <v>0.18252499999999999</v>
      </c>
      <c r="X858">
        <v>0.98012889999999997</v>
      </c>
      <c r="Y858">
        <v>0.1210333</v>
      </c>
      <c r="Z858">
        <v>-1.6709290000000002E-2</v>
      </c>
      <c r="AA858">
        <v>0.99250780000000005</v>
      </c>
      <c r="AB858">
        <v>27</v>
      </c>
      <c r="AC858">
        <v>0.62969999999998505</v>
      </c>
      <c r="AD858">
        <v>-0.23429519999999901</v>
      </c>
      <c r="AE858">
        <v>-0.110700000000008</v>
      </c>
      <c r="AF858">
        <v>9.7668330830720795E-2</v>
      </c>
      <c r="AG858">
        <v>-0.23429519999999901</v>
      </c>
      <c r="AH858">
        <v>0.55513643139052404</v>
      </c>
      <c r="AI858">
        <v>112.570978449745</v>
      </c>
      <c r="AJ858">
        <v>80.021742760167498</v>
      </c>
      <c r="AK858">
        <v>0.61041772668174099</v>
      </c>
      <c r="AL858">
        <v>79.483130853494103</v>
      </c>
      <c r="AM858">
        <v>85.469370952734494</v>
      </c>
      <c r="AN858">
        <v>0.99999994733920405</v>
      </c>
    </row>
    <row r="859" spans="1:40" x14ac:dyDescent="0.25">
      <c r="A859" t="str">
        <f>"20190303162515801"</f>
        <v>20190303162515801</v>
      </c>
      <c r="B859" t="str">
        <f>"1551601515793865"</f>
        <v>1551601515793865</v>
      </c>
      <c r="C859" t="s">
        <v>40</v>
      </c>
      <c r="D859">
        <v>4.9279729999999997</v>
      </c>
      <c r="E859">
        <v>0.52337270000000002</v>
      </c>
      <c r="F859" t="s">
        <v>42</v>
      </c>
      <c r="G859">
        <v>-234.6978</v>
      </c>
      <c r="H859">
        <v>0.87722330000000004</v>
      </c>
      <c r="I859">
        <v>368.35480000000001</v>
      </c>
      <c r="J859">
        <v>-235.30549999999999</v>
      </c>
      <c r="K859">
        <v>1.121102</v>
      </c>
      <c r="L859">
        <v>368.46640000000002</v>
      </c>
      <c r="M859">
        <v>0.99991699999999994</v>
      </c>
      <c r="N859">
        <v>-1.289531E-2</v>
      </c>
      <c r="O859" s="1">
        <v>6.2491110000000003E-5</v>
      </c>
      <c r="P859">
        <v>0.98233490000000001</v>
      </c>
      <c r="Q859">
        <v>0.170074</v>
      </c>
      <c r="R859">
        <v>-7.8059829999999997E-2</v>
      </c>
      <c r="S859">
        <v>3.1759339999999998</v>
      </c>
      <c r="T859">
        <v>-0.89346329999999996</v>
      </c>
      <c r="U859">
        <v>-0.40893550000000001</v>
      </c>
      <c r="V859">
        <v>7.8153219999999995E-2</v>
      </c>
      <c r="W859">
        <v>0.1827135</v>
      </c>
      <c r="X859">
        <v>0.98005500000000001</v>
      </c>
      <c r="Y859">
        <v>0.1228476</v>
      </c>
      <c r="Z859">
        <v>-1.7712410000000001E-2</v>
      </c>
      <c r="AA859">
        <v>0.99226749999999997</v>
      </c>
      <c r="AB859">
        <v>27</v>
      </c>
      <c r="AC859">
        <v>0.60769999999999402</v>
      </c>
      <c r="AD859">
        <v>-0.2438787</v>
      </c>
      <c r="AE859">
        <v>-0.111600000000009</v>
      </c>
      <c r="AF859">
        <v>9.6589450991405507E-2</v>
      </c>
      <c r="AG859">
        <v>-0.2438787</v>
      </c>
      <c r="AH859">
        <v>0.525777483808334</v>
      </c>
      <c r="AI859">
        <v>114.52292723338699</v>
      </c>
      <c r="AJ859">
        <v>79.590383136115506</v>
      </c>
      <c r="AK859">
        <v>0.58757833931854098</v>
      </c>
      <c r="AL859">
        <v>79.472146176488394</v>
      </c>
      <c r="AM859">
        <v>85.440670089271606</v>
      </c>
      <c r="AN859">
        <v>0.99999997595180801</v>
      </c>
    </row>
    <row r="860" spans="1:40" x14ac:dyDescent="0.25">
      <c r="A860" t="str">
        <f>"20190303162515824"</f>
        <v>20190303162515824</v>
      </c>
      <c r="B860" t="str">
        <f>"1551601515813385"</f>
        <v>1551601515813385</v>
      </c>
      <c r="C860" t="s">
        <v>40</v>
      </c>
      <c r="D860">
        <v>4.9292629999999997</v>
      </c>
      <c r="E860">
        <v>0.52353289999999997</v>
      </c>
      <c r="F860" t="s">
        <v>42</v>
      </c>
      <c r="G860">
        <v>-234.45570000000001</v>
      </c>
      <c r="H860">
        <v>0.87960280000000002</v>
      </c>
      <c r="I860">
        <v>368.35559999999998</v>
      </c>
      <c r="J860">
        <v>-235.0395</v>
      </c>
      <c r="K860">
        <v>1.1210960000000001</v>
      </c>
      <c r="L860">
        <v>368.46629999999999</v>
      </c>
      <c r="M860">
        <v>0.99991699999999994</v>
      </c>
      <c r="N860">
        <v>-1.2885819999999999E-2</v>
      </c>
      <c r="O860" s="1">
        <v>-1.1405109999999999E-5</v>
      </c>
      <c r="P860">
        <v>0.98225209999999996</v>
      </c>
      <c r="Q860">
        <v>0.17025109999999999</v>
      </c>
      <c r="R860">
        <v>-7.8710500000000003E-2</v>
      </c>
      <c r="S860">
        <v>3.1774140000000002</v>
      </c>
      <c r="T860">
        <v>-0.90300309999999995</v>
      </c>
      <c r="U860">
        <v>-0.41351320000000003</v>
      </c>
      <c r="V860">
        <v>7.8731049999999997E-2</v>
      </c>
      <c r="W860">
        <v>0.1828804</v>
      </c>
      <c r="X860">
        <v>0.97997769999999995</v>
      </c>
      <c r="Y860">
        <v>0.1239823</v>
      </c>
      <c r="Z860">
        <v>-1.802219E-2</v>
      </c>
      <c r="AA860">
        <v>0.99212069999999997</v>
      </c>
      <c r="AB860">
        <v>27</v>
      </c>
      <c r="AC860">
        <v>0.58379999999999599</v>
      </c>
      <c r="AD860">
        <v>-0.24149319999999899</v>
      </c>
      <c r="AE860">
        <v>-0.110700000000008</v>
      </c>
      <c r="AF860">
        <v>9.5001592076331298E-2</v>
      </c>
      <c r="AG860">
        <v>-0.24149319999999899</v>
      </c>
      <c r="AH860">
        <v>0.50104232860551701</v>
      </c>
      <c r="AI860">
        <v>115.339640337481</v>
      </c>
      <c r="AJ860">
        <v>79.263716471010696</v>
      </c>
      <c r="AK860">
        <v>0.56425852514402997</v>
      </c>
      <c r="AL860">
        <v>79.462420475081402</v>
      </c>
      <c r="AM860">
        <v>85.406743402732204</v>
      </c>
      <c r="AN860">
        <v>1.00000005571777</v>
      </c>
    </row>
    <row r="861" spans="1:40" x14ac:dyDescent="0.25">
      <c r="A861" t="str">
        <f>"20190303162515846"</f>
        <v>20190303162515846</v>
      </c>
      <c r="B861" t="str">
        <f>"1551601515843641"</f>
        <v>1551601515843641</v>
      </c>
      <c r="C861" t="s">
        <v>40</v>
      </c>
      <c r="D861">
        <v>4.9309139999999996</v>
      </c>
      <c r="E861">
        <v>0.52392380000000005</v>
      </c>
      <c r="F861" t="s">
        <v>42</v>
      </c>
      <c r="G861">
        <v>-234.21190000000001</v>
      </c>
      <c r="H861">
        <v>0.88610109999999997</v>
      </c>
      <c r="I861">
        <v>368.35789999999997</v>
      </c>
      <c r="J861">
        <v>-234.77109999999999</v>
      </c>
      <c r="K861">
        <v>1.121102</v>
      </c>
      <c r="L861">
        <v>368.46620000000001</v>
      </c>
      <c r="M861">
        <v>0.9999171</v>
      </c>
      <c r="N861">
        <v>-1.287727E-2</v>
      </c>
      <c r="O861" s="1">
        <v>-8.5849019999999999E-5</v>
      </c>
      <c r="P861">
        <v>0.98212529999999998</v>
      </c>
      <c r="Q861">
        <v>0.17050950000000001</v>
      </c>
      <c r="R861">
        <v>-7.9725069999999995E-2</v>
      </c>
      <c r="S861">
        <v>3.1772309999999999</v>
      </c>
      <c r="T861">
        <v>-0.90218969999999998</v>
      </c>
      <c r="U861">
        <v>-0.41607670000000002</v>
      </c>
      <c r="V861">
        <v>7.9672599999999996E-2</v>
      </c>
      <c r="W861">
        <v>0.18312880000000001</v>
      </c>
      <c r="X861">
        <v>0.97985509999999998</v>
      </c>
      <c r="Y861">
        <v>0.1246857</v>
      </c>
      <c r="Z861">
        <v>-1.8089330000000001E-2</v>
      </c>
      <c r="AA861">
        <v>0.99203140000000001</v>
      </c>
      <c r="AB861">
        <v>27</v>
      </c>
      <c r="AC861">
        <v>0.55919999999997505</v>
      </c>
      <c r="AD861">
        <v>-0.23500090000000001</v>
      </c>
      <c r="AE861">
        <v>-0.108300000000042</v>
      </c>
      <c r="AF861">
        <v>9.2505588487262896E-2</v>
      </c>
      <c r="AG861">
        <v>-0.23500090000000001</v>
      </c>
      <c r="AH861">
        <v>0.47786637066653898</v>
      </c>
      <c r="AI861">
        <v>115.77162804237101</v>
      </c>
      <c r="AJ861">
        <v>79.044166468258993</v>
      </c>
      <c r="AK861">
        <v>0.54049882064274202</v>
      </c>
      <c r="AL861">
        <v>79.447942580380001</v>
      </c>
      <c r="AM861">
        <v>85.3514725918685</v>
      </c>
      <c r="AN861">
        <v>0.99999994878810305</v>
      </c>
    </row>
    <row r="862" spans="1:40" x14ac:dyDescent="0.25">
      <c r="A862" t="str">
        <f>"20190303162515869"</f>
        <v>20190303162515869</v>
      </c>
      <c r="B862" t="str">
        <f>"1551601515863161"</f>
        <v>1551601515863161</v>
      </c>
      <c r="C862" t="s">
        <v>40</v>
      </c>
      <c r="D862">
        <v>4.9762969999999997</v>
      </c>
      <c r="E862">
        <v>0.52428379999999997</v>
      </c>
      <c r="F862" t="s">
        <v>42</v>
      </c>
      <c r="G862">
        <v>-233.9683</v>
      </c>
      <c r="H862">
        <v>0.89237</v>
      </c>
      <c r="I862">
        <v>368.35919999999999</v>
      </c>
      <c r="J862">
        <v>-234.49359999999999</v>
      </c>
      <c r="K862">
        <v>1.1211040000000001</v>
      </c>
      <c r="L862">
        <v>368.46609999999998</v>
      </c>
      <c r="M862">
        <v>0.99991719999999895</v>
      </c>
      <c r="N862">
        <v>-1.286676E-2</v>
      </c>
      <c r="O862">
        <v>-1.6231319999999999E-4</v>
      </c>
      <c r="P862">
        <v>0.98197590000000001</v>
      </c>
      <c r="Q862">
        <v>0.17100889999999999</v>
      </c>
      <c r="R862">
        <v>-8.0494070000000001E-2</v>
      </c>
      <c r="S862">
        <v>3.1774290000000001</v>
      </c>
      <c r="T862">
        <v>-0.90528629999999999</v>
      </c>
      <c r="U862">
        <v>-0.42309570000000002</v>
      </c>
      <c r="V862">
        <v>8.0366419999999994E-2</v>
      </c>
      <c r="W862">
        <v>0.1836159</v>
      </c>
      <c r="X862">
        <v>0.97970740000000001</v>
      </c>
      <c r="Y862">
        <v>0.12664690000000001</v>
      </c>
      <c r="Z862">
        <v>-1.840791E-2</v>
      </c>
      <c r="AA862">
        <v>0.99177709999999997</v>
      </c>
      <c r="AB862">
        <v>27</v>
      </c>
      <c r="AC862">
        <v>0.525299999999987</v>
      </c>
      <c r="AD862">
        <v>-0.22873399999999999</v>
      </c>
      <c r="AE862">
        <v>-0.106899999999996</v>
      </c>
      <c r="AF862">
        <v>9.0362916454196099E-2</v>
      </c>
      <c r="AG862">
        <v>-0.22873399999999999</v>
      </c>
      <c r="AH862">
        <v>0.44440694778243001</v>
      </c>
      <c r="AI862">
        <v>116.765187418925</v>
      </c>
      <c r="AJ862">
        <v>78.506524379944295</v>
      </c>
      <c r="AK862">
        <v>0.50791951593082496</v>
      </c>
      <c r="AL862">
        <v>79.419553757013901</v>
      </c>
      <c r="AM862">
        <v>85.310467395287304</v>
      </c>
      <c r="AN862">
        <v>1.00000007490559</v>
      </c>
    </row>
    <row r="863" spans="1:40" x14ac:dyDescent="0.25">
      <c r="A863" t="str">
        <f>"20190303162515890"</f>
        <v>20190303162515890</v>
      </c>
      <c r="B863" t="str">
        <f>"1551601515883657"</f>
        <v>1551601515883657</v>
      </c>
      <c r="C863" t="s">
        <v>40</v>
      </c>
      <c r="D863">
        <v>5.0042559999999998</v>
      </c>
      <c r="E863">
        <v>0.52415409999999996</v>
      </c>
      <c r="F863" t="s">
        <v>42</v>
      </c>
      <c r="G863">
        <v>-233.7236</v>
      </c>
      <c r="H863">
        <v>0.90173099999999995</v>
      </c>
      <c r="I863">
        <v>368.36219999999997</v>
      </c>
      <c r="J863">
        <v>-234.23050000000001</v>
      </c>
      <c r="K863">
        <v>1.121108</v>
      </c>
      <c r="L863">
        <v>368.46600000000001</v>
      </c>
      <c r="M863">
        <v>0.99991750000000001</v>
      </c>
      <c r="N863">
        <v>-1.285236E-2</v>
      </c>
      <c r="O863">
        <v>-2.3375570000000001E-4</v>
      </c>
      <c r="P863">
        <v>0.9818422</v>
      </c>
      <c r="Q863">
        <v>0.1711638</v>
      </c>
      <c r="R863">
        <v>-8.1788799999999995E-2</v>
      </c>
      <c r="S863">
        <v>3.1776279999999999</v>
      </c>
      <c r="T863">
        <v>-0.90527939999999996</v>
      </c>
      <c r="U863">
        <v>-0.4282532</v>
      </c>
      <c r="V863">
        <v>8.1591399999999994E-2</v>
      </c>
      <c r="W863">
        <v>0.18375459999999999</v>
      </c>
      <c r="X863">
        <v>0.97958000000000001</v>
      </c>
      <c r="Y863">
        <v>0.12809469999999901</v>
      </c>
      <c r="Z863">
        <v>-1.8596000000000001E-2</v>
      </c>
      <c r="AA863">
        <v>0.99158760000000001</v>
      </c>
      <c r="AB863">
        <v>27</v>
      </c>
      <c r="AC863">
        <v>0.50690000000000102</v>
      </c>
      <c r="AD863">
        <v>-0.21937699999999999</v>
      </c>
      <c r="AE863">
        <v>-0.103800000000035</v>
      </c>
      <c r="AF863">
        <v>8.7883396018330701E-2</v>
      </c>
      <c r="AG863">
        <v>-0.21937699999999999</v>
      </c>
      <c r="AH863">
        <v>0.42968346560106102</v>
      </c>
      <c r="AI863">
        <v>116.574205189553</v>
      </c>
      <c r="AJ863">
        <v>78.440688821001302</v>
      </c>
      <c r="AK863">
        <v>0.49038519557145299</v>
      </c>
      <c r="AL863">
        <v>79.411467863526894</v>
      </c>
      <c r="AM863">
        <v>85.238697277754497</v>
      </c>
      <c r="AN863">
        <v>0.99999994298755801</v>
      </c>
    </row>
    <row r="864" spans="1:40" x14ac:dyDescent="0.25">
      <c r="A864" t="str">
        <f>"20190303162515912"</f>
        <v>20190303162515912</v>
      </c>
      <c r="B864" t="str">
        <f>"1551601515903177"</f>
        <v>1551601515903177</v>
      </c>
      <c r="C864" t="s">
        <v>40</v>
      </c>
      <c r="D864">
        <v>5.009423</v>
      </c>
      <c r="E864">
        <v>0.52361459999999904</v>
      </c>
      <c r="F864" t="s">
        <v>42</v>
      </c>
      <c r="G864">
        <v>-233.4811</v>
      </c>
      <c r="H864">
        <v>0.90605829999999998</v>
      </c>
      <c r="I864">
        <v>368.36410000000001</v>
      </c>
      <c r="J864">
        <v>-233.96639999999999</v>
      </c>
      <c r="K864">
        <v>1.121103</v>
      </c>
      <c r="L864">
        <v>368.4658</v>
      </c>
      <c r="M864">
        <v>0.99991759999999996</v>
      </c>
      <c r="N864">
        <v>-1.2836419999999999E-2</v>
      </c>
      <c r="O864">
        <v>-3.0080120000000002E-4</v>
      </c>
      <c r="P864">
        <v>0.98164359999999995</v>
      </c>
      <c r="Q864">
        <v>0.17137959999999999</v>
      </c>
      <c r="R864">
        <v>-8.3696820000000005E-2</v>
      </c>
      <c r="S864">
        <v>3.1785739999999998</v>
      </c>
      <c r="T864">
        <v>-0.91210950000000002</v>
      </c>
      <c r="U864">
        <v>-0.4309692</v>
      </c>
      <c r="V864">
        <v>8.3434789999999995E-2</v>
      </c>
      <c r="W864">
        <v>0.18395149999999999</v>
      </c>
      <c r="X864">
        <v>0.97938780000000003</v>
      </c>
      <c r="Y864">
        <v>0.12872539999999999</v>
      </c>
      <c r="Z864">
        <v>-1.879252E-2</v>
      </c>
      <c r="AA864">
        <v>0.9915022</v>
      </c>
      <c r="AB864">
        <v>27</v>
      </c>
      <c r="AC864">
        <v>0.48529999999999501</v>
      </c>
      <c r="AD864">
        <v>-0.21504469999999901</v>
      </c>
      <c r="AE864">
        <v>-0.101699999999993</v>
      </c>
      <c r="AF864">
        <v>8.5476515553457505E-2</v>
      </c>
      <c r="AG864">
        <v>-0.21504469999999901</v>
      </c>
      <c r="AH864">
        <v>0.40849562134383299</v>
      </c>
      <c r="AI864">
        <v>117.260751679777</v>
      </c>
      <c r="AJ864">
        <v>78.181544240308298</v>
      </c>
      <c r="AK864">
        <v>0.46948815785526998</v>
      </c>
      <c r="AL864">
        <v>79.399991192011797</v>
      </c>
      <c r="AM864">
        <v>85.130685972877998</v>
      </c>
      <c r="AN864">
        <v>0.99999999066171696</v>
      </c>
    </row>
    <row r="865" spans="1:40" x14ac:dyDescent="0.25">
      <c r="A865" t="str">
        <f>"20190303162515936"</f>
        <v>20190303162515936</v>
      </c>
      <c r="B865" t="str">
        <f>"1551601515923673"</f>
        <v>1551601515923673</v>
      </c>
      <c r="C865" t="s">
        <v>40</v>
      </c>
      <c r="D865">
        <v>5.0090820000000003</v>
      </c>
      <c r="E865">
        <v>0.52311209999999997</v>
      </c>
      <c r="F865" t="s">
        <v>42</v>
      </c>
      <c r="G865">
        <v>-233.23920000000001</v>
      </c>
      <c r="H865">
        <v>0.9092903</v>
      </c>
      <c r="I865">
        <v>368.36680000000001</v>
      </c>
      <c r="J865">
        <v>-233.69040000000001</v>
      </c>
      <c r="K865">
        <v>1.1211040000000001</v>
      </c>
      <c r="L865">
        <v>368.46559999999999</v>
      </c>
      <c r="M865">
        <v>0.99991779999999997</v>
      </c>
      <c r="N865">
        <v>-1.282106E-2</v>
      </c>
      <c r="O865">
        <v>-3.7328749999999999E-4</v>
      </c>
      <c r="P865">
        <v>0.98150899999999996</v>
      </c>
      <c r="Q865">
        <v>0.17140759999999999</v>
      </c>
      <c r="R865">
        <v>-8.5203539999999994E-2</v>
      </c>
      <c r="S865">
        <v>3.180939</v>
      </c>
      <c r="T865">
        <v>-0.92650440000000001</v>
      </c>
      <c r="U865">
        <v>-0.43273929999999999</v>
      </c>
      <c r="V865">
        <v>8.4870150000000005E-2</v>
      </c>
      <c r="W865">
        <v>0.18396270000000001</v>
      </c>
      <c r="X865">
        <v>0.97926239999999998</v>
      </c>
      <c r="Y865">
        <v>0.12893660000000001</v>
      </c>
      <c r="Z865">
        <v>-1.9062240000000001E-2</v>
      </c>
      <c r="AA865">
        <v>0.99146959999999995</v>
      </c>
      <c r="AB865">
        <v>27</v>
      </c>
      <c r="AC865">
        <v>0.45119999999999999</v>
      </c>
      <c r="AD865">
        <v>-0.21181369999999999</v>
      </c>
      <c r="AE865">
        <v>-9.8799999999982901E-2</v>
      </c>
      <c r="AF865">
        <v>8.14937786122409E-2</v>
      </c>
      <c r="AG865">
        <v>-0.21181369999999999</v>
      </c>
      <c r="AH865">
        <v>0.37283197333343898</v>
      </c>
      <c r="AI865">
        <v>119.03102469874401</v>
      </c>
      <c r="AJ865">
        <v>77.670184201077902</v>
      </c>
      <c r="AK865">
        <v>0.43647446637792803</v>
      </c>
      <c r="AL865">
        <v>79.399338788665702</v>
      </c>
      <c r="AM865">
        <v>85.046699432049607</v>
      </c>
      <c r="AN865">
        <v>1.0000000327030301</v>
      </c>
    </row>
    <row r="866" spans="1:40" x14ac:dyDescent="0.25">
      <c r="A866" t="str">
        <f>"20190303162515959"</f>
        <v>20190303162515959</v>
      </c>
      <c r="B866" t="str">
        <f>"1551601515954905"</f>
        <v>1551601515954905</v>
      </c>
      <c r="C866" t="s">
        <v>40</v>
      </c>
      <c r="D866">
        <v>5.0158620000000003</v>
      </c>
      <c r="E866">
        <v>0.52252759999999998</v>
      </c>
      <c r="F866" t="s">
        <v>42</v>
      </c>
      <c r="G866">
        <v>-232.9957</v>
      </c>
      <c r="H866">
        <v>0.91575709999999999</v>
      </c>
      <c r="I866">
        <v>368.37060000000002</v>
      </c>
      <c r="J866">
        <v>-233.41380000000001</v>
      </c>
      <c r="K866">
        <v>1.121102</v>
      </c>
      <c r="L866">
        <v>368.46539999999999</v>
      </c>
      <c r="M866">
        <v>0.99991799999999997</v>
      </c>
      <c r="N866">
        <v>-1.28069E-2</v>
      </c>
      <c r="O866">
        <v>-4.5205929999999998E-4</v>
      </c>
      <c r="P866">
        <v>0.98130890000000004</v>
      </c>
      <c r="Q866">
        <v>0.1717677</v>
      </c>
      <c r="R866">
        <v>-8.6768730000000002E-2</v>
      </c>
      <c r="S866">
        <v>3.1831969999999998</v>
      </c>
      <c r="T866">
        <v>-0.94096299999999999</v>
      </c>
      <c r="U866">
        <v>-0.43362430000000002</v>
      </c>
      <c r="V866">
        <v>8.63569E-2</v>
      </c>
      <c r="W866">
        <v>0.1843072</v>
      </c>
      <c r="X866">
        <v>0.97906760000000004</v>
      </c>
      <c r="Y866">
        <v>0.128883</v>
      </c>
      <c r="Z866">
        <v>-1.9291949999999999E-2</v>
      </c>
      <c r="AA866">
        <v>0.99147209999999997</v>
      </c>
      <c r="AB866">
        <v>27</v>
      </c>
      <c r="AC866">
        <v>0.41810000000000902</v>
      </c>
      <c r="AD866">
        <v>-0.2053449</v>
      </c>
      <c r="AE866">
        <v>-9.4799999999963802E-2</v>
      </c>
      <c r="AF866">
        <v>7.6955652564068694E-2</v>
      </c>
      <c r="AG866">
        <v>-0.2053449</v>
      </c>
      <c r="AH866">
        <v>0.34011334695901102</v>
      </c>
      <c r="AI866">
        <v>120.492498463589</v>
      </c>
      <c r="AJ866">
        <v>77.250663562454903</v>
      </c>
      <c r="AK866">
        <v>0.40467986013296098</v>
      </c>
      <c r="AL866">
        <v>79.379256789334903</v>
      </c>
      <c r="AM866">
        <v>84.959373316862795</v>
      </c>
      <c r="AN866">
        <v>1.0000000117596</v>
      </c>
    </row>
    <row r="867" spans="1:40" x14ac:dyDescent="0.25">
      <c r="A867" t="str">
        <f>"20190303162515981"</f>
        <v>20190303162515981</v>
      </c>
      <c r="B867" t="str">
        <f>"1551601515973449"</f>
        <v>1551601515973449</v>
      </c>
      <c r="C867" t="s">
        <v>40</v>
      </c>
      <c r="D867">
        <v>4.9882359999999997</v>
      </c>
      <c r="E867">
        <v>0.52213209999999999</v>
      </c>
      <c r="F867" t="s">
        <v>42</v>
      </c>
      <c r="G867">
        <v>-232.5385</v>
      </c>
      <c r="H867">
        <v>0.85847719999999905</v>
      </c>
      <c r="I867">
        <v>368.34609999999998</v>
      </c>
      <c r="J867">
        <v>-233.14760000000001</v>
      </c>
      <c r="K867">
        <v>1.1211009999999999</v>
      </c>
      <c r="L867">
        <v>368.46519999999998</v>
      </c>
      <c r="M867">
        <v>0.99991810000000003</v>
      </c>
      <c r="N867">
        <v>-1.278845E-2</v>
      </c>
      <c r="O867">
        <v>-5.2584430000000002E-4</v>
      </c>
      <c r="P867">
        <v>0.98119279999999998</v>
      </c>
      <c r="Q867">
        <v>0.17167739999999901</v>
      </c>
      <c r="R867">
        <v>-8.8248800000000002E-2</v>
      </c>
      <c r="S867">
        <v>3.186172</v>
      </c>
      <c r="T867">
        <v>-0.95592379999999999</v>
      </c>
      <c r="U867">
        <v>-0.43316650000000001</v>
      </c>
      <c r="V867">
        <v>8.7764549999999997E-2</v>
      </c>
      <c r="W867">
        <v>0.1841971</v>
      </c>
      <c r="X867">
        <v>0.97896309999999997</v>
      </c>
      <c r="Y867">
        <v>0.12840770000000001</v>
      </c>
      <c r="Z867">
        <v>-1.9462569999999998E-2</v>
      </c>
      <c r="AA867">
        <v>0.99153049999999998</v>
      </c>
      <c r="AB867">
        <v>27</v>
      </c>
      <c r="AC867">
        <v>0.60910000000001197</v>
      </c>
      <c r="AD867">
        <v>-0.26262380000000002</v>
      </c>
      <c r="AE867">
        <v>-0.119100000000003</v>
      </c>
      <c r="AF867">
        <v>0.100741081305177</v>
      </c>
      <c r="AG867">
        <v>-0.26262380000000002</v>
      </c>
      <c r="AH867">
        <v>0.51665151247319296</v>
      </c>
      <c r="AI867">
        <v>116.51565785595299</v>
      </c>
      <c r="AJ867">
        <v>78.966428127454193</v>
      </c>
      <c r="AK867">
        <v>0.588259136035994</v>
      </c>
      <c r="AL867">
        <v>79.385674486174906</v>
      </c>
      <c r="AM867">
        <v>84.877098957745403</v>
      </c>
      <c r="AN867">
        <v>0.99999996952336001</v>
      </c>
    </row>
    <row r="868" spans="1:40" x14ac:dyDescent="0.25">
      <c r="A868" t="str">
        <f>"20190303162516002"</f>
        <v>20190303162516002</v>
      </c>
      <c r="B868" t="str">
        <f>"1551601515993944"</f>
        <v>1551601515993944</v>
      </c>
      <c r="C868" t="s">
        <v>40</v>
      </c>
      <c r="D868">
        <v>4.9635049999999996</v>
      </c>
      <c r="E868">
        <v>0.52192369999999999</v>
      </c>
      <c r="F868" t="s">
        <v>42</v>
      </c>
      <c r="G868">
        <v>-232.29640000000001</v>
      </c>
      <c r="H868">
        <v>0.86319760000000001</v>
      </c>
      <c r="I868">
        <v>368.34910000000002</v>
      </c>
      <c r="J868">
        <v>-232.8877</v>
      </c>
      <c r="K868">
        <v>1.121097</v>
      </c>
      <c r="L868">
        <v>368.46499999999997</v>
      </c>
      <c r="M868">
        <v>0.99991830000000004</v>
      </c>
      <c r="N868">
        <v>-1.2766420000000001E-2</v>
      </c>
      <c r="O868">
        <v>-5.9000290000000004E-4</v>
      </c>
      <c r="P868">
        <v>0.98098949999999996</v>
      </c>
      <c r="Q868">
        <v>0.17180000000000001</v>
      </c>
      <c r="R868">
        <v>-9.0248289999999995E-2</v>
      </c>
      <c r="S868">
        <v>3.187424</v>
      </c>
      <c r="T868">
        <v>-0.96579119999999996</v>
      </c>
      <c r="U868">
        <v>-0.43420409999999998</v>
      </c>
      <c r="V868">
        <v>8.9702500000000004E-2</v>
      </c>
      <c r="W868">
        <v>0.1842945</v>
      </c>
      <c r="X868">
        <v>0.97876909999999895</v>
      </c>
      <c r="Y868">
        <v>0.12849759999999999</v>
      </c>
      <c r="Z868">
        <v>-1.96338E-2</v>
      </c>
      <c r="AA868">
        <v>0.99151549999999999</v>
      </c>
      <c r="AB868">
        <v>27</v>
      </c>
      <c r="AC868">
        <v>0.59129999999998895</v>
      </c>
      <c r="AD868">
        <v>-0.2578994</v>
      </c>
      <c r="AE868">
        <v>-0.115899999999953</v>
      </c>
      <c r="AF868">
        <v>9.7660271915879504E-2</v>
      </c>
      <c r="AG868">
        <v>-0.2578994</v>
      </c>
      <c r="AH868">
        <v>0.49980654515433398</v>
      </c>
      <c r="AI868">
        <v>116.858634427098</v>
      </c>
      <c r="AJ868">
        <v>78.943926670277804</v>
      </c>
      <c r="AK868">
        <v>0.57083816604196602</v>
      </c>
      <c r="AL868">
        <v>79.379996745524707</v>
      </c>
      <c r="AM868">
        <v>84.763568898046401</v>
      </c>
      <c r="AN868">
        <v>0.99999997617565395</v>
      </c>
    </row>
    <row r="869" spans="1:40" x14ac:dyDescent="0.25">
      <c r="A869" t="str">
        <f>"20190303162516025"</f>
        <v>20190303162516025</v>
      </c>
      <c r="B869" t="str">
        <f>"1551601516013465"</f>
        <v>1551601516013465</v>
      </c>
      <c r="C869" t="s">
        <v>40</v>
      </c>
      <c r="D869">
        <v>4.9398010000000001</v>
      </c>
      <c r="E869">
        <v>0.52167039999999998</v>
      </c>
      <c r="F869" t="s">
        <v>42</v>
      </c>
      <c r="G869">
        <v>-232.05459999999999</v>
      </c>
      <c r="H869">
        <v>0.86701070000000002</v>
      </c>
      <c r="I869">
        <v>368.3501</v>
      </c>
      <c r="J869">
        <v>-232.61600000000001</v>
      </c>
      <c r="K869">
        <v>1.1210990000000001</v>
      </c>
      <c r="L869">
        <v>368.46469999999999</v>
      </c>
      <c r="M869">
        <v>0.99991870000000005</v>
      </c>
      <c r="N869">
        <v>-1.2736890000000001E-2</v>
      </c>
      <c r="O869">
        <v>-6.6630960000000001E-4</v>
      </c>
      <c r="P869">
        <v>0.98076660000000004</v>
      </c>
      <c r="Q869">
        <v>0.17210429999999999</v>
      </c>
      <c r="R869">
        <v>-9.2070669999999993E-2</v>
      </c>
      <c r="S869">
        <v>3.1881560000000002</v>
      </c>
      <c r="T869">
        <v>-0.97243049999999998</v>
      </c>
      <c r="U869">
        <v>-0.43801879999999999</v>
      </c>
      <c r="V869">
        <v>9.1449219999999998E-2</v>
      </c>
      <c r="W869">
        <v>0.18456729999999999</v>
      </c>
      <c r="X869">
        <v>0.97855599999999998</v>
      </c>
      <c r="Y869">
        <v>0.12944149999999999</v>
      </c>
      <c r="Z869">
        <v>-1.9874760000000002E-2</v>
      </c>
      <c r="AA869">
        <v>0.99138780000000004</v>
      </c>
      <c r="AB869">
        <v>27</v>
      </c>
      <c r="AC869">
        <v>0.56139999999999102</v>
      </c>
      <c r="AD869">
        <v>-0.25408829999999999</v>
      </c>
      <c r="AE869">
        <v>-0.114599999999995</v>
      </c>
      <c r="AF869">
        <v>9.5454695889377703E-2</v>
      </c>
      <c r="AG869">
        <v>-0.25408829999999999</v>
      </c>
      <c r="AH869">
        <v>0.469206669533133</v>
      </c>
      <c r="AI869">
        <v>117.952995680893</v>
      </c>
      <c r="AJ869">
        <v>78.500759828351093</v>
      </c>
      <c r="AK869">
        <v>0.54205844878444498</v>
      </c>
      <c r="AL869">
        <v>79.364093328239804</v>
      </c>
      <c r="AM869">
        <v>84.661030884007005</v>
      </c>
      <c r="AN869">
        <v>0.99999994660194702</v>
      </c>
    </row>
    <row r="870" spans="1:40" x14ac:dyDescent="0.25">
      <c r="A870" t="str">
        <f>"20190303162516048"</f>
        <v>20190303162516048</v>
      </c>
      <c r="B870" t="str">
        <f>"1551601516043722"</f>
        <v>1551601516043722</v>
      </c>
      <c r="C870" t="s">
        <v>40</v>
      </c>
      <c r="D870">
        <v>4.9128910000000001</v>
      </c>
      <c r="E870">
        <v>0.52128269999999999</v>
      </c>
      <c r="F870" t="s">
        <v>42</v>
      </c>
      <c r="G870">
        <v>-231.81139999999999</v>
      </c>
      <c r="H870">
        <v>0.87468539999999995</v>
      </c>
      <c r="I870">
        <v>368.35340000000002</v>
      </c>
      <c r="J870">
        <v>-232.33690000000001</v>
      </c>
      <c r="K870">
        <v>1.121092</v>
      </c>
      <c r="L870">
        <v>368.46440000000001</v>
      </c>
      <c r="M870">
        <v>0.99991909999999895</v>
      </c>
      <c r="N870">
        <v>-1.269707E-2</v>
      </c>
      <c r="O870">
        <v>-7.5532119999999995E-4</v>
      </c>
      <c r="P870">
        <v>0.98053900000000005</v>
      </c>
      <c r="Q870">
        <v>0.17238419999999999</v>
      </c>
      <c r="R870">
        <v>-9.3952610000000006E-2</v>
      </c>
      <c r="S870">
        <v>3.188828</v>
      </c>
      <c r="T870">
        <v>-0.97657039999999995</v>
      </c>
      <c r="U870">
        <v>-0.4406738</v>
      </c>
      <c r="V870">
        <v>9.3243800000000002E-2</v>
      </c>
      <c r="W870">
        <v>0.18480540000000001</v>
      </c>
      <c r="X870">
        <v>0.97834180000000004</v>
      </c>
      <c r="Y870">
        <v>0.1300645</v>
      </c>
      <c r="Z870">
        <v>-2.00164E-2</v>
      </c>
      <c r="AA870">
        <v>0.99130339999999995</v>
      </c>
      <c r="AB870">
        <v>27</v>
      </c>
      <c r="AC870">
        <v>0.52550000000002195</v>
      </c>
      <c r="AD870">
        <v>-0.2464066</v>
      </c>
      <c r="AE870">
        <v>-0.11099999999999</v>
      </c>
      <c r="AF870">
        <v>9.1371522253334406E-2</v>
      </c>
      <c r="AG870">
        <v>-0.2464066</v>
      </c>
      <c r="AH870">
        <v>0.43419596195673998</v>
      </c>
      <c r="AI870">
        <v>119.045065848869</v>
      </c>
      <c r="AJ870">
        <v>78.116163101899701</v>
      </c>
      <c r="AK870">
        <v>0.50753433478139198</v>
      </c>
      <c r="AL870">
        <v>79.350213636480206</v>
      </c>
      <c r="AM870">
        <v>84.555698765516695</v>
      </c>
      <c r="AN870">
        <v>1.0000000598674099</v>
      </c>
    </row>
    <row r="871" spans="1:40" x14ac:dyDescent="0.25">
      <c r="A871" t="str">
        <f>"20190303162516070"</f>
        <v>20190303162516070</v>
      </c>
      <c r="B871" t="str">
        <f>"1551601516063241"</f>
        <v>1551601516063241</v>
      </c>
      <c r="C871" t="s">
        <v>40</v>
      </c>
      <c r="D871">
        <v>4.8230199999999996</v>
      </c>
      <c r="E871">
        <v>0.52130779999999999</v>
      </c>
      <c r="F871" t="s">
        <v>42</v>
      </c>
      <c r="G871">
        <v>-231.56729999999999</v>
      </c>
      <c r="H871">
        <v>0.88431999999999999</v>
      </c>
      <c r="I871">
        <v>368.35719999999998</v>
      </c>
      <c r="J871">
        <v>-232.07759999999999</v>
      </c>
      <c r="K871">
        <v>1.121084</v>
      </c>
      <c r="L871">
        <v>368.46409999999997</v>
      </c>
      <c r="M871">
        <v>0.99991960000000002</v>
      </c>
      <c r="N871">
        <v>-1.2653920000000001E-2</v>
      </c>
      <c r="O871">
        <v>-8.4113509999999897E-4</v>
      </c>
      <c r="P871">
        <v>0.9802459</v>
      </c>
      <c r="Q871">
        <v>0.1727881</v>
      </c>
      <c r="R871">
        <v>-9.6242640000000004E-2</v>
      </c>
      <c r="S871">
        <v>3.1896360000000001</v>
      </c>
      <c r="T871">
        <v>-0.98136199999999996</v>
      </c>
      <c r="U871">
        <v>-0.44284059999999997</v>
      </c>
      <c r="V871">
        <v>9.5450439999999998E-2</v>
      </c>
      <c r="W871">
        <v>0.18516250000000001</v>
      </c>
      <c r="X871">
        <v>0.97806139999999997</v>
      </c>
      <c r="Y871">
        <v>0.1305346</v>
      </c>
      <c r="Z871">
        <v>-2.0146919999999999E-2</v>
      </c>
      <c r="AA871">
        <v>0.99123899999999998</v>
      </c>
      <c r="AB871">
        <v>27</v>
      </c>
      <c r="AC871">
        <v>0.51029999999999998</v>
      </c>
      <c r="AD871">
        <v>-0.236763999999999</v>
      </c>
      <c r="AE871">
        <v>-0.106899999999996</v>
      </c>
      <c r="AF871">
        <v>8.8268152987894505E-2</v>
      </c>
      <c r="AG871">
        <v>-0.236763999999999</v>
      </c>
      <c r="AH871">
        <v>0.42313201148527602</v>
      </c>
      <c r="AI871">
        <v>118.712151764461</v>
      </c>
      <c r="AJ871">
        <v>78.216703202678502</v>
      </c>
      <c r="AK871">
        <v>0.49283786144275699</v>
      </c>
      <c r="AL871">
        <v>79.329393569929394</v>
      </c>
      <c r="AM871">
        <v>84.426072041881497</v>
      </c>
      <c r="AN871">
        <v>1.0000000200362</v>
      </c>
    </row>
    <row r="872" spans="1:40" x14ac:dyDescent="0.25">
      <c r="A872" t="str">
        <f>"20190303162516091"</f>
        <v>20190303162516091</v>
      </c>
      <c r="B872" t="str">
        <f>"1551601516083739"</f>
        <v>1551601516083739</v>
      </c>
      <c r="C872" t="s">
        <v>40</v>
      </c>
      <c r="D872">
        <v>4.7960339999999997</v>
      </c>
      <c r="E872">
        <v>0.54442419999999903</v>
      </c>
      <c r="F872" t="s">
        <v>42</v>
      </c>
      <c r="G872">
        <v>-231.32480000000001</v>
      </c>
      <c r="H872">
        <v>0.88996609999999998</v>
      </c>
      <c r="I872">
        <v>368.35770000000002</v>
      </c>
      <c r="J872">
        <v>-231.8219</v>
      </c>
      <c r="K872">
        <v>1.121076</v>
      </c>
      <c r="L872">
        <v>368.46379999999999</v>
      </c>
      <c r="M872">
        <v>0.99992020000000004</v>
      </c>
      <c r="N872">
        <v>-1.261141E-2</v>
      </c>
      <c r="O872">
        <v>-9.2446830000000001E-4</v>
      </c>
      <c r="P872">
        <v>0.97996050000000001</v>
      </c>
      <c r="Q872">
        <v>0.17350099999999999</v>
      </c>
      <c r="R872">
        <v>-9.7852869999999995E-2</v>
      </c>
      <c r="S872">
        <v>3.1888580000000002</v>
      </c>
      <c r="T872">
        <v>-0.97900750000000003</v>
      </c>
      <c r="U872">
        <v>-0.44973750000000001</v>
      </c>
      <c r="V872">
        <v>9.6980739999999996E-2</v>
      </c>
      <c r="W872">
        <v>0.1858292</v>
      </c>
      <c r="X872">
        <v>0.97778430000000005</v>
      </c>
      <c r="Y872">
        <v>0.13252539999999999</v>
      </c>
      <c r="Z872">
        <v>-2.0387949999999998E-2</v>
      </c>
      <c r="AA872">
        <v>0.99096989999999996</v>
      </c>
      <c r="AB872">
        <v>27</v>
      </c>
      <c r="AC872">
        <v>0.497099999999989</v>
      </c>
      <c r="AD872">
        <v>-0.23110990000000001</v>
      </c>
      <c r="AE872">
        <v>-0.106099999999969</v>
      </c>
      <c r="AF872">
        <v>8.7542707974808703E-2</v>
      </c>
      <c r="AG872">
        <v>-0.23110990000000001</v>
      </c>
      <c r="AH872">
        <v>0.41202100111582801</v>
      </c>
      <c r="AI872">
        <v>118.752249289643</v>
      </c>
      <c r="AJ872">
        <v>78.004664698124202</v>
      </c>
      <c r="AK872">
        <v>0.48045480220106201</v>
      </c>
      <c r="AL872">
        <v>79.2905190239033</v>
      </c>
      <c r="AM872">
        <v>84.335690483982404</v>
      </c>
      <c r="AN872">
        <v>0.99999994641503698</v>
      </c>
    </row>
    <row r="873" spans="1:40" x14ac:dyDescent="0.25">
      <c r="A873" t="str">
        <f>"20190303162516113"</f>
        <v>20190303162516113</v>
      </c>
      <c r="B873" t="str">
        <f>"1551601516103258"</f>
        <v>1551601516103258</v>
      </c>
      <c r="C873" t="s">
        <v>40</v>
      </c>
      <c r="D873">
        <v>4.8172550000000003</v>
      </c>
      <c r="E873">
        <v>0.54995950000000005</v>
      </c>
      <c r="F873" t="s">
        <v>42</v>
      </c>
      <c r="G873">
        <v>-231.03399999999999</v>
      </c>
      <c r="H873">
        <v>0.9947897</v>
      </c>
      <c r="I873">
        <v>368.3</v>
      </c>
      <c r="J873">
        <v>-231.5504</v>
      </c>
      <c r="K873">
        <v>1.1210629999999999</v>
      </c>
      <c r="L873">
        <v>368.46339999999998</v>
      </c>
      <c r="M873">
        <v>0.99992049999999999</v>
      </c>
      <c r="N873">
        <v>-1.2569550000000001E-2</v>
      </c>
      <c r="O873">
        <v>-1.0116260000000001E-3</v>
      </c>
      <c r="P873">
        <v>0.97972510000000002</v>
      </c>
      <c r="Q873">
        <v>0.17390929999999999</v>
      </c>
      <c r="R873">
        <v>-9.9470470000000005E-2</v>
      </c>
      <c r="S873">
        <v>3.0850070000000001</v>
      </c>
      <c r="T873">
        <v>-0.4947278</v>
      </c>
      <c r="U873">
        <v>-0.64025880000000002</v>
      </c>
      <c r="V873">
        <v>9.8514770000000002E-2</v>
      </c>
      <c r="W873">
        <v>0.18619279999999999</v>
      </c>
      <c r="X873">
        <v>0.97756180000000004</v>
      </c>
      <c r="Y873">
        <v>0.1995827</v>
      </c>
      <c r="Z873">
        <v>-1.6865789999999999E-2</v>
      </c>
      <c r="AA873">
        <v>0.97973580000000005</v>
      </c>
      <c r="AB873">
        <v>27</v>
      </c>
      <c r="AC873">
        <v>0.51639999999997599</v>
      </c>
      <c r="AD873">
        <v>-0.1262733</v>
      </c>
      <c r="AE873">
        <v>-0.16339999999996699</v>
      </c>
      <c r="AF873">
        <v>0.15448122356628</v>
      </c>
      <c r="AG873">
        <v>-0.1262733</v>
      </c>
      <c r="AH873">
        <v>0.48993639225726499</v>
      </c>
      <c r="AI873">
        <v>103.80978497723</v>
      </c>
      <c r="AJ873">
        <v>72.499481714612998</v>
      </c>
      <c r="AK873">
        <v>0.52900573076809798</v>
      </c>
      <c r="AL873">
        <v>79.269316774684995</v>
      </c>
      <c r="AM873">
        <v>84.245388822797906</v>
      </c>
      <c r="AN873">
        <v>0.99999999574961596</v>
      </c>
    </row>
    <row r="874" spans="1:40" x14ac:dyDescent="0.25">
      <c r="A874" t="str">
        <f>"20190303162516132"</f>
        <v>20190303162516132</v>
      </c>
      <c r="B874" t="str">
        <f>"1551601516124730"</f>
        <v>1551601516124730</v>
      </c>
      <c r="C874" t="s">
        <v>40</v>
      </c>
      <c r="D874">
        <v>4.7347250000000001</v>
      </c>
      <c r="E874">
        <v>0.55233730000000003</v>
      </c>
      <c r="F874" t="s">
        <v>41</v>
      </c>
      <c r="G874">
        <v>-222.00219999999999</v>
      </c>
      <c r="H874" s="1">
        <v>-4.000312E-6</v>
      </c>
      <c r="I874">
        <v>366.3075</v>
      </c>
      <c r="J874">
        <v>-231.33179999999999</v>
      </c>
      <c r="K874">
        <v>1.1210599999999999</v>
      </c>
      <c r="L874">
        <v>368.4631</v>
      </c>
      <c r="M874">
        <v>0.99992080000000005</v>
      </c>
      <c r="N874">
        <v>-1.2534979999999999E-2</v>
      </c>
      <c r="O874">
        <v>-1.077801E-3</v>
      </c>
      <c r="P874">
        <v>0.97955809999999999</v>
      </c>
      <c r="Q874">
        <v>0.17423959999999999</v>
      </c>
      <c r="R874">
        <v>-0.1005316</v>
      </c>
      <c r="S874">
        <v>3.0557099999999999</v>
      </c>
      <c r="T874">
        <v>-0.35877039999999999</v>
      </c>
      <c r="U874">
        <v>-0.68994140000000004</v>
      </c>
      <c r="V874">
        <v>9.9511000000000002E-2</v>
      </c>
      <c r="W874">
        <v>0.18648700000000001</v>
      </c>
      <c r="X874">
        <v>0.97740479999999996</v>
      </c>
      <c r="Y874">
        <v>0.21761610000000001</v>
      </c>
      <c r="Z874">
        <v>-1.384934E-2</v>
      </c>
      <c r="AA874">
        <v>0.97593620000000003</v>
      </c>
      <c r="AB874">
        <v>27</v>
      </c>
      <c r="AC874">
        <v>9.3295999999999992</v>
      </c>
      <c r="AD874">
        <v>-1.121064000312</v>
      </c>
      <c r="AE874">
        <v>-2.15559999999999</v>
      </c>
      <c r="AF874">
        <v>2.1165308375919398</v>
      </c>
      <c r="AG874">
        <v>-1.121064000312</v>
      </c>
      <c r="AH874">
        <v>9.2057334334329006</v>
      </c>
      <c r="AI874">
        <v>96.768344406552401</v>
      </c>
      <c r="AJ874">
        <v>77.051892740637399</v>
      </c>
      <c r="AK874">
        <v>9.5122034948111498</v>
      </c>
      <c r="AL874">
        <v>79.252159814345006</v>
      </c>
      <c r="AM874">
        <v>84.186664563789193</v>
      </c>
      <c r="AN874">
        <v>0.99999999167651898</v>
      </c>
    </row>
    <row r="875" spans="1:40" x14ac:dyDescent="0.25">
      <c r="A875" t="str">
        <f>"20190303162516149"</f>
        <v>20190303162516149</v>
      </c>
      <c r="B875" t="str">
        <f>"1551601516143272"</f>
        <v>1551601516143272</v>
      </c>
      <c r="C875" t="s">
        <v>40</v>
      </c>
      <c r="D875">
        <v>4.7587260000000002</v>
      </c>
      <c r="E875">
        <v>0.55328379999999999</v>
      </c>
      <c r="F875" t="s">
        <v>41</v>
      </c>
      <c r="G875">
        <v>-219.88829999999999</v>
      </c>
      <c r="H875" s="1">
        <v>-1.0429180000000001E-6</v>
      </c>
      <c r="I875">
        <v>365.78739999999999</v>
      </c>
      <c r="J875">
        <v>-231.13040000000001</v>
      </c>
      <c r="K875">
        <v>1.1210610000000001</v>
      </c>
      <c r="L875">
        <v>368.46280000000002</v>
      </c>
      <c r="M875">
        <v>0.99992130000000001</v>
      </c>
      <c r="N875">
        <v>-1.250191E-2</v>
      </c>
      <c r="O875">
        <v>-1.137641E-3</v>
      </c>
      <c r="P875">
        <v>0.97937320000000005</v>
      </c>
      <c r="Q875">
        <v>0.1744848</v>
      </c>
      <c r="R875">
        <v>-0.10189769999999999</v>
      </c>
      <c r="S875">
        <v>3.0426329999999999</v>
      </c>
      <c r="T875">
        <v>-0.29806830000000001</v>
      </c>
      <c r="U875">
        <v>-0.7114258</v>
      </c>
      <c r="V875">
        <v>0.10081809999999999</v>
      </c>
      <c r="W875">
        <v>0.1866978</v>
      </c>
      <c r="X875">
        <v>0.97723059999999995</v>
      </c>
      <c r="Y875">
        <v>0.22541420000000001</v>
      </c>
      <c r="Z875">
        <v>-1.220509E-2</v>
      </c>
      <c r="AA875">
        <v>0.97418660000000001</v>
      </c>
      <c r="AB875">
        <v>27</v>
      </c>
      <c r="AC875">
        <v>11.242100000000001</v>
      </c>
      <c r="AD875">
        <v>-1.121062042918</v>
      </c>
      <c r="AE875">
        <v>-2.6754000000000202</v>
      </c>
      <c r="AF875">
        <v>2.6377834012036998</v>
      </c>
      <c r="AG875">
        <v>-1.121062042918</v>
      </c>
      <c r="AH875">
        <v>11.1402943859564</v>
      </c>
      <c r="AI875">
        <v>95.592784027713705</v>
      </c>
      <c r="AJ875">
        <v>76.6789136557842</v>
      </c>
      <c r="AK875">
        <v>11.503079604241099</v>
      </c>
      <c r="AL875">
        <v>79.239866060980503</v>
      </c>
      <c r="AM875">
        <v>84.109795883497796</v>
      </c>
      <c r="AN875">
        <v>1.0000000016944</v>
      </c>
    </row>
    <row r="876" spans="1:40" x14ac:dyDescent="0.25">
      <c r="A876" t="str">
        <f>"20190303162516173"</f>
        <v>20190303162516173</v>
      </c>
      <c r="B876" t="str">
        <f>"1551601516163769"</f>
        <v>1551601516163769</v>
      </c>
      <c r="C876" t="s">
        <v>40</v>
      </c>
      <c r="D876">
        <v>4.7658779999999998</v>
      </c>
      <c r="E876">
        <v>0.55375609999999997</v>
      </c>
      <c r="F876" t="s">
        <v>41</v>
      </c>
      <c r="G876">
        <v>-218.58449999999999</v>
      </c>
      <c r="H876" s="1">
        <v>-1.569162E-6</v>
      </c>
      <c r="I876">
        <v>365.47710000000001</v>
      </c>
      <c r="J876">
        <v>-230.84180000000001</v>
      </c>
      <c r="K876">
        <v>1.121057</v>
      </c>
      <c r="L876">
        <v>368.4624</v>
      </c>
      <c r="M876">
        <v>0.99992159999999997</v>
      </c>
      <c r="N876">
        <v>-1.245539E-2</v>
      </c>
      <c r="O876">
        <v>-1.2230050000000001E-3</v>
      </c>
      <c r="P876">
        <v>0.97927520000000001</v>
      </c>
      <c r="Q876">
        <v>0.1744511</v>
      </c>
      <c r="R876">
        <v>-0.10289239999999999</v>
      </c>
      <c r="S876">
        <v>3.0363159999999998</v>
      </c>
      <c r="T876">
        <v>-0.27131349999999999</v>
      </c>
      <c r="U876">
        <v>-0.72259519999999899</v>
      </c>
      <c r="V876">
        <v>0.1017277</v>
      </c>
      <c r="W876">
        <v>0.18661810000000001</v>
      </c>
      <c r="X876">
        <v>0.97715160000000001</v>
      </c>
      <c r="Y876">
        <v>0.2293405</v>
      </c>
      <c r="Z876">
        <v>-1.1444609999999999E-2</v>
      </c>
      <c r="AA876">
        <v>0.97327900000000001</v>
      </c>
      <c r="AB876">
        <v>27</v>
      </c>
      <c r="AC876">
        <v>12.257300000000001</v>
      </c>
      <c r="AD876">
        <v>-1.1210585691620001</v>
      </c>
      <c r="AE876">
        <v>-2.9852999999999899</v>
      </c>
      <c r="AF876">
        <v>2.9470342863811401</v>
      </c>
      <c r="AG876">
        <v>-1.1210585691620001</v>
      </c>
      <c r="AH876">
        <v>12.164880845131099</v>
      </c>
      <c r="AI876">
        <v>95.1180163940207</v>
      </c>
      <c r="AJ876">
        <v>76.382025865765101</v>
      </c>
      <c r="AK876">
        <v>12.566865535082201</v>
      </c>
      <c r="AL876">
        <v>79.244514695296402</v>
      </c>
      <c r="AM876">
        <v>84.0565549767379</v>
      </c>
      <c r="AN876">
        <v>1.0000000447887201</v>
      </c>
    </row>
    <row r="877" spans="1:40" x14ac:dyDescent="0.25">
      <c r="A877" t="str">
        <f>"20190303162516194"</f>
        <v>20190303162516194</v>
      </c>
      <c r="B877" t="str">
        <f>"1551601516183289"</f>
        <v>1551601516183289</v>
      </c>
      <c r="C877" t="s">
        <v>40</v>
      </c>
      <c r="D877">
        <v>4.7448649999999999</v>
      </c>
      <c r="E877">
        <v>0.55408729999999995</v>
      </c>
      <c r="F877" t="s">
        <v>41</v>
      </c>
      <c r="G877">
        <v>-217.6182</v>
      </c>
      <c r="H877" s="1">
        <v>-1.9508469999999998E-6</v>
      </c>
      <c r="I877">
        <v>365.27839999999998</v>
      </c>
      <c r="J877">
        <v>-230.5908</v>
      </c>
      <c r="K877">
        <v>1.121049</v>
      </c>
      <c r="L877">
        <v>368.46199999999999</v>
      </c>
      <c r="M877">
        <v>0.99992210000000004</v>
      </c>
      <c r="N877">
        <v>-1.241839E-2</v>
      </c>
      <c r="O877">
        <v>-1.2972540000000001E-3</v>
      </c>
      <c r="P877">
        <v>0.97924809999999995</v>
      </c>
      <c r="Q877">
        <v>0.1742234</v>
      </c>
      <c r="R877">
        <v>-0.103536</v>
      </c>
      <c r="S877">
        <v>3.032562</v>
      </c>
      <c r="T877">
        <v>-0.25709029999999999</v>
      </c>
      <c r="U877">
        <v>-0.73016359999999902</v>
      </c>
      <c r="V877">
        <v>0.1022979</v>
      </c>
      <c r="W877">
        <v>0.1863544</v>
      </c>
      <c r="X877">
        <v>0.97714230000000002</v>
      </c>
      <c r="Y877">
        <v>0.23191929999999999</v>
      </c>
      <c r="Z877">
        <v>-1.104636E-2</v>
      </c>
      <c r="AA877">
        <v>0.97267230000000005</v>
      </c>
      <c r="AB877">
        <v>27</v>
      </c>
      <c r="AC877">
        <v>12.9726</v>
      </c>
      <c r="AD877">
        <v>-1.1210509508469999</v>
      </c>
      <c r="AE877">
        <v>-3.18360000000001</v>
      </c>
      <c r="AF877">
        <v>3.1446176554187599</v>
      </c>
      <c r="AG877">
        <v>-1.1210509508469999</v>
      </c>
      <c r="AH877">
        <v>12.8859550785289</v>
      </c>
      <c r="AI877">
        <v>94.831023599046802</v>
      </c>
      <c r="AJ877">
        <v>76.285897310959697</v>
      </c>
      <c r="AK877">
        <v>13.311394131308299</v>
      </c>
      <c r="AL877">
        <v>79.259892325644898</v>
      </c>
      <c r="AM877">
        <v>84.023425008480501</v>
      </c>
      <c r="AN877">
        <v>0.99999994859652797</v>
      </c>
    </row>
    <row r="878" spans="1:40" x14ac:dyDescent="0.25">
      <c r="A878" t="str">
        <f>"20190303162516214"</f>
        <v>20190303162516214</v>
      </c>
      <c r="B878" t="str">
        <f>"1551601516203786"</f>
        <v>1551601516203786</v>
      </c>
      <c r="C878" t="s">
        <v>40</v>
      </c>
      <c r="D878">
        <v>4.7721609999999997</v>
      </c>
      <c r="E878">
        <v>0.55426880000000001</v>
      </c>
      <c r="F878" t="s">
        <v>41</v>
      </c>
      <c r="G878">
        <v>-216.93260000000001</v>
      </c>
      <c r="H878" s="1">
        <v>-2.2184389999999998E-6</v>
      </c>
      <c r="I878">
        <v>365.14960000000002</v>
      </c>
      <c r="J878">
        <v>-230.3449</v>
      </c>
      <c r="K878">
        <v>1.121057</v>
      </c>
      <c r="L878">
        <v>368.46159999999998</v>
      </c>
      <c r="M878">
        <v>0.99992239999999999</v>
      </c>
      <c r="N878">
        <v>-1.2385699999999999E-2</v>
      </c>
      <c r="O878">
        <v>-1.368815E-3</v>
      </c>
      <c r="P878">
        <v>0.97913490000000003</v>
      </c>
      <c r="Q878">
        <v>0.1744714</v>
      </c>
      <c r="R878">
        <v>-0.1041878</v>
      </c>
      <c r="S878">
        <v>3.0301360000000002</v>
      </c>
      <c r="T878">
        <v>-0.2487087</v>
      </c>
      <c r="U878">
        <v>-0.7348633</v>
      </c>
      <c r="V878">
        <v>0.1028799</v>
      </c>
      <c r="W878">
        <v>0.18656900000000001</v>
      </c>
      <c r="X878">
        <v>0.97704029999999997</v>
      </c>
      <c r="Y878">
        <v>0.23349980000000001</v>
      </c>
      <c r="Z878">
        <v>-1.0806079999999999E-2</v>
      </c>
      <c r="AA878">
        <v>0.97229679999999996</v>
      </c>
      <c r="AB878">
        <v>27</v>
      </c>
      <c r="AC878">
        <v>13.412299999999901</v>
      </c>
      <c r="AD878">
        <v>-1.121059218439</v>
      </c>
      <c r="AE878">
        <v>-3.3119999999999501</v>
      </c>
      <c r="AF878">
        <v>3.2720903931573702</v>
      </c>
      <c r="AG878">
        <v>-1.121059218439</v>
      </c>
      <c r="AH878">
        <v>13.3290518385087</v>
      </c>
      <c r="AI878">
        <v>94.669625197692795</v>
      </c>
      <c r="AJ878">
        <v>76.207454501316306</v>
      </c>
      <c r="AK878">
        <v>13.770510964589899</v>
      </c>
      <c r="AL878">
        <v>79.247377794889601</v>
      </c>
      <c r="AM878">
        <v>83.989048012520499</v>
      </c>
      <c r="AN878">
        <v>1.00000000670454</v>
      </c>
    </row>
    <row r="879" spans="1:40" x14ac:dyDescent="0.25">
      <c r="A879" t="str">
        <f>"20190303162516238"</f>
        <v>20190303162516238</v>
      </c>
      <c r="B879" t="str">
        <f>"1551601516233572"</f>
        <v>1551601516233572</v>
      </c>
      <c r="C879" t="s">
        <v>40</v>
      </c>
      <c r="D879">
        <v>4.7695270000000001</v>
      </c>
      <c r="E879">
        <v>0.55458430000000003</v>
      </c>
      <c r="F879" t="s">
        <v>41</v>
      </c>
      <c r="G879">
        <v>-216.26349999999999</v>
      </c>
      <c r="H879" s="1">
        <v>-2.477284E-6</v>
      </c>
      <c r="I879">
        <v>365.0326</v>
      </c>
      <c r="J879">
        <v>-230.06319999999999</v>
      </c>
      <c r="K879">
        <v>1.1210530000000001</v>
      </c>
      <c r="L879">
        <v>368.46109999999999</v>
      </c>
      <c r="M879">
        <v>0.99992270000000005</v>
      </c>
      <c r="N879">
        <v>-1.2351600000000001E-2</v>
      </c>
      <c r="O879">
        <v>-1.4495580000000001E-3</v>
      </c>
      <c r="P879">
        <v>0.97909360000000001</v>
      </c>
      <c r="Q879">
        <v>0.1742756</v>
      </c>
      <c r="R879">
        <v>-0.1048997</v>
      </c>
      <c r="S879">
        <v>3.0284270000000002</v>
      </c>
      <c r="T879">
        <v>-0.2410998</v>
      </c>
      <c r="U879">
        <v>-0.73745729999999998</v>
      </c>
      <c r="V879">
        <v>0.10351340000000001</v>
      </c>
      <c r="W879">
        <v>0.18633939999999999</v>
      </c>
      <c r="X879">
        <v>0.97701720000000003</v>
      </c>
      <c r="Y879">
        <v>0.234378</v>
      </c>
      <c r="Z879">
        <v>-1.0556370000000001E-2</v>
      </c>
      <c r="AA879">
        <v>0.97208819999999996</v>
      </c>
      <c r="AB879">
        <v>27</v>
      </c>
      <c r="AC879">
        <v>13.7997</v>
      </c>
      <c r="AD879">
        <v>-1.121055477284</v>
      </c>
      <c r="AE879">
        <v>-3.4284999999999801</v>
      </c>
      <c r="AF879">
        <v>3.38743552380275</v>
      </c>
      <c r="AG879">
        <v>-1.121055477284</v>
      </c>
      <c r="AH879">
        <v>13.719377723127399</v>
      </c>
      <c r="AI879">
        <v>94.535826346342503</v>
      </c>
      <c r="AJ879">
        <v>76.1305700051863</v>
      </c>
      <c r="AK879">
        <v>14.1757825152939</v>
      </c>
      <c r="AL879">
        <v>79.260767670777895</v>
      </c>
      <c r="AM879">
        <v>83.952166129162606</v>
      </c>
      <c r="AN879">
        <v>1.00000000253388</v>
      </c>
    </row>
    <row r="880" spans="1:40" x14ac:dyDescent="0.25">
      <c r="A880" t="str">
        <f>"20190303162516260"</f>
        <v>20190303162516260</v>
      </c>
      <c r="B880" t="str">
        <f>"1551601516253091"</f>
        <v>1551601516253091</v>
      </c>
      <c r="C880" t="s">
        <v>40</v>
      </c>
      <c r="D880">
        <v>4.7776630000000004</v>
      </c>
      <c r="E880">
        <v>0.55474959999999995</v>
      </c>
      <c r="F880" t="s">
        <v>41</v>
      </c>
      <c r="G880">
        <v>-215.81299999999999</v>
      </c>
      <c r="H880" s="1">
        <v>-2.6469570000000001E-6</v>
      </c>
      <c r="I880">
        <v>364.97109999999998</v>
      </c>
      <c r="J880">
        <v>-229.7927</v>
      </c>
      <c r="K880">
        <v>1.1210469999999999</v>
      </c>
      <c r="L880">
        <v>368.4606</v>
      </c>
      <c r="M880">
        <v>0.99992300000000001</v>
      </c>
      <c r="N880">
        <v>-1.232199E-2</v>
      </c>
      <c r="O880">
        <v>-1.5262769999999999E-3</v>
      </c>
      <c r="P880">
        <v>0.97921619999999998</v>
      </c>
      <c r="Q880">
        <v>0.1731499</v>
      </c>
      <c r="R880">
        <v>-0.1056174</v>
      </c>
      <c r="S880">
        <v>3.026993</v>
      </c>
      <c r="T880">
        <v>-0.23812939999999999</v>
      </c>
      <c r="U880">
        <v>-0.74133300000000002</v>
      </c>
      <c r="V880">
        <v>0.10415580000000001</v>
      </c>
      <c r="W880">
        <v>0.18518589999999999</v>
      </c>
      <c r="X880">
        <v>0.97716829999999999</v>
      </c>
      <c r="Y880">
        <v>0.235598</v>
      </c>
      <c r="Z880">
        <v>-1.049421E-2</v>
      </c>
      <c r="AA880">
        <v>0.97179389999999999</v>
      </c>
      <c r="AB880">
        <v>27</v>
      </c>
      <c r="AC880">
        <v>13.979699999999999</v>
      </c>
      <c r="AD880">
        <v>-1.1210496469569999</v>
      </c>
      <c r="AE880">
        <v>-3.48950000000002</v>
      </c>
      <c r="AF880">
        <v>3.44728936367104</v>
      </c>
      <c r="AG880">
        <v>-1.1210496469569999</v>
      </c>
      <c r="AH880">
        <v>13.9008616303273</v>
      </c>
      <c r="AI880">
        <v>94.475702622787793</v>
      </c>
      <c r="AJ880">
        <v>76.072140789920994</v>
      </c>
      <c r="AK880">
        <v>14.365740855706999</v>
      </c>
      <c r="AL880">
        <v>79.328029765002995</v>
      </c>
      <c r="AM880">
        <v>83.915848134565493</v>
      </c>
      <c r="AN880">
        <v>1.00000006737866</v>
      </c>
    </row>
    <row r="881" spans="1:40" x14ac:dyDescent="0.25">
      <c r="A881" t="str">
        <f>"20190303162516282"</f>
        <v>20190303162516282</v>
      </c>
      <c r="B881" t="str">
        <f>"1551601516273587"</f>
        <v>1551601516273587</v>
      </c>
      <c r="C881" t="s">
        <v>40</v>
      </c>
      <c r="D881">
        <v>4.803776</v>
      </c>
      <c r="E881">
        <v>0.55490680000000003</v>
      </c>
      <c r="F881" t="s">
        <v>41</v>
      </c>
      <c r="G881">
        <v>-215.69970000000001</v>
      </c>
      <c r="H881" s="1">
        <v>-2.6796539999999999E-6</v>
      </c>
      <c r="I881">
        <v>364.99310000000003</v>
      </c>
      <c r="J881">
        <v>-229.5343</v>
      </c>
      <c r="K881">
        <v>1.121041</v>
      </c>
      <c r="L881">
        <v>368.46010000000001</v>
      </c>
      <c r="M881">
        <v>0.99992329999999996</v>
      </c>
      <c r="N881">
        <v>-1.2291409999999999E-2</v>
      </c>
      <c r="O881">
        <v>-1.599989E-3</v>
      </c>
      <c r="P881">
        <v>0.97925030000000002</v>
      </c>
      <c r="Q881">
        <v>0.1723519</v>
      </c>
      <c r="R881">
        <v>-0.1066032</v>
      </c>
      <c r="S881">
        <v>3.0259399999999999</v>
      </c>
      <c r="T881">
        <v>-0.240701</v>
      </c>
      <c r="U881">
        <v>-0.74450680000000002</v>
      </c>
      <c r="V881">
        <v>0.1050691</v>
      </c>
      <c r="W881">
        <v>0.1843583</v>
      </c>
      <c r="X881">
        <v>0.97722699999999996</v>
      </c>
      <c r="Y881">
        <v>0.2365466</v>
      </c>
      <c r="Z881">
        <v>-1.062776E-2</v>
      </c>
      <c r="AA881">
        <v>0.97156200000000004</v>
      </c>
      <c r="AB881">
        <v>27</v>
      </c>
      <c r="AC881">
        <v>13.834599999999901</v>
      </c>
      <c r="AD881">
        <v>-1.121043679654</v>
      </c>
      <c r="AE881">
        <v>-3.4669999999999801</v>
      </c>
      <c r="AF881">
        <v>3.42370646417959</v>
      </c>
      <c r="AG881">
        <v>-1.121043679654</v>
      </c>
      <c r="AH881">
        <v>13.7551483072679</v>
      </c>
      <c r="AI881">
        <v>94.521933962976703</v>
      </c>
      <c r="AJ881">
        <v>76.022893532896603</v>
      </c>
      <c r="AK881">
        <v>14.219093144061301</v>
      </c>
      <c r="AL881">
        <v>79.376278383383905</v>
      </c>
      <c r="AM881">
        <v>83.863269874471399</v>
      </c>
      <c r="AN881">
        <v>1.0000000540413401</v>
      </c>
    </row>
    <row r="882" spans="1:40" x14ac:dyDescent="0.25">
      <c r="A882" t="str">
        <f>"20190303162516303"</f>
        <v>20190303162516303</v>
      </c>
      <c r="B882" t="str">
        <f>"1551601516293107"</f>
        <v>1551601516293107</v>
      </c>
      <c r="C882" t="s">
        <v>40</v>
      </c>
      <c r="D882">
        <v>4.8488429999999996</v>
      </c>
      <c r="E882">
        <v>0.55500099999999997</v>
      </c>
      <c r="F882" t="s">
        <v>41</v>
      </c>
      <c r="G882">
        <v>-215.464</v>
      </c>
      <c r="H882" s="1">
        <v>-2.7647099999999998E-6</v>
      </c>
      <c r="I882">
        <v>364.97480000000002</v>
      </c>
      <c r="J882">
        <v>-229.2714</v>
      </c>
      <c r="K882">
        <v>1.1210329999999999</v>
      </c>
      <c r="L882">
        <v>368.45960000000002</v>
      </c>
      <c r="M882">
        <v>0.99992349999999997</v>
      </c>
      <c r="N882">
        <v>-1.225965E-2</v>
      </c>
      <c r="O882">
        <v>-1.6757089999999901E-3</v>
      </c>
      <c r="P882">
        <v>0.97912250000000001</v>
      </c>
      <c r="Q882">
        <v>0.172454</v>
      </c>
      <c r="R882">
        <v>-0.1076043</v>
      </c>
      <c r="S882">
        <v>3.0244450000000001</v>
      </c>
      <c r="T882">
        <v>-0.24096980000000001</v>
      </c>
      <c r="U882">
        <v>-0.74917599999999995</v>
      </c>
      <c r="V882">
        <v>0.10599600000000001</v>
      </c>
      <c r="W882">
        <v>0.1844286</v>
      </c>
      <c r="X882">
        <v>0.97711360000000003</v>
      </c>
      <c r="Y882">
        <v>0.23799120000000001</v>
      </c>
      <c r="Z882">
        <v>-1.069764E-2</v>
      </c>
      <c r="AA882">
        <v>0.97120839999999997</v>
      </c>
      <c r="AB882">
        <v>27</v>
      </c>
      <c r="AC882">
        <v>13.8073999999999</v>
      </c>
      <c r="AD882">
        <v>-1.12103576471</v>
      </c>
      <c r="AE882">
        <v>-3.4847999999999999</v>
      </c>
      <c r="AF882">
        <v>3.4403356918447998</v>
      </c>
      <c r="AG882">
        <v>-1.12103576471</v>
      </c>
      <c r="AH882">
        <v>13.728144327869201</v>
      </c>
      <c r="AI882">
        <v>94.528956168514199</v>
      </c>
      <c r="AJ882">
        <v>75.931159525905002</v>
      </c>
      <c r="AK882">
        <v>14.196991848456801</v>
      </c>
      <c r="AL882">
        <v>79.372179893080101</v>
      </c>
      <c r="AM882">
        <v>83.808838438813794</v>
      </c>
      <c r="AN882">
        <v>1.00000002390945</v>
      </c>
    </row>
    <row r="883" spans="1:40" x14ac:dyDescent="0.25">
      <c r="A883" t="str">
        <f>"20190303162516326"</f>
        <v>20190303162516326</v>
      </c>
      <c r="B883" t="str">
        <f>"1551601516313603"</f>
        <v>1551601516313603</v>
      </c>
      <c r="C883" t="s">
        <v>40</v>
      </c>
      <c r="D883">
        <v>4.8330719999999996</v>
      </c>
      <c r="E883">
        <v>0.55512419999999996</v>
      </c>
      <c r="F883" t="s">
        <v>41</v>
      </c>
      <c r="G883">
        <v>-215.09610000000001</v>
      </c>
      <c r="H883" s="1">
        <v>-2.917914E-6</v>
      </c>
      <c r="I883">
        <v>364.92700000000002</v>
      </c>
      <c r="J883">
        <v>-228.99770000000001</v>
      </c>
      <c r="K883">
        <v>1.1210340000000001</v>
      </c>
      <c r="L883">
        <v>368.459</v>
      </c>
      <c r="M883">
        <v>0.99992369999999997</v>
      </c>
      <c r="N883">
        <v>-1.222731E-2</v>
      </c>
      <c r="O883">
        <v>-1.7551239999999901E-3</v>
      </c>
      <c r="P883">
        <v>0.97876110000000005</v>
      </c>
      <c r="Q883">
        <v>0.17354829999999999</v>
      </c>
      <c r="R883">
        <v>-0.1091237</v>
      </c>
      <c r="S883">
        <v>3.023285</v>
      </c>
      <c r="T883">
        <v>-0.239091</v>
      </c>
      <c r="U883">
        <v>-0.75341800000000003</v>
      </c>
      <c r="V883">
        <v>0.1074379</v>
      </c>
      <c r="W883">
        <v>0.18548629999999999</v>
      </c>
      <c r="X883">
        <v>0.97675590000000001</v>
      </c>
      <c r="Y883">
        <v>0.2392919</v>
      </c>
      <c r="Z883">
        <v>-1.067774E-2</v>
      </c>
      <c r="AA883">
        <v>0.970889</v>
      </c>
      <c r="AB883">
        <v>27</v>
      </c>
      <c r="AC883">
        <v>13.9016</v>
      </c>
      <c r="AD883">
        <v>-1.1210369179140001</v>
      </c>
      <c r="AE883">
        <v>-3.5320000000000298</v>
      </c>
      <c r="AF883">
        <v>3.4862972314385199</v>
      </c>
      <c r="AG883">
        <v>-1.1210369179140001</v>
      </c>
      <c r="AH883">
        <v>13.823336609679</v>
      </c>
      <c r="AI883">
        <v>94.496207699129002</v>
      </c>
      <c r="AJ883">
        <v>75.844980489927494</v>
      </c>
      <c r="AK883">
        <v>14.3001967532532</v>
      </c>
      <c r="AL883">
        <v>79.310514794093606</v>
      </c>
      <c r="AM883">
        <v>83.723005731963596</v>
      </c>
      <c r="AN883">
        <v>1.0000000790144501</v>
      </c>
    </row>
    <row r="884" spans="1:40" x14ac:dyDescent="0.25">
      <c r="A884" t="str">
        <f>"20190303162516350"</f>
        <v>20190303162516350</v>
      </c>
      <c r="B884" t="str">
        <f>"1551601516343390"</f>
        <v>1551601516343390</v>
      </c>
      <c r="C884" t="s">
        <v>40</v>
      </c>
      <c r="D884">
        <v>4.8988430000000003</v>
      </c>
      <c r="E884">
        <v>0.55525159999999996</v>
      </c>
      <c r="F884" t="s">
        <v>41</v>
      </c>
      <c r="G884">
        <v>-214.49719999999999</v>
      </c>
      <c r="H884" s="1">
        <v>-3.1948170000000001E-6</v>
      </c>
      <c r="I884">
        <v>364.8143</v>
      </c>
      <c r="J884">
        <v>-228.71639999999999</v>
      </c>
      <c r="K884">
        <v>1.1210359999999999</v>
      </c>
      <c r="L884">
        <v>368.45839999999998</v>
      </c>
      <c r="M884">
        <v>0.99992409999999998</v>
      </c>
      <c r="N884">
        <v>-1.219188E-2</v>
      </c>
      <c r="O884">
        <v>-1.836079E-3</v>
      </c>
      <c r="P884">
        <v>0.9782786</v>
      </c>
      <c r="Q884">
        <v>0.1748721</v>
      </c>
      <c r="R884">
        <v>-0.11131539999999999</v>
      </c>
      <c r="S884">
        <v>3.0218349999999998</v>
      </c>
      <c r="T884">
        <v>-0.23361850000000001</v>
      </c>
      <c r="U884">
        <v>-0.759552</v>
      </c>
      <c r="V884">
        <v>0.1095513</v>
      </c>
      <c r="W884">
        <v>0.1867695</v>
      </c>
      <c r="X884">
        <v>0.97627649999999999</v>
      </c>
      <c r="Y884">
        <v>0.2412049</v>
      </c>
      <c r="Z884">
        <v>-1.054574E-2</v>
      </c>
      <c r="AA884">
        <v>0.97041690000000003</v>
      </c>
      <c r="AB884">
        <v>27</v>
      </c>
      <c r="AC884">
        <v>14.219200000000001</v>
      </c>
      <c r="AD884">
        <v>-1.121039194817</v>
      </c>
      <c r="AE884">
        <v>-3.6440999999999799</v>
      </c>
      <c r="AF884">
        <v>3.5970043391023601</v>
      </c>
      <c r="AG884">
        <v>-1.121039194817</v>
      </c>
      <c r="AH884">
        <v>14.1433742727934</v>
      </c>
      <c r="AI884">
        <v>94.392670301094896</v>
      </c>
      <c r="AJ884">
        <v>75.730802865285</v>
      </c>
      <c r="AK884">
        <v>14.6366049653651</v>
      </c>
      <c r="AL884">
        <v>79.235685133284406</v>
      </c>
      <c r="AM884">
        <v>83.597429838866105</v>
      </c>
      <c r="AN884">
        <v>1.00000006895709</v>
      </c>
    </row>
    <row r="885" spans="1:40" x14ac:dyDescent="0.25">
      <c r="A885" t="str">
        <f>"20190303162516371"</f>
        <v>20190303162516371</v>
      </c>
      <c r="B885" t="str">
        <f>"1551601516363886"</f>
        <v>1551601516363886</v>
      </c>
      <c r="C885" t="s">
        <v>40</v>
      </c>
      <c r="D885">
        <v>4.892201</v>
      </c>
      <c r="E885">
        <v>0.55534059999999996</v>
      </c>
      <c r="F885" t="s">
        <v>41</v>
      </c>
      <c r="G885">
        <v>-213.86089999999999</v>
      </c>
      <c r="H885" s="1">
        <v>-3.4923180000000001E-6</v>
      </c>
      <c r="I885">
        <v>364.67599999999999</v>
      </c>
      <c r="J885">
        <v>-228.4562</v>
      </c>
      <c r="K885">
        <v>1.1210389999999999</v>
      </c>
      <c r="L885">
        <v>368.4579</v>
      </c>
      <c r="M885">
        <v>0.99992420000000004</v>
      </c>
      <c r="N885">
        <v>-1.2159390000000001E-2</v>
      </c>
      <c r="O885">
        <v>-1.909907E-3</v>
      </c>
      <c r="P885">
        <v>0.9779485</v>
      </c>
      <c r="Q885">
        <v>0.17532590000000001</v>
      </c>
      <c r="R885">
        <v>-0.1134783</v>
      </c>
      <c r="S885">
        <v>3.0198520000000002</v>
      </c>
      <c r="T885">
        <v>-0.22788620000000001</v>
      </c>
      <c r="U885">
        <v>-0.76889039999999997</v>
      </c>
      <c r="V885">
        <v>0.1116429</v>
      </c>
      <c r="W885">
        <v>0.18718779999999999</v>
      </c>
      <c r="X885">
        <v>0.97595929999999997</v>
      </c>
      <c r="Y885">
        <v>0.2441294</v>
      </c>
      <c r="Z885">
        <v>-1.04455E-2</v>
      </c>
      <c r="AA885">
        <v>0.96968639999999995</v>
      </c>
      <c r="AB885">
        <v>27</v>
      </c>
      <c r="AC885">
        <v>14.5953</v>
      </c>
      <c r="AD885">
        <v>-1.12104249231799</v>
      </c>
      <c r="AE885">
        <v>-3.7818999999999998</v>
      </c>
      <c r="AF885">
        <v>3.7333759469126599</v>
      </c>
      <c r="AG885">
        <v>-1.12104249231799</v>
      </c>
      <c r="AH885">
        <v>14.5222130430961</v>
      </c>
      <c r="AI885">
        <v>94.275704396774103</v>
      </c>
      <c r="AJ885">
        <v>75.582584955465094</v>
      </c>
      <c r="AK885">
        <v>15.036272939117501</v>
      </c>
      <c r="AL885">
        <v>79.211287097801801</v>
      </c>
      <c r="AM885">
        <v>83.474131262889102</v>
      </c>
      <c r="AN885">
        <v>0.99999998242286903</v>
      </c>
    </row>
    <row r="886" spans="1:40" x14ac:dyDescent="0.25">
      <c r="A886" t="str">
        <f>"20190303162516394"</f>
        <v>20190303162516394</v>
      </c>
      <c r="B886" t="str">
        <f>"1551601516383405"</f>
        <v>1551601516383405</v>
      </c>
      <c r="C886" t="s">
        <v>40</v>
      </c>
      <c r="D886">
        <v>4.9120619999999997</v>
      </c>
      <c r="E886">
        <v>0.55535100000000004</v>
      </c>
      <c r="F886" t="s">
        <v>41</v>
      </c>
      <c r="G886">
        <v>-213.56530000000001</v>
      </c>
      <c r="H886" s="1">
        <v>-3.6273E-6</v>
      </c>
      <c r="I886">
        <v>364.62990000000002</v>
      </c>
      <c r="J886">
        <v>-228.19110000000001</v>
      </c>
      <c r="K886">
        <v>1.1210359999999999</v>
      </c>
      <c r="L886">
        <v>368.4572</v>
      </c>
      <c r="M886">
        <v>0.99992449999999999</v>
      </c>
      <c r="N886">
        <v>-1.2125189999999999E-2</v>
      </c>
      <c r="O886">
        <v>-1.9860020000000002E-3</v>
      </c>
      <c r="P886">
        <v>0.97780509999999998</v>
      </c>
      <c r="Q886">
        <v>0.1749232</v>
      </c>
      <c r="R886">
        <v>-0.1153237</v>
      </c>
      <c r="S886">
        <v>3.0183409999999999</v>
      </c>
      <c r="T886">
        <v>-0.2272313</v>
      </c>
      <c r="U886">
        <v>-0.77590939999999997</v>
      </c>
      <c r="V886">
        <v>0.11341420000000001</v>
      </c>
      <c r="W886">
        <v>0.18674930000000001</v>
      </c>
      <c r="X886">
        <v>0.97583909999999996</v>
      </c>
      <c r="Y886">
        <v>0.246285</v>
      </c>
      <c r="Z886">
        <v>-1.050616E-2</v>
      </c>
      <c r="AA886">
        <v>0.96914049999999996</v>
      </c>
      <c r="AB886">
        <v>27</v>
      </c>
      <c r="AC886">
        <v>14.6257999999999</v>
      </c>
      <c r="AD886">
        <v>-1.1210396273000001</v>
      </c>
      <c r="AE886">
        <v>-3.8272999999999802</v>
      </c>
      <c r="AF886">
        <v>3.77747333539376</v>
      </c>
      <c r="AG886">
        <v>-1.1210396273000001</v>
      </c>
      <c r="AH886">
        <v>14.5533523822478</v>
      </c>
      <c r="AI886">
        <v>94.264026670596905</v>
      </c>
      <c r="AJ886">
        <v>75.449381031239</v>
      </c>
      <c r="AK886">
        <v>15.0773373049576</v>
      </c>
      <c r="AL886">
        <v>79.2368626530874</v>
      </c>
      <c r="AM886">
        <v>83.3706984260361</v>
      </c>
      <c r="AN886">
        <v>1.00000001545046</v>
      </c>
    </row>
    <row r="887" spans="1:40" x14ac:dyDescent="0.25">
      <c r="A887" t="str">
        <f>"20190303162516416"</f>
        <v>20190303162516416</v>
      </c>
      <c r="B887" t="str">
        <f>"1551601516403902"</f>
        <v>1551601516403902</v>
      </c>
      <c r="C887" t="s">
        <v>40</v>
      </c>
      <c r="D887">
        <v>4.9041810000000003</v>
      </c>
      <c r="E887">
        <v>0.55535210000000002</v>
      </c>
      <c r="F887" t="s">
        <v>41</v>
      </c>
      <c r="G887">
        <v>-213.42420000000001</v>
      </c>
      <c r="H887" s="1">
        <v>-3.6877560000000001E-6</v>
      </c>
      <c r="I887">
        <v>364.63029999999998</v>
      </c>
      <c r="J887">
        <v>-227.92410000000001</v>
      </c>
      <c r="K887">
        <v>1.1210310000000001</v>
      </c>
      <c r="L887">
        <v>368.45670000000001</v>
      </c>
      <c r="M887">
        <v>0.99992510000000001</v>
      </c>
      <c r="N887">
        <v>-1.207592E-2</v>
      </c>
      <c r="O887">
        <v>-2.0645149999999998E-3</v>
      </c>
      <c r="P887">
        <v>0.97755930000000002</v>
      </c>
      <c r="Q887">
        <v>0.17483290000000001</v>
      </c>
      <c r="R887">
        <v>-0.11752319999999999</v>
      </c>
      <c r="S887">
        <v>3.0168460000000001</v>
      </c>
      <c r="T887">
        <v>-0.2290248</v>
      </c>
      <c r="U887">
        <v>-0.78182980000000002</v>
      </c>
      <c r="V887">
        <v>0.11553819999999999</v>
      </c>
      <c r="W887">
        <v>0.18660740000000001</v>
      </c>
      <c r="X887">
        <v>0.97561710000000001</v>
      </c>
      <c r="Y887">
        <v>0.2480909</v>
      </c>
      <c r="Z887">
        <v>-1.064652E-2</v>
      </c>
      <c r="AA887">
        <v>0.96867820000000004</v>
      </c>
      <c r="AB887">
        <v>27</v>
      </c>
      <c r="AC887">
        <v>14.499899999999901</v>
      </c>
      <c r="AD887">
        <v>-1.12103468775599</v>
      </c>
      <c r="AE887">
        <v>-3.8264000000000302</v>
      </c>
      <c r="AF887">
        <v>3.77535700164302</v>
      </c>
      <c r="AG887">
        <v>-1.12103468775599</v>
      </c>
      <c r="AH887">
        <v>14.427147721892601</v>
      </c>
      <c r="AI887">
        <v>94.298948477063604</v>
      </c>
      <c r="AJ887">
        <v>75.335432113342904</v>
      </c>
      <c r="AK887">
        <v>14.955020249077499</v>
      </c>
      <c r="AL887">
        <v>79.245138905034594</v>
      </c>
      <c r="AM887">
        <v>83.246159781696903</v>
      </c>
      <c r="AN887">
        <v>1.0000000616032001</v>
      </c>
    </row>
    <row r="888" spans="1:40" x14ac:dyDescent="0.25">
      <c r="A888" t="str">
        <f>"20190303162516451"</f>
        <v>20190303162516451</v>
      </c>
      <c r="B888" t="str">
        <f>"1551601516443450"</f>
        <v>1551601516443450</v>
      </c>
      <c r="C888" t="s">
        <v>40</v>
      </c>
      <c r="D888">
        <v>4.8639279999999996</v>
      </c>
      <c r="E888">
        <v>0.55536859999999999</v>
      </c>
      <c r="F888" t="s">
        <v>41</v>
      </c>
      <c r="G888">
        <v>-213.16309999999999</v>
      </c>
      <c r="H888" s="1">
        <v>-3.8060949999999999E-6</v>
      </c>
      <c r="I888">
        <v>364.59469999999999</v>
      </c>
      <c r="J888">
        <v>-227.51429999999999</v>
      </c>
      <c r="K888">
        <v>1.1209990000000001</v>
      </c>
      <c r="L888">
        <v>368.45569999999998</v>
      </c>
      <c r="M888">
        <v>0.99992639999999999</v>
      </c>
      <c r="N888">
        <v>-1.1935660000000001E-2</v>
      </c>
      <c r="O888">
        <v>-2.189814E-3</v>
      </c>
      <c r="P888">
        <v>0.97748550000000001</v>
      </c>
      <c r="Q888">
        <v>0.174486999999999</v>
      </c>
      <c r="R888">
        <v>-0.118643899999999</v>
      </c>
      <c r="S888">
        <v>3.0149689999999998</v>
      </c>
      <c r="T888">
        <v>-0.22897400000000001</v>
      </c>
      <c r="U888">
        <v>-0.78881840000000003</v>
      </c>
      <c r="V888">
        <v>0.11653760000000001</v>
      </c>
      <c r="W888">
        <v>0.18612339999999999</v>
      </c>
      <c r="X888">
        <v>0.97559059999999997</v>
      </c>
      <c r="Y888">
        <v>0.25021280000000001</v>
      </c>
      <c r="Z888">
        <v>-1.071396E-2</v>
      </c>
      <c r="AA888">
        <v>0.96813159999999998</v>
      </c>
      <c r="AB888">
        <v>27</v>
      </c>
      <c r="AC888">
        <v>14.3512</v>
      </c>
      <c r="AD888">
        <v>-1.1210028060949999</v>
      </c>
      <c r="AE888">
        <v>-3.86099999999999</v>
      </c>
      <c r="AF888">
        <v>3.8078963279013598</v>
      </c>
      <c r="AG888">
        <v>-1.1210028060949999</v>
      </c>
      <c r="AH888">
        <v>14.278381617255601</v>
      </c>
      <c r="AI888">
        <v>94.338100475426302</v>
      </c>
      <c r="AJ888">
        <v>75.067354411144095</v>
      </c>
      <c r="AK888">
        <v>14.8198820286566</v>
      </c>
      <c r="AL888">
        <v>79.273363625883604</v>
      </c>
      <c r="AM888">
        <v>83.188102699353195</v>
      </c>
      <c r="AN888">
        <v>0.99999997552483899</v>
      </c>
    </row>
    <row r="889" spans="1:40" x14ac:dyDescent="0.25">
      <c r="A889" t="str">
        <f>"20190303162516472"</f>
        <v>20190303162516472</v>
      </c>
      <c r="B889" t="str">
        <f>"1551601516463946"</f>
        <v>1551601516463946</v>
      </c>
      <c r="C889" t="s">
        <v>40</v>
      </c>
      <c r="D889">
        <v>4.8804319999999999</v>
      </c>
      <c r="E889">
        <v>0.55535979999999996</v>
      </c>
      <c r="F889" t="s">
        <v>41</v>
      </c>
      <c r="G889">
        <v>-212.80799999999999</v>
      </c>
      <c r="H889" s="1">
        <v>-3.9584010000000003E-6</v>
      </c>
      <c r="I889">
        <v>364.5949</v>
      </c>
      <c r="J889">
        <v>-227.2543</v>
      </c>
      <c r="K889">
        <v>1.120962</v>
      </c>
      <c r="L889">
        <v>368.45499999999998</v>
      </c>
      <c r="M889">
        <v>0.99992780000000003</v>
      </c>
      <c r="N889">
        <v>-1.181106E-2</v>
      </c>
      <c r="O889">
        <v>-2.2715740000000002E-3</v>
      </c>
      <c r="P889">
        <v>0.97758049999999996</v>
      </c>
      <c r="Q889">
        <v>0.1738914</v>
      </c>
      <c r="R889">
        <v>-0.118737</v>
      </c>
      <c r="S889">
        <v>3.0140530000000001</v>
      </c>
      <c r="T889">
        <v>-0.22974910000000001</v>
      </c>
      <c r="U889">
        <v>-0.79125979999999996</v>
      </c>
      <c r="V889">
        <v>0.1165509</v>
      </c>
      <c r="W889">
        <v>0.1854066</v>
      </c>
      <c r="X889">
        <v>0.97572550000000002</v>
      </c>
      <c r="Y889">
        <v>0.25093339999999997</v>
      </c>
      <c r="Z889">
        <v>-1.075683E-2</v>
      </c>
      <c r="AA889">
        <v>0.96794460000000004</v>
      </c>
      <c r="AB889">
        <v>27</v>
      </c>
      <c r="AC889">
        <v>14.446300000000001</v>
      </c>
      <c r="AD889">
        <v>-1.1209659584010001</v>
      </c>
      <c r="AE889">
        <v>-3.8600999999999801</v>
      </c>
      <c r="AF889">
        <v>3.80588360830007</v>
      </c>
      <c r="AG889">
        <v>-1.1209659584010001</v>
      </c>
      <c r="AH889">
        <v>14.3742514099534</v>
      </c>
      <c r="AI889">
        <v>94.311180442796797</v>
      </c>
      <c r="AJ889">
        <v>75.170038313037907</v>
      </c>
      <c r="AK889">
        <v>14.9117543674903</v>
      </c>
      <c r="AL889">
        <v>79.315160862742701</v>
      </c>
      <c r="AM889">
        <v>83.188265631359499</v>
      </c>
      <c r="AN889">
        <v>0.99999998548230995</v>
      </c>
    </row>
    <row r="890" spans="1:40" x14ac:dyDescent="0.25">
      <c r="A890" t="str">
        <f>"20190303162516495"</f>
        <v>20190303162516495</v>
      </c>
      <c r="B890" t="str">
        <f>"1551601516483466"</f>
        <v>1551601516483466</v>
      </c>
      <c r="C890" t="s">
        <v>40</v>
      </c>
      <c r="D890">
        <v>5.035012</v>
      </c>
      <c r="E890">
        <v>0.53608029999999995</v>
      </c>
      <c r="F890" t="s">
        <v>41</v>
      </c>
      <c r="G890">
        <v>-212.67160000000001</v>
      </c>
      <c r="H890" s="1">
        <v>-4.0112279999999997E-6</v>
      </c>
      <c r="I890">
        <v>364.62689999999998</v>
      </c>
      <c r="J890">
        <v>-226.9862</v>
      </c>
      <c r="K890">
        <v>1.1209229999999999</v>
      </c>
      <c r="L890">
        <v>368.45429999999999</v>
      </c>
      <c r="M890">
        <v>0.99992939999999997</v>
      </c>
      <c r="N890">
        <v>-1.1660709999999999E-2</v>
      </c>
      <c r="O890">
        <v>-2.3572369999999999E-3</v>
      </c>
      <c r="P890">
        <v>0.97786099999999998</v>
      </c>
      <c r="Q890">
        <v>0.17272650000000001</v>
      </c>
      <c r="R890">
        <v>-0.1181252</v>
      </c>
      <c r="S890">
        <v>3.0139309999999999</v>
      </c>
      <c r="T890">
        <v>-0.23167840000000001</v>
      </c>
      <c r="U890">
        <v>-0.79116819999999999</v>
      </c>
      <c r="V890">
        <v>0.115855</v>
      </c>
      <c r="W890">
        <v>0.18409819999999999</v>
      </c>
      <c r="X890">
        <v>0.97605609999999998</v>
      </c>
      <c r="Y890">
        <v>0.25082209999999999</v>
      </c>
      <c r="Z890">
        <v>-1.0804589999999999E-2</v>
      </c>
      <c r="AA890">
        <v>0.96797290000000002</v>
      </c>
      <c r="AB890">
        <v>27</v>
      </c>
      <c r="AC890">
        <v>14.314599999999899</v>
      </c>
      <c r="AD890">
        <v>-1.1209270112280001</v>
      </c>
      <c r="AE890">
        <v>-3.8274000000000101</v>
      </c>
      <c r="AF890">
        <v>3.7720574768077402</v>
      </c>
      <c r="AG890">
        <v>-1.1209270112280001</v>
      </c>
      <c r="AH890">
        <v>14.242078493748499</v>
      </c>
      <c r="AI890">
        <v>94.350798544440494</v>
      </c>
      <c r="AJ890">
        <v>75.165642066819103</v>
      </c>
      <c r="AK890">
        <v>14.7757130046213</v>
      </c>
      <c r="AL890">
        <v>79.391440165301802</v>
      </c>
      <c r="AM890">
        <v>83.230830502551896</v>
      </c>
      <c r="AN890">
        <v>1.0000000193077201</v>
      </c>
    </row>
    <row r="891" spans="1:40" x14ac:dyDescent="0.25">
      <c r="A891" t="str">
        <f>"20190303162516517"</f>
        <v>20190303162516517</v>
      </c>
      <c r="B891" t="str">
        <f>"1551601516503961"</f>
        <v>1551601516503961</v>
      </c>
      <c r="C891" t="s">
        <v>40</v>
      </c>
      <c r="D891">
        <v>5.0280760000000004</v>
      </c>
      <c r="E891">
        <v>0.49826670000000001</v>
      </c>
      <c r="F891" t="s">
        <v>41</v>
      </c>
      <c r="G891">
        <v>-212.8501</v>
      </c>
      <c r="H891" s="1">
        <v>-3.7811870000000002E-6</v>
      </c>
      <c r="I891">
        <v>365.49220000000003</v>
      </c>
      <c r="J891">
        <v>-226.7062</v>
      </c>
      <c r="K891">
        <v>1.1208800000000001</v>
      </c>
      <c r="L891">
        <v>368.45350000000002</v>
      </c>
      <c r="M891">
        <v>0.99993129999999997</v>
      </c>
      <c r="N891">
        <v>-1.147428E-2</v>
      </c>
      <c r="O891">
        <v>-2.4484149999999998E-3</v>
      </c>
      <c r="P891">
        <v>0.97804590000000002</v>
      </c>
      <c r="Q891">
        <v>0.17178940000000001</v>
      </c>
      <c r="R891">
        <v>-0.1179622</v>
      </c>
      <c r="S891">
        <v>3.0336150000000002</v>
      </c>
      <c r="T891">
        <v>-0.24054990000000001</v>
      </c>
      <c r="U891">
        <v>-0.63565059999999995</v>
      </c>
      <c r="V891">
        <v>0.11560230000000001</v>
      </c>
      <c r="W891">
        <v>0.18298120000000001</v>
      </c>
      <c r="X891">
        <v>0.9762961</v>
      </c>
      <c r="Y891">
        <v>0.20199159999999999</v>
      </c>
      <c r="Z891">
        <v>-8.9197430000000008E-3</v>
      </c>
      <c r="AA891">
        <v>0.97934659999999996</v>
      </c>
      <c r="AB891">
        <v>27</v>
      </c>
      <c r="AC891">
        <v>13.8560999999999</v>
      </c>
      <c r="AD891">
        <v>-1.1208837811869901</v>
      </c>
      <c r="AE891">
        <v>-2.9612999999999898</v>
      </c>
      <c r="AF891">
        <v>2.90915762194102</v>
      </c>
      <c r="AG891">
        <v>-1.1208837811869901</v>
      </c>
      <c r="AH891">
        <v>13.7770910677178</v>
      </c>
      <c r="AI891">
        <v>94.551329976438893</v>
      </c>
      <c r="AJ891">
        <v>78.076631342777205</v>
      </c>
      <c r="AK891">
        <v>14.1254315618467</v>
      </c>
      <c r="AL891">
        <v>79.456545797993599</v>
      </c>
      <c r="AM891">
        <v>83.2471037914557</v>
      </c>
      <c r="AN891">
        <v>1.00000004309696</v>
      </c>
    </row>
    <row r="892" spans="1:40" x14ac:dyDescent="0.25">
      <c r="A892" t="str">
        <f>"20190303162516539"</f>
        <v>20190303162516539</v>
      </c>
      <c r="B892" t="str">
        <f>"1551601516533635"</f>
        <v>1551601516533635</v>
      </c>
      <c r="C892" t="s">
        <v>40</v>
      </c>
      <c r="D892">
        <v>4.661206</v>
      </c>
      <c r="E892">
        <v>0.49610340000000003</v>
      </c>
      <c r="F892" t="s">
        <v>45</v>
      </c>
      <c r="G892">
        <v>-198.4008</v>
      </c>
      <c r="H892" s="1">
        <v>-8.9551780000000001E-6</v>
      </c>
      <c r="I892">
        <v>365.33269999999999</v>
      </c>
      <c r="J892">
        <v>-226.4435</v>
      </c>
      <c r="K892">
        <v>1.120852</v>
      </c>
      <c r="L892">
        <v>368.45280000000002</v>
      </c>
      <c r="M892">
        <v>0.99993319999999997</v>
      </c>
      <c r="N892">
        <v>-1.128241E-2</v>
      </c>
      <c r="O892">
        <v>-2.5338579999999999E-3</v>
      </c>
      <c r="P892">
        <v>0.97812759999999999</v>
      </c>
      <c r="Q892">
        <v>0.17083589999999901</v>
      </c>
      <c r="R892">
        <v>-0.1186677</v>
      </c>
      <c r="S892">
        <v>3.0480040000000002</v>
      </c>
      <c r="T892">
        <v>-0.1207005</v>
      </c>
      <c r="U892">
        <v>-0.33605960000000001</v>
      </c>
      <c r="V892">
        <v>0.1162238</v>
      </c>
      <c r="W892">
        <v>0.1818419</v>
      </c>
      <c r="X892">
        <v>0.9764351</v>
      </c>
      <c r="Y892">
        <v>0.1069667</v>
      </c>
      <c r="Z892">
        <v>-2.6447810000000001E-3</v>
      </c>
      <c r="AA892">
        <v>0.99425909999999995</v>
      </c>
      <c r="AB892">
        <v>27</v>
      </c>
      <c r="AC892">
        <v>28.0427</v>
      </c>
      <c r="AD892">
        <v>-1.120860955178</v>
      </c>
      <c r="AE892">
        <v>-3.1201000000000301</v>
      </c>
      <c r="AF892">
        <v>3.0442253065385199</v>
      </c>
      <c r="AG892">
        <v>-1.120860955178</v>
      </c>
      <c r="AH892">
        <v>28.006321004020499</v>
      </c>
      <c r="AI892">
        <v>92.278445782176604</v>
      </c>
      <c r="AJ892">
        <v>83.796430823098802</v>
      </c>
      <c r="AK892">
        <v>28.193574678959202</v>
      </c>
      <c r="AL892">
        <v>79.522936064008405</v>
      </c>
      <c r="AM892">
        <v>83.212094295630195</v>
      </c>
      <c r="AN892">
        <v>0.99999997639702898</v>
      </c>
    </row>
    <row r="893" spans="1:40" x14ac:dyDescent="0.25">
      <c r="A893" t="str">
        <f>"20190303162516561"</f>
        <v>20190303162516561</v>
      </c>
      <c r="B893" t="str">
        <f>"1551601516553155"</f>
        <v>1551601516553155</v>
      </c>
      <c r="C893" t="s">
        <v>40</v>
      </c>
      <c r="D893">
        <v>4.6933889999999998</v>
      </c>
      <c r="E893">
        <v>0.4969421</v>
      </c>
      <c r="F893" t="s">
        <v>45</v>
      </c>
      <c r="G893">
        <v>-193.1009</v>
      </c>
      <c r="H893" s="1">
        <v>-7.1047940000000004E-6</v>
      </c>
      <c r="I893">
        <v>364.93610000000001</v>
      </c>
      <c r="J893">
        <v>-226.16820000000001</v>
      </c>
      <c r="K893">
        <v>1.1208180000000001</v>
      </c>
      <c r="L893">
        <v>368.452</v>
      </c>
      <c r="M893">
        <v>0.99993509999999997</v>
      </c>
      <c r="N893">
        <v>-1.107709E-2</v>
      </c>
      <c r="O893">
        <v>-2.62306E-3</v>
      </c>
      <c r="P893">
        <v>0.97815180000000002</v>
      </c>
      <c r="Q893">
        <v>0.1697882</v>
      </c>
      <c r="R893">
        <v>-0.119963</v>
      </c>
      <c r="S893">
        <v>3.0459900000000002</v>
      </c>
      <c r="T893">
        <v>-0.1023954</v>
      </c>
      <c r="U893">
        <v>-0.3212585</v>
      </c>
      <c r="V893">
        <v>0.11743190000000001</v>
      </c>
      <c r="W893">
        <v>0.18059359999999999</v>
      </c>
      <c r="X893">
        <v>0.97652229999999995</v>
      </c>
      <c r="Y893">
        <v>0.102203</v>
      </c>
      <c r="Z893">
        <v>-2.221537E-3</v>
      </c>
      <c r="AA893">
        <v>0.99476109999999895</v>
      </c>
      <c r="AB893">
        <v>27</v>
      </c>
      <c r="AC893">
        <v>33.067300000000003</v>
      </c>
      <c r="AD893">
        <v>-1.1208251047939899</v>
      </c>
      <c r="AE893">
        <v>-3.5158999999999798</v>
      </c>
      <c r="AF893">
        <v>3.4252538130961399</v>
      </c>
      <c r="AG893">
        <v>-1.1208251047939899</v>
      </c>
      <c r="AH893">
        <v>33.038875519293903</v>
      </c>
      <c r="AI893">
        <v>91.932631207754397</v>
      </c>
      <c r="AJ893">
        <v>84.0810949369083</v>
      </c>
      <c r="AK893">
        <v>33.234859833901297</v>
      </c>
      <c r="AL893">
        <v>79.595663309180594</v>
      </c>
      <c r="AM893">
        <v>83.142811809052702</v>
      </c>
      <c r="AN893">
        <v>1.0000000509479201</v>
      </c>
    </row>
    <row r="894" spans="1:40" x14ac:dyDescent="0.25">
      <c r="A894" t="str">
        <f>"20190303162516584"</f>
        <v>20190303162516584</v>
      </c>
      <c r="B894" t="str">
        <f>"1551601516573651"</f>
        <v>1551601516573651</v>
      </c>
      <c r="C894" t="s">
        <v>40</v>
      </c>
      <c r="D894">
        <v>4.6701540000000001</v>
      </c>
      <c r="E894">
        <v>0.49760799999999999</v>
      </c>
      <c r="F894" t="s">
        <v>45</v>
      </c>
      <c r="G894">
        <v>-193.28540000000001</v>
      </c>
      <c r="H894" s="1">
        <v>-7.1798749999999996E-6</v>
      </c>
      <c r="I894">
        <v>364.87020000000001</v>
      </c>
      <c r="J894">
        <v>-225.90190000000001</v>
      </c>
      <c r="K894">
        <v>1.120784</v>
      </c>
      <c r="L894">
        <v>368.4511</v>
      </c>
      <c r="M894">
        <v>0.99993719999999997</v>
      </c>
      <c r="N894">
        <v>-1.088447E-2</v>
      </c>
      <c r="O894">
        <v>-2.7101999999999998E-3</v>
      </c>
      <c r="P894">
        <v>0.97809360000000001</v>
      </c>
      <c r="Q894">
        <v>0.1691366</v>
      </c>
      <c r="R894">
        <v>-0.1213525</v>
      </c>
      <c r="S894">
        <v>3.044327</v>
      </c>
      <c r="T894">
        <v>-0.10376730000000001</v>
      </c>
      <c r="U894">
        <v>-0.33160400000000001</v>
      </c>
      <c r="V894">
        <v>0.1187361</v>
      </c>
      <c r="W894">
        <v>0.17975260000000001</v>
      </c>
      <c r="X894">
        <v>0.97651969999999999</v>
      </c>
      <c r="Y894">
        <v>0.1055106</v>
      </c>
      <c r="Z894">
        <v>-2.3058430000000001E-3</v>
      </c>
      <c r="AA894">
        <v>0.99441550000000001</v>
      </c>
      <c r="AB894">
        <v>27</v>
      </c>
      <c r="AC894">
        <v>32.616500000000002</v>
      </c>
      <c r="AD894">
        <v>-1.1207911798749901</v>
      </c>
      <c r="AE894">
        <v>-3.5808999999999802</v>
      </c>
      <c r="AF894">
        <v>3.4884143358304698</v>
      </c>
      <c r="AG894">
        <v>-1.1207911798749901</v>
      </c>
      <c r="AH894">
        <v>32.588064176423202</v>
      </c>
      <c r="AI894">
        <v>91.958598717629499</v>
      </c>
      <c r="AJ894">
        <v>83.889996191971406</v>
      </c>
      <c r="AK894">
        <v>32.793400772319899</v>
      </c>
      <c r="AL894">
        <v>79.644650120460398</v>
      </c>
      <c r="AM894">
        <v>83.067374634717297</v>
      </c>
      <c r="AN894">
        <v>0.99999999156902997</v>
      </c>
    </row>
    <row r="895" spans="1:40" x14ac:dyDescent="0.25">
      <c r="A895" t="str">
        <f>"20190303162516606"</f>
        <v>20190303162516606</v>
      </c>
      <c r="B895" t="str">
        <f>"1551601516593172"</f>
        <v>1551601516593172</v>
      </c>
      <c r="C895" t="s">
        <v>40</v>
      </c>
      <c r="D895">
        <v>4.6182349999999897</v>
      </c>
      <c r="E895">
        <v>0.49811280000000002</v>
      </c>
      <c r="F895" t="s">
        <v>45</v>
      </c>
      <c r="G895">
        <v>-192.73830000000001</v>
      </c>
      <c r="H895" s="1">
        <v>-7.0093419999999998E-6</v>
      </c>
      <c r="I895">
        <v>364.73230000000001</v>
      </c>
      <c r="J895">
        <v>-225.62819999999999</v>
      </c>
      <c r="K895">
        <v>1.1207579999999999</v>
      </c>
      <c r="L895">
        <v>368.45030000000003</v>
      </c>
      <c r="M895">
        <v>0.99993889999999996</v>
      </c>
      <c r="N895">
        <v>-1.069551E-2</v>
      </c>
      <c r="O895">
        <v>-2.7986949999999999E-3</v>
      </c>
      <c r="P895">
        <v>0.97809489999999999</v>
      </c>
      <c r="Q895">
        <v>0.16872579999999901</v>
      </c>
      <c r="R895">
        <v>-0.121909</v>
      </c>
      <c r="S895">
        <v>3.0426329999999999</v>
      </c>
      <c r="T895">
        <v>-0.102828</v>
      </c>
      <c r="U895">
        <v>-0.3411865</v>
      </c>
      <c r="V895">
        <v>0.1192064</v>
      </c>
      <c r="W895">
        <v>0.17915729999999999</v>
      </c>
      <c r="X895">
        <v>0.97657179999999999</v>
      </c>
      <c r="Y895">
        <v>0.1085749</v>
      </c>
      <c r="Z895">
        <v>-2.3466939999999999E-3</v>
      </c>
      <c r="AA895">
        <v>0.99408549999999996</v>
      </c>
      <c r="AB895">
        <v>27</v>
      </c>
      <c r="AC895">
        <v>32.889899999999898</v>
      </c>
      <c r="AD895">
        <v>-1.1207650093420001</v>
      </c>
      <c r="AE895">
        <v>-3.7180000000000102</v>
      </c>
      <c r="AF895">
        <v>3.6217788587880801</v>
      </c>
      <c r="AG895">
        <v>-1.1207650093420001</v>
      </c>
      <c r="AH895">
        <v>32.862499135905601</v>
      </c>
      <c r="AI895">
        <v>91.941550511321694</v>
      </c>
      <c r="AJ895">
        <v>83.710808643013493</v>
      </c>
      <c r="AK895">
        <v>33.080466226544203</v>
      </c>
      <c r="AL895">
        <v>79.679321148669203</v>
      </c>
      <c r="AM895">
        <v>83.040551765196895</v>
      </c>
      <c r="AN895">
        <v>0.99999999224974401</v>
      </c>
    </row>
    <row r="896" spans="1:40" x14ac:dyDescent="0.25">
      <c r="A896" t="str">
        <f>"20190303162516629"</f>
        <v>20190303162516629</v>
      </c>
      <c r="B896" t="str">
        <f>"1551601516613667"</f>
        <v>1551601516613667</v>
      </c>
      <c r="C896" t="s">
        <v>40</v>
      </c>
      <c r="D896">
        <v>4.6746230000000004</v>
      </c>
      <c r="E896">
        <v>0.49843969999999999</v>
      </c>
      <c r="F896" t="s">
        <v>45</v>
      </c>
      <c r="G896">
        <v>-192.6455</v>
      </c>
      <c r="H896" s="1">
        <v>-6.9829919999999997E-6</v>
      </c>
      <c r="I896">
        <v>364.6925</v>
      </c>
      <c r="J896">
        <v>-225.35560000000001</v>
      </c>
      <c r="K896">
        <v>1.1207400000000001</v>
      </c>
      <c r="L896">
        <v>368.44940000000003</v>
      </c>
      <c r="M896">
        <v>0.99994059999999996</v>
      </c>
      <c r="N896">
        <v>-1.0520679999999999E-2</v>
      </c>
      <c r="O896">
        <v>-2.8865660000000001E-3</v>
      </c>
      <c r="P896">
        <v>0.97814909999999999</v>
      </c>
      <c r="Q896">
        <v>0.16821140000000001</v>
      </c>
      <c r="R896">
        <v>-0.1221873</v>
      </c>
      <c r="S896">
        <v>3.0418240000000001</v>
      </c>
      <c r="T896">
        <v>-0.1033623</v>
      </c>
      <c r="U896">
        <v>-0.34655760000000002</v>
      </c>
      <c r="V896">
        <v>0.1193984</v>
      </c>
      <c r="W896">
        <v>0.17847279999999999</v>
      </c>
      <c r="X896">
        <v>0.97667369999999998</v>
      </c>
      <c r="Y896">
        <v>0.1102482</v>
      </c>
      <c r="Z896">
        <v>-2.3811399999999999E-3</v>
      </c>
      <c r="AA896">
        <v>0.99390129999999999</v>
      </c>
      <c r="AB896">
        <v>27</v>
      </c>
      <c r="AC896">
        <v>32.710099999999997</v>
      </c>
      <c r="AD896">
        <v>-1.120746982992</v>
      </c>
      <c r="AE896">
        <v>-3.7569000000000199</v>
      </c>
      <c r="AF896">
        <v>3.6582205971502701</v>
      </c>
      <c r="AG896">
        <v>-1.120746982992</v>
      </c>
      <c r="AH896">
        <v>32.682940098366601</v>
      </c>
      <c r="AI896">
        <v>91.951809534285999</v>
      </c>
      <c r="AJ896">
        <v>83.613432643401893</v>
      </c>
      <c r="AK896">
        <v>32.906127472109397</v>
      </c>
      <c r="AL896">
        <v>79.719182829183396</v>
      </c>
      <c r="AM896">
        <v>83.030172817374293</v>
      </c>
      <c r="AN896">
        <v>1.00000001726704</v>
      </c>
    </row>
    <row r="897" spans="1:40" x14ac:dyDescent="0.25">
      <c r="A897" t="str">
        <f>"20190303162516650"</f>
        <v>20190303162516650</v>
      </c>
      <c r="B897" t="str">
        <f>"1551601516643923"</f>
        <v>1551601516643923</v>
      </c>
      <c r="C897" t="s">
        <v>40</v>
      </c>
      <c r="D897">
        <v>4.7039689999999998</v>
      </c>
      <c r="E897">
        <v>0.49863590000000002</v>
      </c>
      <c r="F897" t="s">
        <v>45</v>
      </c>
      <c r="G897">
        <v>-192.27690000000001</v>
      </c>
      <c r="H897" s="1">
        <v>-6.8609349999999997E-6</v>
      </c>
      <c r="I897">
        <v>364.6456</v>
      </c>
      <c r="J897">
        <v>-225.08500000000001</v>
      </c>
      <c r="K897">
        <v>1.12073</v>
      </c>
      <c r="L897">
        <v>368.44850000000002</v>
      </c>
      <c r="M897">
        <v>0.99994190000000005</v>
      </c>
      <c r="N897">
        <v>-1.03634E-2</v>
      </c>
      <c r="O897">
        <v>-2.974787E-3</v>
      </c>
      <c r="P897">
        <v>0.97810030000000003</v>
      </c>
      <c r="Q897">
        <v>0.16806409999999999</v>
      </c>
      <c r="R897">
        <v>-0.1227776</v>
      </c>
      <c r="S897">
        <v>3.0410460000000001</v>
      </c>
      <c r="T897">
        <v>-0.1030343</v>
      </c>
      <c r="U897">
        <v>-0.34970089999999998</v>
      </c>
      <c r="V897">
        <v>0.1199028</v>
      </c>
      <c r="W897">
        <v>0.17817160000000001</v>
      </c>
      <c r="X897">
        <v>0.9766669</v>
      </c>
      <c r="Y897">
        <v>0.1112032</v>
      </c>
      <c r="Z897">
        <v>-2.3857689999999998E-3</v>
      </c>
      <c r="AA897">
        <v>0.99379490000000004</v>
      </c>
      <c r="AB897">
        <v>27</v>
      </c>
      <c r="AC897">
        <v>32.808100000000003</v>
      </c>
      <c r="AD897">
        <v>-1.1207368609349999</v>
      </c>
      <c r="AE897">
        <v>-3.8029000000000202</v>
      </c>
      <c r="AF897">
        <v>3.7010192477359798</v>
      </c>
      <c r="AG897">
        <v>-1.1207368609349999</v>
      </c>
      <c r="AH897">
        <v>32.7815216326361</v>
      </c>
      <c r="AI897">
        <v>91.945717808007601</v>
      </c>
      <c r="AJ897">
        <v>83.5586075006768</v>
      </c>
      <c r="AK897">
        <v>33.008813294854399</v>
      </c>
      <c r="AL897">
        <v>79.736721421180903</v>
      </c>
      <c r="AM897">
        <v>83.0009718812248</v>
      </c>
      <c r="AN897">
        <v>1.0000000170250001</v>
      </c>
    </row>
    <row r="898" spans="1:40" x14ac:dyDescent="0.25">
      <c r="A898" t="str">
        <f>"20190303162516673"</f>
        <v>20190303162516673</v>
      </c>
      <c r="B898" t="str">
        <f>"1551601516663444"</f>
        <v>1551601516663444</v>
      </c>
      <c r="C898" t="s">
        <v>40</v>
      </c>
      <c r="D898">
        <v>4.6969589999999997</v>
      </c>
      <c r="E898">
        <v>0.49875340000000001</v>
      </c>
      <c r="F898" t="s">
        <v>45</v>
      </c>
      <c r="G898">
        <v>-190.7807</v>
      </c>
      <c r="H898" s="1">
        <v>-6.3625529999999996E-6</v>
      </c>
      <c r="I898">
        <v>364.4742</v>
      </c>
      <c r="J898">
        <v>-224.8109</v>
      </c>
      <c r="K898">
        <v>1.1207149999999999</v>
      </c>
      <c r="L898">
        <v>368.44760000000002</v>
      </c>
      <c r="M898">
        <v>0.99994320000000003</v>
      </c>
      <c r="N898">
        <v>-1.022091E-2</v>
      </c>
      <c r="O898">
        <v>-3.0683630000000002E-3</v>
      </c>
      <c r="P898">
        <v>0.97797849999999997</v>
      </c>
      <c r="Q898">
        <v>0.1680912</v>
      </c>
      <c r="R898">
        <v>-0.1237081</v>
      </c>
      <c r="S898">
        <v>3.0400239999999998</v>
      </c>
      <c r="T898">
        <v>-9.9319099999999993E-2</v>
      </c>
      <c r="U898">
        <v>-0.3522034</v>
      </c>
      <c r="V898">
        <v>0.12074310000000001</v>
      </c>
      <c r="W898">
        <v>0.1780571</v>
      </c>
      <c r="X898">
        <v>0.97658429999999996</v>
      </c>
      <c r="Y898">
        <v>0.111960199999999</v>
      </c>
      <c r="Z898">
        <v>-2.3279809999999998E-3</v>
      </c>
      <c r="AA898">
        <v>0.99370999999999998</v>
      </c>
      <c r="AB898">
        <v>27</v>
      </c>
      <c r="AC898">
        <v>34.030200000000001</v>
      </c>
      <c r="AD898">
        <v>-1.1207213625529999</v>
      </c>
      <c r="AE898">
        <v>-3.9734000000000198</v>
      </c>
      <c r="AF898">
        <v>3.8648234698310699</v>
      </c>
      <c r="AG898">
        <v>-1.1207213625529999</v>
      </c>
      <c r="AH898">
        <v>34.005845857531803</v>
      </c>
      <c r="AI898">
        <v>91.875532839388896</v>
      </c>
      <c r="AJ898">
        <v>83.516056675866693</v>
      </c>
      <c r="AK898">
        <v>34.243107763631102</v>
      </c>
      <c r="AL898">
        <v>79.743388850330803</v>
      </c>
      <c r="AM898">
        <v>82.951822930093101</v>
      </c>
      <c r="AN898">
        <v>1.0000000610322499</v>
      </c>
    </row>
    <row r="899" spans="1:40" x14ac:dyDescent="0.25">
      <c r="A899" t="str">
        <f>"20190303162516695"</f>
        <v>20190303162516695</v>
      </c>
      <c r="B899" t="str">
        <f>"1551601516683940"</f>
        <v>1551601516683940</v>
      </c>
      <c r="C899" t="s">
        <v>40</v>
      </c>
      <c r="D899">
        <v>4.7016640000000001</v>
      </c>
      <c r="E899">
        <v>0.4988398</v>
      </c>
      <c r="F899" t="s">
        <v>45</v>
      </c>
      <c r="G899">
        <v>-189.40039999999999</v>
      </c>
      <c r="H899" s="1">
        <v>-7.0313440000000003E-6</v>
      </c>
      <c r="I899">
        <v>364.30149999999998</v>
      </c>
      <c r="J899">
        <v>-224.54509999999999</v>
      </c>
      <c r="K899">
        <v>1.1207020000000001</v>
      </c>
      <c r="L899">
        <v>368.44670000000002</v>
      </c>
      <c r="M899">
        <v>0.99994419999999995</v>
      </c>
      <c r="N899">
        <v>-1.009825E-2</v>
      </c>
      <c r="O899">
        <v>-3.166856E-3</v>
      </c>
      <c r="P899">
        <v>0.97781439999999997</v>
      </c>
      <c r="Q899">
        <v>0.16776769999999999</v>
      </c>
      <c r="R899">
        <v>-0.1254342</v>
      </c>
      <c r="S899">
        <v>3.0390630000000001</v>
      </c>
      <c r="T899">
        <v>-9.6184489999999997E-2</v>
      </c>
      <c r="U899">
        <v>-0.35583500000000001</v>
      </c>
      <c r="V899">
        <v>0.1223752</v>
      </c>
      <c r="W899">
        <v>0.17761089999999999</v>
      </c>
      <c r="X899">
        <v>0.97646239999999995</v>
      </c>
      <c r="Y899">
        <v>0.1130734</v>
      </c>
      <c r="Z899">
        <v>-2.2878949999999999E-3</v>
      </c>
      <c r="AA899">
        <v>0.99358400000000002</v>
      </c>
      <c r="AB899">
        <v>27</v>
      </c>
      <c r="AC899">
        <v>35.1447</v>
      </c>
      <c r="AD899">
        <v>-1.120709031344</v>
      </c>
      <c r="AE899">
        <v>-4.14520000000004</v>
      </c>
      <c r="AF899">
        <v>4.0298337565018301</v>
      </c>
      <c r="AG899">
        <v>-1.120709031344</v>
      </c>
      <c r="AH899">
        <v>35.122426702587603</v>
      </c>
      <c r="AI899">
        <v>91.815706239855899</v>
      </c>
      <c r="AJ899">
        <v>83.454689217296405</v>
      </c>
      <c r="AK899">
        <v>35.370615011851498</v>
      </c>
      <c r="AL899">
        <v>79.769368418284003</v>
      </c>
      <c r="AM899">
        <v>82.856646863334703</v>
      </c>
      <c r="AN899">
        <v>1.0000000699938001</v>
      </c>
    </row>
    <row r="900" spans="1:40" x14ac:dyDescent="0.25">
      <c r="A900" t="str">
        <f>"20190303162516718"</f>
        <v>20190303162516718</v>
      </c>
      <c r="B900" t="str">
        <f>"1551601516703460"</f>
        <v>1551601516703460</v>
      </c>
      <c r="C900" t="s">
        <v>40</v>
      </c>
      <c r="D900">
        <v>4.7242480000000002</v>
      </c>
      <c r="E900">
        <v>0.49880980000000003</v>
      </c>
      <c r="F900" t="s">
        <v>45</v>
      </c>
      <c r="G900">
        <v>-188.78540000000001</v>
      </c>
      <c r="H900" s="1">
        <v>-7.0271440000000004E-6</v>
      </c>
      <c r="I900">
        <v>364.1918</v>
      </c>
      <c r="J900">
        <v>-224.26130000000001</v>
      </c>
      <c r="K900">
        <v>1.120689</v>
      </c>
      <c r="L900">
        <v>368.44560000000001</v>
      </c>
      <c r="M900">
        <v>0.99994490000000003</v>
      </c>
      <c r="N900">
        <v>-9.9825260000000002E-3</v>
      </c>
      <c r="O900">
        <v>-3.286307E-3</v>
      </c>
      <c r="P900">
        <v>0.97749989999999998</v>
      </c>
      <c r="Q900">
        <v>0.16732279999999999</v>
      </c>
      <c r="R900">
        <v>-0.12844269999999999</v>
      </c>
      <c r="S900">
        <v>3.0380250000000002</v>
      </c>
      <c r="T900">
        <v>-9.5211630000000005E-2</v>
      </c>
      <c r="U900">
        <v>-0.36148069999999999</v>
      </c>
      <c r="V900">
        <v>0.1252722</v>
      </c>
      <c r="W900">
        <v>0.17704629999999999</v>
      </c>
      <c r="X900">
        <v>0.97619750000000005</v>
      </c>
      <c r="Y900">
        <v>0.11481520000000001</v>
      </c>
      <c r="Z900">
        <v>-2.2977649999999998E-3</v>
      </c>
      <c r="AA900">
        <v>0.99338419999999905</v>
      </c>
      <c r="AB900">
        <v>27</v>
      </c>
      <c r="AC900">
        <v>35.475900000000003</v>
      </c>
      <c r="AD900">
        <v>-1.1206960271439901</v>
      </c>
      <c r="AE900">
        <v>-4.2538000000000098</v>
      </c>
      <c r="AF900">
        <v>4.1331203488013202</v>
      </c>
      <c r="AG900">
        <v>-1.1206960271439901</v>
      </c>
      <c r="AH900">
        <v>35.454807773621198</v>
      </c>
      <c r="AI900">
        <v>91.798297839769305</v>
      </c>
      <c r="AJ900">
        <v>83.350794647778002</v>
      </c>
      <c r="AK900">
        <v>35.712491339408999</v>
      </c>
      <c r="AL900">
        <v>79.802238216633199</v>
      </c>
      <c r="AM900">
        <v>82.687387874309294</v>
      </c>
      <c r="AN900">
        <v>1.00000003772138</v>
      </c>
    </row>
    <row r="901" spans="1:40" x14ac:dyDescent="0.25">
      <c r="A901" t="str">
        <f>"20190303162516740"</f>
        <v>20190303162516740</v>
      </c>
      <c r="B901" t="str">
        <f>"1551601516733715"</f>
        <v>1551601516733715</v>
      </c>
      <c r="C901" t="s">
        <v>40</v>
      </c>
      <c r="D901">
        <v>4.798934</v>
      </c>
      <c r="E901">
        <v>0.53458549999999905</v>
      </c>
      <c r="F901" t="s">
        <v>45</v>
      </c>
      <c r="G901">
        <v>-187.9325</v>
      </c>
      <c r="H901" s="1">
        <v>-7.010836E-6</v>
      </c>
      <c r="I901">
        <v>364.01080000000002</v>
      </c>
      <c r="J901">
        <v>-223.99</v>
      </c>
      <c r="K901">
        <v>1.120665</v>
      </c>
      <c r="L901">
        <v>368.44459999999998</v>
      </c>
      <c r="M901">
        <v>0.99994539999999998</v>
      </c>
      <c r="N901">
        <v>-9.8872189999999992E-3</v>
      </c>
      <c r="O901">
        <v>-3.4209420000000002E-3</v>
      </c>
      <c r="P901">
        <v>0.97716009999999998</v>
      </c>
      <c r="Q901">
        <v>0.1670343</v>
      </c>
      <c r="R901">
        <v>-0.13136900000000001</v>
      </c>
      <c r="S901">
        <v>3.0363769999999999</v>
      </c>
      <c r="T901">
        <v>-9.3668340000000003E-2</v>
      </c>
      <c r="U901">
        <v>-0.37066650000000001</v>
      </c>
      <c r="V901">
        <v>0.1280742</v>
      </c>
      <c r="W901">
        <v>0.1766568</v>
      </c>
      <c r="X901">
        <v>0.97590440000000001</v>
      </c>
      <c r="Y901">
        <v>0.1177068</v>
      </c>
      <c r="Z901">
        <v>-2.32124E-3</v>
      </c>
      <c r="AA901">
        <v>0.99304570000000003</v>
      </c>
      <c r="AB901">
        <v>27</v>
      </c>
      <c r="AC901">
        <v>36.057499999999997</v>
      </c>
      <c r="AD901">
        <v>-1.120672010836</v>
      </c>
      <c r="AE901">
        <v>-4.4337999999999598</v>
      </c>
      <c r="AF901">
        <v>4.3063195878737197</v>
      </c>
      <c r="AG901">
        <v>-1.120672010836</v>
      </c>
      <c r="AH901">
        <v>36.038164070203997</v>
      </c>
      <c r="AI901">
        <v>91.768568541775196</v>
      </c>
      <c r="AJ901">
        <v>83.185847263839904</v>
      </c>
      <c r="AK901">
        <v>36.311837790171303</v>
      </c>
      <c r="AL901">
        <v>79.824912055387699</v>
      </c>
      <c r="AM901">
        <v>82.523434578504293</v>
      </c>
      <c r="AN901">
        <v>1.00000001181562</v>
      </c>
    </row>
    <row r="902" spans="1:40" x14ac:dyDescent="0.25">
      <c r="A902" t="str">
        <f>"20190303162516762"</f>
        <v>20190303162516762</v>
      </c>
      <c r="B902" t="str">
        <f>"1551601516754211"</f>
        <v>1551601516754211</v>
      </c>
      <c r="C902" t="s">
        <v>40</v>
      </c>
      <c r="D902">
        <v>4.753781</v>
      </c>
      <c r="E902">
        <v>0.54632480000000005</v>
      </c>
      <c r="F902" t="s">
        <v>45</v>
      </c>
      <c r="G902">
        <v>-199.64279999999999</v>
      </c>
      <c r="H902" s="1">
        <v>-9.7301759999999998E-6</v>
      </c>
      <c r="I902">
        <v>363.0806</v>
      </c>
      <c r="J902">
        <v>-223.70760000000001</v>
      </c>
      <c r="K902">
        <v>1.120641</v>
      </c>
      <c r="L902">
        <v>368.44349999999997</v>
      </c>
      <c r="M902">
        <v>0.99994559999999999</v>
      </c>
      <c r="N902">
        <v>-9.8012670000000007E-3</v>
      </c>
      <c r="O902">
        <v>-3.5894270000000001E-3</v>
      </c>
      <c r="P902">
        <v>0.97655919999999896</v>
      </c>
      <c r="Q902">
        <v>0.16786400000000001</v>
      </c>
      <c r="R902">
        <v>-0.13473640000000001</v>
      </c>
      <c r="S902">
        <v>3.0047609999999998</v>
      </c>
      <c r="T902">
        <v>-0.13830599999999901</v>
      </c>
      <c r="U902">
        <v>-0.66198729999999995</v>
      </c>
      <c r="V902">
        <v>0.13128770000000001</v>
      </c>
      <c r="W902">
        <v>0.1773894</v>
      </c>
      <c r="X902">
        <v>0.97534430000000005</v>
      </c>
      <c r="Y902">
        <v>0.21138779999999999</v>
      </c>
      <c r="Z902">
        <v>-5.7253510000000001E-3</v>
      </c>
      <c r="AA902">
        <v>0.97738550000000002</v>
      </c>
      <c r="AB902">
        <v>28</v>
      </c>
      <c r="AC902">
        <v>24.064800000000002</v>
      </c>
      <c r="AD902">
        <v>-1.120650730176</v>
      </c>
      <c r="AE902">
        <v>-5.3628999999999598</v>
      </c>
      <c r="AF902">
        <v>5.2656038322537704</v>
      </c>
      <c r="AG902">
        <v>-1.120650730176</v>
      </c>
      <c r="AH902">
        <v>24.0342413643437</v>
      </c>
      <c r="AI902">
        <v>92.607845950783499</v>
      </c>
      <c r="AJ902">
        <v>77.642455264118993</v>
      </c>
      <c r="AK902">
        <v>24.629803079538</v>
      </c>
      <c r="AL902">
        <v>79.782263293526896</v>
      </c>
      <c r="AM902">
        <v>82.333694720566896</v>
      </c>
      <c r="AN902">
        <v>0.99999998147306901</v>
      </c>
    </row>
    <row r="903" spans="1:40" x14ac:dyDescent="0.25">
      <c r="A903" t="str">
        <f>"20190303162516786"</f>
        <v>20190303162516786</v>
      </c>
      <c r="B903" t="str">
        <f>"1551601516773732"</f>
        <v>1551601516773732</v>
      </c>
      <c r="C903" t="s">
        <v>40</v>
      </c>
      <c r="D903">
        <v>4.7703309999999997</v>
      </c>
      <c r="E903">
        <v>0.55085280000000003</v>
      </c>
      <c r="F903" t="s">
        <v>45</v>
      </c>
      <c r="G903">
        <v>-200.79259999999999</v>
      </c>
      <c r="H903" s="1">
        <v>-2.3337120000000001E-6</v>
      </c>
      <c r="I903">
        <v>362.58850000000001</v>
      </c>
      <c r="J903">
        <v>-223.4348</v>
      </c>
      <c r="K903">
        <v>1.120627</v>
      </c>
      <c r="L903">
        <v>368.44229999999999</v>
      </c>
      <c r="M903">
        <v>0.99994559999999999</v>
      </c>
      <c r="N903">
        <v>-9.7291930000000006E-3</v>
      </c>
      <c r="O903">
        <v>-3.7788549999999998E-3</v>
      </c>
      <c r="P903">
        <v>0.97577939999999996</v>
      </c>
      <c r="Q903">
        <v>0.16988020000000001</v>
      </c>
      <c r="R903">
        <v>-0.1378249</v>
      </c>
      <c r="S903">
        <v>2.9916990000000001</v>
      </c>
      <c r="T903">
        <v>-0.14630750000000001</v>
      </c>
      <c r="U903">
        <v>-0.76440430000000004</v>
      </c>
      <c r="V903">
        <v>0.13420360000000001</v>
      </c>
      <c r="W903">
        <v>0.17932010000000001</v>
      </c>
      <c r="X903">
        <v>0.97459410000000002</v>
      </c>
      <c r="Y903">
        <v>0.24356449999999999</v>
      </c>
      <c r="Z903">
        <v>-6.9170300000000002E-3</v>
      </c>
      <c r="AA903">
        <v>0.96986000000000006</v>
      </c>
      <c r="AB903">
        <v>28</v>
      </c>
      <c r="AC903">
        <v>22.642199999999999</v>
      </c>
      <c r="AD903">
        <v>-1.1206293337119999</v>
      </c>
      <c r="AE903">
        <v>-5.8537999999999704</v>
      </c>
      <c r="AF903">
        <v>5.7549786657224002</v>
      </c>
      <c r="AG903">
        <v>-1.1206293337119999</v>
      </c>
      <c r="AH903">
        <v>22.612240480555101</v>
      </c>
      <c r="AI903">
        <v>92.749658329253805</v>
      </c>
      <c r="AJ903">
        <v>75.720961173510403</v>
      </c>
      <c r="AK903">
        <v>23.3599873522429</v>
      </c>
      <c r="AL903">
        <v>79.669839746284893</v>
      </c>
      <c r="AM903">
        <v>82.159562313343002</v>
      </c>
      <c r="AN903">
        <v>0.99999998213588903</v>
      </c>
    </row>
    <row r="904" spans="1:40" x14ac:dyDescent="0.25">
      <c r="A904" t="str">
        <f>"20190303162516807"</f>
        <v>20190303162516807</v>
      </c>
      <c r="B904" t="str">
        <f>"1551601516803988"</f>
        <v>1551601516803988</v>
      </c>
      <c r="C904" t="s">
        <v>40</v>
      </c>
      <c r="D904">
        <v>4.7354799999999999</v>
      </c>
      <c r="E904">
        <v>0.55325369999999996</v>
      </c>
      <c r="F904" t="s">
        <v>45</v>
      </c>
      <c r="G904">
        <v>-201.42080000000001</v>
      </c>
      <c r="H904" s="1">
        <v>-2.7363559999999998E-6</v>
      </c>
      <c r="I904">
        <v>362.4726</v>
      </c>
      <c r="J904">
        <v>-223.15539999999999</v>
      </c>
      <c r="K904">
        <v>1.120601</v>
      </c>
      <c r="L904">
        <v>368.4409</v>
      </c>
      <c r="M904">
        <v>0.99994530000000004</v>
      </c>
      <c r="N904">
        <v>-9.6655049999999996E-3</v>
      </c>
      <c r="O904">
        <v>-4.0077059999999998E-3</v>
      </c>
      <c r="P904">
        <v>0.97535700000000003</v>
      </c>
      <c r="Q904">
        <v>0.17074159999999999</v>
      </c>
      <c r="R904">
        <v>-0.13973749999999999</v>
      </c>
      <c r="S904">
        <v>2.986542</v>
      </c>
      <c r="T904">
        <v>-0.1520309</v>
      </c>
      <c r="U904">
        <v>-0.80987549999999997</v>
      </c>
      <c r="V904">
        <v>0.1359051</v>
      </c>
      <c r="W904">
        <v>0.1801072</v>
      </c>
      <c r="X904">
        <v>0.97421310000000005</v>
      </c>
      <c r="Y904">
        <v>0.25748260000000001</v>
      </c>
      <c r="Z904">
        <v>-7.5385740000000001E-3</v>
      </c>
      <c r="AA904">
        <v>0.96625349999999999</v>
      </c>
      <c r="AB904">
        <v>28</v>
      </c>
      <c r="AC904">
        <v>21.734599999999901</v>
      </c>
      <c r="AD904">
        <v>-1.120603736356</v>
      </c>
      <c r="AE904">
        <v>-5.9682999999999904</v>
      </c>
      <c r="AF904">
        <v>5.8666404299207198</v>
      </c>
      <c r="AG904">
        <v>-1.120603736356</v>
      </c>
      <c r="AH904">
        <v>21.704694153437298</v>
      </c>
      <c r="AI904">
        <v>92.853317318205598</v>
      </c>
      <c r="AJ904">
        <v>74.874745742153706</v>
      </c>
      <c r="AK904">
        <v>22.5114853122172</v>
      </c>
      <c r="AL904">
        <v>79.623995848138705</v>
      </c>
      <c r="AM904">
        <v>82.058351845804296</v>
      </c>
      <c r="AN904">
        <v>0.99999998195472894</v>
      </c>
    </row>
    <row r="905" spans="1:40" x14ac:dyDescent="0.25">
      <c r="A905" t="str">
        <f>"20190303162516830"</f>
        <v>20190303162516830</v>
      </c>
      <c r="B905" t="str">
        <f>"1551601516823508"</f>
        <v>1551601516823508</v>
      </c>
      <c r="C905" t="s">
        <v>40</v>
      </c>
      <c r="D905">
        <v>4.7674019999999997</v>
      </c>
      <c r="E905">
        <v>0.55385369999999901</v>
      </c>
      <c r="F905" t="s">
        <v>45</v>
      </c>
      <c r="G905">
        <v>-201.9221</v>
      </c>
      <c r="H905" s="1">
        <v>-2.9838219999999999E-6</v>
      </c>
      <c r="I905">
        <v>362.50049999999999</v>
      </c>
      <c r="J905">
        <v>-222.87379999999999</v>
      </c>
      <c r="K905">
        <v>1.120557</v>
      </c>
      <c r="L905">
        <v>368.43950000000001</v>
      </c>
      <c r="M905">
        <v>0.99994459999999996</v>
      </c>
      <c r="N905">
        <v>-9.610436E-3</v>
      </c>
      <c r="O905">
        <v>-4.289752E-3</v>
      </c>
      <c r="P905">
        <v>0.97514299999999998</v>
      </c>
      <c r="Q905">
        <v>0.17009449999999901</v>
      </c>
      <c r="R905">
        <v>-0.14200019999999999</v>
      </c>
      <c r="S905">
        <v>2.9837950000000002</v>
      </c>
      <c r="T905">
        <v>-0.1574721</v>
      </c>
      <c r="U905">
        <v>-0.83477780000000001</v>
      </c>
      <c r="V905">
        <v>0.13790749999999999</v>
      </c>
      <c r="W905">
        <v>0.17939369999999999</v>
      </c>
      <c r="X905">
        <v>0.97406329999999997</v>
      </c>
      <c r="Y905">
        <v>0.26488689999999998</v>
      </c>
      <c r="Z905">
        <v>-7.9699439999999996E-3</v>
      </c>
      <c r="AA905">
        <v>0.96424659999999995</v>
      </c>
      <c r="AB905">
        <v>28</v>
      </c>
      <c r="AC905">
        <v>20.951699999999899</v>
      </c>
      <c r="AD905">
        <v>-1.1205599838219999</v>
      </c>
      <c r="AE905">
        <v>-5.9390000000000196</v>
      </c>
      <c r="AF905">
        <v>5.8336179919394198</v>
      </c>
      <c r="AG905">
        <v>-1.1205599838219999</v>
      </c>
      <c r="AH905">
        <v>20.921591342835299</v>
      </c>
      <c r="AI905">
        <v>92.953382042765696</v>
      </c>
      <c r="AJ905">
        <v>74.419806154229093</v>
      </c>
      <c r="AK905">
        <v>21.748557144551501</v>
      </c>
      <c r="AL905">
        <v>79.6655528825533</v>
      </c>
      <c r="AM905">
        <v>81.941643859342705</v>
      </c>
      <c r="AN905">
        <v>0.99999994528141301</v>
      </c>
    </row>
    <row r="906" spans="1:40" x14ac:dyDescent="0.25">
      <c r="A906" t="str">
        <f>"20190303162516852"</f>
        <v>20190303162516852</v>
      </c>
      <c r="B906" t="str">
        <f>"1551601516844004"</f>
        <v>1551601516844004</v>
      </c>
      <c r="C906" t="s">
        <v>40</v>
      </c>
      <c r="D906">
        <v>4.7586060000000003</v>
      </c>
      <c r="E906">
        <v>0.55403919999999995</v>
      </c>
      <c r="F906" t="s">
        <v>45</v>
      </c>
      <c r="G906">
        <v>-202.47190000000001</v>
      </c>
      <c r="H906" s="1">
        <v>-3.2279800000000001E-6</v>
      </c>
      <c r="I906">
        <v>362.6472</v>
      </c>
      <c r="J906">
        <v>-222.60130000000001</v>
      </c>
      <c r="K906">
        <v>1.1204970000000001</v>
      </c>
      <c r="L906">
        <v>368.43799999999999</v>
      </c>
      <c r="M906">
        <v>0.99994369999999999</v>
      </c>
      <c r="N906">
        <v>-9.5650070000000004E-3</v>
      </c>
      <c r="O906">
        <v>-4.6408409999999997E-3</v>
      </c>
      <c r="P906">
        <v>0.97491680000000003</v>
      </c>
      <c r="Q906">
        <v>0.1695401</v>
      </c>
      <c r="R906">
        <v>-0.14420150000000001</v>
      </c>
      <c r="S906">
        <v>2.9817499999999999</v>
      </c>
      <c r="T906">
        <v>-0.16377079999999999</v>
      </c>
      <c r="U906">
        <v>-0.84655759999999902</v>
      </c>
      <c r="V906">
        <v>0.13978829999999901</v>
      </c>
      <c r="W906">
        <v>0.1787754</v>
      </c>
      <c r="X906">
        <v>0.97390889999999997</v>
      </c>
      <c r="Y906">
        <v>0.26821220000000001</v>
      </c>
      <c r="Z906">
        <v>-8.3202789999999999E-3</v>
      </c>
      <c r="AA906">
        <v>0.96332399999999996</v>
      </c>
      <c r="AB906">
        <v>28</v>
      </c>
      <c r="AC906">
        <v>20.1294</v>
      </c>
      <c r="AD906">
        <v>-1.12050022797999</v>
      </c>
      <c r="AE906">
        <v>-5.7908000000000399</v>
      </c>
      <c r="AF906">
        <v>5.6810583152399596</v>
      </c>
      <c r="AG906">
        <v>-1.12050022797999</v>
      </c>
      <c r="AH906">
        <v>20.098541783994801</v>
      </c>
      <c r="AI906">
        <v>93.070879461087301</v>
      </c>
      <c r="AJ906">
        <v>74.216512748412995</v>
      </c>
      <c r="AK906">
        <v>20.916054269030901</v>
      </c>
      <c r="AL906">
        <v>79.701561334737406</v>
      </c>
      <c r="AM906">
        <v>81.831938474988405</v>
      </c>
      <c r="AN906">
        <v>0.99999997898062898</v>
      </c>
    </row>
    <row r="907" spans="1:40" x14ac:dyDescent="0.25">
      <c r="A907" t="str">
        <f>"20190303162516874"</f>
        <v>20190303162516874</v>
      </c>
      <c r="B907" t="str">
        <f>"1551601516863524"</f>
        <v>1551601516863524</v>
      </c>
      <c r="C907" t="s">
        <v>40</v>
      </c>
      <c r="D907">
        <v>4.7885070000000001</v>
      </c>
      <c r="E907">
        <v>0.55404319999999996</v>
      </c>
      <c r="F907" t="s">
        <v>45</v>
      </c>
      <c r="G907">
        <v>-202.72130000000001</v>
      </c>
      <c r="H907" s="1">
        <v>-3.3330000000000001E-6</v>
      </c>
      <c r="I907">
        <v>362.73950000000002</v>
      </c>
      <c r="J907">
        <v>-222.33</v>
      </c>
      <c r="K907">
        <v>1.120414</v>
      </c>
      <c r="L907">
        <v>368.43639999999999</v>
      </c>
      <c r="M907">
        <v>0.99994170000000004</v>
      </c>
      <c r="N907">
        <v>-9.5266329999999996E-3</v>
      </c>
      <c r="O907">
        <v>-5.1004149999999996E-3</v>
      </c>
      <c r="P907">
        <v>0.97431950000000001</v>
      </c>
      <c r="Q907">
        <v>0.17040649999999999</v>
      </c>
      <c r="R907">
        <v>-0.1471855</v>
      </c>
      <c r="S907">
        <v>2.9800420000000001</v>
      </c>
      <c r="T907">
        <v>-0.1679648</v>
      </c>
      <c r="U907">
        <v>-0.85421749999999996</v>
      </c>
      <c r="V907">
        <v>0.1423605</v>
      </c>
      <c r="W907">
        <v>0.17957200000000001</v>
      </c>
      <c r="X907">
        <v>0.97338959999999997</v>
      </c>
      <c r="Y907">
        <v>0.27018009999999998</v>
      </c>
      <c r="Z907">
        <v>-8.5378180000000008E-3</v>
      </c>
      <c r="AA907">
        <v>0.96277199999999996</v>
      </c>
      <c r="AB907">
        <v>28</v>
      </c>
      <c r="AC907">
        <v>19.608699999999999</v>
      </c>
      <c r="AD907">
        <v>-1.120417333</v>
      </c>
      <c r="AE907">
        <v>-5.6968999999999701</v>
      </c>
      <c r="AF907">
        <v>5.5800090385429497</v>
      </c>
      <c r="AG907">
        <v>-1.120417333</v>
      </c>
      <c r="AH907">
        <v>19.578557338380001</v>
      </c>
      <c r="AI907">
        <v>93.150105667881803</v>
      </c>
      <c r="AJ907">
        <v>74.0921227431772</v>
      </c>
      <c r="AK907">
        <v>20.3890103566245</v>
      </c>
      <c r="AL907">
        <v>79.655168610677705</v>
      </c>
      <c r="AM907">
        <v>81.679349452067498</v>
      </c>
      <c r="AN907">
        <v>0.99999996426620397</v>
      </c>
    </row>
    <row r="908" spans="1:40" x14ac:dyDescent="0.25">
      <c r="A908" t="str">
        <f>"20190303162516896"</f>
        <v>20190303162516896</v>
      </c>
      <c r="B908" t="str">
        <f>"1551601516884020"</f>
        <v>1551601516884020</v>
      </c>
      <c r="C908" t="s">
        <v>40</v>
      </c>
      <c r="D908">
        <v>4.7939939999999996</v>
      </c>
      <c r="E908">
        <v>0.55395130000000004</v>
      </c>
      <c r="F908" t="s">
        <v>45</v>
      </c>
      <c r="G908">
        <v>-202.59350000000001</v>
      </c>
      <c r="H908" s="1">
        <v>-3.274034E-6</v>
      </c>
      <c r="I908">
        <v>362.71530000000001</v>
      </c>
      <c r="J908">
        <v>-222.05629999999999</v>
      </c>
      <c r="K908">
        <v>1.1203000000000001</v>
      </c>
      <c r="L908">
        <v>368.43439999999998</v>
      </c>
      <c r="M908">
        <v>0.99993869999999896</v>
      </c>
      <c r="N908">
        <v>-9.4942429999999994E-3</v>
      </c>
      <c r="O908">
        <v>-5.7076369999999998E-3</v>
      </c>
      <c r="P908">
        <v>0.97409020000000002</v>
      </c>
      <c r="Q908">
        <v>0.1696732</v>
      </c>
      <c r="R908">
        <v>-0.14953159999999999</v>
      </c>
      <c r="S908">
        <v>2.9782410000000001</v>
      </c>
      <c r="T908">
        <v>-0.16907069999999999</v>
      </c>
      <c r="U908">
        <v>-0.86331179999999996</v>
      </c>
      <c r="V908">
        <v>0.14416099999999901</v>
      </c>
      <c r="W908">
        <v>0.1787675</v>
      </c>
      <c r="X908">
        <v>0.97327269999999999</v>
      </c>
      <c r="Y908">
        <v>0.27245439999999999</v>
      </c>
      <c r="Z908">
        <v>-8.6282549999999996E-3</v>
      </c>
      <c r="AA908">
        <v>0.96213000000000004</v>
      </c>
      <c r="AB908">
        <v>28</v>
      </c>
      <c r="AC908">
        <v>19.462799999999898</v>
      </c>
      <c r="AD908">
        <v>-1.120303274034</v>
      </c>
      <c r="AE908">
        <v>-5.7190999999999601</v>
      </c>
      <c r="AF908">
        <v>5.5908634037798297</v>
      </c>
      <c r="AG908">
        <v>-1.120303274034</v>
      </c>
      <c r="AH908">
        <v>19.4358486681427</v>
      </c>
      <c r="AI908">
        <v>93.170645292322703</v>
      </c>
      <c r="AJ908">
        <v>73.951733437286507</v>
      </c>
      <c r="AK908">
        <v>20.2550005301526</v>
      </c>
      <c r="AL908">
        <v>79.7020214011267</v>
      </c>
      <c r="AM908">
        <v>81.574617893054395</v>
      </c>
      <c r="AN908">
        <v>0.99999998077126895</v>
      </c>
    </row>
    <row r="909" spans="1:40" x14ac:dyDescent="0.25">
      <c r="A909" t="str">
        <f>"20190303162516919"</f>
        <v>20190303162516919</v>
      </c>
      <c r="B909" t="str">
        <f>"1551601516913299"</f>
        <v>1551601516913299</v>
      </c>
      <c r="C909" t="s">
        <v>40</v>
      </c>
      <c r="D909">
        <v>4.8502539999999996</v>
      </c>
      <c r="E909">
        <v>0.55380359999999995</v>
      </c>
      <c r="F909" t="s">
        <v>45</v>
      </c>
      <c r="G909">
        <v>-202.84909999999999</v>
      </c>
      <c r="H909" s="1">
        <v>-3.3792709999999998E-6</v>
      </c>
      <c r="I909">
        <v>362.82069999999999</v>
      </c>
      <c r="J909">
        <v>-221.77080000000001</v>
      </c>
      <c r="K909">
        <v>1.1201430000000001</v>
      </c>
      <c r="L909">
        <v>368.43189999999998</v>
      </c>
      <c r="M909">
        <v>0.99993390000000004</v>
      </c>
      <c r="N909">
        <v>-9.4667750000000002E-3</v>
      </c>
      <c r="O909">
        <v>-6.5346019999999996E-3</v>
      </c>
      <c r="P909">
        <v>0.97434670000000001</v>
      </c>
      <c r="Q909">
        <v>0.16684280000000001</v>
      </c>
      <c r="R909">
        <v>-0.1510379</v>
      </c>
      <c r="S909">
        <v>2.9765169999999999</v>
      </c>
      <c r="T909">
        <v>-0.17361199999999999</v>
      </c>
      <c r="U909">
        <v>-0.86993410000000004</v>
      </c>
      <c r="V909">
        <v>0.1449165</v>
      </c>
      <c r="W909">
        <v>0.17586350000000001</v>
      </c>
      <c r="X909">
        <v>0.97368949999999999</v>
      </c>
      <c r="Y909">
        <v>0.27375579999999999</v>
      </c>
      <c r="Z909">
        <v>-8.8250769999999902E-3</v>
      </c>
      <c r="AA909">
        <v>0.96175869999999997</v>
      </c>
      <c r="AB909">
        <v>28</v>
      </c>
      <c r="AC909">
        <v>18.921700000000001</v>
      </c>
      <c r="AD909">
        <v>-1.120146379271</v>
      </c>
      <c r="AE909">
        <v>-5.6111999999999904</v>
      </c>
      <c r="AF909">
        <v>5.4698092715232702</v>
      </c>
      <c r="AG909">
        <v>-1.120146379271</v>
      </c>
      <c r="AH909">
        <v>18.897092383074199</v>
      </c>
      <c r="AI909">
        <v>93.258837030673106</v>
      </c>
      <c r="AJ909">
        <v>73.856784956929403</v>
      </c>
      <c r="AK909">
        <v>19.704660410985898</v>
      </c>
      <c r="AL909">
        <v>79.871087646956198</v>
      </c>
      <c r="AM909">
        <v>81.534674625682797</v>
      </c>
      <c r="AN909">
        <v>1.0000000025073701</v>
      </c>
    </row>
    <row r="910" spans="1:40" x14ac:dyDescent="0.25">
      <c r="A910" t="str">
        <f>"20190303162516940"</f>
        <v>20190303162516940</v>
      </c>
      <c r="B910" t="str">
        <f>"1551601516933796"</f>
        <v>1551601516933796</v>
      </c>
      <c r="C910" t="s">
        <v>40</v>
      </c>
      <c r="D910">
        <v>4.8225470000000001</v>
      </c>
      <c r="E910">
        <v>0.55385030000000002</v>
      </c>
      <c r="F910" t="s">
        <v>45</v>
      </c>
      <c r="G910">
        <v>-203.68440000000001</v>
      </c>
      <c r="H910" s="1">
        <v>-3.735282E-6</v>
      </c>
      <c r="I910">
        <v>363.11110000000002</v>
      </c>
      <c r="J910">
        <v>-221.49359999999999</v>
      </c>
      <c r="K910">
        <v>1.1199730000000001</v>
      </c>
      <c r="L910">
        <v>368.42910000000001</v>
      </c>
      <c r="M910">
        <v>0.9999268</v>
      </c>
      <c r="N910">
        <v>-9.4457150000000004E-3</v>
      </c>
      <c r="O910">
        <v>-7.5611999999999997E-3</v>
      </c>
      <c r="P910">
        <v>0.97449249999999998</v>
      </c>
      <c r="Q910">
        <v>0.16431109999999999</v>
      </c>
      <c r="R910">
        <v>-0.15286079999999999</v>
      </c>
      <c r="S910">
        <v>2.974869</v>
      </c>
      <c r="T910">
        <v>-0.18424370000000001</v>
      </c>
      <c r="U910">
        <v>-0.87518309999999999</v>
      </c>
      <c r="V910">
        <v>0.14580009999999999</v>
      </c>
      <c r="W910">
        <v>0.17325679999999999</v>
      </c>
      <c r="X910">
        <v>0.97402480000000002</v>
      </c>
      <c r="Y910">
        <v>0.27441680000000002</v>
      </c>
      <c r="Z910">
        <v>-9.2501370000000003E-3</v>
      </c>
      <c r="AA910">
        <v>0.96156629999999998</v>
      </c>
      <c r="AB910">
        <v>28</v>
      </c>
      <c r="AC910">
        <v>17.809199999999901</v>
      </c>
      <c r="AD910">
        <v>-1.11997673528199</v>
      </c>
      <c r="AE910">
        <v>-5.3179999999999801</v>
      </c>
      <c r="AF910">
        <v>5.1644306340582702</v>
      </c>
      <c r="AG910">
        <v>-1.11997673528199</v>
      </c>
      <c r="AH910">
        <v>17.784327007377598</v>
      </c>
      <c r="AI910">
        <v>93.460870055793393</v>
      </c>
      <c r="AJ910">
        <v>73.807112649773799</v>
      </c>
      <c r="AK910">
        <v>18.552842875605698</v>
      </c>
      <c r="AL910">
        <v>80.022768912747395</v>
      </c>
      <c r="AM910">
        <v>81.486702242855898</v>
      </c>
      <c r="AN910">
        <v>0.99999994946064297</v>
      </c>
    </row>
    <row r="911" spans="1:40" x14ac:dyDescent="0.25">
      <c r="A911" t="str">
        <f>"20190303162516963"</f>
        <v>20190303162516963</v>
      </c>
      <c r="B911" t="str">
        <f>"1551601516953316"</f>
        <v>1551601516953316</v>
      </c>
      <c r="C911" t="s">
        <v>40</v>
      </c>
      <c r="D911">
        <v>4.8607709999999997</v>
      </c>
      <c r="E911">
        <v>0.553784099999999</v>
      </c>
      <c r="F911" t="s">
        <v>45</v>
      </c>
      <c r="G911">
        <v>-204.1318</v>
      </c>
      <c r="H911" s="1">
        <v>-3.9228769999999997E-6</v>
      </c>
      <c r="I911">
        <v>363.28019999999998</v>
      </c>
      <c r="J911">
        <v>-221.22069999999999</v>
      </c>
      <c r="K911">
        <v>1.1198170000000001</v>
      </c>
      <c r="L911">
        <v>368.42579999999998</v>
      </c>
      <c r="M911">
        <v>0.99991739999999996</v>
      </c>
      <c r="N911">
        <v>-9.4290139999999995E-3</v>
      </c>
      <c r="O911">
        <v>-8.7490309999999905E-3</v>
      </c>
      <c r="P911">
        <v>0.97454240000000003</v>
      </c>
      <c r="Q911">
        <v>0.1629128</v>
      </c>
      <c r="R911">
        <v>-0.15403459999999999</v>
      </c>
      <c r="S911">
        <v>2.9725799999999998</v>
      </c>
      <c r="T911">
        <v>-0.19175529999999999</v>
      </c>
      <c r="U911">
        <v>-0.88156129999999999</v>
      </c>
      <c r="V911">
        <v>0.145873799999999</v>
      </c>
      <c r="W911">
        <v>0.17179229999999901</v>
      </c>
      <c r="X911">
        <v>0.97427319999999995</v>
      </c>
      <c r="Y911">
        <v>0.27532960000000001</v>
      </c>
      <c r="Z911">
        <v>-9.5406999999999992E-3</v>
      </c>
      <c r="AA911">
        <v>0.96130260000000001</v>
      </c>
      <c r="AB911">
        <v>28</v>
      </c>
      <c r="AC911">
        <v>17.088899999999899</v>
      </c>
      <c r="AD911">
        <v>-1.119820922877</v>
      </c>
      <c r="AE911">
        <v>-5.1456</v>
      </c>
      <c r="AF911">
        <v>4.97629290166517</v>
      </c>
      <c r="AG911">
        <v>-1.119820922877</v>
      </c>
      <c r="AH911">
        <v>17.066075932695199</v>
      </c>
      <c r="AI911">
        <v>93.604493784813599</v>
      </c>
      <c r="AJ911">
        <v>73.743856598098105</v>
      </c>
      <c r="AK911">
        <v>17.812030700708799</v>
      </c>
      <c r="AL911">
        <v>80.107956601153205</v>
      </c>
      <c r="AM911">
        <v>81.484601774867897</v>
      </c>
      <c r="AN911">
        <v>1.00000001405198</v>
      </c>
    </row>
    <row r="912" spans="1:40" x14ac:dyDescent="0.25">
      <c r="A912" t="str">
        <f>"20190303162516988"</f>
        <v>20190303162516988</v>
      </c>
      <c r="B912" t="str">
        <f>"1551601516973811"</f>
        <v>1551601516973811</v>
      </c>
      <c r="C912" t="s">
        <v>40</v>
      </c>
      <c r="D912">
        <v>4.8488889999999998</v>
      </c>
      <c r="E912">
        <v>0.55371949999999903</v>
      </c>
      <c r="F912" t="s">
        <v>45</v>
      </c>
      <c r="G912">
        <v>-204.3322</v>
      </c>
      <c r="H912" s="1">
        <v>-3.9985599999999999E-6</v>
      </c>
      <c r="I912">
        <v>363.39389999999997</v>
      </c>
      <c r="J912">
        <v>-220.9034</v>
      </c>
      <c r="K912">
        <v>1.1196549999999901</v>
      </c>
      <c r="L912">
        <v>368.42140000000001</v>
      </c>
      <c r="M912">
        <v>0.99990190000000001</v>
      </c>
      <c r="N912">
        <v>-9.4157979999999995E-3</v>
      </c>
      <c r="O912">
        <v>-1.0362919999999999E-2</v>
      </c>
      <c r="P912">
        <v>0.97432169999999896</v>
      </c>
      <c r="Q912">
        <v>0.16285639999999901</v>
      </c>
      <c r="R912">
        <v>-0.15548380000000001</v>
      </c>
      <c r="S912">
        <v>2.9713590000000001</v>
      </c>
      <c r="T912">
        <v>-0.19702149999999999</v>
      </c>
      <c r="U912">
        <v>-0.88531489999999902</v>
      </c>
      <c r="V912">
        <v>0.14581629999999901</v>
      </c>
      <c r="W912">
        <v>0.17166689999999901</v>
      </c>
      <c r="X912">
        <v>0.9743039</v>
      </c>
      <c r="Y912">
        <v>0.274974</v>
      </c>
      <c r="Z912">
        <v>-9.6608349999999996E-3</v>
      </c>
      <c r="AA912">
        <v>0.96140309999999995</v>
      </c>
      <c r="AB912">
        <v>28</v>
      </c>
      <c r="AC912">
        <v>16.571200000000001</v>
      </c>
      <c r="AD912">
        <v>-1.1196589985599901</v>
      </c>
      <c r="AE912">
        <v>-5.0275000000000301</v>
      </c>
      <c r="AF912">
        <v>4.8352826957680799</v>
      </c>
      <c r="AG912">
        <v>-1.1196589985599901</v>
      </c>
      <c r="AH912">
        <v>16.5532120605654</v>
      </c>
      <c r="AI912">
        <v>93.714813116481693</v>
      </c>
      <c r="AJ912">
        <v>73.716631032754094</v>
      </c>
      <c r="AK912">
        <v>17.281273811357199</v>
      </c>
      <c r="AL912">
        <v>80.115249736176196</v>
      </c>
      <c r="AM912">
        <v>81.488173446539705</v>
      </c>
      <c r="AN912">
        <v>1.0000000037282499</v>
      </c>
    </row>
    <row r="913" spans="1:40" x14ac:dyDescent="0.25">
      <c r="A913" t="str">
        <f>"20190303162517008"</f>
        <v>20190303162517008</v>
      </c>
      <c r="B913" t="str">
        <f>"1551601516993332"</f>
        <v>1551601516993332</v>
      </c>
      <c r="C913" t="s">
        <v>40</v>
      </c>
      <c r="D913">
        <v>4.8834200000000001</v>
      </c>
      <c r="E913">
        <v>0.55364409999999997</v>
      </c>
      <c r="F913" t="s">
        <v>45</v>
      </c>
      <c r="G913">
        <v>-203.9692</v>
      </c>
      <c r="H913" s="1">
        <v>-3.8262459999999999E-6</v>
      </c>
      <c r="I913">
        <v>363.34719999999999</v>
      </c>
      <c r="J913">
        <v>-220.6422</v>
      </c>
      <c r="K913">
        <v>1.119526</v>
      </c>
      <c r="L913">
        <v>368.4171</v>
      </c>
      <c r="M913">
        <v>0.99988509999999997</v>
      </c>
      <c r="N913">
        <v>-9.4125049999999998E-3</v>
      </c>
      <c r="O913">
        <v>-1.188674E-2</v>
      </c>
      <c r="P913">
        <v>0.97409939999999995</v>
      </c>
      <c r="Q913">
        <v>0.1625682</v>
      </c>
      <c r="R913">
        <v>-0.1571698</v>
      </c>
      <c r="S913">
        <v>2.9698639999999998</v>
      </c>
      <c r="T913">
        <v>-0.19636239999999999</v>
      </c>
      <c r="U913">
        <v>-0.88989259999999903</v>
      </c>
      <c r="V913">
        <v>0.146070899999999</v>
      </c>
      <c r="W913">
        <v>0.1713286</v>
      </c>
      <c r="X913">
        <v>0.97432529999999995</v>
      </c>
      <c r="Y913">
        <v>0.27500780000000002</v>
      </c>
      <c r="Z913">
        <v>-9.5521660000000008E-3</v>
      </c>
      <c r="AA913">
        <v>0.96139450000000004</v>
      </c>
      <c r="AB913">
        <v>28</v>
      </c>
      <c r="AC913">
        <v>16.672999999999998</v>
      </c>
      <c r="AD913">
        <v>-1.1195298262459901</v>
      </c>
      <c r="AE913">
        <v>-5.0699000000000103</v>
      </c>
      <c r="AF913">
        <v>4.8513238732981803</v>
      </c>
      <c r="AG913">
        <v>-1.1195298262459901</v>
      </c>
      <c r="AH913">
        <v>16.6633193105393</v>
      </c>
      <c r="AI913">
        <v>93.690866961117393</v>
      </c>
      <c r="AJ913">
        <v>73.767719882193106</v>
      </c>
      <c r="AK913">
        <v>17.391230571770301</v>
      </c>
      <c r="AL913">
        <v>80.134924287200803</v>
      </c>
      <c r="AM913">
        <v>81.473714307488294</v>
      </c>
      <c r="AN913">
        <v>0.99999999361242997</v>
      </c>
    </row>
    <row r="914" spans="1:40" x14ac:dyDescent="0.25">
      <c r="A914" t="str">
        <f>"20190303162517030"</f>
        <v>20190303162517030</v>
      </c>
      <c r="B914" t="str">
        <f>"1551601517023588"</f>
        <v>1551601517023588</v>
      </c>
      <c r="C914" t="s">
        <v>40</v>
      </c>
      <c r="D914">
        <v>4.8964530000000002</v>
      </c>
      <c r="E914">
        <v>0.55371729999999997</v>
      </c>
      <c r="F914" t="s">
        <v>45</v>
      </c>
      <c r="G914">
        <v>-203.8023</v>
      </c>
      <c r="H914" s="1">
        <v>-3.7424960000000001E-6</v>
      </c>
      <c r="I914">
        <v>363.34609999999998</v>
      </c>
      <c r="J914">
        <v>-220.3672</v>
      </c>
      <c r="K914">
        <v>1.119375</v>
      </c>
      <c r="L914">
        <v>368.41199999999998</v>
      </c>
      <c r="M914">
        <v>0.99986200000000003</v>
      </c>
      <c r="N914">
        <v>-9.4144199999999997E-3</v>
      </c>
      <c r="O914">
        <v>-1.369018E-2</v>
      </c>
      <c r="P914">
        <v>0.97390149999999998</v>
      </c>
      <c r="Q914">
        <v>0.16038749999999999</v>
      </c>
      <c r="R914">
        <v>-0.1605992</v>
      </c>
      <c r="S914">
        <v>2.9684599999999999</v>
      </c>
      <c r="T914">
        <v>-0.1973454</v>
      </c>
      <c r="U914">
        <v>-0.89389039999999997</v>
      </c>
      <c r="V914">
        <v>0.14779600000000001</v>
      </c>
      <c r="W914">
        <v>0.16909389999999999</v>
      </c>
      <c r="X914">
        <v>0.97445550000000003</v>
      </c>
      <c r="Y914">
        <v>0.2745842</v>
      </c>
      <c r="Z914">
        <v>-9.4791819999999992E-3</v>
      </c>
      <c r="AA914">
        <v>0.96151629999999999</v>
      </c>
      <c r="AB914">
        <v>28</v>
      </c>
      <c r="AC914">
        <v>16.564899999999898</v>
      </c>
      <c r="AD914">
        <v>-1.119378742496</v>
      </c>
      <c r="AE914">
        <v>-5.0658999999999903</v>
      </c>
      <c r="AF914">
        <v>4.8185171959264901</v>
      </c>
      <c r="AG914">
        <v>-1.119378742496</v>
      </c>
      <c r="AH914">
        <v>16.563536445401098</v>
      </c>
      <c r="AI914">
        <v>93.712765218726005</v>
      </c>
      <c r="AJ914">
        <v>73.779698296145895</v>
      </c>
      <c r="AK914">
        <v>17.286464540637699</v>
      </c>
      <c r="AL914">
        <v>80.264858959663101</v>
      </c>
      <c r="AM914">
        <v>81.375659741252093</v>
      </c>
      <c r="AN914">
        <v>0.999999963056729</v>
      </c>
    </row>
    <row r="915" spans="1:40" x14ac:dyDescent="0.25">
      <c r="A915" t="str">
        <f>"20190303162517052"</f>
        <v>20190303162517052</v>
      </c>
      <c r="B915" t="str">
        <f>"1551601517044084"</f>
        <v>1551601517044084</v>
      </c>
      <c r="C915" t="s">
        <v>40</v>
      </c>
      <c r="D915">
        <v>4.915432</v>
      </c>
      <c r="E915">
        <v>0.55374540000000005</v>
      </c>
      <c r="F915" t="s">
        <v>45</v>
      </c>
      <c r="G915">
        <v>-203.9913</v>
      </c>
      <c r="H915" s="1">
        <v>-3.8226389999999996E-6</v>
      </c>
      <c r="I915">
        <v>363.4135</v>
      </c>
      <c r="J915">
        <v>-220.08959999999999</v>
      </c>
      <c r="K915">
        <v>1.1192120000000001</v>
      </c>
      <c r="L915">
        <v>368.40620000000001</v>
      </c>
      <c r="M915">
        <v>0.99983230000000001</v>
      </c>
      <c r="N915">
        <v>-9.4193860000000001E-3</v>
      </c>
      <c r="O915">
        <v>-1.571051E-2</v>
      </c>
      <c r="P915">
        <v>0.97347839999999997</v>
      </c>
      <c r="Q915">
        <v>0.1588628</v>
      </c>
      <c r="R915">
        <v>-0.16462979999999899</v>
      </c>
      <c r="S915">
        <v>2.9645389999999998</v>
      </c>
      <c r="T915">
        <v>-0.20264090000000001</v>
      </c>
      <c r="U915">
        <v>-0.90487669999999998</v>
      </c>
      <c r="V915">
        <v>0.14991979999999999</v>
      </c>
      <c r="W915">
        <v>0.16750899999999999</v>
      </c>
      <c r="X915">
        <v>0.97440490000000002</v>
      </c>
      <c r="Y915">
        <v>0.27622259999999998</v>
      </c>
      <c r="Z915">
        <v>-9.6483030000000004E-3</v>
      </c>
      <c r="AA915">
        <v>0.96104529999999999</v>
      </c>
      <c r="AB915">
        <v>28</v>
      </c>
      <c r="AC915">
        <v>16.098299999999899</v>
      </c>
      <c r="AD915">
        <v>-1.1192158226389901</v>
      </c>
      <c r="AE915">
        <v>-4.9927000000000099</v>
      </c>
      <c r="AF915">
        <v>4.7183547518599402</v>
      </c>
      <c r="AG915">
        <v>-1.1192158226389901</v>
      </c>
      <c r="AH915">
        <v>16.103745837262199</v>
      </c>
      <c r="AI915">
        <v>93.815772061784898</v>
      </c>
      <c r="AJ915">
        <v>73.669555666270597</v>
      </c>
      <c r="AK915">
        <v>16.818030372584801</v>
      </c>
      <c r="AL915">
        <v>80.356982071453899</v>
      </c>
      <c r="AM915">
        <v>81.253185559632897</v>
      </c>
      <c r="AN915">
        <v>1.00000006032852</v>
      </c>
    </row>
    <row r="916" spans="1:40" x14ac:dyDescent="0.25">
      <c r="A916" t="str">
        <f>"20190303162517075"</f>
        <v>20190303162517075</v>
      </c>
      <c r="B916" t="str">
        <f>"1551601517063604"</f>
        <v>1551601517063604</v>
      </c>
      <c r="C916" t="s">
        <v>40</v>
      </c>
      <c r="D916">
        <v>4.928706</v>
      </c>
      <c r="E916">
        <v>0.5538149</v>
      </c>
      <c r="F916" t="s">
        <v>45</v>
      </c>
      <c r="G916">
        <v>-204.10640000000001</v>
      </c>
      <c r="H916" s="1">
        <v>-3.8699010000000002E-6</v>
      </c>
      <c r="I916">
        <v>363.46159999999998</v>
      </c>
      <c r="J916">
        <v>-219.80840000000001</v>
      </c>
      <c r="K916">
        <v>1.11904</v>
      </c>
      <c r="L916">
        <v>368.39940000000001</v>
      </c>
      <c r="M916">
        <v>0.99979470000000004</v>
      </c>
      <c r="N916">
        <v>-9.4262089999999996E-3</v>
      </c>
      <c r="O916">
        <v>-1.7941740000000001E-2</v>
      </c>
      <c r="P916">
        <v>0.97287780000000001</v>
      </c>
      <c r="Q916">
        <v>0.15787370000000001</v>
      </c>
      <c r="R916">
        <v>-0.16907220000000001</v>
      </c>
      <c r="S916">
        <v>2.960693</v>
      </c>
      <c r="T916">
        <v>-0.2073208</v>
      </c>
      <c r="U916">
        <v>-0.91592410000000002</v>
      </c>
      <c r="V916">
        <v>0.1522558</v>
      </c>
      <c r="W916">
        <v>0.16645679999999999</v>
      </c>
      <c r="X916">
        <v>0.97422299999999995</v>
      </c>
      <c r="Y916">
        <v>0.27767370000000002</v>
      </c>
      <c r="Z916">
        <v>-9.7691789999999994E-3</v>
      </c>
      <c r="AA916">
        <v>0.96062579999999997</v>
      </c>
      <c r="AB916">
        <v>28</v>
      </c>
      <c r="AC916">
        <v>15.7019999999999</v>
      </c>
      <c r="AD916">
        <v>-1.1190438699009999</v>
      </c>
      <c r="AE916">
        <v>-4.9378000000000304</v>
      </c>
      <c r="AF916">
        <v>4.6338537647565996</v>
      </c>
      <c r="AG916">
        <v>-1.1190438699009999</v>
      </c>
      <c r="AH916">
        <v>15.715432262032101</v>
      </c>
      <c r="AI916">
        <v>93.907204958639397</v>
      </c>
      <c r="AJ916">
        <v>73.571315564573098</v>
      </c>
      <c r="AK916">
        <v>16.422535464368199</v>
      </c>
      <c r="AL916">
        <v>80.418127315351498</v>
      </c>
      <c r="AM916">
        <v>81.117420131029505</v>
      </c>
      <c r="AN916">
        <v>1.0000000743144299</v>
      </c>
    </row>
    <row r="917" spans="1:40" x14ac:dyDescent="0.25">
      <c r="A917" t="str">
        <f>"20190303162517097"</f>
        <v>20190303162517097</v>
      </c>
      <c r="B917" t="str">
        <f>"1551601517084100"</f>
        <v>1551601517084100</v>
      </c>
      <c r="C917" t="s">
        <v>40</v>
      </c>
      <c r="D917">
        <v>4.9503599999999999</v>
      </c>
      <c r="E917">
        <v>0.55385719999999905</v>
      </c>
      <c r="F917" t="s">
        <v>45</v>
      </c>
      <c r="G917">
        <v>-204.07599999999999</v>
      </c>
      <c r="H917" s="1">
        <v>-3.8540909999999996E-6</v>
      </c>
      <c r="I917">
        <v>363.46390000000002</v>
      </c>
      <c r="J917">
        <v>-219.51910000000001</v>
      </c>
      <c r="K917">
        <v>1.1188750000000001</v>
      </c>
      <c r="L917">
        <v>368.39170000000001</v>
      </c>
      <c r="M917">
        <v>0.99974730000000001</v>
      </c>
      <c r="N917">
        <v>-9.4341019999999998E-3</v>
      </c>
      <c r="O917">
        <v>-2.040811E-2</v>
      </c>
      <c r="P917">
        <v>0.97214849999999997</v>
      </c>
      <c r="Q917">
        <v>0.1568138</v>
      </c>
      <c r="R917">
        <v>-0.1741752</v>
      </c>
      <c r="S917">
        <v>2.9565429999999999</v>
      </c>
      <c r="T917">
        <v>-0.21029900000000001</v>
      </c>
      <c r="U917">
        <v>-0.92752080000000003</v>
      </c>
      <c r="V917">
        <v>0.1550223</v>
      </c>
      <c r="W917">
        <v>0.16533390000000001</v>
      </c>
      <c r="X917">
        <v>0.9739778</v>
      </c>
      <c r="Y917">
        <v>0.27910040000000003</v>
      </c>
      <c r="Z917">
        <v>-9.8043609999999993E-3</v>
      </c>
      <c r="AA917">
        <v>0.96021190000000001</v>
      </c>
      <c r="AB917">
        <v>28</v>
      </c>
      <c r="AC917">
        <v>15.443099999999999</v>
      </c>
      <c r="AD917">
        <v>-1.118878854091</v>
      </c>
      <c r="AE917">
        <v>-4.9277999999999897</v>
      </c>
      <c r="AF917">
        <v>4.5897289321772599</v>
      </c>
      <c r="AG917">
        <v>-1.118878854091</v>
      </c>
      <c r="AH917">
        <v>15.4667688486371</v>
      </c>
      <c r="AI917">
        <v>93.967208374135396</v>
      </c>
      <c r="AJ917">
        <v>73.471862468373899</v>
      </c>
      <c r="AK917">
        <v>16.172150140849102</v>
      </c>
      <c r="AL917">
        <v>80.483367899327405</v>
      </c>
      <c r="AM917">
        <v>80.956427228315704</v>
      </c>
      <c r="AN917">
        <v>0.999999983439669</v>
      </c>
    </row>
    <row r="918" spans="1:40" x14ac:dyDescent="0.25">
      <c r="A918" t="str">
        <f>"20190303162517120"</f>
        <v>20190303162517120</v>
      </c>
      <c r="B918" t="str">
        <f>"1551601517113380"</f>
        <v>1551601517113380</v>
      </c>
      <c r="C918" t="s">
        <v>40</v>
      </c>
      <c r="D918">
        <v>4.9387489999999996</v>
      </c>
      <c r="E918">
        <v>0.55386169999999901</v>
      </c>
      <c r="F918" t="s">
        <v>45</v>
      </c>
      <c r="G918">
        <v>-204.08580000000001</v>
      </c>
      <c r="H918" s="1">
        <v>-3.85816999999999E-6</v>
      </c>
      <c r="I918">
        <v>363.46780000000001</v>
      </c>
      <c r="J918">
        <v>-219.2364</v>
      </c>
      <c r="K918">
        <v>1.1187419999999999</v>
      </c>
      <c r="L918">
        <v>368.38319999999999</v>
      </c>
      <c r="M918">
        <v>0.99969160000000001</v>
      </c>
      <c r="N918">
        <v>-9.4419989999999995E-3</v>
      </c>
      <c r="O918">
        <v>-2.2971430000000001E-2</v>
      </c>
      <c r="P918">
        <v>0.971441</v>
      </c>
      <c r="Q918">
        <v>0.15521279999999901</v>
      </c>
      <c r="R918">
        <v>-0.17947669999999999</v>
      </c>
      <c r="S918">
        <v>2.9517519999999999</v>
      </c>
      <c r="T918">
        <v>-0.2139952</v>
      </c>
      <c r="U918">
        <v>-0.94174190000000002</v>
      </c>
      <c r="V918">
        <v>0.15787880000000001</v>
      </c>
      <c r="W918">
        <v>0.16367970000000001</v>
      </c>
      <c r="X918">
        <v>0.97379839999999995</v>
      </c>
      <c r="Y918">
        <v>0.28126269999999998</v>
      </c>
      <c r="Z918">
        <v>-9.8882950000000001E-3</v>
      </c>
      <c r="AA918">
        <v>0.95957990000000004</v>
      </c>
      <c r="AB918">
        <v>28</v>
      </c>
      <c r="AC918">
        <v>15.150599999999899</v>
      </c>
      <c r="AD918">
        <v>-1.1187458581699901</v>
      </c>
      <c r="AE918">
        <v>-4.9153999999999698</v>
      </c>
      <c r="AF918">
        <v>4.54364114431303</v>
      </c>
      <c r="AG918">
        <v>-1.1187458581699901</v>
      </c>
      <c r="AH918">
        <v>15.1846099884118</v>
      </c>
      <c r="AI918">
        <v>94.037474847953803</v>
      </c>
      <c r="AJ918">
        <v>73.341411468467797</v>
      </c>
      <c r="AK918">
        <v>15.8892620232547</v>
      </c>
      <c r="AL918">
        <v>80.579456250928104</v>
      </c>
      <c r="AM918">
        <v>80.790948715494693</v>
      </c>
      <c r="AN918">
        <v>1.00000004176204</v>
      </c>
    </row>
    <row r="919" spans="1:40" x14ac:dyDescent="0.25">
      <c r="A919" t="str">
        <f>"20190303162517142"</f>
        <v>20190303162517142</v>
      </c>
      <c r="B919" t="str">
        <f>"1551601517133876"</f>
        <v>1551601517133876</v>
      </c>
      <c r="C919" t="s">
        <v>40</v>
      </c>
      <c r="D919">
        <v>4.9974080000000001</v>
      </c>
      <c r="E919">
        <v>0.55393159999999997</v>
      </c>
      <c r="F919" t="s">
        <v>45</v>
      </c>
      <c r="G919">
        <v>-204.20769999999999</v>
      </c>
      <c r="H919" s="1">
        <v>-3.9098619999999998E-6</v>
      </c>
      <c r="I919">
        <v>363.51130000000001</v>
      </c>
      <c r="J919">
        <v>-218.952</v>
      </c>
      <c r="K919">
        <v>1.1186419999999999</v>
      </c>
      <c r="L919">
        <v>368.37380000000002</v>
      </c>
      <c r="M919">
        <v>0.99962629999999997</v>
      </c>
      <c r="N919">
        <v>-9.4495819999999998E-3</v>
      </c>
      <c r="O919">
        <v>-2.5658690000000001E-2</v>
      </c>
      <c r="P919">
        <v>0.97051849999999995</v>
      </c>
      <c r="Q919">
        <v>0.15365200000000001</v>
      </c>
      <c r="R919">
        <v>-0.18570390000000001</v>
      </c>
      <c r="S919">
        <v>2.9467620000000001</v>
      </c>
      <c r="T919">
        <v>-0.2193592</v>
      </c>
      <c r="U919">
        <v>-0.95526120000000003</v>
      </c>
      <c r="V919">
        <v>0.1615335</v>
      </c>
      <c r="W919">
        <v>0.16206980000000001</v>
      </c>
      <c r="X919">
        <v>0.97346820000000001</v>
      </c>
      <c r="Y919">
        <v>0.28310760000000001</v>
      </c>
      <c r="Z919">
        <v>-1.0012490000000001E-2</v>
      </c>
      <c r="AA919">
        <v>0.95903590000000005</v>
      </c>
      <c r="AB919">
        <v>28</v>
      </c>
      <c r="AC919">
        <v>14.744300000000001</v>
      </c>
      <c r="AD919">
        <v>-1.1186459098620001</v>
      </c>
      <c r="AE919">
        <v>-4.8625000000000096</v>
      </c>
      <c r="AF919">
        <v>4.4594113229200296</v>
      </c>
      <c r="AG919">
        <v>-1.1186459098620001</v>
      </c>
      <c r="AH919">
        <v>14.7874459504604</v>
      </c>
      <c r="AI919">
        <v>94.142508740336496</v>
      </c>
      <c r="AJ919">
        <v>73.218402153716596</v>
      </c>
      <c r="AK919">
        <v>15.4856796995296</v>
      </c>
      <c r="AL919">
        <v>80.672944852567397</v>
      </c>
      <c r="AM919">
        <v>80.578410639358793</v>
      </c>
      <c r="AN919">
        <v>1.0000000140527601</v>
      </c>
    </row>
    <row r="920" spans="1:40" x14ac:dyDescent="0.25">
      <c r="A920" t="str">
        <f>"20190303162517164"</f>
        <v>20190303162517164</v>
      </c>
      <c r="B920" t="str">
        <f>"1551601517153396"</f>
        <v>1551601517153396</v>
      </c>
      <c r="C920" t="s">
        <v>40</v>
      </c>
      <c r="D920">
        <v>5.1622309999999896</v>
      </c>
      <c r="E920">
        <v>0.5539269</v>
      </c>
      <c r="F920" t="s">
        <v>45</v>
      </c>
      <c r="G920">
        <v>-204.20269999999999</v>
      </c>
      <c r="H920" s="1">
        <v>-3.9115429999999999E-6</v>
      </c>
      <c r="I920">
        <v>363.4923</v>
      </c>
      <c r="J920">
        <v>-218.6738</v>
      </c>
      <c r="K920">
        <v>1.1185780000000001</v>
      </c>
      <c r="L920">
        <v>368.36380000000003</v>
      </c>
      <c r="M920">
        <v>0.99955329999999998</v>
      </c>
      <c r="N920">
        <v>-9.4564890000000002E-3</v>
      </c>
      <c r="O920">
        <v>-2.8352329999999999E-2</v>
      </c>
      <c r="P920">
        <v>0.96909900000000004</v>
      </c>
      <c r="Q920">
        <v>0.15298499999999901</v>
      </c>
      <c r="R920">
        <v>-0.1935026</v>
      </c>
      <c r="S920">
        <v>2.9402309999999998</v>
      </c>
      <c r="T920">
        <v>-0.22299920000000001</v>
      </c>
      <c r="U920">
        <v>-0.97311400000000003</v>
      </c>
      <c r="V920">
        <v>0.16676189999999999</v>
      </c>
      <c r="W920">
        <v>0.1613531</v>
      </c>
      <c r="X920">
        <v>0.97270529999999999</v>
      </c>
      <c r="Y920">
        <v>0.28637560000000001</v>
      </c>
      <c r="Z920">
        <v>-1.012711E-2</v>
      </c>
      <c r="AA920">
        <v>0.95806389999999997</v>
      </c>
      <c r="AB920">
        <v>28</v>
      </c>
      <c r="AC920">
        <v>14.4711</v>
      </c>
      <c r="AD920">
        <v>-1.118581911543</v>
      </c>
      <c r="AE920">
        <v>-4.8715000000000197</v>
      </c>
      <c r="AF920">
        <v>4.435429892937</v>
      </c>
      <c r="AG920">
        <v>-1.118581911543</v>
      </c>
      <c r="AH920">
        <v>14.525452143388399</v>
      </c>
      <c r="AI920">
        <v>94.212298606050794</v>
      </c>
      <c r="AJ920">
        <v>73.019649331474</v>
      </c>
      <c r="AK920">
        <v>15.228690810370299</v>
      </c>
      <c r="AL920">
        <v>80.714556082843302</v>
      </c>
      <c r="AM920">
        <v>80.271710753983598</v>
      </c>
      <c r="AN920">
        <v>0.99999997740965396</v>
      </c>
    </row>
    <row r="921" spans="1:40" x14ac:dyDescent="0.25">
      <c r="A921" t="str">
        <f>"20190303162517187"</f>
        <v>20190303162517187</v>
      </c>
      <c r="B921" t="str">
        <f>"1551601517173892"</f>
        <v>1551601517173892</v>
      </c>
      <c r="C921" t="s">
        <v>40</v>
      </c>
      <c r="D921">
        <v>5.000826</v>
      </c>
      <c r="E921">
        <v>0.55394080000000001</v>
      </c>
      <c r="F921" t="s">
        <v>45</v>
      </c>
      <c r="G921">
        <v>-204.15870000000001</v>
      </c>
      <c r="H921" s="1">
        <v>-3.8996419999999998E-6</v>
      </c>
      <c r="I921">
        <v>363.44630000000001</v>
      </c>
      <c r="J921">
        <v>-218.37870000000001</v>
      </c>
      <c r="K921">
        <v>1.1185350000000001</v>
      </c>
      <c r="L921">
        <v>368.35239999999999</v>
      </c>
      <c r="M921">
        <v>0.99946690000000005</v>
      </c>
      <c r="N921">
        <v>-9.4634509999999995E-3</v>
      </c>
      <c r="O921">
        <v>-3.1245749999999999E-2</v>
      </c>
      <c r="P921">
        <v>0.96760860000000004</v>
      </c>
      <c r="Q921">
        <v>0.1517259</v>
      </c>
      <c r="R921">
        <v>-0.2017737</v>
      </c>
      <c r="S921">
        <v>2.932922</v>
      </c>
      <c r="T921">
        <v>-0.226022</v>
      </c>
      <c r="U921">
        <v>-0.99365230000000004</v>
      </c>
      <c r="V921">
        <v>0.17226359999999999</v>
      </c>
      <c r="W921">
        <v>0.16004989999999999</v>
      </c>
      <c r="X921">
        <v>0.97196159999999998</v>
      </c>
      <c r="Y921">
        <v>0.29031600000000002</v>
      </c>
      <c r="Z921">
        <v>-1.023259E-2</v>
      </c>
      <c r="AA921">
        <v>0.95687619999999896</v>
      </c>
      <c r="AB921">
        <v>28</v>
      </c>
      <c r="AC921">
        <v>14.22</v>
      </c>
      <c r="AD921">
        <v>-1.118538899642</v>
      </c>
      <c r="AE921">
        <v>-4.9060999999999799</v>
      </c>
      <c r="AF921">
        <v>4.4348488150977401</v>
      </c>
      <c r="AG921">
        <v>-1.118538899642</v>
      </c>
      <c r="AH921">
        <v>14.287360701206101</v>
      </c>
      <c r="AI921">
        <v>94.276019441282699</v>
      </c>
      <c r="AJ921">
        <v>72.755466812399305</v>
      </c>
      <c r="AK921">
        <v>15.001589552082701</v>
      </c>
      <c r="AL921">
        <v>80.790207719759806</v>
      </c>
      <c r="AM921">
        <v>79.949666056497193</v>
      </c>
      <c r="AN921">
        <v>1.00000003512476</v>
      </c>
    </row>
    <row r="922" spans="1:40" x14ac:dyDescent="0.25">
      <c r="A922" t="str">
        <f>"20190303162517210"</f>
        <v>20190303162517210</v>
      </c>
      <c r="B922" t="str">
        <f>"1551601517204148"</f>
        <v>1551601517204148</v>
      </c>
      <c r="C922" t="s">
        <v>40</v>
      </c>
      <c r="D922">
        <v>4.9926409999999999</v>
      </c>
      <c r="E922">
        <v>0.55384149999999999</v>
      </c>
      <c r="F922" t="s">
        <v>45</v>
      </c>
      <c r="G922">
        <v>-204.178</v>
      </c>
      <c r="H922" s="1">
        <v>-3.9148110000000003E-6</v>
      </c>
      <c r="I922">
        <v>363.42169999999999</v>
      </c>
      <c r="J922">
        <v>-218.08500000000001</v>
      </c>
      <c r="K922">
        <v>1.118501</v>
      </c>
      <c r="L922">
        <v>368.34010000000001</v>
      </c>
      <c r="M922">
        <v>0.99937240000000005</v>
      </c>
      <c r="N922">
        <v>-9.4700070000000008E-3</v>
      </c>
      <c r="O922">
        <v>-3.413708E-2</v>
      </c>
      <c r="P922">
        <v>0.96579530000000002</v>
      </c>
      <c r="Q922">
        <v>0.1512</v>
      </c>
      <c r="R922">
        <v>-0.21066199999999999</v>
      </c>
      <c r="S922">
        <v>2.9247890000000001</v>
      </c>
      <c r="T922">
        <v>-0.2303761</v>
      </c>
      <c r="U922">
        <v>-1.015533</v>
      </c>
      <c r="V922">
        <v>0.1783971</v>
      </c>
      <c r="W922">
        <v>0.15947979999999901</v>
      </c>
      <c r="X922">
        <v>0.97094829999999999</v>
      </c>
      <c r="Y922">
        <v>0.29471839999999999</v>
      </c>
      <c r="Z922">
        <v>-1.040788E-2</v>
      </c>
      <c r="AA922">
        <v>0.95552749999999997</v>
      </c>
      <c r="AB922">
        <v>28</v>
      </c>
      <c r="AC922">
        <v>13.907</v>
      </c>
      <c r="AD922">
        <v>-1.118504914811</v>
      </c>
      <c r="AE922">
        <v>-4.9184000000000196</v>
      </c>
      <c r="AF922">
        <v>4.4153814805520799</v>
      </c>
      <c r="AG922">
        <v>-1.118504914811</v>
      </c>
      <c r="AH922">
        <v>13.986387017933801</v>
      </c>
      <c r="AI922">
        <v>94.360996798490305</v>
      </c>
      <c r="AJ922">
        <v>72.479543730511196</v>
      </c>
      <c r="AK922">
        <v>14.709373497150899</v>
      </c>
      <c r="AL922">
        <v>80.823296437970797</v>
      </c>
      <c r="AM922">
        <v>79.588883236649593</v>
      </c>
      <c r="AN922">
        <v>0.99999996658466905</v>
      </c>
    </row>
    <row r="923" spans="1:40" x14ac:dyDescent="0.25">
      <c r="A923" t="str">
        <f>"20190303162517231"</f>
        <v>20190303162517231</v>
      </c>
      <c r="B923" t="str">
        <f>"1551601517223668"</f>
        <v>1551601517223668</v>
      </c>
      <c r="C923" t="s">
        <v>40</v>
      </c>
      <c r="D923">
        <v>5.0162699999999996</v>
      </c>
      <c r="E923">
        <v>0.55373790000000001</v>
      </c>
      <c r="F923" t="s">
        <v>45</v>
      </c>
      <c r="G923">
        <v>-203.97710000000001</v>
      </c>
      <c r="H923" s="1">
        <v>-3.8393699999999996E-6</v>
      </c>
      <c r="I923">
        <v>363.30579999999998</v>
      </c>
      <c r="J923">
        <v>-217.81129999999999</v>
      </c>
      <c r="K923">
        <v>1.118492</v>
      </c>
      <c r="L923">
        <v>368.3279</v>
      </c>
      <c r="M923">
        <v>0.99927679999999997</v>
      </c>
      <c r="N923">
        <v>-9.4759240000000002E-3</v>
      </c>
      <c r="O923">
        <v>-3.6825110000000001E-2</v>
      </c>
      <c r="P923">
        <v>0.96368410000000004</v>
      </c>
      <c r="Q923">
        <v>0.151728</v>
      </c>
      <c r="R923">
        <v>-0.21975430000000001</v>
      </c>
      <c r="S923">
        <v>2.9154969999999998</v>
      </c>
      <c r="T923">
        <v>-0.23114709999999999</v>
      </c>
      <c r="U923">
        <v>-1.040375</v>
      </c>
      <c r="V923">
        <v>0.1849519</v>
      </c>
      <c r="W923">
        <v>0.15996179999999999</v>
      </c>
      <c r="X923">
        <v>0.96964170000000005</v>
      </c>
      <c r="Y923">
        <v>0.3003092</v>
      </c>
      <c r="Z923">
        <v>-1.0514819999999999E-2</v>
      </c>
      <c r="AA923">
        <v>0.95378390000000002</v>
      </c>
      <c r="AB923">
        <v>29</v>
      </c>
      <c r="AC923">
        <v>13.8341999999999</v>
      </c>
      <c r="AD923">
        <v>-1.11849583937</v>
      </c>
      <c r="AE923">
        <v>-5.0221000000000204</v>
      </c>
      <c r="AF923">
        <v>4.4833305987539802</v>
      </c>
      <c r="AG923">
        <v>-1.11849583937</v>
      </c>
      <c r="AH923">
        <v>13.9293133203166</v>
      </c>
      <c r="AI923">
        <v>94.370978035729493</v>
      </c>
      <c r="AJ923">
        <v>72.158553749080696</v>
      </c>
      <c r="AK923">
        <v>14.6757301615954</v>
      </c>
      <c r="AL923">
        <v>80.795321077940798</v>
      </c>
      <c r="AM923">
        <v>79.2009776246379</v>
      </c>
      <c r="AN923">
        <v>1.0000000045758699</v>
      </c>
    </row>
    <row r="924" spans="1:40" x14ac:dyDescent="0.25">
      <c r="A924" t="str">
        <f>"20190303162517253"</f>
        <v>20190303162517253</v>
      </c>
      <c r="B924" t="str">
        <f>"1551601517244163"</f>
        <v>1551601517244163</v>
      </c>
      <c r="C924" t="s">
        <v>40</v>
      </c>
      <c r="D924">
        <v>5.0528490000000001</v>
      </c>
      <c r="E924">
        <v>0.55368300000000004</v>
      </c>
      <c r="F924" t="s">
        <v>45</v>
      </c>
      <c r="G924">
        <v>-203.5949</v>
      </c>
      <c r="H924" s="1">
        <v>-3.6904470000000001E-6</v>
      </c>
      <c r="I924">
        <v>363.11</v>
      </c>
      <c r="J924">
        <v>-217.52420000000001</v>
      </c>
      <c r="K924">
        <v>1.1184860000000001</v>
      </c>
      <c r="L924">
        <v>368.31439999999998</v>
      </c>
      <c r="M924">
        <v>0.99916939999999999</v>
      </c>
      <c r="N924">
        <v>-9.4820059999999994E-3</v>
      </c>
      <c r="O924">
        <v>-3.9631220000000002E-2</v>
      </c>
      <c r="P924">
        <v>0.96082440000000002</v>
      </c>
      <c r="Q924">
        <v>0.15354429999999999</v>
      </c>
      <c r="R924">
        <v>-0.23074</v>
      </c>
      <c r="S924">
        <v>2.9058229999999998</v>
      </c>
      <c r="T924">
        <v>-0.22861989999999999</v>
      </c>
      <c r="U924">
        <v>-1.0665279999999999</v>
      </c>
      <c r="V924">
        <v>0.1933272</v>
      </c>
      <c r="W924">
        <v>0.16171820000000001</v>
      </c>
      <c r="X924">
        <v>0.96771470000000004</v>
      </c>
      <c r="Y924">
        <v>0.30622050000000001</v>
      </c>
      <c r="Z924">
        <v>-1.0504049999999999E-2</v>
      </c>
      <c r="AA924">
        <v>0.95190260000000004</v>
      </c>
      <c r="AB924">
        <v>29</v>
      </c>
      <c r="AC924">
        <v>13.9293</v>
      </c>
      <c r="AD924">
        <v>-1.1184896904469901</v>
      </c>
      <c r="AE924">
        <v>-5.2043999999999597</v>
      </c>
      <c r="AF924">
        <v>4.6220997037730802</v>
      </c>
      <c r="AG924">
        <v>-1.1184896904469901</v>
      </c>
      <c r="AH924">
        <v>14.045156071295199</v>
      </c>
      <c r="AI924">
        <v>94.325867552323899</v>
      </c>
      <c r="AJ924">
        <v>71.784217815074996</v>
      </c>
      <c r="AK924">
        <v>14.8283928301854</v>
      </c>
      <c r="AL924">
        <v>80.693358860298801</v>
      </c>
      <c r="AM924">
        <v>78.702350152386501</v>
      </c>
      <c r="AN924">
        <v>0.99999996153358395</v>
      </c>
    </row>
    <row r="925" spans="1:40" x14ac:dyDescent="0.25">
      <c r="A925" t="str">
        <f>"20190303162517277"</f>
        <v>20190303162517277</v>
      </c>
      <c r="B925" t="str">
        <f>"1551601517273443"</f>
        <v>1551601517273443</v>
      </c>
      <c r="C925" t="s">
        <v>40</v>
      </c>
      <c r="D925">
        <v>5.2460259999999996</v>
      </c>
      <c r="E925">
        <v>0.57677609999999901</v>
      </c>
      <c r="F925" t="s">
        <v>45</v>
      </c>
      <c r="G925">
        <v>-203.00210000000001</v>
      </c>
      <c r="H925" s="1">
        <v>-3.45945E-6</v>
      </c>
      <c r="I925">
        <v>362.80650000000003</v>
      </c>
      <c r="J925">
        <v>-217.22909999999999</v>
      </c>
      <c r="K925">
        <v>1.1184810000000001</v>
      </c>
      <c r="L925">
        <v>368.29969999999997</v>
      </c>
      <c r="M925">
        <v>0.99905140000000003</v>
      </c>
      <c r="N925">
        <v>-9.4882009999999999E-3</v>
      </c>
      <c r="O925">
        <v>-4.2501669999999998E-2</v>
      </c>
      <c r="P925">
        <v>0.95761830000000003</v>
      </c>
      <c r="Q925">
        <v>0.15473599999999901</v>
      </c>
      <c r="R925">
        <v>-0.242949</v>
      </c>
      <c r="S925">
        <v>2.8943479999999999</v>
      </c>
      <c r="T925">
        <v>-0.2229218</v>
      </c>
      <c r="U925">
        <v>-1.0977479999999999</v>
      </c>
      <c r="V925">
        <v>0.20288519999999999</v>
      </c>
      <c r="W925">
        <v>0.16284179999999901</v>
      </c>
      <c r="X925">
        <v>0.96556730000000002</v>
      </c>
      <c r="Y925">
        <v>0.31372549999999999</v>
      </c>
      <c r="Z925">
        <v>-1.043842E-2</v>
      </c>
      <c r="AA925">
        <v>0.94945630000000003</v>
      </c>
      <c r="AB925">
        <v>29</v>
      </c>
      <c r="AC925">
        <v>14.226999999999901</v>
      </c>
      <c r="AD925">
        <v>-1.1184844594499901</v>
      </c>
      <c r="AE925">
        <v>-5.4931999999999404</v>
      </c>
      <c r="AF925">
        <v>4.8574105740172699</v>
      </c>
      <c r="AG925">
        <v>-1.1184844594499901</v>
      </c>
      <c r="AH925">
        <v>14.370329348854501</v>
      </c>
      <c r="AI925">
        <v>94.217045753786707</v>
      </c>
      <c r="AJ925">
        <v>71.323890623955407</v>
      </c>
      <c r="AK925">
        <v>15.2102534681429</v>
      </c>
      <c r="AL925">
        <v>80.628117193211096</v>
      </c>
      <c r="AM925">
        <v>78.133624642151304</v>
      </c>
      <c r="AN925">
        <v>1.0000000335177801</v>
      </c>
    </row>
    <row r="926" spans="1:40" x14ac:dyDescent="0.25">
      <c r="A926" t="str">
        <f>"20190303162517299"</f>
        <v>20190303162517299</v>
      </c>
      <c r="B926" t="str">
        <f>"1551601517293940"</f>
        <v>1551601517293940</v>
      </c>
      <c r="C926" t="s">
        <v>40</v>
      </c>
      <c r="D926">
        <v>5.2467519999999999</v>
      </c>
      <c r="E926">
        <v>0.57639439999999997</v>
      </c>
      <c r="F926" t="s">
        <v>45</v>
      </c>
      <c r="G926">
        <v>-197.95429999999999</v>
      </c>
      <c r="H926" s="1">
        <v>-6.4456709999999998E-6</v>
      </c>
      <c r="I926">
        <v>359.34960000000001</v>
      </c>
      <c r="J926">
        <v>-216.9376</v>
      </c>
      <c r="K926">
        <v>1.1184700000000001</v>
      </c>
      <c r="L926">
        <v>368.2842</v>
      </c>
      <c r="M926">
        <v>0.99892709999999996</v>
      </c>
      <c r="N926">
        <v>-9.4942810000000002E-3</v>
      </c>
      <c r="O926">
        <v>-4.5326949999999998E-2</v>
      </c>
      <c r="P926">
        <v>0.95480200000000004</v>
      </c>
      <c r="Q926">
        <v>0.1538272</v>
      </c>
      <c r="R926">
        <v>-0.25434289999999998</v>
      </c>
      <c r="S926">
        <v>2.8263240000000001</v>
      </c>
      <c r="T926">
        <v>-0.1640074</v>
      </c>
      <c r="U926">
        <v>-1.312378</v>
      </c>
      <c r="V926">
        <v>0.21165719999999999</v>
      </c>
      <c r="W926">
        <v>0.16187209999999999</v>
      </c>
      <c r="X926">
        <v>0.96384579999999997</v>
      </c>
      <c r="Y926">
        <v>0.37902809999999998</v>
      </c>
      <c r="Z926">
        <v>-1.0258929999999999E-2</v>
      </c>
      <c r="AA926">
        <v>0.92532829999999999</v>
      </c>
      <c r="AB926">
        <v>29</v>
      </c>
      <c r="AC926">
        <v>18.9833</v>
      </c>
      <c r="AD926">
        <v>-1.1184764456709999</v>
      </c>
      <c r="AE926">
        <v>-8.9345999999999801</v>
      </c>
      <c r="AF926">
        <v>8.0420675201289296</v>
      </c>
      <c r="AG926">
        <v>-1.1184764456709999</v>
      </c>
      <c r="AH926">
        <v>19.313895315866599</v>
      </c>
      <c r="AI926">
        <v>93.060182073934101</v>
      </c>
      <c r="AJ926">
        <v>67.393757921000301</v>
      </c>
      <c r="AK926">
        <v>20.951190701964499</v>
      </c>
      <c r="AL926">
        <v>80.684424013645994</v>
      </c>
      <c r="AM926">
        <v>77.614632861625495</v>
      </c>
      <c r="AN926">
        <v>1.0000000366239401</v>
      </c>
    </row>
    <row r="927" spans="1:40" x14ac:dyDescent="0.25">
      <c r="A927" t="str">
        <f>"20190303162517320"</f>
        <v>20190303162517320</v>
      </c>
      <c r="B927" t="str">
        <f>"1551601517313460"</f>
        <v>1551601517313460</v>
      </c>
      <c r="C927" t="s">
        <v>40</v>
      </c>
      <c r="D927">
        <v>4.9298400000000004</v>
      </c>
      <c r="E927">
        <v>0.57813009999999998</v>
      </c>
      <c r="F927" t="s">
        <v>45</v>
      </c>
      <c r="G927">
        <v>-203.12889999999999</v>
      </c>
      <c r="H927" s="1">
        <v>-3.764342E-6</v>
      </c>
      <c r="I927">
        <v>361.7192</v>
      </c>
      <c r="J927">
        <v>-216.65969999999999</v>
      </c>
      <c r="K927">
        <v>1.1184480000000001</v>
      </c>
      <c r="L927">
        <v>368.26870000000002</v>
      </c>
      <c r="M927">
        <v>0.99880139999999995</v>
      </c>
      <c r="N927">
        <v>-9.5000299999999996E-3</v>
      </c>
      <c r="O927">
        <v>-4.8018739999999997E-2</v>
      </c>
      <c r="P927">
        <v>0.95240860000000005</v>
      </c>
      <c r="Q927">
        <v>0.15194179999999999</v>
      </c>
      <c r="R927">
        <v>-0.26425749999999998</v>
      </c>
      <c r="S927">
        <v>2.8214869999999999</v>
      </c>
      <c r="T927">
        <v>-0.22853509999999999</v>
      </c>
      <c r="U927">
        <v>-1.3413999999999999</v>
      </c>
      <c r="V927">
        <v>0.2190666</v>
      </c>
      <c r="W927">
        <v>0.15993599999999999</v>
      </c>
      <c r="X927">
        <v>0.96251249999999999</v>
      </c>
      <c r="Y927">
        <v>0.38444050000000002</v>
      </c>
      <c r="Z927">
        <v>-1.3436699999999999E-2</v>
      </c>
      <c r="AA927">
        <v>0.92305199999999998</v>
      </c>
      <c r="AB927">
        <v>29</v>
      </c>
      <c r="AC927">
        <v>13.530799999999999</v>
      </c>
      <c r="AD927">
        <v>-1.11845176434199</v>
      </c>
      <c r="AE927">
        <v>-6.5495000000000196</v>
      </c>
      <c r="AF927">
        <v>5.8597454417745798</v>
      </c>
      <c r="AG927">
        <v>-1.11845176434199</v>
      </c>
      <c r="AH927">
        <v>13.753568097700599</v>
      </c>
      <c r="AI927">
        <v>94.278538990885195</v>
      </c>
      <c r="AJ927">
        <v>66.923437600331596</v>
      </c>
      <c r="AK927">
        <v>14.991603863818099</v>
      </c>
      <c r="AL927">
        <v>80.796818602222004</v>
      </c>
      <c r="AM927">
        <v>77.177975301245297</v>
      </c>
      <c r="AN927">
        <v>1.0000000059939</v>
      </c>
    </row>
    <row r="928" spans="1:40" x14ac:dyDescent="0.25">
      <c r="A928" t="str">
        <f>"20190303162517342"</f>
        <v>20190303162517342</v>
      </c>
      <c r="B928" t="str">
        <f>"1551601517333956"</f>
        <v>1551601517333956</v>
      </c>
      <c r="C928" t="s">
        <v>40</v>
      </c>
      <c r="D928">
        <v>4.9052709999999999</v>
      </c>
      <c r="E928">
        <v>0.58111440000000003</v>
      </c>
      <c r="F928" t="s">
        <v>45</v>
      </c>
      <c r="G928">
        <v>-203.11760000000001</v>
      </c>
      <c r="H928" s="1">
        <v>-3.7891420000000002E-6</v>
      </c>
      <c r="I928">
        <v>361.58159999999998</v>
      </c>
      <c r="J928">
        <v>-216.3785</v>
      </c>
      <c r="K928">
        <v>1.118428</v>
      </c>
      <c r="L928">
        <v>368.25220000000002</v>
      </c>
      <c r="M928">
        <v>0.99866630000000001</v>
      </c>
      <c r="N928">
        <v>-9.5059470000000007E-3</v>
      </c>
      <c r="O928">
        <v>-5.0746310000000003E-2</v>
      </c>
      <c r="P928">
        <v>0.94999409999999895</v>
      </c>
      <c r="Q928">
        <v>0.15123449999999999</v>
      </c>
      <c r="R928">
        <v>-0.27320270000000002</v>
      </c>
      <c r="S928">
        <v>2.8028110000000002</v>
      </c>
      <c r="T928">
        <v>-0.23148579999999999</v>
      </c>
      <c r="U928">
        <v>-1.3840330000000001</v>
      </c>
      <c r="V928">
        <v>0.22548940000000001</v>
      </c>
      <c r="W928">
        <v>0.159181399999999</v>
      </c>
      <c r="X928">
        <v>0.96115340000000005</v>
      </c>
      <c r="Y928">
        <v>0.39557199999999998</v>
      </c>
      <c r="Z928">
        <v>-1.392142E-2</v>
      </c>
      <c r="AA928">
        <v>0.91832939999999996</v>
      </c>
      <c r="AB928">
        <v>29</v>
      </c>
      <c r="AC928">
        <v>13.2608999999999</v>
      </c>
      <c r="AD928">
        <v>-1.1184317891419999</v>
      </c>
      <c r="AE928">
        <v>-6.6706000000000296</v>
      </c>
      <c r="AF928">
        <v>5.9552254317546396</v>
      </c>
      <c r="AG928">
        <v>-1.1184317891419999</v>
      </c>
      <c r="AH928">
        <v>13.5056664850239</v>
      </c>
      <c r="AI928">
        <v>94.333178360405697</v>
      </c>
      <c r="AJ928">
        <v>66.205267910437101</v>
      </c>
      <c r="AK928">
        <v>14.8026560729714</v>
      </c>
      <c r="AL928">
        <v>80.840615256525794</v>
      </c>
      <c r="AM928">
        <v>76.797010724699803</v>
      </c>
      <c r="AN928">
        <v>1.00000002297493</v>
      </c>
    </row>
    <row r="929" spans="1:40" x14ac:dyDescent="0.25">
      <c r="A929" t="str">
        <f>"20190303162517365"</f>
        <v>20190303162517365</v>
      </c>
      <c r="B929" t="str">
        <f>"1551601517353477"</f>
        <v>1551601517353477</v>
      </c>
      <c r="C929" t="s">
        <v>40</v>
      </c>
      <c r="D929">
        <v>4.8817399999999997</v>
      </c>
      <c r="E929">
        <v>0.58069579999999998</v>
      </c>
      <c r="F929" t="s">
        <v>45</v>
      </c>
      <c r="G929">
        <v>-200.91659999999999</v>
      </c>
      <c r="H929" s="1">
        <v>-2.9712110000000001E-6</v>
      </c>
      <c r="I929">
        <v>360.27530000000002</v>
      </c>
      <c r="J929">
        <v>-216.0866</v>
      </c>
      <c r="K929">
        <v>1.118414</v>
      </c>
      <c r="L929">
        <v>368.23430000000002</v>
      </c>
      <c r="M929">
        <v>0.99851780000000001</v>
      </c>
      <c r="N929">
        <v>-9.5120900000000008E-3</v>
      </c>
      <c r="O929">
        <v>-5.3590440000000003E-2</v>
      </c>
      <c r="P929">
        <v>0.94738610000000001</v>
      </c>
      <c r="Q929">
        <v>0.1519297</v>
      </c>
      <c r="R929">
        <v>-0.28173979999999998</v>
      </c>
      <c r="S929">
        <v>2.777771</v>
      </c>
      <c r="T929">
        <v>-0.20092940000000001</v>
      </c>
      <c r="U929">
        <v>-1.4330750000000001</v>
      </c>
      <c r="V929">
        <v>0.2314205</v>
      </c>
      <c r="W929">
        <v>0.1598291</v>
      </c>
      <c r="X929">
        <v>0.95963489999999996</v>
      </c>
      <c r="Y929">
        <v>0.40931099999999998</v>
      </c>
      <c r="Z929">
        <v>-1.283019E-2</v>
      </c>
      <c r="AA929">
        <v>0.91230480000000003</v>
      </c>
      <c r="AB929">
        <v>29</v>
      </c>
      <c r="AC929">
        <v>15.17</v>
      </c>
      <c r="AD929">
        <v>-1.1184169712109999</v>
      </c>
      <c r="AE929">
        <v>-7.9589999999999996</v>
      </c>
      <c r="AF929">
        <v>7.1042781371153696</v>
      </c>
      <c r="AG929">
        <v>-1.1184169712109999</v>
      </c>
      <c r="AH929">
        <v>15.508642881089299</v>
      </c>
      <c r="AI929">
        <v>93.7511733056038</v>
      </c>
      <c r="AJ929">
        <v>65.388190228809805</v>
      </c>
      <c r="AK929">
        <v>17.095017647962599</v>
      </c>
      <c r="AL929">
        <v>80.803022959684895</v>
      </c>
      <c r="AM929">
        <v>76.441725037349698</v>
      </c>
      <c r="AN929">
        <v>0.99999996516253398</v>
      </c>
    </row>
    <row r="930" spans="1:40" x14ac:dyDescent="0.25">
      <c r="A930" t="str">
        <f>"20190303162517389"</f>
        <v>20190303162517389</v>
      </c>
      <c r="B930" t="str">
        <f>"1551601517383732"</f>
        <v>1551601517383732</v>
      </c>
      <c r="C930" t="s">
        <v>40</v>
      </c>
      <c r="D930">
        <v>4.867362</v>
      </c>
      <c r="E930">
        <v>0.58209290000000002</v>
      </c>
      <c r="F930" t="s">
        <v>45</v>
      </c>
      <c r="G930">
        <v>-200.84350000000001</v>
      </c>
      <c r="H930" s="1">
        <v>-2.9453980000000002E-6</v>
      </c>
      <c r="I930">
        <v>360.22579999999999</v>
      </c>
      <c r="J930">
        <v>-215.77250000000001</v>
      </c>
      <c r="K930">
        <v>1.11839</v>
      </c>
      <c r="L930">
        <v>368.21409999999997</v>
      </c>
      <c r="M930">
        <v>0.99834719999999999</v>
      </c>
      <c r="N930">
        <v>-9.5187989999999997E-3</v>
      </c>
      <c r="O930">
        <v>-5.6676560000000001E-2</v>
      </c>
      <c r="P930">
        <v>0.94446099999999999</v>
      </c>
      <c r="Q930">
        <v>0.154119799999999</v>
      </c>
      <c r="R930">
        <v>-0.29024309999999998</v>
      </c>
      <c r="S930">
        <v>2.766861</v>
      </c>
      <c r="T930">
        <v>-0.2030103</v>
      </c>
      <c r="U930">
        <v>-1.4536739999999999</v>
      </c>
      <c r="V930">
        <v>0.237124</v>
      </c>
      <c r="W930">
        <v>0.16196569999999999</v>
      </c>
      <c r="X930">
        <v>0.95788269999999998</v>
      </c>
      <c r="Y930">
        <v>0.41326800000000002</v>
      </c>
      <c r="Z930">
        <v>-1.2934060000000001E-2</v>
      </c>
      <c r="AA930">
        <v>0.91051760000000004</v>
      </c>
      <c r="AB930">
        <v>29</v>
      </c>
      <c r="AC930">
        <v>14.929</v>
      </c>
      <c r="AD930">
        <v>-1.1183929453979999</v>
      </c>
      <c r="AE930">
        <v>-7.9882999999999802</v>
      </c>
      <c r="AF930">
        <v>7.0983260864576598</v>
      </c>
      <c r="AG930">
        <v>-1.1183929453979999</v>
      </c>
      <c r="AH930">
        <v>15.291056729859701</v>
      </c>
      <c r="AI930">
        <v>93.795483244807301</v>
      </c>
      <c r="AJ930">
        <v>65.098600834510705</v>
      </c>
      <c r="AK930">
        <v>16.895367765331098</v>
      </c>
      <c r="AL930">
        <v>80.678988817421597</v>
      </c>
      <c r="AM930">
        <v>76.095942073928896</v>
      </c>
      <c r="AN930">
        <v>0.99999997315588895</v>
      </c>
    </row>
    <row r="931" spans="1:40" x14ac:dyDescent="0.25">
      <c r="A931" t="str">
        <f>"20190303162517413"</f>
        <v>20190303162517413</v>
      </c>
      <c r="B931" t="str">
        <f>"1551601517404228"</f>
        <v>1551601517404228</v>
      </c>
      <c r="C931" t="s">
        <v>40</v>
      </c>
      <c r="D931">
        <v>5.0325449999999998</v>
      </c>
      <c r="E931">
        <v>0.58143109999999998</v>
      </c>
      <c r="F931" t="s">
        <v>45</v>
      </c>
      <c r="G931">
        <v>-197.58619999999999</v>
      </c>
      <c r="H931" s="1">
        <v>-6.0545999999999996E-6</v>
      </c>
      <c r="I931">
        <v>358.35309999999998</v>
      </c>
      <c r="J931">
        <v>-215.4846</v>
      </c>
      <c r="K931">
        <v>1.118382</v>
      </c>
      <c r="L931">
        <v>368.19479999999999</v>
      </c>
      <c r="M931">
        <v>0.99818070000000003</v>
      </c>
      <c r="N931">
        <v>-9.5252289999999996E-3</v>
      </c>
      <c r="O931">
        <v>-5.9537130000000001E-2</v>
      </c>
      <c r="P931">
        <v>0.94200019999999995</v>
      </c>
      <c r="Q931">
        <v>0.15589929999999999</v>
      </c>
      <c r="R931">
        <v>-0.29720560000000001</v>
      </c>
      <c r="S931">
        <v>2.746353</v>
      </c>
      <c r="T931">
        <v>-0.16889119999999999</v>
      </c>
      <c r="U931">
        <v>-1.489136</v>
      </c>
      <c r="V931">
        <v>0.24149100000000001</v>
      </c>
      <c r="W931">
        <v>0.16369900000000001</v>
      </c>
      <c r="X931">
        <v>0.95649609999999996</v>
      </c>
      <c r="Y931">
        <v>0.42280669999999998</v>
      </c>
      <c r="Z931">
        <v>-1.142371E-2</v>
      </c>
      <c r="AA931">
        <v>0.90614790000000001</v>
      </c>
      <c r="AB931">
        <v>29</v>
      </c>
      <c r="AC931">
        <v>17.898399999999999</v>
      </c>
      <c r="AD931">
        <v>-1.1183880546</v>
      </c>
      <c r="AE931">
        <v>-9.8416999999999994</v>
      </c>
      <c r="AF931">
        <v>8.73239296475918</v>
      </c>
      <c r="AG931">
        <v>-1.1183880546</v>
      </c>
      <c r="AH931">
        <v>18.397464923676399</v>
      </c>
      <c r="AI931">
        <v>93.143408979903597</v>
      </c>
      <c r="AJ931">
        <v>64.608553877098004</v>
      </c>
      <c r="AK931">
        <v>20.3953964008928</v>
      </c>
      <c r="AL931">
        <v>80.578335187675506</v>
      </c>
      <c r="AM931">
        <v>75.830388858574693</v>
      </c>
      <c r="AN931">
        <v>1.0000000274986001</v>
      </c>
    </row>
    <row r="932" spans="1:40" x14ac:dyDescent="0.25">
      <c r="A932" t="str">
        <f>"20190303162517433"</f>
        <v>20190303162517433</v>
      </c>
      <c r="B932" t="str">
        <f>"1551601517423749"</f>
        <v>1551601517423749</v>
      </c>
      <c r="C932" t="s">
        <v>40</v>
      </c>
      <c r="D932">
        <v>5.0208849999999998</v>
      </c>
      <c r="E932">
        <v>0.57991740000000003</v>
      </c>
      <c r="F932" t="s">
        <v>45</v>
      </c>
      <c r="G932">
        <v>-196.70609999999999</v>
      </c>
      <c r="H932" s="1">
        <v>-5.7565249999999999E-6</v>
      </c>
      <c r="I932">
        <v>357.8732</v>
      </c>
      <c r="J932">
        <v>-215.2046</v>
      </c>
      <c r="K932">
        <v>1.1183559999999999</v>
      </c>
      <c r="L932">
        <v>368.17509999999999</v>
      </c>
      <c r="M932">
        <v>0.99800840000000002</v>
      </c>
      <c r="N932">
        <v>-9.5316900000000006E-3</v>
      </c>
      <c r="O932">
        <v>-6.235632E-2</v>
      </c>
      <c r="P932">
        <v>0.93972469999999997</v>
      </c>
      <c r="Q932">
        <v>0.1580831</v>
      </c>
      <c r="R932">
        <v>-0.3031954</v>
      </c>
      <c r="S932">
        <v>2.7370299999999999</v>
      </c>
      <c r="T932">
        <v>-0.16300870000000001</v>
      </c>
      <c r="U932">
        <v>-1.5043949999999999</v>
      </c>
      <c r="V932">
        <v>0.2449289</v>
      </c>
      <c r="W932">
        <v>0.1658394</v>
      </c>
      <c r="X932">
        <v>0.9552524</v>
      </c>
      <c r="Y932">
        <v>0.42546489999999998</v>
      </c>
      <c r="Z932">
        <v>-1.1095829999999999E-2</v>
      </c>
      <c r="AA932">
        <v>0.90490689999999996</v>
      </c>
      <c r="AB932">
        <v>29</v>
      </c>
      <c r="AC932">
        <v>18.4985</v>
      </c>
      <c r="AD932">
        <v>-1.1183617565249999</v>
      </c>
      <c r="AE932">
        <v>-10.3018999999999</v>
      </c>
      <c r="AF932">
        <v>9.1029040696211307</v>
      </c>
      <c r="AG932">
        <v>-1.1183617565249999</v>
      </c>
      <c r="AH932">
        <v>19.051764915683702</v>
      </c>
      <c r="AI932">
        <v>93.031889690581494</v>
      </c>
      <c r="AJ932">
        <v>64.461600518781196</v>
      </c>
      <c r="AK932">
        <v>21.144345388818699</v>
      </c>
      <c r="AL932">
        <v>80.453999715427301</v>
      </c>
      <c r="AM932">
        <v>75.619033855920406</v>
      </c>
      <c r="AN932">
        <v>1.00000001017666</v>
      </c>
    </row>
    <row r="933" spans="1:40" x14ac:dyDescent="0.25">
      <c r="A933" t="str">
        <f>"20190303162517455"</f>
        <v>20190303162517455</v>
      </c>
      <c r="B933" t="str">
        <f>"1551601517444244"</f>
        <v>1551601517444244</v>
      </c>
      <c r="C933" t="s">
        <v>40</v>
      </c>
      <c r="D933">
        <v>4.9632779999999999</v>
      </c>
      <c r="E933">
        <v>0.5784203</v>
      </c>
      <c r="F933" t="s">
        <v>45</v>
      </c>
      <c r="G933">
        <v>-197.06229999999999</v>
      </c>
      <c r="H933" s="1">
        <v>-5.9084129999999998E-6</v>
      </c>
      <c r="I933">
        <v>358.16079999999999</v>
      </c>
      <c r="J933">
        <v>-214.90979999999999</v>
      </c>
      <c r="K933">
        <v>1.11832</v>
      </c>
      <c r="L933">
        <v>368.15350000000001</v>
      </c>
      <c r="M933">
        <v>0.99781569999999997</v>
      </c>
      <c r="N933">
        <v>-9.5385999999999995E-3</v>
      </c>
      <c r="O933">
        <v>-6.5368410000000002E-2</v>
      </c>
      <c r="P933">
        <v>0.93766930000000004</v>
      </c>
      <c r="Q933">
        <v>0.15910739999999901</v>
      </c>
      <c r="R933">
        <v>-0.30896760000000001</v>
      </c>
      <c r="S933">
        <v>2.7338710000000002</v>
      </c>
      <c r="T933">
        <v>-0.16852700000000001</v>
      </c>
      <c r="U933">
        <v>-1.509064</v>
      </c>
      <c r="V933">
        <v>0.24795600000000001</v>
      </c>
      <c r="W933">
        <v>0.1668202</v>
      </c>
      <c r="X933">
        <v>0.95430020000000004</v>
      </c>
      <c r="Y933">
        <v>0.4243267</v>
      </c>
      <c r="Z933">
        <v>-1.1204199999999999E-2</v>
      </c>
      <c r="AA933">
        <v>0.90543989999999996</v>
      </c>
      <c r="AB933">
        <v>29</v>
      </c>
      <c r="AC933">
        <v>17.847499999999901</v>
      </c>
      <c r="AD933">
        <v>-1.1183259084129999</v>
      </c>
      <c r="AE933">
        <v>-9.9927000000000099</v>
      </c>
      <c r="AF933">
        <v>8.7783694842226296</v>
      </c>
      <c r="AG933">
        <v>-1.1183259084129999</v>
      </c>
      <c r="AH933">
        <v>18.4075366078394</v>
      </c>
      <c r="AI933">
        <v>93.138797331187305</v>
      </c>
      <c r="AJ933">
        <v>64.503994152464898</v>
      </c>
      <c r="AK933">
        <v>20.424197110484101</v>
      </c>
      <c r="AL933">
        <v>80.397010199484995</v>
      </c>
      <c r="AM933">
        <v>75.4348976420669</v>
      </c>
      <c r="AN933">
        <v>1.00000001439204</v>
      </c>
    </row>
    <row r="934" spans="1:40" x14ac:dyDescent="0.25">
      <c r="A934" t="str">
        <f>"20190303162517480"</f>
        <v>20190303162517480</v>
      </c>
      <c r="B934" t="str">
        <f>"1551601517473525"</f>
        <v>1551601517473525</v>
      </c>
      <c r="C934" t="s">
        <v>40</v>
      </c>
      <c r="D934">
        <v>4.8653789999999999</v>
      </c>
      <c r="E934">
        <v>0.57671340000000004</v>
      </c>
      <c r="F934" t="s">
        <v>45</v>
      </c>
      <c r="G934">
        <v>-197.6969</v>
      </c>
      <c r="H934" s="1">
        <v>-6.1588320000000003E-6</v>
      </c>
      <c r="I934">
        <v>358.61279999999999</v>
      </c>
      <c r="J934">
        <v>-214.6078</v>
      </c>
      <c r="K934">
        <v>1.1182780000000001</v>
      </c>
      <c r="L934">
        <v>368.13040000000001</v>
      </c>
      <c r="M934">
        <v>0.99760479999999996</v>
      </c>
      <c r="N934">
        <v>-9.5458169999999998E-3</v>
      </c>
      <c r="O934">
        <v>-6.8511680000000005E-2</v>
      </c>
      <c r="P934">
        <v>0.93575660000000005</v>
      </c>
      <c r="Q934">
        <v>0.159278799999999</v>
      </c>
      <c r="R934">
        <v>-0.31462760000000001</v>
      </c>
      <c r="S934">
        <v>2.7307739999999998</v>
      </c>
      <c r="T934">
        <v>-0.1774194</v>
      </c>
      <c r="U934">
        <v>-1.513611</v>
      </c>
      <c r="V934">
        <v>0.25074109999999999</v>
      </c>
      <c r="W934">
        <v>0.16694719999999999</v>
      </c>
      <c r="X934">
        <v>0.95355000000000001</v>
      </c>
      <c r="Y934">
        <v>0.42300490000000002</v>
      </c>
      <c r="Z934">
        <v>-1.1451340000000001E-2</v>
      </c>
      <c r="AA934">
        <v>0.90605500000000005</v>
      </c>
      <c r="AB934">
        <v>29</v>
      </c>
      <c r="AC934">
        <v>16.910899999999899</v>
      </c>
      <c r="AD934">
        <v>-1.1182841588320001</v>
      </c>
      <c r="AE934">
        <v>-9.5176000000000105</v>
      </c>
      <c r="AF934">
        <v>8.3089938058554207</v>
      </c>
      <c r="AG934">
        <v>-1.1182841588320001</v>
      </c>
      <c r="AH934">
        <v>17.465255677962201</v>
      </c>
      <c r="AI934">
        <v>93.309119672235695</v>
      </c>
      <c r="AJ934">
        <v>64.5575026668173</v>
      </c>
      <c r="AK934">
        <v>19.373308788697599</v>
      </c>
      <c r="AL934">
        <v>80.389630338612804</v>
      </c>
      <c r="AM934">
        <v>75.267289584908895</v>
      </c>
      <c r="AN934">
        <v>1.0000000346585201</v>
      </c>
    </row>
    <row r="935" spans="1:40" x14ac:dyDescent="0.25">
      <c r="A935" t="str">
        <f>"20190303162517499"</f>
        <v>20190303162517499</v>
      </c>
      <c r="B935" t="str">
        <f>"1551601517494020"</f>
        <v>1551601517494020</v>
      </c>
      <c r="C935" t="s">
        <v>40</v>
      </c>
      <c r="D935">
        <v>4.7103120000000001</v>
      </c>
      <c r="E935">
        <v>0.57638290000000003</v>
      </c>
      <c r="F935" t="s">
        <v>45</v>
      </c>
      <c r="G935">
        <v>-198.16470000000001</v>
      </c>
      <c r="H935" s="1">
        <v>-6.3557620000000004E-6</v>
      </c>
      <c r="I935">
        <v>358.9828</v>
      </c>
      <c r="J935">
        <v>-214.33269999999999</v>
      </c>
      <c r="K935">
        <v>1.1182219999999901</v>
      </c>
      <c r="L935">
        <v>368.10849999999999</v>
      </c>
      <c r="M935">
        <v>0.99739889999999998</v>
      </c>
      <c r="N935">
        <v>-9.5528169999999999E-3</v>
      </c>
      <c r="O935">
        <v>-7.1444750000000001E-2</v>
      </c>
      <c r="P935">
        <v>0.9342454</v>
      </c>
      <c r="Q935">
        <v>0.15878310000000001</v>
      </c>
      <c r="R935">
        <v>-0.3193338</v>
      </c>
      <c r="S935">
        <v>2.7273559999999999</v>
      </c>
      <c r="T935">
        <v>-0.18548510000000001</v>
      </c>
      <c r="U935">
        <v>-1.5172730000000001</v>
      </c>
      <c r="V935">
        <v>0.25275199999999998</v>
      </c>
      <c r="W935">
        <v>0.16641020000000001</v>
      </c>
      <c r="X935">
        <v>0.95311279999999998</v>
      </c>
      <c r="Y935">
        <v>0.42169790000000001</v>
      </c>
      <c r="Z935">
        <v>-1.164978E-2</v>
      </c>
      <c r="AA935">
        <v>0.90666150000000001</v>
      </c>
      <c r="AB935">
        <v>29</v>
      </c>
      <c r="AC935">
        <v>16.1679999999999</v>
      </c>
      <c r="AD935">
        <v>-1.1182283557620001</v>
      </c>
      <c r="AE935">
        <v>-9.1256999999999895</v>
      </c>
      <c r="AF935">
        <v>7.9184798087171</v>
      </c>
      <c r="AG935">
        <v>-1.1182283557620001</v>
      </c>
      <c r="AH935">
        <v>16.718043429011502</v>
      </c>
      <c r="AI935">
        <v>93.4592978475184</v>
      </c>
      <c r="AJ935">
        <v>64.655485065560498</v>
      </c>
      <c r="AK935">
        <v>18.532288936637201</v>
      </c>
      <c r="AL935">
        <v>80.420834044491201</v>
      </c>
      <c r="AM935">
        <v>75.147825270682503</v>
      </c>
      <c r="AN935">
        <v>0.999999968845939</v>
      </c>
    </row>
    <row r="936" spans="1:40" x14ac:dyDescent="0.25">
      <c r="A936" t="str">
        <f>"20190303162517521"</f>
        <v>20190303162517521</v>
      </c>
      <c r="B936" t="str">
        <f>"1551601517513540"</f>
        <v>1551601517513540</v>
      </c>
      <c r="C936" t="s">
        <v>40</v>
      </c>
      <c r="D936">
        <v>4.6691229999999999</v>
      </c>
      <c r="E936">
        <v>0.57610859999999997</v>
      </c>
      <c r="F936" t="s">
        <v>45</v>
      </c>
      <c r="G936">
        <v>-197.17500000000001</v>
      </c>
      <c r="H936" s="1">
        <v>-6.0261230000000002E-6</v>
      </c>
      <c r="I936">
        <v>358.4599</v>
      </c>
      <c r="J936">
        <v>-214.04820000000001</v>
      </c>
      <c r="K936">
        <v>1.118158</v>
      </c>
      <c r="L936">
        <v>368.08479999999997</v>
      </c>
      <c r="M936">
        <v>0.99717239999999996</v>
      </c>
      <c r="N936">
        <v>-9.5603189999999994E-3</v>
      </c>
      <c r="O936">
        <v>-7.4538010000000002E-2</v>
      </c>
      <c r="P936">
        <v>0.93309549999999997</v>
      </c>
      <c r="Q936">
        <v>0.1580464</v>
      </c>
      <c r="R936">
        <v>-0.32303989999999999</v>
      </c>
      <c r="S936">
        <v>2.718674</v>
      </c>
      <c r="T936">
        <v>-0.17718539999999999</v>
      </c>
      <c r="U936">
        <v>-1.5288389999999901</v>
      </c>
      <c r="V936">
        <v>0.25358930000000002</v>
      </c>
      <c r="W936">
        <v>0.16564000000000001</v>
      </c>
      <c r="X936">
        <v>0.9530246</v>
      </c>
      <c r="Y936">
        <v>0.42311090000000001</v>
      </c>
      <c r="Z936">
        <v>-1.1165980000000001E-2</v>
      </c>
      <c r="AA936">
        <v>0.90600910000000001</v>
      </c>
      <c r="AB936">
        <v>29</v>
      </c>
      <c r="AC936">
        <v>16.873199999999901</v>
      </c>
      <c r="AD936">
        <v>-1.1181640261229999</v>
      </c>
      <c r="AE936">
        <v>-9.6248999999999594</v>
      </c>
      <c r="AF936">
        <v>8.3128268530531599</v>
      </c>
      <c r="AG936">
        <v>-1.1181640261229999</v>
      </c>
      <c r="AH936">
        <v>17.485773641716701</v>
      </c>
      <c r="AI936">
        <v>93.305324695443403</v>
      </c>
      <c r="AJ936">
        <v>64.573344794207998</v>
      </c>
      <c r="AK936">
        <v>19.393443761423899</v>
      </c>
      <c r="AL936">
        <v>80.465584770409805</v>
      </c>
      <c r="AM936">
        <v>75.099491282362393</v>
      </c>
      <c r="AN936">
        <v>1.0000000154398201</v>
      </c>
    </row>
    <row r="937" spans="1:40" x14ac:dyDescent="0.25">
      <c r="A937" t="str">
        <f>"20190303162517543"</f>
        <v>20190303162517543</v>
      </c>
      <c r="B937" t="str">
        <f>"1551601517534037"</f>
        <v>1551601517534037</v>
      </c>
      <c r="C937" t="s">
        <v>40</v>
      </c>
      <c r="D937">
        <v>4.6068490000000004</v>
      </c>
      <c r="E937">
        <v>0.57627220000000001</v>
      </c>
      <c r="F937" t="s">
        <v>45</v>
      </c>
      <c r="G937">
        <v>-196.23660000000001</v>
      </c>
      <c r="H937" s="1">
        <v>-5.7197730000000002E-6</v>
      </c>
      <c r="I937">
        <v>357.98250000000002</v>
      </c>
      <c r="J937">
        <v>-213.761</v>
      </c>
      <c r="K937">
        <v>1.118099</v>
      </c>
      <c r="L937">
        <v>368.06</v>
      </c>
      <c r="M937">
        <v>0.9969285</v>
      </c>
      <c r="N937">
        <v>-9.5679219999999995E-3</v>
      </c>
      <c r="O937">
        <v>-7.7730549999999995E-2</v>
      </c>
      <c r="P937">
        <v>0.93155290000000002</v>
      </c>
      <c r="Q937">
        <v>0.15844420000000001</v>
      </c>
      <c r="R937">
        <v>-0.32726889999999997</v>
      </c>
      <c r="S937">
        <v>2.7115170000000002</v>
      </c>
      <c r="T937">
        <v>-0.17022179999999901</v>
      </c>
      <c r="U937">
        <v>-1.537903</v>
      </c>
      <c r="V937">
        <v>0.25489450000000002</v>
      </c>
      <c r="W937">
        <v>0.16599639999999999</v>
      </c>
      <c r="X937">
        <v>0.95261430000000002</v>
      </c>
      <c r="Y937">
        <v>0.42357630000000002</v>
      </c>
      <c r="Z937">
        <v>-1.0715570000000001E-2</v>
      </c>
      <c r="AA937">
        <v>0.90579710000000002</v>
      </c>
      <c r="AB937">
        <v>29</v>
      </c>
      <c r="AC937">
        <v>17.524399999999901</v>
      </c>
      <c r="AD937">
        <v>-1.1181047197730001</v>
      </c>
      <c r="AE937">
        <v>-10.077499999999899</v>
      </c>
      <c r="AF937">
        <v>8.6582761127691406</v>
      </c>
      <c r="AG937">
        <v>-1.1181047197730001</v>
      </c>
      <c r="AH937">
        <v>18.199064995705299</v>
      </c>
      <c r="AI937">
        <v>93.175450133802897</v>
      </c>
      <c r="AJ937">
        <v>64.557048802138496</v>
      </c>
      <c r="AK937">
        <v>20.184693956739402</v>
      </c>
      <c r="AL937">
        <v>80.444877821709895</v>
      </c>
      <c r="AM937">
        <v>75.020076689597602</v>
      </c>
      <c r="AN937">
        <v>1.00000000775385</v>
      </c>
    </row>
    <row r="938" spans="1:40" x14ac:dyDescent="0.25">
      <c r="A938" t="str">
        <f>"20190303162517567"</f>
        <v>20190303162517567</v>
      </c>
      <c r="B938" t="str">
        <f>"1551601517553557"</f>
        <v>1551601517553557</v>
      </c>
      <c r="C938" t="s">
        <v>40</v>
      </c>
      <c r="D938">
        <v>4.5114380000000001</v>
      </c>
      <c r="E938">
        <v>0.57700719999999905</v>
      </c>
      <c r="F938" t="s">
        <v>45</v>
      </c>
      <c r="G938">
        <v>-195.0001</v>
      </c>
      <c r="H938" s="1">
        <v>-5.2931320000000002E-6</v>
      </c>
      <c r="I938">
        <v>357.28489999999999</v>
      </c>
      <c r="J938">
        <v>-213.46080000000001</v>
      </c>
      <c r="K938">
        <v>1.1180319999999999</v>
      </c>
      <c r="L938">
        <v>368.03300000000002</v>
      </c>
      <c r="M938">
        <v>0.99665490000000001</v>
      </c>
      <c r="N938">
        <v>-9.5763359999999995E-3</v>
      </c>
      <c r="O938">
        <v>-8.1161510000000006E-2</v>
      </c>
      <c r="P938">
        <v>0.92987810000000004</v>
      </c>
      <c r="Q938">
        <v>0.15920709999999999</v>
      </c>
      <c r="R938">
        <v>-0.33163209999999999</v>
      </c>
      <c r="S938">
        <v>2.7025299999999999</v>
      </c>
      <c r="T938">
        <v>-0.16106379999999901</v>
      </c>
      <c r="U938">
        <v>-1.552155</v>
      </c>
      <c r="V938">
        <v>0.25612740000000001</v>
      </c>
      <c r="W938">
        <v>0.1667111</v>
      </c>
      <c r="X938">
        <v>0.95215870000000002</v>
      </c>
      <c r="Y938">
        <v>0.42541069999999997</v>
      </c>
      <c r="Z938">
        <v>-1.021465E-2</v>
      </c>
      <c r="AA938">
        <v>0.90494280000000005</v>
      </c>
      <c r="AB938">
        <v>29</v>
      </c>
      <c r="AC938">
        <v>18.460699999999999</v>
      </c>
      <c r="AD938">
        <v>-1.118037293132</v>
      </c>
      <c r="AE938">
        <v>-10.748100000000001</v>
      </c>
      <c r="AF938">
        <v>9.1890993269276802</v>
      </c>
      <c r="AG938">
        <v>-1.118037293132</v>
      </c>
      <c r="AH938">
        <v>19.219515395263102</v>
      </c>
      <c r="AI938">
        <v>93.004238374741504</v>
      </c>
      <c r="AJ938">
        <v>64.446932406965402</v>
      </c>
      <c r="AK938">
        <v>21.332588353449601</v>
      </c>
      <c r="AL938">
        <v>80.403349933144298</v>
      </c>
      <c r="AM938">
        <v>74.944025658240093</v>
      </c>
      <c r="AN938">
        <v>1.0000000129398301</v>
      </c>
    </row>
    <row r="939" spans="1:40" x14ac:dyDescent="0.25">
      <c r="A939" t="str">
        <f>"20190303162517590"</f>
        <v>20190303162517590</v>
      </c>
      <c r="B939" t="str">
        <f>"1551601517583812"</f>
        <v>1551601517583812</v>
      </c>
      <c r="C939" t="s">
        <v>40</v>
      </c>
      <c r="D939">
        <v>4.4776049999999996</v>
      </c>
      <c r="E939">
        <v>0.57804739999999999</v>
      </c>
      <c r="F939" t="s">
        <v>45</v>
      </c>
      <c r="G939">
        <v>-194.0949</v>
      </c>
      <c r="H939" s="1">
        <v>-4.8561879999999999E-6</v>
      </c>
      <c r="I939">
        <v>356.72570000000002</v>
      </c>
      <c r="J939">
        <v>-213.15469999999999</v>
      </c>
      <c r="K939">
        <v>1.117939</v>
      </c>
      <c r="L939">
        <v>368.0043</v>
      </c>
      <c r="M939">
        <v>0.9963552</v>
      </c>
      <c r="N939">
        <v>-9.5856740000000006E-3</v>
      </c>
      <c r="O939">
        <v>-8.4762950000000004E-2</v>
      </c>
      <c r="P939">
        <v>0.92860600000000004</v>
      </c>
      <c r="Q939">
        <v>0.1580781</v>
      </c>
      <c r="R939">
        <v>-0.3357118</v>
      </c>
      <c r="S939">
        <v>2.6922299999999999</v>
      </c>
      <c r="T939">
        <v>-0.15542890000000001</v>
      </c>
      <c r="U939">
        <v>-1.5719299999999901</v>
      </c>
      <c r="V939">
        <v>0.2568781</v>
      </c>
      <c r="W939">
        <v>0.16553470000000001</v>
      </c>
      <c r="X939">
        <v>0.9521617</v>
      </c>
      <c r="Y939">
        <v>0.42863849999999998</v>
      </c>
      <c r="Z939">
        <v>-9.9219470000000004E-3</v>
      </c>
      <c r="AA939">
        <v>0.90342160000000005</v>
      </c>
      <c r="AB939">
        <v>29</v>
      </c>
      <c r="AC939">
        <v>19.059799999999999</v>
      </c>
      <c r="AD939">
        <v>-1.117943856188</v>
      </c>
      <c r="AE939">
        <v>-11.2785999999999</v>
      </c>
      <c r="AF939">
        <v>9.5979109730659395</v>
      </c>
      <c r="AG939">
        <v>-1.117943856188</v>
      </c>
      <c r="AH939">
        <v>19.896553055615801</v>
      </c>
      <c r="AI939">
        <v>92.897114158628</v>
      </c>
      <c r="AJ939">
        <v>64.247773584946003</v>
      </c>
      <c r="AK939">
        <v>22.118827206871199</v>
      </c>
      <c r="AL939">
        <v>80.471702312390093</v>
      </c>
      <c r="AM939">
        <v>74.901954438478</v>
      </c>
      <c r="AN939">
        <v>0.99999999905529402</v>
      </c>
    </row>
    <row r="940" spans="1:40" x14ac:dyDescent="0.25">
      <c r="A940" t="str">
        <f>"20190303162517612"</f>
        <v>20190303162517612</v>
      </c>
      <c r="B940" t="str">
        <f>"1551601517603332"</f>
        <v>1551601517603332</v>
      </c>
      <c r="C940" t="s">
        <v>40</v>
      </c>
      <c r="D940">
        <v>4.4330850000000002</v>
      </c>
      <c r="E940">
        <v>0.5786268</v>
      </c>
      <c r="F940" t="s">
        <v>45</v>
      </c>
      <c r="G940">
        <v>-193.8083</v>
      </c>
      <c r="H940" s="1">
        <v>-4.69333E-6</v>
      </c>
      <c r="I940">
        <v>356.51260000000002</v>
      </c>
      <c r="J940">
        <v>-212.863</v>
      </c>
      <c r="K940">
        <v>1.1178440000000001</v>
      </c>
      <c r="L940">
        <v>367.97579999999999</v>
      </c>
      <c r="M940">
        <v>0.99604769999999998</v>
      </c>
      <c r="N940">
        <v>-9.5952190000000003E-3</v>
      </c>
      <c r="O940">
        <v>-8.8300489999999995E-2</v>
      </c>
      <c r="P940">
        <v>0.92771510000000001</v>
      </c>
      <c r="Q940">
        <v>0.155581</v>
      </c>
      <c r="R940">
        <v>-0.33932200000000001</v>
      </c>
      <c r="S940">
        <v>2.681244</v>
      </c>
      <c r="T940">
        <v>-0.1549374</v>
      </c>
      <c r="U940">
        <v>-1.592651</v>
      </c>
      <c r="V940">
        <v>0.25718249999999998</v>
      </c>
      <c r="W940">
        <v>0.16299379999999999</v>
      </c>
      <c r="X940">
        <v>0.95251779999999997</v>
      </c>
      <c r="Y940">
        <v>0.43221579999999898</v>
      </c>
      <c r="Z940">
        <v>-9.8777259999999999E-3</v>
      </c>
      <c r="AA940">
        <v>0.90171610000000002</v>
      </c>
      <c r="AB940">
        <v>29</v>
      </c>
      <c r="AC940">
        <v>19.0547</v>
      </c>
      <c r="AD940">
        <v>-1.11784869332999</v>
      </c>
      <c r="AE940">
        <v>-11.463199999999899</v>
      </c>
      <c r="AF940">
        <v>9.7112618026589494</v>
      </c>
      <c r="AG940">
        <v>-1.11784869332999</v>
      </c>
      <c r="AH940">
        <v>19.942121515940801</v>
      </c>
      <c r="AI940">
        <v>92.885075856243404</v>
      </c>
      <c r="AJ940">
        <v>64.035198346849796</v>
      </c>
      <c r="AK940">
        <v>22.209151313310301</v>
      </c>
      <c r="AL940">
        <v>80.619289875995705</v>
      </c>
      <c r="AM940">
        <v>74.890273839192403</v>
      </c>
      <c r="AN940">
        <v>0.99999998823076497</v>
      </c>
    </row>
    <row r="941" spans="1:40" x14ac:dyDescent="0.25">
      <c r="A941" t="str">
        <f>"20190303162517634"</f>
        <v>20190303162517634</v>
      </c>
      <c r="B941" t="str">
        <f>"1551601517623829"</f>
        <v>1551601517623829</v>
      </c>
      <c r="C941" t="s">
        <v>40</v>
      </c>
      <c r="D941">
        <v>4.4506959999999998</v>
      </c>
      <c r="E941">
        <v>0.57916679999999998</v>
      </c>
      <c r="F941" t="s">
        <v>45</v>
      </c>
      <c r="G941">
        <v>-194.142</v>
      </c>
      <c r="H941" s="1">
        <v>-4.8599569999999999E-6</v>
      </c>
      <c r="I941">
        <v>356.71140000000003</v>
      </c>
      <c r="J941">
        <v>-212.5813</v>
      </c>
      <c r="K941">
        <v>1.1177429999999999</v>
      </c>
      <c r="L941">
        <v>367.94720000000001</v>
      </c>
      <c r="M941">
        <v>0.99572959999999999</v>
      </c>
      <c r="N941">
        <v>-9.6046529999999995E-3</v>
      </c>
      <c r="O941">
        <v>-9.1817239999999994E-2</v>
      </c>
      <c r="P941">
        <v>0.92656879999999997</v>
      </c>
      <c r="Q941">
        <v>0.15395500000000001</v>
      </c>
      <c r="R941">
        <v>-0.34317399999999998</v>
      </c>
      <c r="S941">
        <v>2.6723479999999999</v>
      </c>
      <c r="T941">
        <v>-0.15956870000000001</v>
      </c>
      <c r="U941">
        <v>-1.6079410000000001</v>
      </c>
      <c r="V941">
        <v>0.25777660000000002</v>
      </c>
      <c r="W941">
        <v>0.16131819999999999</v>
      </c>
      <c r="X941">
        <v>0.9526424</v>
      </c>
      <c r="Y941">
        <v>0.43411480000000002</v>
      </c>
      <c r="Z941">
        <v>-1.0001609999999999E-2</v>
      </c>
      <c r="AA941">
        <v>0.90080199999999999</v>
      </c>
      <c r="AB941">
        <v>29</v>
      </c>
      <c r="AC941">
        <v>18.439299999999999</v>
      </c>
      <c r="AD941">
        <v>-1.1177478599570001</v>
      </c>
      <c r="AE941">
        <v>-11.2357999999999</v>
      </c>
      <c r="AF941">
        <v>9.4698352950624702</v>
      </c>
      <c r="AG941">
        <v>-1.1177478599570001</v>
      </c>
      <c r="AH941">
        <v>19.341263986746299</v>
      </c>
      <c r="AI941">
        <v>92.971181855689196</v>
      </c>
      <c r="AJ941">
        <v>63.912787742502999</v>
      </c>
      <c r="AK941">
        <v>21.564128394142401</v>
      </c>
      <c r="AL941">
        <v>80.716581896197994</v>
      </c>
      <c r="AM941">
        <v>74.8588607011025</v>
      </c>
      <c r="AN941">
        <v>0.99999993971827805</v>
      </c>
    </row>
    <row r="942" spans="1:40" x14ac:dyDescent="0.25">
      <c r="A942" t="str">
        <f>"20190303162517656"</f>
        <v>20190303162517656</v>
      </c>
      <c r="B942" t="str">
        <f>"1551601517643348"</f>
        <v>1551601517643348</v>
      </c>
      <c r="C942" t="s">
        <v>40</v>
      </c>
      <c r="D942">
        <v>4.4174819999999997</v>
      </c>
      <c r="E942">
        <v>0.57966909999999905</v>
      </c>
      <c r="F942" t="s">
        <v>45</v>
      </c>
      <c r="G942">
        <v>-194.15620000000001</v>
      </c>
      <c r="H942" s="1">
        <v>-4.8656929999999999E-6</v>
      </c>
      <c r="I942">
        <v>356.71699999999998</v>
      </c>
      <c r="J942">
        <v>-212.2876</v>
      </c>
      <c r="K942">
        <v>1.117645</v>
      </c>
      <c r="L942">
        <v>367.91629999999998</v>
      </c>
      <c r="M942">
        <v>0.99537439999999999</v>
      </c>
      <c r="N942">
        <v>-9.6147139999999999E-3</v>
      </c>
      <c r="O942">
        <v>-9.5589019999999997E-2</v>
      </c>
      <c r="P942">
        <v>0.92519300000000004</v>
      </c>
      <c r="Q942">
        <v>0.15270710000000001</v>
      </c>
      <c r="R942">
        <v>-0.34741640000000001</v>
      </c>
      <c r="S942">
        <v>2.6633450000000001</v>
      </c>
      <c r="T942">
        <v>-0.1615703</v>
      </c>
      <c r="U942">
        <v>-1.6233219999999999</v>
      </c>
      <c r="V942">
        <v>0.25854270000000001</v>
      </c>
      <c r="W942">
        <v>0.1600155</v>
      </c>
      <c r="X942">
        <v>0.95265449999999996</v>
      </c>
      <c r="Y942">
        <v>0.43583529999999998</v>
      </c>
      <c r="Z942">
        <v>-9.9885779999999997E-3</v>
      </c>
      <c r="AA942">
        <v>0.89997099999999997</v>
      </c>
      <c r="AB942">
        <v>29</v>
      </c>
      <c r="AC942">
        <v>18.1313999999999</v>
      </c>
      <c r="AD942">
        <v>-1.1176498656930001</v>
      </c>
      <c r="AE942">
        <v>-11.1992999999999</v>
      </c>
      <c r="AF942">
        <v>9.3889463258810206</v>
      </c>
      <c r="AG942">
        <v>-1.1176498656930001</v>
      </c>
      <c r="AH942">
        <v>19.066506235579201</v>
      </c>
      <c r="AI942">
        <v>93.010309790451004</v>
      </c>
      <c r="AJ942">
        <v>63.782917159538599</v>
      </c>
      <c r="AK942">
        <v>21.282225315129502</v>
      </c>
      <c r="AL942">
        <v>80.792203565277802</v>
      </c>
      <c r="AM942">
        <v>74.816120528201395</v>
      </c>
      <c r="AN942">
        <v>0.99999994216689303</v>
      </c>
    </row>
    <row r="943" spans="1:40" x14ac:dyDescent="0.25">
      <c r="A943" t="str">
        <f>"20190303162517679"</f>
        <v>20190303162517679</v>
      </c>
      <c r="B943" t="str">
        <f>"1551601517673605"</f>
        <v>1551601517673605</v>
      </c>
      <c r="C943" t="s">
        <v>40</v>
      </c>
      <c r="D943">
        <v>4.4170829999999999</v>
      </c>
      <c r="E943">
        <v>0.58033869999999999</v>
      </c>
      <c r="F943" t="s">
        <v>45</v>
      </c>
      <c r="G943">
        <v>-194.10550000000001</v>
      </c>
      <c r="H943" s="1">
        <v>-4.8371650000000001E-6</v>
      </c>
      <c r="I943">
        <v>356.67989999999998</v>
      </c>
      <c r="J943">
        <v>-211.9855</v>
      </c>
      <c r="K943">
        <v>1.117543</v>
      </c>
      <c r="L943">
        <v>367.88310000000001</v>
      </c>
      <c r="M943">
        <v>0.99498279999999995</v>
      </c>
      <c r="N943">
        <v>-9.6252049999999995E-3</v>
      </c>
      <c r="O943">
        <v>-9.9581740000000002E-2</v>
      </c>
      <c r="P943">
        <v>0.92360779999999998</v>
      </c>
      <c r="Q943">
        <v>0.1495677</v>
      </c>
      <c r="R943">
        <v>-0.3529562</v>
      </c>
      <c r="S943">
        <v>2.6536870000000001</v>
      </c>
      <c r="T943">
        <v>-0.16312119999999999</v>
      </c>
      <c r="U943">
        <v>-1.6399539999999999</v>
      </c>
      <c r="V943">
        <v>0.26039639999999997</v>
      </c>
      <c r="W943">
        <v>0.15681249999999999</v>
      </c>
      <c r="X943">
        <v>0.95268229999999998</v>
      </c>
      <c r="Y943">
        <v>0.43776130000000002</v>
      </c>
      <c r="Z943">
        <v>-9.9504659999999998E-3</v>
      </c>
      <c r="AA943">
        <v>0.89903619999999995</v>
      </c>
      <c r="AB943">
        <v>29</v>
      </c>
      <c r="AC943">
        <v>17.8799999999999</v>
      </c>
      <c r="AD943">
        <v>-1.1175478371650001</v>
      </c>
      <c r="AE943">
        <v>-11.203200000000001</v>
      </c>
      <c r="AF943">
        <v>9.3407010061497893</v>
      </c>
      <c r="AG943">
        <v>-1.1175478371650001</v>
      </c>
      <c r="AH943">
        <v>18.8539131209494</v>
      </c>
      <c r="AI943">
        <v>93.040303362566505</v>
      </c>
      <c r="AJ943">
        <v>63.645032214000501</v>
      </c>
      <c r="AK943">
        <v>21.0705398228652</v>
      </c>
      <c r="AL943">
        <v>80.978069580376498</v>
      </c>
      <c r="AM943">
        <v>74.712757446494805</v>
      </c>
      <c r="AN943">
        <v>1.0000000050112401</v>
      </c>
    </row>
    <row r="944" spans="1:40" x14ac:dyDescent="0.25">
      <c r="A944" t="str">
        <f>"20190303162517700"</f>
        <v>20190303162517700</v>
      </c>
      <c r="B944" t="str">
        <f>"1551601517693125"</f>
        <v>1551601517693125</v>
      </c>
      <c r="C944" t="s">
        <v>40</v>
      </c>
      <c r="D944">
        <v>4.437176</v>
      </c>
      <c r="E944">
        <v>0.58069090000000001</v>
      </c>
      <c r="F944" t="s">
        <v>45</v>
      </c>
      <c r="G944">
        <v>-194.5204</v>
      </c>
      <c r="H944" s="1">
        <v>-5.0319799999999997E-6</v>
      </c>
      <c r="I944">
        <v>356.9006</v>
      </c>
      <c r="J944">
        <v>-211.6961</v>
      </c>
      <c r="K944">
        <v>1.117435</v>
      </c>
      <c r="L944">
        <v>367.85</v>
      </c>
      <c r="M944">
        <v>0.9945813</v>
      </c>
      <c r="N944">
        <v>-9.6352769999999994E-3</v>
      </c>
      <c r="O944">
        <v>-0.1035146</v>
      </c>
      <c r="P944">
        <v>0.92208109999999999</v>
      </c>
      <c r="Q944">
        <v>0.14564469999999999</v>
      </c>
      <c r="R944">
        <v>-0.35854429999999998</v>
      </c>
      <c r="S944">
        <v>2.6408689999999999</v>
      </c>
      <c r="T944">
        <v>-0.16898250000000001</v>
      </c>
      <c r="U944">
        <v>-1.6606449999999999</v>
      </c>
      <c r="V944">
        <v>0.2623412</v>
      </c>
      <c r="W944">
        <v>0.15283039999999901</v>
      </c>
      <c r="X944">
        <v>0.95279590000000003</v>
      </c>
      <c r="Y944">
        <v>0.44117650000000003</v>
      </c>
      <c r="Z944">
        <v>-1.0143279999999999E-2</v>
      </c>
      <c r="AA944">
        <v>0.89736309999999997</v>
      </c>
      <c r="AB944">
        <v>30</v>
      </c>
      <c r="AC944">
        <v>17.175699999999999</v>
      </c>
      <c r="AD944">
        <v>-1.11744003198</v>
      </c>
      <c r="AE944">
        <v>-10.949400000000001</v>
      </c>
      <c r="AF944">
        <v>9.08521243326466</v>
      </c>
      <c r="AG944">
        <v>-1.11744003198</v>
      </c>
      <c r="AH944">
        <v>18.162236383423799</v>
      </c>
      <c r="AI944">
        <v>93.149529082582802</v>
      </c>
      <c r="AJ944">
        <v>63.424616984781998</v>
      </c>
      <c r="AK944">
        <v>20.338549300035599</v>
      </c>
      <c r="AL944">
        <v>81.209012099412007</v>
      </c>
      <c r="AM944">
        <v>74.605730126056997</v>
      </c>
      <c r="AN944">
        <v>1.0000000317191999</v>
      </c>
    </row>
    <row r="945" spans="1:40" x14ac:dyDescent="0.25">
      <c r="A945" t="str">
        <f>"20190303162517723"</f>
        <v>20190303162517723</v>
      </c>
      <c r="B945" t="str">
        <f>"1551601517713620"</f>
        <v>1551601517713620</v>
      </c>
      <c r="C945" t="s">
        <v>40</v>
      </c>
      <c r="D945">
        <v>4.4343309999999896</v>
      </c>
      <c r="E945">
        <v>0.58108769999999998</v>
      </c>
      <c r="F945" t="s">
        <v>45</v>
      </c>
      <c r="G945">
        <v>-195.21260000000001</v>
      </c>
      <c r="H945" s="1">
        <v>-5.3376829999999999E-6</v>
      </c>
      <c r="I945">
        <v>357.31889999999999</v>
      </c>
      <c r="J945">
        <v>-211.392</v>
      </c>
      <c r="K945">
        <v>1.117327</v>
      </c>
      <c r="L945">
        <v>367.81389999999999</v>
      </c>
      <c r="M945">
        <v>0.99413300000000004</v>
      </c>
      <c r="N945">
        <v>-9.6454369999999998E-3</v>
      </c>
      <c r="O945">
        <v>-0.1077331</v>
      </c>
      <c r="P945">
        <v>0.92013219999999996</v>
      </c>
      <c r="Q945">
        <v>0.14236559999999901</v>
      </c>
      <c r="R945">
        <v>-0.36481340000000001</v>
      </c>
      <c r="S945">
        <v>2.6286160000000001</v>
      </c>
      <c r="T945">
        <v>-0.17819679999999999</v>
      </c>
      <c r="U945">
        <v>-1.6793819999999999</v>
      </c>
      <c r="V945">
        <v>0.264737099999999</v>
      </c>
      <c r="W945">
        <v>0.14948939999999999</v>
      </c>
      <c r="X945">
        <v>0.95266320000000004</v>
      </c>
      <c r="Y945">
        <v>0.44374269999999999</v>
      </c>
      <c r="Z945">
        <v>-1.041718E-2</v>
      </c>
      <c r="AA945">
        <v>0.89609369999999999</v>
      </c>
      <c r="AB945">
        <v>30</v>
      </c>
      <c r="AC945">
        <v>16.179399999999902</v>
      </c>
      <c r="AD945">
        <v>-1.117332337683</v>
      </c>
      <c r="AE945">
        <v>-10.494999999999999</v>
      </c>
      <c r="AF945">
        <v>8.6616986729369199</v>
      </c>
      <c r="AG945">
        <v>-1.117332337683</v>
      </c>
      <c r="AH945">
        <v>17.1583401964246</v>
      </c>
      <c r="AI945">
        <v>93.326965347941893</v>
      </c>
      <c r="AJ945">
        <v>63.214907217047603</v>
      </c>
      <c r="AK945">
        <v>19.2531060805739</v>
      </c>
      <c r="AL945">
        <v>81.402662226983296</v>
      </c>
      <c r="AM945">
        <v>74.469834857303496</v>
      </c>
      <c r="AN945">
        <v>0.99999999273150497</v>
      </c>
    </row>
    <row r="946" spans="1:40" x14ac:dyDescent="0.25">
      <c r="A946" t="str">
        <f>"20190303162517744"</f>
        <v>20190303162517744</v>
      </c>
      <c r="B946" t="str">
        <f>"1551601517733141"</f>
        <v>1551601517733141</v>
      </c>
      <c r="C946" t="s">
        <v>40</v>
      </c>
      <c r="D946">
        <v>4.4272879999999999</v>
      </c>
      <c r="E946">
        <v>0.5814222</v>
      </c>
      <c r="F946" t="s">
        <v>45</v>
      </c>
      <c r="G946">
        <v>-195.7115</v>
      </c>
      <c r="H946" s="1">
        <v>-5.517857E-6</v>
      </c>
      <c r="I946">
        <v>357.62430000000001</v>
      </c>
      <c r="J946">
        <v>-211.10929999999999</v>
      </c>
      <c r="K946">
        <v>1.1172489999999999</v>
      </c>
      <c r="L946">
        <v>367.77910000000003</v>
      </c>
      <c r="M946">
        <v>0.99369169999999996</v>
      </c>
      <c r="N946">
        <v>-9.6545899999999994E-3</v>
      </c>
      <c r="O946">
        <v>-0.1117301</v>
      </c>
      <c r="P946">
        <v>0.91753209999999996</v>
      </c>
      <c r="Q946">
        <v>0.14047200000000001</v>
      </c>
      <c r="R946">
        <v>-0.3720251</v>
      </c>
      <c r="S946">
        <v>2.615402</v>
      </c>
      <c r="T946">
        <v>-0.1863639</v>
      </c>
      <c r="U946">
        <v>-1.699554</v>
      </c>
      <c r="V946">
        <v>0.26836549999999998</v>
      </c>
      <c r="W946">
        <v>0.14752399999999999</v>
      </c>
      <c r="X946">
        <v>0.95195410000000003</v>
      </c>
      <c r="Y946">
        <v>0.44700230000000002</v>
      </c>
      <c r="Z946">
        <v>-1.067246E-2</v>
      </c>
      <c r="AA946">
        <v>0.89446909999999902</v>
      </c>
      <c r="AB946">
        <v>30</v>
      </c>
      <c r="AC946">
        <v>15.397799999999901</v>
      </c>
      <c r="AD946">
        <v>-1.1172545178569999</v>
      </c>
      <c r="AE946">
        <v>-10.1548</v>
      </c>
      <c r="AF946">
        <v>8.3401323721110199</v>
      </c>
      <c r="AG946">
        <v>-1.1172545178569999</v>
      </c>
      <c r="AH946">
        <v>16.375944475147499</v>
      </c>
      <c r="AI946">
        <v>93.479013707224198</v>
      </c>
      <c r="AJ946">
        <v>63.010634133196803</v>
      </c>
      <c r="AK946">
        <v>18.4113449561709</v>
      </c>
      <c r="AL946">
        <v>81.516534031136302</v>
      </c>
      <c r="AM946">
        <v>74.256318290593001</v>
      </c>
      <c r="AN946">
        <v>0.99999999033652998</v>
      </c>
    </row>
    <row r="947" spans="1:40" x14ac:dyDescent="0.25">
      <c r="A947" t="str">
        <f>"20190303162517769"</f>
        <v>20190303162517769</v>
      </c>
      <c r="B947" t="str">
        <f>"1551601517753637"</f>
        <v>1551601517753637</v>
      </c>
      <c r="C947" t="s">
        <v>40</v>
      </c>
      <c r="D947">
        <v>4.4268679999999998</v>
      </c>
      <c r="E947">
        <v>0.58172760000000001</v>
      </c>
      <c r="F947" t="s">
        <v>45</v>
      </c>
      <c r="G947">
        <v>-195.90110000000001</v>
      </c>
      <c r="H947" s="1">
        <v>-5.5779959999999997E-6</v>
      </c>
      <c r="I947">
        <v>357.71550000000002</v>
      </c>
      <c r="J947">
        <v>-210.791</v>
      </c>
      <c r="K947">
        <v>1.117156</v>
      </c>
      <c r="L947">
        <v>367.73849999999999</v>
      </c>
      <c r="M947">
        <v>0.9931624</v>
      </c>
      <c r="N947">
        <v>-9.6654440000000005E-3</v>
      </c>
      <c r="O947">
        <v>-0.1163402</v>
      </c>
      <c r="P947">
        <v>0.91402629999999996</v>
      </c>
      <c r="Q947">
        <v>0.14019289999999901</v>
      </c>
      <c r="R947">
        <v>-0.3806601</v>
      </c>
      <c r="S947">
        <v>2.6010439999999999</v>
      </c>
      <c r="T947">
        <v>-0.19108249999999999</v>
      </c>
      <c r="U947">
        <v>-1.7211609999999999</v>
      </c>
      <c r="V947">
        <v>0.2729509</v>
      </c>
      <c r="W947">
        <v>0.14715</v>
      </c>
      <c r="X947">
        <v>0.95070739999999998</v>
      </c>
      <c r="Y947">
        <v>0.45025130000000002</v>
      </c>
      <c r="Z947">
        <v>-1.0750569999999999E-2</v>
      </c>
      <c r="AA947">
        <v>0.892837199999999</v>
      </c>
      <c r="AB947">
        <v>30</v>
      </c>
      <c r="AC947">
        <v>14.8898999999999</v>
      </c>
      <c r="AD947">
        <v>-1.117161577996</v>
      </c>
      <c r="AE947">
        <v>-10.0229999999999</v>
      </c>
      <c r="AF947">
        <v>8.19082644871105</v>
      </c>
      <c r="AG947">
        <v>-1.117161577996</v>
      </c>
      <c r="AH947">
        <v>15.893342725333</v>
      </c>
      <c r="AI947">
        <v>93.575289933950401</v>
      </c>
      <c r="AJ947">
        <v>62.735137370613302</v>
      </c>
      <c r="AK947">
        <v>17.914687574422</v>
      </c>
      <c r="AL947">
        <v>81.538198654954201</v>
      </c>
      <c r="AM947">
        <v>73.981071336841794</v>
      </c>
      <c r="AN947">
        <v>0.999999938362783</v>
      </c>
    </row>
    <row r="948" spans="1:40" x14ac:dyDescent="0.25">
      <c r="A948" t="str">
        <f>"20190303162517791"</f>
        <v>20190303162517791</v>
      </c>
      <c r="B948" t="str">
        <f>"1551601517783892"</f>
        <v>1551601517783892</v>
      </c>
      <c r="C948" t="s">
        <v>40</v>
      </c>
      <c r="D948">
        <v>4.6258400000000002</v>
      </c>
      <c r="E948">
        <v>0.58210600000000001</v>
      </c>
      <c r="F948" t="s">
        <v>45</v>
      </c>
      <c r="G948">
        <v>-195.56399999999999</v>
      </c>
      <c r="H948" s="1">
        <v>-5.43217499999999E-6</v>
      </c>
      <c r="I948">
        <v>357.43720000000002</v>
      </c>
      <c r="J948">
        <v>-210.49680000000001</v>
      </c>
      <c r="K948">
        <v>1.1170610000000001</v>
      </c>
      <c r="L948">
        <v>367.6995</v>
      </c>
      <c r="M948">
        <v>0.99264010000000003</v>
      </c>
      <c r="N948">
        <v>-9.6767929999999995E-3</v>
      </c>
      <c r="O948">
        <v>-0.12071469999999999</v>
      </c>
      <c r="P948">
        <v>0.91081509999999999</v>
      </c>
      <c r="Q948">
        <v>0.13831669999999999</v>
      </c>
      <c r="R948">
        <v>-0.3889534</v>
      </c>
      <c r="S948">
        <v>2.583405</v>
      </c>
      <c r="T948">
        <v>-0.1895375</v>
      </c>
      <c r="U948">
        <v>-1.747711</v>
      </c>
      <c r="V948">
        <v>0.27739150000000001</v>
      </c>
      <c r="W948">
        <v>0.145175</v>
      </c>
      <c r="X948">
        <v>0.94972529999999999</v>
      </c>
      <c r="Y948">
        <v>0.45543939999999999</v>
      </c>
      <c r="Z948">
        <v>-1.067803E-2</v>
      </c>
      <c r="AA948">
        <v>0.89020279999999996</v>
      </c>
      <c r="AB948">
        <v>30</v>
      </c>
      <c r="AC948">
        <v>14.932799999999901</v>
      </c>
      <c r="AD948">
        <v>-1.1170664321749999</v>
      </c>
      <c r="AE948">
        <v>-10.2622999999999</v>
      </c>
      <c r="AF948">
        <v>8.3528064924940892</v>
      </c>
      <c r="AG948">
        <v>-1.1170664321749999</v>
      </c>
      <c r="AH948">
        <v>16.001638129525201</v>
      </c>
      <c r="AI948">
        <v>93.541262010803706</v>
      </c>
      <c r="AJ948">
        <v>62.435577851813903</v>
      </c>
      <c r="AK948">
        <v>18.0850666723465</v>
      </c>
      <c r="AL948">
        <v>81.652586695562604</v>
      </c>
      <c r="AM948">
        <v>73.718209262733595</v>
      </c>
      <c r="AN948">
        <v>0.99999998517866995</v>
      </c>
    </row>
    <row r="949" spans="1:40" x14ac:dyDescent="0.25">
      <c r="A949" t="str">
        <f>"20190303162517814"</f>
        <v>20190303162517814</v>
      </c>
      <c r="B949" t="str">
        <f>"1551601517803414"</f>
        <v>1551601517803414</v>
      </c>
      <c r="C949" t="s">
        <v>40</v>
      </c>
      <c r="D949">
        <v>4.6535760000000002</v>
      </c>
      <c r="E949">
        <v>0.58287670000000003</v>
      </c>
      <c r="F949" t="s">
        <v>45</v>
      </c>
      <c r="G949">
        <v>-195.62719999999999</v>
      </c>
      <c r="H949" s="1">
        <v>-5.4356759999999997E-6</v>
      </c>
      <c r="I949">
        <v>357.41820000000001</v>
      </c>
      <c r="J949">
        <v>-210.19829999999999</v>
      </c>
      <c r="K949">
        <v>1.116927</v>
      </c>
      <c r="L949">
        <v>367.6585</v>
      </c>
      <c r="M949">
        <v>0.99207250000000002</v>
      </c>
      <c r="N949">
        <v>-9.6900609999999998E-3</v>
      </c>
      <c r="O949">
        <v>-0.12529289999999901</v>
      </c>
      <c r="P949">
        <v>0.90682490000000004</v>
      </c>
      <c r="Q949">
        <v>0.136851</v>
      </c>
      <c r="R949">
        <v>-0.39867360000000002</v>
      </c>
      <c r="S949">
        <v>2.5655359999999998</v>
      </c>
      <c r="T949">
        <v>-0.1927335</v>
      </c>
      <c r="U949">
        <v>-1.773895</v>
      </c>
      <c r="V949">
        <v>0.28317310000000001</v>
      </c>
      <c r="W949">
        <v>0.14357779999999901</v>
      </c>
      <c r="X949">
        <v>0.94826069999999996</v>
      </c>
      <c r="Y949">
        <v>0.46034259999999999</v>
      </c>
      <c r="Z949">
        <v>-1.076277E-2</v>
      </c>
      <c r="AA949">
        <v>0.88767609999999997</v>
      </c>
      <c r="AB949">
        <v>30</v>
      </c>
      <c r="AC949">
        <v>14.571099999999999</v>
      </c>
      <c r="AD949">
        <v>-1.116932435676</v>
      </c>
      <c r="AE949">
        <v>-10.2402999999999</v>
      </c>
      <c r="AF949">
        <v>8.3012053190274298</v>
      </c>
      <c r="AG949">
        <v>-1.116932435676</v>
      </c>
      <c r="AH949">
        <v>15.6776993555782</v>
      </c>
      <c r="AI949">
        <v>93.602699879785007</v>
      </c>
      <c r="AJ949">
        <v>62.099169938629402</v>
      </c>
      <c r="AK949">
        <v>17.774920672070898</v>
      </c>
      <c r="AL949">
        <v>81.7450683647684</v>
      </c>
      <c r="AM949">
        <v>73.3731293054487</v>
      </c>
      <c r="AN949">
        <v>0.99999997219046899</v>
      </c>
    </row>
    <row r="950" spans="1:40" x14ac:dyDescent="0.25">
      <c r="A950" t="str">
        <f>"20190303162517834"</f>
        <v>20190303162517834</v>
      </c>
      <c r="B950" t="str">
        <f>"1551601517823908"</f>
        <v>1551601517823908</v>
      </c>
      <c r="C950" t="s">
        <v>40</v>
      </c>
      <c r="D950">
        <v>4.318365</v>
      </c>
      <c r="E950">
        <v>0.58404730000000005</v>
      </c>
      <c r="F950" t="s">
        <v>45</v>
      </c>
      <c r="G950">
        <v>-196.08519999999999</v>
      </c>
      <c r="H950" s="1">
        <v>-5.5800839999999997E-6</v>
      </c>
      <c r="I950">
        <v>357.63589999999999</v>
      </c>
      <c r="J950">
        <v>-209.92060000000001</v>
      </c>
      <c r="K950">
        <v>1.116787</v>
      </c>
      <c r="L950">
        <v>367.61900000000003</v>
      </c>
      <c r="M950">
        <v>0.99150380000000005</v>
      </c>
      <c r="N950">
        <v>-9.7045949999999999E-3</v>
      </c>
      <c r="O950">
        <v>-0.12971640000000001</v>
      </c>
      <c r="P950">
        <v>0.90206989999999998</v>
      </c>
      <c r="Q950">
        <v>0.13642509999999999</v>
      </c>
      <c r="R950">
        <v>-0.40946090000000002</v>
      </c>
      <c r="S950">
        <v>2.5442659999999999</v>
      </c>
      <c r="T950">
        <v>-0.2013568</v>
      </c>
      <c r="U950">
        <v>-1.806854</v>
      </c>
      <c r="V950">
        <v>0.29029149999999998</v>
      </c>
      <c r="W950">
        <v>0.14298640000000001</v>
      </c>
      <c r="X950">
        <v>0.94619540000000002</v>
      </c>
      <c r="Y950">
        <v>0.46744259999999899</v>
      </c>
      <c r="Z950">
        <v>-1.114646E-2</v>
      </c>
      <c r="AA950">
        <v>0.883953199999999</v>
      </c>
      <c r="AB950">
        <v>30</v>
      </c>
      <c r="AC950">
        <v>13.8354</v>
      </c>
      <c r="AD950">
        <v>-1.116792580084</v>
      </c>
      <c r="AE950">
        <v>-9.9831000000000305</v>
      </c>
      <c r="AF950">
        <v>8.0694077769286192</v>
      </c>
      <c r="AG950">
        <v>-1.116792580084</v>
      </c>
      <c r="AH950">
        <v>14.949472460372601</v>
      </c>
      <c r="AI950">
        <v>93.761152854838201</v>
      </c>
      <c r="AJ950">
        <v>61.640768683413398</v>
      </c>
      <c r="AK950">
        <v>17.0249609215623</v>
      </c>
      <c r="AL950">
        <v>81.779306594174898</v>
      </c>
      <c r="AM950">
        <v>72.944055650122607</v>
      </c>
      <c r="AN950">
        <v>1.00000000026918</v>
      </c>
    </row>
    <row r="951" spans="1:40" x14ac:dyDescent="0.25">
      <c r="A951" t="str">
        <f>"20190303162517859"</f>
        <v>20190303162517859</v>
      </c>
      <c r="B951" t="str">
        <f>"1551601517853189"</f>
        <v>1551601517853189</v>
      </c>
      <c r="C951" t="s">
        <v>40</v>
      </c>
      <c r="D951">
        <v>4.2792219999999999</v>
      </c>
      <c r="E951">
        <v>0.58666770000000001</v>
      </c>
      <c r="F951" t="s">
        <v>45</v>
      </c>
      <c r="G951">
        <v>-196.3887</v>
      </c>
      <c r="H951" s="1">
        <v>-5.6524429999999996E-6</v>
      </c>
      <c r="I951">
        <v>357.71039999999999</v>
      </c>
      <c r="J951">
        <v>-209.59739999999999</v>
      </c>
      <c r="K951">
        <v>1.1165909999999999</v>
      </c>
      <c r="L951">
        <v>367.5711</v>
      </c>
      <c r="M951">
        <v>0.99078350000000004</v>
      </c>
      <c r="N951">
        <v>-9.7245390000000008E-3</v>
      </c>
      <c r="O951">
        <v>-0.13510649999999999</v>
      </c>
      <c r="P951">
        <v>0.89666000000000001</v>
      </c>
      <c r="Q951">
        <v>0.13689560000000001</v>
      </c>
      <c r="R951">
        <v>-0.4210238</v>
      </c>
      <c r="S951">
        <v>2.5196689999999999</v>
      </c>
      <c r="T951">
        <v>-0.20794940000000001</v>
      </c>
      <c r="U951">
        <v>-1.8450009999999999</v>
      </c>
      <c r="V951">
        <v>0.2973943</v>
      </c>
      <c r="W951">
        <v>0.14324890000000001</v>
      </c>
      <c r="X951">
        <v>0.94394730000000004</v>
      </c>
      <c r="Y951">
        <v>0.475385</v>
      </c>
      <c r="Z951">
        <v>-1.143513E-2</v>
      </c>
      <c r="AA951">
        <v>0.87970360000000003</v>
      </c>
      <c r="AB951">
        <v>30</v>
      </c>
      <c r="AC951">
        <v>13.208699999999901</v>
      </c>
      <c r="AD951">
        <v>-1.116596652443</v>
      </c>
      <c r="AE951">
        <v>-9.8606999999999996</v>
      </c>
      <c r="AF951">
        <v>7.94913721962822</v>
      </c>
      <c r="AG951">
        <v>-1.116596652443</v>
      </c>
      <c r="AH951">
        <v>14.354018977162999</v>
      </c>
      <c r="AI951">
        <v>93.893057977745102</v>
      </c>
      <c r="AJ951">
        <v>61.022677968603404</v>
      </c>
      <c r="AK951">
        <v>16.4460764748763</v>
      </c>
      <c r="AL951">
        <v>81.764110518065905</v>
      </c>
      <c r="AM951">
        <v>72.512762047125804</v>
      </c>
      <c r="AN951">
        <v>1.00000006110049</v>
      </c>
    </row>
    <row r="952" spans="1:40" x14ac:dyDescent="0.25">
      <c r="A952" t="str">
        <f>"20190303162517879"</f>
        <v>20190303162517879</v>
      </c>
      <c r="B952" t="str">
        <f>"1551601517873685"</f>
        <v>1551601517873685</v>
      </c>
      <c r="C952" t="s">
        <v>40</v>
      </c>
      <c r="D952">
        <v>4.2831900000000003</v>
      </c>
      <c r="E952">
        <v>0.58817739999999996</v>
      </c>
      <c r="F952" t="s">
        <v>45</v>
      </c>
      <c r="G952">
        <v>-196.2533</v>
      </c>
      <c r="H952" s="1">
        <v>-5.525918E-6</v>
      </c>
      <c r="I952">
        <v>357.3956</v>
      </c>
      <c r="J952">
        <v>-209.31659999999999</v>
      </c>
      <c r="K952">
        <v>1.116385</v>
      </c>
      <c r="L952">
        <v>367.52769999999998</v>
      </c>
      <c r="M952">
        <v>0.99009570000000002</v>
      </c>
      <c r="N952">
        <v>-9.7455300000000005E-3</v>
      </c>
      <c r="O952">
        <v>-0.14005609999999999</v>
      </c>
      <c r="P952">
        <v>0.8920382</v>
      </c>
      <c r="Q952">
        <v>0.13667850000000001</v>
      </c>
      <c r="R952">
        <v>-0.43079830000000002</v>
      </c>
      <c r="S952">
        <v>2.487015</v>
      </c>
      <c r="T952">
        <v>-0.20810780000000001</v>
      </c>
      <c r="U952">
        <v>-1.8964840000000001</v>
      </c>
      <c r="V952">
        <v>0.30305949999999998</v>
      </c>
      <c r="W952">
        <v>0.1428326</v>
      </c>
      <c r="X952">
        <v>0.94220689999999996</v>
      </c>
      <c r="Y952">
        <v>0.48802069999999997</v>
      </c>
      <c r="Z952">
        <v>-1.1723799999999999E-2</v>
      </c>
      <c r="AA952">
        <v>0.87275329999999995</v>
      </c>
      <c r="AB952">
        <v>30</v>
      </c>
      <c r="AC952">
        <v>13.0632999999999</v>
      </c>
      <c r="AD952">
        <v>-1.116390525918</v>
      </c>
      <c r="AE952">
        <v>-10.1320999999999</v>
      </c>
      <c r="AF952">
        <v>8.1653076487126395</v>
      </c>
      <c r="AG952">
        <v>-1.116390525918</v>
      </c>
      <c r="AH952">
        <v>14.2885023668237</v>
      </c>
      <c r="AI952">
        <v>93.880812738046103</v>
      </c>
      <c r="AJ952">
        <v>60.2537609917323</v>
      </c>
      <c r="AK952">
        <v>16.494843942614601</v>
      </c>
      <c r="AL952">
        <v>81.788210295891005</v>
      </c>
      <c r="AM952">
        <v>72.169687291622793</v>
      </c>
      <c r="AN952">
        <v>1.0000000272853</v>
      </c>
    </row>
    <row r="953" spans="1:40" x14ac:dyDescent="0.25">
      <c r="A953" t="str">
        <f>"20190303162517901"</f>
        <v>20190303162517901</v>
      </c>
      <c r="B953" t="str">
        <f>"1551601517893205"</f>
        <v>1551601517893205</v>
      </c>
      <c r="C953" t="s">
        <v>40</v>
      </c>
      <c r="D953">
        <v>4.6955879999999999</v>
      </c>
      <c r="E953">
        <v>0.58897829999999995</v>
      </c>
      <c r="F953" t="s">
        <v>45</v>
      </c>
      <c r="G953">
        <v>-196.0412</v>
      </c>
      <c r="H953" s="1">
        <v>-5.3873519999999998E-6</v>
      </c>
      <c r="I953">
        <v>357.08069999999998</v>
      </c>
      <c r="J953">
        <v>-209.0256</v>
      </c>
      <c r="K953">
        <v>1.116174</v>
      </c>
      <c r="L953">
        <v>367.48099999999999</v>
      </c>
      <c r="M953">
        <v>0.98932299999999995</v>
      </c>
      <c r="N953">
        <v>-9.7685900000000006E-3</v>
      </c>
      <c r="O953">
        <v>-0.14541179999999901</v>
      </c>
      <c r="P953">
        <v>0.88722730000000005</v>
      </c>
      <c r="Q953">
        <v>0.136356</v>
      </c>
      <c r="R953">
        <v>-0.44072070000000002</v>
      </c>
      <c r="S953">
        <v>2.4599000000000002</v>
      </c>
      <c r="T953">
        <v>-0.20686450000000001</v>
      </c>
      <c r="U953">
        <v>-1.9358219999999999</v>
      </c>
      <c r="V953">
        <v>0.30853380000000002</v>
      </c>
      <c r="W953">
        <v>0.14230590000000001</v>
      </c>
      <c r="X953">
        <v>0.94050840000000002</v>
      </c>
      <c r="Y953">
        <v>0.4965753</v>
      </c>
      <c r="Z953">
        <v>-1.1757180000000001E-2</v>
      </c>
      <c r="AA953">
        <v>0.86791409999999902</v>
      </c>
      <c r="AB953">
        <v>30</v>
      </c>
      <c r="AC953">
        <v>12.9843999999999</v>
      </c>
      <c r="AD953">
        <v>-1.1161793873520001</v>
      </c>
      <c r="AE953">
        <v>-10.4003</v>
      </c>
      <c r="AF953">
        <v>8.3639211139578507</v>
      </c>
      <c r="AG953">
        <v>-1.1161793873520001</v>
      </c>
      <c r="AH953">
        <v>14.294429638237901</v>
      </c>
      <c r="AI953">
        <v>93.855659161327097</v>
      </c>
      <c r="AJ953">
        <v>59.667349858096401</v>
      </c>
      <c r="AK953">
        <v>16.5991491199938</v>
      </c>
      <c r="AL953">
        <v>81.818699725914399</v>
      </c>
      <c r="AM953">
        <v>71.837921984864593</v>
      </c>
      <c r="AN953">
        <v>1.0000000626939001</v>
      </c>
    </row>
    <row r="954" spans="1:40" x14ac:dyDescent="0.25">
      <c r="A954" t="str">
        <f>"20190303162517935"</f>
        <v>20190303162517935</v>
      </c>
      <c r="B954" t="str">
        <f>"1551601517923460"</f>
        <v>1551601517923460</v>
      </c>
      <c r="C954" t="s">
        <v>40</v>
      </c>
      <c r="D954">
        <v>4.6607669999999999</v>
      </c>
      <c r="E954">
        <v>0.58966280000000004</v>
      </c>
      <c r="F954" t="s">
        <v>45</v>
      </c>
      <c r="G954">
        <v>-196.02789999999999</v>
      </c>
      <c r="H954" s="1">
        <v>-5.3453899999999998E-6</v>
      </c>
      <c r="I954">
        <v>356.9615</v>
      </c>
      <c r="J954">
        <v>-208.57939999999999</v>
      </c>
      <c r="K954">
        <v>1.1158429999999999</v>
      </c>
      <c r="L954">
        <v>367.4058</v>
      </c>
      <c r="M954">
        <v>0.98799709999999996</v>
      </c>
      <c r="N954">
        <v>-9.8054059999999992E-3</v>
      </c>
      <c r="O954">
        <v>-0.15416089999999999</v>
      </c>
      <c r="P954">
        <v>0.87896620000000003</v>
      </c>
      <c r="Q954">
        <v>0.13591909999999999</v>
      </c>
      <c r="R954">
        <v>-0.45710489999999998</v>
      </c>
      <c r="S954">
        <v>2.434647</v>
      </c>
      <c r="T954">
        <v>-0.2090757</v>
      </c>
      <c r="U954">
        <v>-1.970459</v>
      </c>
      <c r="V954">
        <v>0.31776110000000002</v>
      </c>
      <c r="W954">
        <v>0.1415148</v>
      </c>
      <c r="X954">
        <v>0.93755080000000002</v>
      </c>
      <c r="Y954">
        <v>0.50074399999999997</v>
      </c>
      <c r="Z954">
        <v>-1.152045E-2</v>
      </c>
      <c r="AA954">
        <v>0.86551869999999997</v>
      </c>
      <c r="AB954">
        <v>30</v>
      </c>
      <c r="AC954">
        <v>12.551500000000001</v>
      </c>
      <c r="AD954">
        <v>-1.1158483453900001</v>
      </c>
      <c r="AE954">
        <v>-10.444299999999901</v>
      </c>
      <c r="AF954">
        <v>8.3454180040028199</v>
      </c>
      <c r="AG954">
        <v>-1.1158483453900001</v>
      </c>
      <c r="AH954">
        <v>13.9464925313486</v>
      </c>
      <c r="AI954">
        <v>93.927543255018605</v>
      </c>
      <c r="AJ954">
        <v>59.104191318961497</v>
      </c>
      <c r="AK954">
        <v>16.290972135462201</v>
      </c>
      <c r="AL954">
        <v>81.864489557109195</v>
      </c>
      <c r="AM954">
        <v>71.277102552339201</v>
      </c>
      <c r="AN954">
        <v>1.0000000289364399</v>
      </c>
    </row>
    <row r="955" spans="1:40" x14ac:dyDescent="0.25">
      <c r="A955" t="str">
        <f>"20190303162517959"</f>
        <v>20190303162517959</v>
      </c>
      <c r="B955" t="str">
        <f>"1551601517953503"</f>
        <v>1551601517953503</v>
      </c>
      <c r="C955" t="s">
        <v>40</v>
      </c>
      <c r="D955">
        <v>4.6756359999999999</v>
      </c>
      <c r="E955">
        <v>0.58969550000000004</v>
      </c>
      <c r="F955" t="s">
        <v>45</v>
      </c>
      <c r="G955">
        <v>-196.15799999999999</v>
      </c>
      <c r="H955" s="1">
        <v>-5.356106E-6</v>
      </c>
      <c r="I955">
        <v>356.93279999999999</v>
      </c>
      <c r="J955">
        <v>-208.26769999999999</v>
      </c>
      <c r="K955">
        <v>1.115564</v>
      </c>
      <c r="L955">
        <v>367.35050000000001</v>
      </c>
      <c r="M955">
        <v>0.98694669999999896</v>
      </c>
      <c r="N955">
        <v>-9.8378230000000007E-3</v>
      </c>
      <c r="O955">
        <v>-0.16074659999999999</v>
      </c>
      <c r="P955">
        <v>0.87346669999999904</v>
      </c>
      <c r="Q955">
        <v>0.13673979999999999</v>
      </c>
      <c r="R955">
        <v>-0.4672885</v>
      </c>
      <c r="S955">
        <v>2.3958740000000001</v>
      </c>
      <c r="T955">
        <v>-0.21522669999999999</v>
      </c>
      <c r="U955">
        <v>-2.0200499999999999</v>
      </c>
      <c r="V955">
        <v>0.32253500000000002</v>
      </c>
      <c r="W955">
        <v>0.14207229999999901</v>
      </c>
      <c r="X955">
        <v>0.93583470000000002</v>
      </c>
      <c r="Y955">
        <v>0.51223430000000003</v>
      </c>
      <c r="Z955">
        <v>-1.1892639999999999E-2</v>
      </c>
      <c r="AA955">
        <v>0.85876350000000001</v>
      </c>
      <c r="AB955">
        <v>30</v>
      </c>
      <c r="AC955">
        <v>12.1097</v>
      </c>
      <c r="AD955">
        <v>-1.1155693561060001</v>
      </c>
      <c r="AE955">
        <v>-10.4177</v>
      </c>
      <c r="AF955">
        <v>8.2950692091593492</v>
      </c>
      <c r="AG955">
        <v>-1.1155693561060001</v>
      </c>
      <c r="AH955">
        <v>13.5607608545342</v>
      </c>
      <c r="AI955">
        <v>94.014237882595495</v>
      </c>
      <c r="AJ955">
        <v>58.546022667280603</v>
      </c>
      <c r="AK955">
        <v>15.9357115663811</v>
      </c>
      <c r="AL955">
        <v>81.832220686443307</v>
      </c>
      <c r="AM955">
        <v>70.983511606092407</v>
      </c>
      <c r="AN955">
        <v>0.99999997518818895</v>
      </c>
    </row>
    <row r="956" spans="1:40" x14ac:dyDescent="0.25">
      <c r="A956" t="str">
        <f>"20190303162517979"</f>
        <v>20190303162517979</v>
      </c>
      <c r="B956" t="str">
        <f>"1551601517973999"</f>
        <v>1551601517973999</v>
      </c>
      <c r="C956" t="s">
        <v>40</v>
      </c>
      <c r="D956">
        <v>4.7004049999999999</v>
      </c>
      <c r="E956">
        <v>0.58963880000000002</v>
      </c>
      <c r="F956" t="s">
        <v>45</v>
      </c>
      <c r="G956">
        <v>-196.16839999999999</v>
      </c>
      <c r="H956" s="1">
        <v>-5.3456570000000002E-6</v>
      </c>
      <c r="I956">
        <v>356.89679999999998</v>
      </c>
      <c r="J956">
        <v>-207.9796</v>
      </c>
      <c r="K956">
        <v>1.115254</v>
      </c>
      <c r="L956">
        <v>367.29689999999999</v>
      </c>
      <c r="M956">
        <v>0.98585630000000002</v>
      </c>
      <c r="N956">
        <v>-9.8777689999999998E-3</v>
      </c>
      <c r="O956">
        <v>-0.1673017</v>
      </c>
      <c r="P956">
        <v>0.86964300000000005</v>
      </c>
      <c r="Q956">
        <v>0.13884669999999999</v>
      </c>
      <c r="R956">
        <v>-0.47375430000000002</v>
      </c>
      <c r="S956">
        <v>2.3722989999999999</v>
      </c>
      <c r="T956">
        <v>-0.21872829999999999</v>
      </c>
      <c r="U956">
        <v>-2.049652</v>
      </c>
      <c r="V956">
        <v>0.32345410000000002</v>
      </c>
      <c r="W956">
        <v>0.14394489999999999</v>
      </c>
      <c r="X956">
        <v>0.93523120000000004</v>
      </c>
      <c r="Y956">
        <v>0.51684839999999999</v>
      </c>
      <c r="Z956">
        <v>-1.184202E-2</v>
      </c>
      <c r="AA956">
        <v>0.85599509999999901</v>
      </c>
      <c r="AB956">
        <v>30</v>
      </c>
      <c r="AC956">
        <v>11.811199999999999</v>
      </c>
      <c r="AD956">
        <v>-1.1152593456569999</v>
      </c>
      <c r="AE956">
        <v>-10.4001</v>
      </c>
      <c r="AF956">
        <v>8.2360117989298001</v>
      </c>
      <c r="AG956">
        <v>-1.1152593456569999</v>
      </c>
      <c r="AH956">
        <v>13.317869313758701</v>
      </c>
      <c r="AI956">
        <v>94.073875210871705</v>
      </c>
      <c r="AJ956">
        <v>58.266602093202799</v>
      </c>
      <c r="AK956">
        <v>15.6984501406522</v>
      </c>
      <c r="AL956">
        <v>81.723814896616602</v>
      </c>
      <c r="AM956">
        <v>70.921815578305399</v>
      </c>
      <c r="AN956">
        <v>1.00000004324812</v>
      </c>
    </row>
    <row r="957" spans="1:40" x14ac:dyDescent="0.25">
      <c r="A957" t="str">
        <f>"20190303162518003"</f>
        <v>20190303162518003</v>
      </c>
      <c r="B957" t="str">
        <f>"1551601517993519"</f>
        <v>1551601517993519</v>
      </c>
      <c r="C957" t="s">
        <v>40</v>
      </c>
      <c r="D957">
        <v>4.7383850000000001</v>
      </c>
      <c r="E957">
        <v>0.58958710000000003</v>
      </c>
      <c r="F957" t="s">
        <v>45</v>
      </c>
      <c r="G957">
        <v>-195.75559999999999</v>
      </c>
      <c r="H957" s="1">
        <v>-5.1502030000000001E-6</v>
      </c>
      <c r="I957">
        <v>356.56639999999999</v>
      </c>
      <c r="J957">
        <v>-207.6756</v>
      </c>
      <c r="K957">
        <v>1.114908</v>
      </c>
      <c r="L957">
        <v>367.23770000000002</v>
      </c>
      <c r="M957">
        <v>0.98458400000000001</v>
      </c>
      <c r="N957">
        <v>-9.9262020000000003E-3</v>
      </c>
      <c r="O957">
        <v>-0.17463039999999999</v>
      </c>
      <c r="P957">
        <v>0.86422889999999997</v>
      </c>
      <c r="Q957">
        <v>0.14144799999999999</v>
      </c>
      <c r="R957">
        <v>-0.4828056</v>
      </c>
      <c r="S957">
        <v>2.356903</v>
      </c>
      <c r="T957">
        <v>-0.2150331</v>
      </c>
      <c r="U957">
        <v>-2.0689389999999999</v>
      </c>
      <c r="V957">
        <v>0.32649739999999999</v>
      </c>
      <c r="W957">
        <v>0.146254299999999</v>
      </c>
      <c r="X957">
        <v>0.93381429999999999</v>
      </c>
      <c r="Y957">
        <v>0.5172563</v>
      </c>
      <c r="Z957">
        <v>-1.129747E-2</v>
      </c>
      <c r="AA957">
        <v>0.85575599999999996</v>
      </c>
      <c r="AB957">
        <v>30</v>
      </c>
      <c r="AC957">
        <v>11.92</v>
      </c>
      <c r="AD957">
        <v>-1.1149131502030001</v>
      </c>
      <c r="AE957">
        <v>-10.6713</v>
      </c>
      <c r="AF957">
        <v>8.3848926503857193</v>
      </c>
      <c r="AG957">
        <v>-1.1149131502030001</v>
      </c>
      <c r="AH957">
        <v>13.5347164463764</v>
      </c>
      <c r="AI957">
        <v>94.0056281696762</v>
      </c>
      <c r="AJ957">
        <v>58.221369698846402</v>
      </c>
      <c r="AK957">
        <v>15.9605139445696</v>
      </c>
      <c r="AL957">
        <v>81.590080411054004</v>
      </c>
      <c r="AM957">
        <v>70.728409610642004</v>
      </c>
      <c r="AN957">
        <v>1.00000000967987</v>
      </c>
    </row>
    <row r="958" spans="1:40" x14ac:dyDescent="0.25">
      <c r="A958" t="str">
        <f>"20190303162518025"</f>
        <v>20190303162518025</v>
      </c>
      <c r="B958" t="str">
        <f>"1551601518014015"</f>
        <v>1551601518014015</v>
      </c>
      <c r="C958" t="s">
        <v>40</v>
      </c>
      <c r="D958">
        <v>4.7735719999999997</v>
      </c>
      <c r="E958">
        <v>0.58951799999999999</v>
      </c>
      <c r="F958" t="s">
        <v>45</v>
      </c>
      <c r="G958">
        <v>-195.27379999999999</v>
      </c>
      <c r="H958" s="1">
        <v>-4.8315229999999998E-6</v>
      </c>
      <c r="I958">
        <v>356.11169999999998</v>
      </c>
      <c r="J958">
        <v>-207.37129999999999</v>
      </c>
      <c r="K958">
        <v>1.1145499999999999</v>
      </c>
      <c r="L958">
        <v>367.17570000000001</v>
      </c>
      <c r="M958">
        <v>0.98317049999999995</v>
      </c>
      <c r="N958">
        <v>-9.9762489999999995E-3</v>
      </c>
      <c r="O958">
        <v>-0.1824181</v>
      </c>
      <c r="P958">
        <v>0.85869309999999999</v>
      </c>
      <c r="Q958">
        <v>0.14426240000000001</v>
      </c>
      <c r="R958">
        <v>-0.49176710000000001</v>
      </c>
      <c r="S958">
        <v>2.335251</v>
      </c>
      <c r="T958">
        <v>-0.20993780000000001</v>
      </c>
      <c r="U958">
        <v>-2.0950319999999998</v>
      </c>
      <c r="V958">
        <v>0.32907950000000002</v>
      </c>
      <c r="W958">
        <v>0.1487704</v>
      </c>
      <c r="X958">
        <v>0.93250949999999999</v>
      </c>
      <c r="Y958">
        <v>0.51977479999999998</v>
      </c>
      <c r="Z958">
        <v>-1.080238E-2</v>
      </c>
      <c r="AA958">
        <v>0.85423510000000002</v>
      </c>
      <c r="AB958">
        <v>30</v>
      </c>
      <c r="AC958">
        <v>12.097499999999901</v>
      </c>
      <c r="AD958">
        <v>-1.1145548315229901</v>
      </c>
      <c r="AE958">
        <v>-11.064</v>
      </c>
      <c r="AF958">
        <v>8.6315309871119403</v>
      </c>
      <c r="AG958">
        <v>-1.1145548315229901</v>
      </c>
      <c r="AH958">
        <v>13.848860227548499</v>
      </c>
      <c r="AI958">
        <v>93.907232196588495</v>
      </c>
      <c r="AJ958">
        <v>58.066094148348803</v>
      </c>
      <c r="AK958">
        <v>16.356542704866399</v>
      </c>
      <c r="AL958">
        <v>81.444323473375604</v>
      </c>
      <c r="AM958">
        <v>70.562232623351406</v>
      </c>
      <c r="AN958">
        <v>0.999999958413329</v>
      </c>
    </row>
    <row r="959" spans="1:40" x14ac:dyDescent="0.25">
      <c r="A959" t="str">
        <f>"20190303162518048"</f>
        <v>20190303162518048</v>
      </c>
      <c r="B959" t="str">
        <f>"1551601518043299"</f>
        <v>1551601518043299</v>
      </c>
      <c r="C959" t="s">
        <v>40</v>
      </c>
      <c r="D959">
        <v>4.7755589999999897</v>
      </c>
      <c r="E959">
        <v>0.58930979999999999</v>
      </c>
      <c r="F959" t="s">
        <v>45</v>
      </c>
      <c r="G959">
        <v>-194.74700000000001</v>
      </c>
      <c r="H959" s="1">
        <v>-4.4774859999999999E-6</v>
      </c>
      <c r="I959">
        <v>355.60239999999999</v>
      </c>
      <c r="J959">
        <v>-207.07470000000001</v>
      </c>
      <c r="K959">
        <v>1.1141779999999999</v>
      </c>
      <c r="L959">
        <v>367.11239999999998</v>
      </c>
      <c r="M959">
        <v>0.98163889999999998</v>
      </c>
      <c r="N959">
        <v>-1.0028459999999999E-2</v>
      </c>
      <c r="O959">
        <v>-0.1904853</v>
      </c>
      <c r="P959">
        <v>0.85293050000000004</v>
      </c>
      <c r="Q959">
        <v>0.14781359999999999</v>
      </c>
      <c r="R959">
        <v>-0.50066100000000002</v>
      </c>
      <c r="S959">
        <v>2.313431</v>
      </c>
      <c r="T959">
        <v>-0.20424400000000001</v>
      </c>
      <c r="U959">
        <v>-2.120819</v>
      </c>
      <c r="V959">
        <v>0.33141959999999998</v>
      </c>
      <c r="W959">
        <v>0.15202079999999901</v>
      </c>
      <c r="X959">
        <v>0.93115559999999997</v>
      </c>
      <c r="Y959">
        <v>0.52200230000000003</v>
      </c>
      <c r="Z959">
        <v>-1.028304E-2</v>
      </c>
      <c r="AA959">
        <v>0.85288199999999903</v>
      </c>
      <c r="AB959">
        <v>30</v>
      </c>
      <c r="AC959">
        <v>12.327699999999901</v>
      </c>
      <c r="AD959">
        <v>-1.1141824774860001</v>
      </c>
      <c r="AE959">
        <v>-11.5099999999999</v>
      </c>
      <c r="AF959">
        <v>8.9119740334500399</v>
      </c>
      <c r="AG959">
        <v>-1.1141824774860001</v>
      </c>
      <c r="AH959">
        <v>14.232440409243701</v>
      </c>
      <c r="AI959">
        <v>93.796027629527501</v>
      </c>
      <c r="AJ959">
        <v>57.946301027736098</v>
      </c>
      <c r="AK959">
        <v>16.829350663905501</v>
      </c>
      <c r="AL959">
        <v>81.255947037890294</v>
      </c>
      <c r="AM959">
        <v>70.408191300429095</v>
      </c>
      <c r="AN959">
        <v>1.0000000131540701</v>
      </c>
    </row>
    <row r="960" spans="1:40" x14ac:dyDescent="0.25">
      <c r="A960" t="str">
        <f>"20190303162518070"</f>
        <v>20190303162518070</v>
      </c>
      <c r="B960" t="str">
        <f>"1551601518063795"</f>
        <v>1551601518063795</v>
      </c>
      <c r="C960" t="s">
        <v>40</v>
      </c>
      <c r="D960">
        <v>4.7919900000000002</v>
      </c>
      <c r="E960">
        <v>0.58910669999999898</v>
      </c>
      <c r="F960" t="s">
        <v>45</v>
      </c>
      <c r="G960">
        <v>-194.2216</v>
      </c>
      <c r="H960" s="1">
        <v>-4.1206669999999999E-6</v>
      </c>
      <c r="I960">
        <v>355.0865</v>
      </c>
      <c r="J960">
        <v>-206.78020000000001</v>
      </c>
      <c r="K960">
        <v>1.113794</v>
      </c>
      <c r="L960">
        <v>367.04649999999998</v>
      </c>
      <c r="M960">
        <v>0.97995140000000003</v>
      </c>
      <c r="N960">
        <v>-1.0086650000000001E-2</v>
      </c>
      <c r="O960">
        <v>-0.1989813</v>
      </c>
      <c r="P960">
        <v>0.84714539999999905</v>
      </c>
      <c r="Q960">
        <v>0.1505061</v>
      </c>
      <c r="R960">
        <v>-0.50960070000000002</v>
      </c>
      <c r="S960">
        <v>2.2926030000000002</v>
      </c>
      <c r="T960">
        <v>-0.1987361</v>
      </c>
      <c r="U960">
        <v>-2.1450499999999999</v>
      </c>
      <c r="V960">
        <v>0.33342949999999999</v>
      </c>
      <c r="W960">
        <v>0.1544112</v>
      </c>
      <c r="X960">
        <v>0.93004410000000004</v>
      </c>
      <c r="Y960">
        <v>0.52334209999999903</v>
      </c>
      <c r="Z960">
        <v>-9.7317299999999992E-3</v>
      </c>
      <c r="AA960">
        <v>0.85206709999999997</v>
      </c>
      <c r="AB960">
        <v>30</v>
      </c>
      <c r="AC960">
        <v>12.5586</v>
      </c>
      <c r="AD960">
        <v>-1.113798120667</v>
      </c>
      <c r="AE960">
        <v>-11.9599999999999</v>
      </c>
      <c r="AF960">
        <v>9.1838803172274108</v>
      </c>
      <c r="AG960">
        <v>-1.113798120667</v>
      </c>
      <c r="AH960">
        <v>14.627048589588499</v>
      </c>
      <c r="AI960">
        <v>93.689824726295697</v>
      </c>
      <c r="AJ960">
        <v>57.876534251632698</v>
      </c>
      <c r="AK960">
        <v>17.3070723802999</v>
      </c>
      <c r="AL960">
        <v>81.117350959415603</v>
      </c>
      <c r="AM960">
        <v>70.276768876591802</v>
      </c>
      <c r="AN960">
        <v>1.0000000390502399</v>
      </c>
    </row>
    <row r="961" spans="1:40" x14ac:dyDescent="0.25">
      <c r="A961" t="str">
        <f>"20190303162518092"</f>
        <v>20190303162518092</v>
      </c>
      <c r="B961" t="str">
        <f>"1551601518083314"</f>
        <v>1551601518083314</v>
      </c>
      <c r="C961" t="s">
        <v>40</v>
      </c>
      <c r="D961">
        <v>4.813949</v>
      </c>
      <c r="E961">
        <v>0.58892489999999997</v>
      </c>
      <c r="F961" t="s">
        <v>45</v>
      </c>
      <c r="G961">
        <v>-193.7491</v>
      </c>
      <c r="H961" s="1">
        <v>-3.7902149999999999E-6</v>
      </c>
      <c r="I961">
        <v>354.60199999999998</v>
      </c>
      <c r="J961">
        <v>-206.48670000000001</v>
      </c>
      <c r="K961">
        <v>1.1134010000000001</v>
      </c>
      <c r="L961">
        <v>366.9778</v>
      </c>
      <c r="M961">
        <v>0.97809020000000002</v>
      </c>
      <c r="N961">
        <v>-1.0150910000000001E-2</v>
      </c>
      <c r="O961">
        <v>-0.20793410000000001</v>
      </c>
      <c r="P961">
        <v>0.84084680000000001</v>
      </c>
      <c r="Q961">
        <v>0.15170710000000001</v>
      </c>
      <c r="R961">
        <v>-0.51957829999999905</v>
      </c>
      <c r="S961">
        <v>2.2710880000000002</v>
      </c>
      <c r="T961">
        <v>-0.1941147</v>
      </c>
      <c r="U961">
        <v>-2.1688540000000001</v>
      </c>
      <c r="V961">
        <v>0.33613700000000002</v>
      </c>
      <c r="W961">
        <v>0.15529219999999999</v>
      </c>
      <c r="X961">
        <v>0.92892209999999997</v>
      </c>
      <c r="Y961">
        <v>0.52429959999999998</v>
      </c>
      <c r="Z961">
        <v>-9.1893700000000005E-3</v>
      </c>
      <c r="AA961">
        <v>0.85148429999999997</v>
      </c>
      <c r="AB961">
        <v>30</v>
      </c>
      <c r="AC961">
        <v>12.7376</v>
      </c>
      <c r="AD961">
        <v>-1.1134047902149999</v>
      </c>
      <c r="AE961">
        <v>-12.3758</v>
      </c>
      <c r="AF961">
        <v>9.4195318122863494</v>
      </c>
      <c r="AG961">
        <v>-1.1134047902149999</v>
      </c>
      <c r="AH961">
        <v>14.973793784402099</v>
      </c>
      <c r="AI961">
        <v>93.601399125174396</v>
      </c>
      <c r="AJ961">
        <v>57.827323001858801</v>
      </c>
      <c r="AK961">
        <v>17.7251727801832</v>
      </c>
      <c r="AL961">
        <v>81.066256798825506</v>
      </c>
      <c r="AM961">
        <v>70.106986400074703</v>
      </c>
      <c r="AN961">
        <v>1.0000000090091199</v>
      </c>
    </row>
    <row r="962" spans="1:40" x14ac:dyDescent="0.25">
      <c r="A962" t="str">
        <f>"20190303162518114"</f>
        <v>20190303162518114</v>
      </c>
      <c r="B962" t="str">
        <f>"1551601518103811"</f>
        <v>1551601518103811</v>
      </c>
      <c r="C962" t="s">
        <v>40</v>
      </c>
      <c r="D962">
        <v>4.8610629999999997</v>
      </c>
      <c r="E962">
        <v>0.58874090000000001</v>
      </c>
      <c r="F962" t="s">
        <v>45</v>
      </c>
      <c r="G962">
        <v>-193.64670000000001</v>
      </c>
      <c r="H962" s="1">
        <v>-3.6828889999999998E-6</v>
      </c>
      <c r="I962">
        <v>354.43369999999999</v>
      </c>
      <c r="J962">
        <v>-206.19280000000001</v>
      </c>
      <c r="K962">
        <v>1.112992</v>
      </c>
      <c r="L962">
        <v>366.90559999999999</v>
      </c>
      <c r="M962">
        <v>0.97603629999999997</v>
      </c>
      <c r="N962">
        <v>-1.021914E-2</v>
      </c>
      <c r="O962">
        <v>-0.2173678</v>
      </c>
      <c r="P962">
        <v>0.83398989999999995</v>
      </c>
      <c r="Q962">
        <v>0.15134449999999999</v>
      </c>
      <c r="R962">
        <v>-0.53061849999999999</v>
      </c>
      <c r="S962">
        <v>2.2467039999999998</v>
      </c>
      <c r="T962">
        <v>-0.1948192</v>
      </c>
      <c r="U962">
        <v>-2.1949160000000001</v>
      </c>
      <c r="V962">
        <v>0.3395493</v>
      </c>
      <c r="W962">
        <v>0.15459310000000001</v>
      </c>
      <c r="X962">
        <v>0.92779699999999998</v>
      </c>
      <c r="Y962">
        <v>0.52575640000000001</v>
      </c>
      <c r="Z962">
        <v>-8.7719449999999997E-3</v>
      </c>
      <c r="AA962">
        <v>0.85058999999999996</v>
      </c>
      <c r="AB962">
        <v>30</v>
      </c>
      <c r="AC962">
        <v>12.5460999999999</v>
      </c>
      <c r="AD962">
        <v>-1.112995682889</v>
      </c>
      <c r="AE962">
        <v>-12.4719</v>
      </c>
      <c r="AF962">
        <v>9.4091577926634304</v>
      </c>
      <c r="AG962">
        <v>-1.112995682889</v>
      </c>
      <c r="AH962">
        <v>14.898247498864601</v>
      </c>
      <c r="AI962">
        <v>93.614229383951496</v>
      </c>
      <c r="AJ962">
        <v>57.725075097543098</v>
      </c>
      <c r="AK962">
        <v>17.655842893920202</v>
      </c>
      <c r="AL962">
        <v>81.106801963220605</v>
      </c>
      <c r="AM962">
        <v>69.898703145528302</v>
      </c>
      <c r="AN962">
        <v>1.0000000134535501</v>
      </c>
    </row>
    <row r="963" spans="1:40" x14ac:dyDescent="0.25">
      <c r="A963" t="str">
        <f>"20190303162518140"</f>
        <v>20190303162518140</v>
      </c>
      <c r="B963" t="str">
        <f>"1551601518134067"</f>
        <v>1551601518134067</v>
      </c>
      <c r="C963" t="s">
        <v>40</v>
      </c>
      <c r="D963">
        <v>4.8438589999999904</v>
      </c>
      <c r="E963">
        <v>0.58895549999999997</v>
      </c>
      <c r="F963" t="s">
        <v>45</v>
      </c>
      <c r="G963">
        <v>-193.8963</v>
      </c>
      <c r="H963" s="1">
        <v>-3.8190409999999998E-6</v>
      </c>
      <c r="I963">
        <v>354.59429999999998</v>
      </c>
      <c r="J963">
        <v>-205.8552</v>
      </c>
      <c r="K963">
        <v>1.1125259999999999</v>
      </c>
      <c r="L963">
        <v>366.8186</v>
      </c>
      <c r="M963">
        <v>0.97343150000000001</v>
      </c>
      <c r="N963">
        <v>-1.029857E-2</v>
      </c>
      <c r="O963">
        <v>-0.22874720000000001</v>
      </c>
      <c r="P963">
        <v>0.82589639999999997</v>
      </c>
      <c r="Q963">
        <v>0.14925829999999901</v>
      </c>
      <c r="R963">
        <v>-0.54370719999999995</v>
      </c>
      <c r="S963">
        <v>2.219681</v>
      </c>
      <c r="T963">
        <v>-0.2009097</v>
      </c>
      <c r="U963">
        <v>-2.2223510000000002</v>
      </c>
      <c r="V963">
        <v>0.34339730000000002</v>
      </c>
      <c r="W963">
        <v>0.15212779999999901</v>
      </c>
      <c r="X963">
        <v>0.92678769999999999</v>
      </c>
      <c r="Y963">
        <v>0.5262249</v>
      </c>
      <c r="Z963">
        <v>-8.2835280000000001E-3</v>
      </c>
      <c r="AA963">
        <v>0.85030509999999904</v>
      </c>
      <c r="AB963">
        <v>30</v>
      </c>
      <c r="AC963">
        <v>11.9589</v>
      </c>
      <c r="AD963">
        <v>-1.112529819041</v>
      </c>
      <c r="AE963">
        <v>-12.224299999999999</v>
      </c>
      <c r="AF963">
        <v>9.1258158331393595</v>
      </c>
      <c r="AG963">
        <v>-1.112529819041</v>
      </c>
      <c r="AH963">
        <v>14.3773595211931</v>
      </c>
      <c r="AI963">
        <v>93.737892465156406</v>
      </c>
      <c r="AJ963">
        <v>57.5952671067907</v>
      </c>
      <c r="AK963">
        <v>17.065365628086401</v>
      </c>
      <c r="AL963">
        <v>81.2497441912342</v>
      </c>
      <c r="AM963">
        <v>69.669111383010502</v>
      </c>
      <c r="AN963">
        <v>1.00000000702571</v>
      </c>
    </row>
    <row r="964" spans="1:40" x14ac:dyDescent="0.25">
      <c r="A964" t="str">
        <f>"20190303162518160"</f>
        <v>20190303162518160</v>
      </c>
      <c r="B964" t="str">
        <f>"1551601518153587"</f>
        <v>1551601518153587</v>
      </c>
      <c r="C964" t="s">
        <v>40</v>
      </c>
      <c r="D964">
        <v>4.8596500000000002</v>
      </c>
      <c r="E964">
        <v>0.58963940000000004</v>
      </c>
      <c r="F964" t="s">
        <v>45</v>
      </c>
      <c r="G964">
        <v>-194.5967</v>
      </c>
      <c r="H964" s="1">
        <v>-4.2528430000000003E-6</v>
      </c>
      <c r="I964">
        <v>355.19170000000003</v>
      </c>
      <c r="J964">
        <v>-205.5763</v>
      </c>
      <c r="K964">
        <v>1.112144</v>
      </c>
      <c r="L964">
        <v>366.74290000000002</v>
      </c>
      <c r="M964">
        <v>0.97106729999999997</v>
      </c>
      <c r="N964">
        <v>-1.036398E-2</v>
      </c>
      <c r="O964">
        <v>-0.2385813</v>
      </c>
      <c r="P964">
        <v>0.81825969999999904</v>
      </c>
      <c r="Q964">
        <v>0.14552999999999999</v>
      </c>
      <c r="R964">
        <v>-0.55612249999999996</v>
      </c>
      <c r="S964">
        <v>2.1855470000000001</v>
      </c>
      <c r="T964">
        <v>-0.21596979999999999</v>
      </c>
      <c r="U964">
        <v>-2.2570800000000002</v>
      </c>
      <c r="V964">
        <v>0.3479216</v>
      </c>
      <c r="W964">
        <v>0.14806820000000001</v>
      </c>
      <c r="X964">
        <v>0.92575719999999995</v>
      </c>
      <c r="Y964">
        <v>0.53068530000000003</v>
      </c>
      <c r="Z964">
        <v>-8.1374180000000004E-3</v>
      </c>
      <c r="AA964">
        <v>0.84752989999999995</v>
      </c>
      <c r="AB964">
        <v>30</v>
      </c>
      <c r="AC964">
        <v>10.9796</v>
      </c>
      <c r="AD964">
        <v>-1.112148252843</v>
      </c>
      <c r="AE964">
        <v>-11.5511999999999</v>
      </c>
      <c r="AF964">
        <v>8.5562581058439093</v>
      </c>
      <c r="AG964">
        <v>-1.112148252843</v>
      </c>
      <c r="AH964">
        <v>13.353519805387601</v>
      </c>
      <c r="AI964">
        <v>94.011284549939504</v>
      </c>
      <c r="AJ964">
        <v>57.350311716825097</v>
      </c>
      <c r="AK964">
        <v>15.8985193556822</v>
      </c>
      <c r="AL964">
        <v>81.485007627407796</v>
      </c>
      <c r="AM964">
        <v>69.402584331113999</v>
      </c>
      <c r="AN964">
        <v>1.0000000124748101</v>
      </c>
    </row>
    <row r="965" spans="1:40" x14ac:dyDescent="0.25">
      <c r="A965" t="str">
        <f>"20190303162518181"</f>
        <v>20190303162518181</v>
      </c>
      <c r="B965" t="str">
        <f>"1551601518174083"</f>
        <v>1551601518174083</v>
      </c>
      <c r="C965" t="s">
        <v>40</v>
      </c>
      <c r="D965">
        <v>4.5814300000000001</v>
      </c>
      <c r="E965">
        <v>0.59068929999999997</v>
      </c>
      <c r="F965" t="s">
        <v>45</v>
      </c>
      <c r="G965">
        <v>-195.30600000000001</v>
      </c>
      <c r="H965" s="1">
        <v>-4.6846699999999998E-6</v>
      </c>
      <c r="I965">
        <v>355.78109999999998</v>
      </c>
      <c r="J965">
        <v>-205.29390000000001</v>
      </c>
      <c r="K965">
        <v>1.111804</v>
      </c>
      <c r="L965">
        <v>366.6628</v>
      </c>
      <c r="M965">
        <v>0.96848449999999997</v>
      </c>
      <c r="N965">
        <v>-1.0426309999999999E-2</v>
      </c>
      <c r="O965">
        <v>-0.2488553</v>
      </c>
      <c r="P965">
        <v>0.81026509999999996</v>
      </c>
      <c r="Q965">
        <v>0.1409272</v>
      </c>
      <c r="R965">
        <v>-0.56886780000000003</v>
      </c>
      <c r="S965">
        <v>2.1488800000000001</v>
      </c>
      <c r="T965">
        <v>-0.23269629999999999</v>
      </c>
      <c r="U965">
        <v>-2.2935490000000001</v>
      </c>
      <c r="V965">
        <v>0.352427299999999</v>
      </c>
      <c r="W965">
        <v>0.143153</v>
      </c>
      <c r="X965">
        <v>0.92482549999999997</v>
      </c>
      <c r="Y965">
        <v>0.53551439999999995</v>
      </c>
      <c r="Z965">
        <v>-7.9203160000000002E-3</v>
      </c>
      <c r="AA965">
        <v>0.84448899999999905</v>
      </c>
      <c r="AB965">
        <v>30</v>
      </c>
      <c r="AC965">
        <v>9.9879000000000193</v>
      </c>
      <c r="AD965">
        <v>-1.1118086846699999</v>
      </c>
      <c r="AE965">
        <v>-10.8817</v>
      </c>
      <c r="AF965">
        <v>8.0082803030791396</v>
      </c>
      <c r="AG965">
        <v>-1.1118086846699999</v>
      </c>
      <c r="AH965">
        <v>12.3120105671579</v>
      </c>
      <c r="AI965">
        <v>94.328942901757898</v>
      </c>
      <c r="AJ965">
        <v>56.958229969440303</v>
      </c>
      <c r="AK965">
        <v>14.7293678129715</v>
      </c>
      <c r="AL965">
        <v>81.769661849320698</v>
      </c>
      <c r="AM965">
        <v>69.1394382604078</v>
      </c>
      <c r="AN965">
        <v>0.99999999432226905</v>
      </c>
    </row>
    <row r="966" spans="1:40" x14ac:dyDescent="0.25">
      <c r="A966" t="str">
        <f>"20190303162518205"</f>
        <v>20190303162518205</v>
      </c>
      <c r="B966" t="str">
        <f>"1551601518193603"</f>
        <v>1551601518193603</v>
      </c>
      <c r="C966" t="s">
        <v>40</v>
      </c>
      <c r="D966">
        <v>4.876601</v>
      </c>
      <c r="E966">
        <v>0.59165129999999999</v>
      </c>
      <c r="F966" t="s">
        <v>45</v>
      </c>
      <c r="G966">
        <v>-195.93459999999999</v>
      </c>
      <c r="H966" s="1">
        <v>-5.0709440000000004E-6</v>
      </c>
      <c r="I966">
        <v>356.31110000000001</v>
      </c>
      <c r="J966">
        <v>-204.99019999999999</v>
      </c>
      <c r="K966">
        <v>1.111469</v>
      </c>
      <c r="L966">
        <v>366.5727</v>
      </c>
      <c r="M966">
        <v>0.96548769999999995</v>
      </c>
      <c r="N966">
        <v>-1.0488259999999999E-2</v>
      </c>
      <c r="O966">
        <v>-0.2602373</v>
      </c>
      <c r="P966">
        <v>0.80156680000000002</v>
      </c>
      <c r="Q966">
        <v>0.1354108</v>
      </c>
      <c r="R966">
        <v>-0.58236969999999899</v>
      </c>
      <c r="S966">
        <v>2.1086580000000001</v>
      </c>
      <c r="T966">
        <v>-0.2504922</v>
      </c>
      <c r="U966">
        <v>-2.3322449999999999</v>
      </c>
      <c r="V966">
        <v>0.35678510000000002</v>
      </c>
      <c r="W966">
        <v>0.1373318</v>
      </c>
      <c r="X966">
        <v>0.924037</v>
      </c>
      <c r="Y966">
        <v>0.54041649999999997</v>
      </c>
      <c r="Z966">
        <v>-7.5444209999999999E-3</v>
      </c>
      <c r="AA966">
        <v>0.8413638</v>
      </c>
      <c r="AB966">
        <v>30</v>
      </c>
      <c r="AC966">
        <v>9.0555999999999894</v>
      </c>
      <c r="AD966">
        <v>-1.1114740709440001</v>
      </c>
      <c r="AE966">
        <v>-10.2615999999999</v>
      </c>
      <c r="AF966">
        <v>7.5017808503129801</v>
      </c>
      <c r="AG966">
        <v>-1.1114740709440001</v>
      </c>
      <c r="AH966">
        <v>11.3393602767737</v>
      </c>
      <c r="AI966">
        <v>94.673458814282</v>
      </c>
      <c r="AJ966">
        <v>56.512573305243997</v>
      </c>
      <c r="AK966">
        <v>13.641597487940199</v>
      </c>
      <c r="AL966">
        <v>82.106521748403793</v>
      </c>
      <c r="AM966">
        <v>68.887647468271197</v>
      </c>
      <c r="AN966">
        <v>1.0000000041211199</v>
      </c>
    </row>
    <row r="967" spans="1:40" x14ac:dyDescent="0.25">
      <c r="A967" t="str">
        <f>"20190303162518228"</f>
        <v>20190303162518228</v>
      </c>
      <c r="B967" t="str">
        <f>"1551601518223859"</f>
        <v>1551601518223859</v>
      </c>
      <c r="C967" t="s">
        <v>40</v>
      </c>
      <c r="D967">
        <v>4.9353300000000004</v>
      </c>
      <c r="E967">
        <v>0.59231099999999903</v>
      </c>
      <c r="F967" t="s">
        <v>45</v>
      </c>
      <c r="G967">
        <v>-196.50219999999999</v>
      </c>
      <c r="H967" s="1">
        <v>-5.3765269999999998E-6</v>
      </c>
      <c r="I967">
        <v>356.83319999999998</v>
      </c>
      <c r="J967">
        <v>-204.6755</v>
      </c>
      <c r="K967">
        <v>1.111146</v>
      </c>
      <c r="L967">
        <v>366.47500000000002</v>
      </c>
      <c r="M967">
        <v>0.96213470000000001</v>
      </c>
      <c r="N967">
        <v>-1.055094E-2</v>
      </c>
      <c r="O967">
        <v>-0.27237080000000002</v>
      </c>
      <c r="P967">
        <v>0.79240219999999995</v>
      </c>
      <c r="Q967">
        <v>0.1303194</v>
      </c>
      <c r="R967">
        <v>-0.59591649999999996</v>
      </c>
      <c r="S967">
        <v>2.0659939999999999</v>
      </c>
      <c r="T967">
        <v>-0.27053440000000001</v>
      </c>
      <c r="U967">
        <v>-2.3706049999999999</v>
      </c>
      <c r="V967">
        <v>0.36061969999999999</v>
      </c>
      <c r="W967">
        <v>0.1319495</v>
      </c>
      <c r="X967">
        <v>0.92333240000000005</v>
      </c>
      <c r="Y967">
        <v>0.54500850000000001</v>
      </c>
      <c r="Z967">
        <v>-6.9916600000000002E-3</v>
      </c>
      <c r="AA967">
        <v>0.83840139999999996</v>
      </c>
      <c r="AB967">
        <v>30</v>
      </c>
      <c r="AC967">
        <v>8.17330000000001</v>
      </c>
      <c r="AD967">
        <v>-1.111151376527</v>
      </c>
      <c r="AE967">
        <v>-9.6418000000000408</v>
      </c>
      <c r="AF967">
        <v>6.9968625666251798</v>
      </c>
      <c r="AG967">
        <v>-1.111151376527</v>
      </c>
      <c r="AH967">
        <v>10.4100946797547</v>
      </c>
      <c r="AI967">
        <v>95.062478125812405</v>
      </c>
      <c r="AJ967">
        <v>56.094050253133602</v>
      </c>
      <c r="AK967">
        <v>12.592093328722401</v>
      </c>
      <c r="AL967">
        <v>82.417738826407401</v>
      </c>
      <c r="AM967">
        <v>68.666210559116195</v>
      </c>
      <c r="AN967">
        <v>0.99999997973404997</v>
      </c>
    </row>
    <row r="968" spans="1:40" x14ac:dyDescent="0.25">
      <c r="A968" t="str">
        <f>"20190303162518249"</f>
        <v>20190303162518249</v>
      </c>
      <c r="B968" t="str">
        <f>"1551601518243886"</f>
        <v>1551601518243886</v>
      </c>
      <c r="C968" t="s">
        <v>40</v>
      </c>
      <c r="D968">
        <v>4.9072449999999996</v>
      </c>
      <c r="E968">
        <v>0.59271750000000001</v>
      </c>
      <c r="F968" t="s">
        <v>45</v>
      </c>
      <c r="G968">
        <v>-196.96180000000001</v>
      </c>
      <c r="H968" s="1">
        <v>-5.60066699999999E-6</v>
      </c>
      <c r="I968">
        <v>357.28840000000002</v>
      </c>
      <c r="J968">
        <v>-204.38890000000001</v>
      </c>
      <c r="K968">
        <v>1.1108629999999999</v>
      </c>
      <c r="L968">
        <v>366.38200000000001</v>
      </c>
      <c r="M968">
        <v>0.95884979999999997</v>
      </c>
      <c r="N968">
        <v>-1.061022E-2</v>
      </c>
      <c r="O968">
        <v>-0.28371550000000001</v>
      </c>
      <c r="P968">
        <v>0.7839448</v>
      </c>
      <c r="Q968">
        <v>0.12731880000000001</v>
      </c>
      <c r="R968">
        <v>-0.6076355</v>
      </c>
      <c r="S968">
        <v>2.0224760000000002</v>
      </c>
      <c r="T968">
        <v>-0.29133520000000002</v>
      </c>
      <c r="U968">
        <v>-2.4086609999999999</v>
      </c>
      <c r="V968">
        <v>0.36332419999999999</v>
      </c>
      <c r="W968">
        <v>0.12870589999999901</v>
      </c>
      <c r="X968">
        <v>0.92272980000000004</v>
      </c>
      <c r="Y968">
        <v>0.55032809999999999</v>
      </c>
      <c r="Z968">
        <v>-6.4223219999999899E-3</v>
      </c>
      <c r="AA968">
        <v>0.83492379999999999</v>
      </c>
      <c r="AB968">
        <v>30</v>
      </c>
      <c r="AC968">
        <v>7.4270999999999896</v>
      </c>
      <c r="AD968">
        <v>-1.1108686006670001</v>
      </c>
      <c r="AE968">
        <v>-9.0935999999999204</v>
      </c>
      <c r="AF968">
        <v>6.5539171896905097</v>
      </c>
      <c r="AG968">
        <v>-1.1108686006670001</v>
      </c>
      <c r="AH968">
        <v>9.6159365256585101</v>
      </c>
      <c r="AI968">
        <v>95.452928581898107</v>
      </c>
      <c r="AJ968">
        <v>55.722899107336303</v>
      </c>
      <c r="AK968">
        <v>11.6899142359027</v>
      </c>
      <c r="AL968">
        <v>82.6051822448472</v>
      </c>
      <c r="AM968">
        <v>68.507995380424205</v>
      </c>
      <c r="AN968">
        <v>0.99999998340424401</v>
      </c>
    </row>
    <row r="969" spans="1:40" x14ac:dyDescent="0.25">
      <c r="A969" t="str">
        <f>"20190303162518272"</f>
        <v>20190303162518272</v>
      </c>
      <c r="B969" t="str">
        <f>"1551601518263405"</f>
        <v>1551601518263405</v>
      </c>
      <c r="C969" t="s">
        <v>40</v>
      </c>
      <c r="D969">
        <v>4.7419310000000001</v>
      </c>
      <c r="E969">
        <v>0.59314309999999903</v>
      </c>
      <c r="F969" t="s">
        <v>45</v>
      </c>
      <c r="G969">
        <v>-197.1371</v>
      </c>
      <c r="H969" s="1">
        <v>-5.6870650000000002E-6</v>
      </c>
      <c r="I969">
        <v>357.46469999999999</v>
      </c>
      <c r="J969">
        <v>-204.1009</v>
      </c>
      <c r="K969">
        <v>1.110576</v>
      </c>
      <c r="L969">
        <v>366.28460000000001</v>
      </c>
      <c r="M969">
        <v>0.955314</v>
      </c>
      <c r="N969">
        <v>-1.067365E-2</v>
      </c>
      <c r="O969">
        <v>-0.29540090000000002</v>
      </c>
      <c r="P969">
        <v>0.77549409999999996</v>
      </c>
      <c r="Q969">
        <v>0.12645600000000001</v>
      </c>
      <c r="R969">
        <v>-0.61856119999999903</v>
      </c>
      <c r="S969">
        <v>1.984604</v>
      </c>
      <c r="T969">
        <v>-0.30401409999999901</v>
      </c>
      <c r="U969">
        <v>-2.4404300000000001</v>
      </c>
      <c r="V969">
        <v>0.3650139</v>
      </c>
      <c r="W969">
        <v>0.12761919999999999</v>
      </c>
      <c r="X969">
        <v>0.92221370000000003</v>
      </c>
      <c r="Y969">
        <v>0.55316129999999997</v>
      </c>
      <c r="Z969">
        <v>-5.5473279999999998E-3</v>
      </c>
      <c r="AA969">
        <v>0.83305569999999896</v>
      </c>
      <c r="AB969">
        <v>31</v>
      </c>
      <c r="AC969">
        <v>6.9637999999999902</v>
      </c>
      <c r="AD969">
        <v>-1.110581687065</v>
      </c>
      <c r="AE969">
        <v>-8.8199000000000094</v>
      </c>
      <c r="AF969">
        <v>6.3074197137436103</v>
      </c>
      <c r="AG969">
        <v>-1.110581687065</v>
      </c>
      <c r="AH969">
        <v>9.1689963072986504</v>
      </c>
      <c r="AI969">
        <v>95.698789433845604</v>
      </c>
      <c r="AJ969">
        <v>55.4756325069499</v>
      </c>
      <c r="AK969">
        <v>11.184249121520001</v>
      </c>
      <c r="AL969">
        <v>82.667963129493103</v>
      </c>
      <c r="AM969">
        <v>68.406248464669403</v>
      </c>
      <c r="AN969">
        <v>0.99999995793476903</v>
      </c>
    </row>
    <row r="970" spans="1:40" x14ac:dyDescent="0.25">
      <c r="A970" t="str">
        <f>"20190303162518293"</f>
        <v>20190303162518293</v>
      </c>
      <c r="B970" t="str">
        <f>"1551601518283902"</f>
        <v>1551601518283902</v>
      </c>
      <c r="C970" t="s">
        <v>40</v>
      </c>
      <c r="D970">
        <v>5.0149089999999896</v>
      </c>
      <c r="E970">
        <v>0.59348829999999997</v>
      </c>
      <c r="F970" t="s">
        <v>45</v>
      </c>
      <c r="G970">
        <v>-197.10409999999999</v>
      </c>
      <c r="H970" s="1">
        <v>-5.6655899999999997E-6</v>
      </c>
      <c r="I970">
        <v>357.41590000000002</v>
      </c>
      <c r="J970">
        <v>-203.8126</v>
      </c>
      <c r="K970">
        <v>1.11029</v>
      </c>
      <c r="L970">
        <v>366.18290000000002</v>
      </c>
      <c r="M970">
        <v>0.95151909999999895</v>
      </c>
      <c r="N970">
        <v>-1.074218E-2</v>
      </c>
      <c r="O970">
        <v>-0.30740200000000001</v>
      </c>
      <c r="P970">
        <v>0.76708949999999998</v>
      </c>
      <c r="Q970">
        <v>0.1268069</v>
      </c>
      <c r="R970">
        <v>-0.62888290000000002</v>
      </c>
      <c r="S970">
        <v>1.948715</v>
      </c>
      <c r="T970">
        <v>-0.30931399999999998</v>
      </c>
      <c r="U970">
        <v>-2.470062</v>
      </c>
      <c r="V970">
        <v>0.36586279999999999</v>
      </c>
      <c r="W970">
        <v>0.1277587</v>
      </c>
      <c r="X970">
        <v>0.92185799999999996</v>
      </c>
      <c r="Y970">
        <v>0.55498289999999995</v>
      </c>
      <c r="Z970">
        <v>-4.5257270000000002E-3</v>
      </c>
      <c r="AA970">
        <v>0.83184950000000002</v>
      </c>
      <c r="AB970">
        <v>31</v>
      </c>
      <c r="AC970">
        <v>6.7085000000000097</v>
      </c>
      <c r="AD970">
        <v>-1.11029566559</v>
      </c>
      <c r="AE970">
        <v>-8.7669999999999906</v>
      </c>
      <c r="AF970">
        <v>6.2172316735681097</v>
      </c>
      <c r="AG970">
        <v>-1.11029566559</v>
      </c>
      <c r="AH970">
        <v>8.9878635594781002</v>
      </c>
      <c r="AI970">
        <v>95.801051450440397</v>
      </c>
      <c r="AJ970">
        <v>55.326982704574299</v>
      </c>
      <c r="AK970">
        <v>10.984917728942699</v>
      </c>
      <c r="AL970">
        <v>82.659904881536505</v>
      </c>
      <c r="AM970">
        <v>68.353087687667298</v>
      </c>
      <c r="AN970">
        <v>1.0000000230067601</v>
      </c>
    </row>
    <row r="971" spans="1:40" x14ac:dyDescent="0.25">
      <c r="A971" t="str">
        <f>"20190303162518316"</f>
        <v>20190303162518316</v>
      </c>
      <c r="B971" t="str">
        <f>"1551601518303421"</f>
        <v>1551601518303421</v>
      </c>
      <c r="C971" t="s">
        <v>40</v>
      </c>
      <c r="D971">
        <v>5.0630610000000003</v>
      </c>
      <c r="E971">
        <v>0.59384049999999999</v>
      </c>
      <c r="F971" t="s">
        <v>45</v>
      </c>
      <c r="G971">
        <v>-196.92609999999999</v>
      </c>
      <c r="H971" s="1">
        <v>-5.5580449999999997E-6</v>
      </c>
      <c r="I971">
        <v>357.17770000000002</v>
      </c>
      <c r="J971">
        <v>-203.51779999999999</v>
      </c>
      <c r="K971">
        <v>1.1099950000000001</v>
      </c>
      <c r="L971">
        <v>366.07440000000003</v>
      </c>
      <c r="M971">
        <v>0.94735590000000003</v>
      </c>
      <c r="N971">
        <v>-1.081793E-2</v>
      </c>
      <c r="O971">
        <v>-0.3199999</v>
      </c>
      <c r="P971">
        <v>0.75827040000000001</v>
      </c>
      <c r="Q971">
        <v>0.12994520000000001</v>
      </c>
      <c r="R971">
        <v>-0.63885890000000001</v>
      </c>
      <c r="S971">
        <v>1.912018</v>
      </c>
      <c r="T971">
        <v>-0.30827130000000003</v>
      </c>
      <c r="U971">
        <v>-2.5002749999999998</v>
      </c>
      <c r="V971">
        <v>0.36603029999999998</v>
      </c>
      <c r="W971">
        <v>0.13068840000000001</v>
      </c>
      <c r="X971">
        <v>0.92138070000000005</v>
      </c>
      <c r="Y971">
        <v>0.55655219999999905</v>
      </c>
      <c r="Z971">
        <v>-3.451614E-3</v>
      </c>
      <c r="AA971">
        <v>0.83080549999999997</v>
      </c>
      <c r="AB971">
        <v>31</v>
      </c>
      <c r="AC971">
        <v>6.5917000000000003</v>
      </c>
      <c r="AD971">
        <v>-1.1100005580450001</v>
      </c>
      <c r="AE971">
        <v>-8.8967000000000098</v>
      </c>
      <c r="AF971">
        <v>6.2564917927273402</v>
      </c>
      <c r="AG971">
        <v>-1.1100005580450001</v>
      </c>
      <c r="AH971">
        <v>9.0016966528754896</v>
      </c>
      <c r="AI971">
        <v>95.781792282809903</v>
      </c>
      <c r="AJ971">
        <v>55.1993577819404</v>
      </c>
      <c r="AK971">
        <v>11.018454221065401</v>
      </c>
      <c r="AL971">
        <v>82.490626005445606</v>
      </c>
      <c r="AM971">
        <v>68.333915024752102</v>
      </c>
      <c r="AN971">
        <v>1.00000001637256</v>
      </c>
    </row>
    <row r="972" spans="1:40" x14ac:dyDescent="0.25">
      <c r="A972" t="str">
        <f>"20190303162518342"</f>
        <v>20190303162518342</v>
      </c>
      <c r="B972" t="str">
        <f>"1551601518333678"</f>
        <v>1551601518333678</v>
      </c>
      <c r="C972" t="s">
        <v>40</v>
      </c>
      <c r="D972">
        <v>5.0805819999999997</v>
      </c>
      <c r="E972">
        <v>0.59421789999999997</v>
      </c>
      <c r="F972" t="s">
        <v>45</v>
      </c>
      <c r="G972">
        <v>-196.5061</v>
      </c>
      <c r="H972" s="1">
        <v>-5.3009649999999998E-6</v>
      </c>
      <c r="I972">
        <v>356.60570000000001</v>
      </c>
      <c r="J972">
        <v>-203.1816</v>
      </c>
      <c r="K972">
        <v>1.1096349999999999</v>
      </c>
      <c r="L972">
        <v>365.94439999999997</v>
      </c>
      <c r="M972">
        <v>0.94221279999999996</v>
      </c>
      <c r="N972">
        <v>-1.09132E-2</v>
      </c>
      <c r="O972">
        <v>-0.33483689999999999</v>
      </c>
      <c r="P972">
        <v>0.74791940000000001</v>
      </c>
      <c r="Q972">
        <v>0.13429199999999999</v>
      </c>
      <c r="R972">
        <v>-0.65006319999999995</v>
      </c>
      <c r="S972">
        <v>1.874512</v>
      </c>
      <c r="T972">
        <v>-0.29674780000000001</v>
      </c>
      <c r="U972">
        <v>-2.5313720000000002</v>
      </c>
      <c r="V972">
        <v>0.3657513</v>
      </c>
      <c r="W972">
        <v>0.13480020000000001</v>
      </c>
      <c r="X972">
        <v>0.92089900000000002</v>
      </c>
      <c r="Y972">
        <v>0.55649729999999997</v>
      </c>
      <c r="Z972">
        <v>-2.2268850000000001E-3</v>
      </c>
      <c r="AA972">
        <v>0.83084650000000004</v>
      </c>
      <c r="AB972">
        <v>31</v>
      </c>
      <c r="AC972">
        <v>6.6755000000000004</v>
      </c>
      <c r="AD972">
        <v>-1.109640300965</v>
      </c>
      <c r="AE972">
        <v>-9.3386999999999603</v>
      </c>
      <c r="AF972">
        <v>6.5034616984120897</v>
      </c>
      <c r="AG972">
        <v>-1.109640300965</v>
      </c>
      <c r="AH972">
        <v>9.3300638646165197</v>
      </c>
      <c r="AI972">
        <v>95.572594164259499</v>
      </c>
      <c r="AJ972">
        <v>55.121820195550299</v>
      </c>
      <c r="AK972">
        <v>11.427003429511201</v>
      </c>
      <c r="AL972">
        <v>82.252933709093</v>
      </c>
      <c r="AM972">
        <v>68.338624576013004</v>
      </c>
      <c r="AN972">
        <v>1.00000003778636</v>
      </c>
    </row>
    <row r="973" spans="1:40" x14ac:dyDescent="0.25">
      <c r="A973" t="str">
        <f>"20190303162518357"</f>
        <v>20190303162518357</v>
      </c>
      <c r="B973" t="str">
        <f>"1551601518353197"</f>
        <v>1551601518353197</v>
      </c>
      <c r="C973" t="s">
        <v>40</v>
      </c>
      <c r="D973">
        <v>5.1303530000000004</v>
      </c>
      <c r="E973">
        <v>0.59442259999999902</v>
      </c>
      <c r="F973" t="s">
        <v>45</v>
      </c>
      <c r="G973">
        <v>-196.04320000000001</v>
      </c>
      <c r="H973" s="1">
        <v>-4.9310249999999999E-6</v>
      </c>
      <c r="I973">
        <v>355.959</v>
      </c>
      <c r="J973">
        <v>-202.9872</v>
      </c>
      <c r="K973">
        <v>1.109424</v>
      </c>
      <c r="L973">
        <v>365.86660000000001</v>
      </c>
      <c r="M973">
        <v>0.93904779999999999</v>
      </c>
      <c r="N973">
        <v>-1.097102E-2</v>
      </c>
      <c r="O973">
        <v>-0.34361150000000001</v>
      </c>
      <c r="P973">
        <v>0.74143519999999996</v>
      </c>
      <c r="Q973">
        <v>0.136437</v>
      </c>
      <c r="R973">
        <v>-0.65700769999999997</v>
      </c>
      <c r="S973">
        <v>1.833313</v>
      </c>
      <c r="T973">
        <v>-0.28498259999999997</v>
      </c>
      <c r="U973">
        <v>-2.5644840000000002</v>
      </c>
      <c r="V973">
        <v>0.3660117</v>
      </c>
      <c r="W973">
        <v>0.13679379999999999</v>
      </c>
      <c r="X973">
        <v>0.92050149999999997</v>
      </c>
      <c r="Y973">
        <v>0.56274109999999999</v>
      </c>
      <c r="Z973">
        <v>-2.0447299999999998E-3</v>
      </c>
      <c r="AA973">
        <v>0.82663069999999905</v>
      </c>
      <c r="AB973">
        <v>31</v>
      </c>
      <c r="AC973">
        <v>6.9439999999999804</v>
      </c>
      <c r="AD973">
        <v>-1.1094289310250001</v>
      </c>
      <c r="AE973">
        <v>-9.9076000000000004</v>
      </c>
      <c r="AF973">
        <v>6.8604024422592103</v>
      </c>
      <c r="AG973">
        <v>-1.1094289310250001</v>
      </c>
      <c r="AH973">
        <v>9.8429462487772792</v>
      </c>
      <c r="AI973">
        <v>95.283053134478607</v>
      </c>
      <c r="AJ973">
        <v>55.1240166838381</v>
      </c>
      <c r="AK973">
        <v>12.0490474760069</v>
      </c>
      <c r="AL973">
        <v>82.137641007415496</v>
      </c>
      <c r="AM973">
        <v>68.316140264659495</v>
      </c>
      <c r="AN973">
        <v>1.0000000598787799</v>
      </c>
    </row>
    <row r="974" spans="1:40" x14ac:dyDescent="0.25">
      <c r="A974" t="str">
        <f>"20190303162518372"</f>
        <v>20190303162518372</v>
      </c>
      <c r="B974" t="str">
        <f>"1551601518363933"</f>
        <v>1551601518363933</v>
      </c>
      <c r="C974" t="s">
        <v>40</v>
      </c>
      <c r="D974">
        <v>4.9529620000000003</v>
      </c>
      <c r="E974">
        <v>0.59454039999999997</v>
      </c>
      <c r="F974" t="s">
        <v>45</v>
      </c>
      <c r="G974">
        <v>-195.8475</v>
      </c>
      <c r="H974" s="1">
        <v>-4.7514659999999996E-6</v>
      </c>
      <c r="I974">
        <v>355.66669999999999</v>
      </c>
      <c r="J974">
        <v>-202.78809999999999</v>
      </c>
      <c r="K974">
        <v>1.1092139999999999</v>
      </c>
      <c r="L974">
        <v>365.78399999999999</v>
      </c>
      <c r="M974">
        <v>0.93563810000000003</v>
      </c>
      <c r="N974">
        <v>-1.1032180000000001E-2</v>
      </c>
      <c r="O974">
        <v>-0.3527882</v>
      </c>
      <c r="P974">
        <v>0.7332417</v>
      </c>
      <c r="Q974">
        <v>0.14078969999999999</v>
      </c>
      <c r="R974">
        <v>-0.66523290000000002</v>
      </c>
      <c r="S974">
        <v>1.8085020000000001</v>
      </c>
      <c r="T974">
        <v>-0.28102110000000002</v>
      </c>
      <c r="U974">
        <v>-2.5836489999999999</v>
      </c>
      <c r="V974">
        <v>0.36774600000000002</v>
      </c>
      <c r="W974">
        <v>0.1409512</v>
      </c>
      <c r="X974">
        <v>0.9191821</v>
      </c>
      <c r="Y974">
        <v>0.56291729999999995</v>
      </c>
      <c r="Z974">
        <v>-1.343936E-3</v>
      </c>
      <c r="AA974">
        <v>0.82651209999999997</v>
      </c>
      <c r="AB974">
        <v>31</v>
      </c>
      <c r="AC974">
        <v>6.9405999999999803</v>
      </c>
      <c r="AD974">
        <v>-1.1092187514659999</v>
      </c>
      <c r="AE974">
        <v>-10.1173</v>
      </c>
      <c r="AF974">
        <v>6.9611007404071801</v>
      </c>
      <c r="AG974">
        <v>-1.1092187514659999</v>
      </c>
      <c r="AH974">
        <v>9.9821778828291094</v>
      </c>
      <c r="AI974">
        <v>95.207901841542807</v>
      </c>
      <c r="AJ974">
        <v>55.109896637237902</v>
      </c>
      <c r="AK974">
        <v>12.220113135365899</v>
      </c>
      <c r="AL974">
        <v>81.897108565298495</v>
      </c>
      <c r="AM974">
        <v>68.194659316160596</v>
      </c>
      <c r="AN974">
        <v>1.0000000471289201</v>
      </c>
    </row>
    <row r="975" spans="1:40" x14ac:dyDescent="0.25">
      <c r="A975" t="str">
        <f>"20190303162518388"</f>
        <v>20190303162518388</v>
      </c>
      <c r="B975" t="str">
        <f>"1551601518373694"</f>
        <v>1551601518373694</v>
      </c>
      <c r="C975" t="s">
        <v>40</v>
      </c>
      <c r="D975">
        <v>5.1488959999999997</v>
      </c>
      <c r="E975">
        <v>0.5946399</v>
      </c>
      <c r="F975" t="s">
        <v>45</v>
      </c>
      <c r="G975">
        <v>-195.46709999999999</v>
      </c>
      <c r="H975" s="1">
        <v>-4.3861829999999998E-6</v>
      </c>
      <c r="I975">
        <v>355.06360000000001</v>
      </c>
      <c r="J975">
        <v>-202.59030000000001</v>
      </c>
      <c r="K975">
        <v>1.109005</v>
      </c>
      <c r="L975">
        <v>365.69970000000001</v>
      </c>
      <c r="M975">
        <v>0.93209260000000005</v>
      </c>
      <c r="N975">
        <v>-1.109249E-2</v>
      </c>
      <c r="O975">
        <v>-0.36205009999999999</v>
      </c>
      <c r="P975">
        <v>0.72566960000000003</v>
      </c>
      <c r="Q975">
        <v>0.1420371</v>
      </c>
      <c r="R975">
        <v>-0.67322309999999996</v>
      </c>
      <c r="S975">
        <v>1.779312</v>
      </c>
      <c r="T975">
        <v>-0.26958890000000002</v>
      </c>
      <c r="U975">
        <v>-2.6055299999999999</v>
      </c>
      <c r="V975">
        <v>0.36889480000000002</v>
      </c>
      <c r="W975">
        <v>0.1420255</v>
      </c>
      <c r="X975">
        <v>0.91855620000000004</v>
      </c>
      <c r="Y975">
        <v>0.56437389999999998</v>
      </c>
      <c r="Z975">
        <v>-9.1129359999999996E-4</v>
      </c>
      <c r="AA975">
        <v>0.8255188</v>
      </c>
      <c r="AB975">
        <v>31</v>
      </c>
      <c r="AC975">
        <v>7.1232000000000202</v>
      </c>
      <c r="AD975">
        <v>-1.1090093861829999</v>
      </c>
      <c r="AE975">
        <v>-10.636100000000001</v>
      </c>
      <c r="AF975">
        <v>7.2806811720655702</v>
      </c>
      <c r="AG975">
        <v>-1.1090093861829999</v>
      </c>
      <c r="AH975">
        <v>10.4127757122502</v>
      </c>
      <c r="AI975">
        <v>94.988394354126001</v>
      </c>
      <c r="AJ975">
        <v>55.038501436464998</v>
      </c>
      <c r="AK975">
        <v>12.753984404159301</v>
      </c>
      <c r="AL975">
        <v>81.834930249003406</v>
      </c>
      <c r="AM975">
        <v>68.119464211049603</v>
      </c>
      <c r="AN975">
        <v>1.00000005433786</v>
      </c>
    </row>
    <row r="976" spans="1:40" x14ac:dyDescent="0.25">
      <c r="A976" t="str">
        <f>"20190303162518407"</f>
        <v>20190303162518407</v>
      </c>
      <c r="B976" t="str">
        <f>"1551601518393213"</f>
        <v>1551601518393213</v>
      </c>
      <c r="C976" t="s">
        <v>40</v>
      </c>
      <c r="D976">
        <v>5.1197429999999997</v>
      </c>
      <c r="E976">
        <v>0.59479090000000001</v>
      </c>
      <c r="F976" t="s">
        <v>45</v>
      </c>
      <c r="G976">
        <v>-195.3167</v>
      </c>
      <c r="H976" s="1">
        <v>-4.2244480000000002E-6</v>
      </c>
      <c r="I976">
        <v>354.78800000000001</v>
      </c>
      <c r="J976">
        <v>-202.34649999999999</v>
      </c>
      <c r="K976">
        <v>1.1087469999999999</v>
      </c>
      <c r="L976">
        <v>365.5926</v>
      </c>
      <c r="M976">
        <v>0.92749020000000004</v>
      </c>
      <c r="N976">
        <v>-1.1167069999999999E-2</v>
      </c>
      <c r="O976">
        <v>-0.37368089999999998</v>
      </c>
      <c r="P976">
        <v>0.71481719999999904</v>
      </c>
      <c r="Q976">
        <v>0.14464440000000001</v>
      </c>
      <c r="R976">
        <v>-0.6841893</v>
      </c>
      <c r="S976">
        <v>1.7503359999999999</v>
      </c>
      <c r="T976">
        <v>-0.2668719</v>
      </c>
      <c r="U976">
        <v>-2.6257929999999998</v>
      </c>
      <c r="V976">
        <v>0.37174780000000002</v>
      </c>
      <c r="W976">
        <v>0.1443729</v>
      </c>
      <c r="X976">
        <v>0.91703869999999998</v>
      </c>
      <c r="Y976">
        <v>0.56334949999999995</v>
      </c>
      <c r="Z976" s="1">
        <v>2.43783E-5</v>
      </c>
      <c r="AA976">
        <v>0.82621869999999997</v>
      </c>
      <c r="AB976">
        <v>31</v>
      </c>
      <c r="AC976">
        <v>7.0297999999999901</v>
      </c>
      <c r="AD976">
        <v>-1.108751224448</v>
      </c>
      <c r="AE976">
        <v>-10.804599999999899</v>
      </c>
      <c r="AF976">
        <v>7.3404103996738002</v>
      </c>
      <c r="AG976">
        <v>-1.108751224448</v>
      </c>
      <c r="AH976">
        <v>10.480658613814199</v>
      </c>
      <c r="AI976">
        <v>94.952388470490504</v>
      </c>
      <c r="AJ976">
        <v>54.993492125405197</v>
      </c>
      <c r="AK976">
        <v>12.8434870301127</v>
      </c>
      <c r="AL976">
        <v>81.699032831372605</v>
      </c>
      <c r="AM976">
        <v>67.933422949692996</v>
      </c>
      <c r="AN976">
        <v>0.99999996917846901</v>
      </c>
    </row>
    <row r="977" spans="1:40" x14ac:dyDescent="0.25">
      <c r="A977" t="str">
        <f>"20190303162518430"</f>
        <v>20190303162518430</v>
      </c>
      <c r="B977" t="str">
        <f>"1551601518423469"</f>
        <v>1551601518423469</v>
      </c>
      <c r="C977" t="s">
        <v>40</v>
      </c>
      <c r="D977">
        <v>5.1602759999999996</v>
      </c>
      <c r="E977">
        <v>0.59489969999999903</v>
      </c>
      <c r="F977" t="s">
        <v>45</v>
      </c>
      <c r="G977">
        <v>-195.08</v>
      </c>
      <c r="H977" s="1">
        <v>-3.9343879999999996E-6</v>
      </c>
      <c r="I977">
        <v>354.30189999999999</v>
      </c>
      <c r="J977">
        <v>-202.05520000000001</v>
      </c>
      <c r="K977">
        <v>1.1084529999999999</v>
      </c>
      <c r="L977">
        <v>365.45949999999999</v>
      </c>
      <c r="M977">
        <v>0.92164029999999997</v>
      </c>
      <c r="N977">
        <v>-1.125696E-2</v>
      </c>
      <c r="O977">
        <v>-0.38788260000000002</v>
      </c>
      <c r="P977">
        <v>0.70083030000000002</v>
      </c>
      <c r="Q977">
        <v>0.1480832</v>
      </c>
      <c r="R977">
        <v>-0.69778809999999902</v>
      </c>
      <c r="S977">
        <v>1.708588</v>
      </c>
      <c r="T977">
        <v>-0.26070179999999998</v>
      </c>
      <c r="U977">
        <v>-2.654785</v>
      </c>
      <c r="V977">
        <v>0.37575890000000001</v>
      </c>
      <c r="W977">
        <v>0.1474858</v>
      </c>
      <c r="X977">
        <v>0.91490610000000006</v>
      </c>
      <c r="Y977">
        <v>0.56403099999999995</v>
      </c>
      <c r="Z977">
        <v>9.3288530000000004E-4</v>
      </c>
      <c r="AA977">
        <v>0.82575309999999902</v>
      </c>
      <c r="AB977">
        <v>31</v>
      </c>
      <c r="AC977">
        <v>6.9752000000000001</v>
      </c>
      <c r="AD977">
        <v>-1.108456934388</v>
      </c>
      <c r="AE977">
        <v>-11.1576</v>
      </c>
      <c r="AF977">
        <v>7.5248157892556202</v>
      </c>
      <c r="AG977">
        <v>-1.108456934388</v>
      </c>
      <c r="AH977">
        <v>10.6813462694971</v>
      </c>
      <c r="AI977">
        <v>94.849178781809798</v>
      </c>
      <c r="AJ977">
        <v>54.8359950886761</v>
      </c>
      <c r="AK977">
        <v>13.1126918505135</v>
      </c>
      <c r="AL977">
        <v>81.518746950175199</v>
      </c>
      <c r="AM977">
        <v>67.671670782038802</v>
      </c>
      <c r="AN977">
        <v>0.99999999197403</v>
      </c>
    </row>
    <row r="978" spans="1:40" x14ac:dyDescent="0.25">
      <c r="A978" t="str">
        <f>"20190303162518452"</f>
        <v>20190303162518452</v>
      </c>
      <c r="B978" t="str">
        <f>"1551601518443965"</f>
        <v>1551601518443965</v>
      </c>
      <c r="C978" t="s">
        <v>40</v>
      </c>
      <c r="D978">
        <v>5.106611</v>
      </c>
      <c r="E978">
        <v>0.59511749999999997</v>
      </c>
      <c r="F978" t="s">
        <v>45</v>
      </c>
      <c r="G978">
        <v>-194.8699</v>
      </c>
      <c r="H978" s="1">
        <v>-3.6420239999999998E-6</v>
      </c>
      <c r="I978">
        <v>353.81349999999998</v>
      </c>
      <c r="J978">
        <v>-201.76509999999999</v>
      </c>
      <c r="K978">
        <v>1.108166</v>
      </c>
      <c r="L978">
        <v>365.32130000000001</v>
      </c>
      <c r="M978">
        <v>0.91543180000000002</v>
      </c>
      <c r="N978">
        <v>-1.134429E-2</v>
      </c>
      <c r="O978">
        <v>-0.40231289999999997</v>
      </c>
      <c r="P978">
        <v>0.68543279999999995</v>
      </c>
      <c r="Q978">
        <v>0.14934729999999999</v>
      </c>
      <c r="R978">
        <v>-0.71265529999999999</v>
      </c>
      <c r="S978">
        <v>1.65840099999999</v>
      </c>
      <c r="T978">
        <v>-0.25583840000000002</v>
      </c>
      <c r="U978">
        <v>-2.6879580000000001</v>
      </c>
      <c r="V978">
        <v>0.38125510000000001</v>
      </c>
      <c r="W978">
        <v>0.14838850000000001</v>
      </c>
      <c r="X978">
        <v>0.91248320000000005</v>
      </c>
      <c r="Y978">
        <v>0.56683519999999998</v>
      </c>
      <c r="Z978">
        <v>1.7357379999999999E-3</v>
      </c>
      <c r="AA978">
        <v>0.82382939999999905</v>
      </c>
      <c r="AB978">
        <v>31</v>
      </c>
      <c r="AC978">
        <v>6.8951999999999796</v>
      </c>
      <c r="AD978">
        <v>-1.1081696420239999</v>
      </c>
      <c r="AE978">
        <v>-11.5078</v>
      </c>
      <c r="AF978">
        <v>7.7084800781104397</v>
      </c>
      <c r="AG978">
        <v>-1.1081696420239999</v>
      </c>
      <c r="AH978">
        <v>10.8683674266208</v>
      </c>
      <c r="AI978">
        <v>94.754226845775193</v>
      </c>
      <c r="AJ978">
        <v>54.6535107171485</v>
      </c>
      <c r="AK978">
        <v>13.370494216376599</v>
      </c>
      <c r="AL978">
        <v>81.466451498051597</v>
      </c>
      <c r="AM978">
        <v>67.323779094216405</v>
      </c>
      <c r="AN978">
        <v>1.0000000942452401</v>
      </c>
    </row>
    <row r="979" spans="1:40" x14ac:dyDescent="0.25">
      <c r="A979" t="str">
        <f>"20190303162518475"</f>
        <v>20190303162518475</v>
      </c>
      <c r="B979" t="str">
        <f>"1551601518463485"</f>
        <v>1551601518463485</v>
      </c>
      <c r="C979" t="s">
        <v>40</v>
      </c>
      <c r="D979">
        <v>5.1058510000000004</v>
      </c>
      <c r="E979">
        <v>0.59538979999999997</v>
      </c>
      <c r="F979" t="s">
        <v>45</v>
      </c>
      <c r="G979">
        <v>-194.85830000000001</v>
      </c>
      <c r="H979" s="1">
        <v>-3.5131049999999998E-6</v>
      </c>
      <c r="I979">
        <v>353.56240000000003</v>
      </c>
      <c r="J979">
        <v>-201.48740000000001</v>
      </c>
      <c r="K979">
        <v>1.107891</v>
      </c>
      <c r="L979">
        <v>365.18349999999998</v>
      </c>
      <c r="M979">
        <v>0.90912630000000005</v>
      </c>
      <c r="N979">
        <v>-1.142233E-2</v>
      </c>
      <c r="O979">
        <v>-0.41636380000000001</v>
      </c>
      <c r="P979">
        <v>0.67111540000000003</v>
      </c>
      <c r="Q979">
        <v>0.14563180000000001</v>
      </c>
      <c r="R979">
        <v>-0.72690829999999995</v>
      </c>
      <c r="S979">
        <v>1.6002350000000001</v>
      </c>
      <c r="T979">
        <v>-0.25675110000000001</v>
      </c>
      <c r="U979">
        <v>-2.724396</v>
      </c>
      <c r="V979">
        <v>0.38602300000000001</v>
      </c>
      <c r="W979">
        <v>0.14436160000000001</v>
      </c>
      <c r="X979">
        <v>0.91112349999999998</v>
      </c>
      <c r="Y979">
        <v>0.57203789999999999</v>
      </c>
      <c r="Z979">
        <v>2.5812000000000001E-3</v>
      </c>
      <c r="AA979">
        <v>0.82022320000000004</v>
      </c>
      <c r="AB979">
        <v>31</v>
      </c>
      <c r="AC979">
        <v>6.6290999999999896</v>
      </c>
      <c r="AD979">
        <v>-1.107894513105</v>
      </c>
      <c r="AE979">
        <v>-11.621099999999901</v>
      </c>
      <c r="AF979">
        <v>7.75227985289456</v>
      </c>
      <c r="AG979">
        <v>-1.107894513105</v>
      </c>
      <c r="AH979">
        <v>10.791999371447501</v>
      </c>
      <c r="AI979">
        <v>94.766123313342803</v>
      </c>
      <c r="AJ979">
        <v>54.308958528898899</v>
      </c>
      <c r="AK979">
        <v>13.3338862903163</v>
      </c>
      <c r="AL979">
        <v>81.699687637799698</v>
      </c>
      <c r="AM979">
        <v>67.038694277625297</v>
      </c>
      <c r="AN979">
        <v>1.0000000301679</v>
      </c>
    </row>
    <row r="980" spans="1:40" x14ac:dyDescent="0.25">
      <c r="A980" t="str">
        <f>"20190303162518496"</f>
        <v>20190303162518496</v>
      </c>
      <c r="B980" t="str">
        <f>"1551601518483982"</f>
        <v>1551601518483982</v>
      </c>
      <c r="C980" t="s">
        <v>40</v>
      </c>
      <c r="D980">
        <v>5.0656119999999998</v>
      </c>
      <c r="E980">
        <v>0.59557939999999998</v>
      </c>
      <c r="F980" t="s">
        <v>45</v>
      </c>
      <c r="G980">
        <v>-195.1626</v>
      </c>
      <c r="H980" s="1">
        <v>-3.7330830000000001E-6</v>
      </c>
      <c r="I980">
        <v>353.8655</v>
      </c>
      <c r="J980">
        <v>-201.21780000000001</v>
      </c>
      <c r="K980">
        <v>1.107626</v>
      </c>
      <c r="L980">
        <v>365.0446</v>
      </c>
      <c r="M980">
        <v>0.90266380000000002</v>
      </c>
      <c r="N980">
        <v>-1.149083E-2</v>
      </c>
      <c r="O980">
        <v>-0.43019299999999999</v>
      </c>
      <c r="P980">
        <v>0.65767929999999997</v>
      </c>
      <c r="Q980">
        <v>0.13762959999999999</v>
      </c>
      <c r="R980">
        <v>-0.74061919999999903</v>
      </c>
      <c r="S980">
        <v>1.541336</v>
      </c>
      <c r="T980">
        <v>-0.26999139999999999</v>
      </c>
      <c r="U980">
        <v>-2.7581790000000002</v>
      </c>
      <c r="V980">
        <v>0.39002520000000002</v>
      </c>
      <c r="W980">
        <v>0.13609839999999901</v>
      </c>
      <c r="X980">
        <v>0.91069069999999996</v>
      </c>
      <c r="Y980">
        <v>0.57706409999999997</v>
      </c>
      <c r="Z980">
        <v>4.0004890000000003E-3</v>
      </c>
      <c r="AA980">
        <v>0.81668909999999995</v>
      </c>
      <c r="AB980">
        <v>31</v>
      </c>
      <c r="AC980">
        <v>6.0552000000000099</v>
      </c>
      <c r="AD980">
        <v>-1.1076297330830001</v>
      </c>
      <c r="AE980">
        <v>-11.1791</v>
      </c>
      <c r="AF980">
        <v>7.4301629892627297</v>
      </c>
      <c r="AG980">
        <v>-1.1076297330830001</v>
      </c>
      <c r="AH980">
        <v>10.198253283351301</v>
      </c>
      <c r="AI980">
        <v>95.016697868104302</v>
      </c>
      <c r="AJ980">
        <v>53.923962658944397</v>
      </c>
      <c r="AK980">
        <v>12.666433424765</v>
      </c>
      <c r="AL980">
        <v>82.177860103809195</v>
      </c>
      <c r="AM980">
        <v>66.815805363802895</v>
      </c>
      <c r="AN980">
        <v>0.99999999109204496</v>
      </c>
    </row>
    <row r="981" spans="1:40" x14ac:dyDescent="0.25">
      <c r="A981" t="str">
        <f>"20190303162518530"</f>
        <v>20190303162518530</v>
      </c>
      <c r="B981" t="str">
        <f>"1551601518523998"</f>
        <v>1551601518523998</v>
      </c>
      <c r="C981" t="s">
        <v>40</v>
      </c>
      <c r="D981">
        <v>5.1574049999999998</v>
      </c>
      <c r="E981">
        <v>0.59575290000000003</v>
      </c>
      <c r="F981" t="s">
        <v>45</v>
      </c>
      <c r="G981">
        <v>-195.6859</v>
      </c>
      <c r="H981" s="1">
        <v>-4.2466400000000004E-6</v>
      </c>
      <c r="I981">
        <v>354.65989999999999</v>
      </c>
      <c r="J981">
        <v>-200.79159999999999</v>
      </c>
      <c r="K981">
        <v>1.107305</v>
      </c>
      <c r="L981">
        <v>364.81330000000003</v>
      </c>
      <c r="M981">
        <v>0.89174880000000001</v>
      </c>
      <c r="N981">
        <v>-1.158441E-2</v>
      </c>
      <c r="O981">
        <v>-0.45238289999999998</v>
      </c>
      <c r="P981">
        <v>0.64049919999999905</v>
      </c>
      <c r="Q981">
        <v>0.12811549999999999</v>
      </c>
      <c r="R981">
        <v>-0.75719759999999903</v>
      </c>
      <c r="S981">
        <v>1.4848479999999999</v>
      </c>
      <c r="T981">
        <v>-0.29730069999999997</v>
      </c>
      <c r="U981">
        <v>-2.7873540000000001</v>
      </c>
      <c r="V981">
        <v>0.38969379999999998</v>
      </c>
      <c r="W981">
        <v>0.1264448</v>
      </c>
      <c r="X981">
        <v>0.9122228</v>
      </c>
      <c r="Y981">
        <v>0.57320760000000004</v>
      </c>
      <c r="Z981">
        <v>7.6101789999999999E-3</v>
      </c>
      <c r="AA981">
        <v>0.81937479999999996</v>
      </c>
      <c r="AB981">
        <v>31</v>
      </c>
      <c r="AC981">
        <v>5.1056999999999801</v>
      </c>
      <c r="AD981">
        <v>-1.1073092466399901</v>
      </c>
      <c r="AE981">
        <v>-10.1534</v>
      </c>
      <c r="AF981">
        <v>6.6815728717088598</v>
      </c>
      <c r="AG981">
        <v>-1.1073092466399901</v>
      </c>
      <c r="AH981">
        <v>9.0608224414985408</v>
      </c>
      <c r="AI981">
        <v>95.6174182855559</v>
      </c>
      <c r="AJ981">
        <v>53.594435322465202</v>
      </c>
      <c r="AK981">
        <v>11.312296545088101</v>
      </c>
      <c r="AL981">
        <v>82.735801121044602</v>
      </c>
      <c r="AM981">
        <v>66.868239759418302</v>
      </c>
      <c r="AN981">
        <v>0.99999999102266002</v>
      </c>
    </row>
    <row r="982" spans="1:40" x14ac:dyDescent="0.25">
      <c r="A982" t="str">
        <f>"20190303162518552"</f>
        <v>20190303162518552</v>
      </c>
      <c r="B982" t="str">
        <f>"1551601518543517"</f>
        <v>1551601518543517</v>
      </c>
      <c r="C982" t="s">
        <v>40</v>
      </c>
      <c r="D982">
        <v>5.1527180000000001</v>
      </c>
      <c r="E982">
        <v>0.59578969999999998</v>
      </c>
      <c r="F982" t="s">
        <v>45</v>
      </c>
      <c r="G982">
        <v>-196.12520000000001</v>
      </c>
      <c r="H982" s="1">
        <v>-4.7503050000000004E-6</v>
      </c>
      <c r="I982">
        <v>355.53199999999998</v>
      </c>
      <c r="J982">
        <v>-200.52780000000001</v>
      </c>
      <c r="K982">
        <v>1.1071690000000001</v>
      </c>
      <c r="L982">
        <v>364.66329999999999</v>
      </c>
      <c r="M982">
        <v>0.88457640000000004</v>
      </c>
      <c r="N982">
        <v>-1.1634419999999999E-2</v>
      </c>
      <c r="O982">
        <v>-0.4662502</v>
      </c>
      <c r="P982">
        <v>0.63065419999999905</v>
      </c>
      <c r="Q982">
        <v>0.12777269999999999</v>
      </c>
      <c r="R982">
        <v>-0.76547339999999997</v>
      </c>
      <c r="S982">
        <v>1.417694</v>
      </c>
      <c r="T982">
        <v>-0.3364086</v>
      </c>
      <c r="U982">
        <v>-2.8197019999999999</v>
      </c>
      <c r="V982">
        <v>0.38732549999999999</v>
      </c>
      <c r="W982">
        <v>0.12610940000000001</v>
      </c>
      <c r="X982">
        <v>0.91327729999999996</v>
      </c>
      <c r="Y982">
        <v>0.57950769999999996</v>
      </c>
      <c r="Z982">
        <v>1.0830390000000001E-2</v>
      </c>
      <c r="AA982">
        <v>0.81489480000000003</v>
      </c>
      <c r="AB982">
        <v>31</v>
      </c>
      <c r="AC982">
        <v>4.4025999999999996</v>
      </c>
      <c r="AD982">
        <v>-1.1071737503049901</v>
      </c>
      <c r="AE982">
        <v>-9.1313000000000102</v>
      </c>
      <c r="AF982">
        <v>5.9540036561513601</v>
      </c>
      <c r="AG982">
        <v>-1.1071737503049901</v>
      </c>
      <c r="AH982">
        <v>8.0563564830205596</v>
      </c>
      <c r="AI982">
        <v>96.306810947995501</v>
      </c>
      <c r="AJ982">
        <v>53.533960439540401</v>
      </c>
      <c r="AK982">
        <v>10.0787337018266</v>
      </c>
      <c r="AL982">
        <v>82.755173448100606</v>
      </c>
      <c r="AM982">
        <v>67.017954736456304</v>
      </c>
      <c r="AN982">
        <v>1.0000000252069401</v>
      </c>
    </row>
    <row r="983" spans="1:40" x14ac:dyDescent="0.25">
      <c r="A983" t="str">
        <f>"20190303162518575"</f>
        <v>20190303162518575</v>
      </c>
      <c r="B983" t="str">
        <f>"1551601518564013"</f>
        <v>1551601518564013</v>
      </c>
      <c r="C983" t="s">
        <v>40</v>
      </c>
      <c r="D983">
        <v>5.154909</v>
      </c>
      <c r="E983">
        <v>0.59582389999999996</v>
      </c>
      <c r="F983" t="s">
        <v>45</v>
      </c>
      <c r="G983">
        <v>-196.02440000000001</v>
      </c>
      <c r="H983" s="1">
        <v>-4.6649190000000003E-6</v>
      </c>
      <c r="I983">
        <v>355.39670000000001</v>
      </c>
      <c r="J983">
        <v>-200.24629999999999</v>
      </c>
      <c r="K983">
        <v>1.1070500000000001</v>
      </c>
      <c r="L983">
        <v>364.49740000000003</v>
      </c>
      <c r="M983">
        <v>0.87656819999999902</v>
      </c>
      <c r="N983">
        <v>-1.168224E-2</v>
      </c>
      <c r="O983">
        <v>-0.48113620000000001</v>
      </c>
      <c r="P983">
        <v>0.62053899999999995</v>
      </c>
      <c r="Q983">
        <v>0.13169890000000001</v>
      </c>
      <c r="R983">
        <v>-0.77303769999999905</v>
      </c>
      <c r="S983">
        <v>1.379761</v>
      </c>
      <c r="T983">
        <v>-0.33921750000000001</v>
      </c>
      <c r="U983">
        <v>-2.8391109999999999</v>
      </c>
      <c r="V983">
        <v>0.38347320000000001</v>
      </c>
      <c r="W983">
        <v>0.1301022</v>
      </c>
      <c r="X983">
        <v>0.91434219999999999</v>
      </c>
      <c r="Y983">
        <v>0.57678499999999999</v>
      </c>
      <c r="Z983">
        <v>1.2869230000000001E-2</v>
      </c>
      <c r="AA983">
        <v>0.81679460000000004</v>
      </c>
      <c r="AB983">
        <v>31</v>
      </c>
      <c r="AC983">
        <v>4.2218999999999696</v>
      </c>
      <c r="AD983">
        <v>-1.1070546649190001</v>
      </c>
      <c r="AE983">
        <v>-9.1007000000000104</v>
      </c>
      <c r="AF983">
        <v>5.8749415688081701</v>
      </c>
      <c r="AG983">
        <v>-1.1070546649190001</v>
      </c>
      <c r="AH983">
        <v>7.9828038006750797</v>
      </c>
      <c r="AI983">
        <v>96.373104256748903</v>
      </c>
      <c r="AJ983">
        <v>53.6488034056337</v>
      </c>
      <c r="AK983">
        <v>9.9732474644972893</v>
      </c>
      <c r="AL983">
        <v>82.524501659221798</v>
      </c>
      <c r="AM983">
        <v>67.246925375410697</v>
      </c>
      <c r="AN983">
        <v>0.99999996813195902</v>
      </c>
    </row>
    <row r="984" spans="1:40" x14ac:dyDescent="0.25">
      <c r="A984" t="str">
        <f>"20190303162518596"</f>
        <v>20190303162518596</v>
      </c>
      <c r="B984" t="str">
        <f>"1551601518583534"</f>
        <v>1551601518583534</v>
      </c>
      <c r="C984" t="s">
        <v>40</v>
      </c>
      <c r="D984">
        <v>5.1427659999999999</v>
      </c>
      <c r="E984">
        <v>0.59583390000000003</v>
      </c>
      <c r="F984" t="s">
        <v>45</v>
      </c>
      <c r="G984">
        <v>-195.71299999999999</v>
      </c>
      <c r="H984" s="1">
        <v>-4.3407629999999996E-6</v>
      </c>
      <c r="I984">
        <v>354.84910000000002</v>
      </c>
      <c r="J984">
        <v>-199.99160000000001</v>
      </c>
      <c r="K984">
        <v>1.106962</v>
      </c>
      <c r="L984">
        <v>364.3417</v>
      </c>
      <c r="M984">
        <v>0.86899669999999896</v>
      </c>
      <c r="N984">
        <v>-1.172199E-2</v>
      </c>
      <c r="O984">
        <v>-0.49467899999999998</v>
      </c>
      <c r="P984">
        <v>0.61068359999999899</v>
      </c>
      <c r="Q984">
        <v>0.13675279999999901</v>
      </c>
      <c r="R984">
        <v>-0.77997729999999998</v>
      </c>
      <c r="S984">
        <v>1.3431090000000001</v>
      </c>
      <c r="T984">
        <v>-0.3279977</v>
      </c>
      <c r="U984">
        <v>-2.8586119999999999</v>
      </c>
      <c r="V984">
        <v>0.38032110000000002</v>
      </c>
      <c r="W984">
        <v>0.1352122</v>
      </c>
      <c r="X984">
        <v>0.91491719999999999</v>
      </c>
      <c r="Y984">
        <v>0.57496159999999996</v>
      </c>
      <c r="Z984">
        <v>1.3755430000000001E-2</v>
      </c>
      <c r="AA984">
        <v>0.81806469999999998</v>
      </c>
      <c r="AB984">
        <v>31</v>
      </c>
      <c r="AC984">
        <v>4.2786000000000097</v>
      </c>
      <c r="AD984">
        <v>-1.1069663407629999</v>
      </c>
      <c r="AE984">
        <v>-9.4925999999999799</v>
      </c>
      <c r="AF984">
        <v>6.0643830030296098</v>
      </c>
      <c r="AG984">
        <v>-1.1069663407629999</v>
      </c>
      <c r="AH984">
        <v>8.3204155335792294</v>
      </c>
      <c r="AI984">
        <v>96.136583213515607</v>
      </c>
      <c r="AJ984">
        <v>53.913346884840699</v>
      </c>
      <c r="AK984">
        <v>10.3552609980841</v>
      </c>
      <c r="AL984">
        <v>82.229109286350507</v>
      </c>
      <c r="AM984">
        <v>67.427876883233694</v>
      </c>
      <c r="AN984">
        <v>0.99999998049494399</v>
      </c>
    </row>
    <row r="985" spans="1:40" x14ac:dyDescent="0.25">
      <c r="A985" t="str">
        <f>"20190303162518620"</f>
        <v>20190303162518620</v>
      </c>
      <c r="B985" t="str">
        <f>"1551601518613789"</f>
        <v>1551601518613789</v>
      </c>
      <c r="C985" t="s">
        <v>40</v>
      </c>
      <c r="D985">
        <v>5.2094290000000001</v>
      </c>
      <c r="E985">
        <v>0.59581379999999995</v>
      </c>
      <c r="F985" t="s">
        <v>45</v>
      </c>
      <c r="G985">
        <v>-195.40639999999999</v>
      </c>
      <c r="H985" s="1">
        <v>-3.9975560000000001E-6</v>
      </c>
      <c r="I985">
        <v>354.28359999999998</v>
      </c>
      <c r="J985">
        <v>-199.70410000000001</v>
      </c>
      <c r="K985">
        <v>1.1068530000000001</v>
      </c>
      <c r="L985">
        <v>364.15910000000002</v>
      </c>
      <c r="M985">
        <v>0.86006519999999997</v>
      </c>
      <c r="N985">
        <v>-1.1764810000000001E-2</v>
      </c>
      <c r="O985">
        <v>-0.51004859999999996</v>
      </c>
      <c r="P985">
        <v>0.59701689999999996</v>
      </c>
      <c r="Q985">
        <v>0.138798799999999</v>
      </c>
      <c r="R985">
        <v>-0.79013059999999902</v>
      </c>
      <c r="S985">
        <v>1.3108219999999999</v>
      </c>
      <c r="T985">
        <v>-0.31645980000000001</v>
      </c>
      <c r="U985">
        <v>-2.875397</v>
      </c>
      <c r="V985">
        <v>0.37977630000000001</v>
      </c>
      <c r="W985">
        <v>0.137216</v>
      </c>
      <c r="X985">
        <v>0.91484520000000003</v>
      </c>
      <c r="Y985">
        <v>0.56995580000000001</v>
      </c>
      <c r="Z985">
        <v>1.4905069999999999E-2</v>
      </c>
      <c r="AA985">
        <v>0.82154020000000005</v>
      </c>
      <c r="AB985">
        <v>31</v>
      </c>
      <c r="AC985">
        <v>4.2977000000000203</v>
      </c>
      <c r="AD985">
        <v>-1.1068569975560001</v>
      </c>
      <c r="AE985">
        <v>-9.8755000000000397</v>
      </c>
      <c r="AF985">
        <v>6.2361087355322198</v>
      </c>
      <c r="AG985">
        <v>-1.1068569975560001</v>
      </c>
      <c r="AH985">
        <v>8.6426088710392399</v>
      </c>
      <c r="AI985">
        <v>95.929278617014603</v>
      </c>
      <c r="AJ985">
        <v>54.187517982001303</v>
      </c>
      <c r="AK985">
        <v>10.7148902314576</v>
      </c>
      <c r="AL985">
        <v>82.113220012909593</v>
      </c>
      <c r="AM985">
        <v>67.455377126559398</v>
      </c>
      <c r="AN985">
        <v>1.0000000043303601</v>
      </c>
    </row>
    <row r="986" spans="1:40" x14ac:dyDescent="0.25">
      <c r="A986" t="str">
        <f>"20190303162518644"</f>
        <v>20190303162518644</v>
      </c>
      <c r="B986" t="str">
        <f>"1551601518633309"</f>
        <v>1551601518633309</v>
      </c>
      <c r="C986" t="s">
        <v>40</v>
      </c>
      <c r="D986">
        <v>5.2818370000000003</v>
      </c>
      <c r="E986">
        <v>0.59576609999999997</v>
      </c>
      <c r="F986" t="s">
        <v>45</v>
      </c>
      <c r="G986">
        <v>-195.27619999999999</v>
      </c>
      <c r="H986" s="1">
        <v>-3.8293540000000001E-6</v>
      </c>
      <c r="I986">
        <v>354.00670000000002</v>
      </c>
      <c r="J986">
        <v>-199.42930000000001</v>
      </c>
      <c r="K986">
        <v>1.106749</v>
      </c>
      <c r="L986">
        <v>363.97750000000002</v>
      </c>
      <c r="M986">
        <v>0.85112710000000003</v>
      </c>
      <c r="N986">
        <v>-1.180553E-2</v>
      </c>
      <c r="O986">
        <v>-0.52482700000000004</v>
      </c>
      <c r="P986">
        <v>0.58300260000000004</v>
      </c>
      <c r="Q986">
        <v>0.1397764</v>
      </c>
      <c r="R986">
        <v>-0.80035659999999997</v>
      </c>
      <c r="S986">
        <v>1.2637179999999999</v>
      </c>
      <c r="T986">
        <v>-0.31589129999999999</v>
      </c>
      <c r="U986">
        <v>-2.8974299999999999</v>
      </c>
      <c r="V986">
        <v>0.38001790000000002</v>
      </c>
      <c r="W986">
        <v>0.13812659999999999</v>
      </c>
      <c r="X986">
        <v>0.91460779999999997</v>
      </c>
      <c r="Y986">
        <v>0.56933049999999996</v>
      </c>
      <c r="Z986">
        <v>1.6472549999999999E-2</v>
      </c>
      <c r="AA986">
        <v>0.8219436</v>
      </c>
      <c r="AB986">
        <v>31</v>
      </c>
      <c r="AC986">
        <v>4.1531000000000198</v>
      </c>
      <c r="AD986">
        <v>-1.1067528293540001</v>
      </c>
      <c r="AE986">
        <v>-9.9707999999999899</v>
      </c>
      <c r="AF986">
        <v>6.2416652059863704</v>
      </c>
      <c r="AG986">
        <v>-1.1067528293540001</v>
      </c>
      <c r="AH986">
        <v>8.6772664349005897</v>
      </c>
      <c r="AI986">
        <v>95.911449391575601</v>
      </c>
      <c r="AJ986">
        <v>54.272067922976802</v>
      </c>
      <c r="AK986">
        <v>10.746080176099399</v>
      </c>
      <c r="AL986">
        <v>82.060544825000093</v>
      </c>
      <c r="AM986">
        <v>67.437203046515094</v>
      </c>
      <c r="AN986">
        <v>0.99999999488440405</v>
      </c>
    </row>
    <row r="987" spans="1:40" x14ac:dyDescent="0.25">
      <c r="A987" t="str">
        <f>"20190303162518666"</f>
        <v>20190303162518666</v>
      </c>
      <c r="B987" t="str">
        <f>"1551601518653806"</f>
        <v>1551601518653806</v>
      </c>
      <c r="C987" t="s">
        <v>40</v>
      </c>
      <c r="D987">
        <v>4.8767469999999999</v>
      </c>
      <c r="E987">
        <v>0.59634489999999996</v>
      </c>
      <c r="F987" t="s">
        <v>45</v>
      </c>
      <c r="G987">
        <v>-195.16130000000001</v>
      </c>
      <c r="H987" s="1">
        <v>-3.649288E-6</v>
      </c>
      <c r="I987">
        <v>353.69959999999998</v>
      </c>
      <c r="J987">
        <v>-199.16560000000001</v>
      </c>
      <c r="K987">
        <v>1.106662</v>
      </c>
      <c r="L987">
        <v>363.79680000000002</v>
      </c>
      <c r="M987">
        <v>0.84217940000000002</v>
      </c>
      <c r="N987">
        <v>-1.1843950000000001E-2</v>
      </c>
      <c r="O987">
        <v>-0.53906730000000003</v>
      </c>
      <c r="P987">
        <v>0.5702007</v>
      </c>
      <c r="Q987">
        <v>0.14262030000000001</v>
      </c>
      <c r="R987">
        <v>-0.8090311</v>
      </c>
      <c r="S987">
        <v>1.2125549999999901</v>
      </c>
      <c r="T987">
        <v>-0.31442809999999999</v>
      </c>
      <c r="U987">
        <v>-2.9199519999999999</v>
      </c>
      <c r="V987">
        <v>0.37889030000000001</v>
      </c>
      <c r="W987">
        <v>0.1409559</v>
      </c>
      <c r="X987">
        <v>0.91464389999999995</v>
      </c>
      <c r="Y987">
        <v>0.57008179999999997</v>
      </c>
      <c r="Z987">
        <v>1.7824420000000001E-2</v>
      </c>
      <c r="AA987">
        <v>0.82139459999999997</v>
      </c>
      <c r="AB987">
        <v>31</v>
      </c>
      <c r="AC987">
        <v>4.0042999999999997</v>
      </c>
      <c r="AD987">
        <v>-1.106665649288</v>
      </c>
      <c r="AE987">
        <v>-10.097200000000001</v>
      </c>
      <c r="AF987">
        <v>6.2803223456369697</v>
      </c>
      <c r="AG987">
        <v>-1.106665649288</v>
      </c>
      <c r="AH987">
        <v>8.7254579286672893</v>
      </c>
      <c r="AI987">
        <v>95.877303251331497</v>
      </c>
      <c r="AJ987">
        <v>54.254794779927799</v>
      </c>
      <c r="AK987">
        <v>10.8074406632358</v>
      </c>
      <c r="AL987">
        <v>81.896835722234101</v>
      </c>
      <c r="AM987">
        <v>67.498268063461794</v>
      </c>
      <c r="AN987">
        <v>0.99999994449305296</v>
      </c>
    </row>
    <row r="988" spans="1:40" x14ac:dyDescent="0.25">
      <c r="A988" t="str">
        <f>"20190303162518686"</f>
        <v>20190303162518686</v>
      </c>
      <c r="B988" t="str">
        <f>"1551601518684061"</f>
        <v>1551601518684061</v>
      </c>
      <c r="C988" t="s">
        <v>40</v>
      </c>
      <c r="D988">
        <v>4.9986230000000003</v>
      </c>
      <c r="E988">
        <v>0.59701479999999996</v>
      </c>
      <c r="F988" t="s">
        <v>45</v>
      </c>
      <c r="G988">
        <v>-194.90989999999999</v>
      </c>
      <c r="H988" s="1">
        <v>-3.2482710000000001E-6</v>
      </c>
      <c r="I988">
        <v>353.01339999999999</v>
      </c>
      <c r="J988">
        <v>-198.92400000000001</v>
      </c>
      <c r="K988">
        <v>1.1065849999999999</v>
      </c>
      <c r="L988">
        <v>363.62549999999999</v>
      </c>
      <c r="M988">
        <v>0.83364050000000001</v>
      </c>
      <c r="N988">
        <v>-1.1879000000000001E-2</v>
      </c>
      <c r="O988">
        <v>-0.55217959999999899</v>
      </c>
      <c r="P988">
        <v>0.55831350000000002</v>
      </c>
      <c r="Q988">
        <v>0.14624000000000001</v>
      </c>
      <c r="R988">
        <v>-0.81663940000000002</v>
      </c>
      <c r="S988">
        <v>1.1614070000000001</v>
      </c>
      <c r="T988">
        <v>-0.30201650000000002</v>
      </c>
      <c r="U988">
        <v>-2.9428709999999998</v>
      </c>
      <c r="V988">
        <v>0.3775674</v>
      </c>
      <c r="W988">
        <v>0.14456769999999999</v>
      </c>
      <c r="X988">
        <v>0.91462730000000003</v>
      </c>
      <c r="Y988">
        <v>0.57185109999999995</v>
      </c>
      <c r="Z988">
        <v>1.797882E-2</v>
      </c>
      <c r="AA988">
        <v>0.82016039999999901</v>
      </c>
      <c r="AB988">
        <v>31</v>
      </c>
      <c r="AC988">
        <v>4.0141000000000098</v>
      </c>
      <c r="AD988">
        <v>-1.1065882482710001</v>
      </c>
      <c r="AE988">
        <v>-10.6120999999999</v>
      </c>
      <c r="AF988">
        <v>6.5681609198398698</v>
      </c>
      <c r="AG988">
        <v>-1.1065882482710001</v>
      </c>
      <c r="AH988">
        <v>9.11999777320597</v>
      </c>
      <c r="AI988">
        <v>95.623199886722503</v>
      </c>
      <c r="AJ988">
        <v>54.238820912271997</v>
      </c>
      <c r="AK988">
        <v>11.2933447128565</v>
      </c>
      <c r="AL988">
        <v>81.6877537872776</v>
      </c>
      <c r="AM988">
        <v>67.568669691906294</v>
      </c>
      <c r="AN988">
        <v>1.0000000296656599</v>
      </c>
    </row>
    <row r="989" spans="1:40" x14ac:dyDescent="0.25">
      <c r="A989" t="str">
        <f>"20190303162518710"</f>
        <v>20190303162518710</v>
      </c>
      <c r="B989" t="str">
        <f>"1551601518703582"</f>
        <v>1551601518703582</v>
      </c>
      <c r="C989" t="s">
        <v>40</v>
      </c>
      <c r="D989">
        <v>4.9884709999999997</v>
      </c>
      <c r="E989">
        <v>0.59741119999999903</v>
      </c>
      <c r="F989" t="s">
        <v>45</v>
      </c>
      <c r="G989">
        <v>-194.65029999999999</v>
      </c>
      <c r="H989" s="1">
        <v>-2.8078180000000001E-6</v>
      </c>
      <c r="I989">
        <v>352.2559</v>
      </c>
      <c r="J989">
        <v>-198.65799999999999</v>
      </c>
      <c r="K989">
        <v>1.106476</v>
      </c>
      <c r="L989">
        <v>363.43029999999999</v>
      </c>
      <c r="M989">
        <v>0.82383909999999905</v>
      </c>
      <c r="N989">
        <v>-1.1919809999999999E-2</v>
      </c>
      <c r="O989">
        <v>-0.566698699999999</v>
      </c>
      <c r="P989">
        <v>0.54468719999999904</v>
      </c>
      <c r="Q989">
        <v>0.1489471</v>
      </c>
      <c r="R989">
        <v>-0.82530689999999995</v>
      </c>
      <c r="S989">
        <v>1.113998</v>
      </c>
      <c r="T989">
        <v>-0.28845130000000002</v>
      </c>
      <c r="U989">
        <v>-2.9636840000000002</v>
      </c>
      <c r="V989">
        <v>0.37645260000000003</v>
      </c>
      <c r="W989">
        <v>0.14724949999999901</v>
      </c>
      <c r="X989">
        <v>0.914659</v>
      </c>
      <c r="Y989">
        <v>0.57097489999999995</v>
      </c>
      <c r="Z989">
        <v>1.8201999999999999E-2</v>
      </c>
      <c r="AA989">
        <v>0.82076569999999904</v>
      </c>
      <c r="AB989">
        <v>31</v>
      </c>
      <c r="AC989">
        <v>4.0076999999999998</v>
      </c>
      <c r="AD989">
        <v>-1.1064788078179999</v>
      </c>
      <c r="AE989">
        <v>-11.174399999999901</v>
      </c>
      <c r="AF989">
        <v>6.8755108921834296</v>
      </c>
      <c r="AG989">
        <v>-1.1064788078179999</v>
      </c>
      <c r="AH989">
        <v>9.5519200094130792</v>
      </c>
      <c r="AI989">
        <v>95.370906785995402</v>
      </c>
      <c r="AJ989">
        <v>54.253506743533201</v>
      </c>
      <c r="AK989">
        <v>11.8210033942516</v>
      </c>
      <c r="AL989">
        <v>81.532435727512606</v>
      </c>
      <c r="AM989">
        <v>67.629061577275806</v>
      </c>
      <c r="AN989">
        <v>1.000000030789</v>
      </c>
    </row>
    <row r="990" spans="1:40" x14ac:dyDescent="0.25">
      <c r="A990" t="str">
        <f>"20190303162518732"</f>
        <v>20190303162518732</v>
      </c>
      <c r="B990" t="str">
        <f>"1551601518724077"</f>
        <v>1551601518724077</v>
      </c>
      <c r="C990" t="s">
        <v>40</v>
      </c>
      <c r="D990">
        <v>4.9816240000000001</v>
      </c>
      <c r="E990">
        <v>0.59777170000000002</v>
      </c>
      <c r="F990" t="s">
        <v>45</v>
      </c>
      <c r="G990">
        <v>-194.4418</v>
      </c>
      <c r="H990" s="1">
        <v>-2.3588339999999999E-6</v>
      </c>
      <c r="I990">
        <v>351.59109999999998</v>
      </c>
      <c r="J990">
        <v>-198.3997</v>
      </c>
      <c r="K990">
        <v>1.1063510000000001</v>
      </c>
      <c r="L990">
        <v>363.2337</v>
      </c>
      <c r="M990">
        <v>0.81388870000000002</v>
      </c>
      <c r="N990">
        <v>-1.196377E-2</v>
      </c>
      <c r="O990">
        <v>-0.58089789999999997</v>
      </c>
      <c r="P990">
        <v>0.5316073</v>
      </c>
      <c r="Q990">
        <v>0.14915510000000001</v>
      </c>
      <c r="R990">
        <v>-0.83375480000000002</v>
      </c>
      <c r="S990">
        <v>1.0626530000000001</v>
      </c>
      <c r="T990">
        <v>-0.27888230000000003</v>
      </c>
      <c r="U990">
        <v>-2.9840089999999999</v>
      </c>
      <c r="V990">
        <v>0.37503360000000002</v>
      </c>
      <c r="W990">
        <v>0.1474424</v>
      </c>
      <c r="X990">
        <v>0.91521070000000004</v>
      </c>
      <c r="Y990">
        <v>0.57111219999999996</v>
      </c>
      <c r="Z990">
        <v>1.8608400000000001E-2</v>
      </c>
      <c r="AA990">
        <v>0.82066109999999903</v>
      </c>
      <c r="AB990">
        <v>31</v>
      </c>
      <c r="AC990">
        <v>3.9578999999999902</v>
      </c>
      <c r="AD990">
        <v>-1.106353358834</v>
      </c>
      <c r="AE990">
        <v>-11.6426</v>
      </c>
      <c r="AF990">
        <v>7.1195279452142097</v>
      </c>
      <c r="AG990">
        <v>-1.106353358834</v>
      </c>
      <c r="AH990">
        <v>9.90498861790166</v>
      </c>
      <c r="AI990">
        <v>95.182431095701403</v>
      </c>
      <c r="AJ990">
        <v>54.292098099454698</v>
      </c>
      <c r="AK990">
        <v>12.248285408090799</v>
      </c>
      <c r="AL990">
        <v>81.521261516587401</v>
      </c>
      <c r="AM990">
        <v>67.717239985792105</v>
      </c>
      <c r="AN990">
        <v>1.0000000439206</v>
      </c>
    </row>
    <row r="991" spans="1:40" x14ac:dyDescent="0.25">
      <c r="A991" t="str">
        <f>"20190303162518754"</f>
        <v>20190303162518754</v>
      </c>
      <c r="B991" t="str">
        <f>"1551601518743598"</f>
        <v>1551601518743598</v>
      </c>
      <c r="C991" t="s">
        <v>40</v>
      </c>
      <c r="D991">
        <v>4.9936860000000003</v>
      </c>
      <c r="E991">
        <v>0.59812169999999998</v>
      </c>
      <c r="F991" t="s">
        <v>45</v>
      </c>
      <c r="G991">
        <v>-194.35759999999999</v>
      </c>
      <c r="H991" s="1">
        <v>-2.1299999999999999E-6</v>
      </c>
      <c r="I991">
        <v>351.24239999999998</v>
      </c>
      <c r="J991">
        <v>-198.16159999999999</v>
      </c>
      <c r="K991">
        <v>1.106222</v>
      </c>
      <c r="L991">
        <v>363.04610000000002</v>
      </c>
      <c r="M991">
        <v>0.80430539999999995</v>
      </c>
      <c r="N991">
        <v>-1.2008690000000001E-2</v>
      </c>
      <c r="O991">
        <v>-0.59409509999999999</v>
      </c>
      <c r="P991">
        <v>0.51965249999999996</v>
      </c>
      <c r="Q991">
        <v>0.14852489999999999</v>
      </c>
      <c r="R991">
        <v>-0.84136929999999999</v>
      </c>
      <c r="S991">
        <v>1.01207</v>
      </c>
      <c r="T991">
        <v>-0.27700960000000002</v>
      </c>
      <c r="U991">
        <v>-3.0024109999999999</v>
      </c>
      <c r="V991">
        <v>0.37328030000000001</v>
      </c>
      <c r="W991">
        <v>0.14681089999999999</v>
      </c>
      <c r="X991">
        <v>0.91602859999999997</v>
      </c>
      <c r="Y991">
        <v>0.57169619999999999</v>
      </c>
      <c r="Z991">
        <v>1.9631619999999999E-2</v>
      </c>
      <c r="AA991">
        <v>0.82023049999999997</v>
      </c>
      <c r="AB991">
        <v>31</v>
      </c>
      <c r="AC991">
        <v>3.8039999999999998</v>
      </c>
      <c r="AD991">
        <v>-1.10622413</v>
      </c>
      <c r="AE991">
        <v>-11.803699999999999</v>
      </c>
      <c r="AF991">
        <v>7.17725449453983</v>
      </c>
      <c r="AG991">
        <v>-1.10622413</v>
      </c>
      <c r="AH991">
        <v>9.9933081577838596</v>
      </c>
      <c r="AI991">
        <v>95.137673348162807</v>
      </c>
      <c r="AJ991">
        <v>54.313863377282701</v>
      </c>
      <c r="AK991">
        <v>12.353255515920299</v>
      </c>
      <c r="AL991">
        <v>81.557841586480194</v>
      </c>
      <c r="AM991">
        <v>67.829177022474596</v>
      </c>
      <c r="AN991">
        <v>1.0000000093724299</v>
      </c>
    </row>
    <row r="992" spans="1:40" x14ac:dyDescent="0.25">
      <c r="A992" t="str">
        <f>"20190303162518775"</f>
        <v>20190303162518775</v>
      </c>
      <c r="B992" t="str">
        <f>"1551601518764093"</f>
        <v>1551601518764093</v>
      </c>
      <c r="C992" t="s">
        <v>40</v>
      </c>
      <c r="D992">
        <v>4.964696</v>
      </c>
      <c r="E992">
        <v>0.598445</v>
      </c>
      <c r="F992" t="s">
        <v>45</v>
      </c>
      <c r="G992">
        <v>-194.29349999999999</v>
      </c>
      <c r="H992" s="1">
        <v>-1.9298920000000001E-6</v>
      </c>
      <c r="I992">
        <v>350.93310000000002</v>
      </c>
      <c r="J992">
        <v>-197.91820000000001</v>
      </c>
      <c r="K992">
        <v>1.1060749999999999</v>
      </c>
      <c r="L992">
        <v>362.8476</v>
      </c>
      <c r="M992">
        <v>0.79407720000000004</v>
      </c>
      <c r="N992">
        <v>-1.2058259999999999E-2</v>
      </c>
      <c r="O992">
        <v>-0.60769740000000005</v>
      </c>
      <c r="P992">
        <v>0.50666049999999996</v>
      </c>
      <c r="Q992">
        <v>0.14950920000000001</v>
      </c>
      <c r="R992">
        <v>-0.84908340000000004</v>
      </c>
      <c r="S992">
        <v>0.96403499999999998</v>
      </c>
      <c r="T992">
        <v>-0.2757039</v>
      </c>
      <c r="U992">
        <v>-3.0189210000000002</v>
      </c>
      <c r="V992">
        <v>0.3717125</v>
      </c>
      <c r="W992">
        <v>0.14777970000000001</v>
      </c>
      <c r="X992">
        <v>0.91651020000000005</v>
      </c>
      <c r="Y992">
        <v>0.57091159999999996</v>
      </c>
      <c r="Z992">
        <v>2.0818110000000001E-2</v>
      </c>
      <c r="AA992">
        <v>0.82074760000000002</v>
      </c>
      <c r="AB992">
        <v>31</v>
      </c>
      <c r="AC992">
        <v>3.62470000000001</v>
      </c>
      <c r="AD992">
        <v>-1.1060769298919999</v>
      </c>
      <c r="AE992">
        <v>-11.914499999999901</v>
      </c>
      <c r="AF992">
        <v>7.2020284648480999</v>
      </c>
      <c r="AG992">
        <v>-1.1060769298919999</v>
      </c>
      <c r="AH992">
        <v>10.0402382328257</v>
      </c>
      <c r="AI992">
        <v>95.115253296708602</v>
      </c>
      <c r="AJ992">
        <v>54.347501995482403</v>
      </c>
      <c r="AK992">
        <v>12.4056037319921</v>
      </c>
      <c r="AL992">
        <v>81.501721092374694</v>
      </c>
      <c r="AM992">
        <v>67.923815841254793</v>
      </c>
      <c r="AN992">
        <v>0.99999998454618899</v>
      </c>
    </row>
    <row r="993" spans="1:40" x14ac:dyDescent="0.25">
      <c r="A993" t="str">
        <f>"20190303162518800"</f>
        <v>20190303162518800</v>
      </c>
      <c r="B993" t="str">
        <f>"1551601518793374"</f>
        <v>1551601518793374</v>
      </c>
      <c r="C993" t="s">
        <v>40</v>
      </c>
      <c r="D993">
        <v>5.0222860000000003</v>
      </c>
      <c r="E993">
        <v>0.59881169999999995</v>
      </c>
      <c r="F993" t="s">
        <v>45</v>
      </c>
      <c r="G993">
        <v>-194.1712</v>
      </c>
      <c r="H993" s="1">
        <v>-1.5775200000000001E-6</v>
      </c>
      <c r="I993">
        <v>350.39280000000002</v>
      </c>
      <c r="J993">
        <v>-197.66200000000001</v>
      </c>
      <c r="K993">
        <v>1.1059219999999901</v>
      </c>
      <c r="L993">
        <v>362.63069999999999</v>
      </c>
      <c r="M993">
        <v>0.78279919999999903</v>
      </c>
      <c r="N993">
        <v>-1.211334E-2</v>
      </c>
      <c r="O993">
        <v>-0.6221565</v>
      </c>
      <c r="P993">
        <v>0.49070930000000001</v>
      </c>
      <c r="Q993">
        <v>0.1503275</v>
      </c>
      <c r="R993">
        <v>-0.85825779999999996</v>
      </c>
      <c r="S993">
        <v>0.91329959999999999</v>
      </c>
      <c r="T993">
        <v>-0.26959280000000002</v>
      </c>
      <c r="U993">
        <v>-3.0357059999999998</v>
      </c>
      <c r="V993">
        <v>0.37200040000000001</v>
      </c>
      <c r="W993">
        <v>0.14850350000000001</v>
      </c>
      <c r="X993">
        <v>0.91627639999999999</v>
      </c>
      <c r="Y993">
        <v>0.56973890000000005</v>
      </c>
      <c r="Z993">
        <v>2.1527359999999999E-2</v>
      </c>
      <c r="AA993">
        <v>0.82154380000000005</v>
      </c>
      <c r="AB993">
        <v>31</v>
      </c>
      <c r="AC993">
        <v>3.4908000000000001</v>
      </c>
      <c r="AD993">
        <v>-1.10592357751999</v>
      </c>
      <c r="AE993">
        <v>-12.2378999999999</v>
      </c>
      <c r="AF993">
        <v>7.3530076607012198</v>
      </c>
      <c r="AG993">
        <v>-1.10592357751999</v>
      </c>
      <c r="AH993">
        <v>10.2696864124556</v>
      </c>
      <c r="AI993">
        <v>95.003985729165606</v>
      </c>
      <c r="AJ993">
        <v>54.397660347121402</v>
      </c>
      <c r="AK993">
        <v>12.678968713102099</v>
      </c>
      <c r="AL993">
        <v>81.459787974159596</v>
      </c>
      <c r="AM993">
        <v>67.903267258532793</v>
      </c>
      <c r="AN993">
        <v>1.0000000141546801</v>
      </c>
    </row>
    <row r="994" spans="1:40" x14ac:dyDescent="0.25">
      <c r="A994" t="str">
        <f>"20190303162518824"</f>
        <v>20190303162518824</v>
      </c>
      <c r="B994" t="str">
        <f>"1551601518813870"</f>
        <v>1551601518813870</v>
      </c>
      <c r="C994" t="s">
        <v>40</v>
      </c>
      <c r="D994">
        <v>4.9397089999999997</v>
      </c>
      <c r="E994">
        <v>0.59902200000000005</v>
      </c>
      <c r="F994" t="s">
        <v>45</v>
      </c>
      <c r="G994">
        <v>-194.10499999999999</v>
      </c>
      <c r="H994" s="1">
        <v>-1.261551E-6</v>
      </c>
      <c r="I994">
        <v>349.88869999999997</v>
      </c>
      <c r="J994">
        <v>-197.40100000000001</v>
      </c>
      <c r="K994">
        <v>1.1057549999999901</v>
      </c>
      <c r="L994">
        <v>362.40069999999997</v>
      </c>
      <c r="M994">
        <v>0.77073130000000001</v>
      </c>
      <c r="N994">
        <v>-1.2170510000000001E-2</v>
      </c>
      <c r="O994">
        <v>-0.6370441</v>
      </c>
      <c r="P994">
        <v>0.47247699999999998</v>
      </c>
      <c r="Q994">
        <v>0.1488332</v>
      </c>
      <c r="R994">
        <v>-0.86868570000000001</v>
      </c>
      <c r="S994">
        <v>0.85264589999999996</v>
      </c>
      <c r="T994">
        <v>-0.26510519999999999</v>
      </c>
      <c r="U994">
        <v>-3.054443</v>
      </c>
      <c r="V994">
        <v>0.37399080000000001</v>
      </c>
      <c r="W994">
        <v>0.14685200000000001</v>
      </c>
      <c r="X994">
        <v>0.91573210000000005</v>
      </c>
      <c r="Y994">
        <v>0.57046989999999997</v>
      </c>
      <c r="Z994">
        <v>2.232085E-2</v>
      </c>
      <c r="AA994">
        <v>0.82101519999999995</v>
      </c>
      <c r="AB994">
        <v>31</v>
      </c>
      <c r="AC994">
        <v>3.29599999999999</v>
      </c>
      <c r="AD994">
        <v>-1.1057562615509999</v>
      </c>
      <c r="AE994">
        <v>-12.512</v>
      </c>
      <c r="AF994">
        <v>7.4895517441719397</v>
      </c>
      <c r="AG994">
        <v>-1.1057562615509999</v>
      </c>
      <c r="AH994">
        <v>10.435588724608101</v>
      </c>
      <c r="AI994">
        <v>94.920139661669594</v>
      </c>
      <c r="AJ994">
        <v>54.3332510493562</v>
      </c>
      <c r="AK994">
        <v>12.8925402565885</v>
      </c>
      <c r="AL994">
        <v>81.555460453516204</v>
      </c>
      <c r="AM994">
        <v>67.784583964723495</v>
      </c>
      <c r="AN994">
        <v>0.99999995367952399</v>
      </c>
    </row>
    <row r="995" spans="1:40" x14ac:dyDescent="0.25">
      <c r="A995" t="str">
        <f>"20190303162518846"</f>
        <v>20190303162518846</v>
      </c>
      <c r="B995" t="str">
        <f>"1551601518833389"</f>
        <v>1551601518833389</v>
      </c>
      <c r="C995" t="s">
        <v>40</v>
      </c>
      <c r="D995">
        <v>4.9733299999999998</v>
      </c>
      <c r="E995">
        <v>0.59911899999999996</v>
      </c>
      <c r="F995" t="s">
        <v>45</v>
      </c>
      <c r="G995">
        <v>-194.1867</v>
      </c>
      <c r="H995" s="1">
        <v>-1.2620900000000001E-6</v>
      </c>
      <c r="I995">
        <v>349.85289999999998</v>
      </c>
      <c r="J995">
        <v>-197.17400000000001</v>
      </c>
      <c r="K995">
        <v>1.1056010000000001</v>
      </c>
      <c r="L995">
        <v>362.19349999999997</v>
      </c>
      <c r="M995">
        <v>0.75976880000000002</v>
      </c>
      <c r="N995">
        <v>-1.221788E-2</v>
      </c>
      <c r="O995">
        <v>-0.65007869999999901</v>
      </c>
      <c r="P995">
        <v>0.4550804</v>
      </c>
      <c r="Q995">
        <v>0.144846</v>
      </c>
      <c r="R995">
        <v>-0.87859089999999995</v>
      </c>
      <c r="S995">
        <v>0.78689580000000003</v>
      </c>
      <c r="T995">
        <v>-0.27070880000000003</v>
      </c>
      <c r="U995">
        <v>-3.07193</v>
      </c>
      <c r="V995">
        <v>0.3770445</v>
      </c>
      <c r="W995">
        <v>0.14268159999999999</v>
      </c>
      <c r="X995">
        <v>0.91513900000000004</v>
      </c>
      <c r="Y995">
        <v>0.5740845</v>
      </c>
      <c r="Z995">
        <v>2.4080770000000001E-2</v>
      </c>
      <c r="AA995">
        <v>0.81844189999999895</v>
      </c>
      <c r="AB995">
        <v>31</v>
      </c>
      <c r="AC995">
        <v>2.9872999999999998</v>
      </c>
      <c r="AD995">
        <v>-1.1056022620899999</v>
      </c>
      <c r="AE995">
        <v>-12.340599999999901</v>
      </c>
      <c r="AF995">
        <v>7.3786307453104003</v>
      </c>
      <c r="AG995">
        <v>-1.1056022620899999</v>
      </c>
      <c r="AH995">
        <v>10.2153311829756</v>
      </c>
      <c r="AI995">
        <v>95.014059841563594</v>
      </c>
      <c r="AJ995">
        <v>54.159060802596102</v>
      </c>
      <c r="AK995">
        <v>12.6498829724014</v>
      </c>
      <c r="AL995">
        <v>81.796951193393298</v>
      </c>
      <c r="AM995">
        <v>67.607951860368004</v>
      </c>
      <c r="AN995">
        <v>0.99999999163990505</v>
      </c>
    </row>
    <row r="996" spans="1:40" x14ac:dyDescent="0.25">
      <c r="A996" t="str">
        <f>"20190303162518867"</f>
        <v>20190303162518867</v>
      </c>
      <c r="B996" t="str">
        <f>"1551601518853886"</f>
        <v>1551601518853886</v>
      </c>
      <c r="C996" t="s">
        <v>40</v>
      </c>
      <c r="D996">
        <v>5.2033559999999897</v>
      </c>
      <c r="E996">
        <v>0.59910750000000002</v>
      </c>
      <c r="F996" t="s">
        <v>45</v>
      </c>
      <c r="G996">
        <v>-194.3383</v>
      </c>
      <c r="H996" s="1">
        <v>-1.43037999999999E-6</v>
      </c>
      <c r="I996">
        <v>350.06909999999999</v>
      </c>
      <c r="J996">
        <v>-196.94450000000001</v>
      </c>
      <c r="K996">
        <v>1.105459</v>
      </c>
      <c r="L996">
        <v>361.97669999999999</v>
      </c>
      <c r="M996">
        <v>0.74821169999999904</v>
      </c>
      <c r="N996">
        <v>-1.226266E-2</v>
      </c>
      <c r="O996">
        <v>-0.66334689999999996</v>
      </c>
      <c r="P996">
        <v>0.4383243</v>
      </c>
      <c r="Q996">
        <v>0.1395555</v>
      </c>
      <c r="R996">
        <v>-0.88791719999999896</v>
      </c>
      <c r="S996">
        <v>0.72200010000000003</v>
      </c>
      <c r="T996">
        <v>-0.28149689999999999</v>
      </c>
      <c r="U996">
        <v>-3.0870060000000001</v>
      </c>
      <c r="V996">
        <v>0.37879459999999998</v>
      </c>
      <c r="W996">
        <v>0.13726559999999999</v>
      </c>
      <c r="X996">
        <v>0.91524470000000002</v>
      </c>
      <c r="Y996">
        <v>0.57685280000000005</v>
      </c>
      <c r="Z996">
        <v>2.6675480000000001E-2</v>
      </c>
      <c r="AA996">
        <v>0.81641239999999904</v>
      </c>
      <c r="AB996">
        <v>31</v>
      </c>
      <c r="AC996">
        <v>2.6061999999999999</v>
      </c>
      <c r="AD996">
        <v>-1.10546043038</v>
      </c>
      <c r="AE996">
        <v>-11.9076</v>
      </c>
      <c r="AF996">
        <v>7.1225496903436598</v>
      </c>
      <c r="AG996">
        <v>-1.10546043038</v>
      </c>
      <c r="AH996">
        <v>9.7692498104056806</v>
      </c>
      <c r="AI996">
        <v>95.224350676286704</v>
      </c>
      <c r="AJ996">
        <v>53.905015403877798</v>
      </c>
      <c r="AK996">
        <v>12.1404694601428</v>
      </c>
      <c r="AL996">
        <v>82.110351178000599</v>
      </c>
      <c r="AM996">
        <v>67.516682315511304</v>
      </c>
      <c r="AN996">
        <v>1.0000000274053</v>
      </c>
    </row>
    <row r="997" spans="1:40" x14ac:dyDescent="0.25">
      <c r="A997" t="str">
        <f>"20190303162518889"</f>
        <v>20190303162518889</v>
      </c>
      <c r="B997" t="str">
        <f>"1551601518873406"</f>
        <v>1551601518873406</v>
      </c>
      <c r="C997" t="s">
        <v>40</v>
      </c>
      <c r="D997">
        <v>5.2287990000000004</v>
      </c>
      <c r="E997">
        <v>0.59904389999999996</v>
      </c>
      <c r="F997" t="s">
        <v>45</v>
      </c>
      <c r="G997">
        <v>-194.47120000000001</v>
      </c>
      <c r="H997" s="1">
        <v>-1.6129759999999901E-6</v>
      </c>
      <c r="I997">
        <v>350.31779999999998</v>
      </c>
      <c r="J997">
        <v>-196.71250000000001</v>
      </c>
      <c r="K997">
        <v>1.105334</v>
      </c>
      <c r="L997">
        <v>361.74939999999998</v>
      </c>
      <c r="M997">
        <v>0.73602309999999904</v>
      </c>
      <c r="N997">
        <v>-1.230468E-2</v>
      </c>
      <c r="O997">
        <v>-0.67684469999999997</v>
      </c>
      <c r="P997">
        <v>0.42269050000000002</v>
      </c>
      <c r="Q997">
        <v>0.13482559999999999</v>
      </c>
      <c r="R997">
        <v>-0.89618940000000002</v>
      </c>
      <c r="S997">
        <v>0.6576843</v>
      </c>
      <c r="T997">
        <v>-0.2939544</v>
      </c>
      <c r="U997">
        <v>-3.1002200000000002</v>
      </c>
      <c r="V997">
        <v>0.3785907</v>
      </c>
      <c r="W997">
        <v>0.13249549999999999</v>
      </c>
      <c r="X997">
        <v>0.9160317</v>
      </c>
      <c r="Y997">
        <v>0.57888629999999996</v>
      </c>
      <c r="Z997">
        <v>2.9692989999999999E-2</v>
      </c>
      <c r="AA997">
        <v>0.81486749999999997</v>
      </c>
      <c r="AB997">
        <v>31</v>
      </c>
      <c r="AC997">
        <v>2.2412999999999901</v>
      </c>
      <c r="AD997">
        <v>-1.1053356129759999</v>
      </c>
      <c r="AE997">
        <v>-11.4316</v>
      </c>
      <c r="AF997">
        <v>6.8358870014192297</v>
      </c>
      <c r="AG997">
        <v>-1.1053356129759999</v>
      </c>
      <c r="AH997">
        <v>9.3040113350838798</v>
      </c>
      <c r="AI997">
        <v>95.468772579274898</v>
      </c>
      <c r="AJ997">
        <v>53.6943557182205</v>
      </c>
      <c r="AK997">
        <v>11.598092292996</v>
      </c>
      <c r="AL997">
        <v>82.386178580352606</v>
      </c>
      <c r="AM997">
        <v>67.544970083233096</v>
      </c>
      <c r="AN997">
        <v>1.0000000255258099</v>
      </c>
    </row>
    <row r="998" spans="1:40" x14ac:dyDescent="0.25">
      <c r="A998" t="str">
        <f>"20190303162518911"</f>
        <v>20190303162518911</v>
      </c>
      <c r="B998" t="str">
        <f>"1551601518903662"</f>
        <v>1551601518903662</v>
      </c>
      <c r="C998" t="s">
        <v>40</v>
      </c>
      <c r="D998">
        <v>5.234934</v>
      </c>
      <c r="E998">
        <v>0.5988637</v>
      </c>
      <c r="F998" t="s">
        <v>45</v>
      </c>
      <c r="G998">
        <v>-194.54499999999999</v>
      </c>
      <c r="H998" s="1">
        <v>-1.737104E-6</v>
      </c>
      <c r="I998">
        <v>350.49430000000001</v>
      </c>
      <c r="J998">
        <v>-196.4948</v>
      </c>
      <c r="K998">
        <v>1.105232</v>
      </c>
      <c r="L998">
        <v>361.52839999999998</v>
      </c>
      <c r="M998">
        <v>0.72410039999999998</v>
      </c>
      <c r="N998">
        <v>-1.2341400000000001E-2</v>
      </c>
      <c r="O998">
        <v>-0.68958419999999998</v>
      </c>
      <c r="P998">
        <v>0.40887519999999999</v>
      </c>
      <c r="Q998">
        <v>0.132108</v>
      </c>
      <c r="R998">
        <v>-0.9029779</v>
      </c>
      <c r="S998">
        <v>0.59909060000000003</v>
      </c>
      <c r="T998">
        <v>-0.30551250000000002</v>
      </c>
      <c r="U998">
        <v>-3.1108699999999998</v>
      </c>
      <c r="V998">
        <v>0.37689499999999998</v>
      </c>
      <c r="W998">
        <v>0.1298067</v>
      </c>
      <c r="X998">
        <v>0.91711529999999997</v>
      </c>
      <c r="Y998">
        <v>0.57995799999999997</v>
      </c>
      <c r="Z998">
        <v>3.2696219999999998E-2</v>
      </c>
      <c r="AA998">
        <v>0.81398999999999999</v>
      </c>
      <c r="AB998">
        <v>31</v>
      </c>
      <c r="AC998">
        <v>1.94980000000001</v>
      </c>
      <c r="AD998">
        <v>-1.105233737104</v>
      </c>
      <c r="AE998">
        <v>-11.034099999999899</v>
      </c>
      <c r="AF998">
        <v>6.5817154706424601</v>
      </c>
      <c r="AG998">
        <v>-1.105233737104</v>
      </c>
      <c r="AH998">
        <v>8.9345519363327899</v>
      </c>
      <c r="AI998">
        <v>95.687719421841194</v>
      </c>
      <c r="AJ998">
        <v>53.6224591639414</v>
      </c>
      <c r="AK998">
        <v>11.151983610692501</v>
      </c>
      <c r="AL998">
        <v>82.541577956409398</v>
      </c>
      <c r="AM998">
        <v>67.659442827324696</v>
      </c>
      <c r="AN998">
        <v>1.0000000469419801</v>
      </c>
    </row>
    <row r="999" spans="1:40" x14ac:dyDescent="0.25">
      <c r="A999" t="str">
        <f>"20190303162518934"</f>
        <v>20190303162518934</v>
      </c>
      <c r="B999" t="str">
        <f>"1551601518923181"</f>
        <v>1551601518923181</v>
      </c>
      <c r="C999" t="s">
        <v>40</v>
      </c>
      <c r="D999">
        <v>5.2544190000000004</v>
      </c>
      <c r="E999">
        <v>0.59873290000000001</v>
      </c>
      <c r="F999" t="s">
        <v>45</v>
      </c>
      <c r="G999">
        <v>-194.54470000000001</v>
      </c>
      <c r="H999" s="1">
        <v>-1.703136E-6</v>
      </c>
      <c r="I999">
        <v>350.43709999999999</v>
      </c>
      <c r="J999">
        <v>-196.26929999999999</v>
      </c>
      <c r="K999">
        <v>1.105145</v>
      </c>
      <c r="L999">
        <v>361.29129999999998</v>
      </c>
      <c r="M999">
        <v>0.7112482</v>
      </c>
      <c r="N999">
        <v>-1.237661E-2</v>
      </c>
      <c r="O999">
        <v>-0.70283189999999995</v>
      </c>
      <c r="P999">
        <v>0.39454529999999999</v>
      </c>
      <c r="Q999">
        <v>0.13259799999999999</v>
      </c>
      <c r="R999">
        <v>-0.90925919999999905</v>
      </c>
      <c r="S999">
        <v>0.54844669999999995</v>
      </c>
      <c r="T999">
        <v>-0.31084919999999999</v>
      </c>
      <c r="U999">
        <v>-3.1194459999999999</v>
      </c>
      <c r="V999">
        <v>0.37445889999999998</v>
      </c>
      <c r="W999">
        <v>0.130356</v>
      </c>
      <c r="X999">
        <v>0.91803480000000004</v>
      </c>
      <c r="Y999">
        <v>0.57813389999999998</v>
      </c>
      <c r="Z999">
        <v>3.5118650000000001E-2</v>
      </c>
      <c r="AA999">
        <v>0.81518579999999996</v>
      </c>
      <c r="AB999">
        <v>31</v>
      </c>
      <c r="AC999">
        <v>1.7245999999999799</v>
      </c>
      <c r="AD999">
        <v>-1.1051467031360001</v>
      </c>
      <c r="AE999">
        <v>-10.854199999999899</v>
      </c>
      <c r="AF999">
        <v>6.4432739767919296</v>
      </c>
      <c r="AG999">
        <v>-1.1051467031360001</v>
      </c>
      <c r="AH999">
        <v>8.7673245987464998</v>
      </c>
      <c r="AI999">
        <v>95.799803227082805</v>
      </c>
      <c r="AJ999">
        <v>53.687124527626501</v>
      </c>
      <c r="AK999">
        <v>10.9363206516287</v>
      </c>
      <c r="AL999">
        <v>82.509835511190204</v>
      </c>
      <c r="AM999">
        <v>67.809853606048705</v>
      </c>
      <c r="AN999">
        <v>1.00000002426812</v>
      </c>
    </row>
    <row r="1000" spans="1:40" x14ac:dyDescent="0.25">
      <c r="A1000" t="str">
        <f>"20190303162518956"</f>
        <v>20190303162518956</v>
      </c>
      <c r="B1000" t="str">
        <f>"1551601518943677"</f>
        <v>1551601518943677</v>
      </c>
      <c r="C1000" t="s">
        <v>40</v>
      </c>
      <c r="D1000">
        <v>5.1153500000000003</v>
      </c>
      <c r="E1000">
        <v>0.59860800000000003</v>
      </c>
      <c r="F1000" t="s">
        <v>45</v>
      </c>
      <c r="G1000">
        <v>-194.47800000000001</v>
      </c>
      <c r="H1000" s="1">
        <v>-1.4647769999999999E-6</v>
      </c>
      <c r="I1000">
        <v>350.06439999999998</v>
      </c>
      <c r="J1000">
        <v>-196.0582</v>
      </c>
      <c r="K1000">
        <v>1.105075</v>
      </c>
      <c r="L1000">
        <v>361.06119999999999</v>
      </c>
      <c r="M1000">
        <v>0.69872069999999997</v>
      </c>
      <c r="N1000">
        <v>-1.2407090000000001E-2</v>
      </c>
      <c r="O1000">
        <v>-0.71528709999999995</v>
      </c>
      <c r="P1000">
        <v>0.37940049999999997</v>
      </c>
      <c r="Q1000">
        <v>0.13514379999999901</v>
      </c>
      <c r="R1000">
        <v>-0.9153097</v>
      </c>
      <c r="S1000">
        <v>0.499054</v>
      </c>
      <c r="T1000">
        <v>-0.30788649999999901</v>
      </c>
      <c r="U1000">
        <v>-3.1277469999999998</v>
      </c>
      <c r="V1000">
        <v>0.37333179999999999</v>
      </c>
      <c r="W1000">
        <v>0.1329128</v>
      </c>
      <c r="X1000">
        <v>0.91812720000000003</v>
      </c>
      <c r="Y1000">
        <v>0.57664459999999995</v>
      </c>
      <c r="Z1000">
        <v>3.6211779999999999E-2</v>
      </c>
      <c r="AA1000">
        <v>0.81619219999999904</v>
      </c>
      <c r="AB1000">
        <v>31</v>
      </c>
      <c r="AC1000">
        <v>1.58020000000001</v>
      </c>
      <c r="AD1000">
        <v>-1.1050764647769999</v>
      </c>
      <c r="AE1000">
        <v>-10.9968</v>
      </c>
      <c r="AF1000">
        <v>6.4896894074676803</v>
      </c>
      <c r="AG1000">
        <v>-1.1050764647769999</v>
      </c>
      <c r="AH1000">
        <v>8.8827901668605804</v>
      </c>
      <c r="AI1000">
        <v>95.736300364581695</v>
      </c>
      <c r="AJ1000">
        <v>53.848460030466903</v>
      </c>
      <c r="AK1000">
        <v>11.056275310739901</v>
      </c>
      <c r="AL1000">
        <v>82.362055508328694</v>
      </c>
      <c r="AM1000">
        <v>67.872201413433501</v>
      </c>
      <c r="AN1000">
        <v>1.0000000003374601</v>
      </c>
    </row>
    <row r="1001" spans="1:40" x14ac:dyDescent="0.25">
      <c r="A1001" t="str">
        <f>"20190303162518978"</f>
        <v>20190303162518978</v>
      </c>
      <c r="B1001" t="str">
        <f>"1551601518973934"</f>
        <v>1551601518973934</v>
      </c>
      <c r="C1001" t="s">
        <v>40</v>
      </c>
      <c r="D1001">
        <v>4.9174160000000002</v>
      </c>
      <c r="E1001">
        <v>0.59854499999999999</v>
      </c>
      <c r="F1001" t="s">
        <v>45</v>
      </c>
      <c r="G1001">
        <v>-194.4134</v>
      </c>
      <c r="H1001" s="1">
        <v>-1.201177E-6</v>
      </c>
      <c r="I1001">
        <v>349.6481</v>
      </c>
      <c r="J1001">
        <v>-195.8416</v>
      </c>
      <c r="K1001">
        <v>1.1050070000000001</v>
      </c>
      <c r="L1001">
        <v>360.81659999999999</v>
      </c>
      <c r="M1001">
        <v>0.68534810000000002</v>
      </c>
      <c r="N1001">
        <v>-1.243562E-2</v>
      </c>
      <c r="O1001">
        <v>-0.72810949999999997</v>
      </c>
      <c r="P1001">
        <v>0.3619677</v>
      </c>
      <c r="Q1001">
        <v>0.13630010000000001</v>
      </c>
      <c r="R1001">
        <v>-0.92217249999999995</v>
      </c>
      <c r="S1001">
        <v>0.45181270000000001</v>
      </c>
      <c r="T1001">
        <v>-0.30356070000000002</v>
      </c>
      <c r="U1001">
        <v>-3.1351619999999998</v>
      </c>
      <c r="V1001">
        <v>0.37368770000000001</v>
      </c>
      <c r="W1001">
        <v>0.13402149999999999</v>
      </c>
      <c r="X1001">
        <v>0.9178212</v>
      </c>
      <c r="Y1001">
        <v>0.5738685</v>
      </c>
      <c r="Z1001">
        <v>3.7173589999999999E-2</v>
      </c>
      <c r="AA1001">
        <v>0.81810340000000004</v>
      </c>
      <c r="AB1001">
        <v>31</v>
      </c>
      <c r="AC1001">
        <v>1.4281999999999999</v>
      </c>
      <c r="AD1001">
        <v>-1.1050082011769999</v>
      </c>
      <c r="AE1001">
        <v>-11.1684999999999</v>
      </c>
      <c r="AF1001">
        <v>6.5518310265523096</v>
      </c>
      <c r="AG1001">
        <v>-1.1050082011769999</v>
      </c>
      <c r="AH1001">
        <v>9.0244892050823502</v>
      </c>
      <c r="AI1001">
        <v>95.658726476706704</v>
      </c>
      <c r="AJ1001">
        <v>54.020134735079097</v>
      </c>
      <c r="AK1001">
        <v>11.2066470604641</v>
      </c>
      <c r="AL1001">
        <v>82.297958265406606</v>
      </c>
      <c r="AM1001">
        <v>67.846475642955099</v>
      </c>
      <c r="AN1001">
        <v>1.0000000073814801</v>
      </c>
    </row>
    <row r="1002" spans="1:40" x14ac:dyDescent="0.25">
      <c r="A1002" t="str">
        <f>"20190303162519002"</f>
        <v>20190303162519002</v>
      </c>
      <c r="B1002" t="str">
        <f>"1551601518993454"</f>
        <v>1551601518993454</v>
      </c>
      <c r="C1002" t="s">
        <v>40</v>
      </c>
      <c r="D1002">
        <v>4.9524419999999996</v>
      </c>
      <c r="E1002">
        <v>0.59846929999999998</v>
      </c>
      <c r="F1002" t="s">
        <v>41</v>
      </c>
      <c r="G1002">
        <v>-194.38560000000001</v>
      </c>
      <c r="H1002" s="1">
        <v>-4.9385149999999996E-6</v>
      </c>
      <c r="I1002">
        <v>349.21289999999999</v>
      </c>
      <c r="J1002">
        <v>-195.62739999999999</v>
      </c>
      <c r="K1002">
        <v>1.104949</v>
      </c>
      <c r="L1002">
        <v>360.56450000000001</v>
      </c>
      <c r="M1002">
        <v>0.67154809999999998</v>
      </c>
      <c r="N1002">
        <v>-1.2461379999999999E-2</v>
      </c>
      <c r="O1002">
        <v>-0.74085649999999903</v>
      </c>
      <c r="P1002">
        <v>0.34550510000000001</v>
      </c>
      <c r="Q1002">
        <v>0.13694909999999999</v>
      </c>
      <c r="R1002">
        <v>-0.92837060000000005</v>
      </c>
      <c r="S1002">
        <v>0.39433289999999999</v>
      </c>
      <c r="T1002">
        <v>-0.29926819999999998</v>
      </c>
      <c r="U1002">
        <v>-3.1426090000000002</v>
      </c>
      <c r="V1002">
        <v>0.37275150000000001</v>
      </c>
      <c r="W1002">
        <v>0.1346802</v>
      </c>
      <c r="X1002">
        <v>0.91810539999999996</v>
      </c>
      <c r="Y1002">
        <v>0.57348509999999997</v>
      </c>
      <c r="Z1002">
        <v>3.7989229999999999E-2</v>
      </c>
      <c r="AA1002">
        <v>0.81833459999999902</v>
      </c>
      <c r="AB1002">
        <v>31</v>
      </c>
      <c r="AC1002">
        <v>1.24179999999998</v>
      </c>
      <c r="AD1002">
        <v>-1.104953938515</v>
      </c>
      <c r="AE1002">
        <v>-11.351599999999999</v>
      </c>
      <c r="AF1002">
        <v>6.6414854867627602</v>
      </c>
      <c r="AG1002">
        <v>-1.104953938515</v>
      </c>
      <c r="AH1002">
        <v>9.1587982123240401</v>
      </c>
      <c r="AI1002">
        <v>95.578258137146705</v>
      </c>
      <c r="AJ1002">
        <v>54.052325038318898</v>
      </c>
      <c r="AK1002">
        <v>11.367226459044</v>
      </c>
      <c r="AL1002">
        <v>82.259872037123401</v>
      </c>
      <c r="AM1002">
        <v>67.902809637432796</v>
      </c>
      <c r="AN1002">
        <v>0.99999998126672396</v>
      </c>
    </row>
    <row r="1003" spans="1:40" x14ac:dyDescent="0.25">
      <c r="A1003" t="str">
        <f>"20190303162519023"</f>
        <v>20190303162519023</v>
      </c>
      <c r="B1003" t="str">
        <f>"1551601519013950"</f>
        <v>1551601519013950</v>
      </c>
      <c r="C1003" t="s">
        <v>40</v>
      </c>
      <c r="D1003">
        <v>4.9274550000000001</v>
      </c>
      <c r="E1003">
        <v>0.5983233</v>
      </c>
      <c r="F1003" t="s">
        <v>41</v>
      </c>
      <c r="G1003">
        <v>-194.3605</v>
      </c>
      <c r="H1003" s="1">
        <v>-4.7915069999999998E-6</v>
      </c>
      <c r="I1003">
        <v>348.79390000000001</v>
      </c>
      <c r="J1003">
        <v>-195.42500000000001</v>
      </c>
      <c r="K1003">
        <v>1.1049119999999999</v>
      </c>
      <c r="L1003">
        <v>360.31760000000003</v>
      </c>
      <c r="M1003">
        <v>0.65798409999999996</v>
      </c>
      <c r="N1003">
        <v>-1.2483579999999999E-2</v>
      </c>
      <c r="O1003">
        <v>-0.75292840000000005</v>
      </c>
      <c r="P1003">
        <v>0.33109529999999998</v>
      </c>
      <c r="Q1003">
        <v>0.13936299999999999</v>
      </c>
      <c r="R1003">
        <v>-0.93324949999999995</v>
      </c>
      <c r="S1003">
        <v>0.33892820000000001</v>
      </c>
      <c r="T1003">
        <v>-0.2956027</v>
      </c>
      <c r="U1003">
        <v>-3.1489259999999999</v>
      </c>
      <c r="V1003">
        <v>0.37015759999999998</v>
      </c>
      <c r="W1003">
        <v>0.13717449999999901</v>
      </c>
      <c r="X1003">
        <v>0.91878530000000003</v>
      </c>
      <c r="Y1003">
        <v>0.57304569999999999</v>
      </c>
      <c r="Z1003">
        <v>3.8805869999999999E-2</v>
      </c>
      <c r="AA1003">
        <v>0.818604199999999</v>
      </c>
      <c r="AB1003">
        <v>31</v>
      </c>
      <c r="AC1003">
        <v>1.0645</v>
      </c>
      <c r="AD1003">
        <v>-1.104916791507</v>
      </c>
      <c r="AE1003">
        <v>-11.5237</v>
      </c>
      <c r="AF1003">
        <v>6.7201886832345004</v>
      </c>
      <c r="AG1003">
        <v>-1.104916791507</v>
      </c>
      <c r="AH1003">
        <v>9.2929644704840992</v>
      </c>
      <c r="AI1003">
        <v>95.503230322014304</v>
      </c>
      <c r="AJ1003">
        <v>54.127502303982801</v>
      </c>
      <c r="AK1003">
        <v>11.5213265600844</v>
      </c>
      <c r="AL1003">
        <v>82.115620133973593</v>
      </c>
      <c r="AM1003">
        <v>68.056621002540993</v>
      </c>
      <c r="AN1003">
        <v>0.99999995989204904</v>
      </c>
    </row>
    <row r="1004" spans="1:40" x14ac:dyDescent="0.25">
      <c r="A1004" t="str">
        <f>"20190303162519048"</f>
        <v>20190303162519048</v>
      </c>
      <c r="B1004" t="str">
        <f>"1551601519033470"</f>
        <v>1551601519033470</v>
      </c>
      <c r="C1004" t="s">
        <v>40</v>
      </c>
      <c r="D1004">
        <v>4.965878</v>
      </c>
      <c r="E1004">
        <v>0.59811990000000004</v>
      </c>
      <c r="F1004" t="s">
        <v>41</v>
      </c>
      <c r="G1004">
        <v>-194.30189999999999</v>
      </c>
      <c r="H1004" s="1">
        <v>-4.6003020000000003E-6</v>
      </c>
      <c r="I1004">
        <v>348.26260000000002</v>
      </c>
      <c r="J1004">
        <v>-195.21190000000001</v>
      </c>
      <c r="K1004">
        <v>1.1048579999999999</v>
      </c>
      <c r="L1004">
        <v>360.04759999999999</v>
      </c>
      <c r="M1004">
        <v>0.64312279999999999</v>
      </c>
      <c r="N1004">
        <v>-1.2504960000000001E-2</v>
      </c>
      <c r="O1004">
        <v>-0.76566109999999998</v>
      </c>
      <c r="P1004">
        <v>0.31445050000000002</v>
      </c>
      <c r="Q1004">
        <v>0.14070949999999999</v>
      </c>
      <c r="R1004">
        <v>-0.93878779999999995</v>
      </c>
      <c r="S1004">
        <v>0.29379270000000002</v>
      </c>
      <c r="T1004">
        <v>-0.28903959999999901</v>
      </c>
      <c r="U1004">
        <v>-3.1535030000000002</v>
      </c>
      <c r="V1004">
        <v>0.3684482</v>
      </c>
      <c r="W1004">
        <v>0.13856579999999999</v>
      </c>
      <c r="X1004">
        <v>0.91926350000000001</v>
      </c>
      <c r="Y1004">
        <v>0.56876979999999999</v>
      </c>
      <c r="Z1004">
        <v>3.9335839999999997E-2</v>
      </c>
      <c r="AA1004">
        <v>0.82155560000000005</v>
      </c>
      <c r="AB1004">
        <v>31</v>
      </c>
      <c r="AC1004">
        <v>0.91000000000002501</v>
      </c>
      <c r="AD1004">
        <v>-1.1048626003019999</v>
      </c>
      <c r="AE1004">
        <v>-11.784999999999901</v>
      </c>
      <c r="AF1004">
        <v>6.8233703778062402</v>
      </c>
      <c r="AG1004">
        <v>-1.1048626003019999</v>
      </c>
      <c r="AH1004">
        <v>9.5260761876019</v>
      </c>
      <c r="AI1004">
        <v>95.386496551672394</v>
      </c>
      <c r="AJ1004">
        <v>54.386602856035601</v>
      </c>
      <c r="AK1004">
        <v>11.7696742610093</v>
      </c>
      <c r="AL1004">
        <v>82.035135985337504</v>
      </c>
      <c r="AM1004">
        <v>68.1586902781237</v>
      </c>
      <c r="AN1004">
        <v>0.999999969722564</v>
      </c>
    </row>
    <row r="1005" spans="1:40" x14ac:dyDescent="0.25">
      <c r="A1005" t="str">
        <f>"20190303162519070"</f>
        <v>20190303162519070</v>
      </c>
      <c r="B1005" t="str">
        <f>"1551601519064702"</f>
        <v>1551601519064702</v>
      </c>
      <c r="C1005" t="s">
        <v>40</v>
      </c>
      <c r="D1005">
        <v>4.9320959999999996</v>
      </c>
      <c r="E1005">
        <v>0.59784499999999996</v>
      </c>
      <c r="F1005" t="s">
        <v>41</v>
      </c>
      <c r="G1005">
        <v>-194.2801</v>
      </c>
      <c r="H1005" s="1">
        <v>-4.4512790000000001E-6</v>
      </c>
      <c r="I1005">
        <v>347.83609999999999</v>
      </c>
      <c r="J1005">
        <v>-195.0162</v>
      </c>
      <c r="K1005">
        <v>1.1048119999999999</v>
      </c>
      <c r="L1005">
        <v>359.78989999999999</v>
      </c>
      <c r="M1005">
        <v>0.62890389999999996</v>
      </c>
      <c r="N1005">
        <v>-1.252294E-2</v>
      </c>
      <c r="O1005">
        <v>-0.77738219999999902</v>
      </c>
      <c r="P1005">
        <v>0.299828599999999</v>
      </c>
      <c r="Q1005">
        <v>0.1415372</v>
      </c>
      <c r="R1005">
        <v>-0.94343520000000003</v>
      </c>
      <c r="S1005">
        <v>0.24096679999999901</v>
      </c>
      <c r="T1005">
        <v>-0.28570180000000001</v>
      </c>
      <c r="U1005">
        <v>-3.157715</v>
      </c>
      <c r="V1005">
        <v>0.36575259999999998</v>
      </c>
      <c r="W1005">
        <v>0.13948379999999999</v>
      </c>
      <c r="X1005">
        <v>0.92020069999999998</v>
      </c>
      <c r="Y1005">
        <v>0.56738500000000003</v>
      </c>
      <c r="Z1005">
        <v>4.0152420000000001E-2</v>
      </c>
      <c r="AA1005">
        <v>0.82247320000000002</v>
      </c>
      <c r="AB1005">
        <v>31</v>
      </c>
      <c r="AC1005">
        <v>0.73609999999999298</v>
      </c>
      <c r="AD1005">
        <v>-1.104816451279</v>
      </c>
      <c r="AE1005">
        <v>-11.953799999999999</v>
      </c>
      <c r="AF1005">
        <v>6.8874931018515397</v>
      </c>
      <c r="AG1005">
        <v>-1.104816451279</v>
      </c>
      <c r="AH1005">
        <v>9.6740472315378501</v>
      </c>
      <c r="AI1005">
        <v>95.315165326667994</v>
      </c>
      <c r="AJ1005">
        <v>54.550818171145202</v>
      </c>
      <c r="AK1005">
        <v>11.926666359762599</v>
      </c>
      <c r="AL1005">
        <v>81.9820230051495</v>
      </c>
      <c r="AM1005">
        <v>68.323640500247905</v>
      </c>
      <c r="AN1005">
        <v>1.00000001157484</v>
      </c>
    </row>
    <row r="1006" spans="1:40" x14ac:dyDescent="0.25">
      <c r="A1006" t="str">
        <f>"20190303162519093"</f>
        <v>20190303162519093</v>
      </c>
      <c r="B1006" t="str">
        <f>"1551601519084222"</f>
        <v>1551601519084222</v>
      </c>
      <c r="C1006" t="s">
        <v>40</v>
      </c>
      <c r="D1006">
        <v>4.9422600000000001</v>
      </c>
      <c r="E1006">
        <v>0.59763769999999905</v>
      </c>
      <c r="F1006" t="s">
        <v>41</v>
      </c>
      <c r="G1006">
        <v>-194.25129999999999</v>
      </c>
      <c r="H1006" s="1">
        <v>-4.297578E-6</v>
      </c>
      <c r="I1006">
        <v>347.39940000000001</v>
      </c>
      <c r="J1006">
        <v>-194.82310000000001</v>
      </c>
      <c r="K1006">
        <v>1.10477</v>
      </c>
      <c r="L1006">
        <v>359.52589999999998</v>
      </c>
      <c r="M1006">
        <v>0.61431780000000002</v>
      </c>
      <c r="N1006">
        <v>-1.253927E-2</v>
      </c>
      <c r="O1006">
        <v>-0.78895930000000003</v>
      </c>
      <c r="P1006">
        <v>0.28581709999999999</v>
      </c>
      <c r="Q1006">
        <v>0.142202</v>
      </c>
      <c r="R1006">
        <v>-0.94767520000000005</v>
      </c>
      <c r="S1006">
        <v>0.1950684</v>
      </c>
      <c r="T1006">
        <v>-0.28178130000000001</v>
      </c>
      <c r="U1006">
        <v>-3.1601560000000002</v>
      </c>
      <c r="V1006">
        <v>0.36222199999999999</v>
      </c>
      <c r="W1006">
        <v>0.14027609999999999</v>
      </c>
      <c r="X1006">
        <v>0.92147590000000001</v>
      </c>
      <c r="Y1006">
        <v>0.56401269999999903</v>
      </c>
      <c r="Z1006">
        <v>4.0913810000000002E-2</v>
      </c>
      <c r="AA1006">
        <v>0.82475189999999998</v>
      </c>
      <c r="AB1006">
        <v>31</v>
      </c>
      <c r="AC1006">
        <v>0.57180000000002396</v>
      </c>
      <c r="AD1006">
        <v>-1.1047742975779999</v>
      </c>
      <c r="AE1006">
        <v>-12.126499999999901</v>
      </c>
      <c r="AF1006">
        <v>6.9414607787541698</v>
      </c>
      <c r="AG1006">
        <v>-1.1047742975779999</v>
      </c>
      <c r="AH1006">
        <v>9.8378869375383697</v>
      </c>
      <c r="AI1006">
        <v>95.242589845984497</v>
      </c>
      <c r="AJ1006">
        <v>54.793797967779099</v>
      </c>
      <c r="AK1006">
        <v>12.0908404748123</v>
      </c>
      <c r="AL1006">
        <v>81.936176709142998</v>
      </c>
      <c r="AM1006">
        <v>68.540758453642098</v>
      </c>
      <c r="AN1006">
        <v>0.99999999789800997</v>
      </c>
    </row>
    <row r="1007" spans="1:40" x14ac:dyDescent="0.25">
      <c r="A1007" t="str">
        <f>"20190303162519115"</f>
        <v>20190303162519115</v>
      </c>
      <c r="B1007" t="str">
        <f>"1551601519104718"</f>
        <v>1551601519104718</v>
      </c>
      <c r="C1007" t="s">
        <v>40</v>
      </c>
      <c r="D1007">
        <v>4.897259</v>
      </c>
      <c r="E1007">
        <v>0.59748480000000004</v>
      </c>
      <c r="F1007" t="s">
        <v>41</v>
      </c>
      <c r="G1007">
        <v>-194.22800000000001</v>
      </c>
      <c r="H1007" s="1">
        <v>-4.1490119999999999E-6</v>
      </c>
      <c r="I1007">
        <v>346.97500000000002</v>
      </c>
      <c r="J1007">
        <v>-194.63829999999999</v>
      </c>
      <c r="K1007">
        <v>1.104727</v>
      </c>
      <c r="L1007">
        <v>359.26339999999999</v>
      </c>
      <c r="M1007">
        <v>0.59979090000000002</v>
      </c>
      <c r="N1007">
        <v>-1.2554020000000001E-2</v>
      </c>
      <c r="O1007">
        <v>-0.8000583</v>
      </c>
      <c r="P1007">
        <v>0.27352149999999997</v>
      </c>
      <c r="Q1007">
        <v>0.1428442</v>
      </c>
      <c r="R1007">
        <v>-0.95120020000000005</v>
      </c>
      <c r="S1007">
        <v>0.14993290000000001</v>
      </c>
      <c r="T1007">
        <v>-0.2783505</v>
      </c>
      <c r="U1007">
        <v>-3.1622309999999998</v>
      </c>
      <c r="V1007">
        <v>0.357276599999999</v>
      </c>
      <c r="W1007">
        <v>0.14110739999999999</v>
      </c>
      <c r="X1007">
        <v>0.92327789999999998</v>
      </c>
      <c r="Y1007">
        <v>0.56070830000000005</v>
      </c>
      <c r="Z1007">
        <v>4.167527E-2</v>
      </c>
      <c r="AA1007">
        <v>0.82696389999999997</v>
      </c>
      <c r="AB1007">
        <v>32</v>
      </c>
      <c r="AC1007">
        <v>0.41030000000000599</v>
      </c>
      <c r="AD1007">
        <v>-1.104731149012</v>
      </c>
      <c r="AE1007">
        <v>-12.2883999999999</v>
      </c>
      <c r="AF1007">
        <v>6.9863601793347199</v>
      </c>
      <c r="AG1007">
        <v>-1.104731149012</v>
      </c>
      <c r="AH1007">
        <v>9.9976133728830199</v>
      </c>
      <c r="AI1007">
        <v>95.175478558082702</v>
      </c>
      <c r="AJ1007">
        <v>55.054042431069703</v>
      </c>
      <c r="AK1007">
        <v>12.2467110940301</v>
      </c>
      <c r="AL1007">
        <v>81.888068016729306</v>
      </c>
      <c r="AM1007">
        <v>68.845286842766697</v>
      </c>
      <c r="AN1007">
        <v>0.99999997393536399</v>
      </c>
    </row>
    <row r="1008" spans="1:40" x14ac:dyDescent="0.25">
      <c r="A1008" t="str">
        <f>"20190303162519135"</f>
        <v>20190303162519135</v>
      </c>
      <c r="B1008" t="str">
        <f>"1551601519124238"</f>
        <v>1551601519124238</v>
      </c>
      <c r="C1008" t="s">
        <v>40</v>
      </c>
      <c r="D1008">
        <v>4.9439830000000002</v>
      </c>
      <c r="E1008">
        <v>0.59730019999999995</v>
      </c>
      <c r="F1008" t="s">
        <v>41</v>
      </c>
      <c r="G1008">
        <v>-194.19730000000001</v>
      </c>
      <c r="H1008" s="1">
        <v>-3.978464E-6</v>
      </c>
      <c r="I1008">
        <v>346.4898</v>
      </c>
      <c r="J1008">
        <v>-194.46940000000001</v>
      </c>
      <c r="K1008">
        <v>1.1046929999999999</v>
      </c>
      <c r="L1008">
        <v>359.01400000000001</v>
      </c>
      <c r="M1008">
        <v>0.58597790000000005</v>
      </c>
      <c r="N1008">
        <v>-1.256673E-2</v>
      </c>
      <c r="O1008">
        <v>-0.81023000000000001</v>
      </c>
      <c r="P1008">
        <v>0.26346049999999999</v>
      </c>
      <c r="Q1008">
        <v>0.14385110000000001</v>
      </c>
      <c r="R1008">
        <v>-0.95388470000000003</v>
      </c>
      <c r="S1008">
        <v>0.1092224</v>
      </c>
      <c r="T1008">
        <v>-0.27359840000000002</v>
      </c>
      <c r="U1008">
        <v>-3.163513</v>
      </c>
      <c r="V1008">
        <v>0.35113509999999998</v>
      </c>
      <c r="W1008">
        <v>0.14235729999999999</v>
      </c>
      <c r="X1008">
        <v>0.92543969999999998</v>
      </c>
      <c r="Y1008">
        <v>0.55716730000000003</v>
      </c>
      <c r="Z1008">
        <v>4.2052939999999997E-2</v>
      </c>
      <c r="AA1008">
        <v>0.82933480000000004</v>
      </c>
      <c r="AB1008">
        <v>32</v>
      </c>
      <c r="AC1008">
        <v>0.27209999999999401</v>
      </c>
      <c r="AD1008">
        <v>-1.1046969784639999</v>
      </c>
      <c r="AE1008">
        <v>-12.5242</v>
      </c>
      <c r="AF1008">
        <v>7.0640672105882398</v>
      </c>
      <c r="AG1008">
        <v>-1.1046969784639999</v>
      </c>
      <c r="AH1008">
        <v>10.228198541931899</v>
      </c>
      <c r="AI1008">
        <v>95.078530882083001</v>
      </c>
      <c r="AJ1008">
        <v>55.3692464893278</v>
      </c>
      <c r="AK1008">
        <v>12.4794810141734</v>
      </c>
      <c r="AL1008">
        <v>81.815724317379704</v>
      </c>
      <c r="AM1008">
        <v>69.221994881794899</v>
      </c>
      <c r="AN1008">
        <v>1.0000000488256899</v>
      </c>
    </row>
    <row r="1009" spans="1:40" x14ac:dyDescent="0.25">
      <c r="A1009" t="str">
        <f>"20190303162519158"</f>
        <v>20190303162519158</v>
      </c>
      <c r="B1009" t="str">
        <f>"1551601519143759"</f>
        <v>1551601519143759</v>
      </c>
      <c r="C1009" t="s">
        <v>40</v>
      </c>
      <c r="D1009">
        <v>4.9539330000000001</v>
      </c>
      <c r="E1009">
        <v>0.59705129999999995</v>
      </c>
      <c r="F1009" t="s">
        <v>41</v>
      </c>
      <c r="G1009">
        <v>-194.1557</v>
      </c>
      <c r="H1009" s="1">
        <v>-3.7805820000000002E-6</v>
      </c>
      <c r="I1009">
        <v>345.93009999999998</v>
      </c>
      <c r="J1009">
        <v>-194.29230000000001</v>
      </c>
      <c r="K1009">
        <v>1.1046659999999999</v>
      </c>
      <c r="L1009">
        <v>358.74270000000001</v>
      </c>
      <c r="M1009">
        <v>0.57093300000000002</v>
      </c>
      <c r="N1009">
        <v>-1.2579180000000001E-2</v>
      </c>
      <c r="O1009">
        <v>-0.82090039999999997</v>
      </c>
      <c r="P1009">
        <v>0.25436009999999998</v>
      </c>
      <c r="Q1009">
        <v>0.14597379999999999</v>
      </c>
      <c r="R1009">
        <v>-0.95602960000000003</v>
      </c>
      <c r="S1009">
        <v>7.5851440000000006E-2</v>
      </c>
      <c r="T1009">
        <v>-0.26716659999999998</v>
      </c>
      <c r="U1009">
        <v>-3.164307</v>
      </c>
      <c r="V1009">
        <v>0.3427675</v>
      </c>
      <c r="W1009">
        <v>0.144815</v>
      </c>
      <c r="X1009">
        <v>0.92819130000000005</v>
      </c>
      <c r="Y1009">
        <v>0.55061590000000005</v>
      </c>
      <c r="Z1009">
        <v>4.221275E-2</v>
      </c>
      <c r="AA1009">
        <v>0.83369069999999901</v>
      </c>
      <c r="AB1009">
        <v>32</v>
      </c>
      <c r="AC1009">
        <v>0.13660000000001499</v>
      </c>
      <c r="AD1009">
        <v>-1.1046697805819901</v>
      </c>
      <c r="AE1009">
        <v>-12.8126</v>
      </c>
      <c r="AF1009">
        <v>7.1504241420132599</v>
      </c>
      <c r="AG1009">
        <v>-1.1046697805819901</v>
      </c>
      <c r="AH1009">
        <v>10.518515342445401</v>
      </c>
      <c r="AI1009">
        <v>94.963873200795902</v>
      </c>
      <c r="AJ1009">
        <v>55.792367622824102</v>
      </c>
      <c r="AK1009">
        <v>12.7666763781368</v>
      </c>
      <c r="AL1009">
        <v>81.673433738622805</v>
      </c>
      <c r="AM1009">
        <v>69.731547756102401</v>
      </c>
      <c r="AN1009">
        <v>1.0000000163384699</v>
      </c>
    </row>
    <row r="1010" spans="1:40" x14ac:dyDescent="0.25">
      <c r="A1010" t="str">
        <f>"20190303162519180"</f>
        <v>20190303162519180</v>
      </c>
      <c r="B1010" t="str">
        <f>"1551601519174014"</f>
        <v>1551601519174014</v>
      </c>
      <c r="C1010" t="s">
        <v>40</v>
      </c>
      <c r="D1010">
        <v>4.9702349999999997</v>
      </c>
      <c r="E1010">
        <v>0.59663339999999998</v>
      </c>
      <c r="F1010" t="s">
        <v>41</v>
      </c>
      <c r="G1010">
        <v>-194.0917</v>
      </c>
      <c r="H1010" s="1">
        <v>-3.4904640000000001E-6</v>
      </c>
      <c r="I1010">
        <v>345.18770000000001</v>
      </c>
      <c r="J1010">
        <v>-194.1172</v>
      </c>
      <c r="K1010">
        <v>1.104636</v>
      </c>
      <c r="L1010">
        <v>358.46249999999998</v>
      </c>
      <c r="M1010">
        <v>0.55539419999999995</v>
      </c>
      <c r="N1010">
        <v>-1.259104E-2</v>
      </c>
      <c r="O1010">
        <v>-0.8314918</v>
      </c>
      <c r="P1010">
        <v>0.24672160000000001</v>
      </c>
      <c r="Q1010">
        <v>0.14848220000000001</v>
      </c>
      <c r="R1010">
        <v>-0.95764380000000005</v>
      </c>
      <c r="S1010">
        <v>4.6829219999999998E-2</v>
      </c>
      <c r="T1010">
        <v>-0.25792779999999998</v>
      </c>
      <c r="U1010">
        <v>-3.1649479999999999</v>
      </c>
      <c r="V1010">
        <v>0.33258080000000001</v>
      </c>
      <c r="W1010">
        <v>0.14773629999999999</v>
      </c>
      <c r="X1010">
        <v>0.93143120000000001</v>
      </c>
      <c r="Y1010">
        <v>0.5425818</v>
      </c>
      <c r="Z1010">
        <v>4.1754069999999997E-2</v>
      </c>
      <c r="AA1010">
        <v>0.83896459999999995</v>
      </c>
      <c r="AB1010">
        <v>32</v>
      </c>
      <c r="AC1010">
        <v>2.5499999999993798E-2</v>
      </c>
      <c r="AD1010">
        <v>-1.104639490464</v>
      </c>
      <c r="AE1010">
        <v>-13.2747999999999</v>
      </c>
      <c r="AF1010">
        <v>7.3015680447344602</v>
      </c>
      <c r="AG1010">
        <v>-1.104639490464</v>
      </c>
      <c r="AH1010">
        <v>10.976917995586</v>
      </c>
      <c r="AI1010">
        <v>94.789586485426796</v>
      </c>
      <c r="AJ1010">
        <v>56.3691543689025</v>
      </c>
      <c r="AK1010">
        <v>13.2297336706979</v>
      </c>
      <c r="AL1010">
        <v>81.504235814921699</v>
      </c>
      <c r="AM1010">
        <v>70.350169477359003</v>
      </c>
      <c r="AN1010">
        <v>1.00000004159988</v>
      </c>
    </row>
    <row r="1011" spans="1:40" x14ac:dyDescent="0.25">
      <c r="A1011" t="str">
        <f>"20190303162519204"</f>
        <v>20190303162519204</v>
      </c>
      <c r="B1011" t="str">
        <f>"1551601519193534"</f>
        <v>1551601519193534</v>
      </c>
      <c r="C1011" t="s">
        <v>40</v>
      </c>
      <c r="D1011">
        <v>5.0022149999999996</v>
      </c>
      <c r="E1011">
        <v>0.59634659999999995</v>
      </c>
      <c r="F1011" t="s">
        <v>41</v>
      </c>
      <c r="G1011">
        <v>-194.00790000000001</v>
      </c>
      <c r="H1011" s="1">
        <v>-3.1197450000000001E-6</v>
      </c>
      <c r="I1011">
        <v>344.37549999999999</v>
      </c>
      <c r="J1011">
        <v>-193.94739999999999</v>
      </c>
      <c r="K1011">
        <v>1.104606</v>
      </c>
      <c r="L1011">
        <v>358.17930000000001</v>
      </c>
      <c r="M1011">
        <v>0.53967270000000001</v>
      </c>
      <c r="N1011">
        <v>-1.2602E-2</v>
      </c>
      <c r="O1011">
        <v>-0.84178069999999905</v>
      </c>
      <c r="P1011">
        <v>0.23969950000000001</v>
      </c>
      <c r="Q1011">
        <v>0.150087</v>
      </c>
      <c r="R1011">
        <v>-0.95917580000000002</v>
      </c>
      <c r="S1011">
        <v>2.4566649999999999E-2</v>
      </c>
      <c r="T1011">
        <v>-0.2481717</v>
      </c>
      <c r="U1011">
        <v>-3.164825</v>
      </c>
      <c r="V1011">
        <v>0.32180550000000002</v>
      </c>
      <c r="W1011">
        <v>0.14978079999999999</v>
      </c>
      <c r="X1011">
        <v>0.93488340000000003</v>
      </c>
      <c r="Y1011">
        <v>0.53270589999999995</v>
      </c>
      <c r="Z1011">
        <v>4.1112309999999999E-2</v>
      </c>
      <c r="AA1011">
        <v>0.84530130000000003</v>
      </c>
      <c r="AB1011">
        <v>32</v>
      </c>
      <c r="AC1011">
        <v>-6.0500000000018803E-2</v>
      </c>
      <c r="AD1011">
        <v>-1.1046091197450001</v>
      </c>
      <c r="AE1011">
        <v>-13.803800000000001</v>
      </c>
      <c r="AF1011">
        <v>7.4533299600760596</v>
      </c>
      <c r="AG1011">
        <v>-1.1046091197450001</v>
      </c>
      <c r="AH1011">
        <v>11.514310471796</v>
      </c>
      <c r="AI1011">
        <v>94.604306839932207</v>
      </c>
      <c r="AJ1011">
        <v>57.084608310143899</v>
      </c>
      <c r="AK1011">
        <v>13.7605099630102</v>
      </c>
      <c r="AL1011">
        <v>81.385776355260205</v>
      </c>
      <c r="AM1011">
        <v>71.005515933580895</v>
      </c>
      <c r="AN1011">
        <v>1.0000000197372201</v>
      </c>
    </row>
    <row r="1012" spans="1:40" x14ac:dyDescent="0.25">
      <c r="A1012" t="str">
        <f>"20190303162519226"</f>
        <v>20190303162519226</v>
      </c>
      <c r="B1012" t="str">
        <f>"1551601519214030"</f>
        <v>1551601519214030</v>
      </c>
      <c r="C1012" t="s">
        <v>40</v>
      </c>
      <c r="D1012">
        <v>5.0029379999999897</v>
      </c>
      <c r="E1012">
        <v>0.59609369999999995</v>
      </c>
      <c r="F1012" t="s">
        <v>41</v>
      </c>
      <c r="G1012">
        <v>-193.9325</v>
      </c>
      <c r="H1012" s="1">
        <v>-2.8148230000000001E-6</v>
      </c>
      <c r="I1012">
        <v>343.7115</v>
      </c>
      <c r="J1012">
        <v>-193.78370000000001</v>
      </c>
      <c r="K1012">
        <v>1.104582</v>
      </c>
      <c r="L1012">
        <v>357.89440000000002</v>
      </c>
      <c r="M1012">
        <v>0.52385039999999905</v>
      </c>
      <c r="N1012">
        <v>-1.261193E-2</v>
      </c>
      <c r="O1012">
        <v>-0.8517171</v>
      </c>
      <c r="P1012">
        <v>0.232127</v>
      </c>
      <c r="Q1012">
        <v>0.15064829999999901</v>
      </c>
      <c r="R1012">
        <v>-0.96094869999999999</v>
      </c>
      <c r="S1012">
        <v>3.2653809999999999E-3</v>
      </c>
      <c r="T1012">
        <v>-0.241623</v>
      </c>
      <c r="U1012">
        <v>-3.1647029999999998</v>
      </c>
      <c r="V1012">
        <v>0.311666</v>
      </c>
      <c r="W1012">
        <v>0.1507571</v>
      </c>
      <c r="X1012">
        <v>0.93815590000000004</v>
      </c>
      <c r="Y1012">
        <v>0.52257949999999997</v>
      </c>
      <c r="Z1012">
        <v>4.1031430000000001E-2</v>
      </c>
      <c r="AA1012">
        <v>0.85160270000000005</v>
      </c>
      <c r="AB1012">
        <v>32</v>
      </c>
      <c r="AC1012">
        <v>-0.14879999999999399</v>
      </c>
      <c r="AD1012">
        <v>-1.104584814823</v>
      </c>
      <c r="AE1012">
        <v>-14.1829</v>
      </c>
      <c r="AF1012">
        <v>7.51149704686887</v>
      </c>
      <c r="AG1012">
        <v>-1.104584814823</v>
      </c>
      <c r="AH1012">
        <v>11.930465703158999</v>
      </c>
      <c r="AI1012">
        <v>94.479942423315094</v>
      </c>
      <c r="AJ1012">
        <v>57.805220959430599</v>
      </c>
      <c r="AK1012">
        <v>14.141382796336099</v>
      </c>
      <c r="AL1012">
        <v>81.329195376887597</v>
      </c>
      <c r="AM1012">
        <v>71.622929149661502</v>
      </c>
      <c r="AN1012">
        <v>0.99999994573060802</v>
      </c>
    </row>
    <row r="1013" spans="1:40" x14ac:dyDescent="0.25">
      <c r="A1013" t="str">
        <f>"20190303162519250"</f>
        <v>20190303162519250</v>
      </c>
      <c r="B1013" t="str">
        <f>"1551601519244286"</f>
        <v>1551601519244286</v>
      </c>
      <c r="C1013" t="s">
        <v>40</v>
      </c>
      <c r="D1013">
        <v>4.9073000000000002</v>
      </c>
      <c r="E1013">
        <v>0.59575610000000001</v>
      </c>
      <c r="F1013" t="s">
        <v>41</v>
      </c>
      <c r="G1013">
        <v>-193.88229999999999</v>
      </c>
      <c r="H1013" s="1">
        <v>-2.5597529999999998E-6</v>
      </c>
      <c r="I1013">
        <v>343.1481</v>
      </c>
      <c r="J1013">
        <v>-193.6157</v>
      </c>
      <c r="K1013">
        <v>1.104555</v>
      </c>
      <c r="L1013">
        <v>357.58890000000002</v>
      </c>
      <c r="M1013">
        <v>0.50686960000000003</v>
      </c>
      <c r="N1013">
        <v>-1.26216E-2</v>
      </c>
      <c r="O1013">
        <v>-0.86193030000000004</v>
      </c>
      <c r="P1013">
        <v>0.22301570000000001</v>
      </c>
      <c r="Q1013">
        <v>0.15210870000000001</v>
      </c>
      <c r="R1013">
        <v>-0.96287429999999996</v>
      </c>
      <c r="S1013">
        <v>-2.114868E-2</v>
      </c>
      <c r="T1013">
        <v>-0.2370149</v>
      </c>
      <c r="U1013">
        <v>-3.1641849999999998</v>
      </c>
      <c r="V1013">
        <v>0.301880599999999</v>
      </c>
      <c r="W1013">
        <v>0.15261649999999999</v>
      </c>
      <c r="X1013">
        <v>0.94105059999999996</v>
      </c>
      <c r="Y1013">
        <v>0.51224550000000002</v>
      </c>
      <c r="Z1013">
        <v>4.1350659999999997E-2</v>
      </c>
      <c r="AA1013">
        <v>0.85784300000000002</v>
      </c>
      <c r="AB1013">
        <v>32</v>
      </c>
      <c r="AC1013">
        <v>-0.26659999999998202</v>
      </c>
      <c r="AD1013">
        <v>-1.104557559753</v>
      </c>
      <c r="AE1013">
        <v>-14.440799999999999</v>
      </c>
      <c r="AF1013">
        <v>7.5060951993965599</v>
      </c>
      <c r="AG1013">
        <v>-1.104557559753</v>
      </c>
      <c r="AH1013">
        <v>12.241219749754899</v>
      </c>
      <c r="AI1013">
        <v>94.398695632955096</v>
      </c>
      <c r="AJ1013">
        <v>58.4841251814495</v>
      </c>
      <c r="AK1013">
        <v>14.4017003686024</v>
      </c>
      <c r="AL1013">
        <v>81.221412528646496</v>
      </c>
      <c r="AM1013">
        <v>72.2142246010322</v>
      </c>
      <c r="AN1013">
        <v>0.99999996224448395</v>
      </c>
    </row>
    <row r="1014" spans="1:40" x14ac:dyDescent="0.25">
      <c r="A1014" t="str">
        <f>"20190303162519273"</f>
        <v>20190303162519273</v>
      </c>
      <c r="B1014" t="str">
        <f>"1551601519263806"</f>
        <v>1551601519263806</v>
      </c>
      <c r="C1014" t="s">
        <v>40</v>
      </c>
      <c r="D1014">
        <v>4.9806359999999996</v>
      </c>
      <c r="E1014">
        <v>0.59549659999999904</v>
      </c>
      <c r="F1014" t="s">
        <v>41</v>
      </c>
      <c r="G1014">
        <v>-193.86670000000001</v>
      </c>
      <c r="H1014" s="1">
        <v>-2.1444959999999999E-6</v>
      </c>
      <c r="I1014">
        <v>342.18979999999999</v>
      </c>
      <c r="J1014">
        <v>-193.46279999999999</v>
      </c>
      <c r="K1014">
        <v>1.104536</v>
      </c>
      <c r="L1014">
        <v>357.298</v>
      </c>
      <c r="M1014">
        <v>0.49069170000000001</v>
      </c>
      <c r="N1014">
        <v>-1.262985E-2</v>
      </c>
      <c r="O1014">
        <v>-0.87124169999999901</v>
      </c>
      <c r="P1014">
        <v>0.21522859999999999</v>
      </c>
      <c r="Q1014">
        <v>0.1532144</v>
      </c>
      <c r="R1014">
        <v>-0.96446989999999999</v>
      </c>
      <c r="S1014">
        <v>-5.155945E-2</v>
      </c>
      <c r="T1014">
        <v>-0.22691130000000001</v>
      </c>
      <c r="U1014">
        <v>-3.1634829999999998</v>
      </c>
      <c r="V1014">
        <v>0.29185329999999998</v>
      </c>
      <c r="W1014">
        <v>0.15413379999999999</v>
      </c>
      <c r="X1014">
        <v>0.94396210000000003</v>
      </c>
      <c r="Y1014">
        <v>0.50447410000000004</v>
      </c>
      <c r="Z1014">
        <v>4.0179720000000002E-2</v>
      </c>
      <c r="AA1014">
        <v>0.86249140000000002</v>
      </c>
      <c r="AB1014">
        <v>32</v>
      </c>
      <c r="AC1014">
        <v>-0.40390000000002102</v>
      </c>
      <c r="AD1014">
        <v>-1.1045381444960001</v>
      </c>
      <c r="AE1014">
        <v>-15.1082</v>
      </c>
      <c r="AF1014">
        <v>7.7247243924474702</v>
      </c>
      <c r="AG1014">
        <v>-1.1045381444960001</v>
      </c>
      <c r="AH1014">
        <v>12.896855293882799</v>
      </c>
      <c r="AI1014">
        <v>94.202127675159105</v>
      </c>
      <c r="AJ1014">
        <v>59.0799996981142</v>
      </c>
      <c r="AK1014">
        <v>15.0738265852859</v>
      </c>
      <c r="AL1014">
        <v>81.133437144298796</v>
      </c>
      <c r="AM1014">
        <v>72.819487089363193</v>
      </c>
      <c r="AN1014">
        <v>1.00000001162987</v>
      </c>
    </row>
    <row r="1015" spans="1:40" x14ac:dyDescent="0.25">
      <c r="A1015" t="str">
        <f>"20190303162519294"</f>
        <v>20190303162519294</v>
      </c>
      <c r="B1015" t="str">
        <f>"1551601519284303"</f>
        <v>1551601519284303</v>
      </c>
      <c r="C1015" t="s">
        <v>40</v>
      </c>
      <c r="D1015">
        <v>4.9617149999999999</v>
      </c>
      <c r="E1015">
        <v>0.59523169999999903</v>
      </c>
      <c r="F1015" t="s">
        <v>41</v>
      </c>
      <c r="G1015">
        <v>-193.86160000000001</v>
      </c>
      <c r="H1015" s="1">
        <v>-1.765144E-6</v>
      </c>
      <c r="I1015">
        <v>341.30860000000001</v>
      </c>
      <c r="J1015">
        <v>-193.3246</v>
      </c>
      <c r="K1015">
        <v>1.104522</v>
      </c>
      <c r="L1015">
        <v>357.02330000000001</v>
      </c>
      <c r="M1015">
        <v>0.47540739999999998</v>
      </c>
      <c r="N1015">
        <v>-1.263703E-2</v>
      </c>
      <c r="O1015">
        <v>-0.87967499999999998</v>
      </c>
      <c r="P1015">
        <v>0.20830409999999999</v>
      </c>
      <c r="Q1015">
        <v>0.1540619</v>
      </c>
      <c r="R1015">
        <v>-0.96585430000000005</v>
      </c>
      <c r="S1015">
        <v>-7.8887940000000004E-2</v>
      </c>
      <c r="T1015">
        <v>-0.21848709999999999</v>
      </c>
      <c r="U1015">
        <v>-3.1628419999999999</v>
      </c>
      <c r="V1015">
        <v>0.28209400000000001</v>
      </c>
      <c r="W1015">
        <v>0.15538260000000001</v>
      </c>
      <c r="X1015">
        <v>0.94672020000000001</v>
      </c>
      <c r="Y1015">
        <v>0.496863</v>
      </c>
      <c r="Z1015">
        <v>3.9213039999999998E-2</v>
      </c>
      <c r="AA1015">
        <v>0.86694259999999901</v>
      </c>
      <c r="AB1015">
        <v>32</v>
      </c>
      <c r="AC1015">
        <v>-0.53700000000000603</v>
      </c>
      <c r="AD1015">
        <v>-1.1045237651440001</v>
      </c>
      <c r="AE1015">
        <v>-15.714699999999899</v>
      </c>
      <c r="AF1015">
        <v>7.9048988423587296</v>
      </c>
      <c r="AG1015">
        <v>-1.1045237651440001</v>
      </c>
      <c r="AH1015">
        <v>13.502989860224099</v>
      </c>
      <c r="AI1015">
        <v>94.037904520402606</v>
      </c>
      <c r="AJ1015">
        <v>59.654508438893103</v>
      </c>
      <c r="AK1015">
        <v>15.6856027496876</v>
      </c>
      <c r="AL1015">
        <v>81.061013148556498</v>
      </c>
      <c r="AM1015">
        <v>73.407534230467704</v>
      </c>
      <c r="AN1015">
        <v>0.99999995715339896</v>
      </c>
    </row>
    <row r="1016" spans="1:40" x14ac:dyDescent="0.25">
      <c r="A1016" t="str">
        <f>"20190303162519316"</f>
        <v>20190303162519316</v>
      </c>
      <c r="B1016" t="str">
        <f>"1551601519303822"</f>
        <v>1551601519303822</v>
      </c>
      <c r="C1016" t="s">
        <v>40</v>
      </c>
      <c r="D1016">
        <v>4.9687679999999999</v>
      </c>
      <c r="E1016">
        <v>0.59495419999999999</v>
      </c>
      <c r="F1016" t="s">
        <v>41</v>
      </c>
      <c r="G1016">
        <v>-193.86070000000001</v>
      </c>
      <c r="H1016" s="1">
        <v>-1.4178950000000001E-6</v>
      </c>
      <c r="I1016">
        <v>340.49979999999999</v>
      </c>
      <c r="J1016">
        <v>-193.1865</v>
      </c>
      <c r="K1016">
        <v>1.104503</v>
      </c>
      <c r="L1016">
        <v>356.73610000000002</v>
      </c>
      <c r="M1016">
        <v>0.45943070000000003</v>
      </c>
      <c r="N1016">
        <v>-1.264384E-2</v>
      </c>
      <c r="O1016">
        <v>-0.88812359999999901</v>
      </c>
      <c r="P1016">
        <v>0.19976459999999999</v>
      </c>
      <c r="Q1016">
        <v>0.15437339999999999</v>
      </c>
      <c r="R1016">
        <v>-0.96760699999999999</v>
      </c>
      <c r="S1016">
        <v>-0.1025848</v>
      </c>
      <c r="T1016">
        <v>-0.2113583</v>
      </c>
      <c r="U1016">
        <v>-3.161896</v>
      </c>
      <c r="V1016">
        <v>0.27331860000000002</v>
      </c>
      <c r="W1016">
        <v>0.15605520000000001</v>
      </c>
      <c r="X1016">
        <v>0.94918049999999998</v>
      </c>
      <c r="Y1016">
        <v>0.48767559999999899</v>
      </c>
      <c r="Z1016">
        <v>3.8520989999999998E-2</v>
      </c>
      <c r="AA1016">
        <v>0.87217469999999997</v>
      </c>
      <c r="AB1016">
        <v>32</v>
      </c>
      <c r="AC1016">
        <v>-0.67420000000001301</v>
      </c>
      <c r="AD1016">
        <v>-1.1045044178950001</v>
      </c>
      <c r="AE1016">
        <v>-16.2363</v>
      </c>
      <c r="AF1016">
        <v>8.0218136788452998</v>
      </c>
      <c r="AG1016">
        <v>-1.1045044178950001</v>
      </c>
      <c r="AH1016">
        <v>14.046331626330501</v>
      </c>
      <c r="AI1016">
        <v>93.906222786739505</v>
      </c>
      <c r="AJ1016">
        <v>60.269454887538799</v>
      </c>
      <c r="AK1016">
        <v>16.213230919965099</v>
      </c>
      <c r="AL1016">
        <v>81.022000054512105</v>
      </c>
      <c r="AM1016">
        <v>73.936129206144898</v>
      </c>
      <c r="AN1016">
        <v>0.99999995206662395</v>
      </c>
    </row>
    <row r="1017" spans="1:40" x14ac:dyDescent="0.25">
      <c r="A1017" t="str">
        <f>"20190303162519339"</f>
        <v>20190303162519339</v>
      </c>
      <c r="B1017" t="str">
        <f>"1551601519334078"</f>
        <v>1551601519334078</v>
      </c>
      <c r="C1017" t="s">
        <v>40</v>
      </c>
      <c r="D1017">
        <v>4.9289969999999999</v>
      </c>
      <c r="E1017">
        <v>0.59454259999999903</v>
      </c>
      <c r="F1017" t="s">
        <v>41</v>
      </c>
      <c r="G1017">
        <v>-193.87389999999999</v>
      </c>
      <c r="H1017" s="1">
        <v>-1.1988859999999999E-6</v>
      </c>
      <c r="I1017">
        <v>339.98099999999999</v>
      </c>
      <c r="J1017">
        <v>-193.04730000000001</v>
      </c>
      <c r="K1017">
        <v>1.10449</v>
      </c>
      <c r="L1017">
        <v>356.43270000000001</v>
      </c>
      <c r="M1017">
        <v>0.44254759999999999</v>
      </c>
      <c r="N1017">
        <v>-1.265053E-2</v>
      </c>
      <c r="O1017">
        <v>-0.89665599999999901</v>
      </c>
      <c r="P1017">
        <v>0.18947720000000001</v>
      </c>
      <c r="Q1017">
        <v>0.15521219999999999</v>
      </c>
      <c r="R1017">
        <v>-0.96954010000000002</v>
      </c>
      <c r="S1017">
        <v>-0.12966920000000001</v>
      </c>
      <c r="T1017">
        <v>-0.20834140000000001</v>
      </c>
      <c r="U1017">
        <v>-3.1604920000000001</v>
      </c>
      <c r="V1017">
        <v>0.265403</v>
      </c>
      <c r="W1017">
        <v>0.15721849999999901</v>
      </c>
      <c r="X1017">
        <v>0.95123270000000004</v>
      </c>
      <c r="Y1017">
        <v>0.4786279</v>
      </c>
      <c r="Z1017">
        <v>3.877978E-2</v>
      </c>
      <c r="AA1017">
        <v>0.87716109999999903</v>
      </c>
      <c r="AB1017">
        <v>32</v>
      </c>
      <c r="AC1017">
        <v>-0.82659999999998401</v>
      </c>
      <c r="AD1017">
        <v>-1.104491198886</v>
      </c>
      <c r="AE1017">
        <v>-16.451699999999999</v>
      </c>
      <c r="AF1017">
        <v>7.98657047205179</v>
      </c>
      <c r="AG1017">
        <v>-1.104491198886</v>
      </c>
      <c r="AH1017">
        <v>14.322462992766599</v>
      </c>
      <c r="AI1017">
        <v>93.853180354610004</v>
      </c>
      <c r="AJ1017">
        <v>60.854848298660201</v>
      </c>
      <c r="AK1017">
        <v>16.435880107029099</v>
      </c>
      <c r="AL1017">
        <v>80.954515552185796</v>
      </c>
      <c r="AM1017">
        <v>74.410390451783499</v>
      </c>
      <c r="AN1017">
        <v>1.00000002935026</v>
      </c>
    </row>
    <row r="1018" spans="1:40" x14ac:dyDescent="0.25">
      <c r="A1018" t="str">
        <f>"20190303162519360"</f>
        <v>20190303162519360</v>
      </c>
      <c r="B1018" t="str">
        <f>"1551601519353599"</f>
        <v>1551601519353599</v>
      </c>
      <c r="C1018" t="s">
        <v>40</v>
      </c>
      <c r="D1018">
        <v>4.926253</v>
      </c>
      <c r="E1018">
        <v>0.5942596</v>
      </c>
      <c r="F1018" t="s">
        <v>41</v>
      </c>
      <c r="G1018">
        <v>-193.92429999999999</v>
      </c>
      <c r="H1018" s="1">
        <v>-4.8800090000000003E-6</v>
      </c>
      <c r="I1018">
        <v>339.28140000000002</v>
      </c>
      <c r="J1018">
        <v>-192.9221</v>
      </c>
      <c r="K1018">
        <v>1.1044830000000001</v>
      </c>
      <c r="L1018">
        <v>356.1454</v>
      </c>
      <c r="M1018">
        <v>0.42655989999999999</v>
      </c>
      <c r="N1018">
        <v>-1.265663E-2</v>
      </c>
      <c r="O1018">
        <v>-0.90437100000000004</v>
      </c>
      <c r="P1018">
        <v>0.1812407</v>
      </c>
      <c r="Q1018">
        <v>0.15668280000000001</v>
      </c>
      <c r="R1018">
        <v>-0.97087780000000001</v>
      </c>
      <c r="S1018">
        <v>-0.16148379999999901</v>
      </c>
      <c r="T1018">
        <v>-0.20338680000000001</v>
      </c>
      <c r="U1018">
        <v>-3.158325</v>
      </c>
      <c r="V1018">
        <v>0.25652950000000002</v>
      </c>
      <c r="W1018">
        <v>0.15905279999999899</v>
      </c>
      <c r="X1018">
        <v>0.95335970000000003</v>
      </c>
      <c r="Y1018">
        <v>0.47188659999999999</v>
      </c>
      <c r="Z1018">
        <v>3.8406900000000001E-2</v>
      </c>
      <c r="AA1018">
        <v>0.88082229999999995</v>
      </c>
      <c r="AB1018">
        <v>32</v>
      </c>
      <c r="AC1018">
        <v>-1.00219999999998</v>
      </c>
      <c r="AD1018">
        <v>-1.1044878800089999</v>
      </c>
      <c r="AE1018">
        <v>-16.863999999999901</v>
      </c>
      <c r="AF1018">
        <v>8.0660367811100695</v>
      </c>
      <c r="AG1018">
        <v>-1.1044878800089999</v>
      </c>
      <c r="AH1018">
        <v>14.7619009139654</v>
      </c>
      <c r="AI1018">
        <v>93.756530283901697</v>
      </c>
      <c r="AJ1018">
        <v>61.347406763335499</v>
      </c>
      <c r="AK1018">
        <v>16.858071106299199</v>
      </c>
      <c r="AL1018">
        <v>80.848077882417897</v>
      </c>
      <c r="AM1018">
        <v>74.939596340503599</v>
      </c>
      <c r="AN1018">
        <v>0.99999994757108801</v>
      </c>
    </row>
    <row r="1019" spans="1:40" x14ac:dyDescent="0.25">
      <c r="A1019" t="str">
        <f>"20190303162519382"</f>
        <v>20190303162519382</v>
      </c>
      <c r="B1019" t="str">
        <f>"1551601519374094"</f>
        <v>1551601519374094</v>
      </c>
      <c r="C1019" t="s">
        <v>40</v>
      </c>
      <c r="D1019">
        <v>4.901211</v>
      </c>
      <c r="E1019">
        <v>0.59396879999999996</v>
      </c>
      <c r="F1019" t="s">
        <v>41</v>
      </c>
      <c r="G1019">
        <v>-193.98480000000001</v>
      </c>
      <c r="H1019" s="1">
        <v>-4.5639800000000001E-6</v>
      </c>
      <c r="I1019">
        <v>338.32119999999998</v>
      </c>
      <c r="J1019">
        <v>-192.79640000000001</v>
      </c>
      <c r="K1019">
        <v>1.1044780000000001</v>
      </c>
      <c r="L1019">
        <v>355.8417</v>
      </c>
      <c r="M1019">
        <v>0.40965970000000002</v>
      </c>
      <c r="N1019">
        <v>-1.266254E-2</v>
      </c>
      <c r="O1019">
        <v>-0.91215060000000003</v>
      </c>
      <c r="P1019">
        <v>0.17300450000000001</v>
      </c>
      <c r="Q1019">
        <v>0.15912850000000001</v>
      </c>
      <c r="R1019">
        <v>-0.97198150000000005</v>
      </c>
      <c r="S1019">
        <v>-0.18820190000000001</v>
      </c>
      <c r="T1019">
        <v>-0.19561120000000001</v>
      </c>
      <c r="U1019">
        <v>-3.1567690000000002</v>
      </c>
      <c r="V1019">
        <v>0.24678439999999999</v>
      </c>
      <c r="W1019">
        <v>0.1618966</v>
      </c>
      <c r="X1019">
        <v>0.95545119999999895</v>
      </c>
      <c r="Y1019">
        <v>0.46293830000000002</v>
      </c>
      <c r="Z1019">
        <v>3.7311320000000002E-2</v>
      </c>
      <c r="AA1019">
        <v>0.88560490000000003</v>
      </c>
      <c r="AB1019">
        <v>32</v>
      </c>
      <c r="AC1019">
        <v>-1.1883999999999999</v>
      </c>
      <c r="AD1019">
        <v>-1.10448256397999</v>
      </c>
      <c r="AE1019">
        <v>-17.520499999999998</v>
      </c>
      <c r="AF1019">
        <v>8.2295502001595597</v>
      </c>
      <c r="AG1019">
        <v>-1.10448256397999</v>
      </c>
      <c r="AH1019">
        <v>15.4346802877836</v>
      </c>
      <c r="AI1019">
        <v>93.613072055596206</v>
      </c>
      <c r="AJ1019">
        <v>61.934100785891701</v>
      </c>
      <c r="AK1019">
        <v>17.526401051476</v>
      </c>
      <c r="AL1019">
        <v>80.683001369911906</v>
      </c>
      <c r="AM1019">
        <v>75.517542821509295</v>
      </c>
      <c r="AN1019">
        <v>1.00000002237817</v>
      </c>
    </row>
    <row r="1020" spans="1:40" x14ac:dyDescent="0.25">
      <c r="A1020" t="str">
        <f>"20190303162519406"</f>
        <v>20190303162519406</v>
      </c>
      <c r="B1020" t="str">
        <f>"1551601519393615"</f>
        <v>1551601519393615</v>
      </c>
      <c r="C1020" t="s">
        <v>40</v>
      </c>
      <c r="D1020">
        <v>4.8577979999999998</v>
      </c>
      <c r="E1020">
        <v>0.59367559999999997</v>
      </c>
      <c r="F1020" t="s">
        <v>41</v>
      </c>
      <c r="G1020">
        <v>-194.06710000000001</v>
      </c>
      <c r="H1020" s="1">
        <v>-4.1633469999999998E-6</v>
      </c>
      <c r="I1020">
        <v>337.101</v>
      </c>
      <c r="J1020">
        <v>-192.67570000000001</v>
      </c>
      <c r="K1020">
        <v>1.104481</v>
      </c>
      <c r="L1020">
        <v>355.53469999999999</v>
      </c>
      <c r="M1020">
        <v>0.3925688</v>
      </c>
      <c r="N1020">
        <v>-1.266842E-2</v>
      </c>
      <c r="O1020">
        <v>-0.91963539999999999</v>
      </c>
      <c r="P1020">
        <v>0.1650055</v>
      </c>
      <c r="Q1020">
        <v>0.16284029999999899</v>
      </c>
      <c r="R1020">
        <v>-0.97275719999999999</v>
      </c>
      <c r="S1020">
        <v>-0.21392820000000001</v>
      </c>
      <c r="T1020">
        <v>-0.18593979999999999</v>
      </c>
      <c r="U1020">
        <v>-3.1549990000000001</v>
      </c>
      <c r="V1020">
        <v>0.23669490000000001</v>
      </c>
      <c r="W1020">
        <v>0.16601850000000001</v>
      </c>
      <c r="X1020">
        <v>0.9572948</v>
      </c>
      <c r="Y1020">
        <v>0.45362400000000003</v>
      </c>
      <c r="Z1020">
        <v>3.5634829999999999E-2</v>
      </c>
      <c r="AA1020">
        <v>0.89048050000000001</v>
      </c>
      <c r="AB1020">
        <v>32</v>
      </c>
      <c r="AC1020">
        <v>-1.3914</v>
      </c>
      <c r="AD1020">
        <v>-1.1044851633470001</v>
      </c>
      <c r="AE1020">
        <v>-18.433699999999899</v>
      </c>
      <c r="AF1020">
        <v>8.4864657111405002</v>
      </c>
      <c r="AG1020">
        <v>-1.1044851633470001</v>
      </c>
      <c r="AH1020">
        <v>16.3490188175683</v>
      </c>
      <c r="AI1020">
        <v>93.431343609581901</v>
      </c>
      <c r="AJ1020">
        <v>62.567029536859202</v>
      </c>
      <c r="AK1020">
        <v>18.453465908593401</v>
      </c>
      <c r="AL1020">
        <v>80.443593462459205</v>
      </c>
      <c r="AM1020">
        <v>76.111935059668397</v>
      </c>
      <c r="AN1020">
        <v>0.99999997606764901</v>
      </c>
    </row>
    <row r="1021" spans="1:40" x14ac:dyDescent="0.25">
      <c r="A1021" t="str">
        <f>"20190303162519429"</f>
        <v>20190303162519429</v>
      </c>
      <c r="B1021" t="str">
        <f>"1551601519423870"</f>
        <v>1551601519423870</v>
      </c>
      <c r="C1021" t="s">
        <v>40</v>
      </c>
      <c r="D1021">
        <v>4.856884</v>
      </c>
      <c r="E1021">
        <v>0.59321889999999999</v>
      </c>
      <c r="F1021" t="s">
        <v>41</v>
      </c>
      <c r="G1021">
        <v>-194.1962</v>
      </c>
      <c r="H1021" s="1">
        <v>-3.6049410000000001E-6</v>
      </c>
      <c r="I1021">
        <v>335.39280000000002</v>
      </c>
      <c r="J1021">
        <v>-192.553</v>
      </c>
      <c r="K1021">
        <v>1.104473</v>
      </c>
      <c r="L1021">
        <v>355.20389999999998</v>
      </c>
      <c r="M1021">
        <v>0.37415280000000001</v>
      </c>
      <c r="N1021">
        <v>-1.267447E-2</v>
      </c>
      <c r="O1021">
        <v>-0.92728049999999995</v>
      </c>
      <c r="P1021">
        <v>0.15649739999999901</v>
      </c>
      <c r="Q1021">
        <v>0.16601959999999999</v>
      </c>
      <c r="R1021">
        <v>-0.97362550000000003</v>
      </c>
      <c r="S1021">
        <v>-0.2380371</v>
      </c>
      <c r="T1021">
        <v>-0.17291319999999999</v>
      </c>
      <c r="U1021">
        <v>-3.1533199999999999</v>
      </c>
      <c r="V1021">
        <v>0.22587090000000001</v>
      </c>
      <c r="W1021">
        <v>0.1696376</v>
      </c>
      <c r="X1021">
        <v>0.95927340000000005</v>
      </c>
      <c r="Y1021">
        <v>0.44265909999999897</v>
      </c>
      <c r="Z1021">
        <v>3.3020800000000003E-2</v>
      </c>
      <c r="AA1021">
        <v>0.89608169999999898</v>
      </c>
      <c r="AB1021">
        <v>32</v>
      </c>
      <c r="AC1021">
        <v>-1.6432</v>
      </c>
      <c r="AD1021">
        <v>-1.104476604941</v>
      </c>
      <c r="AE1021">
        <v>-19.8110999999999</v>
      </c>
      <c r="AF1021">
        <v>8.9093014598174491</v>
      </c>
      <c r="AG1021">
        <v>-1.104476604941</v>
      </c>
      <c r="AH1021">
        <v>17.702419332289601</v>
      </c>
      <c r="AI1021">
        <v>93.189857681866002</v>
      </c>
      <c r="AJ1021">
        <v>63.2847300906597</v>
      </c>
      <c r="AK1021">
        <v>19.8487070432557</v>
      </c>
      <c r="AL1021">
        <v>80.233251140983398</v>
      </c>
      <c r="AM1021">
        <v>76.7504528477062</v>
      </c>
      <c r="AN1021">
        <v>1.00000001737406</v>
      </c>
    </row>
    <row r="1022" spans="1:40" x14ac:dyDescent="0.25">
      <c r="A1022" t="str">
        <f>"20190303162519453"</f>
        <v>20190303162519453</v>
      </c>
      <c r="B1022" t="str">
        <f>"1551601519444366"</f>
        <v>1551601519444366</v>
      </c>
      <c r="C1022" t="s">
        <v>40</v>
      </c>
      <c r="D1022">
        <v>4.813466</v>
      </c>
      <c r="E1022">
        <v>0.55985030000000002</v>
      </c>
      <c r="F1022" t="s">
        <v>41</v>
      </c>
      <c r="G1022">
        <v>-194.34059999999999</v>
      </c>
      <c r="H1022" s="1">
        <v>-2.9297960000000002E-6</v>
      </c>
      <c r="I1022">
        <v>333.72640000000001</v>
      </c>
      <c r="J1022">
        <v>-192.44220000000001</v>
      </c>
      <c r="K1022">
        <v>1.104468</v>
      </c>
      <c r="L1022">
        <v>354.88709999999998</v>
      </c>
      <c r="M1022">
        <v>0.35650910000000002</v>
      </c>
      <c r="N1022">
        <v>-1.2679799999999899E-2</v>
      </c>
      <c r="O1022">
        <v>-0.93420579999999998</v>
      </c>
      <c r="P1022">
        <v>0.14864820000000001</v>
      </c>
      <c r="Q1022">
        <v>0.16816900000000001</v>
      </c>
      <c r="R1022">
        <v>-0.97448639999999997</v>
      </c>
      <c r="S1022">
        <v>-0.262268099999999</v>
      </c>
      <c r="T1022">
        <v>-0.16204250000000001</v>
      </c>
      <c r="U1022">
        <v>-3.151062</v>
      </c>
      <c r="V1022">
        <v>0.21534519999999999</v>
      </c>
      <c r="W1022">
        <v>0.17221649999999999</v>
      </c>
      <c r="X1022">
        <v>0.96123250000000005</v>
      </c>
      <c r="Y1022">
        <v>0.43255830000000001</v>
      </c>
      <c r="Z1022">
        <v>3.0806E-2</v>
      </c>
      <c r="AA1022">
        <v>0.90107950000000003</v>
      </c>
      <c r="AB1022">
        <v>32</v>
      </c>
      <c r="AC1022">
        <v>-1.8983999999999801</v>
      </c>
      <c r="AD1022">
        <v>-1.104470929796</v>
      </c>
      <c r="AE1022">
        <v>-21.160699999999899</v>
      </c>
      <c r="AF1022">
        <v>9.2931128306660291</v>
      </c>
      <c r="AG1022">
        <v>-1.104470929796</v>
      </c>
      <c r="AH1022">
        <v>19.041726376412999</v>
      </c>
      <c r="AI1022">
        <v>92.9839077632775</v>
      </c>
      <c r="AJ1022">
        <v>63.985800580630801</v>
      </c>
      <c r="AK1022">
        <v>21.217189858990199</v>
      </c>
      <c r="AL1022">
        <v>80.083283860567903</v>
      </c>
      <c r="AM1022">
        <v>77.372510319732996</v>
      </c>
      <c r="AN1022">
        <v>0.99999999854577004</v>
      </c>
    </row>
    <row r="1023" spans="1:40" x14ac:dyDescent="0.25">
      <c r="A1023" t="str">
        <f>"20190303162519475"</f>
        <v>20190303162519475</v>
      </c>
      <c r="B1023" t="str">
        <f>"1551601519464862"</f>
        <v>1551601519464862</v>
      </c>
      <c r="C1023" t="s">
        <v>40</v>
      </c>
      <c r="D1023">
        <v>4.8115209999999999</v>
      </c>
      <c r="E1023">
        <v>0.55901279999999998</v>
      </c>
      <c r="F1023" t="s">
        <v>41</v>
      </c>
      <c r="G1023">
        <v>-192.61410000000001</v>
      </c>
      <c r="H1023" s="1">
        <v>-1.9794979999999998E-6</v>
      </c>
      <c r="I1023">
        <v>332.58210000000003</v>
      </c>
      <c r="J1023">
        <v>-192.3383</v>
      </c>
      <c r="K1023">
        <v>1.104465</v>
      </c>
      <c r="L1023">
        <v>354.57130000000001</v>
      </c>
      <c r="M1023">
        <v>0.33892679999999997</v>
      </c>
      <c r="N1023">
        <v>-1.2683679999999999E-2</v>
      </c>
      <c r="O1023">
        <v>-0.94072710000000004</v>
      </c>
      <c r="P1023">
        <v>0.139989</v>
      </c>
      <c r="Q1023">
        <v>0.1696146</v>
      </c>
      <c r="R1023">
        <v>-0.97551730000000003</v>
      </c>
      <c r="S1023">
        <v>-2.39563E-2</v>
      </c>
      <c r="T1023">
        <v>-0.15393570000000001</v>
      </c>
      <c r="U1023">
        <v>-3.108765</v>
      </c>
      <c r="V1023">
        <v>0.20580480000000001</v>
      </c>
      <c r="W1023">
        <v>0.17405179999999901</v>
      </c>
      <c r="X1023">
        <v>0.96299029999999997</v>
      </c>
      <c r="Y1023">
        <v>0.34603689999999998</v>
      </c>
      <c r="Z1023">
        <v>3.0847139999999999E-2</v>
      </c>
      <c r="AA1023">
        <v>0.93771369999999998</v>
      </c>
      <c r="AB1023">
        <v>32</v>
      </c>
      <c r="AC1023">
        <v>-0.27580000000000299</v>
      </c>
      <c r="AD1023">
        <v>-1.104466979498</v>
      </c>
      <c r="AE1023">
        <v>-21.989199999999901</v>
      </c>
      <c r="AF1023">
        <v>7.6933971805237897</v>
      </c>
      <c r="AG1023">
        <v>-1.104466979498</v>
      </c>
      <c r="AH1023">
        <v>20.542203568696301</v>
      </c>
      <c r="AI1023">
        <v>92.882433370797997</v>
      </c>
      <c r="AJ1023">
        <v>69.468238439169099</v>
      </c>
      <c r="AK1023">
        <v>21.963386235821101</v>
      </c>
      <c r="AL1023">
        <v>79.976516351989005</v>
      </c>
      <c r="AM1023">
        <v>77.936548741195494</v>
      </c>
      <c r="AN1023">
        <v>0.99999998134018397</v>
      </c>
    </row>
    <row r="1024" spans="1:40" x14ac:dyDescent="0.25">
      <c r="A1024" t="str">
        <f>"20190303162519509"</f>
        <v>20190303162519509</v>
      </c>
      <c r="B1024" t="str">
        <f>"1551601519503902"</f>
        <v>1551601519503902</v>
      </c>
      <c r="C1024" t="s">
        <v>40</v>
      </c>
      <c r="D1024">
        <v>4.7208769999999998</v>
      </c>
      <c r="E1024">
        <v>0.55966280000000002</v>
      </c>
      <c r="F1024" t="s">
        <v>41</v>
      </c>
      <c r="G1024">
        <v>-192.64609999999999</v>
      </c>
      <c r="H1024" s="1">
        <v>-2.1375639999999999E-6</v>
      </c>
      <c r="I1024">
        <v>332.93060000000003</v>
      </c>
      <c r="J1024">
        <v>-192.19479999999999</v>
      </c>
      <c r="K1024">
        <v>1.1044750000000001</v>
      </c>
      <c r="L1024">
        <v>354.09679999999997</v>
      </c>
      <c r="M1024">
        <v>0.31257669999999999</v>
      </c>
      <c r="N1024">
        <v>-1.268272E-2</v>
      </c>
      <c r="O1024">
        <v>-0.94980799999999999</v>
      </c>
      <c r="P1024">
        <v>0.12654480000000001</v>
      </c>
      <c r="Q1024">
        <v>0.1700023</v>
      </c>
      <c r="R1024">
        <v>-0.97728519999999997</v>
      </c>
      <c r="S1024">
        <v>-4.423523E-2</v>
      </c>
      <c r="T1024">
        <v>-0.1586862</v>
      </c>
      <c r="U1024">
        <v>-3.1092529999999998</v>
      </c>
      <c r="V1024">
        <v>0.19217500000000001</v>
      </c>
      <c r="W1024">
        <v>0.17499790000000001</v>
      </c>
      <c r="X1024">
        <v>0.96563169999999998</v>
      </c>
      <c r="Y1024">
        <v>0.32592890000000002</v>
      </c>
      <c r="Z1024">
        <v>3.3044549999999999E-2</v>
      </c>
      <c r="AA1024">
        <v>0.94481660000000001</v>
      </c>
      <c r="AB1024">
        <v>32</v>
      </c>
      <c r="AC1024">
        <v>-0.45130000000000298</v>
      </c>
      <c r="AD1024">
        <v>-1.1044771375639999</v>
      </c>
      <c r="AE1024">
        <v>-21.1661999999999</v>
      </c>
      <c r="AF1024">
        <v>7.0261523101831997</v>
      </c>
      <c r="AG1024">
        <v>-1.1044771375639999</v>
      </c>
      <c r="AH1024">
        <v>19.910174847492801</v>
      </c>
      <c r="AI1024">
        <v>92.994487343466801</v>
      </c>
      <c r="AJ1024">
        <v>70.562442848389907</v>
      </c>
      <c r="AK1024">
        <v>21.142415862219501</v>
      </c>
      <c r="AL1024">
        <v>79.921464484496795</v>
      </c>
      <c r="AM1024">
        <v>78.744354507682104</v>
      </c>
      <c r="AN1024">
        <v>1.0000000378371401</v>
      </c>
    </row>
    <row r="1025" spans="1:40" x14ac:dyDescent="0.25">
      <c r="A1025" t="str">
        <f>"20190303162519532"</f>
        <v>20190303162519532</v>
      </c>
      <c r="B1025" t="str">
        <f>"1551601519523423"</f>
        <v>1551601519523423</v>
      </c>
      <c r="C1025" t="s">
        <v>40</v>
      </c>
      <c r="D1025">
        <v>4.6882000000000001</v>
      </c>
      <c r="E1025">
        <v>0.55971530000000003</v>
      </c>
      <c r="F1025" t="s">
        <v>41</v>
      </c>
      <c r="G1025">
        <v>-192.87809999999999</v>
      </c>
      <c r="H1025" s="1">
        <v>-1.359619E-6</v>
      </c>
      <c r="I1025">
        <v>330.97340000000003</v>
      </c>
      <c r="J1025">
        <v>-192.10599999999999</v>
      </c>
      <c r="K1025">
        <v>1.104481</v>
      </c>
      <c r="L1025">
        <v>353.77780000000001</v>
      </c>
      <c r="M1025">
        <v>0.29490509999999998</v>
      </c>
      <c r="N1025">
        <v>-1.267682E-2</v>
      </c>
      <c r="O1025">
        <v>-0.95544249999999997</v>
      </c>
      <c r="P1025">
        <v>0.1182378</v>
      </c>
      <c r="Q1025">
        <v>0.16889199999999999</v>
      </c>
      <c r="R1025">
        <v>-0.97851710000000003</v>
      </c>
      <c r="S1025">
        <v>-9.1827389999999995E-2</v>
      </c>
      <c r="T1025">
        <v>-0.14842549999999999</v>
      </c>
      <c r="U1025">
        <v>-3.1074519999999999</v>
      </c>
      <c r="V1025">
        <v>0.18245069999999999</v>
      </c>
      <c r="W1025">
        <v>0.17428660000000001</v>
      </c>
      <c r="X1025">
        <v>0.96764450000000002</v>
      </c>
      <c r="Y1025">
        <v>0.32287470000000001</v>
      </c>
      <c r="Z1025">
        <v>3.051355E-2</v>
      </c>
      <c r="AA1025">
        <v>0.9459497</v>
      </c>
      <c r="AB1025">
        <v>32</v>
      </c>
      <c r="AC1025">
        <v>-0.77209999999999401</v>
      </c>
      <c r="AD1025">
        <v>-1.1044823596189901</v>
      </c>
      <c r="AE1025">
        <v>-22.804399999999902</v>
      </c>
      <c r="AF1025">
        <v>7.4459840368231998</v>
      </c>
      <c r="AG1025">
        <v>-1.1044823596189901</v>
      </c>
      <c r="AH1025">
        <v>21.511924715591402</v>
      </c>
      <c r="AI1025">
        <v>92.777729403266804</v>
      </c>
      <c r="AJ1025">
        <v>70.907581738253199</v>
      </c>
      <c r="AK1025">
        <v>22.7909074968201</v>
      </c>
      <c r="AL1025">
        <v>79.962854453567502</v>
      </c>
      <c r="AM1025">
        <v>79.322162394896097</v>
      </c>
      <c r="AN1025">
        <v>0.99999997762514903</v>
      </c>
    </row>
    <row r="1026" spans="1:40" x14ac:dyDescent="0.25">
      <c r="A1026" t="str">
        <f>"20190303162519551"</f>
        <v>20190303162519551</v>
      </c>
      <c r="B1026" t="str">
        <f>"1551601519543918"</f>
        <v>1551601519543918</v>
      </c>
      <c r="C1026" t="s">
        <v>40</v>
      </c>
      <c r="D1026">
        <v>4.7409489999999996</v>
      </c>
      <c r="E1026">
        <v>0.5598265</v>
      </c>
      <c r="F1026" t="s">
        <v>41</v>
      </c>
      <c r="G1026">
        <v>-192.9984</v>
      </c>
      <c r="H1026" s="1">
        <v>-1.1650460000000001E-6</v>
      </c>
      <c r="I1026">
        <v>330.4452</v>
      </c>
      <c r="J1026">
        <v>-192.03129999999999</v>
      </c>
      <c r="K1026">
        <v>1.104492</v>
      </c>
      <c r="L1026">
        <v>353.49</v>
      </c>
      <c r="M1026">
        <v>0.27901389999999998</v>
      </c>
      <c r="N1026">
        <v>-1.2667400000000001E-2</v>
      </c>
      <c r="O1026">
        <v>-0.96020360000000005</v>
      </c>
      <c r="P1026">
        <v>0.11190700000000001</v>
      </c>
      <c r="Q1026">
        <v>0.16823979999999999</v>
      </c>
      <c r="R1026">
        <v>-0.97937359999999896</v>
      </c>
      <c r="S1026">
        <v>-0.1187744</v>
      </c>
      <c r="T1026">
        <v>-0.14700759999999999</v>
      </c>
      <c r="U1026">
        <v>-3.105591</v>
      </c>
      <c r="V1026">
        <v>0.1726277</v>
      </c>
      <c r="W1026">
        <v>0.17403579999999999</v>
      </c>
      <c r="X1026">
        <v>0.96949019999999997</v>
      </c>
      <c r="Y1026">
        <v>0.31538379999999999</v>
      </c>
      <c r="Z1026">
        <v>3.0514059999999999E-2</v>
      </c>
      <c r="AA1026">
        <v>0.94847349999999997</v>
      </c>
      <c r="AB1026">
        <v>32</v>
      </c>
      <c r="AC1026">
        <v>-0.96710000000001595</v>
      </c>
      <c r="AD1026">
        <v>-1.1044931650459999</v>
      </c>
      <c r="AE1026">
        <v>-23.044799999999999</v>
      </c>
      <c r="AF1026">
        <v>7.3421861417091101</v>
      </c>
      <c r="AG1026">
        <v>-1.1044931650459999</v>
      </c>
      <c r="AH1026">
        <v>21.809606786484299</v>
      </c>
      <c r="AI1026">
        <v>92.747844843582996</v>
      </c>
      <c r="AJ1026">
        <v>71.3942362189931</v>
      </c>
      <c r="AK1026">
        <v>23.038805322156001</v>
      </c>
      <c r="AL1026">
        <v>79.977447635365905</v>
      </c>
      <c r="AM1026">
        <v>79.903712280172797</v>
      </c>
      <c r="AN1026">
        <v>1.0000000151924799</v>
      </c>
    </row>
    <row r="1027" spans="1:40" x14ac:dyDescent="0.25">
      <c r="A1027" t="str">
        <f>"20190303162519575"</f>
        <v>20190303162519575</v>
      </c>
      <c r="B1027" t="str">
        <f>"1551601519564414"</f>
        <v>1551601519564414</v>
      </c>
      <c r="C1027" t="s">
        <v>40</v>
      </c>
      <c r="D1027">
        <v>4.7391569999999996</v>
      </c>
      <c r="E1027">
        <v>0.55970769999999903</v>
      </c>
      <c r="F1027" t="s">
        <v>41</v>
      </c>
      <c r="G1027">
        <v>-193.08670000000001</v>
      </c>
      <c r="H1027" s="1">
        <v>-1.0268310000000001E-6</v>
      </c>
      <c r="I1027">
        <v>330.06819999999999</v>
      </c>
      <c r="J1027">
        <v>-191.95410000000001</v>
      </c>
      <c r="K1027">
        <v>1.104536</v>
      </c>
      <c r="L1027">
        <v>353.17039999999997</v>
      </c>
      <c r="M1027">
        <v>0.26145859999999999</v>
      </c>
      <c r="N1027">
        <v>-1.2651040000000001E-2</v>
      </c>
      <c r="O1027">
        <v>-0.96513190000000004</v>
      </c>
      <c r="P1027">
        <v>0.1053695</v>
      </c>
      <c r="Q1027">
        <v>0.1693221</v>
      </c>
      <c r="R1027">
        <v>-0.97991189999999995</v>
      </c>
      <c r="S1027">
        <v>-0.13987729999999901</v>
      </c>
      <c r="T1027">
        <v>-0.14638779999999901</v>
      </c>
      <c r="U1027">
        <v>-3.104279</v>
      </c>
      <c r="V1027">
        <v>0.1613636</v>
      </c>
      <c r="W1027">
        <v>0.17557349999999999</v>
      </c>
      <c r="X1027">
        <v>0.97115180000000001</v>
      </c>
      <c r="Y1027">
        <v>0.30451679999999998</v>
      </c>
      <c r="Z1027">
        <v>3.0785050000000001E-2</v>
      </c>
      <c r="AA1027">
        <v>0.95200940000000001</v>
      </c>
      <c r="AB1027">
        <v>32</v>
      </c>
      <c r="AC1027">
        <v>-1.1325999999999901</v>
      </c>
      <c r="AD1027">
        <v>-1.104537026831</v>
      </c>
      <c r="AE1027">
        <v>-23.1021999999999</v>
      </c>
      <c r="AF1027">
        <v>7.1177160916514399</v>
      </c>
      <c r="AG1027">
        <v>-1.104537026831</v>
      </c>
      <c r="AH1027">
        <v>21.952240480858698</v>
      </c>
      <c r="AI1027">
        <v>92.740224973145601</v>
      </c>
      <c r="AJ1027">
        <v>72.035417033601604</v>
      </c>
      <c r="AK1027">
        <v>23.1037387999096</v>
      </c>
      <c r="AL1027">
        <v>79.887966446505899</v>
      </c>
      <c r="AM1027">
        <v>80.566096648390499</v>
      </c>
      <c r="AN1027">
        <v>1.00000004197522</v>
      </c>
    </row>
    <row r="1028" spans="1:40" x14ac:dyDescent="0.25">
      <c r="A1028" t="str">
        <f>"20190303162519607"</f>
        <v>20190303162519607</v>
      </c>
      <c r="B1028" t="str">
        <f>"1551601519593694"</f>
        <v>1551601519593694</v>
      </c>
      <c r="C1028" t="s">
        <v>40</v>
      </c>
      <c r="D1028">
        <v>4.7409790000000003</v>
      </c>
      <c r="E1028">
        <v>0.55912819999999996</v>
      </c>
      <c r="F1028" t="s">
        <v>41</v>
      </c>
      <c r="G1028">
        <v>-193.18299999999999</v>
      </c>
      <c r="H1028" s="1">
        <v>-4.6516090000000001E-6</v>
      </c>
      <c r="I1028">
        <v>328.9966</v>
      </c>
      <c r="J1028">
        <v>-191.8528</v>
      </c>
      <c r="K1028">
        <v>1.104643</v>
      </c>
      <c r="L1028">
        <v>352.70499999999998</v>
      </c>
      <c r="M1028">
        <v>0.23614199999999999</v>
      </c>
      <c r="N1028">
        <v>-1.261075E-2</v>
      </c>
      <c r="O1028">
        <v>-0.97163710000000003</v>
      </c>
      <c r="P1028">
        <v>9.0702060000000001E-2</v>
      </c>
      <c r="Q1028">
        <v>0.1691995</v>
      </c>
      <c r="R1028">
        <v>-0.98139969999999999</v>
      </c>
      <c r="S1028">
        <v>-0.15774540000000001</v>
      </c>
      <c r="T1028">
        <v>-0.1417783</v>
      </c>
      <c r="U1028">
        <v>-3.1029360000000001</v>
      </c>
      <c r="V1028">
        <v>0.1504277</v>
      </c>
      <c r="W1028">
        <v>0.175890299999999</v>
      </c>
      <c r="X1028">
        <v>0.9728485</v>
      </c>
      <c r="Y1028">
        <v>0.28505750000000002</v>
      </c>
      <c r="Z1028">
        <v>3.0051729999999999E-2</v>
      </c>
      <c r="AA1028">
        <v>0.95803919999999998</v>
      </c>
      <c r="AB1028">
        <v>32</v>
      </c>
      <c r="AC1028">
        <v>-1.3301999999999901</v>
      </c>
      <c r="AD1028">
        <v>-1.104647651609</v>
      </c>
      <c r="AE1028">
        <v>-23.708399999999902</v>
      </c>
      <c r="AF1028">
        <v>6.8766843005664002</v>
      </c>
      <c r="AG1028">
        <v>-1.104647651609</v>
      </c>
      <c r="AH1028">
        <v>22.674573473024999</v>
      </c>
      <c r="AI1028">
        <v>92.669230986726006</v>
      </c>
      <c r="AJ1028">
        <v>73.128638437126</v>
      </c>
      <c r="AK1028">
        <v>23.720145775004699</v>
      </c>
      <c r="AL1028">
        <v>79.869528263639296</v>
      </c>
      <c r="AM1028">
        <v>81.210192473810693</v>
      </c>
      <c r="AN1028">
        <v>1.00000004725681</v>
      </c>
    </row>
    <row r="1029" spans="1:40" x14ac:dyDescent="0.25">
      <c r="A1029" t="str">
        <f>"20190303162519628"</f>
        <v>20190303162519628</v>
      </c>
      <c r="B1029" t="str">
        <f>"1551601519623950"</f>
        <v>1551601519623950</v>
      </c>
      <c r="C1029" t="s">
        <v>40</v>
      </c>
      <c r="D1029">
        <v>4.7590120000000002</v>
      </c>
      <c r="E1029">
        <v>0.53830829999999996</v>
      </c>
      <c r="F1029" t="s">
        <v>41</v>
      </c>
      <c r="G1029">
        <v>-193.4254</v>
      </c>
      <c r="H1029" s="1">
        <v>-4.4628440000000002E-6</v>
      </c>
      <c r="I1029">
        <v>328.31560000000002</v>
      </c>
      <c r="J1029">
        <v>-191.79069999999999</v>
      </c>
      <c r="K1029">
        <v>1.1047439999999999</v>
      </c>
      <c r="L1029">
        <v>352.38810000000001</v>
      </c>
      <c r="M1029">
        <v>0.21909090000000001</v>
      </c>
      <c r="N1029">
        <v>-1.2574119999999999E-2</v>
      </c>
      <c r="O1029">
        <v>-0.97562349999999998</v>
      </c>
      <c r="P1029">
        <v>8.4784929999999994E-2</v>
      </c>
      <c r="Q1029">
        <v>0.1656859</v>
      </c>
      <c r="R1029">
        <v>-0.98252729999999999</v>
      </c>
      <c r="S1029">
        <v>-0.1998596</v>
      </c>
      <c r="T1029">
        <v>-0.1403865</v>
      </c>
      <c r="U1029">
        <v>-3.0995789999999999</v>
      </c>
      <c r="V1029">
        <v>0.13918369999999999</v>
      </c>
      <c r="W1029">
        <v>0.1728257</v>
      </c>
      <c r="X1029">
        <v>0.97506879999999996</v>
      </c>
      <c r="Y1029">
        <v>0.28129939999999998</v>
      </c>
      <c r="Z1029">
        <v>2.9980699999999999E-2</v>
      </c>
      <c r="AA1029">
        <v>0.95915159999999999</v>
      </c>
      <c r="AB1029">
        <v>32</v>
      </c>
      <c r="AC1029">
        <v>-1.6347</v>
      </c>
      <c r="AD1029">
        <v>-1.1047484628440001</v>
      </c>
      <c r="AE1029">
        <v>-24.072499999999899</v>
      </c>
      <c r="AF1029">
        <v>6.8550885998300997</v>
      </c>
      <c r="AG1029">
        <v>-1.1047484628440001</v>
      </c>
      <c r="AH1029">
        <v>23.080987346415501</v>
      </c>
      <c r="AI1029">
        <v>92.627065054978701</v>
      </c>
      <c r="AJ1029">
        <v>73.458499830022902</v>
      </c>
      <c r="AK1029">
        <v>24.1027941484606</v>
      </c>
      <c r="AL1029">
        <v>80.047847901159898</v>
      </c>
      <c r="AM1029">
        <v>81.876338280628204</v>
      </c>
      <c r="AN1029">
        <v>0.99999999482980995</v>
      </c>
    </row>
    <row r="1030" spans="1:40" x14ac:dyDescent="0.25">
      <c r="A1030" t="str">
        <f>"20190303162519655"</f>
        <v>20190303162519655</v>
      </c>
      <c r="B1030" t="str">
        <f>"1551601519644446"</f>
        <v>1551601519644446</v>
      </c>
      <c r="C1030" t="s">
        <v>40</v>
      </c>
      <c r="D1030">
        <v>4.7999169999999998</v>
      </c>
      <c r="E1030">
        <v>0.53147609999999901</v>
      </c>
      <c r="F1030" t="s">
        <v>41</v>
      </c>
      <c r="G1030">
        <v>-192.2516</v>
      </c>
      <c r="H1030" s="1">
        <v>-3.4461290000000001E-6</v>
      </c>
      <c r="I1030">
        <v>326.22559999999999</v>
      </c>
      <c r="J1030">
        <v>-191.7252</v>
      </c>
      <c r="K1030">
        <v>1.104886</v>
      </c>
      <c r="L1030">
        <v>352.0188</v>
      </c>
      <c r="M1030">
        <v>0.19943240000000001</v>
      </c>
      <c r="N1030">
        <v>-1.252532E-2</v>
      </c>
      <c r="O1030">
        <v>-0.97983180000000003</v>
      </c>
      <c r="P1030">
        <v>7.8970079999999998E-2</v>
      </c>
      <c r="Q1030">
        <v>0.16299910000000001</v>
      </c>
      <c r="R1030">
        <v>-0.98346100000000003</v>
      </c>
      <c r="S1030">
        <v>-5.4260250000000003E-2</v>
      </c>
      <c r="T1030">
        <v>-0.13005410000000001</v>
      </c>
      <c r="U1030">
        <v>-3.0799259999999999</v>
      </c>
      <c r="V1030">
        <v>0.1252453</v>
      </c>
      <c r="W1030">
        <v>0.17068359999999999</v>
      </c>
      <c r="X1030">
        <v>0.97733349999999997</v>
      </c>
      <c r="Y1030">
        <v>0.21659390000000001</v>
      </c>
      <c r="Z1030">
        <v>2.7873470000000001E-2</v>
      </c>
      <c r="AA1030">
        <v>0.97586379999999995</v>
      </c>
      <c r="AB1030">
        <v>32</v>
      </c>
      <c r="AC1030">
        <v>-0.52639999999999498</v>
      </c>
      <c r="AD1030">
        <v>-1.104889446129</v>
      </c>
      <c r="AE1030">
        <v>-25.793199999999999</v>
      </c>
      <c r="AF1030">
        <v>5.6498628070254204</v>
      </c>
      <c r="AG1030">
        <v>-1.104889446129</v>
      </c>
      <c r="AH1030">
        <v>25.123902028892701</v>
      </c>
      <c r="AI1030">
        <v>92.456831491876102</v>
      </c>
      <c r="AJ1030">
        <v>77.326161480553793</v>
      </c>
      <c r="AK1030">
        <v>25.7750302343911</v>
      </c>
      <c r="AL1030">
        <v>80.1724328591567</v>
      </c>
      <c r="AM1030">
        <v>82.697347333902599</v>
      </c>
      <c r="AN1030">
        <v>1.00000002335164</v>
      </c>
    </row>
    <row r="1031" spans="1:40" x14ac:dyDescent="0.25">
      <c r="A1031" t="str">
        <f>"20190303162519676"</f>
        <v>20190303162519676</v>
      </c>
      <c r="B1031" t="str">
        <f>"1551601519663967"</f>
        <v>1551601519663967</v>
      </c>
      <c r="C1031" t="s">
        <v>40</v>
      </c>
      <c r="D1031">
        <v>4.7742389999999997</v>
      </c>
      <c r="E1031">
        <v>0.52872200000000003</v>
      </c>
      <c r="F1031" t="s">
        <v>41</v>
      </c>
      <c r="G1031">
        <v>-191.90729999999999</v>
      </c>
      <c r="H1031" s="1">
        <v>-1.9111490000000001E-6</v>
      </c>
      <c r="I1031">
        <v>322.86110000000002</v>
      </c>
      <c r="J1031">
        <v>-191.67529999999999</v>
      </c>
      <c r="K1031">
        <v>1.105056</v>
      </c>
      <c r="L1031">
        <v>351.70499999999998</v>
      </c>
      <c r="M1031">
        <v>0.1829797</v>
      </c>
      <c r="N1031">
        <v>-1.247645E-2</v>
      </c>
      <c r="O1031">
        <v>-0.98303770000000001</v>
      </c>
      <c r="P1031">
        <v>7.5519879999999998E-2</v>
      </c>
      <c r="Q1031">
        <v>0.1671734</v>
      </c>
      <c r="R1031">
        <v>-0.98303119999999999</v>
      </c>
      <c r="S1031">
        <v>-1.9180300000000001E-2</v>
      </c>
      <c r="T1031">
        <v>-0.11637989999999999</v>
      </c>
      <c r="U1031">
        <v>-3.0712280000000001</v>
      </c>
      <c r="V1031">
        <v>0.11222500000000001</v>
      </c>
      <c r="W1031">
        <v>0.17534859999999999</v>
      </c>
      <c r="X1031">
        <v>0.97808919999999999</v>
      </c>
      <c r="Y1031">
        <v>0.18906709999999999</v>
      </c>
      <c r="Z1031">
        <v>2.408795E-2</v>
      </c>
      <c r="AA1031">
        <v>0.98166869999999995</v>
      </c>
      <c r="AB1031">
        <v>32</v>
      </c>
      <c r="AC1031">
        <v>-0.23199999999999901</v>
      </c>
      <c r="AD1031">
        <v>-1.105057911149</v>
      </c>
      <c r="AE1031">
        <v>-28.843899999999898</v>
      </c>
      <c r="AF1031">
        <v>5.4982707749239399</v>
      </c>
      <c r="AG1031">
        <v>-1.105057911149</v>
      </c>
      <c r="AH1031">
        <v>28.2728928487528</v>
      </c>
      <c r="AI1031">
        <v>92.197169821464698</v>
      </c>
      <c r="AJ1031">
        <v>78.994967622293601</v>
      </c>
      <c r="AK1031">
        <v>28.823750702128098</v>
      </c>
      <c r="AL1031">
        <v>79.901055227581793</v>
      </c>
      <c r="AM1031">
        <v>83.454561700788005</v>
      </c>
      <c r="AN1031">
        <v>1.0000000326517899</v>
      </c>
    </row>
    <row r="1032" spans="1:40" x14ac:dyDescent="0.25">
      <c r="A1032" t="str">
        <f>"20190303162519701"</f>
        <v>20190303162519701</v>
      </c>
      <c r="B1032" t="str">
        <f>"1551601519694222"</f>
        <v>1551601519694222</v>
      </c>
      <c r="C1032" t="s">
        <v>40</v>
      </c>
      <c r="D1032">
        <v>4.7766159999999998</v>
      </c>
      <c r="E1032">
        <v>0.52771709999999905</v>
      </c>
      <c r="F1032" t="s">
        <v>41</v>
      </c>
      <c r="G1032">
        <v>-191.7732</v>
      </c>
      <c r="H1032" s="1">
        <v>-3.3905200000000001E-6</v>
      </c>
      <c r="I1032">
        <v>315.76609999999999</v>
      </c>
      <c r="J1032">
        <v>-191.62479999999999</v>
      </c>
      <c r="K1032">
        <v>1.1053010000000001</v>
      </c>
      <c r="L1032">
        <v>351.34769999999997</v>
      </c>
      <c r="M1032">
        <v>0.1646251</v>
      </c>
      <c r="N1032">
        <v>-1.2405950000000001E-2</v>
      </c>
      <c r="O1032">
        <v>-0.98627830000000005</v>
      </c>
      <c r="P1032">
        <v>6.8468409999999993E-2</v>
      </c>
      <c r="Q1032">
        <v>0.17504249999999999</v>
      </c>
      <c r="R1032">
        <v>-0.98217739999999998</v>
      </c>
      <c r="S1032">
        <v>-8.3618159999999993E-3</v>
      </c>
      <c r="T1032">
        <v>-9.4350580000000003E-2</v>
      </c>
      <c r="U1032">
        <v>-3.0684809999999998</v>
      </c>
      <c r="V1032">
        <v>0.1009486</v>
      </c>
      <c r="W1032">
        <v>0.18362010000000001</v>
      </c>
      <c r="X1032">
        <v>0.97780009999999995</v>
      </c>
      <c r="Y1032">
        <v>0.16727899999999901</v>
      </c>
      <c r="Z1032">
        <v>1.7482950000000001E-2</v>
      </c>
      <c r="AA1032">
        <v>0.98575449999999998</v>
      </c>
      <c r="AB1032">
        <v>32</v>
      </c>
      <c r="AC1032">
        <v>-0.148400000000009</v>
      </c>
      <c r="AD1032">
        <v>-1.10530439052</v>
      </c>
      <c r="AE1032">
        <v>-35.581599999999902</v>
      </c>
      <c r="AF1032">
        <v>5.9986611772495797</v>
      </c>
      <c r="AG1032">
        <v>-1.10530439052</v>
      </c>
      <c r="AH1032">
        <v>35.037815024629502</v>
      </c>
      <c r="AI1032">
        <v>91.780960330531798</v>
      </c>
      <c r="AJ1032">
        <v>80.284846756678405</v>
      </c>
      <c r="AK1032">
        <v>35.564787577255402</v>
      </c>
      <c r="AL1032">
        <v>79.419308132235699</v>
      </c>
      <c r="AM1032">
        <v>84.105636098596605</v>
      </c>
      <c r="AN1032">
        <v>0.99999999826299002</v>
      </c>
    </row>
    <row r="1033" spans="1:40" x14ac:dyDescent="0.25">
      <c r="A1033" t="str">
        <f>"20190303162519721"</f>
        <v>20190303162519721</v>
      </c>
      <c r="B1033" t="str">
        <f>"1551601519713742"</f>
        <v>1551601519713742</v>
      </c>
      <c r="C1033" t="s">
        <v>40</v>
      </c>
      <c r="D1033">
        <v>4.8263299999999996</v>
      </c>
      <c r="E1033">
        <v>0.52743370000000001</v>
      </c>
      <c r="F1033" t="s">
        <v>41</v>
      </c>
      <c r="G1033">
        <v>-191.9709</v>
      </c>
      <c r="H1033" s="1">
        <v>-2.0534269999999998E-6</v>
      </c>
      <c r="I1033">
        <v>303.1533</v>
      </c>
      <c r="J1033">
        <v>-191.58629999999999</v>
      </c>
      <c r="K1033">
        <v>1.105561</v>
      </c>
      <c r="L1033">
        <v>351.03680000000003</v>
      </c>
      <c r="M1033">
        <v>0.1490612</v>
      </c>
      <c r="N1033">
        <v>-1.2329349999999999E-2</v>
      </c>
      <c r="O1033">
        <v>-0.98875119999999905</v>
      </c>
      <c r="P1033">
        <v>6.4283389999999996E-2</v>
      </c>
      <c r="Q1033">
        <v>0.17959059999999999</v>
      </c>
      <c r="R1033">
        <v>-0.98163909999999999</v>
      </c>
      <c r="S1033">
        <v>-2.2033690000000002E-2</v>
      </c>
      <c r="T1033">
        <v>-7.0374129999999993E-2</v>
      </c>
      <c r="U1033">
        <v>-3.0685120000000001</v>
      </c>
      <c r="V1033">
        <v>8.9607099999999995E-2</v>
      </c>
      <c r="W1033">
        <v>0.18856329999999999</v>
      </c>
      <c r="X1033">
        <v>0.97796450000000001</v>
      </c>
      <c r="Y1033">
        <v>0.1561342</v>
      </c>
      <c r="Z1033">
        <v>1.0068590000000001E-2</v>
      </c>
      <c r="AA1033">
        <v>0.98768449999999997</v>
      </c>
      <c r="AB1033">
        <v>32</v>
      </c>
      <c r="AC1033">
        <v>-0.38460000000000599</v>
      </c>
      <c r="AD1033">
        <v>-1.105563053427</v>
      </c>
      <c r="AE1033">
        <v>-47.883499999999998</v>
      </c>
      <c r="AF1033">
        <v>7.5144108880127298</v>
      </c>
      <c r="AG1033">
        <v>-1.105563053427</v>
      </c>
      <c r="AH1033">
        <v>47.265934162851401</v>
      </c>
      <c r="AI1033">
        <v>91.3233065462464</v>
      </c>
      <c r="AJ1033">
        <v>80.966629136673205</v>
      </c>
      <c r="AK1033">
        <v>47.872300685740903</v>
      </c>
      <c r="AL1033">
        <v>79.131048731598995</v>
      </c>
      <c r="AM1033">
        <v>84.764827308246396</v>
      </c>
      <c r="AN1033">
        <v>1.0000000568687699</v>
      </c>
    </row>
    <row r="1034" spans="1:40" x14ac:dyDescent="0.25">
      <c r="A1034" t="str">
        <f>"20190303162519741"</f>
        <v>20190303162519741</v>
      </c>
      <c r="B1034" t="str">
        <f>"1551601519734238"</f>
        <v>1551601519734238</v>
      </c>
      <c r="C1034" t="s">
        <v>40</v>
      </c>
      <c r="D1034">
        <v>4.812392</v>
      </c>
      <c r="E1034">
        <v>0.52712859999999995</v>
      </c>
      <c r="F1034" t="s">
        <v>46</v>
      </c>
      <c r="G1034">
        <v>-192.19929999999999</v>
      </c>
      <c r="H1034" s="1">
        <v>2.912781E-6</v>
      </c>
      <c r="I1034">
        <v>290.2516</v>
      </c>
      <c r="J1034">
        <v>-191.55459999999999</v>
      </c>
      <c r="K1034">
        <v>1.105818</v>
      </c>
      <c r="L1034">
        <v>350.74849999999998</v>
      </c>
      <c r="M1034">
        <v>0.13493329999999901</v>
      </c>
      <c r="N1034">
        <v>-1.22525E-2</v>
      </c>
      <c r="O1034">
        <v>-0.99077899999999997</v>
      </c>
      <c r="P1034">
        <v>6.1948950000000003E-2</v>
      </c>
      <c r="Q1034">
        <v>0.179838</v>
      </c>
      <c r="R1034">
        <v>-0.9817437</v>
      </c>
      <c r="S1034">
        <v>-3.0944820000000001E-2</v>
      </c>
      <c r="T1034">
        <v>-5.5807229999999999E-2</v>
      </c>
      <c r="U1034">
        <v>-3.0683590000000001</v>
      </c>
      <c r="V1034">
        <v>7.7833760000000002E-2</v>
      </c>
      <c r="W1034">
        <v>0.1892132</v>
      </c>
      <c r="X1034">
        <v>0.97884640000000001</v>
      </c>
      <c r="Y1034">
        <v>0.14490159999999999</v>
      </c>
      <c r="Z1034">
        <v>5.57881E-3</v>
      </c>
      <c r="AA1034">
        <v>0.98943040000000004</v>
      </c>
      <c r="AB1034">
        <v>32</v>
      </c>
      <c r="AC1034">
        <v>-0.64470000000000005</v>
      </c>
      <c r="AD1034">
        <v>-1.105815087219</v>
      </c>
      <c r="AE1034">
        <v>-60.496899999999897</v>
      </c>
      <c r="AF1034">
        <v>8.7995219519247794</v>
      </c>
      <c r="AG1034">
        <v>-1.105815087219</v>
      </c>
      <c r="AH1034">
        <v>59.836565176495</v>
      </c>
      <c r="AI1034">
        <v>91.047475899655595</v>
      </c>
      <c r="AJ1034">
        <v>81.634088501278598</v>
      </c>
      <c r="AK1034">
        <v>60.490238433241899</v>
      </c>
      <c r="AL1034">
        <v>79.093129002669102</v>
      </c>
      <c r="AM1034">
        <v>85.453645676171504</v>
      </c>
      <c r="AN1034">
        <v>1.0000000020214601</v>
      </c>
    </row>
    <row r="1035" spans="1:40" x14ac:dyDescent="0.25">
      <c r="A1035" t="str">
        <f>"20190303162519763"</f>
        <v>20190303162519763</v>
      </c>
      <c r="B1035" t="str">
        <f>"1551601519753291"</f>
        <v>1551601519753291</v>
      </c>
      <c r="C1035" t="s">
        <v>40</v>
      </c>
      <c r="D1035">
        <v>4.8188839999999997</v>
      </c>
      <c r="E1035">
        <v>0.52687079999999997</v>
      </c>
      <c r="F1035" t="s">
        <v>46</v>
      </c>
      <c r="G1035">
        <v>-192.2063</v>
      </c>
      <c r="H1035" s="1">
        <v>2.017922E-6</v>
      </c>
      <c r="I1035">
        <v>292.77960000000002</v>
      </c>
      <c r="J1035">
        <v>-191.52340000000001</v>
      </c>
      <c r="K1035">
        <v>1.1061540000000001</v>
      </c>
      <c r="L1035">
        <v>350.42090000000002</v>
      </c>
      <c r="M1035">
        <v>0.1193395</v>
      </c>
      <c r="N1035">
        <v>-1.216063E-2</v>
      </c>
      <c r="O1035">
        <v>-0.99277930000000003</v>
      </c>
      <c r="P1035">
        <v>5.5439750000000003E-2</v>
      </c>
      <c r="Q1035">
        <v>0.18121660000000001</v>
      </c>
      <c r="R1035">
        <v>-0.98187959999999996</v>
      </c>
      <c r="S1035">
        <v>-3.4500120000000002E-2</v>
      </c>
      <c r="T1035">
        <v>-5.8539029999999999E-2</v>
      </c>
      <c r="U1035">
        <v>-3.0687259999999998</v>
      </c>
      <c r="V1035">
        <v>6.8779389999999996E-2</v>
      </c>
      <c r="W1035">
        <v>0.19087609999999999</v>
      </c>
      <c r="X1035">
        <v>0.97920160000000001</v>
      </c>
      <c r="Y1035">
        <v>0.13047700000000001</v>
      </c>
      <c r="Z1035">
        <v>6.6179019999999898E-3</v>
      </c>
      <c r="AA1035">
        <v>0.99142929999999996</v>
      </c>
      <c r="AB1035">
        <v>32</v>
      </c>
      <c r="AC1035">
        <v>-0.68289999999998896</v>
      </c>
      <c r="AD1035">
        <v>-1.1061519820779999</v>
      </c>
      <c r="AE1035">
        <v>-57.641300000000001</v>
      </c>
      <c r="AF1035">
        <v>7.5546279749399998</v>
      </c>
      <c r="AG1035">
        <v>-1.1061519820779999</v>
      </c>
      <c r="AH1035">
        <v>57.126767988342102</v>
      </c>
      <c r="AI1035">
        <v>91.099713962945302</v>
      </c>
      <c r="AJ1035">
        <v>82.466733056553807</v>
      </c>
      <c r="AK1035">
        <v>57.6347429667303</v>
      </c>
      <c r="AL1035">
        <v>78.996083553732902</v>
      </c>
      <c r="AM1035">
        <v>85.982127653995903</v>
      </c>
      <c r="AN1035">
        <v>1.0000000317412701</v>
      </c>
    </row>
    <row r="1036" spans="1:40" x14ac:dyDescent="0.25">
      <c r="A1036" t="str">
        <f>"20190303162519786"</f>
        <v>20190303162519786</v>
      </c>
      <c r="B1036" t="str">
        <f>"1551601519774762"</f>
        <v>1551601519774762</v>
      </c>
      <c r="C1036" t="s">
        <v>40</v>
      </c>
      <c r="D1036">
        <v>4.8774620000000004</v>
      </c>
      <c r="E1036">
        <v>0.52674009999999905</v>
      </c>
      <c r="F1036" t="s">
        <v>46</v>
      </c>
      <c r="G1036">
        <v>-192.52889999999999</v>
      </c>
      <c r="H1036" s="1">
        <v>2.9347879999999999E-6</v>
      </c>
      <c r="I1036">
        <v>290.024</v>
      </c>
      <c r="J1036">
        <v>-191.4967</v>
      </c>
      <c r="K1036">
        <v>1.1065480000000001</v>
      </c>
      <c r="L1036">
        <v>350.09089999999998</v>
      </c>
      <c r="M1036">
        <v>0.1042136</v>
      </c>
      <c r="N1036">
        <v>-1.205879E-2</v>
      </c>
      <c r="O1036">
        <v>-0.99448199999999998</v>
      </c>
      <c r="P1036">
        <v>4.6661979999999999E-2</v>
      </c>
      <c r="Q1036">
        <v>0.18350610000000001</v>
      </c>
      <c r="R1036">
        <v>-0.98191079999999997</v>
      </c>
      <c r="S1036">
        <v>-5.1086430000000002E-2</v>
      </c>
      <c r="T1036">
        <v>-5.6201099999999997E-2</v>
      </c>
      <c r="U1036">
        <v>-3.0686339999999999</v>
      </c>
      <c r="V1036">
        <v>6.2461129999999997E-2</v>
      </c>
      <c r="W1036">
        <v>0.1933376</v>
      </c>
      <c r="X1036">
        <v>0.97914210000000002</v>
      </c>
      <c r="Y1036">
        <v>0.1207392</v>
      </c>
      <c r="Z1036">
        <v>6.0251949999999997E-3</v>
      </c>
      <c r="AA1036">
        <v>0.99266600000000005</v>
      </c>
      <c r="AB1036">
        <v>32</v>
      </c>
      <c r="AC1036">
        <v>-1.03219999999998</v>
      </c>
      <c r="AD1036">
        <v>-1.1065450652119999</v>
      </c>
      <c r="AE1036">
        <v>-60.066899999999897</v>
      </c>
      <c r="AF1036">
        <v>7.2843494777710998</v>
      </c>
      <c r="AG1036">
        <v>-1.1065450652119999</v>
      </c>
      <c r="AH1036">
        <v>59.611983080936199</v>
      </c>
      <c r="AI1036">
        <v>91.055578612588405</v>
      </c>
      <c r="AJ1036">
        <v>83.033220169904595</v>
      </c>
      <c r="AK1036">
        <v>60.065586787589801</v>
      </c>
      <c r="AL1036">
        <v>78.852373259161894</v>
      </c>
      <c r="AM1036">
        <v>86.3499511382051</v>
      </c>
      <c r="AN1036">
        <v>1.00000003616352</v>
      </c>
    </row>
    <row r="1037" spans="1:40" x14ac:dyDescent="0.25">
      <c r="A1037" t="str">
        <f>"20190303162519809"</f>
        <v>20190303162519809</v>
      </c>
      <c r="B1037" t="str">
        <f>"1551601519804043"</f>
        <v>1551601519804043</v>
      </c>
      <c r="C1037" t="s">
        <v>40</v>
      </c>
      <c r="D1037">
        <v>4.8539870000000001</v>
      </c>
      <c r="E1037">
        <v>0.52642690000000003</v>
      </c>
      <c r="F1037" t="s">
        <v>46</v>
      </c>
      <c r="G1037">
        <v>-193.00399999999999</v>
      </c>
      <c r="H1037" s="1">
        <v>3.1902809999999999E-6</v>
      </c>
      <c r="I1037">
        <v>287.3784</v>
      </c>
      <c r="J1037">
        <v>-191.47329999999999</v>
      </c>
      <c r="K1037">
        <v>1.1070390000000001</v>
      </c>
      <c r="L1037">
        <v>349.74270000000001</v>
      </c>
      <c r="M1037">
        <v>8.9015040000000004E-2</v>
      </c>
      <c r="N1037">
        <v>-1.1935980000000001E-2</v>
      </c>
      <c r="O1037">
        <v>-0.99595900000000004</v>
      </c>
      <c r="P1037">
        <v>3.7453930000000003E-2</v>
      </c>
      <c r="Q1037">
        <v>0.17988270000000001</v>
      </c>
      <c r="R1037">
        <v>-0.9829753</v>
      </c>
      <c r="S1037">
        <v>-7.3760989999999999E-2</v>
      </c>
      <c r="T1037">
        <v>-5.4148910000000001E-2</v>
      </c>
      <c r="U1037">
        <v>-3.068848</v>
      </c>
      <c r="V1037">
        <v>5.6379470000000001E-2</v>
      </c>
      <c r="W1037">
        <v>0.18986919999999999</v>
      </c>
      <c r="X1037">
        <v>0.98018930000000004</v>
      </c>
      <c r="Y1037">
        <v>0.11290839999999901</v>
      </c>
      <c r="Z1037">
        <v>5.529768E-3</v>
      </c>
      <c r="AA1037">
        <v>0.99358999999999997</v>
      </c>
      <c r="AB1037">
        <v>32</v>
      </c>
      <c r="AC1037">
        <v>-1.5307000000000199</v>
      </c>
      <c r="AD1037">
        <v>-1.1070358097189901</v>
      </c>
      <c r="AE1037">
        <v>-62.3643</v>
      </c>
      <c r="AF1037">
        <v>7.07414977907899</v>
      </c>
      <c r="AG1037">
        <v>-1.1070358097189901</v>
      </c>
      <c r="AH1037">
        <v>61.9609188330124</v>
      </c>
      <c r="AI1037">
        <v>91.016971085292496</v>
      </c>
      <c r="AJ1037">
        <v>83.486677368779098</v>
      </c>
      <c r="AK1037">
        <v>62.373268200503901</v>
      </c>
      <c r="AL1037">
        <v>79.054849158410804</v>
      </c>
      <c r="AM1037">
        <v>86.708033516810502</v>
      </c>
      <c r="AN1037">
        <v>1.0000000107903</v>
      </c>
    </row>
    <row r="1038" spans="1:40" x14ac:dyDescent="0.25">
      <c r="A1038" t="str">
        <f>"20190303162519832"</f>
        <v>20190303162519832</v>
      </c>
      <c r="B1038" t="str">
        <f>"1551601519823562"</f>
        <v>1551601519823562</v>
      </c>
      <c r="C1038" t="s">
        <v>40</v>
      </c>
      <c r="D1038">
        <v>4.8559479999999997</v>
      </c>
      <c r="E1038">
        <v>0.52607999999999999</v>
      </c>
      <c r="F1038" t="s">
        <v>41</v>
      </c>
      <c r="G1038">
        <v>-192.99279999999999</v>
      </c>
      <c r="H1038" s="1">
        <v>-1.8052840000000001E-6</v>
      </c>
      <c r="I1038">
        <v>301.94099999999997</v>
      </c>
      <c r="J1038">
        <v>-191.45439999999999</v>
      </c>
      <c r="K1038">
        <v>1.1076410000000001</v>
      </c>
      <c r="L1038">
        <v>349.3956</v>
      </c>
      <c r="M1038">
        <v>7.4795609999999998E-2</v>
      </c>
      <c r="N1038">
        <v>-1.1797429999999999E-2</v>
      </c>
      <c r="O1038">
        <v>-0.99712920000000005</v>
      </c>
      <c r="P1038">
        <v>3.037962E-2</v>
      </c>
      <c r="Q1038">
        <v>0.17675009999999999</v>
      </c>
      <c r="R1038">
        <v>-0.98378699999999997</v>
      </c>
      <c r="S1038">
        <v>-9.7549440000000001E-2</v>
      </c>
      <c r="T1038">
        <v>-7.1068759999999995E-2</v>
      </c>
      <c r="U1038">
        <v>-3.0687259999999998</v>
      </c>
      <c r="V1038">
        <v>4.9087539999999999E-2</v>
      </c>
      <c r="W1038">
        <v>0.18691189999999999</v>
      </c>
      <c r="X1038">
        <v>0.98114950000000001</v>
      </c>
      <c r="Y1038">
        <v>0.10642219999999999</v>
      </c>
      <c r="Z1038">
        <v>1.117406E-2</v>
      </c>
      <c r="AA1038">
        <v>0.99425819999999998</v>
      </c>
      <c r="AB1038">
        <v>32</v>
      </c>
      <c r="AC1038">
        <v>-1.53839999999999</v>
      </c>
      <c r="AD1038">
        <v>-1.1076428052839999</v>
      </c>
      <c r="AE1038">
        <v>-47.454599999999999</v>
      </c>
      <c r="AF1038">
        <v>5.0809673429248399</v>
      </c>
      <c r="AG1038">
        <v>-1.1076428052839999</v>
      </c>
      <c r="AH1038">
        <v>47.180904644582498</v>
      </c>
      <c r="AI1038">
        <v>91.337129271090703</v>
      </c>
      <c r="AJ1038">
        <v>83.853438153654295</v>
      </c>
      <c r="AK1038">
        <v>47.466628959777097</v>
      </c>
      <c r="AL1038">
        <v>79.227379136236493</v>
      </c>
      <c r="AM1038">
        <v>87.135843461545093</v>
      </c>
      <c r="AN1038">
        <v>0.99999999314755506</v>
      </c>
    </row>
    <row r="1039" spans="1:40" x14ac:dyDescent="0.25">
      <c r="A1039" t="str">
        <f>"20190303162519855"</f>
        <v>20190303162519855</v>
      </c>
      <c r="B1039" t="str">
        <f>"1551601519844058"</f>
        <v>1551601519844058</v>
      </c>
      <c r="C1039" t="s">
        <v>40</v>
      </c>
      <c r="D1039">
        <v>4.9019130000000004</v>
      </c>
      <c r="E1039">
        <v>0.52572089999999905</v>
      </c>
      <c r="F1039" t="s">
        <v>41</v>
      </c>
      <c r="G1039">
        <v>-192.9736</v>
      </c>
      <c r="H1039" s="1">
        <v>-4.6305069999999999E-6</v>
      </c>
      <c r="I1039">
        <v>309.04379999999998</v>
      </c>
      <c r="J1039">
        <v>-191.4409</v>
      </c>
      <c r="K1039">
        <v>1.10832</v>
      </c>
      <c r="L1039">
        <v>349.08080000000001</v>
      </c>
      <c r="M1039">
        <v>6.2870659999999995E-2</v>
      </c>
      <c r="N1039">
        <v>-1.165997E-2</v>
      </c>
      <c r="O1039">
        <v>-0.9979538</v>
      </c>
      <c r="P1039">
        <v>2.4561690000000001E-2</v>
      </c>
      <c r="Q1039">
        <v>0.17751810000000001</v>
      </c>
      <c r="R1039">
        <v>-0.98381110000000005</v>
      </c>
      <c r="S1039">
        <v>-0.115509</v>
      </c>
      <c r="T1039">
        <v>-8.421969E-2</v>
      </c>
      <c r="U1039">
        <v>-3.068146</v>
      </c>
      <c r="V1039">
        <v>4.2846839999999997E-2</v>
      </c>
      <c r="W1039">
        <v>0.18780140000000001</v>
      </c>
      <c r="X1039">
        <v>0.98127200000000003</v>
      </c>
      <c r="Y1039">
        <v>0.1003496</v>
      </c>
      <c r="Z1039">
        <v>1.560775E-2</v>
      </c>
      <c r="AA1039">
        <v>0.99482979999999999</v>
      </c>
      <c r="AB1039">
        <v>32</v>
      </c>
      <c r="AC1039">
        <v>-1.5327</v>
      </c>
      <c r="AD1039">
        <v>-1.108324630507</v>
      </c>
      <c r="AE1039">
        <v>-40.036999999999999</v>
      </c>
      <c r="AF1039">
        <v>4.0438961937512197</v>
      </c>
      <c r="AG1039">
        <v>-1.108324630507</v>
      </c>
      <c r="AH1039">
        <v>39.830936367270198</v>
      </c>
      <c r="AI1039">
        <v>91.585737793532999</v>
      </c>
      <c r="AJ1039">
        <v>84.202823066698997</v>
      </c>
      <c r="AK1039">
        <v>40.051029597326803</v>
      </c>
      <c r="AL1039">
        <v>79.175495616825401</v>
      </c>
      <c r="AM1039">
        <v>87.499791408935906</v>
      </c>
      <c r="AN1039">
        <v>0.99999997776197203</v>
      </c>
    </row>
    <row r="1040" spans="1:40" x14ac:dyDescent="0.25">
      <c r="A1040" t="str">
        <f>"20190303162519881"</f>
        <v>20190303162519881</v>
      </c>
      <c r="B1040" t="str">
        <f>"1551601519874314"</f>
        <v>1551601519874314</v>
      </c>
      <c r="C1040" t="s">
        <v>40</v>
      </c>
      <c r="D1040">
        <v>4.9304209999999999</v>
      </c>
      <c r="E1040">
        <v>0.52513019999999999</v>
      </c>
      <c r="F1040" t="s">
        <v>41</v>
      </c>
      <c r="G1040">
        <v>-193.05119999999999</v>
      </c>
      <c r="H1040" s="1">
        <v>-9.2327739999999998E-7</v>
      </c>
      <c r="I1040">
        <v>309.82740000000001</v>
      </c>
      <c r="J1040">
        <v>-191.4281</v>
      </c>
      <c r="K1040">
        <v>1.1093150000000001</v>
      </c>
      <c r="L1040">
        <v>348.69650000000001</v>
      </c>
      <c r="M1040">
        <v>4.9725560000000002E-2</v>
      </c>
      <c r="N1040">
        <v>-1.1486100000000001E-2</v>
      </c>
      <c r="O1040">
        <v>-0.99869680000000005</v>
      </c>
      <c r="P1040">
        <v>1.663245E-2</v>
      </c>
      <c r="Q1040">
        <v>0.1771761</v>
      </c>
      <c r="R1040">
        <v>-0.98403850000000004</v>
      </c>
      <c r="S1040">
        <v>-0.1258698</v>
      </c>
      <c r="T1040">
        <v>-8.6629029999999996E-2</v>
      </c>
      <c r="U1040">
        <v>-3.068146</v>
      </c>
      <c r="V1040">
        <v>3.7360240000000003E-2</v>
      </c>
      <c r="W1040">
        <v>0.18752930000000001</v>
      </c>
      <c r="X1040">
        <v>0.98154819999999998</v>
      </c>
      <c r="Y1040">
        <v>9.060021E-2</v>
      </c>
      <c r="Z1040">
        <v>1.66064E-2</v>
      </c>
      <c r="AA1040">
        <v>0.99574890000000005</v>
      </c>
      <c r="AB1040">
        <v>33</v>
      </c>
      <c r="AC1040">
        <v>-1.62309999999999</v>
      </c>
      <c r="AD1040">
        <v>-1.1093159232773999</v>
      </c>
      <c r="AE1040">
        <v>-38.869100000000003</v>
      </c>
      <c r="AF1040">
        <v>3.55111981583876</v>
      </c>
      <c r="AG1040">
        <v>-1.1093159232773999</v>
      </c>
      <c r="AH1040">
        <v>38.7088203301508</v>
      </c>
      <c r="AI1040">
        <v>91.634670404193002</v>
      </c>
      <c r="AJ1040">
        <v>84.758397443547096</v>
      </c>
      <c r="AK1040">
        <v>38.887193330400898</v>
      </c>
      <c r="AL1040">
        <v>79.191367467469604</v>
      </c>
      <c r="AM1040">
        <v>87.820228042475705</v>
      </c>
      <c r="AN1040">
        <v>0.99999994740729203</v>
      </c>
    </row>
    <row r="1041" spans="1:40" x14ac:dyDescent="0.25">
      <c r="A1041" t="str">
        <f>"20190303162519920"</f>
        <v>20190303162519920</v>
      </c>
      <c r="B1041" t="str">
        <f>"1551601519914330"</f>
        <v>1551601519914330</v>
      </c>
      <c r="C1041" t="s">
        <v>40</v>
      </c>
      <c r="D1041">
        <v>4.8978149999999996</v>
      </c>
      <c r="E1041">
        <v>0.52426249999999996</v>
      </c>
      <c r="F1041" t="s">
        <v>41</v>
      </c>
      <c r="G1041">
        <v>-193.13939999999999</v>
      </c>
      <c r="H1041" s="1">
        <v>-1.8318139999999999E-6</v>
      </c>
      <c r="I1041">
        <v>311.69970000000001</v>
      </c>
      <c r="J1041">
        <v>-191.41550000000001</v>
      </c>
      <c r="K1041">
        <v>1.110941</v>
      </c>
      <c r="L1041">
        <v>348.11529999999999</v>
      </c>
      <c r="M1041">
        <v>3.2970810000000003E-2</v>
      </c>
      <c r="N1041">
        <v>-1.1237250000000001E-2</v>
      </c>
      <c r="O1041">
        <v>-0.99939310000000003</v>
      </c>
      <c r="P1041">
        <v>1.837594E-2</v>
      </c>
      <c r="Q1041">
        <v>0.16238839999999999</v>
      </c>
      <c r="R1041">
        <v>-0.98655579999999998</v>
      </c>
      <c r="S1041">
        <v>-0.1418915</v>
      </c>
      <c r="T1041">
        <v>-9.1980220000000001E-2</v>
      </c>
      <c r="U1041">
        <v>-3.0676269999999999</v>
      </c>
      <c r="V1041">
        <v>1.811374E-2</v>
      </c>
      <c r="W1041">
        <v>0.17309759999999999</v>
      </c>
      <c r="X1041">
        <v>0.98473809999999995</v>
      </c>
      <c r="Y1041">
        <v>7.909128E-2</v>
      </c>
      <c r="Z1041">
        <v>1.8640670000000002E-2</v>
      </c>
      <c r="AA1041">
        <v>0.9966931</v>
      </c>
      <c r="AB1041">
        <v>33</v>
      </c>
      <c r="AC1041">
        <v>-1.72389999999998</v>
      </c>
      <c r="AD1041">
        <v>-1.110942831814</v>
      </c>
      <c r="AE1041">
        <v>-36.415599999999898</v>
      </c>
      <c r="AF1041">
        <v>2.9209778468274501</v>
      </c>
      <c r="AG1041">
        <v>-1.110942831814</v>
      </c>
      <c r="AH1041">
        <v>36.305243272328397</v>
      </c>
      <c r="AI1041">
        <v>91.747065799592306</v>
      </c>
      <c r="AJ1041">
        <v>85.400113947638999</v>
      </c>
      <c r="AK1041">
        <v>36.439497727331101</v>
      </c>
      <c r="AL1041">
        <v>80.032030905917793</v>
      </c>
      <c r="AM1041">
        <v>88.946193080690804</v>
      </c>
      <c r="AN1041">
        <v>1.00000000614707</v>
      </c>
    </row>
    <row r="1042" spans="1:40" x14ac:dyDescent="0.25">
      <c r="A1042" t="str">
        <f>"20190303162519942"</f>
        <v>20190303162519942</v>
      </c>
      <c r="B1042" t="str">
        <f>"1551601519933850"</f>
        <v>1551601519933850</v>
      </c>
      <c r="C1042" t="s">
        <v>40</v>
      </c>
      <c r="D1042">
        <v>4.9565739999999998</v>
      </c>
      <c r="E1042">
        <v>0.51328379999999996</v>
      </c>
      <c r="F1042" t="s">
        <v>41</v>
      </c>
      <c r="G1042">
        <v>-192.52209999999999</v>
      </c>
      <c r="H1042" s="1">
        <v>-2.3181159999999999E-6</v>
      </c>
      <c r="I1042">
        <v>323.42840000000001</v>
      </c>
      <c r="J1042">
        <v>-191.41130000000001</v>
      </c>
      <c r="K1042">
        <v>1.111834</v>
      </c>
      <c r="L1042">
        <v>347.76710000000003</v>
      </c>
      <c r="M1042">
        <v>2.4614029999999999E-2</v>
      </c>
      <c r="N1042">
        <v>-1.1110490000000001E-2</v>
      </c>
      <c r="O1042">
        <v>-0.9996353</v>
      </c>
      <c r="P1042">
        <v>1.8580610000000001E-2</v>
      </c>
      <c r="Q1042">
        <v>0.15611610000000001</v>
      </c>
      <c r="R1042">
        <v>-0.9875642</v>
      </c>
      <c r="S1042">
        <v>-0.1374359</v>
      </c>
      <c r="T1042">
        <v>-0.13798050000000001</v>
      </c>
      <c r="U1042">
        <v>-3.0661320000000001</v>
      </c>
      <c r="V1042">
        <v>9.1786620000000006E-3</v>
      </c>
      <c r="W1042">
        <v>0.16692689999999999</v>
      </c>
      <c r="X1042">
        <v>0.98592659999999999</v>
      </c>
      <c r="Y1042">
        <v>6.9309079999999995E-2</v>
      </c>
      <c r="Z1042">
        <v>3.3750870000000002E-2</v>
      </c>
      <c r="AA1042">
        <v>0.99702409999999997</v>
      </c>
      <c r="AB1042">
        <v>33</v>
      </c>
      <c r="AC1042">
        <v>-1.11079999999998</v>
      </c>
      <c r="AD1042">
        <v>-1.111836318116</v>
      </c>
      <c r="AE1042">
        <v>-24.338699999999999</v>
      </c>
      <c r="AF1042">
        <v>1.70602110641911</v>
      </c>
      <c r="AG1042">
        <v>-1.111836318116</v>
      </c>
      <c r="AH1042">
        <v>24.253474553831801</v>
      </c>
      <c r="AI1042">
        <v>92.618275224433205</v>
      </c>
      <c r="AJ1042">
        <v>85.976367410062394</v>
      </c>
      <c r="AK1042">
        <v>24.338810898381901</v>
      </c>
      <c r="AL1042">
        <v>80.390810137275196</v>
      </c>
      <c r="AM1042">
        <v>89.466609987265599</v>
      </c>
      <c r="AN1042">
        <v>1.0000000491836301</v>
      </c>
    </row>
    <row r="1043" spans="1:40" x14ac:dyDescent="0.25">
      <c r="A1043" t="str">
        <f>"20190303162519965"</f>
        <v>20190303162519965</v>
      </c>
      <c r="B1043" t="str">
        <f>"1551601519953875"</f>
        <v>1551601519953875</v>
      </c>
      <c r="C1043" t="s">
        <v>40</v>
      </c>
      <c r="D1043">
        <v>4.9559939999999996</v>
      </c>
      <c r="E1043">
        <v>0.51341629999999905</v>
      </c>
      <c r="F1043" t="s">
        <v>41</v>
      </c>
      <c r="G1043">
        <v>-191.7535</v>
      </c>
      <c r="H1043" s="1">
        <v>-4.0196749999999998E-6</v>
      </c>
      <c r="I1043">
        <v>327.88479999999998</v>
      </c>
      <c r="J1043">
        <v>-191.4093</v>
      </c>
      <c r="K1043">
        <v>1.1126039999999999</v>
      </c>
      <c r="L1043">
        <v>347.43360000000001</v>
      </c>
      <c r="M1043">
        <v>1.7617480000000001E-2</v>
      </c>
      <c r="N1043">
        <v>-1.099871E-2</v>
      </c>
      <c r="O1043">
        <v>-0.99978440000000002</v>
      </c>
      <c r="P1043">
        <v>1.5477650000000001E-2</v>
      </c>
      <c r="Q1043">
        <v>0.15517259999999999</v>
      </c>
      <c r="R1043">
        <v>-0.98776609999999998</v>
      </c>
      <c r="S1043">
        <v>-5.2764890000000002E-2</v>
      </c>
      <c r="T1043">
        <v>-0.17144879999999901</v>
      </c>
      <c r="U1043">
        <v>-3.0659179999999999</v>
      </c>
      <c r="V1043">
        <v>5.0440770000000001E-3</v>
      </c>
      <c r="W1043">
        <v>0.1659631</v>
      </c>
      <c r="X1043">
        <v>0.98611910000000003</v>
      </c>
      <c r="Y1043">
        <v>3.4790769999999999E-2</v>
      </c>
      <c r="Z1043">
        <v>4.4813039999999998E-2</v>
      </c>
      <c r="AA1043">
        <v>0.99838939999999998</v>
      </c>
      <c r="AB1043">
        <v>33</v>
      </c>
      <c r="AC1043">
        <v>-0.34420000000000001</v>
      </c>
      <c r="AD1043">
        <v>-1.1126080196749999</v>
      </c>
      <c r="AE1043">
        <v>-19.5488</v>
      </c>
      <c r="AF1043">
        <v>0.686345412853544</v>
      </c>
      <c r="AG1043">
        <v>-1.1126080196749999</v>
      </c>
      <c r="AH1043">
        <v>19.476631278598202</v>
      </c>
      <c r="AI1043">
        <v>93.267460350060801</v>
      </c>
      <c r="AJ1043">
        <v>87.981764455659004</v>
      </c>
      <c r="AK1043">
        <v>19.520454210741601</v>
      </c>
      <c r="AL1043">
        <v>80.446812883812598</v>
      </c>
      <c r="AM1043">
        <v>89.706930123174303</v>
      </c>
      <c r="AN1043">
        <v>1.0000000363296</v>
      </c>
    </row>
    <row r="1044" spans="1:40" x14ac:dyDescent="0.25">
      <c r="A1044" t="str">
        <f>"20190303162519988"</f>
        <v>20190303162519988</v>
      </c>
      <c r="B1044" t="str">
        <f>"1551601519973396"</f>
        <v>1551601519973396</v>
      </c>
      <c r="C1044" t="s">
        <v>40</v>
      </c>
      <c r="D1044">
        <v>4.9587870000000001</v>
      </c>
      <c r="E1044">
        <v>0.50616549999999905</v>
      </c>
      <c r="F1044" t="s">
        <v>41</v>
      </c>
      <c r="G1044">
        <v>-191.8031</v>
      </c>
      <c r="H1044" s="1">
        <v>-3.9370879999999996E-6</v>
      </c>
      <c r="I1044">
        <v>327.64830000000001</v>
      </c>
      <c r="J1044">
        <v>-191.40889999999999</v>
      </c>
      <c r="K1044">
        <v>1.1134109999999999</v>
      </c>
      <c r="L1044">
        <v>347.10340000000002</v>
      </c>
      <c r="M1044">
        <v>1.1795170000000001E-2</v>
      </c>
      <c r="N1044">
        <v>-1.089096E-2</v>
      </c>
      <c r="O1044">
        <v>-0.99987119999999996</v>
      </c>
      <c r="P1044">
        <v>1.128033E-2</v>
      </c>
      <c r="Q1044">
        <v>0.1573687</v>
      </c>
      <c r="R1044">
        <v>-0.98747549999999995</v>
      </c>
      <c r="S1044">
        <v>-6.1004639999999999E-2</v>
      </c>
      <c r="T1044">
        <v>-0.17236899999999999</v>
      </c>
      <c r="U1044">
        <v>-3.0652159999999999</v>
      </c>
      <c r="V1044">
        <v>3.2080519999999999E-3</v>
      </c>
      <c r="W1044">
        <v>0.16808429999999999</v>
      </c>
      <c r="X1044">
        <v>0.98576739999999996</v>
      </c>
      <c r="Y1044">
        <v>3.1658489999999997E-2</v>
      </c>
      <c r="Z1044">
        <v>4.5241330000000003E-2</v>
      </c>
      <c r="AA1044">
        <v>0.99847430000000004</v>
      </c>
      <c r="AB1044">
        <v>33</v>
      </c>
      <c r="AC1044">
        <v>-0.39420000000001199</v>
      </c>
      <c r="AD1044">
        <v>-1.113414937088</v>
      </c>
      <c r="AE1044">
        <v>-19.455100000000002</v>
      </c>
      <c r="AF1044">
        <v>0.62162721705758195</v>
      </c>
      <c r="AG1044">
        <v>-1.113414937088</v>
      </c>
      <c r="AH1044">
        <v>19.385629385265901</v>
      </c>
      <c r="AI1044">
        <v>93.285490565727002</v>
      </c>
      <c r="AJ1044">
        <v>88.163360335193701</v>
      </c>
      <c r="AK1044">
        <v>19.427525315438501</v>
      </c>
      <c r="AL1044">
        <v>80.3235451020618</v>
      </c>
      <c r="AM1044">
        <v>89.813538983776198</v>
      </c>
      <c r="AN1044">
        <v>0.99999999520344196</v>
      </c>
    </row>
    <row r="1045" spans="1:40" x14ac:dyDescent="0.25">
      <c r="A1045" t="str">
        <f>"20190303162520011"</f>
        <v>20190303162520011</v>
      </c>
      <c r="B1045" t="str">
        <f>"1551601520003652"</f>
        <v>1551601520003652</v>
      </c>
      <c r="C1045" t="s">
        <v>40</v>
      </c>
      <c r="D1045">
        <v>4.9839560000000001</v>
      </c>
      <c r="E1045">
        <v>0.50583829999999996</v>
      </c>
      <c r="F1045" t="s">
        <v>41</v>
      </c>
      <c r="G1045">
        <v>-191.5778</v>
      </c>
      <c r="H1045" s="1">
        <v>-2.550762E-6</v>
      </c>
      <c r="I1045">
        <v>304.5564</v>
      </c>
      <c r="J1045">
        <v>-191.40969999999999</v>
      </c>
      <c r="K1045">
        <v>1.1143160000000001</v>
      </c>
      <c r="L1045">
        <v>346.76179999999999</v>
      </c>
      <c r="M1045">
        <v>6.9074640000000003E-3</v>
      </c>
      <c r="N1045">
        <v>-1.078285E-2</v>
      </c>
      <c r="O1045">
        <v>-0.99991819999999998</v>
      </c>
      <c r="P1045">
        <v>9.4185750000000002E-3</v>
      </c>
      <c r="Q1045">
        <v>0.15750430000000001</v>
      </c>
      <c r="R1045">
        <v>-0.9874735</v>
      </c>
      <c r="S1045">
        <v>-1.211548E-2</v>
      </c>
      <c r="T1045">
        <v>-7.9839229999999997E-2</v>
      </c>
      <c r="U1045">
        <v>-3.0509029999999999</v>
      </c>
      <c r="V1045">
        <v>-1.140491E-4</v>
      </c>
      <c r="W1045">
        <v>0.1681637</v>
      </c>
      <c r="X1045">
        <v>0.9857591</v>
      </c>
      <c r="Y1045">
        <v>1.0876159999999999E-2</v>
      </c>
      <c r="Z1045">
        <v>1.5377450000000001E-2</v>
      </c>
      <c r="AA1045">
        <v>0.99982260000000001</v>
      </c>
      <c r="AB1045">
        <v>33</v>
      </c>
      <c r="AC1045">
        <v>-0.16810000000000899</v>
      </c>
      <c r="AD1045">
        <v>-1.1143185507619999</v>
      </c>
      <c r="AE1045">
        <v>-42.205399999999997</v>
      </c>
      <c r="AF1045">
        <v>0.45932498197386901</v>
      </c>
      <c r="AG1045">
        <v>-1.1143185507619999</v>
      </c>
      <c r="AH1045">
        <v>42.1738337114204</v>
      </c>
      <c r="AI1045">
        <v>91.513429287779303</v>
      </c>
      <c r="AJ1045">
        <v>89.376003078916298</v>
      </c>
      <c r="AK1045">
        <v>42.191052785989797</v>
      </c>
      <c r="AL1045">
        <v>80.318930399771304</v>
      </c>
      <c r="AM1045">
        <v>90.006628934044898</v>
      </c>
      <c r="AN1045">
        <v>1.00000002311884</v>
      </c>
    </row>
    <row r="1046" spans="1:40" x14ac:dyDescent="0.25">
      <c r="A1046" t="str">
        <f>"20190303162520031"</f>
        <v>20190303162520031</v>
      </c>
      <c r="B1046" t="str">
        <f>"1551601520024148"</f>
        <v>1551601520024148</v>
      </c>
      <c r="C1046" t="s">
        <v>40</v>
      </c>
      <c r="D1046">
        <v>4.941681</v>
      </c>
      <c r="E1046">
        <v>0.50547319999999996</v>
      </c>
      <c r="F1046" t="s">
        <v>41</v>
      </c>
      <c r="G1046">
        <v>-191.63399999999999</v>
      </c>
      <c r="H1046" s="1">
        <v>-1.4532769999999999E-6</v>
      </c>
      <c r="I1046">
        <v>301.9633</v>
      </c>
      <c r="J1046">
        <v>-191.41120000000001</v>
      </c>
      <c r="K1046">
        <v>1.1151850000000001</v>
      </c>
      <c r="L1046">
        <v>346.44720000000001</v>
      </c>
      <c r="M1046">
        <v>3.3419460000000002E-3</v>
      </c>
      <c r="N1046">
        <v>-1.0692210000000001E-2</v>
      </c>
      <c r="O1046">
        <v>-0.99993730000000003</v>
      </c>
      <c r="P1046">
        <v>1.0338730000000001E-2</v>
      </c>
      <c r="Q1046">
        <v>0.15358810000000001</v>
      </c>
      <c r="R1046">
        <v>-0.98808119999999999</v>
      </c>
      <c r="S1046">
        <v>-1.5274050000000001E-2</v>
      </c>
      <c r="T1046">
        <v>-7.5873609999999994E-2</v>
      </c>
      <c r="U1046">
        <v>-3.0503230000000001</v>
      </c>
      <c r="V1046">
        <v>-4.9546159999999898E-3</v>
      </c>
      <c r="W1046">
        <v>0.16422059999999999</v>
      </c>
      <c r="X1046">
        <v>0.98641120000000004</v>
      </c>
      <c r="Y1046">
        <v>8.3472679999999997E-3</v>
      </c>
      <c r="Z1046">
        <v>1.417506E-2</v>
      </c>
      <c r="AA1046">
        <v>0.99986470000000005</v>
      </c>
      <c r="AB1046">
        <v>33</v>
      </c>
      <c r="AC1046">
        <v>-0.22280000000000599</v>
      </c>
      <c r="AD1046">
        <v>-1.1151864532769999</v>
      </c>
      <c r="AE1046">
        <v>-44.483899999999998</v>
      </c>
      <c r="AF1046">
        <v>0.37123673093134102</v>
      </c>
      <c r="AG1046">
        <v>-1.1151864532769999</v>
      </c>
      <c r="AH1046">
        <v>44.454968715146698</v>
      </c>
      <c r="AI1046">
        <v>91.436956421273095</v>
      </c>
      <c r="AJ1046">
        <v>89.521542718889293</v>
      </c>
      <c r="AK1046">
        <v>44.470503718764398</v>
      </c>
      <c r="AL1046">
        <v>80.548039503083501</v>
      </c>
      <c r="AM1046">
        <v>90.2877868769109</v>
      </c>
      <c r="AN1046">
        <v>1.0000000045847499</v>
      </c>
    </row>
    <row r="1047" spans="1:40" x14ac:dyDescent="0.25">
      <c r="A1047" t="str">
        <f>"20190303162520054"</f>
        <v>20190303162520054</v>
      </c>
      <c r="B1047" t="str">
        <f>"1551601520043667"</f>
        <v>1551601520043667</v>
      </c>
      <c r="C1047" t="s">
        <v>40</v>
      </c>
      <c r="D1047">
        <v>4.9664780000000004</v>
      </c>
      <c r="E1047">
        <v>0.50508429999999904</v>
      </c>
      <c r="F1047" t="s">
        <v>41</v>
      </c>
      <c r="G1047">
        <v>-191.54920000000001</v>
      </c>
      <c r="H1047" s="1">
        <v>-3.0868249999999999E-6</v>
      </c>
      <c r="I1047">
        <v>305.82369999999997</v>
      </c>
      <c r="J1047">
        <v>-191.41319999999999</v>
      </c>
      <c r="K1047">
        <v>1.1161380000000001</v>
      </c>
      <c r="L1047">
        <v>346.1105</v>
      </c>
      <c r="M1047">
        <v>4.1822389999999999E-4</v>
      </c>
      <c r="N1047">
        <v>-1.0608080000000001E-2</v>
      </c>
      <c r="O1047">
        <v>-0.99994369999999999</v>
      </c>
      <c r="P1047">
        <v>9.8763870000000004E-3</v>
      </c>
      <c r="Q1047">
        <v>0.15067159999999999</v>
      </c>
      <c r="R1047">
        <v>-0.98853489999999999</v>
      </c>
      <c r="S1047">
        <v>-1.036072E-2</v>
      </c>
      <c r="T1047">
        <v>-8.3710190000000004E-2</v>
      </c>
      <c r="U1047">
        <v>-3.049347</v>
      </c>
      <c r="V1047">
        <v>-7.7829659999999997E-3</v>
      </c>
      <c r="W1047">
        <v>0.1612392</v>
      </c>
      <c r="X1047">
        <v>0.98688469999999995</v>
      </c>
      <c r="Y1047">
        <v>3.8146579999999999E-3</v>
      </c>
      <c r="Z1047">
        <v>1.683569E-2</v>
      </c>
      <c r="AA1047">
        <v>0.99985100000000005</v>
      </c>
      <c r="AB1047">
        <v>33</v>
      </c>
      <c r="AC1047">
        <v>-0.13600000000002399</v>
      </c>
      <c r="AD1047">
        <v>-1.1161410868249999</v>
      </c>
      <c r="AE1047">
        <v>-40.286799999999999</v>
      </c>
      <c r="AF1047">
        <v>0.15273260770354599</v>
      </c>
      <c r="AG1047">
        <v>-1.1161410868249999</v>
      </c>
      <c r="AH1047">
        <v>40.2558411511598</v>
      </c>
      <c r="AI1047">
        <v>91.588175339849698</v>
      </c>
      <c r="AJ1047">
        <v>89.782618085320294</v>
      </c>
      <c r="AK1047">
        <v>40.271600973422501</v>
      </c>
      <c r="AL1047">
        <v>80.721169173955104</v>
      </c>
      <c r="AM1047">
        <v>90.451847981128907</v>
      </c>
      <c r="AN1047">
        <v>1.0000000326352401</v>
      </c>
    </row>
    <row r="1048" spans="1:40" x14ac:dyDescent="0.25">
      <c r="A1048" t="str">
        <f>"20190303162520103"</f>
        <v>20190303162520103</v>
      </c>
      <c r="B1048" t="str">
        <f>"1551601520093950"</f>
        <v>1551601520093950</v>
      </c>
      <c r="C1048" t="s">
        <v>40</v>
      </c>
      <c r="D1048">
        <v>4.9460930000000003</v>
      </c>
      <c r="E1048">
        <v>0.50577890000000003</v>
      </c>
      <c r="F1048" t="s">
        <v>41</v>
      </c>
      <c r="G1048">
        <v>-191.51390000000001</v>
      </c>
      <c r="H1048" s="1">
        <v>-3.9341189999999996E-6</v>
      </c>
      <c r="I1048">
        <v>307.82069999999999</v>
      </c>
      <c r="J1048">
        <v>-191.4179</v>
      </c>
      <c r="K1048">
        <v>1.1180099999999999</v>
      </c>
      <c r="L1048">
        <v>345.3947</v>
      </c>
      <c r="M1048">
        <v>-2.8508000000000001E-3</v>
      </c>
      <c r="N1048">
        <v>-1.046244E-2</v>
      </c>
      <c r="O1048">
        <v>-0.99994119999999997</v>
      </c>
      <c r="P1048">
        <v>3.7313419999999999E-3</v>
      </c>
      <c r="Q1048">
        <v>0.1498274</v>
      </c>
      <c r="R1048">
        <v>-0.98870519999999995</v>
      </c>
      <c r="S1048">
        <v>-8.0108639999999995E-3</v>
      </c>
      <c r="T1048">
        <v>-8.8861229999999999E-2</v>
      </c>
      <c r="U1048">
        <v>-3.0484309999999999</v>
      </c>
      <c r="V1048">
        <v>-5.588165E-3</v>
      </c>
      <c r="W1048">
        <v>0.16020000000000001</v>
      </c>
      <c r="X1048">
        <v>0.98706879999999997</v>
      </c>
      <c r="Y1048">
        <v>-2.235134E-4</v>
      </c>
      <c r="Z1048">
        <v>1.8677659999999999E-2</v>
      </c>
      <c r="AA1048">
        <v>0.99982550000000003</v>
      </c>
      <c r="AB1048">
        <v>33</v>
      </c>
      <c r="AC1048">
        <v>-9.6000000000003596E-2</v>
      </c>
      <c r="AD1048">
        <v>-1.1180139341190001</v>
      </c>
      <c r="AE1048">
        <v>-37.573999999999998</v>
      </c>
      <c r="AF1048">
        <v>-1.11123744079045E-2</v>
      </c>
      <c r="AG1048">
        <v>-1.1180139341190001</v>
      </c>
      <c r="AH1048">
        <v>37.5408840365182</v>
      </c>
      <c r="AI1048">
        <v>91.705834872469396</v>
      </c>
      <c r="AJ1048">
        <v>90.016959966492195</v>
      </c>
      <c r="AK1048">
        <v>37.557529909261298</v>
      </c>
      <c r="AL1048">
        <v>80.781495265520604</v>
      </c>
      <c r="AM1048">
        <v>90.324369333824293</v>
      </c>
      <c r="AN1048">
        <v>1.00000004176075</v>
      </c>
    </row>
    <row r="1049" spans="1:40" x14ac:dyDescent="0.25">
      <c r="A1049" t="str">
        <f>"20190303162520124"</f>
        <v>20190303162520124</v>
      </c>
      <c r="B1049" t="str">
        <f>"1551601520114446"</f>
        <v>1551601520114446</v>
      </c>
      <c r="C1049" t="s">
        <v>40</v>
      </c>
      <c r="D1049">
        <v>4.9090819999999997</v>
      </c>
      <c r="E1049">
        <v>0.50575890000000001</v>
      </c>
      <c r="F1049" t="s">
        <v>41</v>
      </c>
      <c r="G1049">
        <v>-191.71080000000001</v>
      </c>
      <c r="H1049" s="1">
        <v>-1.318209E-6</v>
      </c>
      <c r="I1049">
        <v>311.41730000000001</v>
      </c>
      <c r="J1049">
        <v>-191.4196</v>
      </c>
      <c r="K1049">
        <v>1.1186670000000001</v>
      </c>
      <c r="L1049">
        <v>345.0849</v>
      </c>
      <c r="M1049">
        <v>-3.2601829999999998E-3</v>
      </c>
      <c r="N1049">
        <v>-1.040788E-2</v>
      </c>
      <c r="O1049">
        <v>-0.99994079999999996</v>
      </c>
      <c r="P1049">
        <v>2.8631479999999998E-3</v>
      </c>
      <c r="Q1049">
        <v>0.1498835</v>
      </c>
      <c r="R1049">
        <v>-0.98870000000000002</v>
      </c>
      <c r="S1049">
        <v>-2.6290890000000001E-2</v>
      </c>
      <c r="T1049">
        <v>-0.10034659999999999</v>
      </c>
      <c r="U1049">
        <v>-3.0496219999999998</v>
      </c>
      <c r="V1049">
        <v>-5.3777829999999997E-3</v>
      </c>
      <c r="W1049">
        <v>0.1601911</v>
      </c>
      <c r="X1049">
        <v>0.98707140000000004</v>
      </c>
      <c r="Y1049">
        <v>5.3570450000000004E-3</v>
      </c>
      <c r="Z1049">
        <v>2.24818E-2</v>
      </c>
      <c r="AA1049">
        <v>0.99973290000000004</v>
      </c>
      <c r="AB1049">
        <v>33</v>
      </c>
      <c r="AC1049">
        <v>-0.29120000000000301</v>
      </c>
      <c r="AD1049">
        <v>-1.118668318209</v>
      </c>
      <c r="AE1049">
        <v>-33.667599999999901</v>
      </c>
      <c r="AF1049">
        <v>0.18122993304239601</v>
      </c>
      <c r="AG1049">
        <v>-1.118668318209</v>
      </c>
      <c r="AH1049">
        <v>33.631243564351898</v>
      </c>
      <c r="AI1049">
        <v>91.905086287523503</v>
      </c>
      <c r="AJ1049">
        <v>89.691251090446002</v>
      </c>
      <c r="AK1049">
        <v>33.650331451258502</v>
      </c>
      <c r="AL1049">
        <v>80.782011749989294</v>
      </c>
      <c r="AM1049">
        <v>90.312156973037503</v>
      </c>
      <c r="AN1049">
        <v>1.00000002888358</v>
      </c>
    </row>
    <row r="1050" spans="1:40" x14ac:dyDescent="0.25">
      <c r="A1050" t="str">
        <f>"20190303162520167"</f>
        <v>20190303162520167</v>
      </c>
      <c r="B1050" t="str">
        <f>"1551601520154462"</f>
        <v>1551601520154462</v>
      </c>
      <c r="C1050" t="s">
        <v>40</v>
      </c>
      <c r="D1050">
        <v>4.9333</v>
      </c>
      <c r="E1050">
        <v>0.50459579999999904</v>
      </c>
      <c r="F1050" t="s">
        <v>41</v>
      </c>
      <c r="G1050">
        <v>-191.7192</v>
      </c>
      <c r="H1050" s="1">
        <v>-1.0703839999999999E-6</v>
      </c>
      <c r="I1050">
        <v>310.88830000000002</v>
      </c>
      <c r="J1050">
        <v>-191.42179999999999</v>
      </c>
      <c r="K1050">
        <v>1.1198319999999999</v>
      </c>
      <c r="L1050">
        <v>344.46379999999999</v>
      </c>
      <c r="M1050">
        <v>-2.501648E-3</v>
      </c>
      <c r="N1050">
        <v>-1.031255E-2</v>
      </c>
      <c r="O1050">
        <v>-0.9999439</v>
      </c>
      <c r="P1050">
        <v>4.7126269999999998E-4</v>
      </c>
      <c r="Q1050">
        <v>0.148608399999999</v>
      </c>
      <c r="R1050">
        <v>-0.98889629999999995</v>
      </c>
      <c r="S1050">
        <v>-2.6718140000000001E-2</v>
      </c>
      <c r="T1050">
        <v>-9.9757910000000005E-2</v>
      </c>
      <c r="U1050">
        <v>-3.0495000000000001</v>
      </c>
      <c r="V1050">
        <v>-2.686131E-3</v>
      </c>
      <c r="W1050">
        <v>0.1588029</v>
      </c>
      <c r="X1050">
        <v>0.98730669999999998</v>
      </c>
      <c r="Y1050">
        <v>6.2558519999999897E-3</v>
      </c>
      <c r="Z1050">
        <v>2.238563E-2</v>
      </c>
      <c r="AA1050">
        <v>0.9997298</v>
      </c>
      <c r="AB1050">
        <v>33</v>
      </c>
      <c r="AC1050">
        <v>-0.29740000000000999</v>
      </c>
      <c r="AD1050">
        <v>-1.119833070384</v>
      </c>
      <c r="AE1050">
        <v>-33.575499999999899</v>
      </c>
      <c r="AF1050">
        <v>0.21316343267549101</v>
      </c>
      <c r="AG1050">
        <v>-1.119833070384</v>
      </c>
      <c r="AH1050">
        <v>33.538833232030697</v>
      </c>
      <c r="AI1050">
        <v>91.912308234190704</v>
      </c>
      <c r="AJ1050">
        <v>89.635848972304998</v>
      </c>
      <c r="AK1050">
        <v>33.558200179993598</v>
      </c>
      <c r="AL1050">
        <v>80.862581349425099</v>
      </c>
      <c r="AM1050">
        <v>90.155882249950807</v>
      </c>
      <c r="AN1050">
        <v>1.0000000481065201</v>
      </c>
    </row>
    <row r="1051" spans="1:40" x14ac:dyDescent="0.25">
      <c r="A1051" t="str">
        <f>"20190303162520187"</f>
        <v>20190303162520187</v>
      </c>
      <c r="B1051" t="str">
        <f>"1551601520173983"</f>
        <v>1551601520173983</v>
      </c>
      <c r="C1051" t="s">
        <v>40</v>
      </c>
      <c r="D1051">
        <v>5.0639969999999996</v>
      </c>
      <c r="E1051">
        <v>0.50416679999999903</v>
      </c>
      <c r="F1051" t="s">
        <v>41</v>
      </c>
      <c r="G1051">
        <v>-191.72489999999999</v>
      </c>
      <c r="H1051" s="1">
        <v>-4.0385670000000003E-6</v>
      </c>
      <c r="I1051">
        <v>307.95519999999999</v>
      </c>
      <c r="J1051">
        <v>-191.4221</v>
      </c>
      <c r="K1051">
        <v>1.120344</v>
      </c>
      <c r="L1051">
        <v>344.14690000000002</v>
      </c>
      <c r="M1051">
        <v>-1.435806E-3</v>
      </c>
      <c r="N1051">
        <v>-1.027409E-2</v>
      </c>
      <c r="O1051">
        <v>-0.99994620000000001</v>
      </c>
      <c r="P1051">
        <v>-2.1138820000000001E-3</v>
      </c>
      <c r="Q1051">
        <v>0.14538960000000001</v>
      </c>
      <c r="R1051">
        <v>-0.98937249999999999</v>
      </c>
      <c r="S1051">
        <v>-2.529907E-2</v>
      </c>
      <c r="T1051">
        <v>-9.3483689999999994E-2</v>
      </c>
      <c r="U1051">
        <v>-3.0477289999999999</v>
      </c>
      <c r="V1051">
        <v>7.4622419999999896E-4</v>
      </c>
      <c r="W1051">
        <v>0.1555465</v>
      </c>
      <c r="X1051">
        <v>0.98782829999999999</v>
      </c>
      <c r="Y1051">
        <v>6.8616629999999996E-3</v>
      </c>
      <c r="Z1051">
        <v>2.038705E-2</v>
      </c>
      <c r="AA1051">
        <v>0.99976860000000001</v>
      </c>
      <c r="AB1051">
        <v>33</v>
      </c>
      <c r="AC1051">
        <v>-0.30279999999999002</v>
      </c>
      <c r="AD1051">
        <v>-1.1203480385669999</v>
      </c>
      <c r="AE1051">
        <v>-36.191699999999997</v>
      </c>
      <c r="AF1051">
        <v>0.25059256702094801</v>
      </c>
      <c r="AG1051">
        <v>-1.1203480385669999</v>
      </c>
      <c r="AH1051">
        <v>36.15745129551</v>
      </c>
      <c r="AI1051">
        <v>91.774714217074205</v>
      </c>
      <c r="AJ1051">
        <v>89.602912648015405</v>
      </c>
      <c r="AK1051">
        <v>36.175672219729996</v>
      </c>
      <c r="AL1051">
        <v>81.051507266861293</v>
      </c>
      <c r="AM1051">
        <v>89.956717691629606</v>
      </c>
      <c r="AN1051">
        <v>1.0000000103968401</v>
      </c>
    </row>
    <row r="1052" spans="1:40" x14ac:dyDescent="0.25">
      <c r="A1052" t="str">
        <f>"20190303162520212"</f>
        <v>20190303162520212</v>
      </c>
      <c r="B1052" t="str">
        <f>"1551601520204238"</f>
        <v>1551601520204238</v>
      </c>
      <c r="C1052" t="s">
        <v>40</v>
      </c>
      <c r="D1052">
        <v>5.1229529999999999</v>
      </c>
      <c r="E1052">
        <v>0.50337790000000004</v>
      </c>
      <c r="F1052" t="s">
        <v>41</v>
      </c>
      <c r="G1052">
        <v>-191.73339999999999</v>
      </c>
      <c r="H1052" s="1">
        <v>-6.7066009999999904E-7</v>
      </c>
      <c r="I1052">
        <v>310.03469999999999</v>
      </c>
      <c r="J1052">
        <v>-191.42150000000001</v>
      </c>
      <c r="K1052">
        <v>1.1208659999999999</v>
      </c>
      <c r="L1052">
        <v>343.78489999999999</v>
      </c>
      <c r="M1052">
        <v>1.613889E-4</v>
      </c>
      <c r="N1052">
        <v>-1.023572E-2</v>
      </c>
      <c r="O1052">
        <v>-0.99994769999999999</v>
      </c>
      <c r="P1052">
        <v>-4.9824170000000003E-3</v>
      </c>
      <c r="Q1052">
        <v>0.1402678</v>
      </c>
      <c r="R1052">
        <v>-0.99010129999999996</v>
      </c>
      <c r="S1052">
        <v>-2.7801510000000001E-2</v>
      </c>
      <c r="T1052">
        <v>-0.10006760000000001</v>
      </c>
      <c r="U1052">
        <v>-3.0468440000000001</v>
      </c>
      <c r="V1052">
        <v>4.9999290000000002E-3</v>
      </c>
      <c r="W1052">
        <v>0.150399799999999</v>
      </c>
      <c r="X1052">
        <v>0.98861259999999995</v>
      </c>
      <c r="Y1052">
        <v>9.2813270000000007E-3</v>
      </c>
      <c r="Z1052">
        <v>2.2592009999999999E-2</v>
      </c>
      <c r="AA1052">
        <v>0.99970170000000003</v>
      </c>
      <c r="AB1052">
        <v>33</v>
      </c>
      <c r="AC1052">
        <v>-0.31189999999998003</v>
      </c>
      <c r="AD1052">
        <v>-1.12086667066009</v>
      </c>
      <c r="AE1052">
        <v>-33.7502</v>
      </c>
      <c r="AF1052">
        <v>0.31699758627285302</v>
      </c>
      <c r="AG1052">
        <v>-1.12086667066009</v>
      </c>
      <c r="AH1052">
        <v>33.712968729796998</v>
      </c>
      <c r="AI1052">
        <v>91.904146952482904</v>
      </c>
      <c r="AJ1052">
        <v>89.461272938899597</v>
      </c>
      <c r="AK1052">
        <v>33.733085986007403</v>
      </c>
      <c r="AL1052">
        <v>81.349903621300101</v>
      </c>
      <c r="AM1052">
        <v>89.710227861683506</v>
      </c>
      <c r="AN1052">
        <v>0.99999998600440199</v>
      </c>
    </row>
    <row r="1053" spans="1:40" x14ac:dyDescent="0.25">
      <c r="A1053" t="str">
        <f>"20190303162520233"</f>
        <v>20190303162520233</v>
      </c>
      <c r="B1053" t="str">
        <f>"1551601520223758"</f>
        <v>1551601520223758</v>
      </c>
      <c r="C1053" t="s">
        <v>40</v>
      </c>
      <c r="D1053">
        <v>5.1370310000000003</v>
      </c>
      <c r="E1053">
        <v>0.4976276</v>
      </c>
      <c r="F1053" t="s">
        <v>41</v>
      </c>
      <c r="G1053">
        <v>-191.7045</v>
      </c>
      <c r="H1053" s="1">
        <v>-2.1474879999999999E-6</v>
      </c>
      <c r="I1053">
        <v>313.17520000000002</v>
      </c>
      <c r="J1053">
        <v>-191.42009999999999</v>
      </c>
      <c r="K1053">
        <v>1.1212470000000001</v>
      </c>
      <c r="L1053">
        <v>343.4624</v>
      </c>
      <c r="M1053">
        <v>1.840373E-3</v>
      </c>
      <c r="N1053">
        <v>-1.020424E-2</v>
      </c>
      <c r="O1053">
        <v>-0.99994640000000001</v>
      </c>
      <c r="P1053">
        <v>-6.7025909999999999E-3</v>
      </c>
      <c r="Q1053">
        <v>0.1369052</v>
      </c>
      <c r="R1053">
        <v>-0.99056169999999999</v>
      </c>
      <c r="S1053">
        <v>-2.8152469999999999E-2</v>
      </c>
      <c r="T1053">
        <v>-0.1115261</v>
      </c>
      <c r="U1053">
        <v>-3.0456539999999999</v>
      </c>
      <c r="V1053">
        <v>8.2488359999999903E-3</v>
      </c>
      <c r="W1053">
        <v>0.14702170000000001</v>
      </c>
      <c r="X1053">
        <v>0.98909879999999994</v>
      </c>
      <c r="Y1053">
        <v>1.10776E-2</v>
      </c>
      <c r="Z1053">
        <v>2.6392200000000001E-2</v>
      </c>
      <c r="AA1053">
        <v>0.99959030000000004</v>
      </c>
      <c r="AB1053">
        <v>33</v>
      </c>
      <c r="AC1053">
        <v>-0.28440000000000498</v>
      </c>
      <c r="AD1053">
        <v>-1.121249147488</v>
      </c>
      <c r="AE1053">
        <v>-30.287199999999899</v>
      </c>
      <c r="AF1053">
        <v>0.33967666356406201</v>
      </c>
      <c r="AG1053">
        <v>-1.121249147488</v>
      </c>
      <c r="AH1053">
        <v>30.2451772492457</v>
      </c>
      <c r="AI1053">
        <v>92.122963001860001</v>
      </c>
      <c r="AJ1053">
        <v>89.356551265267299</v>
      </c>
      <c r="AK1053">
        <v>30.267859632369198</v>
      </c>
      <c r="AL1053">
        <v>81.545630462691804</v>
      </c>
      <c r="AM1053">
        <v>89.522178641869203</v>
      </c>
      <c r="AN1053">
        <v>0.99999992986384001</v>
      </c>
    </row>
    <row r="1054" spans="1:40" x14ac:dyDescent="0.25">
      <c r="A1054" t="str">
        <f>"20190303162520255"</f>
        <v>20190303162520255</v>
      </c>
      <c r="B1054" t="str">
        <f>"1551601520244254"</f>
        <v>1551601520244254</v>
      </c>
      <c r="C1054" t="s">
        <v>40</v>
      </c>
      <c r="D1054">
        <v>5.2008729999999996</v>
      </c>
      <c r="E1054">
        <v>0.49713639999999998</v>
      </c>
      <c r="F1054" t="s">
        <v>41</v>
      </c>
      <c r="G1054">
        <v>-191.28309999999999</v>
      </c>
      <c r="H1054" s="1">
        <v>-1.682807E-6</v>
      </c>
      <c r="I1054">
        <v>302.71600000000001</v>
      </c>
      <c r="J1054">
        <v>-191.41800000000001</v>
      </c>
      <c r="K1054">
        <v>1.1215539999999999</v>
      </c>
      <c r="L1054">
        <v>343.13510000000002</v>
      </c>
      <c r="M1054">
        <v>3.7078670000000001E-3</v>
      </c>
      <c r="N1054">
        <v>-1.0174559999999999E-2</v>
      </c>
      <c r="O1054">
        <v>-0.99994130000000003</v>
      </c>
      <c r="P1054">
        <v>-4.9794710000000001E-3</v>
      </c>
      <c r="Q1054">
        <v>0.136275799999999</v>
      </c>
      <c r="R1054">
        <v>-0.99065840000000005</v>
      </c>
      <c r="S1054">
        <v>1.0223390000000001E-2</v>
      </c>
      <c r="T1054">
        <v>-8.3660719999999994E-2</v>
      </c>
      <c r="U1054">
        <v>-3.0402529999999999</v>
      </c>
      <c r="V1054">
        <v>8.2726039999999994E-3</v>
      </c>
      <c r="W1054">
        <v>0.14637039999999901</v>
      </c>
      <c r="X1054">
        <v>0.9891953</v>
      </c>
      <c r="Y1054">
        <v>3.4584219999999997E-4</v>
      </c>
      <c r="Z1054">
        <v>1.7334840000000001E-2</v>
      </c>
      <c r="AA1054">
        <v>0.99984969999999995</v>
      </c>
      <c r="AB1054">
        <v>33</v>
      </c>
      <c r="AC1054">
        <v>0.13490000000001601</v>
      </c>
      <c r="AD1054">
        <v>-1.1215556828069999</v>
      </c>
      <c r="AE1054">
        <v>-40.4191</v>
      </c>
      <c r="AF1054">
        <v>1.49658189377094E-2</v>
      </c>
      <c r="AG1054">
        <v>-1.1215556828069999</v>
      </c>
      <c r="AH1054">
        <v>40.388225352231302</v>
      </c>
      <c r="AI1054">
        <v>91.590658958189195</v>
      </c>
      <c r="AJ1054">
        <v>89.978769103733498</v>
      </c>
      <c r="AK1054">
        <v>40.403797571861901</v>
      </c>
      <c r="AL1054">
        <v>81.583356227122906</v>
      </c>
      <c r="AM1054">
        <v>89.520848668404497</v>
      </c>
      <c r="AN1054">
        <v>1.00000003575759</v>
      </c>
    </row>
    <row r="1055" spans="1:40" x14ac:dyDescent="0.25">
      <c r="A1055" t="str">
        <f>"20190303162520281"</f>
        <v>20190303162520281</v>
      </c>
      <c r="B1055" t="str">
        <f>"1551601520273534"</f>
        <v>1551601520273534</v>
      </c>
      <c r="C1055" t="s">
        <v>40</v>
      </c>
      <c r="D1055">
        <v>5.0903609999999997</v>
      </c>
      <c r="E1055">
        <v>0.49607099999999998</v>
      </c>
      <c r="F1055" t="s">
        <v>41</v>
      </c>
      <c r="G1055">
        <v>-191.2011</v>
      </c>
      <c r="H1055" s="1">
        <v>-5.9413909999999896E-7</v>
      </c>
      <c r="I1055">
        <v>300.22910000000002</v>
      </c>
      <c r="J1055">
        <v>-191.41460000000001</v>
      </c>
      <c r="K1055">
        <v>1.1217809999999999</v>
      </c>
      <c r="L1055">
        <v>342.76249999999999</v>
      </c>
      <c r="M1055">
        <v>5.9371379999999998E-3</v>
      </c>
      <c r="N1055">
        <v>-1.014411E-2</v>
      </c>
      <c r="O1055">
        <v>-0.99993109999999996</v>
      </c>
      <c r="P1055">
        <v>-8.8924679999999995E-4</v>
      </c>
      <c r="Q1055">
        <v>0.13747970000000001</v>
      </c>
      <c r="R1055">
        <v>-0.99050439999999995</v>
      </c>
      <c r="S1055">
        <v>1.53656E-2</v>
      </c>
      <c r="T1055">
        <v>-7.9446080000000002E-2</v>
      </c>
      <c r="U1055">
        <v>-3.0392760000000001</v>
      </c>
      <c r="V1055">
        <v>6.3101800000000003E-3</v>
      </c>
      <c r="W1055">
        <v>0.14754100000000001</v>
      </c>
      <c r="X1055">
        <v>0.98903580000000002</v>
      </c>
      <c r="Y1055">
        <v>8.8232649999999996E-4</v>
      </c>
      <c r="Z1055">
        <v>1.5988169999999999E-2</v>
      </c>
      <c r="AA1055">
        <v>0.99987179999999998</v>
      </c>
      <c r="AB1055">
        <v>33</v>
      </c>
      <c r="AC1055">
        <v>0.21350000000000999</v>
      </c>
      <c r="AD1055">
        <v>-1.1217815941390901</v>
      </c>
      <c r="AE1055">
        <v>-42.533399999999901</v>
      </c>
      <c r="AF1055">
        <v>3.9016238659970802E-2</v>
      </c>
      <c r="AG1055">
        <v>-1.1217815941390901</v>
      </c>
      <c r="AH1055">
        <v>42.504352849457597</v>
      </c>
      <c r="AI1055">
        <v>91.511807676876202</v>
      </c>
      <c r="AJ1055">
        <v>89.947406205953996</v>
      </c>
      <c r="AK1055">
        <v>42.519171292053898</v>
      </c>
      <c r="AL1055">
        <v>81.515549218076103</v>
      </c>
      <c r="AM1055">
        <v>89.634450263206304</v>
      </c>
      <c r="AN1055">
        <v>0.99999998936713597</v>
      </c>
    </row>
    <row r="1056" spans="1:40" x14ac:dyDescent="0.25">
      <c r="A1056" t="str">
        <f>"20190303162520304"</f>
        <v>20190303162520304</v>
      </c>
      <c r="B1056" t="str">
        <f>"1551601520294030"</f>
        <v>1551601520294030</v>
      </c>
      <c r="C1056" t="s">
        <v>40</v>
      </c>
      <c r="D1056">
        <v>5.0875440000000003</v>
      </c>
      <c r="E1056">
        <v>0.49586239999999998</v>
      </c>
      <c r="F1056" t="s">
        <v>46</v>
      </c>
      <c r="G1056">
        <v>-190.81809999999999</v>
      </c>
      <c r="H1056" s="1">
        <v>3.4163050000000001E-6</v>
      </c>
      <c r="I1056">
        <v>289.22809999999998</v>
      </c>
      <c r="J1056">
        <v>-191.41059999999999</v>
      </c>
      <c r="K1056">
        <v>1.121893</v>
      </c>
      <c r="L1056">
        <v>342.4144</v>
      </c>
      <c r="M1056">
        <v>8.0328969999999902E-3</v>
      </c>
      <c r="N1056">
        <v>-1.0119690000000001E-2</v>
      </c>
      <c r="O1056">
        <v>-0.99991660000000004</v>
      </c>
      <c r="P1056">
        <v>2.1821380000000001E-3</v>
      </c>
      <c r="Q1056">
        <v>0.13876830000000001</v>
      </c>
      <c r="R1056">
        <v>-0.9903227</v>
      </c>
      <c r="S1056">
        <v>3.3843989999999997E-2</v>
      </c>
      <c r="T1056">
        <v>-6.3652749999999994E-2</v>
      </c>
      <c r="U1056">
        <v>-3.0376889999999999</v>
      </c>
      <c r="V1056">
        <v>5.2708149999999999E-3</v>
      </c>
      <c r="W1056">
        <v>0.1488015</v>
      </c>
      <c r="X1056">
        <v>0.98885299999999998</v>
      </c>
      <c r="Y1056">
        <v>-3.1063610000000002E-3</v>
      </c>
      <c r="Z1056">
        <v>1.082994E-2</v>
      </c>
      <c r="AA1056">
        <v>0.99993650000000001</v>
      </c>
      <c r="AB1056">
        <v>33</v>
      </c>
      <c r="AC1056">
        <v>0.59250000000000103</v>
      </c>
      <c r="AD1056">
        <v>-1.121889583695</v>
      </c>
      <c r="AE1056">
        <v>-53.186300000000003</v>
      </c>
      <c r="AF1056">
        <v>-0.16514549352732699</v>
      </c>
      <c r="AG1056">
        <v>-1.121889583695</v>
      </c>
      <c r="AH1056">
        <v>53.165690979008403</v>
      </c>
      <c r="AI1056">
        <v>91.208856477441799</v>
      </c>
      <c r="AJ1056">
        <v>90.177973974909094</v>
      </c>
      <c r="AK1056">
        <v>53.177783016476397</v>
      </c>
      <c r="AL1056">
        <v>81.442521546532404</v>
      </c>
      <c r="AM1056">
        <v>89.6946031471727</v>
      </c>
      <c r="AN1056">
        <v>0.99999996175100603</v>
      </c>
    </row>
    <row r="1057" spans="1:40" x14ac:dyDescent="0.25">
      <c r="A1057" t="str">
        <f>"20190303162520326"</f>
        <v>20190303162520326</v>
      </c>
      <c r="B1057" t="str">
        <f>"1551601520313550"</f>
        <v>1551601520313550</v>
      </c>
      <c r="C1057" t="s">
        <v>40</v>
      </c>
      <c r="D1057">
        <v>5.1459400000000004</v>
      </c>
      <c r="E1057">
        <v>0.49565490000000001</v>
      </c>
      <c r="F1057" t="s">
        <v>46</v>
      </c>
      <c r="G1057">
        <v>-190.47730000000001</v>
      </c>
      <c r="H1057" s="1">
        <v>4.7428120000000001E-6</v>
      </c>
      <c r="I1057">
        <v>278.3467</v>
      </c>
      <c r="J1057">
        <v>-191.40610000000001</v>
      </c>
      <c r="K1057">
        <v>1.121939</v>
      </c>
      <c r="L1057">
        <v>342.08030000000002</v>
      </c>
      <c r="M1057">
        <v>1.001226E-2</v>
      </c>
      <c r="N1057">
        <v>-1.010029E-2</v>
      </c>
      <c r="O1057">
        <v>-0.99989919999999999</v>
      </c>
      <c r="P1057">
        <v>5.1313080000000002E-3</v>
      </c>
      <c r="Q1057">
        <v>0.13898089999999999</v>
      </c>
      <c r="R1057">
        <v>-0.99028210000000005</v>
      </c>
      <c r="S1057">
        <v>4.423523E-2</v>
      </c>
      <c r="T1057">
        <v>-5.3174260000000001E-2</v>
      </c>
      <c r="U1057">
        <v>-3.0366209999999998</v>
      </c>
      <c r="V1057">
        <v>4.2606529999999997E-3</v>
      </c>
      <c r="W1057">
        <v>0.14899200000000001</v>
      </c>
      <c r="X1057">
        <v>0.98882919999999996</v>
      </c>
      <c r="Y1057">
        <v>-4.5522380000000001E-3</v>
      </c>
      <c r="Z1057">
        <v>7.4070830000000001E-3</v>
      </c>
      <c r="AA1057">
        <v>0.99996220000000002</v>
      </c>
      <c r="AB1057">
        <v>33</v>
      </c>
      <c r="AC1057">
        <v>0.92879999999999496</v>
      </c>
      <c r="AD1057">
        <v>-1.121934257188</v>
      </c>
      <c r="AE1057">
        <v>-63.733600000000003</v>
      </c>
      <c r="AF1057">
        <v>-0.29051372275729698</v>
      </c>
      <c r="AG1057">
        <v>-1.121934257188</v>
      </c>
      <c r="AH1057">
        <v>63.7199634076634</v>
      </c>
      <c r="AI1057">
        <v>91.008707239001893</v>
      </c>
      <c r="AJ1057">
        <v>90.261222605660393</v>
      </c>
      <c r="AK1057">
        <v>63.730501891751402</v>
      </c>
      <c r="AL1057">
        <v>81.431483798247996</v>
      </c>
      <c r="AM1057">
        <v>89.753126299106995</v>
      </c>
      <c r="AN1057">
        <v>0.99999997800031204</v>
      </c>
    </row>
    <row r="1058" spans="1:40" x14ac:dyDescent="0.25">
      <c r="A1058" t="str">
        <f>"20190303162520345"</f>
        <v>20190303162520345</v>
      </c>
      <c r="B1058" t="str">
        <f>"1551601520334048"</f>
        <v>1551601520334048</v>
      </c>
      <c r="C1058" t="s">
        <v>40</v>
      </c>
      <c r="D1058">
        <v>5.1468290000000003</v>
      </c>
      <c r="E1058">
        <v>0.49611719999999998</v>
      </c>
      <c r="F1058" t="s">
        <v>46</v>
      </c>
      <c r="G1058">
        <v>-190.16990000000001</v>
      </c>
      <c r="H1058" s="1">
        <v>6.2869760000000003E-6</v>
      </c>
      <c r="I1058">
        <v>274.1447</v>
      </c>
      <c r="J1058">
        <v>-191.40180000000001</v>
      </c>
      <c r="K1058">
        <v>1.1219589999999999</v>
      </c>
      <c r="L1058">
        <v>341.79239999999999</v>
      </c>
      <c r="M1058">
        <v>1.1668690000000001E-2</v>
      </c>
      <c r="N1058">
        <v>-1.0086629999999999E-2</v>
      </c>
      <c r="O1058">
        <v>-0.99988129999999997</v>
      </c>
      <c r="P1058">
        <v>8.560827E-3</v>
      </c>
      <c r="Q1058">
        <v>0.13783399999999901</v>
      </c>
      <c r="R1058">
        <v>-0.99041860000000004</v>
      </c>
      <c r="S1058">
        <v>5.5252080000000002E-2</v>
      </c>
      <c r="T1058">
        <v>-5.014122E-2</v>
      </c>
      <c r="U1058">
        <v>-3.0361630000000002</v>
      </c>
      <c r="V1058">
        <v>2.4676120000000001E-3</v>
      </c>
      <c r="W1058">
        <v>0.14782729999999999</v>
      </c>
      <c r="X1058">
        <v>0.9890101</v>
      </c>
      <c r="Y1058">
        <v>-6.5251419999999899E-3</v>
      </c>
      <c r="Z1058">
        <v>6.4241589999999996E-3</v>
      </c>
      <c r="AA1058">
        <v>0.99995809999999996</v>
      </c>
      <c r="AB1058">
        <v>33</v>
      </c>
      <c r="AC1058">
        <v>1.23189999999999</v>
      </c>
      <c r="AD1058">
        <v>-1.1219527130239999</v>
      </c>
      <c r="AE1058">
        <v>-67.647699999999901</v>
      </c>
      <c r="AF1058">
        <v>-0.44229450431846001</v>
      </c>
      <c r="AG1058">
        <v>-1.1219527130239999</v>
      </c>
      <c r="AH1058">
        <v>67.638870117127198</v>
      </c>
      <c r="AI1058">
        <v>90.950280312840107</v>
      </c>
      <c r="AJ1058">
        <v>90.374655093562893</v>
      </c>
      <c r="AK1058">
        <v>67.649620494430096</v>
      </c>
      <c r="AL1058">
        <v>81.498963562763507</v>
      </c>
      <c r="AM1058">
        <v>89.857045484472906</v>
      </c>
      <c r="AN1058">
        <v>0.99999998881814101</v>
      </c>
    </row>
    <row r="1059" spans="1:40" x14ac:dyDescent="0.25">
      <c r="A1059" t="str">
        <f>"20190303162520369"</f>
        <v>20190303162520369</v>
      </c>
      <c r="B1059" t="str">
        <f>"1551601520363326"</f>
        <v>1551601520363326</v>
      </c>
      <c r="C1059" t="s">
        <v>40</v>
      </c>
      <c r="D1059">
        <v>4.9643550000000003</v>
      </c>
      <c r="E1059">
        <v>0.5196404</v>
      </c>
      <c r="F1059" t="s">
        <v>46</v>
      </c>
      <c r="G1059">
        <v>-190.07499999999999</v>
      </c>
      <c r="H1059" s="1">
        <v>5.3435090000000002E-6</v>
      </c>
      <c r="I1059">
        <v>276.89980000000003</v>
      </c>
      <c r="J1059">
        <v>-191.39590000000001</v>
      </c>
      <c r="K1059">
        <v>1.121974</v>
      </c>
      <c r="L1059">
        <v>341.44209999999998</v>
      </c>
      <c r="M1059">
        <v>1.361126E-2</v>
      </c>
      <c r="N1059">
        <v>-1.007335E-2</v>
      </c>
      <c r="O1059">
        <v>-0.99985659999999998</v>
      </c>
      <c r="P1059">
        <v>1.297354E-2</v>
      </c>
      <c r="Q1059">
        <v>0.13640729999999901</v>
      </c>
      <c r="R1059">
        <v>-0.99056789999999995</v>
      </c>
      <c r="S1059">
        <v>6.2072750000000003E-2</v>
      </c>
      <c r="T1059">
        <v>-5.2487609999999997E-2</v>
      </c>
      <c r="U1059">
        <v>-3.035828</v>
      </c>
      <c r="V1059" s="1">
        <v>-2.024946E-5</v>
      </c>
      <c r="W1059">
        <v>0.1463807</v>
      </c>
      <c r="X1059">
        <v>0.98922829999999995</v>
      </c>
      <c r="Y1059">
        <v>-6.8299819999999897E-3</v>
      </c>
      <c r="Z1059">
        <v>7.2110759999999899E-3</v>
      </c>
      <c r="AA1059">
        <v>0.99995060000000002</v>
      </c>
      <c r="AB1059">
        <v>33</v>
      </c>
      <c r="AC1059">
        <v>1.3209000000000199</v>
      </c>
      <c r="AD1059">
        <v>-1.1219686564910001</v>
      </c>
      <c r="AE1059">
        <v>-64.542299999999898</v>
      </c>
      <c r="AF1059">
        <v>-0.44209746412887702</v>
      </c>
      <c r="AG1059">
        <v>-1.1219686564910001</v>
      </c>
      <c r="AH1059">
        <v>64.534807110936995</v>
      </c>
      <c r="AI1059">
        <v>90.995990972635994</v>
      </c>
      <c r="AJ1059">
        <v>90.392500167348899</v>
      </c>
      <c r="AK1059">
        <v>64.546073410237597</v>
      </c>
      <c r="AL1059">
        <v>81.582759094356007</v>
      </c>
      <c r="AM1059">
        <v>90.001172842098498</v>
      </c>
      <c r="AN1059">
        <v>0.99999996963171001</v>
      </c>
    </row>
    <row r="1060" spans="1:40" x14ac:dyDescent="0.25">
      <c r="A1060" t="str">
        <f>"20190303162520389"</f>
        <v>20190303162520389</v>
      </c>
      <c r="B1060" t="str">
        <f>"1551601520383823"</f>
        <v>1551601520383823</v>
      </c>
      <c r="C1060" t="s">
        <v>40</v>
      </c>
      <c r="D1060">
        <v>4.9295239999999998</v>
      </c>
      <c r="E1060">
        <v>0.52110869999999998</v>
      </c>
      <c r="F1060" t="s">
        <v>41</v>
      </c>
      <c r="G1060">
        <v>-194.31960000000001</v>
      </c>
      <c r="H1060" s="1">
        <v>-2.177962E-6</v>
      </c>
      <c r="I1060">
        <v>261.98689999999999</v>
      </c>
      <c r="J1060">
        <v>-191.3903</v>
      </c>
      <c r="K1060">
        <v>1.121988</v>
      </c>
      <c r="L1060">
        <v>341.13889999999998</v>
      </c>
      <c r="M1060">
        <v>1.5236009999999999E-2</v>
      </c>
      <c r="N1060">
        <v>-1.0064299999999899E-2</v>
      </c>
      <c r="O1060">
        <v>-0.99983330000000004</v>
      </c>
      <c r="P1060">
        <v>1.5052670000000001E-2</v>
      </c>
      <c r="Q1060">
        <v>0.13670650000000001</v>
      </c>
      <c r="R1060">
        <v>-0.99049739999999997</v>
      </c>
      <c r="S1060">
        <v>-0.11170960000000001</v>
      </c>
      <c r="T1060">
        <v>-4.2869810000000001E-2</v>
      </c>
      <c r="U1060">
        <v>-3.0359189999999998</v>
      </c>
      <c r="V1060">
        <v>-4.960349E-4</v>
      </c>
      <c r="W1060">
        <v>0.14666850000000001</v>
      </c>
      <c r="X1060">
        <v>0.9891856</v>
      </c>
      <c r="Y1060">
        <v>5.1986659999999997E-2</v>
      </c>
      <c r="Z1060">
        <v>4.035851E-3</v>
      </c>
      <c r="AA1060">
        <v>0.99863959999999996</v>
      </c>
      <c r="AB1060">
        <v>34</v>
      </c>
      <c r="AC1060">
        <v>-2.9293000000000098</v>
      </c>
      <c r="AD1060">
        <v>-1.1219901779620001</v>
      </c>
      <c r="AE1060">
        <v>-79.151999999999902</v>
      </c>
      <c r="AF1060">
        <v>4.1341521022034202</v>
      </c>
      <c r="AG1060">
        <v>-1.1219901779620001</v>
      </c>
      <c r="AH1060">
        <v>79.0823097953797</v>
      </c>
      <c r="AI1060">
        <v>90.811728258364795</v>
      </c>
      <c r="AJ1060">
        <v>87.007497054675</v>
      </c>
      <c r="AK1060">
        <v>79.198243655626598</v>
      </c>
      <c r="AL1060">
        <v>81.566089907639295</v>
      </c>
      <c r="AM1060">
        <v>90.028731416913999</v>
      </c>
      <c r="AN1060">
        <v>1.00000002309511</v>
      </c>
    </row>
    <row r="1061" spans="1:40" x14ac:dyDescent="0.25">
      <c r="A1061" t="str">
        <f>"20190303162520411"</f>
        <v>20190303162520411</v>
      </c>
      <c r="B1061" t="str">
        <f>"1551601520403342"</f>
        <v>1551601520403342</v>
      </c>
      <c r="C1061" t="s">
        <v>40</v>
      </c>
      <c r="D1061">
        <v>4.9607839999999896</v>
      </c>
      <c r="E1061">
        <v>0.52174339999999997</v>
      </c>
      <c r="F1061" t="s">
        <v>41</v>
      </c>
      <c r="G1061">
        <v>-194.42400000000001</v>
      </c>
      <c r="H1061" s="1">
        <v>-2.0265570000000001E-6</v>
      </c>
      <c r="I1061">
        <v>261.56920000000002</v>
      </c>
      <c r="J1061">
        <v>-191.3837</v>
      </c>
      <c r="K1061">
        <v>1.1220129999999999</v>
      </c>
      <c r="L1061">
        <v>340.81130000000002</v>
      </c>
      <c r="M1061">
        <v>1.694996E-2</v>
      </c>
      <c r="N1061">
        <v>-1.0056610000000001E-2</v>
      </c>
      <c r="O1061">
        <v>-0.99980570000000002</v>
      </c>
      <c r="P1061">
        <v>1.500657E-2</v>
      </c>
      <c r="Q1061">
        <v>0.13709959999999999</v>
      </c>
      <c r="R1061">
        <v>-0.99044339999999997</v>
      </c>
      <c r="S1061">
        <v>-0.11576839999999999</v>
      </c>
      <c r="T1061">
        <v>-4.2816399999999998E-2</v>
      </c>
      <c r="U1061">
        <v>-3.0364689999999999</v>
      </c>
      <c r="V1061">
        <v>1.2418799999999999E-3</v>
      </c>
      <c r="W1061">
        <v>0.14705989999999999</v>
      </c>
      <c r="X1061">
        <v>0.98912679999999997</v>
      </c>
      <c r="Y1061">
        <v>5.5024370000000003E-2</v>
      </c>
      <c r="Z1061">
        <v>4.0209199999999999E-3</v>
      </c>
      <c r="AA1061">
        <v>0.9984769</v>
      </c>
      <c r="AB1061">
        <v>34</v>
      </c>
      <c r="AC1061">
        <v>-3.0402999999999998</v>
      </c>
      <c r="AD1061">
        <v>-1.1220150265569999</v>
      </c>
      <c r="AE1061">
        <v>-79.242099999999994</v>
      </c>
      <c r="AF1061">
        <v>4.38220433654784</v>
      </c>
      <c r="AG1061">
        <v>-1.1220150265569999</v>
      </c>
      <c r="AH1061">
        <v>79.163331423625905</v>
      </c>
      <c r="AI1061">
        <v>90.810781550580998</v>
      </c>
      <c r="AJ1061">
        <v>86.831540403052998</v>
      </c>
      <c r="AK1061">
        <v>79.292469217788295</v>
      </c>
      <c r="AL1061">
        <v>81.543418236865605</v>
      </c>
      <c r="AM1061">
        <v>89.928063373398203</v>
      </c>
      <c r="AN1061">
        <v>0.99999999146609198</v>
      </c>
    </row>
    <row r="1062" spans="1:40" x14ac:dyDescent="0.25">
      <c r="A1062" t="str">
        <f>"20190303162520435"</f>
        <v>20190303162520435</v>
      </c>
      <c r="B1062" t="str">
        <f>"1551601520423839"</f>
        <v>1551601520423839</v>
      </c>
      <c r="C1062" t="s">
        <v>40</v>
      </c>
      <c r="D1062">
        <v>4.9435019999999996</v>
      </c>
      <c r="E1062">
        <v>0.52252180000000004</v>
      </c>
      <c r="F1062" t="s">
        <v>41</v>
      </c>
      <c r="G1062">
        <v>-194.83879999999999</v>
      </c>
      <c r="H1062" s="1">
        <v>-2.8371560000000002E-6</v>
      </c>
      <c r="I1062">
        <v>253.20140000000001</v>
      </c>
      <c r="J1062">
        <v>-191.376</v>
      </c>
      <c r="K1062">
        <v>1.1220289999999999</v>
      </c>
      <c r="L1062">
        <v>340.45519999999999</v>
      </c>
      <c r="M1062">
        <v>1.8783060000000001E-2</v>
      </c>
      <c r="N1062">
        <v>-1.005061E-2</v>
      </c>
      <c r="O1062">
        <v>-0.99977309999999997</v>
      </c>
      <c r="P1062">
        <v>1.321082E-2</v>
      </c>
      <c r="Q1062">
        <v>0.13756360000000001</v>
      </c>
      <c r="R1062">
        <v>-0.99040499999999998</v>
      </c>
      <c r="S1062">
        <v>-0.1197357</v>
      </c>
      <c r="T1062">
        <v>-3.8884040000000002E-2</v>
      </c>
      <c r="U1062">
        <v>-3.0361630000000002</v>
      </c>
      <c r="V1062">
        <v>4.8468499999999998E-3</v>
      </c>
      <c r="W1062">
        <v>0.14753060000000001</v>
      </c>
      <c r="X1062">
        <v>0.98904559999999997</v>
      </c>
      <c r="Y1062">
        <v>5.8161539999999998E-2</v>
      </c>
      <c r="Z1062">
        <v>2.7325650000000002E-3</v>
      </c>
      <c r="AA1062">
        <v>0.99830350000000001</v>
      </c>
      <c r="AB1062">
        <v>34</v>
      </c>
      <c r="AC1062">
        <v>-3.4628000000000099</v>
      </c>
      <c r="AD1062">
        <v>-1.1220318371560001</v>
      </c>
      <c r="AE1062">
        <v>-87.253799999999899</v>
      </c>
      <c r="AF1062">
        <v>5.1003230419443</v>
      </c>
      <c r="AG1062">
        <v>-1.1220318371560001</v>
      </c>
      <c r="AH1062">
        <v>87.158969794852098</v>
      </c>
      <c r="AI1062">
        <v>90.736291031643404</v>
      </c>
      <c r="AJ1062">
        <v>86.651014673054704</v>
      </c>
      <c r="AK1062">
        <v>87.315280829163697</v>
      </c>
      <c r="AL1062">
        <v>81.516151644603397</v>
      </c>
      <c r="AM1062">
        <v>89.7192224241997</v>
      </c>
      <c r="AN1062">
        <v>0.99999998438532101</v>
      </c>
    </row>
    <row r="1063" spans="1:40" x14ac:dyDescent="0.25">
      <c r="A1063" t="str">
        <f>"20190303162520457"</f>
        <v>20190303162520457</v>
      </c>
      <c r="B1063" t="str">
        <f>"1551601520445310"</f>
        <v>1551601520445310</v>
      </c>
      <c r="C1063" t="s">
        <v>40</v>
      </c>
      <c r="D1063">
        <v>4.9386049999999999</v>
      </c>
      <c r="E1063">
        <v>0.5225514</v>
      </c>
      <c r="F1063" t="s">
        <v>41</v>
      </c>
      <c r="G1063">
        <v>-195.2818</v>
      </c>
      <c r="H1063" s="1">
        <v>-1.53389E-6</v>
      </c>
      <c r="I1063">
        <v>249.8887</v>
      </c>
      <c r="J1063">
        <v>-191.36799999999999</v>
      </c>
      <c r="K1063">
        <v>1.1220509999999999</v>
      </c>
      <c r="L1063">
        <v>340.11689999999999</v>
      </c>
      <c r="M1063">
        <v>2.0510179999999999E-2</v>
      </c>
      <c r="N1063">
        <v>-1.0046889999999999E-2</v>
      </c>
      <c r="O1063">
        <v>-0.99973909999999999</v>
      </c>
      <c r="P1063">
        <v>1.118278E-2</v>
      </c>
      <c r="Q1063">
        <v>0.13756989999999999</v>
      </c>
      <c r="R1063">
        <v>-0.99042889999999995</v>
      </c>
      <c r="S1063">
        <v>-0.13093569999999999</v>
      </c>
      <c r="T1063">
        <v>-3.761399E-2</v>
      </c>
      <c r="U1063">
        <v>-3.0360719999999999</v>
      </c>
      <c r="V1063">
        <v>8.5826679999999999E-3</v>
      </c>
      <c r="W1063">
        <v>0.14754719999999999</v>
      </c>
      <c r="X1063">
        <v>0.98901779999999995</v>
      </c>
      <c r="Y1063">
        <v>6.3562460000000001E-2</v>
      </c>
      <c r="Z1063">
        <v>2.3147150000000002E-3</v>
      </c>
      <c r="AA1063">
        <v>0.99797519999999995</v>
      </c>
      <c r="AB1063">
        <v>34</v>
      </c>
      <c r="AC1063">
        <v>-3.9138000000000002</v>
      </c>
      <c r="AD1063">
        <v>-1.12205253389</v>
      </c>
      <c r="AE1063">
        <v>-90.228200000000001</v>
      </c>
      <c r="AF1063">
        <v>5.7627772477660599</v>
      </c>
      <c r="AG1063">
        <v>-1.12205253389</v>
      </c>
      <c r="AH1063">
        <v>90.115031394219002</v>
      </c>
      <c r="AI1063">
        <v>90.711918081430497</v>
      </c>
      <c r="AJ1063">
        <v>86.340967566689898</v>
      </c>
      <c r="AK1063">
        <v>90.306076687437098</v>
      </c>
      <c r="AL1063">
        <v>81.515190345675293</v>
      </c>
      <c r="AM1063">
        <v>89.502801355242894</v>
      </c>
      <c r="AN1063">
        <v>1.0000000235673301</v>
      </c>
    </row>
    <row r="1064" spans="1:40" x14ac:dyDescent="0.25">
      <c r="A1064" t="str">
        <f>"20190303162520483"</f>
        <v>20190303162520483</v>
      </c>
      <c r="B1064" t="str">
        <f>"1551601520473614"</f>
        <v>1551601520473614</v>
      </c>
      <c r="C1064" t="s">
        <v>40</v>
      </c>
      <c r="D1064">
        <v>4.9266139999999998</v>
      </c>
      <c r="E1064">
        <v>0.52260229999999996</v>
      </c>
      <c r="F1064" t="s">
        <v>41</v>
      </c>
      <c r="G1064">
        <v>-195.69810000000001</v>
      </c>
      <c r="H1064" s="1">
        <v>-3.7036430000000001E-6</v>
      </c>
      <c r="I1064">
        <v>244.29859999999999</v>
      </c>
      <c r="J1064">
        <v>-191.35839999999999</v>
      </c>
      <c r="K1064">
        <v>1.122064</v>
      </c>
      <c r="L1064">
        <v>339.74200000000002</v>
      </c>
      <c r="M1064">
        <v>2.2419410000000001E-2</v>
      </c>
      <c r="N1064">
        <v>-1.004471E-2</v>
      </c>
      <c r="O1064">
        <v>-0.99969830000000004</v>
      </c>
      <c r="P1064">
        <v>9.5276130000000007E-3</v>
      </c>
      <c r="Q1064">
        <v>0.13790189999999999</v>
      </c>
      <c r="R1064">
        <v>-0.99040030000000001</v>
      </c>
      <c r="S1064">
        <v>-0.13717650000000001</v>
      </c>
      <c r="T1064">
        <v>-3.5546300000000003E-2</v>
      </c>
      <c r="U1064">
        <v>-3.0354920000000001</v>
      </c>
      <c r="V1064">
        <v>1.2124340000000001E-2</v>
      </c>
      <c r="W1064">
        <v>0.14788950000000001</v>
      </c>
      <c r="X1064">
        <v>0.98892959999999996</v>
      </c>
      <c r="Y1064">
        <v>6.7523699999999895E-2</v>
      </c>
      <c r="Z1064">
        <v>1.635987E-3</v>
      </c>
      <c r="AA1064">
        <v>0.9977163</v>
      </c>
      <c r="AB1064">
        <v>34</v>
      </c>
      <c r="AC1064">
        <v>-4.3397000000000201</v>
      </c>
      <c r="AD1064">
        <v>-1.122067703643</v>
      </c>
      <c r="AE1064">
        <v>-95.443399999999897</v>
      </c>
      <c r="AF1064">
        <v>6.4776081245047399</v>
      </c>
      <c r="AG1064">
        <v>-1.122067703643</v>
      </c>
      <c r="AH1064">
        <v>95.308964120074705</v>
      </c>
      <c r="AI1064">
        <v>90.672956896781997</v>
      </c>
      <c r="AJ1064">
        <v>86.111910990657293</v>
      </c>
      <c r="AK1064">
        <v>95.535423192593299</v>
      </c>
      <c r="AL1064">
        <v>81.495360501060205</v>
      </c>
      <c r="AM1064">
        <v>89.297585278815404</v>
      </c>
      <c r="AN1064">
        <v>1.0000000287934201</v>
      </c>
    </row>
    <row r="1065" spans="1:40" x14ac:dyDescent="0.25">
      <c r="A1065" t="str">
        <f>"20190303162520524"</f>
        <v>20190303162520524</v>
      </c>
      <c r="B1065" t="str">
        <f>"1551601520514607"</f>
        <v>1551601520514607</v>
      </c>
      <c r="C1065" t="s">
        <v>40</v>
      </c>
      <c r="D1065">
        <v>4.9629120000000002</v>
      </c>
      <c r="E1065">
        <v>0.52272649999999998</v>
      </c>
      <c r="F1065" t="s">
        <v>41</v>
      </c>
      <c r="G1065">
        <v>-196.517</v>
      </c>
      <c r="H1065" s="1">
        <v>-2.0039450000000002E-6</v>
      </c>
      <c r="I1065">
        <v>230.1627</v>
      </c>
      <c r="J1065">
        <v>-191.34059999999999</v>
      </c>
      <c r="K1065">
        <v>1.122072</v>
      </c>
      <c r="L1065">
        <v>339.11149999999998</v>
      </c>
      <c r="M1065">
        <v>2.5636969999999999E-2</v>
      </c>
      <c r="N1065">
        <v>-1.004352E-2</v>
      </c>
      <c r="O1065">
        <v>-0.99962119999999999</v>
      </c>
      <c r="P1065">
        <v>8.5340399999999997E-3</v>
      </c>
      <c r="Q1065">
        <v>0.13823150000000001</v>
      </c>
      <c r="R1065">
        <v>-0.9903634</v>
      </c>
      <c r="S1065">
        <v>-0.14286799999999999</v>
      </c>
      <c r="T1065">
        <v>-3.107584E-2</v>
      </c>
      <c r="U1065">
        <v>-3.034821</v>
      </c>
      <c r="V1065">
        <v>1.6300479999999999E-2</v>
      </c>
      <c r="W1065">
        <v>0.1482328</v>
      </c>
      <c r="X1065">
        <v>0.98881819999999998</v>
      </c>
      <c r="Y1065">
        <v>7.2611259999999997E-2</v>
      </c>
      <c r="Z1065">
        <v>1.654375E-4</v>
      </c>
      <c r="AA1065">
        <v>0.99736029999999998</v>
      </c>
      <c r="AB1065">
        <v>34</v>
      </c>
      <c r="AC1065">
        <v>-5.1764000000000001</v>
      </c>
      <c r="AD1065">
        <v>-1.1220740039449999</v>
      </c>
      <c r="AE1065">
        <v>-108.948799999999</v>
      </c>
      <c r="AF1065">
        <v>7.9671123315058496</v>
      </c>
      <c r="AG1065">
        <v>-1.1220740039449999</v>
      </c>
      <c r="AH1065">
        <v>108.768761871435</v>
      </c>
      <c r="AI1065">
        <v>90.589471320819797</v>
      </c>
      <c r="AJ1065">
        <v>85.810670865456302</v>
      </c>
      <c r="AK1065">
        <v>109.065931839499</v>
      </c>
      <c r="AL1065">
        <v>81.475471837327106</v>
      </c>
      <c r="AM1065">
        <v>89.055575512296699</v>
      </c>
      <c r="AN1065">
        <v>1.0000000506476501</v>
      </c>
    </row>
    <row r="1066" spans="1:40" x14ac:dyDescent="0.25">
      <c r="A1066" t="str">
        <f>"20190303162520545"</f>
        <v>20190303162520545</v>
      </c>
      <c r="B1066" t="str">
        <f>"1551601520534127"</f>
        <v>1551601520534127</v>
      </c>
      <c r="C1066" t="s">
        <v>40</v>
      </c>
      <c r="D1066">
        <v>4.9573669999999996</v>
      </c>
      <c r="E1066">
        <v>0.52267470000000005</v>
      </c>
      <c r="F1066" t="s">
        <v>46</v>
      </c>
      <c r="G1066">
        <v>-197.1045</v>
      </c>
      <c r="H1066" s="1">
        <v>2.1635469999999999E-6</v>
      </c>
      <c r="I1066">
        <v>219.90969999999999</v>
      </c>
      <c r="J1066">
        <v>-191.33070000000001</v>
      </c>
      <c r="K1066">
        <v>1.12207099999999</v>
      </c>
      <c r="L1066">
        <v>338.786</v>
      </c>
      <c r="M1066">
        <v>2.7301209999999999E-2</v>
      </c>
      <c r="N1066">
        <v>-1.0043989999999999E-2</v>
      </c>
      <c r="O1066">
        <v>-0.99957700000000005</v>
      </c>
      <c r="P1066">
        <v>8.371468E-3</v>
      </c>
      <c r="Q1066">
        <v>0.13860449999999999</v>
      </c>
      <c r="R1066">
        <v>-0.99031250000000004</v>
      </c>
      <c r="S1066">
        <v>-0.14672850000000001</v>
      </c>
      <c r="T1066">
        <v>-2.856421E-2</v>
      </c>
      <c r="U1066">
        <v>-3.0344850000000001</v>
      </c>
      <c r="V1066">
        <v>1.8108030000000001E-2</v>
      </c>
      <c r="W1066">
        <v>0.14861240000000001</v>
      </c>
      <c r="X1066">
        <v>0.98872969999999905</v>
      </c>
      <c r="Y1066">
        <v>7.5542579999999998E-2</v>
      </c>
      <c r="Z1066">
        <v>-6.6206070000000004E-4</v>
      </c>
      <c r="AA1066">
        <v>0.99714239999999998</v>
      </c>
      <c r="AB1066">
        <v>34</v>
      </c>
      <c r="AC1066">
        <v>-5.7737999999999898</v>
      </c>
      <c r="AD1066">
        <v>-1.12206883645299</v>
      </c>
      <c r="AE1066">
        <v>-118.8763</v>
      </c>
      <c r="AF1066">
        <v>9.0164760613957107</v>
      </c>
      <c r="AG1066">
        <v>-1.12206883645299</v>
      </c>
      <c r="AH1066">
        <v>118.663797707233</v>
      </c>
      <c r="AI1066">
        <v>90.540207901282301</v>
      </c>
      <c r="AJ1066">
        <v>85.654822612402299</v>
      </c>
      <c r="AK1066">
        <v>119.011145550922</v>
      </c>
      <c r="AL1066">
        <v>81.453478182607597</v>
      </c>
      <c r="AM1066">
        <v>88.950777227443197</v>
      </c>
      <c r="AN1066">
        <v>0.99999998292316505</v>
      </c>
    </row>
    <row r="1067" spans="1:40" x14ac:dyDescent="0.25">
      <c r="A1067" t="str">
        <f>"20190303162520568"</f>
        <v>20190303162520568</v>
      </c>
      <c r="B1067" t="str">
        <f>"1551601520563407"</f>
        <v>1551601520563407</v>
      </c>
      <c r="C1067" t="s">
        <v>40</v>
      </c>
      <c r="D1067">
        <v>4.9453209999999999</v>
      </c>
      <c r="E1067">
        <v>0.52256049999999998</v>
      </c>
      <c r="F1067" t="s">
        <v>46</v>
      </c>
      <c r="G1067">
        <v>-197.39619999999999</v>
      </c>
      <c r="H1067" s="1">
        <v>2.7907389999999998E-6</v>
      </c>
      <c r="I1067">
        <v>213.0367</v>
      </c>
      <c r="J1067">
        <v>-191.3194</v>
      </c>
      <c r="K1067">
        <v>1.1220749999999999</v>
      </c>
      <c r="L1067">
        <v>338.43720000000002</v>
      </c>
      <c r="M1067">
        <v>2.9085900000000001E-2</v>
      </c>
      <c r="N1067">
        <v>-1.0045210000000001E-2</v>
      </c>
      <c r="O1067">
        <v>-0.99952640000000004</v>
      </c>
      <c r="P1067">
        <v>8.6423880000000008E-3</v>
      </c>
      <c r="Q1067">
        <v>0.13950589999999999</v>
      </c>
      <c r="R1067">
        <v>-0.99018379999999995</v>
      </c>
      <c r="S1067">
        <v>-0.146362299999999</v>
      </c>
      <c r="T1067">
        <v>-2.7075769999999999E-2</v>
      </c>
      <c r="U1067">
        <v>-3.0343629999999999</v>
      </c>
      <c r="V1067">
        <v>1.959731E-2</v>
      </c>
      <c r="W1067">
        <v>0.14951919999999999</v>
      </c>
      <c r="X1067">
        <v>0.98856460000000002</v>
      </c>
      <c r="Y1067">
        <v>7.7204759999999997E-2</v>
      </c>
      <c r="Z1067">
        <v>-1.153764E-3</v>
      </c>
      <c r="AA1067">
        <v>0.99701459999999997</v>
      </c>
      <c r="AB1067">
        <v>34</v>
      </c>
      <c r="AC1067">
        <v>-6.0767999999999898</v>
      </c>
      <c r="AD1067">
        <v>-1.122072209261</v>
      </c>
      <c r="AE1067">
        <v>-125.40049999999999</v>
      </c>
      <c r="AF1067">
        <v>9.7210228353522208</v>
      </c>
      <c r="AG1067">
        <v>-1.122072209261</v>
      </c>
      <c r="AH1067">
        <v>125.160684015049</v>
      </c>
      <c r="AI1067">
        <v>90.512103764156805</v>
      </c>
      <c r="AJ1067">
        <v>85.558847696934194</v>
      </c>
      <c r="AK1067">
        <v>125.54263878907101</v>
      </c>
      <c r="AL1067">
        <v>81.4009355291834</v>
      </c>
      <c r="AM1067">
        <v>88.864316911280696</v>
      </c>
      <c r="AN1067">
        <v>1.00000000705051</v>
      </c>
    </row>
    <row r="1068" spans="1:40" x14ac:dyDescent="0.25">
      <c r="A1068" t="str">
        <f>"20190303162520589"</f>
        <v>20190303162520589</v>
      </c>
      <c r="B1068" t="str">
        <f>"1551601520583903"</f>
        <v>1551601520583903</v>
      </c>
      <c r="C1068" t="s">
        <v>40</v>
      </c>
      <c r="D1068">
        <v>4.9452920000000002</v>
      </c>
      <c r="E1068">
        <v>0.52256729999999996</v>
      </c>
      <c r="F1068" t="s">
        <v>41</v>
      </c>
      <c r="G1068">
        <v>-198.16569999999999</v>
      </c>
      <c r="H1068" s="1">
        <v>-3.9760539999999999E-6</v>
      </c>
      <c r="I1068">
        <v>194.41419999999999</v>
      </c>
      <c r="J1068">
        <v>-191.30840000000001</v>
      </c>
      <c r="K1068">
        <v>1.12208</v>
      </c>
      <c r="L1068">
        <v>338.11410000000001</v>
      </c>
      <c r="M1068">
        <v>3.0735729999999999E-2</v>
      </c>
      <c r="N1068">
        <v>-1.004683E-2</v>
      </c>
      <c r="O1068">
        <v>-0.99947710000000001</v>
      </c>
      <c r="P1068">
        <v>8.2469810000000005E-3</v>
      </c>
      <c r="Q1068">
        <v>0.14079700000000001</v>
      </c>
      <c r="R1068">
        <v>-0.99000440000000001</v>
      </c>
      <c r="S1068">
        <v>-0.14424129999999999</v>
      </c>
      <c r="T1068">
        <v>-2.3640390000000001E-2</v>
      </c>
      <c r="U1068">
        <v>-3.034332</v>
      </c>
      <c r="V1068">
        <v>2.1615880000000001E-2</v>
      </c>
      <c r="W1068">
        <v>0.15081700000000001</v>
      </c>
      <c r="X1068">
        <v>0.98832540000000002</v>
      </c>
      <c r="Y1068">
        <v>7.8155879999999997E-2</v>
      </c>
      <c r="Z1068">
        <v>-2.285348E-3</v>
      </c>
      <c r="AA1068">
        <v>0.99693849999999995</v>
      </c>
      <c r="AB1068">
        <v>34</v>
      </c>
      <c r="AC1068">
        <v>-6.85729999999998</v>
      </c>
      <c r="AD1068">
        <v>-1.122083976054</v>
      </c>
      <c r="AE1068">
        <v>-143.69990000000001</v>
      </c>
      <c r="AF1068">
        <v>11.270318327726599</v>
      </c>
      <c r="AG1068">
        <v>-1.122083976054</v>
      </c>
      <c r="AH1068">
        <v>143.41250235931099</v>
      </c>
      <c r="AI1068">
        <v>90.446905008695296</v>
      </c>
      <c r="AJ1068">
        <v>85.506547698751007</v>
      </c>
      <c r="AK1068">
        <v>143.859045529355</v>
      </c>
      <c r="AL1068">
        <v>81.325724620204099</v>
      </c>
      <c r="AM1068">
        <v>88.747071285999994</v>
      </c>
      <c r="AN1068">
        <v>1.0000000550211601</v>
      </c>
    </row>
    <row r="1069" spans="1:40" x14ac:dyDescent="0.25">
      <c r="A1069" t="str">
        <f>"20190303162520613"</f>
        <v>20190303162520613</v>
      </c>
      <c r="B1069" t="str">
        <f>"1551601520604398"</f>
        <v>1551601520604398</v>
      </c>
      <c r="C1069" t="s">
        <v>40</v>
      </c>
      <c r="D1069">
        <v>4.9520770000000001</v>
      </c>
      <c r="E1069">
        <v>0.52269889999999997</v>
      </c>
      <c r="F1069" t="s">
        <v>41</v>
      </c>
      <c r="G1069">
        <v>-199.71789999999999</v>
      </c>
      <c r="H1069" s="1">
        <v>-3.3686720000000001E-6</v>
      </c>
      <c r="I1069">
        <v>161.5694</v>
      </c>
      <c r="J1069">
        <v>-191.29570000000001</v>
      </c>
      <c r="K1069">
        <v>1.122088</v>
      </c>
      <c r="L1069">
        <v>337.75630000000001</v>
      </c>
      <c r="M1069">
        <v>3.2561029999999998E-2</v>
      </c>
      <c r="N1069">
        <v>-1.004915E-2</v>
      </c>
      <c r="O1069">
        <v>-0.99941930000000001</v>
      </c>
      <c r="P1069">
        <v>7.2058590000000002E-3</v>
      </c>
      <c r="Q1069">
        <v>0.1421598</v>
      </c>
      <c r="R1069">
        <v>-0.98981759999999996</v>
      </c>
      <c r="S1069">
        <v>-0.144531299999999</v>
      </c>
      <c r="T1069">
        <v>-1.9284840000000001E-2</v>
      </c>
      <c r="U1069">
        <v>-3.0342099999999999</v>
      </c>
      <c r="V1069">
        <v>2.4452479999999999E-2</v>
      </c>
      <c r="W1069">
        <v>0.15219050000000001</v>
      </c>
      <c r="X1069">
        <v>0.9880487</v>
      </c>
      <c r="Y1069">
        <v>8.007359E-2</v>
      </c>
      <c r="Z1069">
        <v>-3.7202400000000001E-3</v>
      </c>
      <c r="AA1069">
        <v>0.99678199999999995</v>
      </c>
      <c r="AB1069">
        <v>34</v>
      </c>
      <c r="AC1069">
        <v>-8.4221999999999699</v>
      </c>
      <c r="AD1069">
        <v>-1.122091368672</v>
      </c>
      <c r="AE1069">
        <v>-176.18690000000001</v>
      </c>
      <c r="AF1069">
        <v>14.154277081979901</v>
      </c>
      <c r="AG1069">
        <v>-1.122091368672</v>
      </c>
      <c r="AH1069">
        <v>175.81210310871501</v>
      </c>
      <c r="AI1069">
        <v>90.364496464743695</v>
      </c>
      <c r="AJ1069">
        <v>85.397159952748297</v>
      </c>
      <c r="AK1069">
        <v>176.38451816489601</v>
      </c>
      <c r="AL1069">
        <v>81.246109826684801</v>
      </c>
      <c r="AM1069">
        <v>88.5823188912738</v>
      </c>
      <c r="AN1069">
        <v>1.0000000528200399</v>
      </c>
    </row>
    <row r="1070" spans="1:40" x14ac:dyDescent="0.25">
      <c r="A1070" t="str">
        <f>"20190303162520634"</f>
        <v>20190303162520634</v>
      </c>
      <c r="B1070" t="str">
        <f>"1551601520623918"</f>
        <v>1551601520623918</v>
      </c>
      <c r="C1070" t="s">
        <v>40</v>
      </c>
      <c r="D1070">
        <v>4.9395509999999998</v>
      </c>
      <c r="E1070">
        <v>0.52274019999999999</v>
      </c>
      <c r="F1070" t="s">
        <v>47</v>
      </c>
      <c r="G1070">
        <v>-201.44329999999999</v>
      </c>
      <c r="H1070">
        <v>3.3269899999999998E-2</v>
      </c>
      <c r="I1070">
        <v>129.06270000000001</v>
      </c>
      <c r="J1070">
        <v>-191.28360000000001</v>
      </c>
      <c r="K1070">
        <v>1.1220909999999999</v>
      </c>
      <c r="L1070">
        <v>337.43369999999999</v>
      </c>
      <c r="M1070">
        <v>3.4203869999999997E-2</v>
      </c>
      <c r="N1070">
        <v>-1.0051549999999999E-2</v>
      </c>
      <c r="O1070">
        <v>-0.99936449999999999</v>
      </c>
      <c r="P1070">
        <v>4.8129050000000001E-3</v>
      </c>
      <c r="Q1070">
        <v>0.14318710000000001</v>
      </c>
      <c r="R1070">
        <v>-0.98968420000000001</v>
      </c>
      <c r="S1070">
        <v>-0.14753720000000001</v>
      </c>
      <c r="T1070">
        <v>-1.5830400000000001E-2</v>
      </c>
      <c r="U1070">
        <v>-3.0342099999999999</v>
      </c>
      <c r="V1070">
        <v>2.846166E-2</v>
      </c>
      <c r="W1070">
        <v>0.15323239999999999</v>
      </c>
      <c r="X1070">
        <v>0.9877802</v>
      </c>
      <c r="Y1070">
        <v>8.2697119999999999E-2</v>
      </c>
      <c r="Z1070">
        <v>-4.8593849999999999E-3</v>
      </c>
      <c r="AA1070">
        <v>0.99656290000000003</v>
      </c>
      <c r="AB1070">
        <v>34</v>
      </c>
      <c r="AC1070">
        <v>-10.1596999999999</v>
      </c>
      <c r="AD1070">
        <v>-1.0888211000000001</v>
      </c>
      <c r="AE1070">
        <v>-208.37100000000001</v>
      </c>
      <c r="AF1070">
        <v>17.280737435516102</v>
      </c>
      <c r="AG1070">
        <v>-1.0888211000000001</v>
      </c>
      <c r="AH1070">
        <v>207.89588329949501</v>
      </c>
      <c r="AI1070">
        <v>90.299043354644695</v>
      </c>
      <c r="AJ1070">
        <v>85.248379189416298</v>
      </c>
      <c r="AK1070">
        <v>208.61569382618401</v>
      </c>
      <c r="AL1070">
        <v>81.185704197651404</v>
      </c>
      <c r="AM1070">
        <v>88.349549905257803</v>
      </c>
      <c r="AN1070">
        <v>0.999999979005877</v>
      </c>
    </row>
    <row r="1071" spans="1:40" x14ac:dyDescent="0.25">
      <c r="A1071" t="str">
        <f>"20190303162520680"</f>
        <v>20190303162520680</v>
      </c>
      <c r="B1071" t="str">
        <f>"1551601520673694"</f>
        <v>1551601520673694</v>
      </c>
      <c r="C1071" t="s">
        <v>40</v>
      </c>
      <c r="D1071">
        <v>4.9373969999999998</v>
      </c>
      <c r="E1071">
        <v>0.52634609999999904</v>
      </c>
      <c r="F1071" t="s">
        <v>41</v>
      </c>
      <c r="G1071">
        <v>-203.78790000000001</v>
      </c>
      <c r="H1071">
        <v>7.9986420000000003E-2</v>
      </c>
      <c r="I1071">
        <v>91.540310000000005</v>
      </c>
      <c r="J1071">
        <v>-191.25620000000001</v>
      </c>
      <c r="K1071">
        <v>1.1221000000000001</v>
      </c>
      <c r="L1071">
        <v>336.74919999999997</v>
      </c>
      <c r="M1071">
        <v>3.7676300000000003E-2</v>
      </c>
      <c r="N1071">
        <v>-1.005723E-2</v>
      </c>
      <c r="O1071">
        <v>-0.9992394</v>
      </c>
      <c r="P1071">
        <v>1.4924160000000001E-3</v>
      </c>
      <c r="Q1071">
        <v>0.14515600000000001</v>
      </c>
      <c r="R1071">
        <v>-0.9894075</v>
      </c>
      <c r="S1071">
        <v>-0.15428159999999999</v>
      </c>
      <c r="T1071">
        <v>-1.2857789999999999E-2</v>
      </c>
      <c r="U1071">
        <v>-3.0339049999999999</v>
      </c>
      <c r="V1071">
        <v>3.5199000000000001E-2</v>
      </c>
      <c r="W1071">
        <v>0.15522759999999999</v>
      </c>
      <c r="X1071">
        <v>0.98725149999999995</v>
      </c>
      <c r="Y1071">
        <v>8.8373179999999996E-2</v>
      </c>
      <c r="Z1071">
        <v>-5.844531E-3</v>
      </c>
      <c r="AA1071">
        <v>0.99607029999999996</v>
      </c>
      <c r="AB1071">
        <v>34</v>
      </c>
      <c r="AC1071">
        <v>-12.531700000000001</v>
      </c>
      <c r="AD1071">
        <v>-1.0421135800000001</v>
      </c>
      <c r="AE1071">
        <v>-245.20889</v>
      </c>
      <c r="AF1071">
        <v>21.761440350708298</v>
      </c>
      <c r="AG1071">
        <v>-1.0421135800000001</v>
      </c>
      <c r="AH1071">
        <v>244.55819555076701</v>
      </c>
      <c r="AI1071">
        <v>90.243186955740896</v>
      </c>
      <c r="AJ1071">
        <v>84.915061244659697</v>
      </c>
      <c r="AK1071">
        <v>245.52669365651099</v>
      </c>
      <c r="AL1071">
        <v>81.070003916911404</v>
      </c>
      <c r="AM1071">
        <v>87.9580681865841</v>
      </c>
      <c r="AN1071">
        <v>1.0000000508275</v>
      </c>
    </row>
    <row r="1072" spans="1:40" x14ac:dyDescent="0.25">
      <c r="A1072" t="str">
        <f>"20190303162520705"</f>
        <v>20190303162520705</v>
      </c>
      <c r="B1072" t="str">
        <f>"1551601520694191"</f>
        <v>1551601520694191</v>
      </c>
      <c r="C1072" t="s">
        <v>40</v>
      </c>
      <c r="D1072">
        <v>4.9386080000000003</v>
      </c>
      <c r="E1072">
        <v>0.52551649999999905</v>
      </c>
      <c r="F1072" t="s">
        <v>46</v>
      </c>
      <c r="G1072">
        <v>-194.0171</v>
      </c>
      <c r="H1072" s="1">
        <v>1.745466E-6</v>
      </c>
      <c r="I1072">
        <v>292.69709999999998</v>
      </c>
      <c r="J1072">
        <v>-191.24</v>
      </c>
      <c r="K1072">
        <v>1.122099</v>
      </c>
      <c r="L1072">
        <v>336.37009999999998</v>
      </c>
      <c r="M1072">
        <v>3.9584300000000003E-2</v>
      </c>
      <c r="N1072">
        <v>-1.006073E-2</v>
      </c>
      <c r="O1072">
        <v>-0.99916590000000005</v>
      </c>
      <c r="P1072" s="1">
        <v>-5.5355489999999996E-6</v>
      </c>
      <c r="Q1072">
        <v>0.14707210000000001</v>
      </c>
      <c r="R1072">
        <v>-0.98912610000000001</v>
      </c>
      <c r="S1072">
        <v>-0.1907654</v>
      </c>
      <c r="T1072">
        <v>-7.7531580000000003E-2</v>
      </c>
      <c r="U1072">
        <v>-3.043793</v>
      </c>
      <c r="V1072">
        <v>3.8566330000000003E-2</v>
      </c>
      <c r="W1072">
        <v>0.157155399999999</v>
      </c>
      <c r="X1072">
        <v>0.98682060000000005</v>
      </c>
      <c r="Y1072">
        <v>0.1019851</v>
      </c>
      <c r="Z1072">
        <v>1.5271359999999999E-2</v>
      </c>
      <c r="AA1072">
        <v>0.99466869999999996</v>
      </c>
      <c r="AB1072">
        <v>34</v>
      </c>
      <c r="AC1072">
        <v>-2.7770999999999901</v>
      </c>
      <c r="AD1072">
        <v>-1.122097254534</v>
      </c>
      <c r="AE1072">
        <v>-43.673000000000002</v>
      </c>
      <c r="AF1072">
        <v>4.5008160764678804</v>
      </c>
      <c r="AG1072">
        <v>-1.122097254534</v>
      </c>
      <c r="AH1072">
        <v>43.500231549798798</v>
      </c>
      <c r="AI1072">
        <v>91.4697856775514</v>
      </c>
      <c r="AJ1072">
        <v>84.0928266003895</v>
      </c>
      <c r="AK1072">
        <v>43.746846657661401</v>
      </c>
      <c r="AL1072">
        <v>80.958176513199902</v>
      </c>
      <c r="AM1072">
        <v>87.761939731568802</v>
      </c>
      <c r="AN1072">
        <v>1.00000003907159</v>
      </c>
    </row>
    <row r="1073" spans="1:40" x14ac:dyDescent="0.25">
      <c r="A1073" t="str">
        <f>"20190303162520727"</f>
        <v>20190303162520727</v>
      </c>
      <c r="B1073" t="str">
        <f>"1551601520713711"</f>
        <v>1551601520713711</v>
      </c>
      <c r="C1073" t="s">
        <v>40</v>
      </c>
      <c r="D1073">
        <v>4.9316899999999997</v>
      </c>
      <c r="E1073">
        <v>0.52521099999999998</v>
      </c>
      <c r="F1073" t="s">
        <v>46</v>
      </c>
      <c r="G1073">
        <v>-194.21260000000001</v>
      </c>
      <c r="H1073" s="1">
        <v>2.8950569999999999E-6</v>
      </c>
      <c r="I1073">
        <v>288.30309999999997</v>
      </c>
      <c r="J1073">
        <v>-191.22479999999999</v>
      </c>
      <c r="K1073">
        <v>1.122093</v>
      </c>
      <c r="L1073">
        <v>336.02699999999999</v>
      </c>
      <c r="M1073">
        <v>4.1290859999999999E-2</v>
      </c>
      <c r="N1073">
        <v>-1.006404E-2</v>
      </c>
      <c r="O1073">
        <v>-0.9990966</v>
      </c>
      <c r="P1073">
        <v>-2.0784509999999998E-3</v>
      </c>
      <c r="Q1073">
        <v>0.149315</v>
      </c>
      <c r="R1073">
        <v>-0.98878770000000005</v>
      </c>
      <c r="S1073">
        <v>-0.1882172</v>
      </c>
      <c r="T1073">
        <v>-7.1049929999999997E-2</v>
      </c>
      <c r="U1073">
        <v>-3.0435490000000001</v>
      </c>
      <c r="V1073">
        <v>4.2306360000000001E-2</v>
      </c>
      <c r="W1073">
        <v>0.15940969999999999</v>
      </c>
      <c r="X1073">
        <v>0.9863056</v>
      </c>
      <c r="Y1073">
        <v>0.10286240000000001</v>
      </c>
      <c r="Z1073">
        <v>1.314882E-2</v>
      </c>
      <c r="AA1073">
        <v>0.99460870000000001</v>
      </c>
      <c r="AB1073">
        <v>34</v>
      </c>
      <c r="AC1073">
        <v>-2.98780000000002</v>
      </c>
      <c r="AD1073">
        <v>-1.1220901049429901</v>
      </c>
      <c r="AE1073">
        <v>-47.7239</v>
      </c>
      <c r="AF1073">
        <v>4.9531845676389201</v>
      </c>
      <c r="AG1073">
        <v>-1.1220901049429901</v>
      </c>
      <c r="AH1073">
        <v>47.533645439272703</v>
      </c>
      <c r="AI1073">
        <v>91.345006212191194</v>
      </c>
      <c r="AJ1073">
        <v>84.051034492228098</v>
      </c>
      <c r="AK1073">
        <v>47.804189903304497</v>
      </c>
      <c r="AL1073">
        <v>80.827365309401003</v>
      </c>
      <c r="AM1073">
        <v>87.543873917692906</v>
      </c>
      <c r="AN1073">
        <v>1.00000000857094</v>
      </c>
    </row>
    <row r="1074" spans="1:40" x14ac:dyDescent="0.25">
      <c r="A1074" t="str">
        <f>"20190303162520748"</f>
        <v>20190303162520748</v>
      </c>
      <c r="B1074" t="str">
        <f>"1551601520743967"</f>
        <v>1551601520743967</v>
      </c>
      <c r="C1074" t="s">
        <v>40</v>
      </c>
      <c r="D1074">
        <v>4.965452</v>
      </c>
      <c r="E1074">
        <v>0.52172350000000001</v>
      </c>
      <c r="F1074" t="s">
        <v>46</v>
      </c>
      <c r="G1074">
        <v>-194.57230000000001</v>
      </c>
      <c r="H1074" s="1">
        <v>3.2984090000000001E-6</v>
      </c>
      <c r="I1074">
        <v>282.95940000000002</v>
      </c>
      <c r="J1074">
        <v>-191.2098</v>
      </c>
      <c r="K1074">
        <v>1.1220760000000001</v>
      </c>
      <c r="L1074">
        <v>335.70170000000002</v>
      </c>
      <c r="M1074">
        <v>4.2857140000000002E-2</v>
      </c>
      <c r="N1074">
        <v>-1.0067E-2</v>
      </c>
      <c r="O1074">
        <v>-0.99903059999999999</v>
      </c>
      <c r="P1074">
        <v>-4.311769E-3</v>
      </c>
      <c r="Q1074">
        <v>0.15080689999999999</v>
      </c>
      <c r="R1074">
        <v>-0.98855409999999999</v>
      </c>
      <c r="S1074">
        <v>-0.1919708</v>
      </c>
      <c r="T1074">
        <v>-6.4349290000000003E-2</v>
      </c>
      <c r="U1074">
        <v>-3.043304</v>
      </c>
      <c r="V1074">
        <v>4.6080799999999998E-2</v>
      </c>
      <c r="W1074">
        <v>0.1609121</v>
      </c>
      <c r="X1074">
        <v>0.9858924</v>
      </c>
      <c r="Y1074">
        <v>0.1056507</v>
      </c>
      <c r="Z1074">
        <v>1.0951199999999999E-2</v>
      </c>
      <c r="AA1074">
        <v>0.99434299999999998</v>
      </c>
      <c r="AB1074">
        <v>34</v>
      </c>
      <c r="AC1074">
        <v>-3.36250000000001</v>
      </c>
      <c r="AD1074">
        <v>-1.1220727015909999</v>
      </c>
      <c r="AE1074">
        <v>-52.7423</v>
      </c>
      <c r="AF1074">
        <v>5.61737650655156</v>
      </c>
      <c r="AG1074">
        <v>-1.1220727015909999</v>
      </c>
      <c r="AH1074">
        <v>52.526044054887798</v>
      </c>
      <c r="AI1074">
        <v>91.2168419767453</v>
      </c>
      <c r="AJ1074">
        <v>83.895727332052701</v>
      </c>
      <c r="AK1074">
        <v>52.837479784903003</v>
      </c>
      <c r="AL1074">
        <v>80.740158133148995</v>
      </c>
      <c r="AM1074">
        <v>87.323931888113606</v>
      </c>
      <c r="AN1074">
        <v>0.99999998421640401</v>
      </c>
    </row>
    <row r="1075" spans="1:40" x14ac:dyDescent="0.25">
      <c r="A1075" t="str">
        <f>"20190303162520771"</f>
        <v>20190303162520771</v>
      </c>
      <c r="B1075" t="str">
        <f>"1551601520763487"</f>
        <v>1551601520763487</v>
      </c>
      <c r="C1075" t="s">
        <v>40</v>
      </c>
      <c r="D1075">
        <v>4.9845499999999996</v>
      </c>
      <c r="E1075">
        <v>0.51917199999999997</v>
      </c>
      <c r="F1075" t="s">
        <v>46</v>
      </c>
      <c r="G1075">
        <v>-193.98519999999999</v>
      </c>
      <c r="H1075" s="1">
        <v>3.1199139999999999E-6</v>
      </c>
      <c r="I1075">
        <v>286.19240000000002</v>
      </c>
      <c r="J1075">
        <v>-191.19380000000001</v>
      </c>
      <c r="K1075">
        <v>1.1220220000000001</v>
      </c>
      <c r="L1075">
        <v>335.36380000000003</v>
      </c>
      <c r="M1075">
        <v>4.4394719999999999E-2</v>
      </c>
      <c r="N1075">
        <v>-1.00696E-2</v>
      </c>
      <c r="O1075">
        <v>-0.99896339999999995</v>
      </c>
      <c r="P1075">
        <v>-5.1618849999999997E-3</v>
      </c>
      <c r="Q1075">
        <v>0.1510058</v>
      </c>
      <c r="R1075">
        <v>-0.98851940000000005</v>
      </c>
      <c r="S1075">
        <v>-0.1706696</v>
      </c>
      <c r="T1075">
        <v>-6.9001439999999997E-2</v>
      </c>
      <c r="U1075">
        <v>-3.044556</v>
      </c>
      <c r="V1075">
        <v>4.8469379999999999E-2</v>
      </c>
      <c r="W1075">
        <v>0.16111449999999999</v>
      </c>
      <c r="X1075">
        <v>0.98574479999999998</v>
      </c>
      <c r="Y1075">
        <v>0.1002208</v>
      </c>
      <c r="Z1075">
        <v>1.246912E-2</v>
      </c>
      <c r="AA1075">
        <v>0.99488710000000002</v>
      </c>
      <c r="AB1075">
        <v>34</v>
      </c>
      <c r="AC1075">
        <v>-2.7913999999999799</v>
      </c>
      <c r="AD1075">
        <v>-1.12201888008599</v>
      </c>
      <c r="AE1075">
        <v>-49.171399999999998</v>
      </c>
      <c r="AF1075">
        <v>4.9691295893773404</v>
      </c>
      <c r="AG1075">
        <v>-1.12201888008599</v>
      </c>
      <c r="AH1075">
        <v>48.973567862158703</v>
      </c>
      <c r="AI1075">
        <v>91.305755006723203</v>
      </c>
      <c r="AJ1075">
        <v>84.206281011458699</v>
      </c>
      <c r="AK1075">
        <v>49.237805844622699</v>
      </c>
      <c r="AL1075">
        <v>80.728408180574903</v>
      </c>
      <c r="AM1075">
        <v>87.185015761793593</v>
      </c>
      <c r="AN1075">
        <v>0.99999998681743696</v>
      </c>
    </row>
    <row r="1076" spans="1:40" x14ac:dyDescent="0.25">
      <c r="A1076" t="str">
        <f>"20190303162520792"</f>
        <v>20190303162520792</v>
      </c>
      <c r="B1076" t="str">
        <f>"1551601520783983"</f>
        <v>1551601520783983</v>
      </c>
      <c r="C1076" t="s">
        <v>40</v>
      </c>
      <c r="D1076">
        <v>4.9688840000000001</v>
      </c>
      <c r="E1076">
        <v>0.51754889999999998</v>
      </c>
      <c r="F1076" t="s">
        <v>46</v>
      </c>
      <c r="G1076">
        <v>-193.56610000000001</v>
      </c>
      <c r="H1076" s="1">
        <v>3.0220189999999999E-6</v>
      </c>
      <c r="I1076">
        <v>288.16239999999999</v>
      </c>
      <c r="J1076">
        <v>-191.17769999999999</v>
      </c>
      <c r="K1076">
        <v>1.1219460000000001</v>
      </c>
      <c r="L1076">
        <v>335.03269999999998</v>
      </c>
      <c r="M1076">
        <v>4.5775410000000002E-2</v>
      </c>
      <c r="N1076">
        <v>-1.0071739999999999E-2</v>
      </c>
      <c r="O1076">
        <v>-0.99890109999999999</v>
      </c>
      <c r="P1076">
        <v>-5.2213750000000003E-3</v>
      </c>
      <c r="Q1076">
        <v>0.15362329999999999</v>
      </c>
      <c r="R1076">
        <v>-0.98811590000000005</v>
      </c>
      <c r="S1076">
        <v>-0.15304570000000001</v>
      </c>
      <c r="T1076">
        <v>-7.2384119999999996E-2</v>
      </c>
      <c r="U1076">
        <v>-3.0450740000000001</v>
      </c>
      <c r="V1076">
        <v>4.9900739999999999E-2</v>
      </c>
      <c r="W1076">
        <v>0.1637229</v>
      </c>
      <c r="X1076">
        <v>0.98524350000000005</v>
      </c>
      <c r="Y1076">
        <v>9.5843120000000004E-2</v>
      </c>
      <c r="Z1076">
        <v>1.3575479999999999E-2</v>
      </c>
      <c r="AA1076">
        <v>0.99530390000000002</v>
      </c>
      <c r="AB1076">
        <v>34</v>
      </c>
      <c r="AC1076">
        <v>-2.3884000000000101</v>
      </c>
      <c r="AD1076">
        <v>-1.121942977981</v>
      </c>
      <c r="AE1076">
        <v>-46.870299999999901</v>
      </c>
      <c r="AF1076">
        <v>4.5289235951925697</v>
      </c>
      <c r="AG1076">
        <v>-1.121942977981</v>
      </c>
      <c r="AH1076">
        <v>46.685147232701603</v>
      </c>
      <c r="AI1076">
        <v>91.3702438928444</v>
      </c>
      <c r="AJ1076">
        <v>84.459077879502999</v>
      </c>
      <c r="AK1076">
        <v>46.917724551772103</v>
      </c>
      <c r="AL1076">
        <v>80.576946953615604</v>
      </c>
      <c r="AM1076">
        <v>87.100553519571406</v>
      </c>
      <c r="AN1076">
        <v>1.0000000130646001</v>
      </c>
    </row>
    <row r="1077" spans="1:40" x14ac:dyDescent="0.25">
      <c r="A1077" t="str">
        <f>"20190303162520815"</f>
        <v>20190303162520815</v>
      </c>
      <c r="B1077" t="str">
        <f>"1551601520803503"</f>
        <v>1551601520803503</v>
      </c>
      <c r="C1077" t="s">
        <v>40</v>
      </c>
      <c r="D1077">
        <v>4.9725510000000002</v>
      </c>
      <c r="E1077">
        <v>0.51646709999999996</v>
      </c>
      <c r="F1077" t="s">
        <v>46</v>
      </c>
      <c r="G1077">
        <v>-193.55670000000001</v>
      </c>
      <c r="H1077" s="1">
        <v>3.4129270000000001E-6</v>
      </c>
      <c r="I1077">
        <v>283.71010000000001</v>
      </c>
      <c r="J1077">
        <v>-191.161</v>
      </c>
      <c r="K1077">
        <v>1.121845</v>
      </c>
      <c r="L1077">
        <v>334.69529999999997</v>
      </c>
      <c r="M1077">
        <v>4.7014019999999997E-2</v>
      </c>
      <c r="N1077">
        <v>-1.0073739999999999E-2</v>
      </c>
      <c r="O1077">
        <v>-0.9988437</v>
      </c>
      <c r="P1077">
        <v>-5.1167920000000002E-3</v>
      </c>
      <c r="Q1077">
        <v>0.15842500000000001</v>
      </c>
      <c r="R1077">
        <v>-0.98735819999999996</v>
      </c>
      <c r="S1077">
        <v>-0.1411743</v>
      </c>
      <c r="T1077">
        <v>-6.6579940000000004E-2</v>
      </c>
      <c r="U1077">
        <v>-3.0456539999999999</v>
      </c>
      <c r="V1077">
        <v>5.1019679999999998E-2</v>
      </c>
      <c r="W1077">
        <v>0.168506399999999</v>
      </c>
      <c r="X1077">
        <v>0.98437929999999996</v>
      </c>
      <c r="Y1077">
        <v>9.3199580000000004E-2</v>
      </c>
      <c r="Z1077">
        <v>1.1676489999999999E-2</v>
      </c>
      <c r="AA1077">
        <v>0.99557899999999999</v>
      </c>
      <c r="AB1077">
        <v>34</v>
      </c>
      <c r="AC1077">
        <v>-2.3957000000000299</v>
      </c>
      <c r="AD1077">
        <v>-1.1218415870730001</v>
      </c>
      <c r="AE1077">
        <v>-50.985199999999899</v>
      </c>
      <c r="AF1077">
        <v>4.7878779262346001</v>
      </c>
      <c r="AG1077">
        <v>-1.1218415870730001</v>
      </c>
      <c r="AH1077">
        <v>50.791642896520798</v>
      </c>
      <c r="AI1077">
        <v>91.2597109211099</v>
      </c>
      <c r="AJ1077">
        <v>84.614921968675901</v>
      </c>
      <c r="AK1077">
        <v>51.029141592924198</v>
      </c>
      <c r="AL1077">
        <v>80.2990107574159</v>
      </c>
      <c r="AM1077">
        <v>87.033055216444396</v>
      </c>
      <c r="AN1077">
        <v>1.0000000104283699</v>
      </c>
    </row>
    <row r="1078" spans="1:40" x14ac:dyDescent="0.25">
      <c r="A1078" t="str">
        <f>"20190303162520837"</f>
        <v>20190303162520837</v>
      </c>
      <c r="B1078" t="str">
        <f>"1551601520824975"</f>
        <v>1551601520824975</v>
      </c>
      <c r="C1078" t="s">
        <v>40</v>
      </c>
      <c r="D1078">
        <v>4.9632809999999896</v>
      </c>
      <c r="E1078">
        <v>0.5155807</v>
      </c>
      <c r="F1078" t="s">
        <v>46</v>
      </c>
      <c r="G1078">
        <v>-193.83340000000001</v>
      </c>
      <c r="H1078" s="1">
        <v>5.6131959999999998E-6</v>
      </c>
      <c r="I1078">
        <v>273.4991</v>
      </c>
      <c r="J1078">
        <v>-191.1438</v>
      </c>
      <c r="K1078">
        <v>1.121691</v>
      </c>
      <c r="L1078">
        <v>334.35120000000001</v>
      </c>
      <c r="M1078">
        <v>4.8058579999999997E-2</v>
      </c>
      <c r="N1078">
        <v>-1.0076089999999999E-2</v>
      </c>
      <c r="O1078">
        <v>-0.99879390000000001</v>
      </c>
      <c r="P1078">
        <v>-5.001236E-3</v>
      </c>
      <c r="Q1078">
        <v>0.16292129999999999</v>
      </c>
      <c r="R1078">
        <v>-0.98662660000000002</v>
      </c>
      <c r="S1078">
        <v>-0.1330414</v>
      </c>
      <c r="T1078">
        <v>-5.5850980000000001E-2</v>
      </c>
      <c r="U1078">
        <v>-3.0466609999999998</v>
      </c>
      <c r="V1078">
        <v>5.1955689999999999E-2</v>
      </c>
      <c r="W1078">
        <v>0.17297879999999999</v>
      </c>
      <c r="X1078">
        <v>0.98355420000000005</v>
      </c>
      <c r="Y1078">
        <v>9.1576619999999997E-2</v>
      </c>
      <c r="Z1078">
        <v>8.1639E-3</v>
      </c>
      <c r="AA1078">
        <v>0.9957646</v>
      </c>
      <c r="AB1078">
        <v>34</v>
      </c>
      <c r="AC1078">
        <v>-2.6896000000000102</v>
      </c>
      <c r="AD1078">
        <v>-1.121685386804</v>
      </c>
      <c r="AE1078">
        <v>-60.8521</v>
      </c>
      <c r="AF1078">
        <v>5.6092031399600701</v>
      </c>
      <c r="AG1078">
        <v>-1.121685386804</v>
      </c>
      <c r="AH1078">
        <v>60.631953505579901</v>
      </c>
      <c r="AI1078">
        <v>91.055340152828705</v>
      </c>
      <c r="AJ1078">
        <v>84.714478586418494</v>
      </c>
      <c r="AK1078">
        <v>60.901191481572098</v>
      </c>
      <c r="AL1078">
        <v>80.038941448278507</v>
      </c>
      <c r="AM1078">
        <v>86.976193579085503</v>
      </c>
      <c r="AN1078">
        <v>0.99999996165522698</v>
      </c>
    </row>
    <row r="1079" spans="1:40" x14ac:dyDescent="0.25">
      <c r="A1079" t="str">
        <f>"20190303162520860"</f>
        <v>20190303162520860</v>
      </c>
      <c r="B1079" t="str">
        <f>"1551601520854257"</f>
        <v>1551601520854257</v>
      </c>
      <c r="C1079" t="s">
        <v>40</v>
      </c>
      <c r="D1079">
        <v>4.8862670000000001</v>
      </c>
      <c r="E1079">
        <v>0.51418390000000003</v>
      </c>
      <c r="F1079" t="s">
        <v>41</v>
      </c>
      <c r="G1079">
        <v>-194.2165</v>
      </c>
      <c r="H1079" s="1">
        <v>-1.18898E-6</v>
      </c>
      <c r="I1079">
        <v>259.74549999999999</v>
      </c>
      <c r="J1079">
        <v>-191.126</v>
      </c>
      <c r="K1079">
        <v>1.121499</v>
      </c>
      <c r="L1079">
        <v>333.9991</v>
      </c>
      <c r="M1079">
        <v>4.8843570000000003E-2</v>
      </c>
      <c r="N1079">
        <v>-1.0079309999999999E-2</v>
      </c>
      <c r="O1079">
        <v>-0.99875559999999997</v>
      </c>
      <c r="P1079">
        <v>-4.4651129999999997E-3</v>
      </c>
      <c r="Q1079">
        <v>0.1646233</v>
      </c>
      <c r="R1079">
        <v>-0.98634650000000001</v>
      </c>
      <c r="S1079">
        <v>-0.12551880000000001</v>
      </c>
      <c r="T1079">
        <v>-4.5820590000000001E-2</v>
      </c>
      <c r="U1079">
        <v>-3.0476070000000002</v>
      </c>
      <c r="V1079">
        <v>5.226182E-2</v>
      </c>
      <c r="W1079">
        <v>0.17465559999999999</v>
      </c>
      <c r="X1079">
        <v>0.98324160000000005</v>
      </c>
      <c r="Y1079">
        <v>8.9894799999999997E-2</v>
      </c>
      <c r="Z1079">
        <v>4.8804640000000002E-3</v>
      </c>
      <c r="AA1079">
        <v>0.99593929999999997</v>
      </c>
      <c r="AB1079">
        <v>34</v>
      </c>
      <c r="AC1079">
        <v>-3.09050000000002</v>
      </c>
      <c r="AD1079">
        <v>-1.12150018897999</v>
      </c>
      <c r="AE1079">
        <v>-74.253600000000006</v>
      </c>
      <c r="AF1079">
        <v>6.7122774593579102</v>
      </c>
      <c r="AG1079">
        <v>-1.12150018897999</v>
      </c>
      <c r="AH1079">
        <v>73.997155135752095</v>
      </c>
      <c r="AI1079">
        <v>90.864757906502206</v>
      </c>
      <c r="AJ1079">
        <v>84.816888306325396</v>
      </c>
      <c r="AK1079">
        <v>74.309430084948502</v>
      </c>
      <c r="AL1079">
        <v>79.941382810251994</v>
      </c>
      <c r="AM1079">
        <v>86.957445066279902</v>
      </c>
      <c r="AN1079">
        <v>0.99999996020581505</v>
      </c>
    </row>
    <row r="1080" spans="1:40" x14ac:dyDescent="0.25">
      <c r="A1080" t="str">
        <f>"20190303162520881"</f>
        <v>20190303162520881</v>
      </c>
      <c r="B1080" t="str">
        <f>"1551601520873775"</f>
        <v>1551601520873775</v>
      </c>
      <c r="C1080" t="s">
        <v>40</v>
      </c>
      <c r="D1080">
        <v>5.1405379999999896</v>
      </c>
      <c r="E1080">
        <v>0.50113560000000001</v>
      </c>
      <c r="F1080" t="s">
        <v>41</v>
      </c>
      <c r="G1080">
        <v>-193.78909999999999</v>
      </c>
      <c r="H1080" s="1">
        <v>-1.994197E-6</v>
      </c>
      <c r="I1080">
        <v>261.88749999999999</v>
      </c>
      <c r="J1080">
        <v>-191.1096</v>
      </c>
      <c r="K1080">
        <v>1.121318</v>
      </c>
      <c r="L1080">
        <v>333.67270000000002</v>
      </c>
      <c r="M1080">
        <v>4.9327620000000003E-2</v>
      </c>
      <c r="N1080">
        <v>-1.008716E-2</v>
      </c>
      <c r="O1080">
        <v>-0.9987317</v>
      </c>
      <c r="P1080">
        <v>-3.0993359999999998E-3</v>
      </c>
      <c r="Q1080">
        <v>0.1669551</v>
      </c>
      <c r="R1080">
        <v>-0.98595960000000005</v>
      </c>
      <c r="S1080">
        <v>-0.1125946</v>
      </c>
      <c r="T1080">
        <v>-4.7417760000000003E-2</v>
      </c>
      <c r="U1080">
        <v>-3.0489199999999999</v>
      </c>
      <c r="V1080">
        <v>5.143499E-2</v>
      </c>
      <c r="W1080">
        <v>0.1769656</v>
      </c>
      <c r="X1080">
        <v>0.98287210000000003</v>
      </c>
      <c r="Y1080">
        <v>8.6144109999999996E-2</v>
      </c>
      <c r="Z1080">
        <v>5.3919249999999997E-3</v>
      </c>
      <c r="AA1080">
        <v>0.99626809999999999</v>
      </c>
      <c r="AB1080">
        <v>34</v>
      </c>
      <c r="AC1080">
        <v>-2.6794999999999898</v>
      </c>
      <c r="AD1080">
        <v>-1.121319994197</v>
      </c>
      <c r="AE1080">
        <v>-71.785200000000003</v>
      </c>
      <c r="AF1080">
        <v>6.2158964944389599</v>
      </c>
      <c r="AG1080">
        <v>-1.121319994197</v>
      </c>
      <c r="AH1080">
        <v>71.548189996728098</v>
      </c>
      <c r="AI1080">
        <v>90.894510552880206</v>
      </c>
      <c r="AJ1080">
        <v>85.034777878786201</v>
      </c>
      <c r="AK1080">
        <v>71.826445126895095</v>
      </c>
      <c r="AL1080">
        <v>79.806935504576799</v>
      </c>
      <c r="AM1080">
        <v>87.004369067321903</v>
      </c>
      <c r="AN1080">
        <v>0.99999997336903401</v>
      </c>
    </row>
    <row r="1081" spans="1:40" x14ac:dyDescent="0.25">
      <c r="A1081" t="str">
        <f>"20190303162520928"</f>
        <v>20190303162520928</v>
      </c>
      <c r="B1081" t="str">
        <f>"1551601520923551"</f>
        <v>1551601520923551</v>
      </c>
      <c r="C1081" t="s">
        <v>40</v>
      </c>
      <c r="D1081">
        <v>5.1892870000000002</v>
      </c>
      <c r="E1081">
        <v>0.50188900000000003</v>
      </c>
      <c r="F1081" t="s">
        <v>41</v>
      </c>
      <c r="G1081">
        <v>-191.21559999999999</v>
      </c>
      <c r="H1081" s="1">
        <v>-2.676687E-6</v>
      </c>
      <c r="I1081">
        <v>265.07459999999998</v>
      </c>
      <c r="J1081">
        <v>-191.07300000000001</v>
      </c>
      <c r="K1081">
        <v>1.1209720000000001</v>
      </c>
      <c r="L1081">
        <v>332.94540000000001</v>
      </c>
      <c r="M1081">
        <v>4.969167E-2</v>
      </c>
      <c r="N1081">
        <v>-1.011341E-2</v>
      </c>
      <c r="O1081">
        <v>-0.99871359999999998</v>
      </c>
      <c r="P1081">
        <v>-1.3718980000000001E-3</v>
      </c>
      <c r="Q1081">
        <v>0.17439109999999999</v>
      </c>
      <c r="R1081">
        <v>-0.98467570000000004</v>
      </c>
      <c r="S1081">
        <v>-4.7149660000000001E-3</v>
      </c>
      <c r="T1081">
        <v>-4.9875259999999998E-2</v>
      </c>
      <c r="U1081">
        <v>-3.0511780000000002</v>
      </c>
      <c r="V1081">
        <v>5.016499E-2</v>
      </c>
      <c r="W1081">
        <v>0.18436530000000001</v>
      </c>
      <c r="X1081">
        <v>0.98157669999999997</v>
      </c>
      <c r="Y1081">
        <v>5.1230640000000001E-2</v>
      </c>
      <c r="Z1081">
        <v>6.1897419999999998E-3</v>
      </c>
      <c r="AA1081">
        <v>0.99866770000000005</v>
      </c>
      <c r="AB1081">
        <v>34</v>
      </c>
      <c r="AC1081">
        <v>-0.14260000000001499</v>
      </c>
      <c r="AD1081">
        <v>-1.1209746766869999</v>
      </c>
      <c r="AE1081">
        <v>-67.870800000000003</v>
      </c>
      <c r="AF1081">
        <v>3.5142503883695602</v>
      </c>
      <c r="AG1081">
        <v>-1.1209746766869999</v>
      </c>
      <c r="AH1081">
        <v>67.761373444773994</v>
      </c>
      <c r="AI1081">
        <v>90.946484386821197</v>
      </c>
      <c r="AJ1081">
        <v>87.031177617926005</v>
      </c>
      <c r="AK1081">
        <v>67.861699589238398</v>
      </c>
      <c r="AL1081">
        <v>79.375869243134701</v>
      </c>
      <c r="AM1081">
        <v>87.074356257581002</v>
      </c>
      <c r="AN1081">
        <v>0.99999995402433794</v>
      </c>
    </row>
    <row r="1082" spans="1:40" x14ac:dyDescent="0.25">
      <c r="A1082" t="str">
        <f>"20190303162520947"</f>
        <v>20190303162520947</v>
      </c>
      <c r="B1082" t="str">
        <f>"1551601520933311"</f>
        <v>1551601520933311</v>
      </c>
      <c r="C1082" t="s">
        <v>40</v>
      </c>
      <c r="D1082">
        <v>5.036181</v>
      </c>
      <c r="E1082">
        <v>0.50183049999999996</v>
      </c>
      <c r="F1082" t="s">
        <v>47</v>
      </c>
      <c r="G1082">
        <v>-191.4863</v>
      </c>
      <c r="H1082" s="1">
        <v>-1.0894190000000001E-5</v>
      </c>
      <c r="I1082">
        <v>149.37180000000001</v>
      </c>
      <c r="J1082">
        <v>-191.05789999999999</v>
      </c>
      <c r="K1082">
        <v>1.120833</v>
      </c>
      <c r="L1082">
        <v>332.6404</v>
      </c>
      <c r="M1082">
        <v>4.9562479999999999E-2</v>
      </c>
      <c r="N1082">
        <v>-1.012447E-2</v>
      </c>
      <c r="O1082">
        <v>-0.99871989999999999</v>
      </c>
      <c r="P1082">
        <v>-1.555952E-3</v>
      </c>
      <c r="Q1082">
        <v>0.177037</v>
      </c>
      <c r="R1082">
        <v>-0.9842033</v>
      </c>
      <c r="S1082">
        <v>-6.8664549999999996E-3</v>
      </c>
      <c r="T1082">
        <v>-1.8624780000000001E-2</v>
      </c>
      <c r="U1082">
        <v>-3.0500180000000001</v>
      </c>
      <c r="V1082">
        <v>5.0264789999999997E-2</v>
      </c>
      <c r="W1082">
        <v>0.18699850000000001</v>
      </c>
      <c r="X1082">
        <v>0.98107339999999998</v>
      </c>
      <c r="Y1082">
        <v>5.180912E-2</v>
      </c>
      <c r="Z1082">
        <v>-4.0341889999999997E-3</v>
      </c>
      <c r="AA1082">
        <v>0.99864889999999995</v>
      </c>
      <c r="AB1082">
        <v>35</v>
      </c>
      <c r="AC1082">
        <v>-0.42840000000001</v>
      </c>
      <c r="AD1082">
        <v>-1.1208438941900001</v>
      </c>
      <c r="AE1082">
        <v>-183.26859999999999</v>
      </c>
      <c r="AF1082">
        <v>9.5112278574612503</v>
      </c>
      <c r="AG1082">
        <v>-1.1208438941900001</v>
      </c>
      <c r="AH1082">
        <v>183.01526541809301</v>
      </c>
      <c r="AI1082">
        <v>90.350420369114204</v>
      </c>
      <c r="AJ1082">
        <v>87.025038341152396</v>
      </c>
      <c r="AK1082">
        <v>183.265673606506</v>
      </c>
      <c r="AL1082">
        <v>79.222328365198393</v>
      </c>
      <c r="AM1082">
        <v>87.067044782024695</v>
      </c>
      <c r="AN1082">
        <v>1.0000000021517701</v>
      </c>
    </row>
    <row r="1083" spans="1:40" x14ac:dyDescent="0.25">
      <c r="A1083" t="str">
        <f>"20190303162520993"</f>
        <v>20190303162520993</v>
      </c>
      <c r="B1083" t="str">
        <f>"1551601520984063"</f>
        <v>1551601520984063</v>
      </c>
      <c r="C1083" t="s">
        <v>40</v>
      </c>
      <c r="D1083">
        <v>5.1522180000000004</v>
      </c>
      <c r="E1083">
        <v>0.5021909</v>
      </c>
      <c r="F1083" t="s">
        <v>41</v>
      </c>
      <c r="G1083">
        <v>-191.61580000000001</v>
      </c>
      <c r="H1083" s="1">
        <v>-4.4653219999999996E-6</v>
      </c>
      <c r="I1083">
        <v>59.266089999999998</v>
      </c>
      <c r="J1083">
        <v>-191.0239</v>
      </c>
      <c r="K1083">
        <v>1.120465</v>
      </c>
      <c r="L1083">
        <v>331.94119999999998</v>
      </c>
      <c r="M1083">
        <v>4.8637090000000001E-2</v>
      </c>
      <c r="N1083">
        <v>-1.014955E-2</v>
      </c>
      <c r="O1083">
        <v>-0.99876509999999996</v>
      </c>
      <c r="P1083">
        <v>-7.9245629999999997E-4</v>
      </c>
      <c r="Q1083">
        <v>0.1800349</v>
      </c>
      <c r="R1083">
        <v>-0.98366010000000004</v>
      </c>
      <c r="S1083">
        <v>-6.225586E-3</v>
      </c>
      <c r="T1083">
        <v>-1.250648E-2</v>
      </c>
      <c r="U1083">
        <v>-3.050354</v>
      </c>
      <c r="V1083">
        <v>4.8738669999999998E-2</v>
      </c>
      <c r="W1083">
        <v>0.1899708</v>
      </c>
      <c r="X1083">
        <v>0.98057930000000004</v>
      </c>
      <c r="Y1083">
        <v>5.0674289999999997E-2</v>
      </c>
      <c r="Z1083">
        <v>-6.0601199999999996E-3</v>
      </c>
      <c r="AA1083">
        <v>0.9986969</v>
      </c>
      <c r="AB1083">
        <v>35</v>
      </c>
      <c r="AC1083">
        <v>-0.59190000000000897</v>
      </c>
      <c r="AD1083">
        <v>-1.120469465322</v>
      </c>
      <c r="AE1083">
        <v>-272.67511000000002</v>
      </c>
      <c r="AF1083">
        <v>13.853770484666001</v>
      </c>
      <c r="AG1083">
        <v>-1.120469465322</v>
      </c>
      <c r="AH1083">
        <v>272.31898237623602</v>
      </c>
      <c r="AI1083">
        <v>90.235440421521005</v>
      </c>
      <c r="AJ1083">
        <v>87.087684244239696</v>
      </c>
      <c r="AK1083">
        <v>272.67345043273599</v>
      </c>
      <c r="AL1083">
        <v>79.048920574930094</v>
      </c>
      <c r="AM1083">
        <v>87.154514817793299</v>
      </c>
      <c r="AN1083">
        <v>1.0000000631972401</v>
      </c>
    </row>
    <row r="1084" spans="1:40" x14ac:dyDescent="0.25">
      <c r="A1084" t="str">
        <f>"20190303162521038"</f>
        <v>20190303162521038</v>
      </c>
      <c r="B1084" t="str">
        <f>"1551601521024079"</f>
        <v>1551601521024079</v>
      </c>
      <c r="C1084" t="s">
        <v>40</v>
      </c>
      <c r="D1084">
        <v>5.2448739999999896</v>
      </c>
      <c r="E1084">
        <v>0.50257619999999903</v>
      </c>
      <c r="F1084" t="s">
        <v>41</v>
      </c>
      <c r="G1084">
        <v>-191.60589999999999</v>
      </c>
      <c r="H1084" s="1">
        <v>-8.5836699999999899E-7</v>
      </c>
      <c r="I1084">
        <v>60.59393</v>
      </c>
      <c r="J1084">
        <v>-190.99189999999999</v>
      </c>
      <c r="K1084">
        <v>1.1200570000000001</v>
      </c>
      <c r="L1084">
        <v>331.24680000000001</v>
      </c>
      <c r="M1084">
        <v>4.6875199999999902E-2</v>
      </c>
      <c r="N1084">
        <v>-1.017439E-2</v>
      </c>
      <c r="O1084">
        <v>-0.99884899999999999</v>
      </c>
      <c r="P1084">
        <v>-1.6363199999999999E-3</v>
      </c>
      <c r="Q1084">
        <v>0.17974270000000001</v>
      </c>
      <c r="R1084">
        <v>-0.98371260000000005</v>
      </c>
      <c r="S1084">
        <v>-6.546021E-3</v>
      </c>
      <c r="T1084">
        <v>-1.2603039999999999E-2</v>
      </c>
      <c r="U1084">
        <v>-3.0521240000000001</v>
      </c>
      <c r="V1084">
        <v>4.8042759999999997E-2</v>
      </c>
      <c r="W1084">
        <v>0.1896562</v>
      </c>
      <c r="X1084">
        <v>0.9806745</v>
      </c>
      <c r="Y1084">
        <v>4.9016299999999999E-2</v>
      </c>
      <c r="Z1084">
        <v>-6.0550939999999996E-3</v>
      </c>
      <c r="AA1084">
        <v>0.99877959999999999</v>
      </c>
      <c r="AB1084">
        <v>35</v>
      </c>
      <c r="AC1084">
        <v>-0.61400000000000399</v>
      </c>
      <c r="AD1084">
        <v>-1.120057858367</v>
      </c>
      <c r="AE1084">
        <v>-270.65287000000001</v>
      </c>
      <c r="AF1084">
        <v>13.3006605247151</v>
      </c>
      <c r="AG1084">
        <v>-1.120057858367</v>
      </c>
      <c r="AH1084">
        <v>270.32191267095601</v>
      </c>
      <c r="AI1084">
        <v>90.237112415027795</v>
      </c>
      <c r="AJ1084">
        <v>87.183145011973707</v>
      </c>
      <c r="AK1084">
        <v>270.65124897196398</v>
      </c>
      <c r="AL1084">
        <v>79.067279200054898</v>
      </c>
      <c r="AM1084">
        <v>87.195350284211102</v>
      </c>
      <c r="AN1084">
        <v>1.0000000279685499</v>
      </c>
    </row>
    <row r="1085" spans="1:40" x14ac:dyDescent="0.25">
      <c r="A1085" t="str">
        <f>"20190303162521060"</f>
        <v>20190303162521060</v>
      </c>
      <c r="B1085" t="str">
        <f>"1551601521053359"</f>
        <v>1551601521053359</v>
      </c>
      <c r="C1085" t="s">
        <v>40</v>
      </c>
      <c r="D1085">
        <v>5.0181699999999996</v>
      </c>
      <c r="E1085">
        <v>0.50262680000000004</v>
      </c>
      <c r="F1085" t="s">
        <v>41</v>
      </c>
      <c r="G1085">
        <v>-191.70060000000001</v>
      </c>
      <c r="H1085" s="1">
        <v>-1.0197669999999999E-6</v>
      </c>
      <c r="I1085">
        <v>160.79169999999999</v>
      </c>
      <c r="J1085">
        <v>-190.9769</v>
      </c>
      <c r="K1085">
        <v>1.119885</v>
      </c>
      <c r="L1085">
        <v>330.90519999999998</v>
      </c>
      <c r="M1085">
        <v>4.5756690000000003E-2</v>
      </c>
      <c r="N1085">
        <v>-1.018529E-2</v>
      </c>
      <c r="O1085">
        <v>-0.99890109999999999</v>
      </c>
      <c r="P1085">
        <v>-3.1716309999999998E-3</v>
      </c>
      <c r="Q1085">
        <v>0.18010190000000001</v>
      </c>
      <c r="R1085">
        <v>-0.9836433</v>
      </c>
      <c r="S1085">
        <v>-1.269531E-2</v>
      </c>
      <c r="T1085">
        <v>-2.0063279999999999E-2</v>
      </c>
      <c r="U1085">
        <v>-3.0533139999999999</v>
      </c>
      <c r="V1085">
        <v>4.8552390000000001E-2</v>
      </c>
      <c r="W1085">
        <v>0.19000449999999999</v>
      </c>
      <c r="X1085">
        <v>0.98058190000000001</v>
      </c>
      <c r="Y1085">
        <v>4.9907849999999997E-2</v>
      </c>
      <c r="Z1085">
        <v>-3.629976E-3</v>
      </c>
      <c r="AA1085">
        <v>0.99874719999999995</v>
      </c>
      <c r="AB1085">
        <v>35</v>
      </c>
      <c r="AC1085">
        <v>-0.723700000000007</v>
      </c>
      <c r="AD1085">
        <v>-1.119886019767</v>
      </c>
      <c r="AE1085">
        <v>-170.11349999999999</v>
      </c>
      <c r="AF1085">
        <v>8.5068045289054908</v>
      </c>
      <c r="AG1085">
        <v>-1.119886019767</v>
      </c>
      <c r="AH1085">
        <v>169.89482856843199</v>
      </c>
      <c r="AI1085">
        <v>90.377195316912903</v>
      </c>
      <c r="AJ1085">
        <v>87.1335367415994</v>
      </c>
      <c r="AK1085">
        <v>170.11135365485501</v>
      </c>
      <c r="AL1085">
        <v>79.046952671727595</v>
      </c>
      <c r="AM1085">
        <v>87.165380041365196</v>
      </c>
      <c r="AN1085">
        <v>0.99999995360128402</v>
      </c>
    </row>
    <row r="1086" spans="1:40" x14ac:dyDescent="0.25">
      <c r="A1086" t="str">
        <f>"20190303162521081"</f>
        <v>20190303162521081</v>
      </c>
      <c r="B1086" t="str">
        <f>"1551601521073856"</f>
        <v>1551601521073856</v>
      </c>
      <c r="C1086" t="s">
        <v>40</v>
      </c>
      <c r="D1086">
        <v>5.0300379999999896</v>
      </c>
      <c r="E1086">
        <v>0.50275959999999997</v>
      </c>
      <c r="F1086" t="s">
        <v>41</v>
      </c>
      <c r="G1086">
        <v>-191.7311</v>
      </c>
      <c r="H1086" s="1">
        <v>-4.2520589999999998E-6</v>
      </c>
      <c r="I1086">
        <v>198.57929999999999</v>
      </c>
      <c r="J1086">
        <v>-190.9624</v>
      </c>
      <c r="K1086">
        <v>1.1197619999999999</v>
      </c>
      <c r="L1086">
        <v>330.56569999999999</v>
      </c>
      <c r="M1086">
        <v>4.45336E-2</v>
      </c>
      <c r="N1086">
        <v>-1.019484E-2</v>
      </c>
      <c r="O1086">
        <v>-0.99895610000000001</v>
      </c>
      <c r="P1086">
        <v>-5.7005939999999998E-3</v>
      </c>
      <c r="Q1086">
        <v>0.18165709999999999</v>
      </c>
      <c r="R1086">
        <v>-0.98334569999999999</v>
      </c>
      <c r="S1086">
        <v>-1.741028E-2</v>
      </c>
      <c r="T1086">
        <v>-2.5850890000000001E-2</v>
      </c>
      <c r="U1086">
        <v>-3.054535</v>
      </c>
      <c r="V1086">
        <v>4.9926539999999998E-2</v>
      </c>
      <c r="W1086">
        <v>0.19154679999999999</v>
      </c>
      <c r="X1086">
        <v>0.9802128</v>
      </c>
      <c r="Y1086">
        <v>5.0224449999999997E-2</v>
      </c>
      <c r="Z1086">
        <v>-1.7513889999999999E-3</v>
      </c>
      <c r="AA1086">
        <v>0.99873639999999997</v>
      </c>
      <c r="AB1086">
        <v>35</v>
      </c>
      <c r="AC1086">
        <v>-0.76869999999999505</v>
      </c>
      <c r="AD1086">
        <v>-1.1197662520589999</v>
      </c>
      <c r="AE1086">
        <v>-131.9864</v>
      </c>
      <c r="AF1086">
        <v>6.6455926198059601</v>
      </c>
      <c r="AG1086">
        <v>-1.1197662520589999</v>
      </c>
      <c r="AH1086">
        <v>131.81171913445399</v>
      </c>
      <c r="AI1086">
        <v>90.486109708167007</v>
      </c>
      <c r="AJ1086">
        <v>87.113744659715906</v>
      </c>
      <c r="AK1086">
        <v>131.983889467268</v>
      </c>
      <c r="AL1086">
        <v>78.956932374273904</v>
      </c>
      <c r="AM1086">
        <v>87.0841942428263</v>
      </c>
      <c r="AN1086">
        <v>0.99999998463522499</v>
      </c>
    </row>
    <row r="1087" spans="1:40" x14ac:dyDescent="0.25">
      <c r="A1087" t="str">
        <f>"20190303162521108"</f>
        <v>20190303162521108</v>
      </c>
      <c r="B1087" t="str">
        <f>"1551601521093375"</f>
        <v>1551601521093375</v>
      </c>
      <c r="C1087" t="s">
        <v>40</v>
      </c>
      <c r="D1087">
        <v>5.2035839999999904</v>
      </c>
      <c r="E1087">
        <v>0.50275139999999996</v>
      </c>
      <c r="F1087" t="s">
        <v>41</v>
      </c>
      <c r="G1087">
        <v>-192.10239999999999</v>
      </c>
      <c r="H1087" s="1">
        <v>-2.6119540000000001E-6</v>
      </c>
      <c r="I1087">
        <v>194.37360000000001</v>
      </c>
      <c r="J1087">
        <v>-190.94589999999999</v>
      </c>
      <c r="K1087">
        <v>1.119658</v>
      </c>
      <c r="L1087">
        <v>330.161</v>
      </c>
      <c r="M1087">
        <v>4.2974539999999999E-2</v>
      </c>
      <c r="N1087">
        <v>-1.020482E-2</v>
      </c>
      <c r="O1087">
        <v>-0.99902400000000002</v>
      </c>
      <c r="P1087">
        <v>-9.9975120000000001E-3</v>
      </c>
      <c r="Q1087">
        <v>0.18325640000000001</v>
      </c>
      <c r="R1087">
        <v>-0.98301459999999996</v>
      </c>
      <c r="S1087">
        <v>-2.5573729999999999E-2</v>
      </c>
      <c r="T1087">
        <v>-2.5120259999999998E-2</v>
      </c>
      <c r="U1087">
        <v>-3.0552670000000002</v>
      </c>
      <c r="V1087">
        <v>5.2726969999999998E-2</v>
      </c>
      <c r="W1087">
        <v>0.1931312</v>
      </c>
      <c r="X1087">
        <v>0.97975520000000005</v>
      </c>
      <c r="Y1087">
        <v>5.133277E-2</v>
      </c>
      <c r="Z1087">
        <v>-2.0020250000000002E-3</v>
      </c>
      <c r="AA1087">
        <v>0.9986796</v>
      </c>
      <c r="AB1087">
        <v>35</v>
      </c>
      <c r="AC1087">
        <v>-1.1564999999999901</v>
      </c>
      <c r="AD1087">
        <v>-1.119660611954</v>
      </c>
      <c r="AE1087">
        <v>-135.78739999999999</v>
      </c>
      <c r="AF1087">
        <v>6.9906614132862304</v>
      </c>
      <c r="AG1087">
        <v>-1.119660611954</v>
      </c>
      <c r="AH1087">
        <v>135.603020320018</v>
      </c>
      <c r="AI1087">
        <v>90.472447430422207</v>
      </c>
      <c r="AJ1087">
        <v>87.048877442966997</v>
      </c>
      <c r="AK1087">
        <v>135.787709704495</v>
      </c>
      <c r="AL1087">
        <v>78.864426125276594</v>
      </c>
      <c r="AM1087">
        <v>86.919514806230694</v>
      </c>
      <c r="AN1087">
        <v>1.00000002285293</v>
      </c>
    </row>
    <row r="1088" spans="1:40" x14ac:dyDescent="0.25">
      <c r="A1088" t="str">
        <f>"20190303162521149"</f>
        <v>20190303162521149</v>
      </c>
      <c r="B1088" t="str">
        <f>"1551601521144127"</f>
        <v>1551601521144127</v>
      </c>
      <c r="C1088" t="s">
        <v>40</v>
      </c>
      <c r="D1088">
        <v>5.3592469999999999</v>
      </c>
      <c r="E1088">
        <v>0.50264560000000003</v>
      </c>
      <c r="F1088" t="s">
        <v>41</v>
      </c>
      <c r="G1088">
        <v>-192.91239999999999</v>
      </c>
      <c r="H1088" s="1">
        <v>-8.5172089999999898E-7</v>
      </c>
      <c r="I1088">
        <v>169.7681</v>
      </c>
      <c r="J1088">
        <v>-190.9212</v>
      </c>
      <c r="K1088">
        <v>1.11954</v>
      </c>
      <c r="L1088">
        <v>329.52199999999999</v>
      </c>
      <c r="M1088">
        <v>4.0421230000000002E-2</v>
      </c>
      <c r="N1088">
        <v>-1.021904E-2</v>
      </c>
      <c r="O1088">
        <v>-0.99913050000000003</v>
      </c>
      <c r="P1088">
        <v>-1.8888309999999998E-2</v>
      </c>
      <c r="Q1088">
        <v>0.18018139999999999</v>
      </c>
      <c r="R1088">
        <v>-0.9834524</v>
      </c>
      <c r="S1088">
        <v>-3.746033E-2</v>
      </c>
      <c r="T1088">
        <v>-2.1329049999999999E-2</v>
      </c>
      <c r="U1088">
        <v>-3.0554199999999998</v>
      </c>
      <c r="V1088">
        <v>5.9157349999999997E-2</v>
      </c>
      <c r="W1088">
        <v>0.1900415</v>
      </c>
      <c r="X1088">
        <v>0.97999219999999998</v>
      </c>
      <c r="Y1088">
        <v>5.2664959999999997E-2</v>
      </c>
      <c r="Z1088">
        <v>-3.2547930000000002E-3</v>
      </c>
      <c r="AA1088">
        <v>0.99860689999999996</v>
      </c>
      <c r="AB1088">
        <v>35</v>
      </c>
      <c r="AC1088">
        <v>-1.9911999999999901</v>
      </c>
      <c r="AD1088">
        <v>-1.1195408517209</v>
      </c>
      <c r="AE1088">
        <v>-159.75389999999999</v>
      </c>
      <c r="AF1088">
        <v>8.4469438442527505</v>
      </c>
      <c r="AG1088">
        <v>-1.1195408517209</v>
      </c>
      <c r="AH1088">
        <v>159.534999368559</v>
      </c>
      <c r="AI1088">
        <v>90.401505586184697</v>
      </c>
      <c r="AJ1088">
        <v>86.9691745817304</v>
      </c>
      <c r="AK1088">
        <v>159.76238686108999</v>
      </c>
      <c r="AL1088">
        <v>79.044794319960502</v>
      </c>
      <c r="AM1088">
        <v>86.545525110510894</v>
      </c>
      <c r="AN1088">
        <v>1.0000000379210501</v>
      </c>
    </row>
    <row r="1089" spans="1:40" x14ac:dyDescent="0.25">
      <c r="A1089" t="str">
        <f>"20190303162521172"</f>
        <v>20190303162521172</v>
      </c>
      <c r="B1089" t="str">
        <f>"1551601521163647"</f>
        <v>1551601521163647</v>
      </c>
      <c r="C1089" t="s">
        <v>40</v>
      </c>
      <c r="D1089">
        <v>5.3674239999999998</v>
      </c>
      <c r="E1089">
        <v>0.50253130000000001</v>
      </c>
      <c r="F1089" t="s">
        <v>41</v>
      </c>
      <c r="G1089">
        <v>-192.7286</v>
      </c>
      <c r="H1089" s="1">
        <v>-1.880352E-6</v>
      </c>
      <c r="I1089">
        <v>242.03360000000001</v>
      </c>
      <c r="J1089">
        <v>-190.90790000000001</v>
      </c>
      <c r="K1089">
        <v>1.1195029999999999</v>
      </c>
      <c r="L1089">
        <v>329.16219999999998</v>
      </c>
      <c r="M1089">
        <v>3.8991720000000001E-2</v>
      </c>
      <c r="N1089">
        <v>-1.0226239999999999E-2</v>
      </c>
      <c r="O1089">
        <v>-0.9991873</v>
      </c>
      <c r="P1089">
        <v>-2.333503E-2</v>
      </c>
      <c r="Q1089">
        <v>0.17886099999999999</v>
      </c>
      <c r="R1089">
        <v>-0.98359739999999996</v>
      </c>
      <c r="S1089">
        <v>-6.3140870000000002E-2</v>
      </c>
      <c r="T1089">
        <v>-3.9110659999999998E-2</v>
      </c>
      <c r="U1089">
        <v>-3.0563660000000001</v>
      </c>
      <c r="V1089">
        <v>6.221169E-2</v>
      </c>
      <c r="W1089">
        <v>0.18871589999999999</v>
      </c>
      <c r="X1089">
        <v>0.98005920000000002</v>
      </c>
      <c r="Y1089">
        <v>5.9617049999999998E-2</v>
      </c>
      <c r="Z1089">
        <v>2.5378839999999998E-3</v>
      </c>
      <c r="AA1089">
        <v>0.9982181</v>
      </c>
      <c r="AB1089">
        <v>35</v>
      </c>
      <c r="AC1089">
        <v>-1.82069999999998</v>
      </c>
      <c r="AD1089">
        <v>-1.119504880352</v>
      </c>
      <c r="AE1089">
        <v>-87.128599999999906</v>
      </c>
      <c r="AF1089">
        <v>5.2159258366442698</v>
      </c>
      <c r="AG1089">
        <v>-1.119504880352</v>
      </c>
      <c r="AH1089">
        <v>86.9769857036122</v>
      </c>
      <c r="AI1089">
        <v>90.736106839509304</v>
      </c>
      <c r="AJ1089">
        <v>86.568137482045302</v>
      </c>
      <c r="AK1089">
        <v>87.140433873127293</v>
      </c>
      <c r="AL1089">
        <v>79.122145040188599</v>
      </c>
      <c r="AM1089">
        <v>86.367881378036003</v>
      </c>
      <c r="AN1089">
        <v>1.0000000103950499</v>
      </c>
    </row>
    <row r="1090" spans="1:40" x14ac:dyDescent="0.25">
      <c r="A1090" t="str">
        <f>"20190303162521194"</f>
        <v>20190303162521194</v>
      </c>
      <c r="B1090" t="str">
        <f>"1551601521184143"</f>
        <v>1551601521184143</v>
      </c>
      <c r="C1090" t="s">
        <v>40</v>
      </c>
      <c r="D1090">
        <v>5.0352449999999997</v>
      </c>
      <c r="E1090">
        <v>0.50251679999999999</v>
      </c>
      <c r="F1090" t="s">
        <v>41</v>
      </c>
      <c r="G1090">
        <v>-192.77289999999999</v>
      </c>
      <c r="H1090" s="1">
        <v>-2.4669360000000002E-6</v>
      </c>
      <c r="I1090">
        <v>253.6198</v>
      </c>
      <c r="J1090">
        <v>-190.8954</v>
      </c>
      <c r="K1090">
        <v>1.1194809999999999</v>
      </c>
      <c r="L1090">
        <v>328.81029999999998</v>
      </c>
      <c r="M1090">
        <v>3.762418E-2</v>
      </c>
      <c r="N1090">
        <v>-1.0232969999999999E-2</v>
      </c>
      <c r="O1090">
        <v>-0.99923960000000001</v>
      </c>
      <c r="P1090">
        <v>-2.7336369999999999E-2</v>
      </c>
      <c r="Q1090">
        <v>0.17760290000000001</v>
      </c>
      <c r="R1090">
        <v>-0.98372250000000006</v>
      </c>
      <c r="S1090">
        <v>-7.5454709999999994E-2</v>
      </c>
      <c r="T1090">
        <v>-4.5294880000000003E-2</v>
      </c>
      <c r="U1090">
        <v>-3.0564269999999998</v>
      </c>
      <c r="V1090">
        <v>6.4874660000000001E-2</v>
      </c>
      <c r="W1090">
        <v>0.1874547</v>
      </c>
      <c r="X1090">
        <v>0.98012860000000002</v>
      </c>
      <c r="Y1090">
        <v>6.2268690000000002E-2</v>
      </c>
      <c r="Z1090">
        <v>4.5481779999999999E-3</v>
      </c>
      <c r="AA1090">
        <v>0.99804910000000002</v>
      </c>
      <c r="AB1090">
        <v>35</v>
      </c>
      <c r="AC1090">
        <v>-1.87749999999999</v>
      </c>
      <c r="AD1090">
        <v>-1.1194834669360001</v>
      </c>
      <c r="AE1090">
        <v>-75.190499999999901</v>
      </c>
      <c r="AF1090">
        <v>4.7042573008071003</v>
      </c>
      <c r="AG1090">
        <v>-1.1194834669360001</v>
      </c>
      <c r="AH1090">
        <v>75.049987381352196</v>
      </c>
      <c r="AI1090">
        <v>90.852915710353898</v>
      </c>
      <c r="AJ1090">
        <v>86.413298264043803</v>
      </c>
      <c r="AK1090">
        <v>75.205610734346607</v>
      </c>
      <c r="AL1090">
        <v>79.195719796036798</v>
      </c>
      <c r="AM1090">
        <v>86.213119195573199</v>
      </c>
      <c r="AN1090">
        <v>1.0000000293000799</v>
      </c>
    </row>
    <row r="1091" spans="1:40" x14ac:dyDescent="0.25">
      <c r="A1091" t="str">
        <f>"20190303162521216"</f>
        <v>20190303162521216</v>
      </c>
      <c r="B1091" t="str">
        <f>"1551601521203663"</f>
        <v>1551601521203663</v>
      </c>
      <c r="C1091" t="s">
        <v>40</v>
      </c>
      <c r="D1091">
        <v>5.425529</v>
      </c>
      <c r="E1091">
        <v>0.50240929999999995</v>
      </c>
      <c r="F1091" t="s">
        <v>41</v>
      </c>
      <c r="G1091">
        <v>-192.78909999999999</v>
      </c>
      <c r="H1091" s="1">
        <v>-2.0878580000000001E-6</v>
      </c>
      <c r="I1091">
        <v>262.72609999999997</v>
      </c>
      <c r="J1091">
        <v>-190.88390000000001</v>
      </c>
      <c r="K1091">
        <v>1.119459</v>
      </c>
      <c r="L1091">
        <v>328.47309999999999</v>
      </c>
      <c r="M1091">
        <v>3.6352839999999997E-2</v>
      </c>
      <c r="N1091">
        <v>-1.023929E-2</v>
      </c>
      <c r="O1091">
        <v>-0.99928680000000003</v>
      </c>
      <c r="P1091">
        <v>-3.08545E-2</v>
      </c>
      <c r="Q1091">
        <v>0.17598029999999901</v>
      </c>
      <c r="R1091">
        <v>-0.98391019999999896</v>
      </c>
      <c r="S1091">
        <v>-8.7585449999999995E-2</v>
      </c>
      <c r="T1091">
        <v>-5.1778199999999899E-2</v>
      </c>
      <c r="U1091">
        <v>-3.0565190000000002</v>
      </c>
      <c r="V1091">
        <v>6.7144819999999994E-2</v>
      </c>
      <c r="W1091">
        <v>0.185833</v>
      </c>
      <c r="X1091">
        <v>0.9802845</v>
      </c>
      <c r="Y1091">
        <v>6.4954739999999997E-2</v>
      </c>
      <c r="Z1091">
        <v>6.6556310000000004E-3</v>
      </c>
      <c r="AA1091">
        <v>0.99786600000000003</v>
      </c>
      <c r="AB1091">
        <v>35</v>
      </c>
      <c r="AC1091">
        <v>-1.90519999999998</v>
      </c>
      <c r="AD1091">
        <v>-1.119461087858</v>
      </c>
      <c r="AE1091">
        <v>-65.747</v>
      </c>
      <c r="AF1091">
        <v>4.2929119405171496</v>
      </c>
      <c r="AG1091">
        <v>-1.119461087858</v>
      </c>
      <c r="AH1091">
        <v>65.615268081968395</v>
      </c>
      <c r="AI1091">
        <v>90.975342749614995</v>
      </c>
      <c r="AJ1091">
        <v>86.256729722031906</v>
      </c>
      <c r="AK1091">
        <v>65.765079575142593</v>
      </c>
      <c r="AL1091">
        <v>79.290298192634296</v>
      </c>
      <c r="AM1091">
        <v>86.081632107906103</v>
      </c>
      <c r="AN1091">
        <v>1.00000001584104</v>
      </c>
    </row>
    <row r="1092" spans="1:40" x14ac:dyDescent="0.25">
      <c r="A1092" t="str">
        <f>"20190303162521239"</f>
        <v>20190303162521239</v>
      </c>
      <c r="B1092" t="str">
        <f>"1551601521233920"</f>
        <v>1551601521233920</v>
      </c>
      <c r="C1092" t="s">
        <v>40</v>
      </c>
      <c r="D1092">
        <v>5.3704580000000002</v>
      </c>
      <c r="E1092">
        <v>0.5022896</v>
      </c>
      <c r="F1092" t="s">
        <v>46</v>
      </c>
      <c r="G1092">
        <v>-192.76300000000001</v>
      </c>
      <c r="H1092" s="1">
        <v>7.0430729999999998E-6</v>
      </c>
      <c r="I1092">
        <v>270.05399999999997</v>
      </c>
      <c r="J1092">
        <v>-190.87180000000001</v>
      </c>
      <c r="K1092">
        <v>1.119459</v>
      </c>
      <c r="L1092">
        <v>328.1046</v>
      </c>
      <c r="M1092">
        <v>3.5006830000000003E-2</v>
      </c>
      <c r="N1092">
        <v>-1.0245519999999999E-2</v>
      </c>
      <c r="O1092">
        <v>-0.99933479999999997</v>
      </c>
      <c r="P1092">
        <v>-3.3931269999999999E-2</v>
      </c>
      <c r="Q1092">
        <v>0.17464560000000001</v>
      </c>
      <c r="R1092">
        <v>-0.9840468</v>
      </c>
      <c r="S1092">
        <v>-9.8312380000000005E-2</v>
      </c>
      <c r="T1092">
        <v>-5.8568599999999998E-2</v>
      </c>
      <c r="U1092">
        <v>-3.0564269999999998</v>
      </c>
      <c r="V1092">
        <v>6.8895129999999999E-2</v>
      </c>
      <c r="W1092">
        <v>0.18450169999999999</v>
      </c>
      <c r="X1092">
        <v>0.98041449999999997</v>
      </c>
      <c r="Y1092">
        <v>6.7108650000000006E-2</v>
      </c>
      <c r="Z1092">
        <v>8.8643519999999903E-3</v>
      </c>
      <c r="AA1092">
        <v>0.99770630000000005</v>
      </c>
      <c r="AB1092">
        <v>35</v>
      </c>
      <c r="AC1092">
        <v>-1.89119999999999</v>
      </c>
      <c r="AD1092">
        <v>-1.1194519569270001</v>
      </c>
      <c r="AE1092">
        <v>-58.050599999999903</v>
      </c>
      <c r="AF1092">
        <v>3.9208578403302599</v>
      </c>
      <c r="AG1092">
        <v>-1.1194519569270001</v>
      </c>
      <c r="AH1092">
        <v>57.9272882338445</v>
      </c>
      <c r="AI1092">
        <v>91.104583431023997</v>
      </c>
      <c r="AJ1092">
        <v>86.127792502493193</v>
      </c>
      <c r="AK1092">
        <v>58.070620980103499</v>
      </c>
      <c r="AL1092">
        <v>79.367918227290005</v>
      </c>
      <c r="AM1092">
        <v>85.9803513275304</v>
      </c>
      <c r="AN1092">
        <v>1.00000000402542</v>
      </c>
    </row>
    <row r="1093" spans="1:40" x14ac:dyDescent="0.25">
      <c r="A1093" t="str">
        <f>"20190303162521261"</f>
        <v>20190303162521261</v>
      </c>
      <c r="B1093" t="str">
        <f>"1551601521253441"</f>
        <v>1551601521253441</v>
      </c>
      <c r="C1093" t="s">
        <v>40</v>
      </c>
      <c r="D1093">
        <v>5.3780359999999998</v>
      </c>
      <c r="E1093">
        <v>0.50211209999999995</v>
      </c>
      <c r="F1093" t="s">
        <v>46</v>
      </c>
      <c r="G1093">
        <v>-192.72200000000001</v>
      </c>
      <c r="H1093" s="1">
        <v>5.2394820000000003E-6</v>
      </c>
      <c r="I1093">
        <v>275.53379999999999</v>
      </c>
      <c r="J1093">
        <v>-190.86089999999999</v>
      </c>
      <c r="K1093">
        <v>1.1194740000000001</v>
      </c>
      <c r="L1093">
        <v>327.76100000000002</v>
      </c>
      <c r="M1093">
        <v>3.3788529999999997E-2</v>
      </c>
      <c r="N1093">
        <v>-1.0251120000000001E-2</v>
      </c>
      <c r="O1093">
        <v>-0.99937670000000001</v>
      </c>
      <c r="P1093">
        <v>-3.6748650000000001E-2</v>
      </c>
      <c r="Q1093">
        <v>0.1740958</v>
      </c>
      <c r="R1093">
        <v>-0.98404309999999995</v>
      </c>
      <c r="S1093">
        <v>-0.1075745</v>
      </c>
      <c r="T1093">
        <v>-6.5086130000000006E-2</v>
      </c>
      <c r="U1093">
        <v>-3.0565190000000002</v>
      </c>
      <c r="V1093">
        <v>7.0507139999999996E-2</v>
      </c>
      <c r="W1093">
        <v>0.18395429999999999</v>
      </c>
      <c r="X1093">
        <v>0.98040280000000002</v>
      </c>
      <c r="Y1093">
        <v>6.8909360000000003E-2</v>
      </c>
      <c r="Z1093">
        <v>1.098325E-2</v>
      </c>
      <c r="AA1093">
        <v>0.99756250000000002</v>
      </c>
      <c r="AB1093">
        <v>35</v>
      </c>
      <c r="AC1093">
        <v>-1.86110000000002</v>
      </c>
      <c r="AD1093">
        <v>-1.119468760518</v>
      </c>
      <c r="AE1093">
        <v>-52.227199999999897</v>
      </c>
      <c r="AF1093">
        <v>3.6231472622966301</v>
      </c>
      <c r="AG1093">
        <v>-1.119468760518</v>
      </c>
      <c r="AH1093">
        <v>52.110576857679497</v>
      </c>
      <c r="AI1093">
        <v>91.227707934431294</v>
      </c>
      <c r="AJ1093">
        <v>86.022736318369894</v>
      </c>
      <c r="AK1093">
        <v>52.248374394139603</v>
      </c>
      <c r="AL1093">
        <v>79.399828569446896</v>
      </c>
      <c r="AM1093">
        <v>85.886569730437003</v>
      </c>
      <c r="AN1093">
        <v>1.00000004576365</v>
      </c>
    </row>
    <row r="1094" spans="1:40" x14ac:dyDescent="0.25">
      <c r="A1094" t="str">
        <f>"20190303162521283"</f>
        <v>20190303162521283</v>
      </c>
      <c r="B1094" t="str">
        <f>"1551601521273934"</f>
        <v>1551601521273934</v>
      </c>
      <c r="C1094" t="s">
        <v>40</v>
      </c>
      <c r="D1094">
        <v>5.4421160000000004</v>
      </c>
      <c r="E1094">
        <v>0.50202630000000004</v>
      </c>
      <c r="F1094" t="s">
        <v>46</v>
      </c>
      <c r="G1094">
        <v>-192.75059999999999</v>
      </c>
      <c r="H1094" s="1">
        <v>4.6065179999999999E-6</v>
      </c>
      <c r="I1094">
        <v>277.3064</v>
      </c>
      <c r="J1094">
        <v>-190.85050000000001</v>
      </c>
      <c r="K1094">
        <v>1.1194809999999999</v>
      </c>
      <c r="L1094">
        <v>327.41930000000002</v>
      </c>
      <c r="M1094">
        <v>3.260308E-2</v>
      </c>
      <c r="N1094">
        <v>-1.0256599999999999E-2</v>
      </c>
      <c r="O1094">
        <v>-0.99941590000000002</v>
      </c>
      <c r="P1094">
        <v>-3.9427339999999998E-2</v>
      </c>
      <c r="Q1094">
        <v>0.17424489999999901</v>
      </c>
      <c r="R1094">
        <v>-0.98391260000000003</v>
      </c>
      <c r="S1094">
        <v>-0.1144714</v>
      </c>
      <c r="T1094">
        <v>-6.7812919999999999E-2</v>
      </c>
      <c r="U1094">
        <v>-3.0563349999999998</v>
      </c>
      <c r="V1094">
        <v>7.2010870000000005E-2</v>
      </c>
      <c r="W1094">
        <v>0.1841042</v>
      </c>
      <c r="X1094">
        <v>0.98026530000000001</v>
      </c>
      <c r="Y1094">
        <v>6.9975350000000006E-2</v>
      </c>
      <c r="Z1094">
        <v>1.186806E-2</v>
      </c>
      <c r="AA1094">
        <v>0.99747810000000003</v>
      </c>
      <c r="AB1094">
        <v>35</v>
      </c>
      <c r="AC1094">
        <v>-1.9000999999999799</v>
      </c>
      <c r="AD1094">
        <v>-1.119476393482</v>
      </c>
      <c r="AE1094">
        <v>-50.112900000000003</v>
      </c>
      <c r="AF1094">
        <v>3.5312506599915201</v>
      </c>
      <c r="AG1094">
        <v>-1.119476393482</v>
      </c>
      <c r="AH1094">
        <v>49.999388123054302</v>
      </c>
      <c r="AI1094">
        <v>91.27944094883</v>
      </c>
      <c r="AJ1094">
        <v>85.960143339027596</v>
      </c>
      <c r="AK1094">
        <v>50.136431577238099</v>
      </c>
      <c r="AL1094">
        <v>79.391090099169702</v>
      </c>
      <c r="AM1094">
        <v>85.798564852855606</v>
      </c>
      <c r="AN1094">
        <v>0.99999999011994301</v>
      </c>
    </row>
    <row r="1095" spans="1:40" x14ac:dyDescent="0.25">
      <c r="A1095" t="str">
        <f>"20190303162521307"</f>
        <v>20190303162521307</v>
      </c>
      <c r="B1095" t="str">
        <f>"1551601521293455"</f>
        <v>1551601521293455</v>
      </c>
      <c r="C1095" t="s">
        <v>40</v>
      </c>
      <c r="D1095">
        <v>5.2016790000000004</v>
      </c>
      <c r="E1095">
        <v>0.50187280000000001</v>
      </c>
      <c r="F1095" t="s">
        <v>46</v>
      </c>
      <c r="G1095">
        <v>-192.84180000000001</v>
      </c>
      <c r="H1095" s="1">
        <v>4.5670690000000001E-6</v>
      </c>
      <c r="I1095">
        <v>277.36070000000001</v>
      </c>
      <c r="J1095">
        <v>-190.83940000000001</v>
      </c>
      <c r="K1095">
        <v>1.119494</v>
      </c>
      <c r="L1095">
        <v>327.04169999999999</v>
      </c>
      <c r="M1095">
        <v>3.1316410000000003E-2</v>
      </c>
      <c r="N1095">
        <v>-1.0262749999999999E-2</v>
      </c>
      <c r="O1095">
        <v>-0.99945709999999999</v>
      </c>
      <c r="P1095">
        <v>-4.2132089999999997E-2</v>
      </c>
      <c r="Q1095">
        <v>0.1745247</v>
      </c>
      <c r="R1095">
        <v>-0.9837515</v>
      </c>
      <c r="S1095">
        <v>-0.121582</v>
      </c>
      <c r="T1095">
        <v>-6.8349119999999999E-2</v>
      </c>
      <c r="U1095">
        <v>-3.056305</v>
      </c>
      <c r="V1095">
        <v>7.3441350000000002E-2</v>
      </c>
      <c r="W1095">
        <v>0.18438640000000001</v>
      </c>
      <c r="X1095">
        <v>0.98010609999999998</v>
      </c>
      <c r="Y1095">
        <v>7.1008349999999998E-2</v>
      </c>
      <c r="Z1095">
        <v>1.203649E-2</v>
      </c>
      <c r="AA1095">
        <v>0.99740309999999999</v>
      </c>
      <c r="AB1095">
        <v>35</v>
      </c>
      <c r="AC1095">
        <v>-2.00239999999999</v>
      </c>
      <c r="AD1095">
        <v>-1.1194894329309999</v>
      </c>
      <c r="AE1095">
        <v>-49.680999999999898</v>
      </c>
      <c r="AF1095">
        <v>3.5555274192868001</v>
      </c>
      <c r="AG1095">
        <v>-1.1194894329309999</v>
      </c>
      <c r="AH1095">
        <v>49.5687904132282</v>
      </c>
      <c r="AI1095">
        <v>91.290465774879607</v>
      </c>
      <c r="AJ1095">
        <v>85.897248874836194</v>
      </c>
      <c r="AK1095">
        <v>49.708751893909898</v>
      </c>
      <c r="AL1095">
        <v>79.374639405630404</v>
      </c>
      <c r="AM1095">
        <v>85.714718702066094</v>
      </c>
      <c r="AN1095">
        <v>0.99999997182599498</v>
      </c>
    </row>
    <row r="1096" spans="1:40" x14ac:dyDescent="0.25">
      <c r="A1096" t="str">
        <f>"20190303162521330"</f>
        <v>20190303162521330</v>
      </c>
      <c r="B1096" t="str">
        <f>"1551601521324687"</f>
        <v>1551601521324687</v>
      </c>
      <c r="C1096" t="s">
        <v>40</v>
      </c>
      <c r="D1096">
        <v>5.2129960000000004</v>
      </c>
      <c r="E1096">
        <v>0.50182249999999995</v>
      </c>
      <c r="F1096" t="s">
        <v>46</v>
      </c>
      <c r="G1096">
        <v>-192.9452</v>
      </c>
      <c r="H1096" s="1">
        <v>4.6166269999999997E-6</v>
      </c>
      <c r="I1096">
        <v>277.15570000000002</v>
      </c>
      <c r="J1096">
        <v>-190.82910000000001</v>
      </c>
      <c r="K1096">
        <v>1.119505</v>
      </c>
      <c r="L1096">
        <v>326.6755</v>
      </c>
      <c r="M1096">
        <v>3.0084679999999999E-2</v>
      </c>
      <c r="N1096">
        <v>-1.026846E-2</v>
      </c>
      <c r="O1096">
        <v>-0.99949469999999996</v>
      </c>
      <c r="P1096">
        <v>-4.3601220000000003E-2</v>
      </c>
      <c r="Q1096">
        <v>0.17442340000000001</v>
      </c>
      <c r="R1096">
        <v>-0.9837051</v>
      </c>
      <c r="S1096">
        <v>-0.12901309999999999</v>
      </c>
      <c r="T1096">
        <v>-6.8583610000000003E-2</v>
      </c>
      <c r="U1096">
        <v>-3.0561829999999999</v>
      </c>
      <c r="V1096">
        <v>7.3695010000000005E-2</v>
      </c>
      <c r="W1096">
        <v>0.18429129999999999</v>
      </c>
      <c r="X1096">
        <v>0.980105</v>
      </c>
      <c r="Y1096">
        <v>7.2201409999999994E-2</v>
      </c>
      <c r="Z1096">
        <v>1.210724E-2</v>
      </c>
      <c r="AA1096">
        <v>0.9973166</v>
      </c>
      <c r="AB1096">
        <v>35</v>
      </c>
      <c r="AC1096">
        <v>-2.1160999999999799</v>
      </c>
      <c r="AD1096">
        <v>-1.119500383373</v>
      </c>
      <c r="AE1096">
        <v>-49.519799999999897</v>
      </c>
      <c r="AF1096">
        <v>3.6031696427703199</v>
      </c>
      <c r="AG1096">
        <v>-1.119500383373</v>
      </c>
      <c r="AH1096">
        <v>49.408511355242801</v>
      </c>
      <c r="AI1096">
        <v>91.294551771574803</v>
      </c>
      <c r="AJ1096">
        <v>85.829026301979795</v>
      </c>
      <c r="AK1096">
        <v>49.552367319070797</v>
      </c>
      <c r="AL1096">
        <v>79.380183805198399</v>
      </c>
      <c r="AM1096">
        <v>85.6999683269283</v>
      </c>
      <c r="AN1096">
        <v>1.00000002438979</v>
      </c>
    </row>
    <row r="1097" spans="1:40" x14ac:dyDescent="0.25">
      <c r="A1097" t="str">
        <f>"20190303162521352"</f>
        <v>20190303162521352</v>
      </c>
      <c r="B1097" t="str">
        <f>"1551601521344207"</f>
        <v>1551601521344207</v>
      </c>
      <c r="C1097" t="s">
        <v>40</v>
      </c>
      <c r="D1097">
        <v>5.3143140000000004</v>
      </c>
      <c r="E1097">
        <v>0.520007</v>
      </c>
      <c r="F1097" t="s">
        <v>46</v>
      </c>
      <c r="G1097">
        <v>-192.9639</v>
      </c>
      <c r="H1097" s="1">
        <v>4.3991529999999999E-6</v>
      </c>
      <c r="I1097">
        <v>277.75920000000002</v>
      </c>
      <c r="J1097">
        <v>-190.81970000000001</v>
      </c>
      <c r="K1097">
        <v>1.1195040000000001</v>
      </c>
      <c r="L1097">
        <v>326.32530000000003</v>
      </c>
      <c r="M1097">
        <v>2.8915900000000001E-2</v>
      </c>
      <c r="N1097">
        <v>-1.0273880000000001E-2</v>
      </c>
      <c r="O1097">
        <v>-0.99952940000000001</v>
      </c>
      <c r="P1097">
        <v>-4.528886E-2</v>
      </c>
      <c r="Q1097">
        <v>0.1746887</v>
      </c>
      <c r="R1097">
        <v>-0.98358199999999996</v>
      </c>
      <c r="S1097">
        <v>-0.1333771</v>
      </c>
      <c r="T1097">
        <v>-6.9943900000000003E-2</v>
      </c>
      <c r="U1097">
        <v>-3.0561829999999999</v>
      </c>
      <c r="V1097">
        <v>7.4228970000000005E-2</v>
      </c>
      <c r="W1097">
        <v>0.18456030000000001</v>
      </c>
      <c r="X1097">
        <v>0.9800141</v>
      </c>
      <c r="Y1097">
        <v>7.2456129999999994E-2</v>
      </c>
      <c r="Z1097">
        <v>1.2545880000000001E-2</v>
      </c>
      <c r="AA1097">
        <v>0.99729270000000003</v>
      </c>
      <c r="AB1097">
        <v>35</v>
      </c>
      <c r="AC1097">
        <v>-2.1441999999999801</v>
      </c>
      <c r="AD1097">
        <v>-1.119499600847</v>
      </c>
      <c r="AE1097">
        <v>-48.566099999999999</v>
      </c>
      <c r="AF1097">
        <v>3.5458290086111002</v>
      </c>
      <c r="AG1097">
        <v>-1.119499600847</v>
      </c>
      <c r="AH1097">
        <v>48.4580869750028</v>
      </c>
      <c r="AI1097">
        <v>91.319908739677004</v>
      </c>
      <c r="AJ1097">
        <v>85.814948240363407</v>
      </c>
      <c r="AK1097">
        <v>48.600538844662402</v>
      </c>
      <c r="AL1097">
        <v>79.364502417045699</v>
      </c>
      <c r="AM1097">
        <v>85.668530215222702</v>
      </c>
      <c r="AN1097">
        <v>1.00000004026107</v>
      </c>
    </row>
    <row r="1098" spans="1:40" x14ac:dyDescent="0.25">
      <c r="A1098" t="str">
        <f>"20190303162521374"</f>
        <v>20190303162521374</v>
      </c>
      <c r="B1098" t="str">
        <f>"1551601521363728"</f>
        <v>1551601521363728</v>
      </c>
      <c r="C1098" t="s">
        <v>40</v>
      </c>
      <c r="D1098">
        <v>5.2991859999999997</v>
      </c>
      <c r="E1098">
        <v>0.52199960000000001</v>
      </c>
      <c r="F1098" t="s">
        <v>41</v>
      </c>
      <c r="G1098">
        <v>-193.08</v>
      </c>
      <c r="H1098" s="1">
        <v>-1.7666989999999999E-6</v>
      </c>
      <c r="I1098">
        <v>301.79700000000003</v>
      </c>
      <c r="J1098">
        <v>-190.81110000000001</v>
      </c>
      <c r="K1098">
        <v>1.1195090000000001</v>
      </c>
      <c r="L1098">
        <v>325.99059999999997</v>
      </c>
      <c r="M1098">
        <v>2.7802589999999999E-2</v>
      </c>
      <c r="N1098">
        <v>-1.0278839999999999E-2</v>
      </c>
      <c r="O1098">
        <v>-0.99956080000000003</v>
      </c>
      <c r="P1098">
        <v>-4.6636280000000002E-2</v>
      </c>
      <c r="Q1098">
        <v>0.1744512</v>
      </c>
      <c r="R1098">
        <v>-0.98356100000000002</v>
      </c>
      <c r="S1098">
        <v>-0.28216550000000001</v>
      </c>
      <c r="T1098">
        <v>-0.13975009999999999</v>
      </c>
      <c r="U1098">
        <v>-3.0619200000000002</v>
      </c>
      <c r="V1098">
        <v>7.4479779999999995E-2</v>
      </c>
      <c r="W1098">
        <v>0.1843274</v>
      </c>
      <c r="X1098">
        <v>0.98003890000000005</v>
      </c>
      <c r="Y1098">
        <v>0.119325</v>
      </c>
      <c r="Z1098">
        <v>3.5025029999999999E-2</v>
      </c>
      <c r="AA1098">
        <v>0.99223729999999999</v>
      </c>
      <c r="AB1098">
        <v>35</v>
      </c>
      <c r="AC1098">
        <v>-2.2688999999999999</v>
      </c>
      <c r="AD1098">
        <v>-1.1195107666990001</v>
      </c>
      <c r="AE1098">
        <v>-24.193599999999901</v>
      </c>
      <c r="AF1098">
        <v>2.9344744659153701</v>
      </c>
      <c r="AG1098">
        <v>-1.1195107666990001</v>
      </c>
      <c r="AH1098">
        <v>24.070072643165201</v>
      </c>
      <c r="AI1098">
        <v>92.643391645067098</v>
      </c>
      <c r="AJ1098">
        <v>83.049154062482899</v>
      </c>
      <c r="AK1098">
        <v>24.2741187645425</v>
      </c>
      <c r="AL1098">
        <v>79.378079508101706</v>
      </c>
      <c r="AM1098">
        <v>85.654060280105497</v>
      </c>
      <c r="AN1098">
        <v>1.0000000367663999</v>
      </c>
    </row>
    <row r="1099" spans="1:40" x14ac:dyDescent="0.25">
      <c r="A1099" t="str">
        <f>"20190303162521395"</f>
        <v>20190303162521395</v>
      </c>
      <c r="B1099" t="str">
        <f>"1551601521384223"</f>
        <v>1551601521384223</v>
      </c>
      <c r="C1099" t="s">
        <v>40</v>
      </c>
      <c r="D1099">
        <v>5.2917249999999996</v>
      </c>
      <c r="E1099">
        <v>0.52338499999999999</v>
      </c>
      <c r="F1099" t="s">
        <v>41</v>
      </c>
      <c r="G1099">
        <v>-193.06739999999999</v>
      </c>
      <c r="H1099" s="1">
        <v>-2.324051E-6</v>
      </c>
      <c r="I1099">
        <v>303.10410000000002</v>
      </c>
      <c r="J1099">
        <v>-190.80279999999999</v>
      </c>
      <c r="K1099">
        <v>1.1195170000000001</v>
      </c>
      <c r="L1099">
        <v>325.6549</v>
      </c>
      <c r="M1099">
        <v>2.668684E-2</v>
      </c>
      <c r="N1099">
        <v>-1.028392E-2</v>
      </c>
      <c r="O1099">
        <v>-0.99959109999999995</v>
      </c>
      <c r="P1099">
        <v>-4.7816949999999997E-2</v>
      </c>
      <c r="Q1099">
        <v>0.174984</v>
      </c>
      <c r="R1099">
        <v>-0.9834098</v>
      </c>
      <c r="S1099">
        <v>-0.30191040000000002</v>
      </c>
      <c r="T1099">
        <v>-0.14980009999999999</v>
      </c>
      <c r="U1099">
        <v>-3.062408</v>
      </c>
      <c r="V1099">
        <v>7.4560459999999995E-2</v>
      </c>
      <c r="W1099">
        <v>0.18486440000000001</v>
      </c>
      <c r="X1099">
        <v>0.97993160000000001</v>
      </c>
      <c r="Y1099">
        <v>0.12452530000000001</v>
      </c>
      <c r="Z1099">
        <v>3.8236020000000003E-2</v>
      </c>
      <c r="AA1099">
        <v>0.99147949999999996</v>
      </c>
      <c r="AB1099">
        <v>35</v>
      </c>
      <c r="AC1099">
        <v>-2.2646000000000002</v>
      </c>
      <c r="AD1099">
        <v>-1.119519324051</v>
      </c>
      <c r="AE1099">
        <v>-22.550799999999899</v>
      </c>
      <c r="AF1099">
        <v>2.85865968810822</v>
      </c>
      <c r="AG1099">
        <v>-1.119519324051</v>
      </c>
      <c r="AH1099">
        <v>22.4276070045678</v>
      </c>
      <c r="AI1099">
        <v>92.834765870885604</v>
      </c>
      <c r="AJ1099">
        <v>82.736153975270398</v>
      </c>
      <c r="AK1099">
        <v>22.636758042632302</v>
      </c>
      <c r="AL1099">
        <v>79.346773538152505</v>
      </c>
      <c r="AM1099">
        <v>85.648896065673696</v>
      </c>
      <c r="AN1099">
        <v>1.00000002463066</v>
      </c>
    </row>
    <row r="1100" spans="1:40" x14ac:dyDescent="0.25">
      <c r="A1100" t="str">
        <f>"20190303162521441"</f>
        <v>20190303162521441</v>
      </c>
      <c r="B1100" t="str">
        <f>"1551601521434000"</f>
        <v>1551601521434000</v>
      </c>
      <c r="C1100" t="s">
        <v>40</v>
      </c>
      <c r="D1100">
        <v>5.3105440000000002</v>
      </c>
      <c r="E1100">
        <v>0.52360969999999996</v>
      </c>
      <c r="F1100" t="s">
        <v>41</v>
      </c>
      <c r="G1100">
        <v>-193.15020000000001</v>
      </c>
      <c r="H1100" s="1">
        <v>-2.2676480000000002E-6</v>
      </c>
      <c r="I1100">
        <v>302.9212</v>
      </c>
      <c r="J1100">
        <v>-190.786</v>
      </c>
      <c r="K1100">
        <v>1.119516</v>
      </c>
      <c r="L1100">
        <v>324.91969999999998</v>
      </c>
      <c r="M1100">
        <v>2.4214690000000001E-2</v>
      </c>
      <c r="N1100">
        <v>-1.0294579999999999E-2</v>
      </c>
      <c r="O1100">
        <v>-0.99965409999999999</v>
      </c>
      <c r="P1100">
        <v>-4.8195040000000001E-2</v>
      </c>
      <c r="Q1100">
        <v>0.17585909999999999</v>
      </c>
      <c r="R1100">
        <v>-0.98323559999999999</v>
      </c>
      <c r="S1100">
        <v>-0.3161774</v>
      </c>
      <c r="T1100">
        <v>-0.15079020000000001</v>
      </c>
      <c r="U1100">
        <v>-3.0620419999999999</v>
      </c>
      <c r="V1100">
        <v>7.2511989999999998E-2</v>
      </c>
      <c r="W1100">
        <v>0.18575430000000001</v>
      </c>
      <c r="X1100">
        <v>0.97991700000000004</v>
      </c>
      <c r="Y1100">
        <v>0.12665370000000001</v>
      </c>
      <c r="Z1100">
        <v>3.8538580000000003E-2</v>
      </c>
      <c r="AA1100">
        <v>0.99119809999999997</v>
      </c>
      <c r="AB1100">
        <v>35</v>
      </c>
      <c r="AC1100">
        <v>-2.3642000000000301</v>
      </c>
      <c r="AD1100">
        <v>-1.119518267648</v>
      </c>
      <c r="AE1100">
        <v>-21.9984999999999</v>
      </c>
      <c r="AF1100">
        <v>2.8888253875957499</v>
      </c>
      <c r="AG1100">
        <v>-1.119518267648</v>
      </c>
      <c r="AH1100">
        <v>21.878781577127601</v>
      </c>
      <c r="AI1100">
        <v>92.904059044290804</v>
      </c>
      <c r="AJ1100">
        <v>82.478303050423307</v>
      </c>
      <c r="AK1100">
        <v>22.097052214521099</v>
      </c>
      <c r="AL1100">
        <v>79.2948869678671</v>
      </c>
      <c r="AM1100">
        <v>85.767934822640797</v>
      </c>
      <c r="AN1100">
        <v>0.99999998777562504</v>
      </c>
    </row>
    <row r="1101" spans="1:40" x14ac:dyDescent="0.25">
      <c r="A1101" t="str">
        <f>"20190303162521463"</f>
        <v>20190303162521463</v>
      </c>
      <c r="B1101" t="str">
        <f>"1551601521454495"</f>
        <v>1551601521454495</v>
      </c>
      <c r="C1101" t="s">
        <v>40</v>
      </c>
      <c r="D1101">
        <v>5.4283919999999997</v>
      </c>
      <c r="E1101">
        <v>0.52385879999999996</v>
      </c>
      <c r="F1101" t="s">
        <v>41</v>
      </c>
      <c r="G1101">
        <v>-193.10570000000001</v>
      </c>
      <c r="H1101" s="1">
        <v>-2.1362649999999999E-6</v>
      </c>
      <c r="I1101">
        <v>302.64249999999998</v>
      </c>
      <c r="J1101">
        <v>-190.77879999999999</v>
      </c>
      <c r="K1101">
        <v>1.1194930000000001</v>
      </c>
      <c r="L1101">
        <v>324.57760000000002</v>
      </c>
      <c r="M1101">
        <v>2.3040250000000002E-2</v>
      </c>
      <c r="N1101">
        <v>-1.029945E-2</v>
      </c>
      <c r="O1101">
        <v>-0.9996815</v>
      </c>
      <c r="P1101">
        <v>-4.877658E-2</v>
      </c>
      <c r="Q1101">
        <v>0.1759192</v>
      </c>
      <c r="R1101">
        <v>-0.98319579999999995</v>
      </c>
      <c r="S1101">
        <v>-0.31895449999999997</v>
      </c>
      <c r="T1101">
        <v>-0.1539307</v>
      </c>
      <c r="U1101">
        <v>-3.0630489999999999</v>
      </c>
      <c r="V1101">
        <v>7.1944480000000005E-2</v>
      </c>
      <c r="W1101">
        <v>0.1858194</v>
      </c>
      <c r="X1101">
        <v>0.97994650000000005</v>
      </c>
      <c r="Y1101">
        <v>0.1263396</v>
      </c>
      <c r="Z1101">
        <v>3.9533760000000001E-2</v>
      </c>
      <c r="AA1101">
        <v>0.99119900000000005</v>
      </c>
      <c r="AB1101">
        <v>35</v>
      </c>
      <c r="AC1101">
        <v>-2.3269000000000202</v>
      </c>
      <c r="AD1101">
        <v>-1.1194951362649901</v>
      </c>
      <c r="AE1101">
        <v>-21.935099999999998</v>
      </c>
      <c r="AF1101">
        <v>2.82442418168446</v>
      </c>
      <c r="AG1101">
        <v>-1.1194951362649901</v>
      </c>
      <c r="AH1101">
        <v>21.819459575103199</v>
      </c>
      <c r="AI1101">
        <v>92.912849769610403</v>
      </c>
      <c r="AJ1101">
        <v>82.624349827768796</v>
      </c>
      <c r="AK1101">
        <v>22.0299672597979</v>
      </c>
      <c r="AL1101">
        <v>79.291091058773205</v>
      </c>
      <c r="AM1101">
        <v>85.801063801734202</v>
      </c>
      <c r="AN1101">
        <v>1.00000000024054</v>
      </c>
    </row>
    <row r="1102" spans="1:40" x14ac:dyDescent="0.25">
      <c r="A1102" t="str">
        <f>"20190303162521485"</f>
        <v>20190303162521485</v>
      </c>
      <c r="B1102" t="str">
        <f>"1551601521474016"</f>
        <v>1551601521474016</v>
      </c>
      <c r="C1102" t="s">
        <v>40</v>
      </c>
      <c r="D1102">
        <v>5.3283610000000001</v>
      </c>
      <c r="E1102">
        <v>0.52448890000000004</v>
      </c>
      <c r="F1102" t="s">
        <v>41</v>
      </c>
      <c r="G1102">
        <v>-193.0376</v>
      </c>
      <c r="H1102" s="1">
        <v>-2.32725E-6</v>
      </c>
      <c r="I1102">
        <v>303.13</v>
      </c>
      <c r="J1102">
        <v>-190.77199999999999</v>
      </c>
      <c r="K1102">
        <v>1.1194759999999999</v>
      </c>
      <c r="L1102">
        <v>324.22969999999998</v>
      </c>
      <c r="M1102">
        <v>2.1820949999999999E-2</v>
      </c>
      <c r="N1102">
        <v>-1.0304529999999999E-2</v>
      </c>
      <c r="O1102">
        <v>-0.99970910000000002</v>
      </c>
      <c r="P1102">
        <v>-5.0263139999999998E-2</v>
      </c>
      <c r="Q1102">
        <v>0.17554330000000001</v>
      </c>
      <c r="R1102">
        <v>-0.98318779999999995</v>
      </c>
      <c r="S1102">
        <v>-0.32267760000000001</v>
      </c>
      <c r="T1102">
        <v>-0.15992210000000001</v>
      </c>
      <c r="U1102">
        <v>-3.0638429999999999</v>
      </c>
      <c r="V1102">
        <v>7.2240199999999893E-2</v>
      </c>
      <c r="W1102">
        <v>0.18544450000000001</v>
      </c>
      <c r="X1102">
        <v>0.97999570000000003</v>
      </c>
      <c r="Y1102">
        <v>0.12628529999999999</v>
      </c>
      <c r="Z1102">
        <v>4.1450470000000003E-2</v>
      </c>
      <c r="AA1102">
        <v>0.9911276</v>
      </c>
      <c r="AB1102">
        <v>35</v>
      </c>
      <c r="AC1102">
        <v>-2.2655999999999699</v>
      </c>
      <c r="AD1102">
        <v>-1.11947832725</v>
      </c>
      <c r="AE1102">
        <v>-21.099699999999899</v>
      </c>
      <c r="AF1102">
        <v>2.7179365022093198</v>
      </c>
      <c r="AG1102">
        <v>-1.11947832725</v>
      </c>
      <c r="AH1102">
        <v>20.986830761216201</v>
      </c>
      <c r="AI1102">
        <v>93.028133720494097</v>
      </c>
      <c r="AJ1102">
        <v>82.620880397857306</v>
      </c>
      <c r="AK1102">
        <v>21.191684122673099</v>
      </c>
      <c r="AL1102">
        <v>79.312950544582904</v>
      </c>
      <c r="AM1102">
        <v>85.784077543400798</v>
      </c>
      <c r="AN1102">
        <v>0.99999994054738806</v>
      </c>
    </row>
    <row r="1103" spans="1:40" x14ac:dyDescent="0.25">
      <c r="A1103" t="str">
        <f>"20190303162521533"</f>
        <v>20190303162521533</v>
      </c>
      <c r="B1103" t="str">
        <f>"1551601521523791"</f>
        <v>1551601521523791</v>
      </c>
      <c r="C1103" t="s">
        <v>40</v>
      </c>
      <c r="D1103">
        <v>5.3401189999999996</v>
      </c>
      <c r="E1103">
        <v>0.52533350000000001</v>
      </c>
      <c r="F1103" t="s">
        <v>41</v>
      </c>
      <c r="G1103">
        <v>-192.98820000000001</v>
      </c>
      <c r="H1103" s="1">
        <v>-2.6091230000000001E-6</v>
      </c>
      <c r="I1103">
        <v>303.8177</v>
      </c>
      <c r="J1103">
        <v>-190.7587</v>
      </c>
      <c r="K1103">
        <v>1.1194170000000001</v>
      </c>
      <c r="L1103">
        <v>323.47930000000002</v>
      </c>
      <c r="M1103">
        <v>1.9081299999999999E-2</v>
      </c>
      <c r="N1103">
        <v>-1.031523E-2</v>
      </c>
      <c r="O1103">
        <v>-0.99976500000000001</v>
      </c>
      <c r="P1103">
        <v>-5.510731E-2</v>
      </c>
      <c r="Q1103">
        <v>0.1754822</v>
      </c>
      <c r="R1103">
        <v>-0.98293940000000002</v>
      </c>
      <c r="S1103">
        <v>-0.33270260000000001</v>
      </c>
      <c r="T1103">
        <v>-0.16805709999999999</v>
      </c>
      <c r="U1103">
        <v>-3.06427</v>
      </c>
      <c r="V1103">
        <v>7.4413850000000004E-2</v>
      </c>
      <c r="W1103">
        <v>0.1853757</v>
      </c>
      <c r="X1103">
        <v>0.97984610000000005</v>
      </c>
      <c r="Y1103">
        <v>0.12674440000000001</v>
      </c>
      <c r="Z1103">
        <v>4.4053370000000001E-2</v>
      </c>
      <c r="AA1103">
        <v>0.99095670000000002</v>
      </c>
      <c r="AB1103">
        <v>35</v>
      </c>
      <c r="AC1103">
        <v>-2.2294999999999998</v>
      </c>
      <c r="AD1103">
        <v>-1.119419609123</v>
      </c>
      <c r="AE1103">
        <v>-19.6616</v>
      </c>
      <c r="AF1103">
        <v>2.5959747229441898</v>
      </c>
      <c r="AG1103">
        <v>-1.119419609123</v>
      </c>
      <c r="AH1103">
        <v>19.5528995170888</v>
      </c>
      <c r="AI1103">
        <v>93.248212558259098</v>
      </c>
      <c r="AJ1103">
        <v>82.437255366170902</v>
      </c>
      <c r="AK1103">
        <v>19.756215845875602</v>
      </c>
      <c r="AL1103">
        <v>79.316962426294097</v>
      </c>
      <c r="AM1103">
        <v>85.657041506930597</v>
      </c>
      <c r="AN1103">
        <v>0.99999997545376096</v>
      </c>
    </row>
    <row r="1104" spans="1:40" x14ac:dyDescent="0.25">
      <c r="A1104" t="str">
        <f>"20190303162521575"</f>
        <v>20190303162521575</v>
      </c>
      <c r="B1104" t="str">
        <f>"1551601521564488"</f>
        <v>1551601521564488</v>
      </c>
      <c r="C1104" t="s">
        <v>40</v>
      </c>
      <c r="D1104">
        <v>5.3253370000000002</v>
      </c>
      <c r="E1104">
        <v>0.52577059999999998</v>
      </c>
      <c r="F1104" t="s">
        <v>41</v>
      </c>
      <c r="G1104">
        <v>-192.9391</v>
      </c>
      <c r="H1104" s="1">
        <v>-2.9622350000000001E-6</v>
      </c>
      <c r="I1104">
        <v>304.6712</v>
      </c>
      <c r="J1104">
        <v>-190.74879999999999</v>
      </c>
      <c r="K1104">
        <v>1.1193569999999999</v>
      </c>
      <c r="L1104">
        <v>322.80399999999997</v>
      </c>
      <c r="M1104">
        <v>1.649403E-2</v>
      </c>
      <c r="N1104">
        <v>-1.032464E-2</v>
      </c>
      <c r="O1104">
        <v>-0.99981089999999995</v>
      </c>
      <c r="P1104">
        <v>-6.075212E-2</v>
      </c>
      <c r="Q1104">
        <v>0.17531179999999999</v>
      </c>
      <c r="R1104">
        <v>-0.98263710000000004</v>
      </c>
      <c r="S1104">
        <v>-0.35528559999999998</v>
      </c>
      <c r="T1104">
        <v>-0.1824064</v>
      </c>
      <c r="U1104">
        <v>-3.0647280000000001</v>
      </c>
      <c r="V1104">
        <v>7.7535699999999999E-2</v>
      </c>
      <c r="W1104">
        <v>0.18519340000000001</v>
      </c>
      <c r="X1104">
        <v>0.97963849999999997</v>
      </c>
      <c r="Y1104">
        <v>0.131342299999999</v>
      </c>
      <c r="Z1104">
        <v>4.8627209999999997E-2</v>
      </c>
      <c r="AA1104">
        <v>0.99014369999999996</v>
      </c>
      <c r="AB1104">
        <v>36</v>
      </c>
      <c r="AC1104">
        <v>-2.1903000000000001</v>
      </c>
      <c r="AD1104">
        <v>-1.1193599622349999</v>
      </c>
      <c r="AE1104">
        <v>-18.1328</v>
      </c>
      <c r="AF1104">
        <v>2.47978688952966</v>
      </c>
      <c r="AG1104">
        <v>-1.1193599622349999</v>
      </c>
      <c r="AH1104">
        <v>18.026497754740902</v>
      </c>
      <c r="AI1104">
        <v>93.520167157649695</v>
      </c>
      <c r="AJ1104">
        <v>82.167356598887196</v>
      </c>
      <c r="AK1104">
        <v>18.230659095167599</v>
      </c>
      <c r="AL1104">
        <v>79.327591598086002</v>
      </c>
      <c r="AM1104">
        <v>85.474629895457099</v>
      </c>
      <c r="AN1104">
        <v>0.99999998543014901</v>
      </c>
    </row>
    <row r="1105" spans="1:40" x14ac:dyDescent="0.25">
      <c r="A1105" t="str">
        <f>"20190303162521599"</f>
        <v>20190303162521599</v>
      </c>
      <c r="B1105" t="str">
        <f>"1551601521593768"</f>
        <v>1551601521593768</v>
      </c>
      <c r="C1105" t="s">
        <v>40</v>
      </c>
      <c r="D1105">
        <v>5.351667</v>
      </c>
      <c r="E1105">
        <v>0.52592519999999998</v>
      </c>
      <c r="F1105" t="s">
        <v>41</v>
      </c>
      <c r="G1105">
        <v>-192.99109999999999</v>
      </c>
      <c r="H1105" s="1">
        <v>-2.9918849999999999E-6</v>
      </c>
      <c r="I1105">
        <v>304.7081</v>
      </c>
      <c r="J1105">
        <v>-190.744</v>
      </c>
      <c r="K1105">
        <v>1.1193390000000001</v>
      </c>
      <c r="L1105">
        <v>322.42579999999998</v>
      </c>
      <c r="M1105">
        <v>1.500801E-2</v>
      </c>
      <c r="N1105">
        <v>-1.0329959999999999E-2</v>
      </c>
      <c r="O1105">
        <v>-0.99983420000000001</v>
      </c>
      <c r="P1105">
        <v>-6.5325300000000003E-2</v>
      </c>
      <c r="Q1105">
        <v>0.1773681</v>
      </c>
      <c r="R1105">
        <v>-0.98197449999999997</v>
      </c>
      <c r="S1105">
        <v>-0.37959290000000001</v>
      </c>
      <c r="T1105">
        <v>-0.1894903</v>
      </c>
      <c r="U1105">
        <v>-3.0633539999999999</v>
      </c>
      <c r="V1105">
        <v>8.0656489999999997E-2</v>
      </c>
      <c r="W1105">
        <v>0.1872337</v>
      </c>
      <c r="X1105">
        <v>0.97899849999999999</v>
      </c>
      <c r="Y1105">
        <v>0.1376444</v>
      </c>
      <c r="Z1105">
        <v>5.0878520000000003E-2</v>
      </c>
      <c r="AA1105">
        <v>0.98917409999999995</v>
      </c>
      <c r="AB1105">
        <v>36</v>
      </c>
      <c r="AC1105">
        <v>-2.2470999999999601</v>
      </c>
      <c r="AD1105">
        <v>-1.1193419918849901</v>
      </c>
      <c r="AE1105">
        <v>-17.717699999999901</v>
      </c>
      <c r="AF1105">
        <v>2.5029367025683298</v>
      </c>
      <c r="AG1105">
        <v>-1.1193419918849901</v>
      </c>
      <c r="AH1105">
        <v>17.6127934871637</v>
      </c>
      <c r="AI1105">
        <v>93.600339481688195</v>
      </c>
      <c r="AJ1105">
        <v>81.911909415682004</v>
      </c>
      <c r="AK1105">
        <v>17.824929538523701</v>
      </c>
      <c r="AL1105">
        <v>79.208610029496498</v>
      </c>
      <c r="AM1105">
        <v>85.290224559762706</v>
      </c>
      <c r="AN1105">
        <v>0.99999999539853002</v>
      </c>
    </row>
    <row r="1106" spans="1:40" x14ac:dyDescent="0.25">
      <c r="A1106" t="str">
        <f>"20190303162521620"</f>
        <v>20190303162521620</v>
      </c>
      <c r="B1106" t="str">
        <f>"1551601521614266"</f>
        <v>1551601521614266</v>
      </c>
      <c r="C1106" t="s">
        <v>40</v>
      </c>
      <c r="D1106">
        <v>5.2652419999999998</v>
      </c>
      <c r="E1106">
        <v>0.52597660000000002</v>
      </c>
      <c r="F1106" t="s">
        <v>41</v>
      </c>
      <c r="G1106">
        <v>-193.10669999999999</v>
      </c>
      <c r="H1106" s="1">
        <v>-2.7404460000000001E-6</v>
      </c>
      <c r="I1106">
        <v>304.05029999999999</v>
      </c>
      <c r="J1106">
        <v>-190.74010000000001</v>
      </c>
      <c r="K1106">
        <v>1.1193280000000001</v>
      </c>
      <c r="L1106">
        <v>322.08370000000002</v>
      </c>
      <c r="M1106">
        <v>1.36484E-2</v>
      </c>
      <c r="N1106">
        <v>-1.0334360000000001E-2</v>
      </c>
      <c r="O1106">
        <v>-0.99985360000000001</v>
      </c>
      <c r="P1106">
        <v>-7.2143470000000001E-2</v>
      </c>
      <c r="Q1106">
        <v>0.1804444</v>
      </c>
      <c r="R1106">
        <v>-0.98093609999999998</v>
      </c>
      <c r="S1106">
        <v>-0.3937988</v>
      </c>
      <c r="T1106">
        <v>-0.1865578</v>
      </c>
      <c r="U1106">
        <v>-3.062592</v>
      </c>
      <c r="V1106">
        <v>8.6142940000000001E-2</v>
      </c>
      <c r="W1106">
        <v>0.19028300000000001</v>
      </c>
      <c r="X1106">
        <v>0.9779426</v>
      </c>
      <c r="Y1106">
        <v>0.1408489</v>
      </c>
      <c r="Z1106">
        <v>4.9916059999999998E-2</v>
      </c>
      <c r="AA1106">
        <v>0.98877199999999998</v>
      </c>
      <c r="AB1106">
        <v>36</v>
      </c>
      <c r="AC1106">
        <v>-2.3665999999999698</v>
      </c>
      <c r="AD1106">
        <v>-1.119330740446</v>
      </c>
      <c r="AE1106">
        <v>-18.0334</v>
      </c>
      <c r="AF1106">
        <v>2.6026622805028898</v>
      </c>
      <c r="AG1106">
        <v>-1.119330740446</v>
      </c>
      <c r="AH1106">
        <v>17.931503614395499</v>
      </c>
      <c r="AI1106">
        <v>93.534969755647097</v>
      </c>
      <c r="AJ1106">
        <v>81.741494313587097</v>
      </c>
      <c r="AK1106">
        <v>18.153941008109999</v>
      </c>
      <c r="AL1106">
        <v>79.030699539470803</v>
      </c>
      <c r="AM1106">
        <v>84.966043386167698</v>
      </c>
      <c r="AN1106">
        <v>0.99999997754780101</v>
      </c>
    </row>
    <row r="1107" spans="1:40" x14ac:dyDescent="0.25">
      <c r="A1107" t="str">
        <f>"20190303162521664"</f>
        <v>20190303162521664</v>
      </c>
      <c r="B1107" t="str">
        <f>"1551601521654279"</f>
        <v>1551601521654279</v>
      </c>
      <c r="C1107" t="s">
        <v>40</v>
      </c>
      <c r="D1107">
        <v>5.1155010000000001</v>
      </c>
      <c r="E1107">
        <v>0.52590969999999904</v>
      </c>
      <c r="F1107" t="s">
        <v>41</v>
      </c>
      <c r="G1107">
        <v>-193.29310000000001</v>
      </c>
      <c r="H1107" s="1">
        <v>-2.3971389999999999E-6</v>
      </c>
      <c r="I1107">
        <v>303.13440000000003</v>
      </c>
      <c r="J1107">
        <v>-190.7338</v>
      </c>
      <c r="K1107">
        <v>1.119278</v>
      </c>
      <c r="L1107">
        <v>321.38260000000002</v>
      </c>
      <c r="M1107">
        <v>1.08339E-2</v>
      </c>
      <c r="N1107">
        <v>-1.0343430000000001E-2</v>
      </c>
      <c r="O1107">
        <v>-0.99988790000000005</v>
      </c>
      <c r="P1107">
        <v>-8.5592999999999905E-2</v>
      </c>
      <c r="Q1107">
        <v>0.1758441</v>
      </c>
      <c r="R1107">
        <v>-0.98068999999999995</v>
      </c>
      <c r="S1107">
        <v>-0.41242980000000001</v>
      </c>
      <c r="T1107">
        <v>-0.1808256</v>
      </c>
      <c r="U1107">
        <v>-3.0612180000000002</v>
      </c>
      <c r="V1107">
        <v>9.6827049999999998E-2</v>
      </c>
      <c r="W1107">
        <v>0.1856498</v>
      </c>
      <c r="X1107">
        <v>0.97783370000000003</v>
      </c>
      <c r="Y1107">
        <v>0.14404520000000001</v>
      </c>
      <c r="Z1107">
        <v>4.8055300000000002E-2</v>
      </c>
      <c r="AA1107">
        <v>0.98840360000000005</v>
      </c>
      <c r="AB1107">
        <v>36</v>
      </c>
      <c r="AC1107">
        <v>-2.5592999999999999</v>
      </c>
      <c r="AD1107">
        <v>-1.119280397139</v>
      </c>
      <c r="AE1107">
        <v>-18.248200000000001</v>
      </c>
      <c r="AF1107">
        <v>2.7467252256543699</v>
      </c>
      <c r="AG1107">
        <v>-1.119280397139</v>
      </c>
      <c r="AH1107">
        <v>18.152425236741799</v>
      </c>
      <c r="AI1107">
        <v>93.4887826148356</v>
      </c>
      <c r="AJ1107">
        <v>81.3955903964399</v>
      </c>
      <c r="AK1107">
        <v>18.393146279203201</v>
      </c>
      <c r="AL1107">
        <v>79.300980879879305</v>
      </c>
      <c r="AM1107">
        <v>84.344892606795696</v>
      </c>
      <c r="AN1107">
        <v>1.00000003535371</v>
      </c>
    </row>
    <row r="1108" spans="1:40" x14ac:dyDescent="0.25">
      <c r="A1108" t="str">
        <f>"20190303162521685"</f>
        <v>20190303162521685</v>
      </c>
      <c r="B1108" t="str">
        <f>"1551601521673800"</f>
        <v>1551601521673800</v>
      </c>
      <c r="C1108" t="s">
        <v>40</v>
      </c>
      <c r="D1108">
        <v>5.0480839999999896</v>
      </c>
      <c r="E1108">
        <v>0.52576140000000005</v>
      </c>
      <c r="F1108" t="s">
        <v>41</v>
      </c>
      <c r="G1108">
        <v>-193.28290000000001</v>
      </c>
      <c r="H1108" s="1">
        <v>-2.8372819999999998E-6</v>
      </c>
      <c r="I1108">
        <v>304.16669999999999</v>
      </c>
      <c r="J1108">
        <v>-190.73140000000001</v>
      </c>
      <c r="K1108">
        <v>1.119238</v>
      </c>
      <c r="L1108">
        <v>321.03930000000003</v>
      </c>
      <c r="M1108">
        <v>9.4330119999999993E-3</v>
      </c>
      <c r="N1108">
        <v>-1.034794E-2</v>
      </c>
      <c r="O1108">
        <v>-0.99990210000000002</v>
      </c>
      <c r="P1108">
        <v>-9.3935889999999994E-2</v>
      </c>
      <c r="Q1108">
        <v>0.17144529999999999</v>
      </c>
      <c r="R1108">
        <v>-0.98070539999999995</v>
      </c>
      <c r="S1108">
        <v>-0.45237729999999998</v>
      </c>
      <c r="T1108">
        <v>-0.19863320000000001</v>
      </c>
      <c r="U1108">
        <v>-3.0552060000000001</v>
      </c>
      <c r="V1108">
        <v>0.1037904</v>
      </c>
      <c r="W1108">
        <v>0.18122859999999999</v>
      </c>
      <c r="X1108">
        <v>0.9779487</v>
      </c>
      <c r="Y1108">
        <v>0.155524</v>
      </c>
      <c r="Z1108">
        <v>5.3793590000000002E-2</v>
      </c>
      <c r="AA1108">
        <v>0.98636630000000003</v>
      </c>
      <c r="AB1108">
        <v>36</v>
      </c>
      <c r="AC1108">
        <v>-2.5514999999999999</v>
      </c>
      <c r="AD1108">
        <v>-1.119240837282</v>
      </c>
      <c r="AE1108">
        <v>-16.872599999999998</v>
      </c>
      <c r="AF1108">
        <v>2.69894373422526</v>
      </c>
      <c r="AG1108">
        <v>-1.119240837282</v>
      </c>
      <c r="AH1108">
        <v>16.775612074643899</v>
      </c>
      <c r="AI1108">
        <v>93.768701347230603</v>
      </c>
      <c r="AJ1108">
        <v>80.860290888721195</v>
      </c>
      <c r="AK1108">
        <v>17.0281577926472</v>
      </c>
      <c r="AL1108">
        <v>79.558669081643899</v>
      </c>
      <c r="AM1108">
        <v>83.941835568834904</v>
      </c>
      <c r="AN1108">
        <v>0.99999995621090398</v>
      </c>
    </row>
    <row r="1109" spans="1:40" x14ac:dyDescent="0.25">
      <c r="A1109" t="str">
        <f>"20190303162521712"</f>
        <v>20190303162521712</v>
      </c>
      <c r="B1109" t="str">
        <f>"1551601521704056"</f>
        <v>1551601521704056</v>
      </c>
      <c r="C1109" t="s">
        <v>40</v>
      </c>
      <c r="D1109">
        <v>4.8371890000000004</v>
      </c>
      <c r="E1109">
        <v>0.52565039999999996</v>
      </c>
      <c r="F1109" t="s">
        <v>41</v>
      </c>
      <c r="G1109">
        <v>-193.19319999999999</v>
      </c>
      <c r="H1109" s="1">
        <v>-3.237932E-6</v>
      </c>
      <c r="I1109">
        <v>305.15629999999999</v>
      </c>
      <c r="J1109">
        <v>-190.72919999999999</v>
      </c>
      <c r="K1109">
        <v>1.1191709999999999</v>
      </c>
      <c r="L1109">
        <v>320.6103</v>
      </c>
      <c r="M1109">
        <v>7.6118549999999998E-3</v>
      </c>
      <c r="N1109">
        <v>-1.03541E-2</v>
      </c>
      <c r="O1109">
        <v>-0.99991739999999996</v>
      </c>
      <c r="P1109">
        <v>-0.10396080000000001</v>
      </c>
      <c r="Q1109">
        <v>0.1673183</v>
      </c>
      <c r="R1109">
        <v>-0.98040649999999996</v>
      </c>
      <c r="S1109">
        <v>-0.47293089999999999</v>
      </c>
      <c r="T1109">
        <v>-0.21502109999999999</v>
      </c>
      <c r="U1109">
        <v>-3.0513309999999998</v>
      </c>
      <c r="V1109">
        <v>0.1120352</v>
      </c>
      <c r="W1109">
        <v>0.1770651</v>
      </c>
      <c r="X1109">
        <v>0.9778017</v>
      </c>
      <c r="Y1109">
        <v>0.1603472</v>
      </c>
      <c r="Z1109">
        <v>5.9084930000000001E-2</v>
      </c>
      <c r="AA1109">
        <v>0.98529069999999996</v>
      </c>
      <c r="AB1109">
        <v>36</v>
      </c>
      <c r="AC1109">
        <v>-2.4639999999999902</v>
      </c>
      <c r="AD1109">
        <v>-1.119174237932</v>
      </c>
      <c r="AE1109">
        <v>-15.454000000000001</v>
      </c>
      <c r="AF1109">
        <v>2.56843203620243</v>
      </c>
      <c r="AG1109">
        <v>-1.119174237932</v>
      </c>
      <c r="AH1109">
        <v>15.356254607405299</v>
      </c>
      <c r="AI1109">
        <v>94.111473366408404</v>
      </c>
      <c r="AJ1109">
        <v>80.504804302494094</v>
      </c>
      <c r="AK1109">
        <v>15.6097389365389</v>
      </c>
      <c r="AL1109">
        <v>79.801143892187298</v>
      </c>
      <c r="AM1109">
        <v>83.463631137086495</v>
      </c>
      <c r="AN1109">
        <v>1.00000005009996</v>
      </c>
    </row>
    <row r="1110" spans="1:40" x14ac:dyDescent="0.25">
      <c r="A1110" t="str">
        <f>"20190303162521735"</f>
        <v>20190303162521735</v>
      </c>
      <c r="B1110" t="str">
        <f>"1551601521724553"</f>
        <v>1551601521724553</v>
      </c>
      <c r="C1110" t="s">
        <v>40</v>
      </c>
      <c r="D1110">
        <v>4.8303209999999996</v>
      </c>
      <c r="E1110">
        <v>0.51574540000000002</v>
      </c>
      <c r="F1110" t="s">
        <v>41</v>
      </c>
      <c r="G1110">
        <v>-193.17920000000001</v>
      </c>
      <c r="H1110" s="1">
        <v>-3.4700670000000002E-6</v>
      </c>
      <c r="I1110">
        <v>305.70609999999999</v>
      </c>
      <c r="J1110">
        <v>-190.72790000000001</v>
      </c>
      <c r="K1110">
        <v>1.119054</v>
      </c>
      <c r="L1110">
        <v>320.2432</v>
      </c>
      <c r="M1110">
        <v>5.894046E-3</v>
      </c>
      <c r="N1110">
        <v>-1.03607E-2</v>
      </c>
      <c r="O1110">
        <v>-0.99992919999999996</v>
      </c>
      <c r="P1110">
        <v>-0.11385140000000001</v>
      </c>
      <c r="Q1110">
        <v>0.16412160000000001</v>
      </c>
      <c r="R1110">
        <v>-0.97984839999999995</v>
      </c>
      <c r="S1110">
        <v>-0.50070190000000003</v>
      </c>
      <c r="T1110">
        <v>-0.22871859999999999</v>
      </c>
      <c r="U1110">
        <v>-3.045868</v>
      </c>
      <c r="V1110">
        <v>0.1202694</v>
      </c>
      <c r="W1110">
        <v>0.173813299999999</v>
      </c>
      <c r="X1110">
        <v>0.97740689999999997</v>
      </c>
      <c r="Y1110">
        <v>0.1676231</v>
      </c>
      <c r="Z1110">
        <v>6.3515269999999999E-2</v>
      </c>
      <c r="AA1110">
        <v>0.98380299999999998</v>
      </c>
      <c r="AB1110">
        <v>36</v>
      </c>
      <c r="AC1110">
        <v>-2.4512999999999998</v>
      </c>
      <c r="AD1110">
        <v>-1.119057470067</v>
      </c>
      <c r="AE1110">
        <v>-14.537100000000001</v>
      </c>
      <c r="AF1110">
        <v>2.52241021754313</v>
      </c>
      <c r="AG1110">
        <v>-1.119057470067</v>
      </c>
      <c r="AH1110">
        <v>14.439200029468299</v>
      </c>
      <c r="AI1110">
        <v>94.365787668707696</v>
      </c>
      <c r="AJ1110">
        <v>80.090887785594305</v>
      </c>
      <c r="AK1110">
        <v>14.7005217736608</v>
      </c>
      <c r="AL1110">
        <v>79.990393299123397</v>
      </c>
      <c r="AM1110">
        <v>82.985047793415205</v>
      </c>
      <c r="AN1110">
        <v>1.00000002000042</v>
      </c>
    </row>
    <row r="1111" spans="1:40" x14ac:dyDescent="0.25">
      <c r="A1111" t="str">
        <f>"20190303162521775"</f>
        <v>20190303162521775</v>
      </c>
      <c r="B1111" t="str">
        <f>"1551601521764416"</f>
        <v>1551601521764416</v>
      </c>
      <c r="C1111" t="s">
        <v>40</v>
      </c>
      <c r="D1111">
        <v>4.775074</v>
      </c>
      <c r="E1111">
        <v>0.51605270000000003</v>
      </c>
      <c r="F1111" t="s">
        <v>41</v>
      </c>
      <c r="G1111">
        <v>-193.0264</v>
      </c>
      <c r="H1111" s="1">
        <v>-3.0255640000000002E-6</v>
      </c>
      <c r="I1111">
        <v>304.7647</v>
      </c>
      <c r="J1111">
        <v>-190.72790000000001</v>
      </c>
      <c r="K1111">
        <v>1.118733</v>
      </c>
      <c r="L1111">
        <v>319.61380000000003</v>
      </c>
      <c r="M1111">
        <v>2.3698119999999998E-3</v>
      </c>
      <c r="N1111">
        <v>-1.037858E-2</v>
      </c>
      <c r="O1111">
        <v>-0.99994340000000004</v>
      </c>
      <c r="P1111">
        <v>-0.133233399999999</v>
      </c>
      <c r="Q1111">
        <v>0.16268729999999901</v>
      </c>
      <c r="R1111">
        <v>-0.97764110000000004</v>
      </c>
      <c r="S1111">
        <v>-0.4523163</v>
      </c>
      <c r="T1111">
        <v>-0.22022030000000001</v>
      </c>
      <c r="U1111">
        <v>-3.0460210000000001</v>
      </c>
      <c r="V1111">
        <v>0.136324</v>
      </c>
      <c r="W1111">
        <v>0.1722118</v>
      </c>
      <c r="X1111">
        <v>0.97558129999999998</v>
      </c>
      <c r="Y1111">
        <v>0.1488912</v>
      </c>
      <c r="Z1111">
        <v>6.0960930000000003E-2</v>
      </c>
      <c r="AA1111">
        <v>0.98697270000000004</v>
      </c>
      <c r="AB1111">
        <v>36</v>
      </c>
      <c r="AC1111">
        <v>-2.29849999999999</v>
      </c>
      <c r="AD1111">
        <v>-1.118736025564</v>
      </c>
      <c r="AE1111">
        <v>-14.8491</v>
      </c>
      <c r="AF1111">
        <v>2.3208199069460198</v>
      </c>
      <c r="AG1111">
        <v>-1.118736025564</v>
      </c>
      <c r="AH1111">
        <v>14.7617813393859</v>
      </c>
      <c r="AI1111">
        <v>94.281539575407194</v>
      </c>
      <c r="AJ1111">
        <v>81.065200120519606</v>
      </c>
      <c r="AK1111">
        <v>14.9849245459299</v>
      </c>
      <c r="AL1111">
        <v>80.083557299448401</v>
      </c>
      <c r="AM1111">
        <v>82.045215579632</v>
      </c>
      <c r="AN1111">
        <v>1.00000000497246</v>
      </c>
    </row>
    <row r="1112" spans="1:40" x14ac:dyDescent="0.25">
      <c r="A1112" t="str">
        <f>"20190303162521798"</f>
        <v>20190303162521798</v>
      </c>
      <c r="B1112" t="str">
        <f>"1551601521793696"</f>
        <v>1551601521793696</v>
      </c>
      <c r="C1112" t="s">
        <v>40</v>
      </c>
      <c r="D1112">
        <v>4.6659769999999998</v>
      </c>
      <c r="E1112">
        <v>0.52454669999999903</v>
      </c>
      <c r="F1112" t="s">
        <v>41</v>
      </c>
      <c r="G1112">
        <v>-193.1858</v>
      </c>
      <c r="H1112" s="1">
        <v>-3.237633E-6</v>
      </c>
      <c r="I1112">
        <v>305.16019999999997</v>
      </c>
      <c r="J1112">
        <v>-190.72929999999999</v>
      </c>
      <c r="K1112">
        <v>1.1185050000000001</v>
      </c>
      <c r="L1112">
        <v>319.22840000000002</v>
      </c>
      <c r="M1112">
        <v>-1.509034E-4</v>
      </c>
      <c r="N1112">
        <v>-1.039288E-2</v>
      </c>
      <c r="O1112">
        <v>-0.99994609999999995</v>
      </c>
      <c r="P1112">
        <v>-0.1421885</v>
      </c>
      <c r="Q1112">
        <v>0.16261049999999999</v>
      </c>
      <c r="R1112">
        <v>-0.97639169999999997</v>
      </c>
      <c r="S1112">
        <v>-0.51651000000000002</v>
      </c>
      <c r="T1112">
        <v>-0.23509730000000001</v>
      </c>
      <c r="U1112">
        <v>-3.0373540000000001</v>
      </c>
      <c r="V1112">
        <v>0.142915299999999</v>
      </c>
      <c r="W1112">
        <v>0.17202719999999999</v>
      </c>
      <c r="X1112">
        <v>0.97467009999999998</v>
      </c>
      <c r="Y1112">
        <v>0.16705989999999901</v>
      </c>
      <c r="Z1112">
        <v>6.5719899999999998E-2</v>
      </c>
      <c r="AA1112">
        <v>0.98375400000000002</v>
      </c>
      <c r="AB1112">
        <v>36</v>
      </c>
      <c r="AC1112">
        <v>-2.4565000000000001</v>
      </c>
      <c r="AD1112">
        <v>-1.11850823763299</v>
      </c>
      <c r="AE1112">
        <v>-14.068199999999999</v>
      </c>
      <c r="AF1112">
        <v>2.43941308372129</v>
      </c>
      <c r="AG1112">
        <v>-1.11850823763299</v>
      </c>
      <c r="AH1112">
        <v>13.9827973532744</v>
      </c>
      <c r="AI1112">
        <v>94.5056845652406</v>
      </c>
      <c r="AJ1112">
        <v>80.103879957985896</v>
      </c>
      <c r="AK1112">
        <v>14.237992087840899</v>
      </c>
      <c r="AL1112">
        <v>80.0942940108919</v>
      </c>
      <c r="AM1112">
        <v>81.658198223447002</v>
      </c>
      <c r="AN1112">
        <v>0.99999997217396897</v>
      </c>
    </row>
    <row r="1113" spans="1:40" x14ac:dyDescent="0.25">
      <c r="A1113" t="str">
        <f>"20190303162521823"</f>
        <v>20190303162521823</v>
      </c>
      <c r="B1113" t="str">
        <f>"1551601521814192"</f>
        <v>1551601521814192</v>
      </c>
      <c r="C1113" t="s">
        <v>40</v>
      </c>
      <c r="D1113">
        <v>4.6770620000000003</v>
      </c>
      <c r="E1113">
        <v>0.52514719999999904</v>
      </c>
      <c r="F1113" t="s">
        <v>42</v>
      </c>
      <c r="G1113">
        <v>-190.86670000000001</v>
      </c>
      <c r="H1113">
        <v>0.97334909999999997</v>
      </c>
      <c r="I1113">
        <v>318.53219999999999</v>
      </c>
      <c r="J1113">
        <v>-190.73240000000001</v>
      </c>
      <c r="K1113">
        <v>1.118247</v>
      </c>
      <c r="L1113">
        <v>318.82499999999999</v>
      </c>
      <c r="M1113">
        <v>-3.215987E-3</v>
      </c>
      <c r="N1113">
        <v>-1.0424559999999999E-2</v>
      </c>
      <c r="O1113">
        <v>-0.99994059999999996</v>
      </c>
      <c r="P1113">
        <v>-0.14923699999999901</v>
      </c>
      <c r="Q1113">
        <v>0.16502310000000001</v>
      </c>
      <c r="R1113">
        <v>-0.97493379999999996</v>
      </c>
      <c r="S1113">
        <v>-0.60926819999999904</v>
      </c>
      <c r="T1113">
        <v>-0.64444659999999998</v>
      </c>
      <c r="U1113">
        <v>-3.0910950000000001</v>
      </c>
      <c r="V1113">
        <v>0.1471055</v>
      </c>
      <c r="W1113">
        <v>0.17433969999999999</v>
      </c>
      <c r="X1113">
        <v>0.97363529999999998</v>
      </c>
      <c r="Y1113">
        <v>0.18648719999999999</v>
      </c>
      <c r="Z1113">
        <v>0.1902414</v>
      </c>
      <c r="AA1113">
        <v>0.96386240000000001</v>
      </c>
      <c r="AB1113">
        <v>36</v>
      </c>
      <c r="AC1113">
        <v>-0.13429999999999601</v>
      </c>
      <c r="AD1113">
        <v>-0.1448979</v>
      </c>
      <c r="AE1113">
        <v>-0.29279999999999901</v>
      </c>
      <c r="AF1113">
        <v>0.11091602241345</v>
      </c>
      <c r="AG1113">
        <v>-0.1448979</v>
      </c>
      <c r="AH1113">
        <v>0.24388522403384</v>
      </c>
      <c r="AI1113">
        <v>118.405434750452</v>
      </c>
      <c r="AJ1113">
        <v>65.544538935052401</v>
      </c>
      <c r="AK1113">
        <v>0.30459443191638802</v>
      </c>
      <c r="AL1113">
        <v>79.959765258714697</v>
      </c>
      <c r="AM1113">
        <v>81.408226877419196</v>
      </c>
      <c r="AN1113">
        <v>1.00000002826621</v>
      </c>
    </row>
    <row r="1114" spans="1:40" x14ac:dyDescent="0.25">
      <c r="A1114" t="str">
        <f>"20190303162521864"</f>
        <v>20190303162521864</v>
      </c>
      <c r="B1114" t="str">
        <f>"1551601521854208"</f>
        <v>1551601521854208</v>
      </c>
      <c r="C1114" t="s">
        <v>40</v>
      </c>
      <c r="D1114">
        <v>4.6337029999999997</v>
      </c>
      <c r="E1114">
        <v>0.52535520000000002</v>
      </c>
      <c r="F1114" t="s">
        <v>42</v>
      </c>
      <c r="G1114">
        <v>-190.92070000000001</v>
      </c>
      <c r="H1114">
        <v>0.91711830000000005</v>
      </c>
      <c r="I1114">
        <v>317.9126</v>
      </c>
      <c r="J1114">
        <v>-190.7407</v>
      </c>
      <c r="K1114">
        <v>1.1178159999999999</v>
      </c>
      <c r="L1114">
        <v>318.16890000000001</v>
      </c>
      <c r="M1114">
        <v>-9.0459990000000007E-3</v>
      </c>
      <c r="N1114">
        <v>-1.055525E-2</v>
      </c>
      <c r="O1114">
        <v>-0.9999036</v>
      </c>
      <c r="P1114">
        <v>-0.15515319999999999</v>
      </c>
      <c r="Q1114">
        <v>0.17052929999999999</v>
      </c>
      <c r="R1114">
        <v>-0.97306130000000002</v>
      </c>
      <c r="S1114">
        <v>-0.63835140000000001</v>
      </c>
      <c r="T1114">
        <v>-0.6821566</v>
      </c>
      <c r="U1114">
        <v>-3.0948790000000002</v>
      </c>
      <c r="V1114">
        <v>0.14758979999999999</v>
      </c>
      <c r="W1114">
        <v>0.1797897</v>
      </c>
      <c r="X1114">
        <v>0.97257020000000005</v>
      </c>
      <c r="Y1114">
        <v>0.18879870000000001</v>
      </c>
      <c r="Z1114">
        <v>0.20086780000000001</v>
      </c>
      <c r="AA1114">
        <v>0.96125289999999997</v>
      </c>
      <c r="AB1114">
        <v>36</v>
      </c>
      <c r="AC1114">
        <v>-0.18000000000000599</v>
      </c>
      <c r="AD1114">
        <v>-0.20069769999999901</v>
      </c>
      <c r="AE1114">
        <v>-0.25630000000001002</v>
      </c>
      <c r="AF1114">
        <v>0.125952755467236</v>
      </c>
      <c r="AG1114">
        <v>-0.20069769999999901</v>
      </c>
      <c r="AH1114">
        <v>0.18283747202286299</v>
      </c>
      <c r="AI1114">
        <v>132.11217240747101</v>
      </c>
      <c r="AJ1114">
        <v>55.437889225197701</v>
      </c>
      <c r="AK1114">
        <v>0.29928782897202899</v>
      </c>
      <c r="AL1114">
        <v>79.642488698883795</v>
      </c>
      <c r="AM1114">
        <v>81.371067574433098</v>
      </c>
      <c r="AN1114">
        <v>0.99999993960908296</v>
      </c>
    </row>
    <row r="1115" spans="1:40" x14ac:dyDescent="0.25">
      <c r="A1115" t="str">
        <f>"20190303162521887"</f>
        <v>20190303162521887</v>
      </c>
      <c r="B1115" t="str">
        <f>"1551601521883995"</f>
        <v>1551601521883995</v>
      </c>
      <c r="C1115" t="s">
        <v>40</v>
      </c>
      <c r="D1115">
        <v>4.6228660000000001</v>
      </c>
      <c r="E1115">
        <v>0.52472149999999995</v>
      </c>
      <c r="F1115" t="s">
        <v>42</v>
      </c>
      <c r="G1115">
        <v>-190.93209999999999</v>
      </c>
      <c r="H1115">
        <v>0.91965719999999995</v>
      </c>
      <c r="I1115">
        <v>317.2672</v>
      </c>
      <c r="J1115">
        <v>-190.74780000000001</v>
      </c>
      <c r="K1115">
        <v>1.1175839999999999</v>
      </c>
      <c r="L1115">
        <v>317.78989999999999</v>
      </c>
      <c r="M1115">
        <v>-1.284515E-2</v>
      </c>
      <c r="N1115">
        <v>-1.068648E-2</v>
      </c>
      <c r="O1115">
        <v>-0.99986059999999999</v>
      </c>
      <c r="P1115">
        <v>-0.1577395</v>
      </c>
      <c r="Q1115">
        <v>0.17006859999999999</v>
      </c>
      <c r="R1115">
        <v>-0.97272579999999997</v>
      </c>
      <c r="S1115">
        <v>-0.65701290000000001</v>
      </c>
      <c r="T1115">
        <v>-0.68070129999999995</v>
      </c>
      <c r="U1115">
        <v>-3.0975950000000001</v>
      </c>
      <c r="V1115">
        <v>0.1465882</v>
      </c>
      <c r="W1115">
        <v>0.17937449999999999</v>
      </c>
      <c r="X1115">
        <v>0.97279839999999995</v>
      </c>
      <c r="Y1115">
        <v>0.19048660000000001</v>
      </c>
      <c r="Z1115">
        <v>0.1999698</v>
      </c>
      <c r="AA1115">
        <v>0.96110709999999999</v>
      </c>
      <c r="AB1115">
        <v>36</v>
      </c>
      <c r="AC1115">
        <v>-0.18429999999997901</v>
      </c>
      <c r="AD1115">
        <v>-0.19792679999999899</v>
      </c>
      <c r="AE1115">
        <v>-0.52269999999998595</v>
      </c>
      <c r="AF1115">
        <v>0.15748599744635799</v>
      </c>
      <c r="AG1115">
        <v>-0.19792679999999899</v>
      </c>
      <c r="AH1115">
        <v>0.46564098190876002</v>
      </c>
      <c r="AI1115">
        <v>111.932520932572</v>
      </c>
      <c r="AJ1115">
        <v>71.313776617579094</v>
      </c>
      <c r="AK1115">
        <v>0.529904124897012</v>
      </c>
      <c r="AL1115">
        <v>79.666671873697894</v>
      </c>
      <c r="AM1115">
        <v>81.430734892834394</v>
      </c>
      <c r="AN1115">
        <v>1.0000000193360199</v>
      </c>
    </row>
    <row r="1116" spans="1:40" x14ac:dyDescent="0.25">
      <c r="A1116" t="str">
        <f>"20190303162521912"</f>
        <v>20190303162521912</v>
      </c>
      <c r="B1116" t="str">
        <f>"1551601521903516"</f>
        <v>1551601521903516</v>
      </c>
      <c r="C1116" t="s">
        <v>40</v>
      </c>
      <c r="D1116">
        <v>4.5881480000000003</v>
      </c>
      <c r="E1116">
        <v>0.50211419999999996</v>
      </c>
      <c r="F1116" t="s">
        <v>42</v>
      </c>
      <c r="G1116">
        <v>-190.92840000000001</v>
      </c>
      <c r="H1116">
        <v>0.92858739999999995</v>
      </c>
      <c r="I1116">
        <v>316.94130000000001</v>
      </c>
      <c r="J1116">
        <v>-190.75700000000001</v>
      </c>
      <c r="K1116">
        <v>1.1173569999999999</v>
      </c>
      <c r="L1116">
        <v>317.38580000000002</v>
      </c>
      <c r="M1116">
        <v>-1.71831E-2</v>
      </c>
      <c r="N1116">
        <v>-1.091405E-2</v>
      </c>
      <c r="O1116">
        <v>-0.99979280000000004</v>
      </c>
      <c r="P1116">
        <v>-0.16068550000000001</v>
      </c>
      <c r="Q1116">
        <v>0.16783489999999901</v>
      </c>
      <c r="R1116">
        <v>-0.97263140000000003</v>
      </c>
      <c r="S1116">
        <v>-0.65893550000000001</v>
      </c>
      <c r="T1116">
        <v>-0.68980529999999995</v>
      </c>
      <c r="U1116">
        <v>-3.0979000000000001</v>
      </c>
      <c r="V1116">
        <v>0.14540249999999999</v>
      </c>
      <c r="W1116">
        <v>0.17728569999999999</v>
      </c>
      <c r="X1116">
        <v>0.97335910000000003</v>
      </c>
      <c r="Y1116">
        <v>0.18667149999999999</v>
      </c>
      <c r="Z1116">
        <v>0.2024696</v>
      </c>
      <c r="AA1116">
        <v>0.96133230000000003</v>
      </c>
      <c r="AB1116">
        <v>36</v>
      </c>
      <c r="AC1116">
        <v>-0.17140000000000499</v>
      </c>
      <c r="AD1116">
        <v>-0.18876960000000001</v>
      </c>
      <c r="AE1116">
        <v>-0.444500000000005</v>
      </c>
      <c r="AF1116">
        <v>0.14151719880043501</v>
      </c>
      <c r="AG1116">
        <v>-0.18876960000000001</v>
      </c>
      <c r="AH1116">
        <v>0.38666994830007001</v>
      </c>
      <c r="AI1116">
        <v>114.62923891571501</v>
      </c>
      <c r="AJ1116">
        <v>69.897897205610406</v>
      </c>
      <c r="AK1116">
        <v>0.45296217100201802</v>
      </c>
      <c r="AL1116">
        <v>79.788300974268495</v>
      </c>
      <c r="AM1116">
        <v>81.5038573091812</v>
      </c>
      <c r="AN1116">
        <v>1.00000002199177</v>
      </c>
    </row>
    <row r="1117" spans="1:40" x14ac:dyDescent="0.25">
      <c r="A1117" t="str">
        <f>"20190303162521954"</f>
        <v>20190303162521954</v>
      </c>
      <c r="B1117" t="str">
        <f>"1551601521944507"</f>
        <v>1551601521944507</v>
      </c>
      <c r="C1117" t="s">
        <v>40</v>
      </c>
      <c r="D1117">
        <v>4.632072</v>
      </c>
      <c r="E1117">
        <v>0.50183270000000002</v>
      </c>
      <c r="F1117" t="s">
        <v>42</v>
      </c>
      <c r="G1117">
        <v>-190.8767</v>
      </c>
      <c r="H1117">
        <v>0.93123500000000003</v>
      </c>
      <c r="I1117">
        <v>316.61939999999998</v>
      </c>
      <c r="J1117">
        <v>-190.77690000000001</v>
      </c>
      <c r="K1117">
        <v>1.117027</v>
      </c>
      <c r="L1117">
        <v>316.71749999999997</v>
      </c>
      <c r="M1117">
        <v>-2.503503E-2</v>
      </c>
      <c r="N1117">
        <v>-1.1547200000000001E-2</v>
      </c>
      <c r="O1117">
        <v>-0.99961999999999995</v>
      </c>
      <c r="P1117">
        <v>-0.1665951</v>
      </c>
      <c r="Q1117">
        <v>0.16382529999999901</v>
      </c>
      <c r="R1117">
        <v>-0.97232070000000004</v>
      </c>
      <c r="S1117">
        <v>-0.48960880000000001</v>
      </c>
      <c r="T1117">
        <v>-0.76140949999999996</v>
      </c>
      <c r="U1117">
        <v>-3.1349179999999999</v>
      </c>
      <c r="V1117">
        <v>0.14380409999999999</v>
      </c>
      <c r="W1117">
        <v>0.17377100000000001</v>
      </c>
      <c r="X1117">
        <v>0.97422989999999998</v>
      </c>
      <c r="Y1117">
        <v>0.12547510000000001</v>
      </c>
      <c r="Z1117">
        <v>0.22242700000000001</v>
      </c>
      <c r="AA1117">
        <v>0.96684139999999996</v>
      </c>
      <c r="AB1117">
        <v>36</v>
      </c>
      <c r="AC1117">
        <v>-9.9799999999987593E-2</v>
      </c>
      <c r="AD1117">
        <v>-0.18579200000000001</v>
      </c>
      <c r="AE1117">
        <v>-9.8099999999988002E-2</v>
      </c>
      <c r="AF1117">
        <v>3.52246689238601E-2</v>
      </c>
      <c r="AG1117">
        <v>-0.18579200000000001</v>
      </c>
      <c r="AH1117">
        <v>3.6403002179978702E-2</v>
      </c>
      <c r="AI1117">
        <v>164.74926745240501</v>
      </c>
      <c r="AJ1117">
        <v>45.942477006549097</v>
      </c>
      <c r="AK1117">
        <v>0.192573682346553</v>
      </c>
      <c r="AL1117">
        <v>79.992853541541507</v>
      </c>
      <c r="AM1117">
        <v>81.603318455467402</v>
      </c>
      <c r="AN1117">
        <v>0.99999993883590799</v>
      </c>
    </row>
    <row r="1118" spans="1:40" x14ac:dyDescent="0.25">
      <c r="A1118" t="str">
        <f>"20190303162521976"</f>
        <v>20190303162521976</v>
      </c>
      <c r="B1118" t="str">
        <f>"1551601521964536"</f>
        <v>1551601521964536</v>
      </c>
      <c r="C1118" t="s">
        <v>40</v>
      </c>
      <c r="D1118">
        <v>4.5617939999999999</v>
      </c>
      <c r="E1118">
        <v>0.50233130000000004</v>
      </c>
      <c r="F1118" t="s">
        <v>42</v>
      </c>
      <c r="G1118">
        <v>-190.89279999999999</v>
      </c>
      <c r="H1118">
        <v>0.90548439999999997</v>
      </c>
      <c r="I1118">
        <v>315.98820000000001</v>
      </c>
      <c r="J1118">
        <v>-190.78989999999999</v>
      </c>
      <c r="K1118">
        <v>1.1168640000000001</v>
      </c>
      <c r="L1118">
        <v>316.36200000000002</v>
      </c>
      <c r="M1118">
        <v>-2.9505409999999999E-2</v>
      </c>
      <c r="N1118">
        <v>-1.191011E-2</v>
      </c>
      <c r="O1118">
        <v>-0.99949379999999999</v>
      </c>
      <c r="P1118">
        <v>-0.17043849999999999</v>
      </c>
      <c r="Q1118">
        <v>0.160762299999999</v>
      </c>
      <c r="R1118">
        <v>-0.97216610000000003</v>
      </c>
      <c r="S1118">
        <v>-0.50059509999999996</v>
      </c>
      <c r="T1118">
        <v>-0.91470370000000001</v>
      </c>
      <c r="U1118">
        <v>-3.1537169999999999</v>
      </c>
      <c r="V1118">
        <v>0.14334659999999999</v>
      </c>
      <c r="W1118">
        <v>0.17099929999999999</v>
      </c>
      <c r="X1118">
        <v>0.97478770000000003</v>
      </c>
      <c r="Y1118">
        <v>0.1217637</v>
      </c>
      <c r="Z1118">
        <v>0.26432739999999999</v>
      </c>
      <c r="AA1118">
        <v>0.95671550000000005</v>
      </c>
      <c r="AB1118">
        <v>36</v>
      </c>
      <c r="AC1118">
        <v>-0.102900000000005</v>
      </c>
      <c r="AD1118">
        <v>-0.211379599999999</v>
      </c>
      <c r="AE1118">
        <v>-0.37380000000001701</v>
      </c>
      <c r="AF1118">
        <v>7.07844857563662E-2</v>
      </c>
      <c r="AG1118">
        <v>-0.211379599999999</v>
      </c>
      <c r="AH1118">
        <v>0.29036275067268302</v>
      </c>
      <c r="AI1118">
        <v>125.270693251824</v>
      </c>
      <c r="AJ1118">
        <v>76.299687647939507</v>
      </c>
      <c r="AK1118">
        <v>0.36606325368460602</v>
      </c>
      <c r="AL1118">
        <v>80.154074797786606</v>
      </c>
      <c r="AM1118">
        <v>81.634374638109904</v>
      </c>
      <c r="AN1118">
        <v>1.0000000342016599</v>
      </c>
    </row>
    <row r="1119" spans="1:40" x14ac:dyDescent="0.25">
      <c r="A1119" t="str">
        <f>"20190303162522000"</f>
        <v>20190303162522000</v>
      </c>
      <c r="B1119" t="str">
        <f>"1551601521993817"</f>
        <v>1551601521993817</v>
      </c>
      <c r="C1119" t="s">
        <v>40</v>
      </c>
      <c r="D1119">
        <v>4.5992499999999996</v>
      </c>
      <c r="E1119">
        <v>0.50291790000000003</v>
      </c>
      <c r="F1119" t="s">
        <v>42</v>
      </c>
      <c r="G1119">
        <v>-190.90469999999999</v>
      </c>
      <c r="H1119">
        <v>0.90869270000000002</v>
      </c>
      <c r="I1119">
        <v>315.66570000000002</v>
      </c>
      <c r="J1119">
        <v>-190.80590000000001</v>
      </c>
      <c r="K1119">
        <v>1.1166849999999999</v>
      </c>
      <c r="L1119">
        <v>315.97890000000001</v>
      </c>
      <c r="M1119">
        <v>-3.4510939999999997E-2</v>
      </c>
      <c r="N1119">
        <v>-1.227641E-2</v>
      </c>
      <c r="O1119">
        <v>-0.99932909999999997</v>
      </c>
      <c r="P1119">
        <v>-0.1751849</v>
      </c>
      <c r="Q1119">
        <v>0.1594062</v>
      </c>
      <c r="R1119">
        <v>-0.9715454</v>
      </c>
      <c r="S1119">
        <v>-0.51884459999999999</v>
      </c>
      <c r="T1119">
        <v>-0.94187759999999998</v>
      </c>
      <c r="U1119">
        <v>-3.150665</v>
      </c>
      <c r="V1119">
        <v>0.14329639999999999</v>
      </c>
      <c r="W1119">
        <v>0.16992989999999999</v>
      </c>
      <c r="X1119">
        <v>0.97498200000000002</v>
      </c>
      <c r="Y1119">
        <v>0.12199599999999999</v>
      </c>
      <c r="Z1119">
        <v>0.27160719999999999</v>
      </c>
      <c r="AA1119">
        <v>0.95464470000000001</v>
      </c>
      <c r="AB1119">
        <v>36</v>
      </c>
      <c r="AC1119">
        <v>-9.8799999999982901E-2</v>
      </c>
      <c r="AD1119">
        <v>-0.20799229999999899</v>
      </c>
      <c r="AE1119">
        <v>-0.31319999999999398</v>
      </c>
      <c r="AF1119">
        <v>6.2758951303540103E-2</v>
      </c>
      <c r="AG1119">
        <v>-0.20799229999999899</v>
      </c>
      <c r="AH1119">
        <v>0.22583940183630399</v>
      </c>
      <c r="AI1119">
        <v>131.584220328893</v>
      </c>
      <c r="AJ1119">
        <v>74.469816298855406</v>
      </c>
      <c r="AK1119">
        <v>0.31337344853990001</v>
      </c>
      <c r="AL1119">
        <v>80.216256330630401</v>
      </c>
      <c r="AM1119">
        <v>81.638905855784003</v>
      </c>
      <c r="AN1119">
        <v>0.99999996474548403</v>
      </c>
    </row>
    <row r="1120" spans="1:40" x14ac:dyDescent="0.25">
      <c r="A1120" t="str">
        <f>"20190303162522021"</f>
        <v>20190303162522021</v>
      </c>
      <c r="B1120" t="str">
        <f>"1551601522014312"</f>
        <v>1551601522014312</v>
      </c>
      <c r="C1120" t="s">
        <v>40</v>
      </c>
      <c r="D1120">
        <v>4.6366269999999998</v>
      </c>
      <c r="E1120">
        <v>0.50295670000000003</v>
      </c>
      <c r="F1120" t="s">
        <v>42</v>
      </c>
      <c r="G1120">
        <v>-190.96520000000001</v>
      </c>
      <c r="H1120">
        <v>0.83633409999999997</v>
      </c>
      <c r="I1120">
        <v>315.05509999999998</v>
      </c>
      <c r="J1120">
        <v>-190.82159999999999</v>
      </c>
      <c r="K1120">
        <v>1.116541</v>
      </c>
      <c r="L1120">
        <v>315.64729999999997</v>
      </c>
      <c r="M1120">
        <v>-3.8986029999999998E-2</v>
      </c>
      <c r="N1120">
        <v>-1.2568960000000001E-2</v>
      </c>
      <c r="O1120">
        <v>-0.99916079999999996</v>
      </c>
      <c r="P1120">
        <v>-0.18018729999999999</v>
      </c>
      <c r="Q1120">
        <v>0.1596746</v>
      </c>
      <c r="R1120">
        <v>-0.9705859</v>
      </c>
      <c r="S1120">
        <v>-0.5417786</v>
      </c>
      <c r="T1120">
        <v>-0.9547949</v>
      </c>
      <c r="U1120">
        <v>-3.1468509999999998</v>
      </c>
      <c r="V1120">
        <v>0.144030399999999</v>
      </c>
      <c r="W1120">
        <v>0.1704167</v>
      </c>
      <c r="X1120">
        <v>0.97478889999999996</v>
      </c>
      <c r="Y1120">
        <v>0.124329</v>
      </c>
      <c r="Z1120">
        <v>0.27495969999999997</v>
      </c>
      <c r="AA1120">
        <v>0.95338319999999999</v>
      </c>
      <c r="AB1120">
        <v>36</v>
      </c>
      <c r="AC1120">
        <v>-0.14360000000001999</v>
      </c>
      <c r="AD1120">
        <v>-0.28020689999999898</v>
      </c>
      <c r="AE1120">
        <v>-0.59219999999999096</v>
      </c>
      <c r="AF1120">
        <v>9.9386261566288103E-2</v>
      </c>
      <c r="AG1120">
        <v>-0.28020689999999898</v>
      </c>
      <c r="AH1120">
        <v>0.49308569441921601</v>
      </c>
      <c r="AI1120">
        <v>119.120825218212</v>
      </c>
      <c r="AJ1120">
        <v>78.604159857814594</v>
      </c>
      <c r="AK1120">
        <v>0.57578384645334801</v>
      </c>
      <c r="AL1120">
        <v>80.187952285310203</v>
      </c>
      <c r="AM1120">
        <v>81.595047379495199</v>
      </c>
      <c r="AN1120">
        <v>1.00000000366312</v>
      </c>
    </row>
    <row r="1121" spans="1:40" x14ac:dyDescent="0.25">
      <c r="A1121" t="str">
        <f>"20190303162522042"</f>
        <v>20190303162522042</v>
      </c>
      <c r="B1121" t="str">
        <f>"1551601522034809"</f>
        <v>1551601522034809</v>
      </c>
      <c r="C1121" t="s">
        <v>40</v>
      </c>
      <c r="D1121">
        <v>4.6768219999999996</v>
      </c>
      <c r="E1121">
        <v>0.50278690000000004</v>
      </c>
      <c r="F1121" t="s">
        <v>42</v>
      </c>
      <c r="G1121">
        <v>-190.98390000000001</v>
      </c>
      <c r="H1121">
        <v>0.83858759999999999</v>
      </c>
      <c r="I1121">
        <v>314.7346</v>
      </c>
      <c r="J1121">
        <v>-190.84010000000001</v>
      </c>
      <c r="K1121">
        <v>1.116411</v>
      </c>
      <c r="L1121">
        <v>315.29289999999997</v>
      </c>
      <c r="M1121">
        <v>-4.389349E-2</v>
      </c>
      <c r="N1121">
        <v>-1.2855419999999999E-2</v>
      </c>
      <c r="O1121">
        <v>-0.99895350000000005</v>
      </c>
      <c r="P1121">
        <v>-0.18465010000000001</v>
      </c>
      <c r="Q1121">
        <v>0.15819049999999901</v>
      </c>
      <c r="R1121">
        <v>-0.96999009999999997</v>
      </c>
      <c r="S1121">
        <v>-0.55888369999999998</v>
      </c>
      <c r="T1121">
        <v>-0.95753279999999996</v>
      </c>
      <c r="U1121">
        <v>-3.1446839999999998</v>
      </c>
      <c r="V1121">
        <v>0.143764</v>
      </c>
      <c r="W1121">
        <v>0.16916629999999999</v>
      </c>
      <c r="X1121">
        <v>0.97504599999999997</v>
      </c>
      <c r="Y1121">
        <v>0.12456979999999999</v>
      </c>
      <c r="Z1121">
        <v>0.27541739999999998</v>
      </c>
      <c r="AA1121">
        <v>0.95321959999999994</v>
      </c>
      <c r="AB1121">
        <v>36</v>
      </c>
      <c r="AC1121">
        <v>-0.14379999999999801</v>
      </c>
      <c r="AD1121">
        <v>-0.2778234</v>
      </c>
      <c r="AE1121">
        <v>-0.55829999999997404</v>
      </c>
      <c r="AF1121">
        <v>9.6698058435440604E-2</v>
      </c>
      <c r="AG1121">
        <v>-0.2778234</v>
      </c>
      <c r="AH1121">
        <v>0.457769402914118</v>
      </c>
      <c r="AI1121">
        <v>120.70198155112701</v>
      </c>
      <c r="AJ1121">
        <v>78.072329754243299</v>
      </c>
      <c r="AK1121">
        <v>0.54414077437469399</v>
      </c>
      <c r="AL1121">
        <v>80.260650606701105</v>
      </c>
      <c r="AM1121">
        <v>81.612552503318</v>
      </c>
      <c r="AN1121">
        <v>1.00000001343384</v>
      </c>
    </row>
    <row r="1122" spans="1:40" x14ac:dyDescent="0.25">
      <c r="A1122" t="str">
        <f>"20190303162522066"</f>
        <v>20190303162522066</v>
      </c>
      <c r="B1122" t="str">
        <f>"1551601522054329"</f>
        <v>1551601522054329</v>
      </c>
      <c r="C1122" t="s">
        <v>40</v>
      </c>
      <c r="D1122">
        <v>4.7307509999999997</v>
      </c>
      <c r="E1122">
        <v>0.5029285</v>
      </c>
      <c r="F1122" t="s">
        <v>42</v>
      </c>
      <c r="G1122">
        <v>-191.00020000000001</v>
      </c>
      <c r="H1122">
        <v>0.84579040000000005</v>
      </c>
      <c r="I1122">
        <v>314.41250000000002</v>
      </c>
      <c r="J1122">
        <v>-190.8613</v>
      </c>
      <c r="K1122">
        <v>1.116293</v>
      </c>
      <c r="L1122">
        <v>314.9255</v>
      </c>
      <c r="M1122">
        <v>-4.9112219999999998E-2</v>
      </c>
      <c r="N1122">
        <v>-1.3123259999999999E-2</v>
      </c>
      <c r="O1122">
        <v>-0.99870709999999996</v>
      </c>
      <c r="P1122">
        <v>-0.18853919999999999</v>
      </c>
      <c r="Q1122">
        <v>0.15585199999999999</v>
      </c>
      <c r="R1122">
        <v>-0.96962029999999999</v>
      </c>
      <c r="S1122">
        <v>-0.57090759999999996</v>
      </c>
      <c r="T1122">
        <v>-0.96561090000000005</v>
      </c>
      <c r="U1122">
        <v>-3.1416019999999998</v>
      </c>
      <c r="V1122">
        <v>0.14259059999999901</v>
      </c>
      <c r="W1122">
        <v>0.16706370000000001</v>
      </c>
      <c r="X1122">
        <v>0.97558069999999997</v>
      </c>
      <c r="Y1122">
        <v>0.122972499999999</v>
      </c>
      <c r="Z1122">
        <v>0.27749430000000003</v>
      </c>
      <c r="AA1122">
        <v>0.95282460000000002</v>
      </c>
      <c r="AB1122">
        <v>36</v>
      </c>
      <c r="AC1122">
        <v>-0.13890000000000599</v>
      </c>
      <c r="AD1122">
        <v>-0.27050259999999898</v>
      </c>
      <c r="AE1122">
        <v>-0.51299999999997603</v>
      </c>
      <c r="AF1122">
        <v>9.0175668669548403E-2</v>
      </c>
      <c r="AG1122">
        <v>-0.27050259999999898</v>
      </c>
      <c r="AH1122">
        <v>0.41237708980716198</v>
      </c>
      <c r="AI1122">
        <v>122.652439329274</v>
      </c>
      <c r="AJ1122">
        <v>77.665131937729598</v>
      </c>
      <c r="AK1122">
        <v>0.50135633238704003</v>
      </c>
      <c r="AL1122">
        <v>80.382860262931302</v>
      </c>
      <c r="AM1122">
        <v>81.684544847587304</v>
      </c>
      <c r="AN1122">
        <v>1.00000003063926</v>
      </c>
    </row>
    <row r="1123" spans="1:40" x14ac:dyDescent="0.25">
      <c r="A1123" t="str">
        <f>"20190303162522089"</f>
        <v>20190303162522089</v>
      </c>
      <c r="B1123" t="str">
        <f>"1551601522083609"</f>
        <v>1551601522083609</v>
      </c>
      <c r="C1123" t="s">
        <v>40</v>
      </c>
      <c r="D1123">
        <v>4.777793</v>
      </c>
      <c r="E1123">
        <v>0.50343549999999904</v>
      </c>
      <c r="F1123" t="s">
        <v>42</v>
      </c>
      <c r="G1123">
        <v>-191.0171</v>
      </c>
      <c r="H1123">
        <v>0.85276030000000003</v>
      </c>
      <c r="I1123">
        <v>314.09089999999998</v>
      </c>
      <c r="J1123">
        <v>-190.88470000000001</v>
      </c>
      <c r="K1123">
        <v>1.1161909999999999</v>
      </c>
      <c r="L1123">
        <v>314.55619999999999</v>
      </c>
      <c r="M1123">
        <v>-5.4498640000000001E-2</v>
      </c>
      <c r="N1123">
        <v>-1.336409E-2</v>
      </c>
      <c r="O1123">
        <v>-0.99842450000000005</v>
      </c>
      <c r="P1123">
        <v>-0.19366700000000001</v>
      </c>
      <c r="Q1123">
        <v>0.15632860000000001</v>
      </c>
      <c r="R1123">
        <v>-0.96853210000000001</v>
      </c>
      <c r="S1123">
        <v>-0.58557130000000002</v>
      </c>
      <c r="T1123">
        <v>-0.99117370000000005</v>
      </c>
      <c r="U1123">
        <v>-3.139465</v>
      </c>
      <c r="V1123">
        <v>0.1425527</v>
      </c>
      <c r="W1123">
        <v>0.16773179999999999</v>
      </c>
      <c r="X1123">
        <v>0.97547159999999999</v>
      </c>
      <c r="Y1123">
        <v>0.1216675</v>
      </c>
      <c r="Z1123">
        <v>0.28427550000000001</v>
      </c>
      <c r="AA1123">
        <v>0.95099129999999998</v>
      </c>
      <c r="AB1123">
        <v>36</v>
      </c>
      <c r="AC1123">
        <v>-0.132399999999989</v>
      </c>
      <c r="AD1123">
        <v>-0.26343069999999902</v>
      </c>
      <c r="AE1123">
        <v>-0.46530000000001298</v>
      </c>
      <c r="AF1123">
        <v>8.2407299887615401E-2</v>
      </c>
      <c r="AG1123">
        <v>-0.26343069999999902</v>
      </c>
      <c r="AH1123">
        <v>0.36391618065784997</v>
      </c>
      <c r="AI1123">
        <v>125.22219055662499</v>
      </c>
      <c r="AJ1123">
        <v>77.240792954474202</v>
      </c>
      <c r="AK1123">
        <v>0.45675122695166798</v>
      </c>
      <c r="AL1123">
        <v>80.344033129267004</v>
      </c>
      <c r="AM1123">
        <v>81.685807380138598</v>
      </c>
      <c r="AN1123">
        <v>1.00000003570754</v>
      </c>
    </row>
    <row r="1124" spans="1:40" x14ac:dyDescent="0.25">
      <c r="A1124" t="str">
        <f>"20190303162522111"</f>
        <v>20190303162522111</v>
      </c>
      <c r="B1124" t="str">
        <f>"1551601522104106"</f>
        <v>1551601522104106</v>
      </c>
      <c r="C1124" t="s">
        <v>40</v>
      </c>
      <c r="D1124">
        <v>4.8363559999999897</v>
      </c>
      <c r="E1124">
        <v>0.5036659</v>
      </c>
      <c r="F1124" t="s">
        <v>42</v>
      </c>
      <c r="G1124">
        <v>-191.03819999999999</v>
      </c>
      <c r="H1124">
        <v>0.86505200000000004</v>
      </c>
      <c r="I1124">
        <v>313.76760000000002</v>
      </c>
      <c r="J1124">
        <v>-190.90960000000001</v>
      </c>
      <c r="K1124">
        <v>1.1160950000000001</v>
      </c>
      <c r="L1124">
        <v>314.19490000000002</v>
      </c>
      <c r="M1124">
        <v>-5.9919449999999999E-2</v>
      </c>
      <c r="N1124">
        <v>-1.3574350000000001E-2</v>
      </c>
      <c r="O1124">
        <v>-0.99811110000000003</v>
      </c>
      <c r="P1124">
        <v>-0.19969509999999999</v>
      </c>
      <c r="Q1124">
        <v>0.1591928</v>
      </c>
      <c r="R1124">
        <v>-0.96684029999999999</v>
      </c>
      <c r="S1124">
        <v>-0.61001590000000006</v>
      </c>
      <c r="T1124">
        <v>-0.99872709999999998</v>
      </c>
      <c r="U1124">
        <v>-3.1367189999999998</v>
      </c>
      <c r="V1124">
        <v>0.14344889999999999</v>
      </c>
      <c r="W1124">
        <v>0.17073949999999999</v>
      </c>
      <c r="X1124">
        <v>0.97481819999999997</v>
      </c>
      <c r="Y1124">
        <v>0.1234726</v>
      </c>
      <c r="Z1124">
        <v>0.2860239</v>
      </c>
      <c r="AA1124">
        <v>0.95023409999999997</v>
      </c>
      <c r="AB1124">
        <v>36</v>
      </c>
      <c r="AC1124">
        <v>-0.12859999999997701</v>
      </c>
      <c r="AD1124">
        <v>-0.25104299999999902</v>
      </c>
      <c r="AE1124">
        <v>-0.42730000000000201</v>
      </c>
      <c r="AF1124">
        <v>7.8057671457338704E-2</v>
      </c>
      <c r="AG1124">
        <v>-0.25104299999999902</v>
      </c>
      <c r="AH1124">
        <v>0.32984300136509298</v>
      </c>
      <c r="AI1124">
        <v>126.525188833697</v>
      </c>
      <c r="AJ1124">
        <v>76.685837892383901</v>
      </c>
      <c r="AK1124">
        <v>0.421796151561243</v>
      </c>
      <c r="AL1124">
        <v>80.169182509670904</v>
      </c>
      <c r="AM1124">
        <v>81.628747260862497</v>
      </c>
      <c r="AN1124">
        <v>1.0000000434113401</v>
      </c>
    </row>
    <row r="1125" spans="1:40" x14ac:dyDescent="0.25">
      <c r="A1125" t="str">
        <f>"20190303162522134"</f>
        <v>20190303162522134</v>
      </c>
      <c r="B1125" t="str">
        <f>"1551601522124601"</f>
        <v>1551601522124601</v>
      </c>
      <c r="C1125" t="s">
        <v>40</v>
      </c>
      <c r="D1125">
        <v>4.852068</v>
      </c>
      <c r="E1125">
        <v>0.50380579999999997</v>
      </c>
      <c r="F1125" t="s">
        <v>42</v>
      </c>
      <c r="G1125">
        <v>-191.0609</v>
      </c>
      <c r="H1125">
        <v>0.87814859999999995</v>
      </c>
      <c r="I1125">
        <v>313.44439999999997</v>
      </c>
      <c r="J1125">
        <v>-190.9359</v>
      </c>
      <c r="K1125">
        <v>1.115982</v>
      </c>
      <c r="L1125">
        <v>313.84199999999998</v>
      </c>
      <c r="M1125">
        <v>-6.5378829999999999E-2</v>
      </c>
      <c r="N1125">
        <v>-1.3758009999999999E-2</v>
      </c>
      <c r="O1125">
        <v>-0.99776569999999998</v>
      </c>
      <c r="P1125">
        <v>-0.20682439999999999</v>
      </c>
      <c r="Q1125">
        <v>0.16156899999999999</v>
      </c>
      <c r="R1125">
        <v>-0.96494530000000001</v>
      </c>
      <c r="S1125">
        <v>-0.63197329999999996</v>
      </c>
      <c r="T1125">
        <v>-0.99424310000000005</v>
      </c>
      <c r="U1125">
        <v>-3.1360779999999999</v>
      </c>
      <c r="V1125">
        <v>0.145428799999999</v>
      </c>
      <c r="W1125">
        <v>0.17321259999999999</v>
      </c>
      <c r="X1125">
        <v>0.97408819999999996</v>
      </c>
      <c r="Y1125">
        <v>0.1245803</v>
      </c>
      <c r="Z1125">
        <v>0.28433609999999998</v>
      </c>
      <c r="AA1125">
        <v>0.950596</v>
      </c>
      <c r="AB1125">
        <v>36</v>
      </c>
      <c r="AC1125">
        <v>-0.125</v>
      </c>
      <c r="AD1125">
        <v>-0.2378334</v>
      </c>
      <c r="AE1125">
        <v>-0.397600000000011</v>
      </c>
      <c r="AF1125">
        <v>7.4482121826526193E-2</v>
      </c>
      <c r="AG1125">
        <v>-0.2378334</v>
      </c>
      <c r="AH1125">
        <v>0.30545744508851103</v>
      </c>
      <c r="AI1125">
        <v>127.105698819343</v>
      </c>
      <c r="AJ1125">
        <v>76.296525716659204</v>
      </c>
      <c r="AK1125">
        <v>0.39422907476154301</v>
      </c>
      <c r="AL1125">
        <v>80.025340581743293</v>
      </c>
      <c r="AM1125">
        <v>81.508610677801698</v>
      </c>
      <c r="AN1125">
        <v>0.99999998102371901</v>
      </c>
    </row>
    <row r="1126" spans="1:40" x14ac:dyDescent="0.25">
      <c r="A1126" t="str">
        <f>"20190303162522158"</f>
        <v>20190303162522158</v>
      </c>
      <c r="B1126" t="str">
        <f>"1551601522153880"</f>
        <v>1551601522153880</v>
      </c>
      <c r="C1126" t="s">
        <v>40</v>
      </c>
      <c r="D1126">
        <v>4.8664569999999996</v>
      </c>
      <c r="E1126">
        <v>0.50408279999999905</v>
      </c>
      <c r="F1126" t="s">
        <v>42</v>
      </c>
      <c r="G1126">
        <v>-191.0866</v>
      </c>
      <c r="H1126">
        <v>0.8884107</v>
      </c>
      <c r="I1126">
        <v>313.12279999999998</v>
      </c>
      <c r="J1126">
        <v>-190.96600000000001</v>
      </c>
      <c r="K1126">
        <v>1.1158349999999999</v>
      </c>
      <c r="L1126">
        <v>313.4699</v>
      </c>
      <c r="M1126">
        <v>-7.132848E-2</v>
      </c>
      <c r="N1126">
        <v>-1.393115E-2</v>
      </c>
      <c r="O1126">
        <v>-0.99735560000000001</v>
      </c>
      <c r="P1126">
        <v>-0.21552080000000001</v>
      </c>
      <c r="Q1126">
        <v>0.1635713</v>
      </c>
      <c r="R1126">
        <v>-0.96270250000000002</v>
      </c>
      <c r="S1126">
        <v>-0.65628050000000004</v>
      </c>
      <c r="T1126">
        <v>-0.99170519999999995</v>
      </c>
      <c r="U1126">
        <v>-3.1343079999999999</v>
      </c>
      <c r="V1126">
        <v>0.14853469999999999</v>
      </c>
      <c r="W1126">
        <v>0.1752754</v>
      </c>
      <c r="X1126">
        <v>0.97325019999999995</v>
      </c>
      <c r="Y1126">
        <v>0.12590499999999999</v>
      </c>
      <c r="Z1126">
        <v>0.28322979999999998</v>
      </c>
      <c r="AA1126">
        <v>0.95075169999999998</v>
      </c>
      <c r="AB1126">
        <v>35</v>
      </c>
      <c r="AC1126">
        <v>-0.12060000000002399</v>
      </c>
      <c r="AD1126">
        <v>-0.2274243</v>
      </c>
      <c r="AE1126">
        <v>-0.34710000000001101</v>
      </c>
      <c r="AF1126">
        <v>6.9073102251141397E-2</v>
      </c>
      <c r="AG1126">
        <v>-0.2274243</v>
      </c>
      <c r="AH1126">
        <v>0.25654620291220898</v>
      </c>
      <c r="AI1126">
        <v>130.56356416685901</v>
      </c>
      <c r="AJ1126">
        <v>74.930893221940593</v>
      </c>
      <c r="AK1126">
        <v>0.34972683613608901</v>
      </c>
      <c r="AL1126">
        <v>79.905314791993902</v>
      </c>
      <c r="AM1126">
        <v>81.322637388591701</v>
      </c>
      <c r="AN1126">
        <v>0.99999998737464402</v>
      </c>
    </row>
    <row r="1127" spans="1:40" x14ac:dyDescent="0.25">
      <c r="A1127" t="str">
        <f>"20190303162522199"</f>
        <v>20190303162522199</v>
      </c>
      <c r="B1127" t="str">
        <f>"1551601522194201"</f>
        <v>1551601522194201</v>
      </c>
      <c r="C1127" t="s">
        <v>40</v>
      </c>
      <c r="D1127">
        <v>5.0074079999999999</v>
      </c>
      <c r="E1127">
        <v>0.52461119999999895</v>
      </c>
      <c r="F1127" t="s">
        <v>42</v>
      </c>
      <c r="G1127">
        <v>-191.11340000000001</v>
      </c>
      <c r="H1127">
        <v>0.90352929999999998</v>
      </c>
      <c r="I1127">
        <v>312.79930000000002</v>
      </c>
      <c r="J1127">
        <v>-191.0256</v>
      </c>
      <c r="K1127">
        <v>1.115551</v>
      </c>
      <c r="L1127">
        <v>312.80970000000002</v>
      </c>
      <c r="M1127">
        <v>-8.2447270000000003E-2</v>
      </c>
      <c r="N1127">
        <v>-1.4190919999999999E-2</v>
      </c>
      <c r="O1127">
        <v>-0.99649449999999995</v>
      </c>
      <c r="P1127">
        <v>-0.23748730000000001</v>
      </c>
      <c r="Q1127">
        <v>0.17085549999999999</v>
      </c>
      <c r="R1127">
        <v>-0.95624719999999996</v>
      </c>
      <c r="S1127">
        <v>-0.68803409999999998</v>
      </c>
      <c r="T1127">
        <v>-0.99102460000000003</v>
      </c>
      <c r="U1127">
        <v>-3.1305540000000001</v>
      </c>
      <c r="V1127">
        <v>0.16030759999999999</v>
      </c>
      <c r="W1127">
        <v>0.18249360000000001</v>
      </c>
      <c r="X1127">
        <v>0.97005030000000003</v>
      </c>
      <c r="Y1127">
        <v>0.12433760000000001</v>
      </c>
      <c r="Z1127">
        <v>0.2825126</v>
      </c>
      <c r="AA1127">
        <v>0.95117130000000005</v>
      </c>
      <c r="AB1127">
        <v>35</v>
      </c>
      <c r="AC1127">
        <v>-8.7800000000015602E-2</v>
      </c>
      <c r="AD1127">
        <v>-0.21202170000000001</v>
      </c>
      <c r="AE1127">
        <v>-1.04000000000041E-2</v>
      </c>
      <c r="AF1127">
        <v>1.28347451916527E-2</v>
      </c>
      <c r="AG1127">
        <v>-0.21202170000000001</v>
      </c>
      <c r="AH1127">
        <v>2.6077578174389E-3</v>
      </c>
      <c r="AI1127">
        <v>176.465221056373</v>
      </c>
      <c r="AJ1127">
        <v>11.4849932395108</v>
      </c>
      <c r="AK1127">
        <v>0.212425827892606</v>
      </c>
      <c r="AL1127">
        <v>79.484961368479802</v>
      </c>
      <c r="AM1127">
        <v>80.616280883367494</v>
      </c>
      <c r="AN1127">
        <v>1.0000000125944</v>
      </c>
    </row>
    <row r="1128" spans="1:40" x14ac:dyDescent="0.25">
      <c r="A1128" t="str">
        <f>"20190303162522220"</f>
        <v>20190303162522220</v>
      </c>
      <c r="B1128" t="str">
        <f>"1551601522213721"</f>
        <v>1551601522213721</v>
      </c>
      <c r="C1128" t="s">
        <v>40</v>
      </c>
      <c r="D1128">
        <v>5.0040509999999996</v>
      </c>
      <c r="E1128">
        <v>0.5381956</v>
      </c>
      <c r="F1128" t="s">
        <v>42</v>
      </c>
      <c r="G1128">
        <v>-191.32220000000001</v>
      </c>
      <c r="H1128">
        <v>0.95202370000000003</v>
      </c>
      <c r="I1128">
        <v>311.8349</v>
      </c>
      <c r="J1128">
        <v>-191.06030000000001</v>
      </c>
      <c r="K1128">
        <v>1.115407</v>
      </c>
      <c r="L1128">
        <v>312.46289999999999</v>
      </c>
      <c r="M1128">
        <v>-8.8548630000000003E-2</v>
      </c>
      <c r="N1128">
        <v>-1.4305669999999999E-2</v>
      </c>
      <c r="O1128">
        <v>-0.9959692</v>
      </c>
      <c r="P1128">
        <v>-0.25037350000000003</v>
      </c>
      <c r="Q1128">
        <v>0.17349139999999999</v>
      </c>
      <c r="R1128">
        <v>-0.95247820000000005</v>
      </c>
      <c r="S1128">
        <v>-0.91259769999999896</v>
      </c>
      <c r="T1128">
        <v>-0.50330379999999997</v>
      </c>
      <c r="U1128">
        <v>-3.0005799999999998</v>
      </c>
      <c r="V1128">
        <v>0.16762369999999999</v>
      </c>
      <c r="W1128">
        <v>0.18505559999999999</v>
      </c>
      <c r="X1128">
        <v>0.96832669999999998</v>
      </c>
      <c r="Y1128">
        <v>0.20177200000000001</v>
      </c>
      <c r="Z1128">
        <v>0.14531820000000001</v>
      </c>
      <c r="AA1128">
        <v>0.96859209999999996</v>
      </c>
      <c r="AB1128">
        <v>35</v>
      </c>
      <c r="AC1128">
        <v>-0.26189999999999702</v>
      </c>
      <c r="AD1128">
        <v>-0.16338330000000001</v>
      </c>
      <c r="AE1128">
        <v>-0.62799999999998501</v>
      </c>
      <c r="AF1128">
        <v>0.19406730952620899</v>
      </c>
      <c r="AG1128">
        <v>-0.16338330000000001</v>
      </c>
      <c r="AH1128">
        <v>0.61336090604798599</v>
      </c>
      <c r="AI1128">
        <v>104.249853422627</v>
      </c>
      <c r="AJ1128">
        <v>72.442635556938598</v>
      </c>
      <c r="AK1128">
        <v>0.66375283382719996</v>
      </c>
      <c r="AL1128">
        <v>79.335625325795803</v>
      </c>
      <c r="AM1128">
        <v>80.179050915575402</v>
      </c>
      <c r="AN1128">
        <v>0.99999993891296801</v>
      </c>
    </row>
    <row r="1129" spans="1:40" x14ac:dyDescent="0.25">
      <c r="A1129" t="str">
        <f>"20190303162522245"</f>
        <v>20190303162522245</v>
      </c>
      <c r="B1129" t="str">
        <f>"1551601522234217"</f>
        <v>1551601522234217</v>
      </c>
      <c r="C1129" t="s">
        <v>40</v>
      </c>
      <c r="D1129">
        <v>5.0593709999999996</v>
      </c>
      <c r="E1129">
        <v>0.53725080000000003</v>
      </c>
      <c r="F1129" t="s">
        <v>46</v>
      </c>
      <c r="G1129">
        <v>-198.42250000000001</v>
      </c>
      <c r="H1129" s="1">
        <v>1.455138E-6</v>
      </c>
      <c r="I1129">
        <v>292.12709999999998</v>
      </c>
      <c r="J1129">
        <v>-191.10220000000001</v>
      </c>
      <c r="K1129">
        <v>1.115267</v>
      </c>
      <c r="L1129">
        <v>312.07089999999999</v>
      </c>
      <c r="M1129">
        <v>-9.5612349999999999E-2</v>
      </c>
      <c r="N1129">
        <v>-1.4416979999999999E-2</v>
      </c>
      <c r="O1129">
        <v>-0.99531440000000004</v>
      </c>
      <c r="P1129">
        <v>-0.26353310000000002</v>
      </c>
      <c r="Q1129">
        <v>0.17416379999999901</v>
      </c>
      <c r="R1129">
        <v>-0.94879789999999997</v>
      </c>
      <c r="S1129">
        <v>-1.050781</v>
      </c>
      <c r="T1129">
        <v>-0.1591979</v>
      </c>
      <c r="U1129">
        <v>-2.902466</v>
      </c>
      <c r="V1129">
        <v>0.1742572</v>
      </c>
      <c r="W1129">
        <v>0.18566569999999999</v>
      </c>
      <c r="X1129">
        <v>0.96703810000000001</v>
      </c>
      <c r="Y1129">
        <v>0.2485811</v>
      </c>
      <c r="Z1129">
        <v>3.7728650000000002E-2</v>
      </c>
      <c r="AA1129">
        <v>0.96787599999999996</v>
      </c>
      <c r="AB1129">
        <v>35</v>
      </c>
      <c r="AC1129">
        <v>-7.3202999999999996</v>
      </c>
      <c r="AD1129">
        <v>-1.1152655448619999</v>
      </c>
      <c r="AE1129">
        <v>-19.9438</v>
      </c>
      <c r="AF1129">
        <v>5.3648999520154499</v>
      </c>
      <c r="AG1129">
        <v>-1.1152655448619999</v>
      </c>
      <c r="AH1129">
        <v>20.4959120343138</v>
      </c>
      <c r="AI1129">
        <v>93.013301525840603</v>
      </c>
      <c r="AJ1129">
        <v>75.331656705433105</v>
      </c>
      <c r="AK1129">
        <v>21.215757795775801</v>
      </c>
      <c r="AL1129">
        <v>79.300053434025202</v>
      </c>
      <c r="AM1129">
        <v>79.785103055999201</v>
      </c>
      <c r="AN1129">
        <v>1.00000000537996</v>
      </c>
    </row>
    <row r="1130" spans="1:40" x14ac:dyDescent="0.25">
      <c r="A1130" t="str">
        <f>"20190303162522268"</f>
        <v>20190303162522268</v>
      </c>
      <c r="B1130" t="str">
        <f>"1551601522264003"</f>
        <v>1551601522264003</v>
      </c>
      <c r="C1130" t="s">
        <v>40</v>
      </c>
      <c r="D1130">
        <v>5.0682790000000004</v>
      </c>
      <c r="E1130">
        <v>0.53503409999999996</v>
      </c>
      <c r="F1130" t="s">
        <v>46</v>
      </c>
      <c r="G1130">
        <v>-197.958</v>
      </c>
      <c r="H1130" s="1">
        <v>1.2102990000000001E-6</v>
      </c>
      <c r="I1130">
        <v>293.75119999999998</v>
      </c>
      <c r="J1130">
        <v>-191.14269999999999</v>
      </c>
      <c r="K1130">
        <v>1.115151</v>
      </c>
      <c r="L1130">
        <v>311.71499999999997</v>
      </c>
      <c r="M1130">
        <v>-0.1021662</v>
      </c>
      <c r="N1130">
        <v>-1.45034E-2</v>
      </c>
      <c r="O1130">
        <v>-0.99466169999999998</v>
      </c>
      <c r="P1130">
        <v>-0.27554279999999998</v>
      </c>
      <c r="Q1130">
        <v>0.1738661</v>
      </c>
      <c r="R1130">
        <v>-0.94543489999999997</v>
      </c>
      <c r="S1130">
        <v>-1.0828249999999999</v>
      </c>
      <c r="T1130">
        <v>-0.17614630000000001</v>
      </c>
      <c r="U1130">
        <v>-2.8934329999999999</v>
      </c>
      <c r="V1130">
        <v>0.18020269999999999</v>
      </c>
      <c r="W1130">
        <v>0.18530540000000001</v>
      </c>
      <c r="X1130">
        <v>0.96601709999999996</v>
      </c>
      <c r="Y1130">
        <v>0.25251289999999998</v>
      </c>
      <c r="Z1130">
        <v>4.3153549999999999E-2</v>
      </c>
      <c r="AA1130">
        <v>0.96663080000000001</v>
      </c>
      <c r="AB1130">
        <v>35</v>
      </c>
      <c r="AC1130">
        <v>-6.8152999999999997</v>
      </c>
      <c r="AD1130">
        <v>-1.1151497897010001</v>
      </c>
      <c r="AE1130">
        <v>-17.9637999999999</v>
      </c>
      <c r="AF1130">
        <v>4.9275446569806096</v>
      </c>
      <c r="AG1130">
        <v>-1.1151497897010001</v>
      </c>
      <c r="AH1130">
        <v>18.5038137029171</v>
      </c>
      <c r="AI1130">
        <v>93.332934868314098</v>
      </c>
      <c r="AJ1130">
        <v>75.088258834997603</v>
      </c>
      <c r="AK1130">
        <v>19.181120325785699</v>
      </c>
      <c r="AL1130">
        <v>79.321062367463895</v>
      </c>
      <c r="AM1130">
        <v>79.433382647496302</v>
      </c>
      <c r="AN1130">
        <v>1.0000000709244199</v>
      </c>
    </row>
    <row r="1131" spans="1:40" x14ac:dyDescent="0.25">
      <c r="A1131" t="str">
        <f>"20190303162522291"</f>
        <v>20190303162522291</v>
      </c>
      <c r="B1131" t="str">
        <f>"1551601522283526"</f>
        <v>1551601522283526</v>
      </c>
      <c r="C1131" t="s">
        <v>40</v>
      </c>
      <c r="D1131">
        <v>5.1037089999999896</v>
      </c>
      <c r="E1131">
        <v>0.53404430000000003</v>
      </c>
      <c r="F1131" t="s">
        <v>46</v>
      </c>
      <c r="G1131">
        <v>-197.1497</v>
      </c>
      <c r="H1131" s="1">
        <v>6.4898929999999999E-7</v>
      </c>
      <c r="I1131">
        <v>295.976</v>
      </c>
      <c r="J1131">
        <v>-191.1858</v>
      </c>
      <c r="K1131">
        <v>1.1150420000000001</v>
      </c>
      <c r="L1131">
        <v>311.35849999999999</v>
      </c>
      <c r="M1131">
        <v>-0.1088423</v>
      </c>
      <c r="N1131">
        <v>-1.4578580000000001E-2</v>
      </c>
      <c r="O1131">
        <v>-0.99395230000000001</v>
      </c>
      <c r="P1131">
        <v>-0.28693770000000002</v>
      </c>
      <c r="Q1131">
        <v>0.1732418</v>
      </c>
      <c r="R1131">
        <v>-0.9421543</v>
      </c>
      <c r="S1131">
        <v>-1.102768</v>
      </c>
      <c r="T1131">
        <v>-0.2047225</v>
      </c>
      <c r="U1131">
        <v>-2.8894039999999999</v>
      </c>
      <c r="V1131">
        <v>0.1854131</v>
      </c>
      <c r="W1131">
        <v>0.18462310000000001</v>
      </c>
      <c r="X1131">
        <v>0.9651613</v>
      </c>
      <c r="Y1131">
        <v>0.25212269999999998</v>
      </c>
      <c r="Z1131">
        <v>5.2317740000000001E-2</v>
      </c>
      <c r="AA1131">
        <v>0.96628000000000003</v>
      </c>
      <c r="AB1131">
        <v>35</v>
      </c>
      <c r="AC1131">
        <v>-5.96389999999999</v>
      </c>
      <c r="AD1131">
        <v>-1.1150413510107</v>
      </c>
      <c r="AE1131">
        <v>-15.382499999999901</v>
      </c>
      <c r="AF1131">
        <v>4.2346734690533401</v>
      </c>
      <c r="AG1131">
        <v>-1.1150413510107</v>
      </c>
      <c r="AH1131">
        <v>15.867805465119901</v>
      </c>
      <c r="AI1131">
        <v>93.884107810603197</v>
      </c>
      <c r="AJ1131">
        <v>75.057598063019299</v>
      </c>
      <c r="AK1131">
        <v>16.4609546163902</v>
      </c>
      <c r="AL1131">
        <v>79.360841118697095</v>
      </c>
      <c r="AM1131">
        <v>79.125627466435802</v>
      </c>
      <c r="AN1131">
        <v>1.0000000208614499</v>
      </c>
    </row>
    <row r="1132" spans="1:40" x14ac:dyDescent="0.25">
      <c r="A1132" t="str">
        <f>"20190303162522335"</f>
        <v>20190303162522335</v>
      </c>
      <c r="B1132" t="str">
        <f>"1551601522323541"</f>
        <v>1551601522323541</v>
      </c>
      <c r="C1132" t="s">
        <v>40</v>
      </c>
      <c r="D1132">
        <v>5.1541730000000001</v>
      </c>
      <c r="E1132">
        <v>0.53187700000000004</v>
      </c>
      <c r="F1132" t="s">
        <v>46</v>
      </c>
      <c r="G1132">
        <v>-197.017</v>
      </c>
      <c r="H1132" s="1">
        <v>5.4951600000000001E-7</v>
      </c>
      <c r="I1132">
        <v>296.49610000000001</v>
      </c>
      <c r="J1132">
        <v>-191.27539999999999</v>
      </c>
      <c r="K1132">
        <v>1.1148979999999999</v>
      </c>
      <c r="L1132">
        <v>310.6746</v>
      </c>
      <c r="M1132">
        <v>-0.1218559</v>
      </c>
      <c r="N1132">
        <v>-1.469548E-2</v>
      </c>
      <c r="O1132">
        <v>-0.99243899999999996</v>
      </c>
      <c r="P1132">
        <v>-0.3084189</v>
      </c>
      <c r="Q1132">
        <v>0.17198579999999999</v>
      </c>
      <c r="R1132">
        <v>-0.93557420000000002</v>
      </c>
      <c r="S1132">
        <v>-1.1298979999999901</v>
      </c>
      <c r="T1132">
        <v>-0.2160569</v>
      </c>
      <c r="U1132">
        <v>-2.8798219999999999</v>
      </c>
      <c r="V1132">
        <v>0.19488420000000001</v>
      </c>
      <c r="W1132">
        <v>0.1832521</v>
      </c>
      <c r="X1132">
        <v>0.9635553</v>
      </c>
      <c r="Y1132">
        <v>0.24835090000000001</v>
      </c>
      <c r="Z1132">
        <v>5.5893690000000003E-2</v>
      </c>
      <c r="AA1132">
        <v>0.96705620000000003</v>
      </c>
      <c r="AB1132">
        <v>35</v>
      </c>
      <c r="AC1132">
        <v>-5.7416</v>
      </c>
      <c r="AD1132">
        <v>-1.1148974504839999</v>
      </c>
      <c r="AE1132">
        <v>-14.1784999999999</v>
      </c>
      <c r="AF1132">
        <v>3.9499006561156502</v>
      </c>
      <c r="AG1132">
        <v>-1.1148974504839999</v>
      </c>
      <c r="AH1132">
        <v>14.694481758465599</v>
      </c>
      <c r="AI1132">
        <v>94.190626860369804</v>
      </c>
      <c r="AJ1132">
        <v>74.9544403484078</v>
      </c>
      <c r="AK1132">
        <v>15.256883878045301</v>
      </c>
      <c r="AL1132">
        <v>79.440756947352995</v>
      </c>
      <c r="AM1132">
        <v>78.565870455074204</v>
      </c>
      <c r="AN1132">
        <v>0.99999999986106902</v>
      </c>
    </row>
    <row r="1133" spans="1:40" x14ac:dyDescent="0.25">
      <c r="A1133" t="str">
        <f>"20190303162522359"</f>
        <v>20190303162522359</v>
      </c>
      <c r="B1133" t="str">
        <f>"1551601522344037"</f>
        <v>1551601522344037</v>
      </c>
      <c r="C1133" t="s">
        <v>40</v>
      </c>
      <c r="D1133">
        <v>5.1571339999999903</v>
      </c>
      <c r="E1133">
        <v>0.530923699999999</v>
      </c>
      <c r="F1133" t="s">
        <v>46</v>
      </c>
      <c r="G1133">
        <v>-196.80009999999999</v>
      </c>
      <c r="H1133" s="1">
        <v>4.2498030000000001E-7</v>
      </c>
      <c r="I1133">
        <v>297.20319999999998</v>
      </c>
      <c r="J1133">
        <v>-191.32810000000001</v>
      </c>
      <c r="K1133">
        <v>1.114851</v>
      </c>
      <c r="L1133">
        <v>310.30110000000002</v>
      </c>
      <c r="M1133">
        <v>-0.12903220000000001</v>
      </c>
      <c r="N1133">
        <v>-1.474551E-2</v>
      </c>
      <c r="O1133">
        <v>-0.99153100000000005</v>
      </c>
      <c r="P1133">
        <v>-0.3174689</v>
      </c>
      <c r="Q1133">
        <v>0.17410339999999999</v>
      </c>
      <c r="R1133">
        <v>-0.93214949999999996</v>
      </c>
      <c r="S1133">
        <v>-1.174164</v>
      </c>
      <c r="T1133">
        <v>-0.23694870000000001</v>
      </c>
      <c r="U1133">
        <v>-2.8630680000000002</v>
      </c>
      <c r="V1133">
        <v>0.19736190000000001</v>
      </c>
      <c r="W1133">
        <v>0.18534239999999999</v>
      </c>
      <c r="X1133">
        <v>0.96265080000000003</v>
      </c>
      <c r="Y1133">
        <v>0.25595689999999999</v>
      </c>
      <c r="Z1133">
        <v>6.2655260000000004E-2</v>
      </c>
      <c r="AA1133">
        <v>0.96465559999999995</v>
      </c>
      <c r="AB1133">
        <v>35</v>
      </c>
      <c r="AC1133">
        <v>-5.47199999999998</v>
      </c>
      <c r="AD1133">
        <v>-1.1148505750197</v>
      </c>
      <c r="AE1133">
        <v>-13.097899999999999</v>
      </c>
      <c r="AF1133">
        <v>3.71310865668534</v>
      </c>
      <c r="AG1133">
        <v>-1.1148505750197</v>
      </c>
      <c r="AH1133">
        <v>13.6105701812105</v>
      </c>
      <c r="AI1133">
        <v>94.518280917810998</v>
      </c>
      <c r="AJ1133">
        <v>74.740434330377894</v>
      </c>
      <c r="AK1133">
        <v>14.151949984317699</v>
      </c>
      <c r="AL1133">
        <v>79.318904760298906</v>
      </c>
      <c r="AM1133">
        <v>78.413817889159304</v>
      </c>
      <c r="AN1133">
        <v>1.0000000437750001</v>
      </c>
    </row>
    <row r="1134" spans="1:40" x14ac:dyDescent="0.25">
      <c r="A1134" t="str">
        <f>"20190303162522400"</f>
        <v>20190303162522400</v>
      </c>
      <c r="B1134" t="str">
        <f>"1551601522394319"</f>
        <v>1551601522394319</v>
      </c>
      <c r="C1134" t="s">
        <v>40</v>
      </c>
      <c r="D1134">
        <v>5.2970199999999998</v>
      </c>
      <c r="E1134">
        <v>0.51868930000000002</v>
      </c>
      <c r="F1134" t="s">
        <v>46</v>
      </c>
      <c r="G1134">
        <v>-197.05170000000001</v>
      </c>
      <c r="H1134" s="1">
        <v>5.2042960000000004E-7</v>
      </c>
      <c r="I1134">
        <v>296.66129999999998</v>
      </c>
      <c r="J1134">
        <v>-191.42519999999999</v>
      </c>
      <c r="K1134">
        <v>1.1147910000000001</v>
      </c>
      <c r="L1134">
        <v>309.66180000000003</v>
      </c>
      <c r="M1134">
        <v>-0.14138329999999999</v>
      </c>
      <c r="N1134">
        <v>-1.4813E-2</v>
      </c>
      <c r="O1134">
        <v>-0.9898441</v>
      </c>
      <c r="P1134">
        <v>-0.33002120000000001</v>
      </c>
      <c r="Q1134">
        <v>0.1746925</v>
      </c>
      <c r="R1134">
        <v>-0.9276683</v>
      </c>
      <c r="S1134">
        <v>-1.1976169999999999</v>
      </c>
      <c r="T1134">
        <v>-0.23327510000000001</v>
      </c>
      <c r="U1134">
        <v>-2.854034</v>
      </c>
      <c r="V1134">
        <v>0.19840959999999999</v>
      </c>
      <c r="W1134">
        <v>0.1859468</v>
      </c>
      <c r="X1134">
        <v>0.96231880000000003</v>
      </c>
      <c r="Y1134">
        <v>0.2517701</v>
      </c>
      <c r="Z1134">
        <v>6.140085E-2</v>
      </c>
      <c r="AA1134">
        <v>0.96583739999999996</v>
      </c>
      <c r="AB1134">
        <v>35</v>
      </c>
      <c r="AC1134">
        <v>-5.6265000000000196</v>
      </c>
      <c r="AD1134">
        <v>-1.1147904795704</v>
      </c>
      <c r="AE1134">
        <v>-13.000500000000001</v>
      </c>
      <c r="AF1134">
        <v>3.7087453067691101</v>
      </c>
      <c r="AG1134">
        <v>-1.1147904795704</v>
      </c>
      <c r="AH1134">
        <v>13.581351008960899</v>
      </c>
      <c r="AI1134">
        <v>94.527413932978405</v>
      </c>
      <c r="AJ1134">
        <v>74.726268738918193</v>
      </c>
      <c r="AK1134">
        <v>14.1226996283439</v>
      </c>
      <c r="AL1134">
        <v>79.283662397240704</v>
      </c>
      <c r="AM1134">
        <v>78.350080206238005</v>
      </c>
      <c r="AN1134">
        <v>1.0000000273179099</v>
      </c>
    </row>
    <row r="1135" spans="1:40" x14ac:dyDescent="0.25">
      <c r="A1135" t="str">
        <f>"20190303162522424"</f>
        <v>20190303162522424</v>
      </c>
      <c r="B1135" t="str">
        <f>"1551601522413840"</f>
        <v>1551601522413840</v>
      </c>
      <c r="C1135" t="s">
        <v>40</v>
      </c>
      <c r="D1135">
        <v>5.3608260000000003</v>
      </c>
      <c r="E1135">
        <v>0.51766089999999998</v>
      </c>
      <c r="F1135" t="s">
        <v>46</v>
      </c>
      <c r="G1135">
        <v>-196.4973</v>
      </c>
      <c r="H1135" s="1">
        <v>4.6651940000000002E-7</v>
      </c>
      <c r="I1135">
        <v>296.9674</v>
      </c>
      <c r="J1135">
        <v>-191.48500000000001</v>
      </c>
      <c r="K1135">
        <v>1.1147450000000001</v>
      </c>
      <c r="L1135">
        <v>309.29300000000001</v>
      </c>
      <c r="M1135">
        <v>-0.14854200000000001</v>
      </c>
      <c r="N1135">
        <v>-1.484396E-2</v>
      </c>
      <c r="O1135">
        <v>-0.98879479999999997</v>
      </c>
      <c r="P1135">
        <v>-0.33767129999999901</v>
      </c>
      <c r="Q1135">
        <v>0.17111419999999999</v>
      </c>
      <c r="R1135">
        <v>-0.92558010000000002</v>
      </c>
      <c r="S1135">
        <v>-1.1479490000000001</v>
      </c>
      <c r="T1135">
        <v>-0.25230259999999999</v>
      </c>
      <c r="U1135">
        <v>-2.8730470000000001</v>
      </c>
      <c r="V1135">
        <v>0.19925399999999999</v>
      </c>
      <c r="W1135">
        <v>0.18238019999999999</v>
      </c>
      <c r="X1135">
        <v>0.96282670000000004</v>
      </c>
      <c r="Y1135">
        <v>0.22796060000000001</v>
      </c>
      <c r="Z1135">
        <v>6.7391329999999999E-2</v>
      </c>
      <c r="AA1135">
        <v>0.97133539999999996</v>
      </c>
      <c r="AB1135">
        <v>35</v>
      </c>
      <c r="AC1135">
        <v>-5.0122999999999802</v>
      </c>
      <c r="AD1135">
        <v>-1.1147445334806001</v>
      </c>
      <c r="AE1135">
        <v>-12.3256</v>
      </c>
      <c r="AF1135">
        <v>3.1038254056994199</v>
      </c>
      <c r="AG1135">
        <v>-1.1147445334806001</v>
      </c>
      <c r="AH1135">
        <v>12.8433035981455</v>
      </c>
      <c r="AI1135">
        <v>94.822456266999097</v>
      </c>
      <c r="AJ1135">
        <v>76.413894835503399</v>
      </c>
      <c r="AK1135">
        <v>13.2599711477109</v>
      </c>
      <c r="AL1135">
        <v>79.491569202586007</v>
      </c>
      <c r="AM1135">
        <v>78.307864570195505</v>
      </c>
      <c r="AN1135">
        <v>0.99999997405046404</v>
      </c>
    </row>
    <row r="1136" spans="1:40" x14ac:dyDescent="0.25">
      <c r="A1136" t="str">
        <f>"20190303162522446"</f>
        <v>20190303162522446</v>
      </c>
      <c r="B1136" t="str">
        <f>"1551601522434336"</f>
        <v>1551601522434336</v>
      </c>
      <c r="C1136" t="s">
        <v>40</v>
      </c>
      <c r="D1136">
        <v>5.2834349999999999</v>
      </c>
      <c r="E1136">
        <v>0.51772070000000003</v>
      </c>
      <c r="F1136" t="s">
        <v>46</v>
      </c>
      <c r="G1136">
        <v>-196.4819</v>
      </c>
      <c r="H1136" s="1">
        <v>4.6498799999999998E-7</v>
      </c>
      <c r="I1136">
        <v>296.97609999999997</v>
      </c>
      <c r="J1136">
        <v>-191.5436</v>
      </c>
      <c r="K1136">
        <v>1.114716</v>
      </c>
      <c r="L1136">
        <v>308.94670000000002</v>
      </c>
      <c r="M1136">
        <v>-0.15528140000000001</v>
      </c>
      <c r="N1136">
        <v>-1.4868859999999999E-2</v>
      </c>
      <c r="O1136">
        <v>-0.98775849999999998</v>
      </c>
      <c r="P1136">
        <v>-0.3449874</v>
      </c>
      <c r="Q1136">
        <v>0.16766389999999901</v>
      </c>
      <c r="R1136">
        <v>-0.92351139999999998</v>
      </c>
      <c r="S1136">
        <v>-1.1623380000000001</v>
      </c>
      <c r="T1136">
        <v>-0.25930449999999999</v>
      </c>
      <c r="U1136">
        <v>-2.8650820000000001</v>
      </c>
      <c r="V1136">
        <v>0.2001703</v>
      </c>
      <c r="W1136">
        <v>0.17893589999999901</v>
      </c>
      <c r="X1136">
        <v>0.96328279999999999</v>
      </c>
      <c r="Y1136">
        <v>0.22638510000000001</v>
      </c>
      <c r="Z1136">
        <v>6.9671380000000005E-2</v>
      </c>
      <c r="AA1136">
        <v>0.97154300000000005</v>
      </c>
      <c r="AB1136">
        <v>35</v>
      </c>
      <c r="AC1136">
        <v>-4.9382999999999901</v>
      </c>
      <c r="AD1136">
        <v>-1.1147155350119999</v>
      </c>
      <c r="AE1136">
        <v>-11.970599999999999</v>
      </c>
      <c r="AF1136">
        <v>2.9971595374262798</v>
      </c>
      <c r="AG1136">
        <v>-1.1147155350119999</v>
      </c>
      <c r="AH1136">
        <v>12.499651128916501</v>
      </c>
      <c r="AI1136">
        <v>94.956380146168399</v>
      </c>
      <c r="AJ1136">
        <v>76.516215396010494</v>
      </c>
      <c r="AK1136">
        <v>12.9022026941684</v>
      </c>
      <c r="AL1136">
        <v>79.692214650315606</v>
      </c>
      <c r="AM1136">
        <v>78.260993163047004</v>
      </c>
      <c r="AN1136">
        <v>0.99999997904336901</v>
      </c>
    </row>
    <row r="1137" spans="1:40" x14ac:dyDescent="0.25">
      <c r="A1137" t="str">
        <f>"20190303162522493"</f>
        <v>20190303162522493</v>
      </c>
      <c r="B1137" t="str">
        <f>"1551601522483645"</f>
        <v>1551601522483645</v>
      </c>
      <c r="C1137" t="s">
        <v>40</v>
      </c>
      <c r="D1137">
        <v>5.1918369999999996</v>
      </c>
      <c r="E1137">
        <v>0.53723980000000005</v>
      </c>
      <c r="F1137" t="s">
        <v>46</v>
      </c>
      <c r="G1137">
        <v>-196.4751</v>
      </c>
      <c r="H1137" s="1">
        <v>4.5089690000000003E-7</v>
      </c>
      <c r="I1137">
        <v>297.05610000000001</v>
      </c>
      <c r="J1137">
        <v>-191.67410000000001</v>
      </c>
      <c r="K1137">
        <v>1.114695</v>
      </c>
      <c r="L1137">
        <v>308.22309999999999</v>
      </c>
      <c r="M1137">
        <v>-0.16943440000000001</v>
      </c>
      <c r="N1137">
        <v>-1.491079E-2</v>
      </c>
      <c r="O1137">
        <v>-0.98542879999999999</v>
      </c>
      <c r="P1137">
        <v>-0.35790309999999997</v>
      </c>
      <c r="Q1137">
        <v>0.1687022</v>
      </c>
      <c r="R1137">
        <v>-0.91839280000000001</v>
      </c>
      <c r="S1137">
        <v>-1.183945</v>
      </c>
      <c r="T1137">
        <v>-0.26762249999999999</v>
      </c>
      <c r="U1137">
        <v>-2.8547060000000002</v>
      </c>
      <c r="V1137">
        <v>0.19992509999999999</v>
      </c>
      <c r="W1137">
        <v>0.1799975</v>
      </c>
      <c r="X1137">
        <v>0.96313599999999999</v>
      </c>
      <c r="Y1137">
        <v>0.2198571</v>
      </c>
      <c r="Z1137">
        <v>7.2290170000000001E-2</v>
      </c>
      <c r="AA1137">
        <v>0.97284990000000005</v>
      </c>
      <c r="AB1137">
        <v>35</v>
      </c>
      <c r="AC1137">
        <v>-4.8009999999999797</v>
      </c>
      <c r="AD1137">
        <v>-1.1146945491031</v>
      </c>
      <c r="AE1137">
        <v>-11.1669999999999</v>
      </c>
      <c r="AF1137">
        <v>2.8156066200101302</v>
      </c>
      <c r="AG1137">
        <v>-1.1146945491031</v>
      </c>
      <c r="AH1137">
        <v>11.720484710947</v>
      </c>
      <c r="AI1137">
        <v>95.283432445851304</v>
      </c>
      <c r="AJ1137">
        <v>76.491832114396203</v>
      </c>
      <c r="AK1137">
        <v>12.105368496497199</v>
      </c>
      <c r="AL1137">
        <v>79.630386337176404</v>
      </c>
      <c r="AM1137">
        <v>78.273236970085605</v>
      </c>
      <c r="AN1137">
        <v>1.0000000500561199</v>
      </c>
    </row>
    <row r="1138" spans="1:40" x14ac:dyDescent="0.25">
      <c r="A1138" t="str">
        <f>"20190303162522514"</f>
        <v>20190303162522514</v>
      </c>
      <c r="B1138" t="str">
        <f>"1551601522504141"</f>
        <v>1551601522504141</v>
      </c>
      <c r="C1138" t="s">
        <v>40</v>
      </c>
      <c r="D1138">
        <v>5.1966919999999996</v>
      </c>
      <c r="E1138">
        <v>0.53726759999999996</v>
      </c>
      <c r="F1138" t="s">
        <v>46</v>
      </c>
      <c r="G1138">
        <v>-198.04140000000001</v>
      </c>
      <c r="H1138" s="1">
        <v>8.1445219999999897E-7</v>
      </c>
      <c r="I1138">
        <v>295.2842</v>
      </c>
      <c r="J1138">
        <v>-191.73750000000001</v>
      </c>
      <c r="K1138">
        <v>1.1146860000000001</v>
      </c>
      <c r="L1138">
        <v>307.89109999999999</v>
      </c>
      <c r="M1138">
        <v>-0.175956</v>
      </c>
      <c r="N1138">
        <v>-1.492574E-2</v>
      </c>
      <c r="O1138">
        <v>-0.98428490000000002</v>
      </c>
      <c r="P1138">
        <v>-0.36428820000000001</v>
      </c>
      <c r="Q1138">
        <v>0.16987650000000001</v>
      </c>
      <c r="R1138">
        <v>-0.91566210000000003</v>
      </c>
      <c r="S1138">
        <v>-1.366959</v>
      </c>
      <c r="T1138">
        <v>-0.23930689999999999</v>
      </c>
      <c r="U1138">
        <v>-2.777771</v>
      </c>
      <c r="V1138">
        <v>0.20031570000000001</v>
      </c>
      <c r="W1138">
        <v>0.18116989999999999</v>
      </c>
      <c r="X1138">
        <v>0.96283490000000005</v>
      </c>
      <c r="Y1138">
        <v>0.275678599999999</v>
      </c>
      <c r="Z1138">
        <v>6.3489240000000002E-2</v>
      </c>
      <c r="AA1138">
        <v>0.95915090000000003</v>
      </c>
      <c r="AB1138">
        <v>35</v>
      </c>
      <c r="AC1138">
        <v>-6.3038999999999898</v>
      </c>
      <c r="AD1138">
        <v>-1.1146851855477999</v>
      </c>
      <c r="AE1138">
        <v>-12.6068999999999</v>
      </c>
      <c r="AF1138">
        <v>3.9622376420782599</v>
      </c>
      <c r="AG1138">
        <v>-1.1146851855477999</v>
      </c>
      <c r="AH1138">
        <v>13.4354690760618</v>
      </c>
      <c r="AI1138">
        <v>94.549867860837097</v>
      </c>
      <c r="AJ1138">
        <v>73.568749586634894</v>
      </c>
      <c r="AK1138">
        <v>14.051821216091399</v>
      </c>
      <c r="AL1138">
        <v>79.562089190466196</v>
      </c>
      <c r="AM1138">
        <v>78.247390303745206</v>
      </c>
      <c r="AN1138">
        <v>0.99999997849525402</v>
      </c>
    </row>
    <row r="1139" spans="1:40" x14ac:dyDescent="0.25">
      <c r="A1139" t="str">
        <f>"20190303162522537"</f>
        <v>20190303162522537</v>
      </c>
      <c r="B1139" t="str">
        <f>"1551601522524636"</f>
        <v>1551601522524636</v>
      </c>
      <c r="C1139" t="s">
        <v>40</v>
      </c>
      <c r="D1139">
        <v>5.2114820000000002</v>
      </c>
      <c r="E1139">
        <v>0.53686259999999997</v>
      </c>
      <c r="F1139" t="s">
        <v>46</v>
      </c>
      <c r="G1139">
        <v>-198.35759999999999</v>
      </c>
      <c r="H1139" s="1">
        <v>1.0096240000000001E-6</v>
      </c>
      <c r="I1139">
        <v>294.65269999999998</v>
      </c>
      <c r="J1139">
        <v>-191.80609999999999</v>
      </c>
      <c r="K1139">
        <v>1.11469</v>
      </c>
      <c r="L1139">
        <v>307.54489999999998</v>
      </c>
      <c r="M1139">
        <v>-0.18277070000000001</v>
      </c>
      <c r="N1139">
        <v>-1.4938669999999999E-2</v>
      </c>
      <c r="O1139">
        <v>-0.98304210000000003</v>
      </c>
      <c r="P1139">
        <v>-0.3713475</v>
      </c>
      <c r="Q1139">
        <v>0.1703731</v>
      </c>
      <c r="R1139">
        <v>-0.91272900000000001</v>
      </c>
      <c r="S1139">
        <v>-1.384552</v>
      </c>
      <c r="T1139">
        <v>-0.2331307</v>
      </c>
      <c r="U1139">
        <v>-2.7687379999999999</v>
      </c>
      <c r="V1139">
        <v>0.2011095</v>
      </c>
      <c r="W1139">
        <v>0.1816595</v>
      </c>
      <c r="X1139">
        <v>0.96257720000000002</v>
      </c>
      <c r="Y1139">
        <v>0.275207599999999</v>
      </c>
      <c r="Z1139">
        <v>6.1492949999999998E-2</v>
      </c>
      <c r="AA1139">
        <v>0.95941620000000005</v>
      </c>
      <c r="AB1139">
        <v>35</v>
      </c>
      <c r="AC1139">
        <v>-6.5514999999999999</v>
      </c>
      <c r="AD1139">
        <v>-1.114688990376</v>
      </c>
      <c r="AE1139">
        <v>-12.892200000000001</v>
      </c>
      <c r="AF1139">
        <v>4.0604149923338904</v>
      </c>
      <c r="AG1139">
        <v>-1.114688990376</v>
      </c>
      <c r="AH1139">
        <v>13.7906095978799</v>
      </c>
      <c r="AI1139">
        <v>94.433755607958204</v>
      </c>
      <c r="AJ1139">
        <v>73.593814297385606</v>
      </c>
      <c r="AK1139">
        <v>14.4190989502248</v>
      </c>
      <c r="AL1139">
        <v>79.533564448605404</v>
      </c>
      <c r="AM1139">
        <v>78.199050619030402</v>
      </c>
      <c r="AN1139">
        <v>1.0000000354451599</v>
      </c>
    </row>
    <row r="1140" spans="1:40" x14ac:dyDescent="0.25">
      <c r="A1140" t="str">
        <f>"20190303162522561"</f>
        <v>20190303162522561</v>
      </c>
      <c r="B1140" t="str">
        <f>"1551601522553916"</f>
        <v>1551601522553916</v>
      </c>
      <c r="C1140" t="s">
        <v>40</v>
      </c>
      <c r="D1140">
        <v>5.153219</v>
      </c>
      <c r="E1140">
        <v>0.53620730000000005</v>
      </c>
      <c r="F1140" t="s">
        <v>46</v>
      </c>
      <c r="G1140">
        <v>-198.6035</v>
      </c>
      <c r="H1140" s="1">
        <v>1.0781830000000001E-6</v>
      </c>
      <c r="I1140">
        <v>294.17630000000003</v>
      </c>
      <c r="J1140">
        <v>-191.87729999999999</v>
      </c>
      <c r="K1140">
        <v>1.1147009999999999</v>
      </c>
      <c r="L1140">
        <v>307.19850000000002</v>
      </c>
      <c r="M1140">
        <v>-0.18959580000000001</v>
      </c>
      <c r="N1140">
        <v>-1.4948980000000001E-2</v>
      </c>
      <c r="O1140">
        <v>-0.98174859999999997</v>
      </c>
      <c r="P1140">
        <v>-0.37816040000000001</v>
      </c>
      <c r="Q1140">
        <v>0.17019809999999999</v>
      </c>
      <c r="R1140">
        <v>-0.9099604</v>
      </c>
      <c r="S1140">
        <v>-1.4028780000000001</v>
      </c>
      <c r="T1140">
        <v>-0.23005439999999999</v>
      </c>
      <c r="U1140">
        <v>-2.759064</v>
      </c>
      <c r="V1140">
        <v>0.20160990000000001</v>
      </c>
      <c r="W1140">
        <v>0.18148600000000001</v>
      </c>
      <c r="X1140">
        <v>0.96250519999999995</v>
      </c>
      <c r="Y1140">
        <v>0.27498089999999997</v>
      </c>
      <c r="Z1140">
        <v>6.0503990000000001E-2</v>
      </c>
      <c r="AA1140">
        <v>0.95954410000000001</v>
      </c>
      <c r="AB1140">
        <v>35</v>
      </c>
      <c r="AC1140">
        <v>-6.7262000000000004</v>
      </c>
      <c r="AD1140">
        <v>-1.114699921817</v>
      </c>
      <c r="AE1140">
        <v>-13.0221999999999</v>
      </c>
      <c r="AF1140">
        <v>4.1111645800915797</v>
      </c>
      <c r="AG1140">
        <v>-1.114699921817</v>
      </c>
      <c r="AH1140">
        <v>13.980488892643301</v>
      </c>
      <c r="AI1140">
        <v>94.374250754180494</v>
      </c>
      <c r="AJ1140">
        <v>73.613265743337905</v>
      </c>
      <c r="AK1140">
        <v>14.615002558933099</v>
      </c>
      <c r="AL1140">
        <v>79.543672819707595</v>
      </c>
      <c r="AM1140">
        <v>78.169653946909307</v>
      </c>
      <c r="AN1140">
        <v>0.99999999000052497</v>
      </c>
    </row>
    <row r="1141" spans="1:40" x14ac:dyDescent="0.25">
      <c r="A1141" t="str">
        <f>"20190303162522602"</f>
        <v>20190303162522602</v>
      </c>
      <c r="B1141" t="str">
        <f>"1551601522593464"</f>
        <v>1551601522593464</v>
      </c>
      <c r="C1141" t="s">
        <v>40</v>
      </c>
      <c r="D1141">
        <v>5.1945639999999997</v>
      </c>
      <c r="E1141">
        <v>0.53549099999999905</v>
      </c>
      <c r="F1141" t="s">
        <v>46</v>
      </c>
      <c r="G1141">
        <v>-198.74600000000001</v>
      </c>
      <c r="H1141" s="1">
        <v>1.116858E-6</v>
      </c>
      <c r="I1141">
        <v>293.88490000000002</v>
      </c>
      <c r="J1141">
        <v>-192.01349999999999</v>
      </c>
      <c r="K1141">
        <v>1.1147370000000001</v>
      </c>
      <c r="L1141">
        <v>306.5684</v>
      </c>
      <c r="M1141">
        <v>-0.20201089999999999</v>
      </c>
      <c r="N1141">
        <v>-1.496199E-2</v>
      </c>
      <c r="O1141">
        <v>-0.97926899999999995</v>
      </c>
      <c r="P1141">
        <v>-0.39184049999999998</v>
      </c>
      <c r="Q1141">
        <v>0.16932369999999999</v>
      </c>
      <c r="R1141">
        <v>-0.90431790000000001</v>
      </c>
      <c r="S1141">
        <v>-1.418884</v>
      </c>
      <c r="T1141">
        <v>-0.23026750000000001</v>
      </c>
      <c r="U1141">
        <v>-2.7502439999999999</v>
      </c>
      <c r="V1141">
        <v>0.2038876</v>
      </c>
      <c r="W1141">
        <v>0.18059500000000001</v>
      </c>
      <c r="X1141">
        <v>0.96219299999999996</v>
      </c>
      <c r="Y1141">
        <v>0.26846920000000002</v>
      </c>
      <c r="Z1141">
        <v>6.0520360000000002E-2</v>
      </c>
      <c r="AA1141">
        <v>0.9613853</v>
      </c>
      <c r="AB1141">
        <v>35</v>
      </c>
      <c r="AC1141">
        <v>-6.7324999999999804</v>
      </c>
      <c r="AD1141">
        <v>-1.114735883142</v>
      </c>
      <c r="AE1141">
        <v>-12.683499999999899</v>
      </c>
      <c r="AF1141">
        <v>4.0070263878707397</v>
      </c>
      <c r="AG1141">
        <v>-1.114735883142</v>
      </c>
      <c r="AH1141">
        <v>13.699579652522299</v>
      </c>
      <c r="AI1141">
        <v>94.465616550888697</v>
      </c>
      <c r="AJ1141">
        <v>73.696189809707207</v>
      </c>
      <c r="AK1141">
        <v>14.3170310895122</v>
      </c>
      <c r="AL1141">
        <v>79.595581621645593</v>
      </c>
      <c r="AM1141">
        <v>78.036059380695903</v>
      </c>
      <c r="AN1141">
        <v>1.0000000383538701</v>
      </c>
    </row>
    <row r="1142" spans="1:40" x14ac:dyDescent="0.25">
      <c r="A1142" t="str">
        <f>"20190303162522624"</f>
        <v>20190303162522624</v>
      </c>
      <c r="B1142" t="str">
        <f>"1551601522613960"</f>
        <v>1551601522613960</v>
      </c>
      <c r="C1142" t="s">
        <v>40</v>
      </c>
      <c r="D1142">
        <v>5.1467369999999999</v>
      </c>
      <c r="E1142">
        <v>0.53518779999999999</v>
      </c>
      <c r="F1142" t="s">
        <v>46</v>
      </c>
      <c r="G1142">
        <v>-198.9598</v>
      </c>
      <c r="H1142" s="1">
        <v>1.1595009999999999E-6</v>
      </c>
      <c r="I1142">
        <v>293.5351</v>
      </c>
      <c r="J1142">
        <v>-192.09270000000001</v>
      </c>
      <c r="K1142">
        <v>1.1147579999999999</v>
      </c>
      <c r="L1142">
        <v>306.21839999999997</v>
      </c>
      <c r="M1142">
        <v>-0.20889289999999999</v>
      </c>
      <c r="N1142">
        <v>-1.496631E-2</v>
      </c>
      <c r="O1142">
        <v>-0.97782400000000003</v>
      </c>
      <c r="P1142">
        <v>-0.39911580000000002</v>
      </c>
      <c r="Q1142">
        <v>0.16968179999999999</v>
      </c>
      <c r="R1142">
        <v>-0.90106330000000001</v>
      </c>
      <c r="S1142">
        <v>-1.4553069999999999</v>
      </c>
      <c r="T1142">
        <v>-0.2335441</v>
      </c>
      <c r="U1142">
        <v>-2.7305600000000001</v>
      </c>
      <c r="V1142">
        <v>0.20488780000000001</v>
      </c>
      <c r="W1142">
        <v>0.18094859999999999</v>
      </c>
      <c r="X1142">
        <v>0.96191400000000005</v>
      </c>
      <c r="Y1142">
        <v>0.27451350000000002</v>
      </c>
      <c r="Z1142">
        <v>6.1645930000000002E-2</v>
      </c>
      <c r="AA1142">
        <v>0.95960520000000005</v>
      </c>
      <c r="AB1142">
        <v>34</v>
      </c>
      <c r="AC1142">
        <v>-6.86709999999999</v>
      </c>
      <c r="AD1142">
        <v>-1.11475684049899</v>
      </c>
      <c r="AE1142">
        <v>-12.6832999999999</v>
      </c>
      <c r="AF1142">
        <v>4.0416751874962404</v>
      </c>
      <c r="AG1142">
        <v>-1.11475684049899</v>
      </c>
      <c r="AH1142">
        <v>13.7558987998235</v>
      </c>
      <c r="AI1142">
        <v>94.445910534914404</v>
      </c>
      <c r="AJ1142">
        <v>73.626475283199298</v>
      </c>
      <c r="AK1142">
        <v>14.3806318680942</v>
      </c>
      <c r="AL1142">
        <v>79.574981796190599</v>
      </c>
      <c r="AM1142">
        <v>77.975686606668901</v>
      </c>
      <c r="AN1142">
        <v>0.99999997491339898</v>
      </c>
    </row>
    <row r="1143" spans="1:40" x14ac:dyDescent="0.25">
      <c r="A1143" t="str">
        <f>"20190303162522649"</f>
        <v>20190303162522649</v>
      </c>
      <c r="B1143" t="str">
        <f>"1551601522644215"</f>
        <v>1551601522644215</v>
      </c>
      <c r="C1143" t="s">
        <v>40</v>
      </c>
      <c r="D1143">
        <v>5.1289259999999999</v>
      </c>
      <c r="E1143">
        <v>0.5347248</v>
      </c>
      <c r="F1143" t="s">
        <v>46</v>
      </c>
      <c r="G1143">
        <v>-199.1583</v>
      </c>
      <c r="H1143" s="1">
        <v>1.203018E-6</v>
      </c>
      <c r="I1143">
        <v>293.18810000000002</v>
      </c>
      <c r="J1143">
        <v>-192.17939999999999</v>
      </c>
      <c r="K1143">
        <v>1.1147879999999999</v>
      </c>
      <c r="L1143">
        <v>305.84789999999998</v>
      </c>
      <c r="M1143">
        <v>-0.21615000000000001</v>
      </c>
      <c r="N1143">
        <v>-1.496888E-2</v>
      </c>
      <c r="O1143">
        <v>-0.97624540000000004</v>
      </c>
      <c r="P1143">
        <v>-0.40671109999999999</v>
      </c>
      <c r="Q1143">
        <v>0.16829720000000001</v>
      </c>
      <c r="R1143">
        <v>-0.89792109999999903</v>
      </c>
      <c r="S1143">
        <v>-1.4748380000000001</v>
      </c>
      <c r="T1143">
        <v>-0.23269129999999999</v>
      </c>
      <c r="U1143">
        <v>-2.71991</v>
      </c>
      <c r="V1143">
        <v>0.20577819999999999</v>
      </c>
      <c r="W1143">
        <v>0.17956820000000001</v>
      </c>
      <c r="X1143">
        <v>0.96198260000000002</v>
      </c>
      <c r="Y1143">
        <v>0.27428049999999998</v>
      </c>
      <c r="Z1143">
        <v>6.1365599999999902E-2</v>
      </c>
      <c r="AA1143">
        <v>0.95968980000000004</v>
      </c>
      <c r="AB1143">
        <v>34</v>
      </c>
      <c r="AC1143">
        <v>-6.9789000000000003</v>
      </c>
      <c r="AD1143">
        <v>-1.11478679698199</v>
      </c>
      <c r="AE1143">
        <v>-12.659799999999899</v>
      </c>
      <c r="AF1143">
        <v>4.0530571320333397</v>
      </c>
      <c r="AG1143">
        <v>-1.11478679698199</v>
      </c>
      <c r="AH1143">
        <v>13.7871246755493</v>
      </c>
      <c r="AI1143">
        <v>94.435808781270595</v>
      </c>
      <c r="AJ1143">
        <v>73.618031440601001</v>
      </c>
      <c r="AK1143">
        <v>14.413702804532599</v>
      </c>
      <c r="AL1143">
        <v>79.655389933323093</v>
      </c>
      <c r="AM1143">
        <v>77.925797675630903</v>
      </c>
      <c r="AN1143">
        <v>0.99999996437461902</v>
      </c>
    </row>
    <row r="1144" spans="1:40" x14ac:dyDescent="0.25">
      <c r="A1144" t="str">
        <f>"20190303162522691"</f>
        <v>20190303162522691</v>
      </c>
      <c r="B1144" t="str">
        <f>"1551601522684232"</f>
        <v>1551601522684232</v>
      </c>
      <c r="C1144" t="s">
        <v>40</v>
      </c>
      <c r="D1144">
        <v>5.1435570000000004</v>
      </c>
      <c r="E1144">
        <v>0.53418359999999998</v>
      </c>
      <c r="F1144" t="s">
        <v>46</v>
      </c>
      <c r="G1144">
        <v>-199.197</v>
      </c>
      <c r="H1144" s="1">
        <v>1.211142E-6</v>
      </c>
      <c r="I1144">
        <v>293.1225</v>
      </c>
      <c r="J1144">
        <v>-192.32980000000001</v>
      </c>
      <c r="K1144">
        <v>1.1148670000000001</v>
      </c>
      <c r="L1144">
        <v>305.23149999999998</v>
      </c>
      <c r="M1144">
        <v>-0.2281022</v>
      </c>
      <c r="N1144">
        <v>-1.496815E-2</v>
      </c>
      <c r="O1144">
        <v>-0.9735222</v>
      </c>
      <c r="P1144">
        <v>-0.41794330000000002</v>
      </c>
      <c r="Q1144">
        <v>0.16674079999999999</v>
      </c>
      <c r="R1144">
        <v>-0.89304050000000001</v>
      </c>
      <c r="S1144">
        <v>-1.493835</v>
      </c>
      <c r="T1144">
        <v>-0.23730370000000001</v>
      </c>
      <c r="U1144">
        <v>-2.7088619999999999</v>
      </c>
      <c r="V1144">
        <v>0.2059262</v>
      </c>
      <c r="W1144">
        <v>0.17805379999999901</v>
      </c>
      <c r="X1144">
        <v>0.96223239999999999</v>
      </c>
      <c r="Y1144">
        <v>0.26925949999999998</v>
      </c>
      <c r="Z1144">
        <v>6.2800410000000001E-2</v>
      </c>
      <c r="AA1144">
        <v>0.96101789999999998</v>
      </c>
      <c r="AB1144">
        <v>34</v>
      </c>
      <c r="AC1144">
        <v>-6.8671999999999898</v>
      </c>
      <c r="AD1144">
        <v>-1.114865788858</v>
      </c>
      <c r="AE1144">
        <v>-12.108999999999901</v>
      </c>
      <c r="AF1144">
        <v>3.8987154572716798</v>
      </c>
      <c r="AG1144">
        <v>-1.114865788858</v>
      </c>
      <c r="AH1144">
        <v>13.2711791588906</v>
      </c>
      <c r="AI1144">
        <v>94.6081061401878</v>
      </c>
      <c r="AJ1144">
        <v>73.628630649400804</v>
      </c>
      <c r="AK1144">
        <v>13.8768549827152</v>
      </c>
      <c r="AL1144">
        <v>79.743580090103904</v>
      </c>
      <c r="AM1144">
        <v>77.9204133170836</v>
      </c>
      <c r="AN1144">
        <v>0.999999973575319</v>
      </c>
    </row>
    <row r="1145" spans="1:40" x14ac:dyDescent="0.25">
      <c r="A1145" t="str">
        <f>"20190303162522713"</f>
        <v>20190303162522713</v>
      </c>
      <c r="B1145" t="str">
        <f>"1551601522703753"</f>
        <v>1551601522703753</v>
      </c>
      <c r="C1145" t="s">
        <v>40</v>
      </c>
      <c r="D1145">
        <v>5.1602779999999999</v>
      </c>
      <c r="E1145">
        <v>0.53391309999999903</v>
      </c>
      <c r="F1145" t="s">
        <v>46</v>
      </c>
      <c r="G1145">
        <v>-199.33529999999999</v>
      </c>
      <c r="H1145" s="1">
        <v>1.2429650000000001E-6</v>
      </c>
      <c r="I1145">
        <v>292.87209999999999</v>
      </c>
      <c r="J1145">
        <v>-192.41650000000001</v>
      </c>
      <c r="K1145">
        <v>1.114932</v>
      </c>
      <c r="L1145">
        <v>304.88990000000001</v>
      </c>
      <c r="M1145">
        <v>-0.23464370000000001</v>
      </c>
      <c r="N1145">
        <v>-1.49646E-2</v>
      </c>
      <c r="O1145">
        <v>-0.97196640000000001</v>
      </c>
      <c r="P1145">
        <v>-0.42358410000000002</v>
      </c>
      <c r="Q1145">
        <v>0.1666446</v>
      </c>
      <c r="R1145">
        <v>-0.89039699999999899</v>
      </c>
      <c r="S1145">
        <v>-1.525177</v>
      </c>
      <c r="T1145">
        <v>-0.24272009999999999</v>
      </c>
      <c r="U1145">
        <v>-2.6907960000000002</v>
      </c>
      <c r="V1145">
        <v>0.20550860000000001</v>
      </c>
      <c r="W1145">
        <v>0.17799279999999901</v>
      </c>
      <c r="X1145">
        <v>0.96233299999999999</v>
      </c>
      <c r="Y1145">
        <v>0.27395530000000001</v>
      </c>
      <c r="Z1145">
        <v>6.4601859999999997E-2</v>
      </c>
      <c r="AA1145">
        <v>0.95957029999999999</v>
      </c>
      <c r="AB1145">
        <v>34</v>
      </c>
      <c r="AC1145">
        <v>-6.9187999999999699</v>
      </c>
      <c r="AD1145">
        <v>-1.114930757035</v>
      </c>
      <c r="AE1145">
        <v>-12.017799999999999</v>
      </c>
      <c r="AF1145">
        <v>3.8802933734151801</v>
      </c>
      <c r="AG1145">
        <v>-1.114930757035</v>
      </c>
      <c r="AH1145">
        <v>13.220377949258401</v>
      </c>
      <c r="AI1145">
        <v>94.626334613804005</v>
      </c>
      <c r="AJ1145">
        <v>73.642587442033701</v>
      </c>
      <c r="AK1145">
        <v>13.8231016916606</v>
      </c>
      <c r="AL1145">
        <v>79.747132268253495</v>
      </c>
      <c r="AM1145">
        <v>77.945415713838699</v>
      </c>
      <c r="AN1145">
        <v>1.0000000122074</v>
      </c>
    </row>
    <row r="1146" spans="1:40" x14ac:dyDescent="0.25">
      <c r="A1146" t="str">
        <f>"20190303162522736"</f>
        <v>20190303162522736</v>
      </c>
      <c r="B1146" t="str">
        <f>"1551601522724248"</f>
        <v>1551601522724248</v>
      </c>
      <c r="C1146" t="s">
        <v>40</v>
      </c>
      <c r="D1146">
        <v>5.1110150000000001</v>
      </c>
      <c r="E1146">
        <v>0.53361990000000004</v>
      </c>
      <c r="F1146" t="s">
        <v>46</v>
      </c>
      <c r="G1146">
        <v>-199.47450000000001</v>
      </c>
      <c r="H1146" s="1">
        <v>1.2782699999999999E-6</v>
      </c>
      <c r="I1146">
        <v>292.60149999999999</v>
      </c>
      <c r="J1146">
        <v>-192.50989999999999</v>
      </c>
      <c r="K1146">
        <v>1.1150119999999999</v>
      </c>
      <c r="L1146">
        <v>304.53210000000001</v>
      </c>
      <c r="M1146">
        <v>-0.24141360000000001</v>
      </c>
      <c r="N1146">
        <v>-1.4959510000000001E-2</v>
      </c>
      <c r="O1146">
        <v>-0.97030720000000004</v>
      </c>
      <c r="P1146">
        <v>-0.42937839999999999</v>
      </c>
      <c r="Q1146">
        <v>0.16605420000000001</v>
      </c>
      <c r="R1146">
        <v>-0.88772759999999995</v>
      </c>
      <c r="S1146">
        <v>-1.5404359999999999</v>
      </c>
      <c r="T1146">
        <v>-0.24333969999999999</v>
      </c>
      <c r="U1146">
        <v>-2.682007</v>
      </c>
      <c r="V1146">
        <v>0.20500180000000001</v>
      </c>
      <c r="W1146">
        <v>0.17744660000000001</v>
      </c>
      <c r="X1146">
        <v>0.96254189999999995</v>
      </c>
      <c r="Y1146">
        <v>0.27270929999999999</v>
      </c>
      <c r="Z1146">
        <v>6.4776539999999994E-2</v>
      </c>
      <c r="AA1146">
        <v>0.95991340000000003</v>
      </c>
      <c r="AB1146">
        <v>34</v>
      </c>
      <c r="AC1146">
        <v>-6.9646000000000097</v>
      </c>
      <c r="AD1146">
        <v>-1.1150107217299901</v>
      </c>
      <c r="AE1146">
        <v>-11.9306</v>
      </c>
      <c r="AF1146">
        <v>3.8529259661946198</v>
      </c>
      <c r="AG1146">
        <v>-1.1150107217299901</v>
      </c>
      <c r="AH1146">
        <v>13.1733602812923</v>
      </c>
      <c r="AI1146">
        <v>94.644391009716102</v>
      </c>
      <c r="AJ1146">
        <v>73.696931521792905</v>
      </c>
      <c r="AK1146">
        <v>13.7704650797015</v>
      </c>
      <c r="AL1146">
        <v>79.778933041547305</v>
      </c>
      <c r="AM1146">
        <v>77.976810806214701</v>
      </c>
      <c r="AN1146">
        <v>0.99999997155520404</v>
      </c>
    </row>
    <row r="1147" spans="1:40" x14ac:dyDescent="0.25">
      <c r="A1147" t="str">
        <f>"20190303162522783"</f>
        <v>20190303162522783</v>
      </c>
      <c r="B1147" t="str">
        <f>"1551601522774024"</f>
        <v>1551601522774024</v>
      </c>
      <c r="C1147" t="s">
        <v>40</v>
      </c>
      <c r="D1147">
        <v>5.1480079999999999</v>
      </c>
      <c r="E1147">
        <v>0.53293610000000002</v>
      </c>
      <c r="F1147" t="s">
        <v>46</v>
      </c>
      <c r="G1147">
        <v>-199.57939999999999</v>
      </c>
      <c r="H1147" s="1">
        <v>1.307679E-6</v>
      </c>
      <c r="I1147">
        <v>292.38170000000002</v>
      </c>
      <c r="J1147">
        <v>-192.6951</v>
      </c>
      <c r="K1147">
        <v>1.1152120000000001</v>
      </c>
      <c r="L1147">
        <v>303.85019999999997</v>
      </c>
      <c r="M1147">
        <v>-0.25392999999999999</v>
      </c>
      <c r="N1147">
        <v>-1.4942779999999999E-2</v>
      </c>
      <c r="O1147">
        <v>-0.96710719999999994</v>
      </c>
      <c r="P1147">
        <v>-0.44227729999999998</v>
      </c>
      <c r="Q1147">
        <v>0.16544739999999999</v>
      </c>
      <c r="R1147">
        <v>-0.88148629999999994</v>
      </c>
      <c r="S1147">
        <v>-1.555267</v>
      </c>
      <c r="T1147">
        <v>-0.2452983</v>
      </c>
      <c r="U1147">
        <v>-2.673035</v>
      </c>
      <c r="V1147">
        <v>0.20647560000000001</v>
      </c>
      <c r="W1147">
        <v>0.1769037</v>
      </c>
      <c r="X1147">
        <v>0.96232680000000004</v>
      </c>
      <c r="Y1147">
        <v>0.26563700000000001</v>
      </c>
      <c r="Z1147">
        <v>6.5301219999999993E-2</v>
      </c>
      <c r="AA1147">
        <v>0.96185900000000002</v>
      </c>
      <c r="AB1147">
        <v>34</v>
      </c>
      <c r="AC1147">
        <v>-6.8842999999999899</v>
      </c>
      <c r="AD1147">
        <v>-1.1152106923209999</v>
      </c>
      <c r="AE1147">
        <v>-11.468499999999899</v>
      </c>
      <c r="AF1147">
        <v>3.7202183298207698</v>
      </c>
      <c r="AG1147">
        <v>-1.1152106923209999</v>
      </c>
      <c r="AH1147">
        <v>12.7521904572388</v>
      </c>
      <c r="AI1147">
        <v>94.798894395819303</v>
      </c>
      <c r="AJ1147">
        <v>73.7363608110511</v>
      </c>
      <c r="AK1147">
        <v>13.330494393213399</v>
      </c>
      <c r="AL1147">
        <v>79.810539047675604</v>
      </c>
      <c r="AM1147">
        <v>77.8902887757869</v>
      </c>
      <c r="AN1147">
        <v>0.99999998123364398</v>
      </c>
    </row>
    <row r="1148" spans="1:40" x14ac:dyDescent="0.25">
      <c r="A1148" t="str">
        <f>"20190303162522805"</f>
        <v>20190303162522805</v>
      </c>
      <c r="B1148" t="str">
        <f>"1551601522793544"</f>
        <v>1551601522793544</v>
      </c>
      <c r="C1148" t="s">
        <v>40</v>
      </c>
      <c r="D1148">
        <v>5.150887</v>
      </c>
      <c r="E1148">
        <v>0.53265450000000003</v>
      </c>
      <c r="F1148" t="s">
        <v>46</v>
      </c>
      <c r="G1148">
        <v>-199.8519</v>
      </c>
      <c r="H1148" s="1">
        <v>1.3709460000000001E-6</v>
      </c>
      <c r="I1148">
        <v>291.8852</v>
      </c>
      <c r="J1148">
        <v>-192.7843</v>
      </c>
      <c r="K1148">
        <v>1.115321</v>
      </c>
      <c r="L1148">
        <v>303.53320000000002</v>
      </c>
      <c r="M1148">
        <v>-0.25958530000000002</v>
      </c>
      <c r="N1148">
        <v>-1.4932559999999999E-2</v>
      </c>
      <c r="O1148">
        <v>-0.96560500000000005</v>
      </c>
      <c r="P1148">
        <v>-0.44921870000000003</v>
      </c>
      <c r="Q1148">
        <v>0.16495409999999999</v>
      </c>
      <c r="R1148">
        <v>-0.87806219999999902</v>
      </c>
      <c r="S1148">
        <v>-1.5871280000000001</v>
      </c>
      <c r="T1148">
        <v>-0.24731500000000001</v>
      </c>
      <c r="U1148">
        <v>-2.6534119999999999</v>
      </c>
      <c r="V1148">
        <v>0.20836350000000001</v>
      </c>
      <c r="W1148">
        <v>0.176423</v>
      </c>
      <c r="X1148">
        <v>0.96200810000000003</v>
      </c>
      <c r="Y1148">
        <v>0.27159820000000001</v>
      </c>
      <c r="Z1148">
        <v>6.6029930000000001E-2</v>
      </c>
      <c r="AA1148">
        <v>0.96014290000000002</v>
      </c>
      <c r="AB1148">
        <v>34</v>
      </c>
      <c r="AC1148">
        <v>-7.0675999999999899</v>
      </c>
      <c r="AD1148">
        <v>-1.115319629054</v>
      </c>
      <c r="AE1148">
        <v>-11.648</v>
      </c>
      <c r="AF1148">
        <v>3.7759792575168398</v>
      </c>
      <c r="AG1148">
        <v>-1.115319629054</v>
      </c>
      <c r="AH1148">
        <v>12.996375071502399</v>
      </c>
      <c r="AI1148">
        <v>94.711095414125694</v>
      </c>
      <c r="AJ1148">
        <v>73.799254972311005</v>
      </c>
      <c r="AK1148">
        <v>13.579680490619801</v>
      </c>
      <c r="AL1148">
        <v>79.838521483814802</v>
      </c>
      <c r="AM1148">
        <v>77.778949900344898</v>
      </c>
      <c r="AN1148">
        <v>1.00000000376343</v>
      </c>
    </row>
    <row r="1149" spans="1:40" x14ac:dyDescent="0.25">
      <c r="A1149" t="str">
        <f>"20190303162522871"</f>
        <v>20190303162522871</v>
      </c>
      <c r="B1149" t="str">
        <f>"1551601522863817"</f>
        <v>1551601522863817</v>
      </c>
      <c r="C1149" t="s">
        <v>40</v>
      </c>
      <c r="D1149">
        <v>5.2002499999999996</v>
      </c>
      <c r="E1149">
        <v>0.52553079999999996</v>
      </c>
      <c r="F1149" t="s">
        <v>46</v>
      </c>
      <c r="G1149">
        <v>-199.99870000000001</v>
      </c>
      <c r="H1149" s="1">
        <v>1.420034E-6</v>
      </c>
      <c r="I1149">
        <v>291.66640000000001</v>
      </c>
      <c r="J1149">
        <v>-193.06739999999999</v>
      </c>
      <c r="K1149">
        <v>1.1156839999999999</v>
      </c>
      <c r="L1149">
        <v>302.56760000000003</v>
      </c>
      <c r="M1149">
        <v>-0.276066799999999</v>
      </c>
      <c r="N1149">
        <v>-1.489887E-2</v>
      </c>
      <c r="O1149">
        <v>-0.96102310000000002</v>
      </c>
      <c r="P1149">
        <v>-0.4673891</v>
      </c>
      <c r="Q1149">
        <v>0.1620684</v>
      </c>
      <c r="R1149">
        <v>-0.86906930000000004</v>
      </c>
      <c r="S1149">
        <v>-1.605972</v>
      </c>
      <c r="T1149">
        <v>-0.24827730000000001</v>
      </c>
      <c r="U1149">
        <v>-2.641632</v>
      </c>
      <c r="V1149">
        <v>0.2115822</v>
      </c>
      <c r="W1149">
        <v>0.1736424</v>
      </c>
      <c r="X1149">
        <v>0.96181150000000004</v>
      </c>
      <c r="Y1149">
        <v>0.26202199999999998</v>
      </c>
      <c r="Z1149">
        <v>6.6165639999999998E-2</v>
      </c>
      <c r="AA1149">
        <v>0.96279099999999995</v>
      </c>
      <c r="AB1149">
        <v>34</v>
      </c>
      <c r="AC1149">
        <v>-6.9313000000000198</v>
      </c>
      <c r="AD1149">
        <v>-1.115682579966</v>
      </c>
      <c r="AE1149">
        <v>-10.901199999999999</v>
      </c>
      <c r="AF1149">
        <v>3.6250457697782998</v>
      </c>
      <c r="AG1149">
        <v>-1.115682579966</v>
      </c>
      <c r="AH1149">
        <v>12.299439346806899</v>
      </c>
      <c r="AI1149">
        <v>94.972757937013498</v>
      </c>
      <c r="AJ1149">
        <v>73.578035990613301</v>
      </c>
      <c r="AK1149">
        <v>12.8709717076065</v>
      </c>
      <c r="AL1149">
        <v>80.00033650604</v>
      </c>
      <c r="AM1149">
        <v>77.593509355959696</v>
      </c>
      <c r="AN1149">
        <v>1.00000003598342</v>
      </c>
    </row>
    <row r="1150" spans="1:40" x14ac:dyDescent="0.25">
      <c r="A1150" t="str">
        <f>"20190303162522914"</f>
        <v>20190303162522914</v>
      </c>
      <c r="B1150" t="str">
        <f>"1551601522903832"</f>
        <v>1551601522903832</v>
      </c>
      <c r="C1150" t="s">
        <v>40</v>
      </c>
      <c r="D1150">
        <v>5.2307990000000002</v>
      </c>
      <c r="E1150">
        <v>0.52100539999999995</v>
      </c>
      <c r="F1150" t="s">
        <v>46</v>
      </c>
      <c r="G1150">
        <v>-199.78630000000001</v>
      </c>
      <c r="H1150" s="1">
        <v>1.4341590000000001E-6</v>
      </c>
      <c r="I1150">
        <v>291.55930000000001</v>
      </c>
      <c r="J1150">
        <v>-193.26259999999999</v>
      </c>
      <c r="K1150">
        <v>1.1159790000000001</v>
      </c>
      <c r="L1150">
        <v>301.93220000000002</v>
      </c>
      <c r="M1150">
        <v>-0.28623369999999998</v>
      </c>
      <c r="N1150">
        <v>-1.4870919999999999E-2</v>
      </c>
      <c r="O1150">
        <v>-0.95804469999999997</v>
      </c>
      <c r="P1150">
        <v>-0.47668450000000001</v>
      </c>
      <c r="Q1150">
        <v>0.1631512</v>
      </c>
      <c r="R1150">
        <v>-0.86380210000000002</v>
      </c>
      <c r="S1150">
        <v>-1.6091610000000001</v>
      </c>
      <c r="T1150">
        <v>-0.26719999999999999</v>
      </c>
      <c r="U1150">
        <v>-2.6364139999999998</v>
      </c>
      <c r="V1150">
        <v>0.2116643</v>
      </c>
      <c r="W1150">
        <v>0.17483399999999999</v>
      </c>
      <c r="X1150">
        <v>0.96157749999999997</v>
      </c>
      <c r="Y1150">
        <v>0.25325399999999998</v>
      </c>
      <c r="Z1150">
        <v>7.2115209999999999E-2</v>
      </c>
      <c r="AA1150">
        <v>0.96470809999999996</v>
      </c>
      <c r="AB1150">
        <v>34</v>
      </c>
      <c r="AC1150">
        <v>-6.5237000000000096</v>
      </c>
      <c r="AD1150">
        <v>-1.1159775658409901</v>
      </c>
      <c r="AE1150">
        <v>-10.3729</v>
      </c>
      <c r="AF1150">
        <v>3.2542932235885198</v>
      </c>
      <c r="AG1150">
        <v>-1.1159775658409901</v>
      </c>
      <c r="AH1150">
        <v>11.709189947683999</v>
      </c>
      <c r="AI1150">
        <v>95.246602118102601</v>
      </c>
      <c r="AJ1150">
        <v>74.467982893345095</v>
      </c>
      <c r="AK1150">
        <v>12.2041369847892</v>
      </c>
      <c r="AL1150">
        <v>79.931001877570793</v>
      </c>
      <c r="AM1150">
        <v>77.585917808999</v>
      </c>
      <c r="AN1150">
        <v>0.99999999597836997</v>
      </c>
    </row>
    <row r="1151" spans="1:40" x14ac:dyDescent="0.25">
      <c r="A1151" t="str">
        <f>"20190303162522938"</f>
        <v>20190303162522938</v>
      </c>
      <c r="B1151" t="str">
        <f>"1551601522934088"</f>
        <v>1551601522934088</v>
      </c>
      <c r="C1151" t="s">
        <v>40</v>
      </c>
      <c r="D1151">
        <v>5.2280199999999999</v>
      </c>
      <c r="E1151">
        <v>0.52355989999999997</v>
      </c>
      <c r="F1151" t="s">
        <v>46</v>
      </c>
      <c r="G1151">
        <v>-203.4658</v>
      </c>
      <c r="H1151" s="1">
        <v>3.6947520000000001E-6</v>
      </c>
      <c r="I1151">
        <v>285.29300000000001</v>
      </c>
      <c r="J1151">
        <v>-193.37110000000001</v>
      </c>
      <c r="K1151">
        <v>1.1161160000000001</v>
      </c>
      <c r="L1151">
        <v>301.58800000000002</v>
      </c>
      <c r="M1151">
        <v>-0.29156929999999998</v>
      </c>
      <c r="N1151">
        <v>-1.485712E-2</v>
      </c>
      <c r="O1151">
        <v>-0.95643460000000002</v>
      </c>
      <c r="P1151">
        <v>-0.47963610000000001</v>
      </c>
      <c r="Q1151">
        <v>0.16389870000000001</v>
      </c>
      <c r="R1151">
        <v>-0.86202500000000004</v>
      </c>
      <c r="S1151">
        <v>-1.6064000000000001</v>
      </c>
      <c r="T1151">
        <v>-0.1757003</v>
      </c>
      <c r="U1151">
        <v>-2.6196899999999999</v>
      </c>
      <c r="V1151">
        <v>0.2095834</v>
      </c>
      <c r="W1151">
        <v>0.1756636</v>
      </c>
      <c r="X1151">
        <v>0.96188209999999996</v>
      </c>
      <c r="Y1151">
        <v>0.25081479999999901</v>
      </c>
      <c r="Z1151">
        <v>4.308505E-2</v>
      </c>
      <c r="AA1151">
        <v>0.96707580000000004</v>
      </c>
      <c r="AB1151">
        <v>34</v>
      </c>
      <c r="AC1151">
        <v>-10.0946999999999</v>
      </c>
      <c r="AD1151">
        <v>-1.116112305248</v>
      </c>
      <c r="AE1151">
        <v>-16.294999999999899</v>
      </c>
      <c r="AF1151">
        <v>4.8877674937881199</v>
      </c>
      <c r="AG1151">
        <v>-1.116112305248</v>
      </c>
      <c r="AH1151">
        <v>18.467834785803699</v>
      </c>
      <c r="AI1151">
        <v>93.343641686782902</v>
      </c>
      <c r="AJ1151">
        <v>75.175772841818301</v>
      </c>
      <c r="AK1151">
        <v>19.136271826742998</v>
      </c>
      <c r="AL1151">
        <v>79.882722559118506</v>
      </c>
      <c r="AM1151">
        <v>77.708007372765294</v>
      </c>
      <c r="AN1151">
        <v>1.0000000381104599</v>
      </c>
    </row>
    <row r="1152" spans="1:40" x14ac:dyDescent="0.25">
      <c r="A1152" t="str">
        <f>"20190303162522962"</f>
        <v>20190303162522962</v>
      </c>
      <c r="B1152" t="str">
        <f>"1551601522953608"</f>
        <v>1551601522953608</v>
      </c>
      <c r="C1152" t="s">
        <v>40</v>
      </c>
      <c r="D1152">
        <v>5.369351</v>
      </c>
      <c r="E1152">
        <v>0.52330739999999998</v>
      </c>
      <c r="F1152" t="s">
        <v>46</v>
      </c>
      <c r="G1152">
        <v>-200.25579999999999</v>
      </c>
      <c r="H1152" s="1">
        <v>1.733997E-6</v>
      </c>
      <c r="I1152">
        <v>290.59519999999998</v>
      </c>
      <c r="J1152">
        <v>-193.48390000000001</v>
      </c>
      <c r="K1152">
        <v>1.1162179999999999</v>
      </c>
      <c r="L1152">
        <v>301.23779999999999</v>
      </c>
      <c r="M1152">
        <v>-0.29690109999999997</v>
      </c>
      <c r="N1152">
        <v>-1.4844649999999999E-2</v>
      </c>
      <c r="O1152">
        <v>-0.954793</v>
      </c>
      <c r="P1152">
        <v>-0.48219580000000001</v>
      </c>
      <c r="Q1152">
        <v>0.16482859999999999</v>
      </c>
      <c r="R1152">
        <v>-0.86041809999999996</v>
      </c>
      <c r="S1152">
        <v>-1.6398619999999999</v>
      </c>
      <c r="T1152">
        <v>-0.26584609999999997</v>
      </c>
      <c r="U1152">
        <v>-2.618347</v>
      </c>
      <c r="V1152">
        <v>0.2070893</v>
      </c>
      <c r="W1152">
        <v>0.17666709999999999</v>
      </c>
      <c r="X1152">
        <v>0.96223840000000005</v>
      </c>
      <c r="Y1152">
        <v>0.2536081</v>
      </c>
      <c r="Z1152">
        <v>7.1599839999999998E-2</v>
      </c>
      <c r="AA1152">
        <v>0.9646536</v>
      </c>
      <c r="AB1152">
        <v>34</v>
      </c>
      <c r="AC1152">
        <v>-6.77189999999998</v>
      </c>
      <c r="AD1152">
        <v>-1.1162162660029999</v>
      </c>
      <c r="AE1152">
        <v>-10.6426</v>
      </c>
      <c r="AF1152">
        <v>3.28063945896738</v>
      </c>
      <c r="AG1152">
        <v>-1.1162162660029999</v>
      </c>
      <c r="AH1152">
        <v>12.078826770401299</v>
      </c>
      <c r="AI1152">
        <v>95.096166797207303</v>
      </c>
      <c r="AJ1152">
        <v>74.804881971095199</v>
      </c>
      <c r="AK1152">
        <v>12.566088896772399</v>
      </c>
      <c r="AL1152">
        <v>79.824312258394698</v>
      </c>
      <c r="AM1152">
        <v>77.8542798553854</v>
      </c>
      <c r="AN1152">
        <v>0.99999999041572996</v>
      </c>
    </row>
    <row r="1153" spans="1:40" x14ac:dyDescent="0.25">
      <c r="A1153" t="str">
        <f>"20190303162523004"</f>
        <v>20190303162523004</v>
      </c>
      <c r="B1153" t="str">
        <f>"1551601522993625"</f>
        <v>1551601522993625</v>
      </c>
      <c r="C1153" t="s">
        <v>40</v>
      </c>
      <c r="D1153">
        <v>5.1999899999999997</v>
      </c>
      <c r="E1153">
        <v>0.51983290000000004</v>
      </c>
      <c r="F1153" t="s">
        <v>46</v>
      </c>
      <c r="G1153">
        <v>-200.35310000000001</v>
      </c>
      <c r="H1153" s="1">
        <v>1.826598E-6</v>
      </c>
      <c r="I1153">
        <v>290.33870000000002</v>
      </c>
      <c r="J1153">
        <v>-193.68010000000001</v>
      </c>
      <c r="K1153">
        <v>1.1163449999999999</v>
      </c>
      <c r="L1153">
        <v>300.6431</v>
      </c>
      <c r="M1153">
        <v>-0.30584640000000002</v>
      </c>
      <c r="N1153">
        <v>-1.482635E-2</v>
      </c>
      <c r="O1153">
        <v>-0.95196559999999997</v>
      </c>
      <c r="P1153">
        <v>-0.4876701</v>
      </c>
      <c r="Q1153">
        <v>0.1669995</v>
      </c>
      <c r="R1153">
        <v>-0.85690719999999998</v>
      </c>
      <c r="S1153">
        <v>-1.64784199999999</v>
      </c>
      <c r="T1153">
        <v>-0.26776519999999998</v>
      </c>
      <c r="U1153">
        <v>-2.6145320000000001</v>
      </c>
      <c r="V1153">
        <v>0.20429030000000001</v>
      </c>
      <c r="W1153">
        <v>0.1789134</v>
      </c>
      <c r="X1153">
        <v>0.96242169999999905</v>
      </c>
      <c r="Y1153">
        <v>0.24725630000000001</v>
      </c>
      <c r="Z1153">
        <v>7.2011519999999996E-2</v>
      </c>
      <c r="AA1153">
        <v>0.96627050000000003</v>
      </c>
      <c r="AB1153">
        <v>34</v>
      </c>
      <c r="AC1153">
        <v>-6.673</v>
      </c>
      <c r="AD1153">
        <v>-1.116343173402</v>
      </c>
      <c r="AE1153">
        <v>-10.3043999999999</v>
      </c>
      <c r="AF1153">
        <v>3.1749999538729798</v>
      </c>
      <c r="AG1153">
        <v>-1.116343173402</v>
      </c>
      <c r="AH1153">
        <v>11.7544501050235</v>
      </c>
      <c r="AI1153">
        <v>95.238582716268994</v>
      </c>
      <c r="AJ1153">
        <v>74.884526045518996</v>
      </c>
      <c r="AK1153">
        <v>12.2267716123015</v>
      </c>
      <c r="AL1153">
        <v>79.693525480922304</v>
      </c>
      <c r="AM1153">
        <v>78.015878243361698</v>
      </c>
      <c r="AN1153">
        <v>1.00000003000226</v>
      </c>
    </row>
    <row r="1154" spans="1:40" x14ac:dyDescent="0.25">
      <c r="A1154" t="str">
        <f>"20190303162523028"</f>
        <v>20190303162523028</v>
      </c>
      <c r="B1154" t="str">
        <f>"1551601523023881"</f>
        <v>1551601523023881</v>
      </c>
      <c r="C1154" t="s">
        <v>40</v>
      </c>
      <c r="D1154">
        <v>5.2852860000000002</v>
      </c>
      <c r="E1154">
        <v>0.51918209999999998</v>
      </c>
      <c r="F1154" t="s">
        <v>46</v>
      </c>
      <c r="G1154">
        <v>-203.40559999999999</v>
      </c>
      <c r="H1154" s="1">
        <v>3.680317E-6</v>
      </c>
      <c r="I1154">
        <v>285.15300000000002</v>
      </c>
      <c r="J1154">
        <v>-193.80099999999999</v>
      </c>
      <c r="K1154">
        <v>1.1163940000000001</v>
      </c>
      <c r="L1154">
        <v>300.28579999999999</v>
      </c>
      <c r="M1154">
        <v>-0.31119829999999998</v>
      </c>
      <c r="N1154">
        <v>-1.4816609999999999E-2</v>
      </c>
      <c r="O1154">
        <v>-0.95022960000000001</v>
      </c>
      <c r="P1154">
        <v>-0.49292720000000001</v>
      </c>
      <c r="Q1154">
        <v>0.16589000000000001</v>
      </c>
      <c r="R1154">
        <v>-0.85410989999999998</v>
      </c>
      <c r="S1154">
        <v>-1.6363829999999999</v>
      </c>
      <c r="T1154">
        <v>-0.18783159999999999</v>
      </c>
      <c r="U1154">
        <v>-2.6063230000000002</v>
      </c>
      <c r="V1154">
        <v>0.20469019999999999</v>
      </c>
      <c r="W1154">
        <v>0.17781449999999999</v>
      </c>
      <c r="X1154">
        <v>0.96254030000000002</v>
      </c>
      <c r="Y1154">
        <v>0.24100769999999999</v>
      </c>
      <c r="Z1154">
        <v>4.6723639999999997E-2</v>
      </c>
      <c r="AA1154">
        <v>0.96939779999999998</v>
      </c>
      <c r="AB1154">
        <v>34</v>
      </c>
      <c r="AC1154">
        <v>-9.6045999999999996</v>
      </c>
      <c r="AD1154">
        <v>-1.1163903196830001</v>
      </c>
      <c r="AE1154">
        <v>-15.1327999999999</v>
      </c>
      <c r="AF1154">
        <v>4.4006850924907699</v>
      </c>
      <c r="AG1154">
        <v>-1.1163903196830001</v>
      </c>
      <c r="AH1154">
        <v>17.303344306083599</v>
      </c>
      <c r="AI1154">
        <v>93.577945630131595</v>
      </c>
      <c r="AJ1154">
        <v>75.730729909984007</v>
      </c>
      <c r="AK1154">
        <v>17.8890491866959</v>
      </c>
      <c r="AL1154">
        <v>79.757513085468105</v>
      </c>
      <c r="AM1154">
        <v>77.994535900089602</v>
      </c>
      <c r="AN1154">
        <v>0.99999995175518797</v>
      </c>
    </row>
    <row r="1155" spans="1:40" x14ac:dyDescent="0.25">
      <c r="A1155" t="str">
        <f>"20190303162523094"</f>
        <v>20190303162523094</v>
      </c>
      <c r="B1155" t="str">
        <f>"1551601523084394"</f>
        <v>1551601523084394</v>
      </c>
      <c r="C1155" t="s">
        <v>40</v>
      </c>
      <c r="D1155">
        <v>5.3493019999999998</v>
      </c>
      <c r="E1155">
        <v>0.51999839999999997</v>
      </c>
      <c r="F1155" t="s">
        <v>46</v>
      </c>
      <c r="G1155">
        <v>-203.477</v>
      </c>
      <c r="H1155" s="1">
        <v>3.7248829999999999E-6</v>
      </c>
      <c r="I1155">
        <v>285.00510000000003</v>
      </c>
      <c r="J1155">
        <v>-194.1276</v>
      </c>
      <c r="K1155">
        <v>1.1165039999999999</v>
      </c>
      <c r="L1155">
        <v>299.35199999999998</v>
      </c>
      <c r="M1155">
        <v>-0.32520379999999999</v>
      </c>
      <c r="N1155">
        <v>-1.479421E-2</v>
      </c>
      <c r="O1155">
        <v>-0.94552829999999999</v>
      </c>
      <c r="P1155">
        <v>-0.50901130000000006</v>
      </c>
      <c r="Q1155">
        <v>0.16353989999999999</v>
      </c>
      <c r="R1155">
        <v>-0.84508119999999998</v>
      </c>
      <c r="S1155">
        <v>-1.6460109999999999</v>
      </c>
      <c r="T1155">
        <v>-0.189914</v>
      </c>
      <c r="U1155">
        <v>-2.5994570000000001</v>
      </c>
      <c r="V1155">
        <v>0.20848729999999999</v>
      </c>
      <c r="W1155">
        <v>0.1754397</v>
      </c>
      <c r="X1155">
        <v>0.96216109999999999</v>
      </c>
      <c r="Y1155">
        <v>0.23036470000000001</v>
      </c>
      <c r="Z1155">
        <v>4.719603E-2</v>
      </c>
      <c r="AA1155">
        <v>0.97195920000000002</v>
      </c>
      <c r="AB1155">
        <v>34</v>
      </c>
      <c r="AC1155">
        <v>-9.3493999999999993</v>
      </c>
      <c r="AD1155">
        <v>-1.1165002751169999</v>
      </c>
      <c r="AE1155">
        <v>-14.3469</v>
      </c>
      <c r="AF1155">
        <v>4.1572402140192404</v>
      </c>
      <c r="AG1155">
        <v>-1.1165002751169999</v>
      </c>
      <c r="AH1155">
        <v>16.537376932878399</v>
      </c>
      <c r="AI1155">
        <v>93.746183666449198</v>
      </c>
      <c r="AJ1155">
        <v>75.889121174076493</v>
      </c>
      <c r="AK1155">
        <v>17.088418735549901</v>
      </c>
      <c r="AL1155">
        <v>79.895753188783701</v>
      </c>
      <c r="AM1155">
        <v>77.773793122046399</v>
      </c>
      <c r="AN1155">
        <v>1.0000000124752899</v>
      </c>
    </row>
    <row r="1156" spans="1:40" x14ac:dyDescent="0.25">
      <c r="A1156" t="str">
        <f>"20190303162523115"</f>
        <v>20190303162523115</v>
      </c>
      <c r="B1156" t="str">
        <f>"1551601523103913"</f>
        <v>1551601523103913</v>
      </c>
      <c r="C1156" t="s">
        <v>40</v>
      </c>
      <c r="D1156">
        <v>5.3756719999999998</v>
      </c>
      <c r="E1156">
        <v>0.5199028</v>
      </c>
      <c r="F1156" t="s">
        <v>46</v>
      </c>
      <c r="G1156">
        <v>-203.2208</v>
      </c>
      <c r="H1156" s="1">
        <v>3.5602950000000001E-6</v>
      </c>
      <c r="I1156">
        <v>285.58839999999998</v>
      </c>
      <c r="J1156">
        <v>-194.23689999999999</v>
      </c>
      <c r="K1156">
        <v>1.1165449999999999</v>
      </c>
      <c r="L1156">
        <v>299.04910000000001</v>
      </c>
      <c r="M1156">
        <v>-0.32977190000000001</v>
      </c>
      <c r="N1156">
        <v>-1.47878E-2</v>
      </c>
      <c r="O1156">
        <v>-0.94394480000000003</v>
      </c>
      <c r="P1156">
        <v>-0.51451579999999997</v>
      </c>
      <c r="Q1156">
        <v>0.16515759999999999</v>
      </c>
      <c r="R1156">
        <v>-0.8414256</v>
      </c>
      <c r="S1156">
        <v>-1.6967319999999999</v>
      </c>
      <c r="T1156">
        <v>-0.2083325</v>
      </c>
      <c r="U1156">
        <v>-2.5682070000000001</v>
      </c>
      <c r="V1156">
        <v>0.21023240000000001</v>
      </c>
      <c r="W1156">
        <v>0.177031299999999</v>
      </c>
      <c r="X1156">
        <v>0.96148960000000006</v>
      </c>
      <c r="Y1156">
        <v>0.24425569999999999</v>
      </c>
      <c r="Z1156">
        <v>5.3189720000000003E-2</v>
      </c>
      <c r="AA1156">
        <v>0.96825099999999997</v>
      </c>
      <c r="AB1156">
        <v>33</v>
      </c>
      <c r="AC1156">
        <v>-8.9839000000000002</v>
      </c>
      <c r="AD1156">
        <v>-1.116541439705</v>
      </c>
      <c r="AE1156">
        <v>-13.460699999999999</v>
      </c>
      <c r="AF1156">
        <v>4.0226390700293102</v>
      </c>
      <c r="AG1156">
        <v>-1.116541439705</v>
      </c>
      <c r="AH1156">
        <v>15.596270045348399</v>
      </c>
      <c r="AI1156">
        <v>93.965492414898094</v>
      </c>
      <c r="AJ1156">
        <v>75.537300203463502</v>
      </c>
      <c r="AK1156">
        <v>16.145337692403299</v>
      </c>
      <c r="AL1156">
        <v>79.803111027781</v>
      </c>
      <c r="AM1156">
        <v>77.666227270390806</v>
      </c>
      <c r="AN1156">
        <v>0.99999999704880504</v>
      </c>
    </row>
    <row r="1157" spans="1:40" x14ac:dyDescent="0.25">
      <c r="A1157" t="str">
        <f>"20190303162523139"</f>
        <v>20190303162523139</v>
      </c>
      <c r="B1157" t="str">
        <f>"1551601523134168"</f>
        <v>1551601523134168</v>
      </c>
      <c r="C1157" t="s">
        <v>40</v>
      </c>
      <c r="D1157">
        <v>5.3810539999999998</v>
      </c>
      <c r="E1157">
        <v>0.54183829999999999</v>
      </c>
      <c r="F1157" t="s">
        <v>46</v>
      </c>
      <c r="G1157">
        <v>-203.54910000000001</v>
      </c>
      <c r="H1157" s="1">
        <v>3.7454090000000002E-6</v>
      </c>
      <c r="I1157">
        <v>285.13650000000001</v>
      </c>
      <c r="J1157">
        <v>-194.35579999999999</v>
      </c>
      <c r="K1157">
        <v>1.116565</v>
      </c>
      <c r="L1157">
        <v>298.72469999999998</v>
      </c>
      <c r="M1157">
        <v>-0.33469939999999998</v>
      </c>
      <c r="N1157">
        <v>-1.4781620000000001E-2</v>
      </c>
      <c r="O1157">
        <v>-0.94220910000000002</v>
      </c>
      <c r="P1157">
        <v>-0.5195284</v>
      </c>
      <c r="Q1157">
        <v>0.1674435</v>
      </c>
      <c r="R1157">
        <v>-0.83788629999999997</v>
      </c>
      <c r="S1157">
        <v>-1.71254</v>
      </c>
      <c r="T1157">
        <v>-0.2053345</v>
      </c>
      <c r="U1157">
        <v>-2.5585629999999999</v>
      </c>
      <c r="V1157">
        <v>0.2111246</v>
      </c>
      <c r="W1157">
        <v>0.179294799999999</v>
      </c>
      <c r="X1157">
        <v>0.96087449999999996</v>
      </c>
      <c r="Y1157">
        <v>0.2450406</v>
      </c>
      <c r="Z1157">
        <v>5.2197060000000003E-2</v>
      </c>
      <c r="AA1157">
        <v>0.96810669999999999</v>
      </c>
      <c r="AB1157">
        <v>33</v>
      </c>
      <c r="AC1157">
        <v>-9.1933000000000202</v>
      </c>
      <c r="AD1157">
        <v>-1.116561254591</v>
      </c>
      <c r="AE1157">
        <v>-13.588199999999899</v>
      </c>
      <c r="AF1157">
        <v>4.0955275427672699</v>
      </c>
      <c r="AG1157">
        <v>-1.116561254591</v>
      </c>
      <c r="AH1157">
        <v>15.8084280623894</v>
      </c>
      <c r="AI1157">
        <v>93.911422891079994</v>
      </c>
      <c r="AJ1157">
        <v>75.475576830286897</v>
      </c>
      <c r="AK1157">
        <v>16.368459081189101</v>
      </c>
      <c r="AL1157">
        <v>79.671313536198099</v>
      </c>
      <c r="AM1157">
        <v>77.6078131837847</v>
      </c>
      <c r="AN1157">
        <v>1.0000000133912199</v>
      </c>
    </row>
    <row r="1158" spans="1:40" x14ac:dyDescent="0.25">
      <c r="A1158" t="str">
        <f>"20190303162523189"</f>
        <v>20190303162523189</v>
      </c>
      <c r="B1158" t="str">
        <f>"1551601523183945"</f>
        <v>1551601523183945</v>
      </c>
      <c r="C1158" t="s">
        <v>40</v>
      </c>
      <c r="D1158">
        <v>5.3015939999999997</v>
      </c>
      <c r="E1158">
        <v>0.55319459999999998</v>
      </c>
      <c r="F1158" t="s">
        <v>46</v>
      </c>
      <c r="G1158">
        <v>-202.44390000000001</v>
      </c>
      <c r="H1158" s="1">
        <v>2.9947450000000001E-6</v>
      </c>
      <c r="I1158">
        <v>288.11660000000001</v>
      </c>
      <c r="J1158">
        <v>-194.62049999999999</v>
      </c>
      <c r="K1158">
        <v>1.1165259999999999</v>
      </c>
      <c r="L1158">
        <v>298.02190000000002</v>
      </c>
      <c r="M1158">
        <v>-0.34558030000000001</v>
      </c>
      <c r="N1158">
        <v>-1.4773929999999999E-2</v>
      </c>
      <c r="O1158">
        <v>-0.93827309999999997</v>
      </c>
      <c r="P1158">
        <v>-0.53047180000000005</v>
      </c>
      <c r="Q1158">
        <v>0.17167289999999999</v>
      </c>
      <c r="R1158">
        <v>-0.83013780000000004</v>
      </c>
      <c r="S1158">
        <v>-1.880447</v>
      </c>
      <c r="T1158">
        <v>-0.2595961</v>
      </c>
      <c r="U1158">
        <v>-2.4663390000000001</v>
      </c>
      <c r="V1158">
        <v>0.21298049999999999</v>
      </c>
      <c r="W1158">
        <v>0.18345040000000001</v>
      </c>
      <c r="X1158">
        <v>0.95967979999999997</v>
      </c>
      <c r="Y1158">
        <v>0.29237220000000003</v>
      </c>
      <c r="Z1158">
        <v>6.9538790000000003E-2</v>
      </c>
      <c r="AA1158">
        <v>0.95377299999999998</v>
      </c>
      <c r="AB1158">
        <v>33</v>
      </c>
      <c r="AC1158">
        <v>-7.8234000000000199</v>
      </c>
      <c r="AD1158">
        <v>-1.1165230052549999</v>
      </c>
      <c r="AE1158">
        <v>-9.9053000000000093</v>
      </c>
      <c r="AF1158">
        <v>3.8874183991340199</v>
      </c>
      <c r="AG1158">
        <v>-1.1165230052549999</v>
      </c>
      <c r="AH1158">
        <v>11.9056393085956</v>
      </c>
      <c r="AI1158">
        <v>95.094396984564995</v>
      </c>
      <c r="AJ1158">
        <v>71.917151682306695</v>
      </c>
      <c r="AK1158">
        <v>12.5738972787902</v>
      </c>
      <c r="AL1158">
        <v>79.429199590698602</v>
      </c>
      <c r="AM1158">
        <v>77.4872189109022</v>
      </c>
      <c r="AN1158">
        <v>1.00000003058422</v>
      </c>
    </row>
    <row r="1159" spans="1:40" x14ac:dyDescent="0.25">
      <c r="A1159" t="str">
        <f>"20190303162523209"</f>
        <v>20190303162523209</v>
      </c>
      <c r="B1159" t="str">
        <f>"1551601523203465"</f>
        <v>1551601523203465</v>
      </c>
      <c r="C1159" t="s">
        <v>40</v>
      </c>
      <c r="D1159">
        <v>5.3094700000000001</v>
      </c>
      <c r="E1159">
        <v>0.55382109999999996</v>
      </c>
      <c r="F1159" t="s">
        <v>46</v>
      </c>
      <c r="G1159">
        <v>-203.2191</v>
      </c>
      <c r="H1159" s="1">
        <v>3.375926E-6</v>
      </c>
      <c r="I1159">
        <v>287.68889999999999</v>
      </c>
      <c r="J1159">
        <v>-194.73169999999999</v>
      </c>
      <c r="K1159">
        <v>1.1164940000000001</v>
      </c>
      <c r="L1159">
        <v>297.73410000000001</v>
      </c>
      <c r="M1159">
        <v>-0.35012359999999998</v>
      </c>
      <c r="N1159">
        <v>-1.477185E-2</v>
      </c>
      <c r="O1159">
        <v>-0.93658719999999995</v>
      </c>
      <c r="P1159">
        <v>-0.53587229999999997</v>
      </c>
      <c r="Q1159">
        <v>0.17105010000000001</v>
      </c>
      <c r="R1159">
        <v>-0.82679059999999904</v>
      </c>
      <c r="S1159">
        <v>-1.9923709999999999</v>
      </c>
      <c r="T1159">
        <v>-0.25870870000000001</v>
      </c>
      <c r="U1159">
        <v>-2.3942570000000001</v>
      </c>
      <c r="V1159">
        <v>0.2145533</v>
      </c>
      <c r="W1159">
        <v>0.18278620000000001</v>
      </c>
      <c r="X1159">
        <v>0.95945610000000003</v>
      </c>
      <c r="Y1159">
        <v>0.32815499999999997</v>
      </c>
      <c r="Z1159">
        <v>6.9521089999999994E-2</v>
      </c>
      <c r="AA1159">
        <v>0.94206219999999996</v>
      </c>
      <c r="AB1159">
        <v>33</v>
      </c>
      <c r="AC1159">
        <v>-8.4873999999999992</v>
      </c>
      <c r="AD1159">
        <v>-1.116490624074</v>
      </c>
      <c r="AE1159">
        <v>-10.045199999999999</v>
      </c>
      <c r="AF1159">
        <v>4.4008902881646899</v>
      </c>
      <c r="AG1159">
        <v>-1.116490624074</v>
      </c>
      <c r="AH1159">
        <v>12.292589727713199</v>
      </c>
      <c r="AI1159">
        <v>94.887552013272099</v>
      </c>
      <c r="AJ1159">
        <v>70.302041123694806</v>
      </c>
      <c r="AK1159">
        <v>13.104279791579099</v>
      </c>
      <c r="AL1159">
        <v>79.467909260830297</v>
      </c>
      <c r="AM1159">
        <v>77.394912472049697</v>
      </c>
      <c r="AN1159">
        <v>0.99999996063926899</v>
      </c>
    </row>
    <row r="1160" spans="1:40" x14ac:dyDescent="0.25">
      <c r="A1160" t="str">
        <f>"20190303162523228"</f>
        <v>20190303162523228</v>
      </c>
      <c r="B1160" t="str">
        <f>"1551601523223961"</f>
        <v>1551601523223961</v>
      </c>
      <c r="C1160" t="s">
        <v>40</v>
      </c>
      <c r="D1160">
        <v>5.3352139999999997</v>
      </c>
      <c r="E1160">
        <v>0.55402680000000004</v>
      </c>
      <c r="F1160" t="s">
        <v>46</v>
      </c>
      <c r="G1160">
        <v>-203.2193</v>
      </c>
      <c r="H1160" s="1">
        <v>3.3757390000000002E-6</v>
      </c>
      <c r="I1160">
        <v>287.6918</v>
      </c>
      <c r="J1160">
        <v>-194.83680000000001</v>
      </c>
      <c r="K1160">
        <v>1.1164400000000001</v>
      </c>
      <c r="L1160">
        <v>297.46589999999998</v>
      </c>
      <c r="M1160">
        <v>-0.35442610000000002</v>
      </c>
      <c r="N1160">
        <v>-1.477039E-2</v>
      </c>
      <c r="O1160">
        <v>-0.93496749999999995</v>
      </c>
      <c r="P1160">
        <v>-0.54179279999999996</v>
      </c>
      <c r="Q1160">
        <v>0.16979069999999999</v>
      </c>
      <c r="R1160">
        <v>-0.82318409999999997</v>
      </c>
      <c r="S1160">
        <v>-2.0112610000000002</v>
      </c>
      <c r="T1160">
        <v>-0.26457000000000003</v>
      </c>
      <c r="U1160">
        <v>-2.3796689999999998</v>
      </c>
      <c r="V1160">
        <v>0.21694579999999999</v>
      </c>
      <c r="W1160">
        <v>0.18147150000000001</v>
      </c>
      <c r="X1160">
        <v>0.95916769999999996</v>
      </c>
      <c r="Y1160">
        <v>0.33092850000000001</v>
      </c>
      <c r="Z1160">
        <v>7.1367059999999996E-2</v>
      </c>
      <c r="AA1160">
        <v>0.94095329999999999</v>
      </c>
      <c r="AB1160">
        <v>33</v>
      </c>
      <c r="AC1160">
        <v>-8.3824999999999896</v>
      </c>
      <c r="AD1160">
        <v>-1.11643662426099</v>
      </c>
      <c r="AE1160">
        <v>-9.7740999999999705</v>
      </c>
      <c r="AF1160">
        <v>4.3410110426200301</v>
      </c>
      <c r="AG1160">
        <v>-1.11643662426099</v>
      </c>
      <c r="AH1160">
        <v>12.0203964355719</v>
      </c>
      <c r="AI1160">
        <v>94.992486646086505</v>
      </c>
      <c r="AJ1160">
        <v>70.143468645155593</v>
      </c>
      <c r="AK1160">
        <v>12.8289024501884</v>
      </c>
      <c r="AL1160">
        <v>79.544518071227401</v>
      </c>
      <c r="AM1160">
        <v>77.255210542005898</v>
      </c>
      <c r="AN1160">
        <v>1.00000003108658</v>
      </c>
    </row>
    <row r="1161" spans="1:40" x14ac:dyDescent="0.25">
      <c r="A1161" t="str">
        <f>"20190303162523251"</f>
        <v>20190303162523251</v>
      </c>
      <c r="B1161" t="str">
        <f>"1551601523243481"</f>
        <v>1551601523243481</v>
      </c>
      <c r="C1161" t="s">
        <v>40</v>
      </c>
      <c r="D1161">
        <v>5.3120159999999998</v>
      </c>
      <c r="E1161">
        <v>0.55403440000000004</v>
      </c>
      <c r="F1161" t="s">
        <v>46</v>
      </c>
      <c r="G1161">
        <v>-203.1362</v>
      </c>
      <c r="H1161" s="1">
        <v>3.330648E-6</v>
      </c>
      <c r="I1161">
        <v>287.78640000000001</v>
      </c>
      <c r="J1161">
        <v>-194.9615</v>
      </c>
      <c r="K1161">
        <v>1.1163590000000001</v>
      </c>
      <c r="L1161">
        <v>297.15269999999998</v>
      </c>
      <c r="M1161">
        <v>-0.3595642</v>
      </c>
      <c r="N1161">
        <v>-1.477026E-2</v>
      </c>
      <c r="O1161">
        <v>-0.93300369999999999</v>
      </c>
      <c r="P1161">
        <v>-0.54836850000000004</v>
      </c>
      <c r="Q1161">
        <v>0.16842589999999999</v>
      </c>
      <c r="R1161">
        <v>-0.81910050000000001</v>
      </c>
      <c r="S1161">
        <v>-2.0283660000000001</v>
      </c>
      <c r="T1161">
        <v>-0.27285599999999999</v>
      </c>
      <c r="U1161">
        <v>-2.3656619999999999</v>
      </c>
      <c r="V1161">
        <v>0.21927050000000001</v>
      </c>
      <c r="W1161">
        <v>0.1800387</v>
      </c>
      <c r="X1161">
        <v>0.95890900000000001</v>
      </c>
      <c r="Y1161">
        <v>0.33227689999999999</v>
      </c>
      <c r="Z1161">
        <v>7.3953320000000003E-2</v>
      </c>
      <c r="AA1161">
        <v>0.94027810000000001</v>
      </c>
      <c r="AB1161">
        <v>33</v>
      </c>
      <c r="AC1161">
        <v>-8.1746999999999996</v>
      </c>
      <c r="AD1161">
        <v>-1.116355669352</v>
      </c>
      <c r="AE1161">
        <v>-9.3662999999999599</v>
      </c>
      <c r="AF1161">
        <v>4.2256292148268502</v>
      </c>
      <c r="AG1161">
        <v>-1.116355669352</v>
      </c>
      <c r="AH1161">
        <v>11.5859691136839</v>
      </c>
      <c r="AI1161">
        <v>95.172398360354904</v>
      </c>
      <c r="AJ1161">
        <v>69.962099656803403</v>
      </c>
      <c r="AK1161">
        <v>12.382926655073501</v>
      </c>
      <c r="AL1161">
        <v>79.627985790610197</v>
      </c>
      <c r="AM1161">
        <v>77.119814139452899</v>
      </c>
      <c r="AN1161">
        <v>0.99999997797446905</v>
      </c>
    </row>
    <row r="1162" spans="1:40" x14ac:dyDescent="0.25">
      <c r="A1162" t="str">
        <f>"20190303162523273"</f>
        <v>20190303162523273</v>
      </c>
      <c r="B1162" t="str">
        <f>"1551601523264953"</f>
        <v>1551601523264953</v>
      </c>
      <c r="C1162" t="s">
        <v>40</v>
      </c>
      <c r="D1162">
        <v>5.3272380000000004</v>
      </c>
      <c r="E1162">
        <v>0.55397459999999998</v>
      </c>
      <c r="F1162" t="s">
        <v>46</v>
      </c>
      <c r="G1162">
        <v>-203.07079999999999</v>
      </c>
      <c r="H1162" s="1">
        <v>3.2980060000000002E-6</v>
      </c>
      <c r="I1162">
        <v>287.8279</v>
      </c>
      <c r="J1162">
        <v>-195.08750000000001</v>
      </c>
      <c r="K1162">
        <v>1.116255</v>
      </c>
      <c r="L1162">
        <v>296.84160000000003</v>
      </c>
      <c r="M1162">
        <v>-0.36479319999999998</v>
      </c>
      <c r="N1162">
        <v>-1.477243E-2</v>
      </c>
      <c r="O1162">
        <v>-0.9309714</v>
      </c>
      <c r="P1162">
        <v>-0.55546169999999995</v>
      </c>
      <c r="Q1162">
        <v>0.16684399999999999</v>
      </c>
      <c r="R1162">
        <v>-0.81463209999999997</v>
      </c>
      <c r="S1162">
        <v>-2.0448759999999999</v>
      </c>
      <c r="T1162">
        <v>-0.28150530000000001</v>
      </c>
      <c r="U1162">
        <v>-2.3513790000000001</v>
      </c>
      <c r="V1162">
        <v>0.22212580000000001</v>
      </c>
      <c r="W1162">
        <v>0.17837339999999999</v>
      </c>
      <c r="X1162">
        <v>0.95856300000000005</v>
      </c>
      <c r="Y1162">
        <v>0.33342470000000002</v>
      </c>
      <c r="Z1162">
        <v>7.6651579999999997E-2</v>
      </c>
      <c r="AA1162">
        <v>0.93965549999999998</v>
      </c>
      <c r="AB1162">
        <v>33</v>
      </c>
      <c r="AC1162">
        <v>-7.9832999999999803</v>
      </c>
      <c r="AD1162">
        <v>-1.1162517019939999</v>
      </c>
      <c r="AE1162">
        <v>-9.0137000000000196</v>
      </c>
      <c r="AF1162">
        <v>4.1092232595541196</v>
      </c>
      <c r="AG1162">
        <v>-1.1162517019939999</v>
      </c>
      <c r="AH1162">
        <v>11.2086518918214</v>
      </c>
      <c r="AI1162">
        <v>95.341787428553403</v>
      </c>
      <c r="AJ1162">
        <v>69.866471236109604</v>
      </c>
      <c r="AK1162">
        <v>11.99022980977</v>
      </c>
      <c r="AL1162">
        <v>79.724970549018394</v>
      </c>
      <c r="AM1162">
        <v>76.953243206473601</v>
      </c>
      <c r="AN1162">
        <v>0.99999998291109904</v>
      </c>
    </row>
    <row r="1163" spans="1:40" x14ac:dyDescent="0.25">
      <c r="A1163" t="str">
        <f>"20190303162523317"</f>
        <v>20190303162523317</v>
      </c>
      <c r="B1163" t="str">
        <f>"1551601523304968"</f>
        <v>1551601523304968</v>
      </c>
      <c r="C1163" t="s">
        <v>40</v>
      </c>
      <c r="D1163">
        <v>5.3021539999999998</v>
      </c>
      <c r="E1163">
        <v>0.55351049999999902</v>
      </c>
      <c r="F1163" t="s">
        <v>46</v>
      </c>
      <c r="G1163">
        <v>-203.0506</v>
      </c>
      <c r="H1163" s="1">
        <v>3.2892869999999999E-6</v>
      </c>
      <c r="I1163">
        <v>287.82530000000003</v>
      </c>
      <c r="J1163">
        <v>-195.33420000000001</v>
      </c>
      <c r="K1163">
        <v>1.1160369999999999</v>
      </c>
      <c r="L1163">
        <v>296.24720000000002</v>
      </c>
      <c r="M1163">
        <v>-0.37511519999999998</v>
      </c>
      <c r="N1163">
        <v>-1.4779570000000001E-2</v>
      </c>
      <c r="O1163">
        <v>-0.92686049999999998</v>
      </c>
      <c r="P1163">
        <v>-0.57031180000000004</v>
      </c>
      <c r="Q1163">
        <v>0.16057639999999901</v>
      </c>
      <c r="R1163">
        <v>-0.80558059999999998</v>
      </c>
      <c r="S1163">
        <v>-2.0626679999999999</v>
      </c>
      <c r="T1163">
        <v>-0.28913879999999997</v>
      </c>
      <c r="U1163">
        <v>-2.3354490000000001</v>
      </c>
      <c r="V1163">
        <v>0.2285925</v>
      </c>
      <c r="W1163">
        <v>0.17193039999999901</v>
      </c>
      <c r="X1163">
        <v>0.95821990000000001</v>
      </c>
      <c r="Y1163">
        <v>0.33002409999999999</v>
      </c>
      <c r="Z1163">
        <v>7.885955E-2</v>
      </c>
      <c r="AA1163">
        <v>0.94067279999999998</v>
      </c>
      <c r="AB1163">
        <v>33</v>
      </c>
      <c r="AC1163">
        <v>-7.7163999999999904</v>
      </c>
      <c r="AD1163">
        <v>-1.1160337107130001</v>
      </c>
      <c r="AE1163">
        <v>-8.4218999999999902</v>
      </c>
      <c r="AF1163">
        <v>3.95551836841461</v>
      </c>
      <c r="AG1163">
        <v>-1.1160337107130001</v>
      </c>
      <c r="AH1163">
        <v>10.6004369190752</v>
      </c>
      <c r="AI1163">
        <v>95.633343891559505</v>
      </c>
      <c r="AJ1163">
        <v>69.537104779031907</v>
      </c>
      <c r="AK1163">
        <v>11.369297237807</v>
      </c>
      <c r="AL1163">
        <v>80.099924257124201</v>
      </c>
      <c r="AM1163">
        <v>76.582329435374305</v>
      </c>
      <c r="AN1163">
        <v>0.99999998512820898</v>
      </c>
    </row>
    <row r="1164" spans="1:40" x14ac:dyDescent="0.25">
      <c r="A1164" t="str">
        <f>"20190303162523339"</f>
        <v>20190303162523339</v>
      </c>
      <c r="B1164" t="str">
        <f>"1551601523334249"</f>
        <v>1551601523334249</v>
      </c>
      <c r="C1164" t="s">
        <v>40</v>
      </c>
      <c r="D1164">
        <v>5.2883110000000002</v>
      </c>
      <c r="E1164">
        <v>0.55318610000000001</v>
      </c>
      <c r="F1164" t="s">
        <v>46</v>
      </c>
      <c r="G1164">
        <v>-202.85929999999999</v>
      </c>
      <c r="H1164" s="1">
        <v>3.1906399999999998E-6</v>
      </c>
      <c r="I1164">
        <v>287.98320000000001</v>
      </c>
      <c r="J1164">
        <v>-195.46350000000001</v>
      </c>
      <c r="K1164">
        <v>1.11595</v>
      </c>
      <c r="L1164">
        <v>295.94349999999997</v>
      </c>
      <c r="M1164">
        <v>-0.38054359999999998</v>
      </c>
      <c r="N1164">
        <v>-1.478283E-2</v>
      </c>
      <c r="O1164">
        <v>-0.92464480000000004</v>
      </c>
      <c r="P1164">
        <v>-0.57948</v>
      </c>
      <c r="Q1164">
        <v>0.156277</v>
      </c>
      <c r="R1164">
        <v>-0.79986299999999999</v>
      </c>
      <c r="S1164">
        <v>-2.0962070000000002</v>
      </c>
      <c r="T1164">
        <v>-0.31088449999999901</v>
      </c>
      <c r="U1164">
        <v>-2.3020320000000001</v>
      </c>
      <c r="V1164">
        <v>0.2335874</v>
      </c>
      <c r="W1164">
        <v>0.16752159999999999</v>
      </c>
      <c r="X1164">
        <v>0.95779610000000004</v>
      </c>
      <c r="Y1164">
        <v>0.33831939999999999</v>
      </c>
      <c r="Z1164">
        <v>8.5887099999999994E-2</v>
      </c>
      <c r="AA1164">
        <v>0.93710369999999998</v>
      </c>
      <c r="AB1164">
        <v>33</v>
      </c>
      <c r="AC1164">
        <v>-7.3957999999999799</v>
      </c>
      <c r="AD1164">
        <v>-1.11594680936</v>
      </c>
      <c r="AE1164">
        <v>-7.9602999999999602</v>
      </c>
      <c r="AF1164">
        <v>3.7698983876477499</v>
      </c>
      <c r="AG1164">
        <v>-1.11594680936</v>
      </c>
      <c r="AH1164">
        <v>10.0697708824889</v>
      </c>
      <c r="AI1164">
        <v>95.925319270958894</v>
      </c>
      <c r="AJ1164">
        <v>69.475216876795002</v>
      </c>
      <c r="AK1164">
        <v>10.810076630640999</v>
      </c>
      <c r="AL1164">
        <v>80.356248864677596</v>
      </c>
      <c r="AM1164">
        <v>76.2942475563041</v>
      </c>
      <c r="AN1164">
        <v>0.99999996454026396</v>
      </c>
    </row>
    <row r="1165" spans="1:40" x14ac:dyDescent="0.25">
      <c r="A1165" t="str">
        <f>"20190303162523363"</f>
        <v>20190303162523363</v>
      </c>
      <c r="B1165" t="str">
        <f>"1551601523353769"</f>
        <v>1551601523353769</v>
      </c>
      <c r="C1165" t="s">
        <v>40</v>
      </c>
      <c r="D1165">
        <v>5.2870949999999999</v>
      </c>
      <c r="E1165">
        <v>0.55305000000000004</v>
      </c>
      <c r="F1165" t="s">
        <v>46</v>
      </c>
      <c r="G1165">
        <v>-202.80160000000001</v>
      </c>
      <c r="H1165" s="1">
        <v>3.1591439999999999E-6</v>
      </c>
      <c r="I1165">
        <v>288.05079999999998</v>
      </c>
      <c r="J1165">
        <v>-195.60390000000001</v>
      </c>
      <c r="K1165">
        <v>1.1158760000000001</v>
      </c>
      <c r="L1165">
        <v>295.6198</v>
      </c>
      <c r="M1165">
        <v>-0.38645770000000002</v>
      </c>
      <c r="N1165">
        <v>-1.4785929999999999E-2</v>
      </c>
      <c r="O1165">
        <v>-0.92218889999999998</v>
      </c>
      <c r="P1165">
        <v>-0.59194369999999996</v>
      </c>
      <c r="Q1165">
        <v>0.15122149999999901</v>
      </c>
      <c r="R1165">
        <v>-0.79166630000000004</v>
      </c>
      <c r="S1165">
        <v>-2.1186069999999999</v>
      </c>
      <c r="T1165">
        <v>-0.32218790000000003</v>
      </c>
      <c r="U1165">
        <v>-2.2787169999999999</v>
      </c>
      <c r="V1165">
        <v>0.24206320000000001</v>
      </c>
      <c r="W1165">
        <v>0.16229649999999901</v>
      </c>
      <c r="X1165">
        <v>0.95659039999999995</v>
      </c>
      <c r="Y1165">
        <v>0.34176679999999998</v>
      </c>
      <c r="Z1165">
        <v>8.9494679999999993E-2</v>
      </c>
      <c r="AA1165">
        <v>0.93551390000000001</v>
      </c>
      <c r="AB1165">
        <v>33</v>
      </c>
      <c r="AC1165">
        <v>-7.1976999999999904</v>
      </c>
      <c r="AD1165">
        <v>-1.1158728408559999</v>
      </c>
      <c r="AE1165">
        <v>-7.5690000000000097</v>
      </c>
      <c r="AF1165">
        <v>3.6710461879827601</v>
      </c>
      <c r="AG1165">
        <v>-1.1158728408559999</v>
      </c>
      <c r="AH1165">
        <v>9.6525497838019394</v>
      </c>
      <c r="AI1165">
        <v>96.167066982530002</v>
      </c>
      <c r="AJ1165">
        <v>69.177249373682201</v>
      </c>
      <c r="AK1165">
        <v>10.3871781365314</v>
      </c>
      <c r="AL1165">
        <v>80.659781212488795</v>
      </c>
      <c r="AM1165">
        <v>75.799514963999499</v>
      </c>
      <c r="AN1165">
        <v>0.99999997003932395</v>
      </c>
    </row>
    <row r="1166" spans="1:40" x14ac:dyDescent="0.25">
      <c r="A1166" t="str">
        <f>"20190303162523407"</f>
        <v>20190303162523407</v>
      </c>
      <c r="B1166" t="str">
        <f>"1551601523403547"</f>
        <v>1551601523403547</v>
      </c>
      <c r="C1166" t="s">
        <v>40</v>
      </c>
      <c r="D1166">
        <v>5.2606029999999997</v>
      </c>
      <c r="E1166">
        <v>0.55265659999999905</v>
      </c>
      <c r="F1166" t="s">
        <v>46</v>
      </c>
      <c r="G1166">
        <v>-202.71600000000001</v>
      </c>
      <c r="H1166" s="1">
        <v>3.1106150000000001E-6</v>
      </c>
      <c r="I1166">
        <v>288.17149999999998</v>
      </c>
      <c r="J1166">
        <v>-195.86750000000001</v>
      </c>
      <c r="K1166">
        <v>1.1157269999999999</v>
      </c>
      <c r="L1166">
        <v>295.02719999999999</v>
      </c>
      <c r="M1166">
        <v>-0.39760679999999998</v>
      </c>
      <c r="N1166">
        <v>-1.479375E-2</v>
      </c>
      <c r="O1166">
        <v>-0.91743680000000005</v>
      </c>
      <c r="P1166">
        <v>-0.61712159999999905</v>
      </c>
      <c r="Q1166">
        <v>0.15425469999999999</v>
      </c>
      <c r="R1166">
        <v>-0.77159999999999995</v>
      </c>
      <c r="S1166">
        <v>-2.146957</v>
      </c>
      <c r="T1166">
        <v>-0.33685419999999999</v>
      </c>
      <c r="U1166">
        <v>-2.2484440000000001</v>
      </c>
      <c r="V1166">
        <v>0.26160549999999999</v>
      </c>
      <c r="W1166">
        <v>0.16490170000000001</v>
      </c>
      <c r="X1166">
        <v>0.95098369999999999</v>
      </c>
      <c r="Y1166">
        <v>0.34250979999999998</v>
      </c>
      <c r="Z1166">
        <v>9.4002840000000004E-2</v>
      </c>
      <c r="AA1166">
        <v>0.93479970000000001</v>
      </c>
      <c r="AB1166">
        <v>33</v>
      </c>
      <c r="AC1166">
        <v>-6.8484999999999703</v>
      </c>
      <c r="AD1166">
        <v>-1.1157238893849999</v>
      </c>
      <c r="AE1166">
        <v>-6.8557000000000103</v>
      </c>
      <c r="AF1166">
        <v>3.5110369422778098</v>
      </c>
      <c r="AG1166">
        <v>-1.1157238893849999</v>
      </c>
      <c r="AH1166">
        <v>8.8957383840766902</v>
      </c>
      <c r="AI1166">
        <v>96.654283574758097</v>
      </c>
      <c r="AJ1166">
        <v>68.461468984970793</v>
      </c>
      <c r="AK1166">
        <v>9.6284153216050701</v>
      </c>
      <c r="AL1166">
        <v>80.508475957385798</v>
      </c>
      <c r="AM1166">
        <v>74.618988736940295</v>
      </c>
      <c r="AN1166">
        <v>1.0000000029794101</v>
      </c>
    </row>
    <row r="1167" spans="1:40" x14ac:dyDescent="0.25">
      <c r="A1167" t="str">
        <f>"20190303162523432"</f>
        <v>20190303162523432</v>
      </c>
      <c r="B1167" t="str">
        <f>"1551601523424041"</f>
        <v>1551601523424041</v>
      </c>
      <c r="C1167" t="s">
        <v>40</v>
      </c>
      <c r="D1167">
        <v>5.2411529999999997</v>
      </c>
      <c r="E1167">
        <v>0.54960010000000004</v>
      </c>
      <c r="F1167" t="s">
        <v>46</v>
      </c>
      <c r="G1167">
        <v>-203.59379999999999</v>
      </c>
      <c r="H1167" s="1">
        <v>3.5655290000000002E-6</v>
      </c>
      <c r="I1167">
        <v>287.42079999999999</v>
      </c>
      <c r="J1167">
        <v>-196.02539999999999</v>
      </c>
      <c r="K1167">
        <v>1.1156159999999999</v>
      </c>
      <c r="L1167">
        <v>294.68180000000001</v>
      </c>
      <c r="M1167">
        <v>-0.40437089999999998</v>
      </c>
      <c r="N1167">
        <v>-1.480246E-2</v>
      </c>
      <c r="O1167">
        <v>-0.91447540000000005</v>
      </c>
      <c r="P1167">
        <v>-0.62744409999999995</v>
      </c>
      <c r="Q1167">
        <v>0.16316549999999999</v>
      </c>
      <c r="R1167">
        <v>-0.76137440000000001</v>
      </c>
      <c r="S1167">
        <v>-2.214874</v>
      </c>
      <c r="T1167">
        <v>-0.31984109999999899</v>
      </c>
      <c r="U1167">
        <v>-2.1805110000000001</v>
      </c>
      <c r="V1167">
        <v>0.2683102</v>
      </c>
      <c r="W1167">
        <v>0.1735921</v>
      </c>
      <c r="X1167">
        <v>0.94756289999999999</v>
      </c>
      <c r="Y1167">
        <v>0.3647089</v>
      </c>
      <c r="Z1167">
        <v>8.915178E-2</v>
      </c>
      <c r="AA1167">
        <v>0.9268438</v>
      </c>
      <c r="AB1167">
        <v>33</v>
      </c>
      <c r="AC1167">
        <v>-7.5683999999999898</v>
      </c>
      <c r="AD1167">
        <v>-1.1156124344709999</v>
      </c>
      <c r="AE1167">
        <v>-7.2610000000000197</v>
      </c>
      <c r="AF1167">
        <v>3.9408275568653499</v>
      </c>
      <c r="AG1167">
        <v>-1.1156124344709999</v>
      </c>
      <c r="AH1167">
        <v>9.5929719950946009</v>
      </c>
      <c r="AI1167">
        <v>96.139788036846298</v>
      </c>
      <c r="AJ1167">
        <v>67.666964408065596</v>
      </c>
      <c r="AK1167">
        <v>10.4307154421719</v>
      </c>
      <c r="AL1167">
        <v>80.003262714986107</v>
      </c>
      <c r="AM1167">
        <v>74.190095490259793</v>
      </c>
      <c r="AN1167">
        <v>1.0000000150314201</v>
      </c>
    </row>
    <row r="1168" spans="1:40" x14ac:dyDescent="0.25">
      <c r="A1168" t="str">
        <f>"20190303162523478"</f>
        <v>20190303162523478</v>
      </c>
      <c r="B1168" t="str">
        <f>"1551601523464056"</f>
        <v>1551601523464056</v>
      </c>
      <c r="C1168" t="s">
        <v>40</v>
      </c>
      <c r="D1168">
        <v>5.2321010000000001</v>
      </c>
      <c r="E1168">
        <v>0.54562940000000004</v>
      </c>
      <c r="F1168" t="s">
        <v>46</v>
      </c>
      <c r="G1168">
        <v>-207.6781</v>
      </c>
      <c r="H1168" s="1">
        <v>5.7283699999999997E-6</v>
      </c>
      <c r="I1168">
        <v>283.39839999999998</v>
      </c>
      <c r="J1168">
        <v>-196.30860000000001</v>
      </c>
      <c r="K1168">
        <v>1.1151390000000001</v>
      </c>
      <c r="L1168">
        <v>294.08069999999998</v>
      </c>
      <c r="M1168">
        <v>-0.4171569</v>
      </c>
      <c r="N1168">
        <v>-1.483538E-2</v>
      </c>
      <c r="O1168">
        <v>-0.90871349999999995</v>
      </c>
      <c r="P1168">
        <v>-0.65290689999999996</v>
      </c>
      <c r="Q1168">
        <v>0.16571</v>
      </c>
      <c r="R1168">
        <v>-0.73908940000000001</v>
      </c>
      <c r="S1168">
        <v>-2.2237550000000001</v>
      </c>
      <c r="T1168">
        <v>-0.21289910000000001</v>
      </c>
      <c r="U1168">
        <v>-2.1532900000000001</v>
      </c>
      <c r="V1168">
        <v>0.28764580000000001</v>
      </c>
      <c r="W1168">
        <v>0.1754646</v>
      </c>
      <c r="X1168">
        <v>0.94152650000000004</v>
      </c>
      <c r="Y1168">
        <v>0.36128939999999998</v>
      </c>
      <c r="Z1168">
        <v>5.5428119999999997E-2</v>
      </c>
      <c r="AA1168">
        <v>0.93080490000000005</v>
      </c>
      <c r="AB1168">
        <v>33</v>
      </c>
      <c r="AC1168">
        <v>-11.369499999999899</v>
      </c>
      <c r="AD1168">
        <v>-1.11513327163</v>
      </c>
      <c r="AE1168">
        <v>-10.6822999999999</v>
      </c>
      <c r="AF1168">
        <v>5.84619824184277</v>
      </c>
      <c r="AG1168">
        <v>-1.11513327163</v>
      </c>
      <c r="AH1168">
        <v>14.378140259825701</v>
      </c>
      <c r="AI1168">
        <v>94.109389981370697</v>
      </c>
      <c r="AJ1168">
        <v>67.873182299799694</v>
      </c>
      <c r="AK1168">
        <v>15.5612490959962</v>
      </c>
      <c r="AL1168">
        <v>79.8943043375983</v>
      </c>
      <c r="AM1168">
        <v>73.011561825290102</v>
      </c>
      <c r="AN1168">
        <v>1.00000004115652</v>
      </c>
    </row>
    <row r="1169" spans="1:40" x14ac:dyDescent="0.25">
      <c r="A1169" t="str">
        <f>"20190303162523502"</f>
        <v>20190303162523502</v>
      </c>
      <c r="B1169" t="str">
        <f>"1551601523494313"</f>
        <v>1551601523494313</v>
      </c>
      <c r="C1169" t="s">
        <v>40</v>
      </c>
      <c r="D1169">
        <v>5.2496980000000004</v>
      </c>
      <c r="E1169">
        <v>0.54318900000000003</v>
      </c>
      <c r="F1169" t="s">
        <v>46</v>
      </c>
      <c r="G1169">
        <v>-208.2552</v>
      </c>
      <c r="H1169" s="1">
        <v>6.0093479999999998E-6</v>
      </c>
      <c r="I1169">
        <v>283.11169999999998</v>
      </c>
      <c r="J1169">
        <v>-196.4676</v>
      </c>
      <c r="K1169">
        <v>1.1147260000000001</v>
      </c>
      <c r="L1169">
        <v>293.755</v>
      </c>
      <c r="M1169">
        <v>-0.4249076</v>
      </c>
      <c r="N1169">
        <v>-1.488125E-2</v>
      </c>
      <c r="O1169">
        <v>-0.90511459999999999</v>
      </c>
      <c r="P1169">
        <v>-0.66455410000000004</v>
      </c>
      <c r="Q1169">
        <v>0.17191960000000001</v>
      </c>
      <c r="R1169">
        <v>-0.72719469999999997</v>
      </c>
      <c r="S1169">
        <v>-2.2795869999999998</v>
      </c>
      <c r="T1169">
        <v>-0.21278420000000001</v>
      </c>
      <c r="U1169">
        <v>-2.093048</v>
      </c>
      <c r="V1169">
        <v>0.29544759999999998</v>
      </c>
      <c r="W1169">
        <v>0.18124170000000001</v>
      </c>
      <c r="X1169">
        <v>0.93800969999999995</v>
      </c>
      <c r="Y1169">
        <v>0.37794739999999999</v>
      </c>
      <c r="Z1169">
        <v>5.56274E-2</v>
      </c>
      <c r="AA1169">
        <v>0.92415440000000004</v>
      </c>
      <c r="AB1169">
        <v>33</v>
      </c>
      <c r="AC1169">
        <v>-11.7875999999999</v>
      </c>
      <c r="AD1169">
        <v>-1.114719990652</v>
      </c>
      <c r="AE1169">
        <v>-10.6433</v>
      </c>
      <c r="AF1169">
        <v>6.1172526986966798</v>
      </c>
      <c r="AG1169">
        <v>-1.114719990652</v>
      </c>
      <c r="AH1169">
        <v>14.571877432737001</v>
      </c>
      <c r="AI1169">
        <v>94.034669414896598</v>
      </c>
      <c r="AJ1169">
        <v>67.227407527560104</v>
      </c>
      <c r="AK1169">
        <v>15.8430739805121</v>
      </c>
      <c r="AL1169">
        <v>79.557906517508201</v>
      </c>
      <c r="AM1169">
        <v>72.516987211835797</v>
      </c>
      <c r="AN1169">
        <v>1.00000001772936</v>
      </c>
    </row>
    <row r="1170" spans="1:40" x14ac:dyDescent="0.25">
      <c r="A1170" t="str">
        <f>"20190303162523541"</f>
        <v>20190303162523541</v>
      </c>
      <c r="B1170" t="str">
        <f>"1551601523534328"</f>
        <v>1551601523534328</v>
      </c>
      <c r="C1170" t="s">
        <v>40</v>
      </c>
      <c r="D1170">
        <v>5.3324889999999998</v>
      </c>
      <c r="E1170">
        <v>0.57928259999999998</v>
      </c>
      <c r="F1170" t="s">
        <v>46</v>
      </c>
      <c r="G1170">
        <v>-209.38290000000001</v>
      </c>
      <c r="H1170" s="1">
        <v>6.592277E-6</v>
      </c>
      <c r="I1170">
        <v>282.16449999999998</v>
      </c>
      <c r="J1170">
        <v>-196.72470000000001</v>
      </c>
      <c r="K1170">
        <v>1.1138699999999999</v>
      </c>
      <c r="L1170">
        <v>293.24590000000001</v>
      </c>
      <c r="M1170">
        <v>-0.43846439999999998</v>
      </c>
      <c r="N1170">
        <v>-1.4978129999999999E-2</v>
      </c>
      <c r="O1170">
        <v>-0.89862399999999998</v>
      </c>
      <c r="P1170">
        <v>-0.6844462</v>
      </c>
      <c r="Q1170">
        <v>0.16517290000000001</v>
      </c>
      <c r="R1170">
        <v>-0.71010709999999999</v>
      </c>
      <c r="S1170">
        <v>-2.3035890000000001</v>
      </c>
      <c r="T1170">
        <v>-0.19882259999999999</v>
      </c>
      <c r="U1170">
        <v>-2.067291</v>
      </c>
      <c r="V1170">
        <v>0.30689909999999998</v>
      </c>
      <c r="W1170">
        <v>0.17373810000000001</v>
      </c>
      <c r="X1170">
        <v>0.93574990000000002</v>
      </c>
      <c r="Y1170">
        <v>0.37475320000000001</v>
      </c>
      <c r="Z1170">
        <v>5.0930719999999999E-2</v>
      </c>
      <c r="AA1170">
        <v>0.92572460000000001</v>
      </c>
      <c r="AB1170">
        <v>33</v>
      </c>
      <c r="AC1170">
        <v>-12.6581999999999</v>
      </c>
      <c r="AD1170">
        <v>-1.1138634077230001</v>
      </c>
      <c r="AE1170">
        <v>-11.0814</v>
      </c>
      <c r="AF1170">
        <v>6.4884493907973297</v>
      </c>
      <c r="AG1170">
        <v>-1.1138634077230001</v>
      </c>
      <c r="AH1170">
        <v>15.442225089923401</v>
      </c>
      <c r="AI1170">
        <v>93.804529619060403</v>
      </c>
      <c r="AJ1170">
        <v>67.209032238437004</v>
      </c>
      <c r="AK1170">
        <v>16.7869885004983</v>
      </c>
      <c r="AL1170">
        <v>79.9947676012344</v>
      </c>
      <c r="AM1170">
        <v>71.841994826679098</v>
      </c>
      <c r="AN1170">
        <v>0.99999993016121203</v>
      </c>
    </row>
    <row r="1171" spans="1:40" x14ac:dyDescent="0.25">
      <c r="A1171" t="str">
        <f>"20190303162523564"</f>
        <v>20190303162523564</v>
      </c>
      <c r="B1171" t="str">
        <f>"1551601523553849"</f>
        <v>1551601523553849</v>
      </c>
      <c r="C1171" t="s">
        <v>40</v>
      </c>
      <c r="D1171">
        <v>5.2527019999999904</v>
      </c>
      <c r="E1171">
        <v>0.59007949999999998</v>
      </c>
      <c r="F1171" t="s">
        <v>48</v>
      </c>
      <c r="G1171">
        <v>-210.55760000000001</v>
      </c>
      <c r="H1171" s="1">
        <v>-1.240086E-6</v>
      </c>
      <c r="I1171">
        <v>283.5444</v>
      </c>
      <c r="J1171">
        <v>-196.8852</v>
      </c>
      <c r="K1171">
        <v>1.113272</v>
      </c>
      <c r="L1171">
        <v>292.9402</v>
      </c>
      <c r="M1171">
        <v>-0.4476426</v>
      </c>
      <c r="N1171">
        <v>-1.505895E-2</v>
      </c>
      <c r="O1171">
        <v>-0.89408580000000004</v>
      </c>
      <c r="P1171">
        <v>-0.69855889999999998</v>
      </c>
      <c r="Q1171">
        <v>0.1599701</v>
      </c>
      <c r="R1171">
        <v>-0.6974418</v>
      </c>
      <c r="S1171">
        <v>-2.565903</v>
      </c>
      <c r="T1171">
        <v>-0.2066154</v>
      </c>
      <c r="U1171">
        <v>-1.799561</v>
      </c>
      <c r="V1171">
        <v>0.31570930000000003</v>
      </c>
      <c r="W1171">
        <v>0.16797999999999999</v>
      </c>
      <c r="X1171">
        <v>0.93386849999999999</v>
      </c>
      <c r="Y1171">
        <v>0.47348230000000002</v>
      </c>
      <c r="Z1171">
        <v>5.4512350000000001E-2</v>
      </c>
      <c r="AA1171">
        <v>0.87911489999999903</v>
      </c>
      <c r="AB1171">
        <v>33</v>
      </c>
      <c r="AC1171">
        <v>-13.6724</v>
      </c>
      <c r="AD1171">
        <v>-1.1132732400859999</v>
      </c>
      <c r="AE1171">
        <v>-9.3957999999999995</v>
      </c>
      <c r="AF1171">
        <v>7.9832961751875402</v>
      </c>
      <c r="AG1171">
        <v>-1.1132732400859999</v>
      </c>
      <c r="AH1171">
        <v>14.4575395846274</v>
      </c>
      <c r="AI1171">
        <v>93.856405993831999</v>
      </c>
      <c r="AJ1171">
        <v>61.092997553887898</v>
      </c>
      <c r="AK1171">
        <v>16.552729260424801</v>
      </c>
      <c r="AL1171">
        <v>80.329607380119199</v>
      </c>
      <c r="AM1171">
        <v>71.321346859059304</v>
      </c>
      <c r="AN1171">
        <v>1.0000000088993699</v>
      </c>
    </row>
    <row r="1172" spans="1:40" x14ac:dyDescent="0.25">
      <c r="A1172" t="str">
        <f>"20190303162523610"</f>
        <v>20190303162523610</v>
      </c>
      <c r="B1172" t="str">
        <f>"1551601523603625"</f>
        <v>1551601523603625</v>
      </c>
      <c r="C1172" t="s">
        <v>40</v>
      </c>
      <c r="D1172">
        <v>5.449554</v>
      </c>
      <c r="E1172">
        <v>0.59025819999999996</v>
      </c>
      <c r="F1172" t="s">
        <v>46</v>
      </c>
      <c r="G1172">
        <v>-208.8819</v>
      </c>
      <c r="H1172" s="1">
        <v>6.0951170000000001E-6</v>
      </c>
      <c r="I1172">
        <v>285.30970000000002</v>
      </c>
      <c r="J1172">
        <v>-197.2055</v>
      </c>
      <c r="K1172">
        <v>1.1121639999999999</v>
      </c>
      <c r="L1172">
        <v>292.35590000000002</v>
      </c>
      <c r="M1172">
        <v>-0.4672712</v>
      </c>
      <c r="N1172">
        <v>-1.524613E-2</v>
      </c>
      <c r="O1172">
        <v>-0.88398259999999995</v>
      </c>
      <c r="P1172">
        <v>-0.72142669999999998</v>
      </c>
      <c r="Q1172">
        <v>0.1714232</v>
      </c>
      <c r="R1172">
        <v>-0.67093789999999998</v>
      </c>
      <c r="S1172">
        <v>-2.6611479999999998</v>
      </c>
      <c r="T1172">
        <v>-0.24694820000000001</v>
      </c>
      <c r="U1172">
        <v>-1.6926270000000001</v>
      </c>
      <c r="V1172">
        <v>0.3282815</v>
      </c>
      <c r="W1172">
        <v>0.1783701</v>
      </c>
      <c r="X1172">
        <v>0.92758580000000002</v>
      </c>
      <c r="Y1172">
        <v>0.49282710000000002</v>
      </c>
      <c r="Z1172">
        <v>6.7099989999999998E-2</v>
      </c>
      <c r="AA1172">
        <v>0.86753619999999898</v>
      </c>
      <c r="AB1172">
        <v>32</v>
      </c>
      <c r="AC1172">
        <v>-11.676399999999999</v>
      </c>
      <c r="AD1172">
        <v>-1.1121579048829999</v>
      </c>
      <c r="AE1172">
        <v>-7.04619999999999</v>
      </c>
      <c r="AF1172">
        <v>6.9836209195483203</v>
      </c>
      <c r="AG1172">
        <v>-1.1121579048829999</v>
      </c>
      <c r="AH1172">
        <v>11.6089172827773</v>
      </c>
      <c r="AI1172">
        <v>94.693030986448804</v>
      </c>
      <c r="AJ1172">
        <v>58.969984908608602</v>
      </c>
      <c r="AK1172">
        <v>13.5931900903251</v>
      </c>
      <c r="AL1172">
        <v>79.725163155157304</v>
      </c>
      <c r="AM1172">
        <v>70.510640867976093</v>
      </c>
      <c r="AN1172">
        <v>1.0000000260889399</v>
      </c>
    </row>
    <row r="1173" spans="1:40" x14ac:dyDescent="0.25">
      <c r="A1173" t="str">
        <f>"20190303162523632"</f>
        <v>20190303162523632</v>
      </c>
      <c r="B1173" t="str">
        <f>"1551601523624120"</f>
        <v>1551601523624120</v>
      </c>
      <c r="C1173" t="s">
        <v>40</v>
      </c>
      <c r="D1173">
        <v>5.3242520000000004</v>
      </c>
      <c r="E1173">
        <v>0.59135590000000005</v>
      </c>
      <c r="F1173" t="s">
        <v>46</v>
      </c>
      <c r="G1173">
        <v>-209.13910000000001</v>
      </c>
      <c r="H1173" s="1">
        <v>6.2114749999999997E-6</v>
      </c>
      <c r="I1173">
        <v>285.28359999999998</v>
      </c>
      <c r="J1173">
        <v>-197.3741</v>
      </c>
      <c r="K1173">
        <v>1.111577</v>
      </c>
      <c r="L1173">
        <v>292.06229999999999</v>
      </c>
      <c r="M1173">
        <v>-0.47822369999999997</v>
      </c>
      <c r="N1173">
        <v>-1.535713E-2</v>
      </c>
      <c r="O1173">
        <v>-0.878104</v>
      </c>
      <c r="P1173">
        <v>-0.72907979999999994</v>
      </c>
      <c r="Q1173">
        <v>0.17427879999999901</v>
      </c>
      <c r="R1173">
        <v>-0.66186849999999997</v>
      </c>
      <c r="S1173">
        <v>-2.7196660000000001</v>
      </c>
      <c r="T1173">
        <v>-0.25346030000000003</v>
      </c>
      <c r="U1173">
        <v>-1.6117859999999999</v>
      </c>
      <c r="V1173">
        <v>0.3280767</v>
      </c>
      <c r="W1173">
        <v>0.1808604</v>
      </c>
      <c r="X1173">
        <v>0.92717590000000005</v>
      </c>
      <c r="Y1173">
        <v>0.50911740000000005</v>
      </c>
      <c r="Z1173">
        <v>6.9247699999999995E-2</v>
      </c>
      <c r="AA1173">
        <v>0.85790689999999903</v>
      </c>
      <c r="AB1173">
        <v>32</v>
      </c>
      <c r="AC1173">
        <v>-11.765000000000001</v>
      </c>
      <c r="AD1173">
        <v>-1.1115707885249999</v>
      </c>
      <c r="AE1173">
        <v>-6.7787000000000104</v>
      </c>
      <c r="AF1173">
        <v>7.0427937040287896</v>
      </c>
      <c r="AG1173">
        <v>-1.1115707885249999</v>
      </c>
      <c r="AH1173">
        <v>11.502977801127001</v>
      </c>
      <c r="AI1173">
        <v>94.711290085058707</v>
      </c>
      <c r="AJ1173">
        <v>58.522601876174797</v>
      </c>
      <c r="AK1173">
        <v>13.5334781585751</v>
      </c>
      <c r="AL1173">
        <v>79.580120088824899</v>
      </c>
      <c r="AM1173">
        <v>70.513921291627199</v>
      </c>
      <c r="AN1173">
        <v>0.99999997745592895</v>
      </c>
    </row>
    <row r="1174" spans="1:40" x14ac:dyDescent="0.25">
      <c r="A1174" t="str">
        <f>"20190303162523676"</f>
        <v>20190303162523676</v>
      </c>
      <c r="B1174" t="str">
        <f>"1551601523664138"</f>
        <v>1551601523664138</v>
      </c>
      <c r="C1174" t="s">
        <v>40</v>
      </c>
      <c r="D1174">
        <v>5.1929610000000004</v>
      </c>
      <c r="E1174">
        <v>0.59326309999999904</v>
      </c>
      <c r="F1174" t="s">
        <v>48</v>
      </c>
      <c r="G1174">
        <v>-210.83690000000001</v>
      </c>
      <c r="H1174" s="1">
        <v>-1.091414E-6</v>
      </c>
      <c r="I1174">
        <v>284.39800000000002</v>
      </c>
      <c r="J1174">
        <v>-197.70570000000001</v>
      </c>
      <c r="K1174">
        <v>1.110393</v>
      </c>
      <c r="L1174">
        <v>291.512</v>
      </c>
      <c r="M1174">
        <v>-0.50070340000000002</v>
      </c>
      <c r="N1174">
        <v>-1.559344E-2</v>
      </c>
      <c r="O1174">
        <v>-0.86547830000000003</v>
      </c>
      <c r="P1174">
        <v>-0.74913629999999998</v>
      </c>
      <c r="Q1174">
        <v>0.1608579</v>
      </c>
      <c r="R1174">
        <v>-0.6425883</v>
      </c>
      <c r="S1174">
        <v>-2.7485499999999998</v>
      </c>
      <c r="T1174">
        <v>-0.22693720000000001</v>
      </c>
      <c r="U1174">
        <v>-1.5647279999999999</v>
      </c>
      <c r="V1174">
        <v>0.3311482</v>
      </c>
      <c r="W1174">
        <v>0.16672100000000001</v>
      </c>
      <c r="X1174">
        <v>0.92873300000000003</v>
      </c>
      <c r="Y1174">
        <v>0.50247619999999904</v>
      </c>
      <c r="Z1174">
        <v>6.027681E-2</v>
      </c>
      <c r="AA1174">
        <v>0.86248740000000002</v>
      </c>
      <c r="AB1174">
        <v>32</v>
      </c>
      <c r="AC1174">
        <v>-13.1312</v>
      </c>
      <c r="AD1174">
        <v>-1.110394091414</v>
      </c>
      <c r="AE1174">
        <v>-7.1140000000000301</v>
      </c>
      <c r="AF1174">
        <v>7.7608118917837201</v>
      </c>
      <c r="AG1174">
        <v>-1.110394091414</v>
      </c>
      <c r="AH1174">
        <v>12.6633943522145</v>
      </c>
      <c r="AI1174">
        <v>94.275608569852196</v>
      </c>
      <c r="AJ1174">
        <v>58.497783547431702</v>
      </c>
      <c r="AK1174">
        <v>14.8937816815474</v>
      </c>
      <c r="AL1174">
        <v>80.4027745648078</v>
      </c>
      <c r="AM1174">
        <v>70.375844812037002</v>
      </c>
      <c r="AN1174">
        <v>1.0000000037466199</v>
      </c>
    </row>
    <row r="1175" spans="1:40" x14ac:dyDescent="0.25">
      <c r="A1175" t="str">
        <f>"20190303162523699"</f>
        <v>20190303162523699</v>
      </c>
      <c r="B1175" t="str">
        <f>"1551601523684633"</f>
        <v>1551601523684633</v>
      </c>
      <c r="C1175" t="s">
        <v>40</v>
      </c>
      <c r="D1175">
        <v>5.2268540000000003</v>
      </c>
      <c r="E1175">
        <v>0.59364939999999999</v>
      </c>
      <c r="F1175" t="s">
        <v>48</v>
      </c>
      <c r="G1175">
        <v>-211.20160000000001</v>
      </c>
      <c r="H1175" s="1">
        <v>-8.9735830000000001E-7</v>
      </c>
      <c r="I1175">
        <v>284.47890000000001</v>
      </c>
      <c r="J1175">
        <v>-197.8742</v>
      </c>
      <c r="K1175">
        <v>1.109834</v>
      </c>
      <c r="L1175">
        <v>291.24579999999997</v>
      </c>
      <c r="M1175">
        <v>-0.5124495</v>
      </c>
      <c r="N1175">
        <v>-1.5720870000000001E-2</v>
      </c>
      <c r="O1175">
        <v>-0.85857359999999905</v>
      </c>
      <c r="P1175">
        <v>-0.75824399999999903</v>
      </c>
      <c r="Q1175">
        <v>0.1528484</v>
      </c>
      <c r="R1175">
        <v>-0.63380150000000002</v>
      </c>
      <c r="S1175">
        <v>-2.8017270000000001</v>
      </c>
      <c r="T1175">
        <v>-0.23051550000000001</v>
      </c>
      <c r="U1175">
        <v>-1.4600519999999999</v>
      </c>
      <c r="V1175">
        <v>0.33074409999999999</v>
      </c>
      <c r="W1175">
        <v>0.15845119999999999</v>
      </c>
      <c r="X1175">
        <v>0.93032340000000002</v>
      </c>
      <c r="Y1175">
        <v>0.5224782</v>
      </c>
      <c r="Z1175">
        <v>6.1845440000000002E-2</v>
      </c>
      <c r="AA1175">
        <v>0.85040680000000002</v>
      </c>
      <c r="AB1175">
        <v>32</v>
      </c>
      <c r="AC1175">
        <v>-13.327400000000001</v>
      </c>
      <c r="AD1175">
        <v>-1.1098348973583001</v>
      </c>
      <c r="AE1175">
        <v>-6.7668999999999597</v>
      </c>
      <c r="AF1175">
        <v>7.9321116256053203</v>
      </c>
      <c r="AG1175">
        <v>-1.1098348973583001</v>
      </c>
      <c r="AH1175">
        <v>12.5717496241419</v>
      </c>
      <c r="AI1175">
        <v>94.269843954292398</v>
      </c>
      <c r="AJ1175">
        <v>57.750233590217498</v>
      </c>
      <c r="AK1175">
        <v>14.9063415012729</v>
      </c>
      <c r="AL1175">
        <v>80.882990569839606</v>
      </c>
      <c r="AM1175">
        <v>70.428927422540298</v>
      </c>
      <c r="AN1175">
        <v>1.0000000355269001</v>
      </c>
    </row>
    <row r="1176" spans="1:40" x14ac:dyDescent="0.25">
      <c r="A1176" t="str">
        <f>"20190303162523742"</f>
        <v>20190303162523742</v>
      </c>
      <c r="B1176" t="str">
        <f>"1551601523734410"</f>
        <v>1551601523734410</v>
      </c>
      <c r="C1176" t="s">
        <v>40</v>
      </c>
      <c r="D1176">
        <v>5.2885910000000003</v>
      </c>
      <c r="E1176">
        <v>0.59276319999999905</v>
      </c>
      <c r="F1176" t="s">
        <v>48</v>
      </c>
      <c r="G1176">
        <v>-210.91839999999999</v>
      </c>
      <c r="H1176" s="1">
        <v>-1.048079E-6</v>
      </c>
      <c r="I1176">
        <v>284.69779999999997</v>
      </c>
      <c r="J1176">
        <v>-198.22980000000001</v>
      </c>
      <c r="K1176">
        <v>1.108822</v>
      </c>
      <c r="L1176">
        <v>290.7131</v>
      </c>
      <c r="M1176">
        <v>-0.53762319999999997</v>
      </c>
      <c r="N1176">
        <v>-1.598751E-2</v>
      </c>
      <c r="O1176">
        <v>-0.8430337</v>
      </c>
      <c r="P1176">
        <v>-0.77721309999999999</v>
      </c>
      <c r="Q1176">
        <v>0.14936849999999999</v>
      </c>
      <c r="R1176">
        <v>-0.61125220000000002</v>
      </c>
      <c r="S1176">
        <v>-2.8211520000000001</v>
      </c>
      <c r="T1176">
        <v>-0.24003169999999999</v>
      </c>
      <c r="U1176">
        <v>-1.4161680000000001</v>
      </c>
      <c r="V1176">
        <v>0.33140049999999999</v>
      </c>
      <c r="W1176">
        <v>0.15443099999999901</v>
      </c>
      <c r="X1176">
        <v>0.93076570000000003</v>
      </c>
      <c r="Y1176">
        <v>0.50995489999999999</v>
      </c>
      <c r="Z1176">
        <v>6.4059459999999999E-2</v>
      </c>
      <c r="AA1176">
        <v>0.85781249999999998</v>
      </c>
      <c r="AB1176">
        <v>32</v>
      </c>
      <c r="AC1176">
        <v>-12.6885999999999</v>
      </c>
      <c r="AD1176">
        <v>-1.108823048079</v>
      </c>
      <c r="AE1176">
        <v>-6.0153000000000203</v>
      </c>
      <c r="AF1176">
        <v>7.41765532593055</v>
      </c>
      <c r="AG1176">
        <v>-1.108823048079</v>
      </c>
      <c r="AH1176">
        <v>11.820601722978401</v>
      </c>
      <c r="AI1176">
        <v>94.542936532777404</v>
      </c>
      <c r="AJ1176">
        <v>57.890936829917997</v>
      </c>
      <c r="AK1176">
        <v>13.999204412377701</v>
      </c>
      <c r="AL1176">
        <v>81.116202440698402</v>
      </c>
      <c r="AM1176">
        <v>70.401653003472006</v>
      </c>
      <c r="AN1176">
        <v>1.0000000067288699</v>
      </c>
    </row>
    <row r="1177" spans="1:40" x14ac:dyDescent="0.25">
      <c r="A1177" t="str">
        <f>"20190303162523789"</f>
        <v>20190303162523789</v>
      </c>
      <c r="B1177" t="str">
        <f>"1551601523774426"</f>
        <v>1551601523774426</v>
      </c>
      <c r="C1177" t="s">
        <v>40</v>
      </c>
      <c r="D1177">
        <v>5.2804419999999999</v>
      </c>
      <c r="E1177">
        <v>0.59178889999999995</v>
      </c>
      <c r="F1177" t="s">
        <v>48</v>
      </c>
      <c r="G1177">
        <v>-212.21100000000001</v>
      </c>
      <c r="H1177" s="1">
        <v>-3.6021420000000001E-7</v>
      </c>
      <c r="I1177">
        <v>284.21289999999999</v>
      </c>
      <c r="J1177">
        <v>-198.619</v>
      </c>
      <c r="K1177">
        <v>1.1079650000000001</v>
      </c>
      <c r="L1177">
        <v>290.17009999999999</v>
      </c>
      <c r="M1177">
        <v>-0.56522519999999998</v>
      </c>
      <c r="N1177">
        <v>-1.6262809999999999E-2</v>
      </c>
      <c r="O1177">
        <v>-0.82477659999999997</v>
      </c>
      <c r="P1177">
        <v>-0.80396840000000003</v>
      </c>
      <c r="Q1177">
        <v>0.1567935</v>
      </c>
      <c r="R1177">
        <v>-0.57362990000000003</v>
      </c>
      <c r="S1177">
        <v>-2.8583530000000001</v>
      </c>
      <c r="T1177">
        <v>-0.2266899</v>
      </c>
      <c r="U1177">
        <v>-1.328918</v>
      </c>
      <c r="V1177">
        <v>0.3442385</v>
      </c>
      <c r="W1177">
        <v>0.16091820000000001</v>
      </c>
      <c r="X1177">
        <v>0.92498930000000001</v>
      </c>
      <c r="Y1177">
        <v>0.50756520000000005</v>
      </c>
      <c r="Z1177">
        <v>5.9385830000000001E-2</v>
      </c>
      <c r="AA1177">
        <v>0.85956440000000001</v>
      </c>
      <c r="AB1177">
        <v>32</v>
      </c>
      <c r="AC1177">
        <v>-13.591999999999899</v>
      </c>
      <c r="AD1177">
        <v>-1.1079653602141999</v>
      </c>
      <c r="AE1177">
        <v>-5.9572000000000003</v>
      </c>
      <c r="AF1177">
        <v>7.8007574467477596</v>
      </c>
      <c r="AG1177">
        <v>-1.1079653602141999</v>
      </c>
      <c r="AH1177">
        <v>12.527732483475001</v>
      </c>
      <c r="AI1177">
        <v>94.293485486573402</v>
      </c>
      <c r="AJ1177">
        <v>58.090340166934297</v>
      </c>
      <c r="AK1177">
        <v>14.7994420556973</v>
      </c>
      <c r="AL1177">
        <v>80.7398042413556</v>
      </c>
      <c r="AM1177">
        <v>69.587046661906896</v>
      </c>
      <c r="AN1177">
        <v>1.00000000854399</v>
      </c>
    </row>
    <row r="1178" spans="1:40" x14ac:dyDescent="0.25">
      <c r="A1178" t="str">
        <f>"20190303162523834"</f>
        <v>20190303162523834</v>
      </c>
      <c r="B1178" t="str">
        <f>"1551601523824200"</f>
        <v>1551601523824200</v>
      </c>
      <c r="C1178" t="s">
        <v>40</v>
      </c>
      <c r="D1178">
        <v>5.3910460000000002</v>
      </c>
      <c r="E1178">
        <v>0.59017619999999904</v>
      </c>
      <c r="F1178" t="s">
        <v>48</v>
      </c>
      <c r="G1178">
        <v>-214.94139999999999</v>
      </c>
      <c r="H1178" s="1">
        <v>1.092794E-6</v>
      </c>
      <c r="I1178">
        <v>283.41539999999998</v>
      </c>
      <c r="J1178">
        <v>-199.0273</v>
      </c>
      <c r="K1178">
        <v>1.1071850000000001</v>
      </c>
      <c r="L1178">
        <v>289.64100000000002</v>
      </c>
      <c r="M1178">
        <v>-0.5938795</v>
      </c>
      <c r="N1178">
        <v>-1.6525990000000001E-2</v>
      </c>
      <c r="O1178">
        <v>-0.8043844</v>
      </c>
      <c r="P1178">
        <v>-0.82422779999999995</v>
      </c>
      <c r="Q1178">
        <v>0.1648646</v>
      </c>
      <c r="R1178">
        <v>-0.54172749999999903</v>
      </c>
      <c r="S1178">
        <v>-2.9106139999999998</v>
      </c>
      <c r="T1178">
        <v>-0.19757160000000001</v>
      </c>
      <c r="U1178">
        <v>-1.2044979999999901</v>
      </c>
      <c r="V1178">
        <v>0.347232599999999</v>
      </c>
      <c r="W1178">
        <v>0.1684599</v>
      </c>
      <c r="X1178">
        <v>0.92252420000000002</v>
      </c>
      <c r="Y1178">
        <v>0.51463409999999998</v>
      </c>
      <c r="Z1178">
        <v>5.0135699999999998E-2</v>
      </c>
      <c r="AA1178">
        <v>0.8559428</v>
      </c>
      <c r="AB1178">
        <v>32</v>
      </c>
      <c r="AC1178">
        <v>-15.9140999999999</v>
      </c>
      <c r="AD1178">
        <v>-1.1071839072059999</v>
      </c>
      <c r="AE1178">
        <v>-6.2255999999999796</v>
      </c>
      <c r="AF1178">
        <v>9.0669776781766398</v>
      </c>
      <c r="AG1178">
        <v>-1.1071839072059999</v>
      </c>
      <c r="AH1178">
        <v>14.400355191585099</v>
      </c>
      <c r="AI1178">
        <v>93.722598347944896</v>
      </c>
      <c r="AJ1178">
        <v>57.804017121050499</v>
      </c>
      <c r="AK1178">
        <v>17.053039906853598</v>
      </c>
      <c r="AL1178">
        <v>80.301714116050704</v>
      </c>
      <c r="AM1178">
        <v>69.373962172157206</v>
      </c>
      <c r="AN1178">
        <v>1.0000000579982</v>
      </c>
    </row>
    <row r="1179" spans="1:40" x14ac:dyDescent="0.25">
      <c r="A1179" t="str">
        <f>"20190303162523854"</f>
        <v>20190303162523854</v>
      </c>
      <c r="B1179" t="str">
        <f>"1551601523843721"</f>
        <v>1551601523843721</v>
      </c>
      <c r="C1179" t="s">
        <v>40</v>
      </c>
      <c r="D1179">
        <v>5.8329979999999999</v>
      </c>
      <c r="E1179">
        <v>0.58999799999999902</v>
      </c>
      <c r="F1179" t="s">
        <v>48</v>
      </c>
      <c r="G1179">
        <v>-219.15100000000001</v>
      </c>
      <c r="H1179" s="1">
        <v>3.3329389999999999E-6</v>
      </c>
      <c r="I1179">
        <v>282.12020000000001</v>
      </c>
      <c r="J1179">
        <v>-199.21299999999999</v>
      </c>
      <c r="K1179">
        <v>1.1068579999999999</v>
      </c>
      <c r="L1179">
        <v>289.41340000000002</v>
      </c>
      <c r="M1179">
        <v>-0.60674609999999995</v>
      </c>
      <c r="N1179">
        <v>-1.6643479999999999E-2</v>
      </c>
      <c r="O1179">
        <v>-0.79472140000000002</v>
      </c>
      <c r="P1179">
        <v>-0.83377380000000001</v>
      </c>
      <c r="Q1179">
        <v>0.16535169999999999</v>
      </c>
      <c r="R1179">
        <v>-0.52676400000000001</v>
      </c>
      <c r="S1179">
        <v>-2.9480740000000001</v>
      </c>
      <c r="T1179">
        <v>-0.16219909999999901</v>
      </c>
      <c r="U1179">
        <v>-1.1017760000000001</v>
      </c>
      <c r="V1179">
        <v>0.34911310000000001</v>
      </c>
      <c r="W1179">
        <v>0.16871559999999999</v>
      </c>
      <c r="X1179">
        <v>0.92176740000000001</v>
      </c>
      <c r="Y1179">
        <v>0.53102069999999901</v>
      </c>
      <c r="Z1179">
        <v>3.9590790000000001E-2</v>
      </c>
      <c r="AA1179">
        <v>0.84643349999999995</v>
      </c>
      <c r="AB1179">
        <v>32</v>
      </c>
      <c r="AC1179">
        <v>-19.937999999999899</v>
      </c>
      <c r="AD1179">
        <v>-1.106854667061</v>
      </c>
      <c r="AE1179">
        <v>-7.2932000000000103</v>
      </c>
      <c r="AF1179">
        <v>11.3906550529539</v>
      </c>
      <c r="AG1179">
        <v>-1.106854667061</v>
      </c>
      <c r="AH1179">
        <v>17.847332783693599</v>
      </c>
      <c r="AI1179">
        <v>92.992582522505501</v>
      </c>
      <c r="AJ1179">
        <v>57.452869489567597</v>
      </c>
      <c r="AK1179">
        <v>21.201401776328002</v>
      </c>
      <c r="AL1179">
        <v>80.286850519084496</v>
      </c>
      <c r="AM1179">
        <v>69.256160342627695</v>
      </c>
      <c r="AN1179">
        <v>1.0000000249888601</v>
      </c>
    </row>
    <row r="1180" spans="1:40" x14ac:dyDescent="0.25">
      <c r="A1180" t="str">
        <f>"20190303162523876"</f>
        <v>20190303162523876</v>
      </c>
      <c r="B1180" t="str">
        <f>"1551601523864003"</f>
        <v>1551601523864003</v>
      </c>
      <c r="C1180" t="s">
        <v>40</v>
      </c>
      <c r="D1180">
        <v>5.716431</v>
      </c>
      <c r="E1180">
        <v>0.59044859999999999</v>
      </c>
      <c r="F1180" t="s">
        <v>48</v>
      </c>
      <c r="G1180">
        <v>-220.17179999999999</v>
      </c>
      <c r="H1180" s="1">
        <v>-1.445339E-6</v>
      </c>
      <c r="I1180">
        <v>282.00229999999999</v>
      </c>
      <c r="J1180">
        <v>-199.41909999999999</v>
      </c>
      <c r="K1180">
        <v>1.1064929999999999</v>
      </c>
      <c r="L1180">
        <v>289.16950000000003</v>
      </c>
      <c r="M1180">
        <v>-0.62088909999999997</v>
      </c>
      <c r="N1180">
        <v>-1.6771879999999999E-2</v>
      </c>
      <c r="O1180">
        <v>-0.7837189</v>
      </c>
      <c r="P1180">
        <v>-0.84563600000000005</v>
      </c>
      <c r="Q1180">
        <v>0.1620789</v>
      </c>
      <c r="R1180">
        <v>-0.5085575</v>
      </c>
      <c r="S1180">
        <v>-2.9664760000000001</v>
      </c>
      <c r="T1180">
        <v>-0.15666260000000001</v>
      </c>
      <c r="U1180">
        <v>-1.04895</v>
      </c>
      <c r="V1180">
        <v>0.35311330000000002</v>
      </c>
      <c r="W1180">
        <v>0.16512360000000001</v>
      </c>
      <c r="X1180">
        <v>0.92089370000000004</v>
      </c>
      <c r="Y1180">
        <v>0.53096730000000003</v>
      </c>
      <c r="Z1180">
        <v>3.7728190000000002E-2</v>
      </c>
      <c r="AA1180">
        <v>0.84655199999999997</v>
      </c>
      <c r="AB1180">
        <v>32</v>
      </c>
      <c r="AC1180">
        <v>-20.752700000000001</v>
      </c>
      <c r="AD1180">
        <v>-1.106494445339</v>
      </c>
      <c r="AE1180">
        <v>-7.1672000000000304</v>
      </c>
      <c r="AF1180">
        <v>11.785974633475901</v>
      </c>
      <c r="AG1180">
        <v>-1.106494445339</v>
      </c>
      <c r="AH1180">
        <v>18.457918425384101</v>
      </c>
      <c r="AI1180">
        <v>92.892419947576698</v>
      </c>
      <c r="AJ1180">
        <v>57.440459499505401</v>
      </c>
      <c r="AK1180">
        <v>21.927796985028799</v>
      </c>
      <c r="AL1180">
        <v>80.495585343787496</v>
      </c>
      <c r="AM1180">
        <v>69.020862546576794</v>
      </c>
      <c r="AN1180">
        <v>1.00000000630677</v>
      </c>
    </row>
    <row r="1181" spans="1:40" x14ac:dyDescent="0.25">
      <c r="A1181" t="str">
        <f>"20190303162523919"</f>
        <v>20190303162523919</v>
      </c>
      <c r="B1181" t="str">
        <f>"1551601523913763"</f>
        <v>1551601523913763</v>
      </c>
      <c r="C1181" t="s">
        <v>40</v>
      </c>
      <c r="D1181">
        <v>5.705565</v>
      </c>
      <c r="E1181">
        <v>0.60165000000000002</v>
      </c>
      <c r="F1181" t="s">
        <v>48</v>
      </c>
      <c r="G1181">
        <v>-218.95359999999999</v>
      </c>
      <c r="H1181" s="1">
        <v>3.2278779999999999E-6</v>
      </c>
      <c r="I1181">
        <v>282.76260000000002</v>
      </c>
      <c r="J1181">
        <v>-199.8279</v>
      </c>
      <c r="K1181">
        <v>1.105799</v>
      </c>
      <c r="L1181">
        <v>288.7124</v>
      </c>
      <c r="M1181">
        <v>-0.64845869999999906</v>
      </c>
      <c r="N1181">
        <v>-1.7027779999999999E-2</v>
      </c>
      <c r="O1181">
        <v>-0.76105940000000005</v>
      </c>
      <c r="P1181">
        <v>-0.86996890000000004</v>
      </c>
      <c r="Q1181">
        <v>0.1477338</v>
      </c>
      <c r="R1181">
        <v>-0.47045609999999999</v>
      </c>
      <c r="S1181">
        <v>-2.9902799999999998</v>
      </c>
      <c r="T1181">
        <v>-0.16937769999999999</v>
      </c>
      <c r="U1181">
        <v>-0.98074340000000004</v>
      </c>
      <c r="V1181">
        <v>0.36287540000000001</v>
      </c>
      <c r="W1181">
        <v>0.15010519999999999</v>
      </c>
      <c r="X1181">
        <v>0.91966829999999999</v>
      </c>
      <c r="Y1181">
        <v>0.51995769999999997</v>
      </c>
      <c r="Z1181">
        <v>4.0852800000000002E-2</v>
      </c>
      <c r="AA1181">
        <v>0.85321460000000005</v>
      </c>
      <c r="AB1181">
        <v>32</v>
      </c>
      <c r="AC1181">
        <v>-19.125699999999899</v>
      </c>
      <c r="AD1181">
        <v>-1.105795772122</v>
      </c>
      <c r="AE1181">
        <v>-5.9497999999999802</v>
      </c>
      <c r="AF1181">
        <v>10.6666346092944</v>
      </c>
      <c r="AG1181">
        <v>-1.105795772122</v>
      </c>
      <c r="AH1181">
        <v>16.8813800820983</v>
      </c>
      <c r="AI1181">
        <v>93.169563635386993</v>
      </c>
      <c r="AJ1181">
        <v>57.712928778519803</v>
      </c>
      <c r="AK1181">
        <v>19.999521785635402</v>
      </c>
      <c r="AL1181">
        <v>81.366976504639894</v>
      </c>
      <c r="AM1181">
        <v>68.467193907658995</v>
      </c>
      <c r="AN1181">
        <v>0.99999995450854395</v>
      </c>
    </row>
    <row r="1182" spans="1:40" x14ac:dyDescent="0.25">
      <c r="A1182" t="str">
        <f>"20190303162523943"</f>
        <v>20190303162523943</v>
      </c>
      <c r="B1182" t="str">
        <f>"1551601523934259"</f>
        <v>1551601523934259</v>
      </c>
      <c r="C1182" t="s">
        <v>40</v>
      </c>
      <c r="D1182">
        <v>5.739668</v>
      </c>
      <c r="E1182">
        <v>0.60028300000000001</v>
      </c>
      <c r="F1182" t="s">
        <v>46</v>
      </c>
      <c r="G1182">
        <v>-206.8871</v>
      </c>
      <c r="H1182" s="1">
        <v>5.0697589999999997E-6</v>
      </c>
      <c r="I1182">
        <v>286.91989999999998</v>
      </c>
      <c r="J1182">
        <v>-200.06100000000001</v>
      </c>
      <c r="K1182">
        <v>1.1054580000000001</v>
      </c>
      <c r="L1182">
        <v>288.46690000000001</v>
      </c>
      <c r="M1182">
        <v>-0.66382839999999999</v>
      </c>
      <c r="N1182">
        <v>-1.7179360000000001E-2</v>
      </c>
      <c r="O1182">
        <v>-0.74768769999999996</v>
      </c>
      <c r="P1182">
        <v>-0.88240490000000005</v>
      </c>
      <c r="Q1182">
        <v>0.14110729999999999</v>
      </c>
      <c r="R1182">
        <v>-0.44883250000000002</v>
      </c>
      <c r="S1182">
        <v>-3.1046749999999999</v>
      </c>
      <c r="T1182">
        <v>-0.48632880000000001</v>
      </c>
      <c r="U1182">
        <v>-0.78833009999999903</v>
      </c>
      <c r="V1182">
        <v>0.36752950000000001</v>
      </c>
      <c r="W1182">
        <v>0.14315729999999999</v>
      </c>
      <c r="X1182">
        <v>0.91892770000000001</v>
      </c>
      <c r="Y1182">
        <v>0.55002139999999999</v>
      </c>
      <c r="Z1182">
        <v>0.13340759999999999</v>
      </c>
      <c r="AA1182">
        <v>0.8244264</v>
      </c>
      <c r="AB1182">
        <v>31</v>
      </c>
      <c r="AC1182">
        <v>-6.8261000000000198</v>
      </c>
      <c r="AD1182">
        <v>-1.1054529302410001</v>
      </c>
      <c r="AE1182">
        <v>-1.5470000000000199</v>
      </c>
      <c r="AF1182">
        <v>3.9782133810549798</v>
      </c>
      <c r="AG1182">
        <v>-1.1054529302410001</v>
      </c>
      <c r="AH1182">
        <v>5.55041591859219</v>
      </c>
      <c r="AI1182">
        <v>99.195252384795893</v>
      </c>
      <c r="AJ1182">
        <v>54.369260431854897</v>
      </c>
      <c r="AK1182">
        <v>6.9177543144827602</v>
      </c>
      <c r="AL1182">
        <v>81.769413224679596</v>
      </c>
      <c r="AM1182">
        <v>68.200825498383196</v>
      </c>
      <c r="AN1182">
        <v>1.0000000318704101</v>
      </c>
    </row>
    <row r="1183" spans="1:40" x14ac:dyDescent="0.25">
      <c r="A1183" t="str">
        <f>"20190303162523966"</f>
        <v>20190303162523966</v>
      </c>
      <c r="B1183" t="str">
        <f>"1551601523953779"</f>
        <v>1551601523953779</v>
      </c>
      <c r="C1183" t="s">
        <v>40</v>
      </c>
      <c r="D1183">
        <v>5.7533729999999998</v>
      </c>
      <c r="E1183">
        <v>0.59884190000000004</v>
      </c>
      <c r="F1183" t="s">
        <v>46</v>
      </c>
      <c r="G1183">
        <v>-206.80420000000001</v>
      </c>
      <c r="H1183" s="1">
        <v>5.0347180000000003E-6</v>
      </c>
      <c r="I1183">
        <v>286.90010000000001</v>
      </c>
      <c r="J1183">
        <v>-200.29480000000001</v>
      </c>
      <c r="K1183">
        <v>1.105154</v>
      </c>
      <c r="L1183">
        <v>288.23039999999997</v>
      </c>
      <c r="M1183">
        <v>-0.67893579999999998</v>
      </c>
      <c r="N1183">
        <v>-1.7327530000000001E-2</v>
      </c>
      <c r="O1183">
        <v>-0.73399309999999995</v>
      </c>
      <c r="P1183">
        <v>-0.89391989999999999</v>
      </c>
      <c r="Q1183">
        <v>0.1341541</v>
      </c>
      <c r="R1183">
        <v>-0.4276797</v>
      </c>
      <c r="S1183">
        <v>-3.113464</v>
      </c>
      <c r="T1183">
        <v>-0.51040940000000001</v>
      </c>
      <c r="U1183">
        <v>-0.72341919999999904</v>
      </c>
      <c r="V1183">
        <v>0.37130950000000001</v>
      </c>
      <c r="W1183">
        <v>0.13594300000000001</v>
      </c>
      <c r="X1183">
        <v>0.91850359999999998</v>
      </c>
      <c r="Y1183">
        <v>0.54871049999999999</v>
      </c>
      <c r="Z1183">
        <v>0.13939749999999901</v>
      </c>
      <c r="AA1183">
        <v>0.82430890000000001</v>
      </c>
      <c r="AB1183">
        <v>31</v>
      </c>
      <c r="AC1183">
        <v>-6.5093999999999896</v>
      </c>
      <c r="AD1183">
        <v>-1.1051489652819999</v>
      </c>
      <c r="AE1183">
        <v>-1.3302999999999601</v>
      </c>
      <c r="AF1183">
        <v>3.7709118468428602</v>
      </c>
      <c r="AG1183">
        <v>-1.1051489652819999</v>
      </c>
      <c r="AH1183">
        <v>5.2514061947821302</v>
      </c>
      <c r="AI1183">
        <v>99.700477565211102</v>
      </c>
      <c r="AJ1183">
        <v>54.318757560236101</v>
      </c>
      <c r="AK1183">
        <v>6.5588411640105999</v>
      </c>
      <c r="AL1183">
        <v>82.186847887610696</v>
      </c>
      <c r="AM1183">
        <v>67.988741785431898</v>
      </c>
      <c r="AN1183">
        <v>1.0000000536261</v>
      </c>
    </row>
    <row r="1184" spans="1:40" x14ac:dyDescent="0.25">
      <c r="A1184" t="str">
        <f>"20190303162523990"</f>
        <v>20190303162523990</v>
      </c>
      <c r="B1184" t="str">
        <f>"1551601523983735"</f>
        <v>1551601523983735</v>
      </c>
      <c r="C1184" t="s">
        <v>40</v>
      </c>
      <c r="D1184">
        <v>5.7869609999999998</v>
      </c>
      <c r="E1184">
        <v>0.58920189999999995</v>
      </c>
      <c r="F1184" t="s">
        <v>46</v>
      </c>
      <c r="G1184">
        <v>-206.78880000000001</v>
      </c>
      <c r="H1184" s="1">
        <v>5.031698E-6</v>
      </c>
      <c r="I1184">
        <v>286.85649999999998</v>
      </c>
      <c r="J1184">
        <v>-200.54580000000001</v>
      </c>
      <c r="K1184">
        <v>1.1048610000000001</v>
      </c>
      <c r="L1184">
        <v>287.9871</v>
      </c>
      <c r="M1184">
        <v>-0.69480920000000002</v>
      </c>
      <c r="N1184">
        <v>-1.7476410000000001E-2</v>
      </c>
      <c r="O1184">
        <v>-0.71898169999999995</v>
      </c>
      <c r="P1184">
        <v>-0.90453289999999997</v>
      </c>
      <c r="Q1184">
        <v>0.1297963</v>
      </c>
      <c r="R1184">
        <v>-0.40616910000000001</v>
      </c>
      <c r="S1184">
        <v>-3.1199189999999999</v>
      </c>
      <c r="T1184">
        <v>-0.53095139999999996</v>
      </c>
      <c r="U1184">
        <v>-0.66006469999999995</v>
      </c>
      <c r="V1184">
        <v>0.3736004</v>
      </c>
      <c r="W1184">
        <v>0.13138759999999999</v>
      </c>
      <c r="X1184">
        <v>0.91823750000000004</v>
      </c>
      <c r="Y1184">
        <v>0.54588139999999996</v>
      </c>
      <c r="Z1184">
        <v>0.14400499999999999</v>
      </c>
      <c r="AA1184">
        <v>0.82539459999999998</v>
      </c>
      <c r="AB1184">
        <v>31</v>
      </c>
      <c r="AC1184">
        <v>-6.2429999999999897</v>
      </c>
      <c r="AD1184">
        <v>-1.1048559683020001</v>
      </c>
      <c r="AE1184">
        <v>-1.13060000000001</v>
      </c>
      <c r="AF1184">
        <v>3.5946084705158201</v>
      </c>
      <c r="AG1184">
        <v>-1.1048559683020001</v>
      </c>
      <c r="AH1184">
        <v>4.99974116800741</v>
      </c>
      <c r="AI1184">
        <v>100.17197771245399</v>
      </c>
      <c r="AJ1184">
        <v>54.285416881438302</v>
      </c>
      <c r="AK1184">
        <v>6.2561432619517898</v>
      </c>
      <c r="AL1184">
        <v>82.450216486801196</v>
      </c>
      <c r="AM1184">
        <v>67.860221901406305</v>
      </c>
      <c r="AN1184">
        <v>1.00000003336008</v>
      </c>
    </row>
    <row r="1185" spans="1:40" x14ac:dyDescent="0.25">
      <c r="A1185" t="str">
        <f>"20190303162524013"</f>
        <v>20190303162524013</v>
      </c>
      <c r="B1185" t="str">
        <f>"1551601524004232"</f>
        <v>1551601524004232</v>
      </c>
      <c r="C1185" t="s">
        <v>40</v>
      </c>
      <c r="D1185">
        <v>5.408881</v>
      </c>
      <c r="E1185">
        <v>0.62568579999999996</v>
      </c>
      <c r="F1185" t="s">
        <v>46</v>
      </c>
      <c r="G1185">
        <v>-207.16909999999999</v>
      </c>
      <c r="H1185" s="1">
        <v>5.22339799999999E-6</v>
      </c>
      <c r="I1185">
        <v>286.59249999999997</v>
      </c>
      <c r="J1185">
        <v>-200.7834</v>
      </c>
      <c r="K1185">
        <v>1.1046210000000001</v>
      </c>
      <c r="L1185">
        <v>287.7663</v>
      </c>
      <c r="M1185">
        <v>-0.70949319999999905</v>
      </c>
      <c r="N1185">
        <v>-1.7610979999999998E-2</v>
      </c>
      <c r="O1185">
        <v>-0.70449229999999996</v>
      </c>
      <c r="P1185">
        <v>-0.91358170000000005</v>
      </c>
      <c r="Q1185">
        <v>0.1303397</v>
      </c>
      <c r="R1185">
        <v>-0.38520199999999999</v>
      </c>
      <c r="S1185">
        <v>-3.0979160000000001</v>
      </c>
      <c r="T1185">
        <v>-0.5167813</v>
      </c>
      <c r="U1185">
        <v>-0.65228269999999899</v>
      </c>
      <c r="V1185">
        <v>0.37587920000000002</v>
      </c>
      <c r="W1185">
        <v>0.131743</v>
      </c>
      <c r="X1185">
        <v>0.91725610000000002</v>
      </c>
      <c r="Y1185">
        <v>0.53025919999999904</v>
      </c>
      <c r="Z1185">
        <v>0.13839789999999999</v>
      </c>
      <c r="AA1185">
        <v>0.83646350000000003</v>
      </c>
      <c r="AB1185">
        <v>31</v>
      </c>
      <c r="AC1185">
        <v>-6.3856999999999804</v>
      </c>
      <c r="AD1185">
        <v>-1.1046157766019999</v>
      </c>
      <c r="AE1185">
        <v>-1.1738000000000199</v>
      </c>
      <c r="AF1185">
        <v>3.56330189599008</v>
      </c>
      <c r="AG1185">
        <v>-1.1046157766019999</v>
      </c>
      <c r="AH1185">
        <v>5.20763923251502</v>
      </c>
      <c r="AI1185">
        <v>99.929403713760493</v>
      </c>
      <c r="AJ1185">
        <v>55.618304012904602</v>
      </c>
      <c r="AK1185">
        <v>6.40599740804773</v>
      </c>
      <c r="AL1185">
        <v>82.429675305025498</v>
      </c>
      <c r="AM1185">
        <v>67.716842112317494</v>
      </c>
      <c r="AN1185">
        <v>1.00000007201442</v>
      </c>
    </row>
    <row r="1186" spans="1:40" x14ac:dyDescent="0.25">
      <c r="A1186" t="str">
        <f>"20190303162524054"</f>
        <v>20190303162524054</v>
      </c>
      <c r="B1186" t="str">
        <f>"1551601524044247"</f>
        <v>1551601524044247</v>
      </c>
      <c r="C1186" t="s">
        <v>40</v>
      </c>
      <c r="D1186">
        <v>5.3988339999999999</v>
      </c>
      <c r="E1186">
        <v>0.62292760000000003</v>
      </c>
      <c r="F1186" t="s">
        <v>48</v>
      </c>
      <c r="G1186">
        <v>-214.74170000000001</v>
      </c>
      <c r="H1186" s="1">
        <v>9.865237E-7</v>
      </c>
      <c r="I1186">
        <v>286.5009</v>
      </c>
      <c r="J1186">
        <v>-201.22130000000001</v>
      </c>
      <c r="K1186">
        <v>1.1043000000000001</v>
      </c>
      <c r="L1186">
        <v>287.38290000000001</v>
      </c>
      <c r="M1186">
        <v>-0.73562740000000004</v>
      </c>
      <c r="N1186">
        <v>-1.7851570000000001E-2</v>
      </c>
      <c r="O1186">
        <v>-0.67715110000000001</v>
      </c>
      <c r="P1186">
        <v>-0.92711969999999999</v>
      </c>
      <c r="Q1186">
        <v>0.13730780000000001</v>
      </c>
      <c r="R1186">
        <v>-0.34870590000000001</v>
      </c>
      <c r="S1186">
        <v>-3.197632</v>
      </c>
      <c r="T1186">
        <v>-0.25305100000000003</v>
      </c>
      <c r="U1186">
        <v>-0.28988649999999999</v>
      </c>
      <c r="V1186">
        <v>0.37725560000000002</v>
      </c>
      <c r="W1186">
        <v>0.13852799999999901</v>
      </c>
      <c r="X1186">
        <v>0.91569</v>
      </c>
      <c r="Y1186">
        <v>0.60493560000000002</v>
      </c>
      <c r="Z1186">
        <v>6.514578E-2</v>
      </c>
      <c r="AA1186">
        <v>0.79360509999999995</v>
      </c>
      <c r="AB1186">
        <v>31</v>
      </c>
      <c r="AC1186">
        <v>-13.520399999999899</v>
      </c>
      <c r="AD1186">
        <v>-1.1042990134763</v>
      </c>
      <c r="AE1186">
        <v>-0.882000000000005</v>
      </c>
      <c r="AF1186">
        <v>8.4517431817801594</v>
      </c>
      <c r="AG1186">
        <v>-1.1042990134763</v>
      </c>
      <c r="AH1186">
        <v>10.4753192506384</v>
      </c>
      <c r="AI1186">
        <v>94.690308469268501</v>
      </c>
      <c r="AJ1186">
        <v>51.102563813037101</v>
      </c>
      <c r="AK1186">
        <v>13.504952888652699</v>
      </c>
      <c r="AL1186">
        <v>82.037322981234695</v>
      </c>
      <c r="AM1186">
        <v>67.608803247682999</v>
      </c>
      <c r="AN1186">
        <v>0.99999998530767997</v>
      </c>
    </row>
    <row r="1187" spans="1:40" x14ac:dyDescent="0.25">
      <c r="A1187" t="str">
        <f>"20190303162524076"</f>
        <v>20190303162524076</v>
      </c>
      <c r="B1187" t="str">
        <f>"1551601524063768"</f>
        <v>1551601524063768</v>
      </c>
      <c r="C1187" t="s">
        <v>40</v>
      </c>
      <c r="D1187">
        <v>5.4917999999999996</v>
      </c>
      <c r="E1187">
        <v>0.62245450000000002</v>
      </c>
      <c r="F1187" t="s">
        <v>48</v>
      </c>
      <c r="G1187">
        <v>-217.84610000000001</v>
      </c>
      <c r="H1187" s="1">
        <v>2.6384999999999998E-6</v>
      </c>
      <c r="I1187">
        <v>286.42910000000001</v>
      </c>
      <c r="J1187">
        <v>-201.46559999999999</v>
      </c>
      <c r="K1187">
        <v>1.10415</v>
      </c>
      <c r="L1187">
        <v>287.1814</v>
      </c>
      <c r="M1187">
        <v>-0.74965319999999902</v>
      </c>
      <c r="N1187">
        <v>-1.7981049999999998E-2</v>
      </c>
      <c r="O1187">
        <v>-0.66158649999999997</v>
      </c>
      <c r="P1187">
        <v>-0.93289920000000004</v>
      </c>
      <c r="Q1187">
        <v>0.14096059999999999</v>
      </c>
      <c r="R1187">
        <v>-0.33140550000000002</v>
      </c>
      <c r="S1187">
        <v>-3.1982879999999998</v>
      </c>
      <c r="T1187">
        <v>-0.21244560000000001</v>
      </c>
      <c r="U1187">
        <v>-0.1835022</v>
      </c>
      <c r="V1187">
        <v>0.37494240000000001</v>
      </c>
      <c r="W1187">
        <v>0.14225019999999999</v>
      </c>
      <c r="X1187">
        <v>0.91606940000000003</v>
      </c>
      <c r="Y1187">
        <v>0.61544719999999997</v>
      </c>
      <c r="Z1187">
        <v>5.3685650000000001E-2</v>
      </c>
      <c r="AA1187">
        <v>0.78634759999999904</v>
      </c>
      <c r="AB1187">
        <v>31</v>
      </c>
      <c r="AC1187">
        <v>-16.380500000000001</v>
      </c>
      <c r="AD1187">
        <v>-1.1041473614999999</v>
      </c>
      <c r="AE1187">
        <v>-0.75229999999999098</v>
      </c>
      <c r="AF1187">
        <v>10.228438961968701</v>
      </c>
      <c r="AG1187">
        <v>-1.1041473614999999</v>
      </c>
      <c r="AH1187">
        <v>12.721791239742901</v>
      </c>
      <c r="AI1187">
        <v>93.869622616134905</v>
      </c>
      <c r="AJ1187">
        <v>51.200393372696801</v>
      </c>
      <c r="AK1187">
        <v>16.361053674571998</v>
      </c>
      <c r="AL1187">
        <v>81.821923666139895</v>
      </c>
      <c r="AM1187">
        <v>67.740971989040304</v>
      </c>
      <c r="AN1187">
        <v>1.0000000341670701</v>
      </c>
    </row>
    <row r="1188" spans="1:40" x14ac:dyDescent="0.25">
      <c r="A1188" t="str">
        <f>"20190303162524099"</f>
        <v>20190303162524099</v>
      </c>
      <c r="B1188" t="str">
        <f>"1551601524094024"</f>
        <v>1551601524094024</v>
      </c>
      <c r="C1188" t="s">
        <v>40</v>
      </c>
      <c r="D1188">
        <v>5.5020350000000002</v>
      </c>
      <c r="E1188">
        <v>0.60369280000000003</v>
      </c>
      <c r="F1188" t="s">
        <v>48</v>
      </c>
      <c r="G1188">
        <v>-219.21190000000001</v>
      </c>
      <c r="H1188" s="1">
        <v>3.365322E-6</v>
      </c>
      <c r="I1188">
        <v>286.46710000000002</v>
      </c>
      <c r="J1188">
        <v>-201.71950000000001</v>
      </c>
      <c r="K1188">
        <v>1.1040190000000001</v>
      </c>
      <c r="L1188">
        <v>286.98110000000003</v>
      </c>
      <c r="M1188">
        <v>-0.76379839999999999</v>
      </c>
      <c r="N1188">
        <v>-1.8110009999999999E-2</v>
      </c>
      <c r="O1188">
        <v>-0.64520100000000002</v>
      </c>
      <c r="P1188">
        <v>-0.93874840000000004</v>
      </c>
      <c r="Q1188">
        <v>0.14579059999999999</v>
      </c>
      <c r="R1188">
        <v>-0.31224439999999998</v>
      </c>
      <c r="S1188">
        <v>-3.2000890000000002</v>
      </c>
      <c r="T1188">
        <v>-0.19910410000000001</v>
      </c>
      <c r="U1188">
        <v>-0.1288147</v>
      </c>
      <c r="V1188">
        <v>0.373637</v>
      </c>
      <c r="W1188">
        <v>0.1471142</v>
      </c>
      <c r="X1188">
        <v>0.9158345</v>
      </c>
      <c r="Y1188">
        <v>0.61213059999999997</v>
      </c>
      <c r="Z1188">
        <v>4.9354879999999997E-2</v>
      </c>
      <c r="AA1188">
        <v>0.78921490000000005</v>
      </c>
      <c r="AB1188">
        <v>31</v>
      </c>
      <c r="AC1188">
        <v>-17.4924</v>
      </c>
      <c r="AD1188">
        <v>-1.1040156346779999</v>
      </c>
      <c r="AE1188">
        <v>-0.51400000000001</v>
      </c>
      <c r="AF1188">
        <v>10.8521159935797</v>
      </c>
      <c r="AG1188">
        <v>-1.1040156346779999</v>
      </c>
      <c r="AH1188">
        <v>13.6402568597836</v>
      </c>
      <c r="AI1188">
        <v>93.624151452503</v>
      </c>
      <c r="AJ1188">
        <v>51.494428546475703</v>
      </c>
      <c r="AK1188">
        <v>17.4655054109693</v>
      </c>
      <c r="AL1188">
        <v>81.540273053311694</v>
      </c>
      <c r="AM1188">
        <v>67.805799577303702</v>
      </c>
      <c r="AN1188">
        <v>1.0000000135004401</v>
      </c>
    </row>
    <row r="1189" spans="1:40" x14ac:dyDescent="0.25">
      <c r="A1189" t="str">
        <f>"20190303162524121"</f>
        <v>20190303162524121</v>
      </c>
      <c r="B1189" t="str">
        <f>"1551601524113544"</f>
        <v>1551601524113544</v>
      </c>
      <c r="C1189" t="s">
        <v>40</v>
      </c>
      <c r="D1189">
        <v>5.5087129999999904</v>
      </c>
      <c r="E1189">
        <v>0.60065939999999995</v>
      </c>
      <c r="F1189" t="s">
        <v>48</v>
      </c>
      <c r="G1189">
        <v>-225.93360000000001</v>
      </c>
      <c r="H1189" s="1">
        <v>1.6208E-6</v>
      </c>
      <c r="I1189">
        <v>285.42739999999998</v>
      </c>
      <c r="J1189">
        <v>-201.96379999999999</v>
      </c>
      <c r="K1189">
        <v>1.103907</v>
      </c>
      <c r="L1189">
        <v>286.7971</v>
      </c>
      <c r="M1189">
        <v>-0.77697609999999995</v>
      </c>
      <c r="N1189">
        <v>-1.8227440000000001E-2</v>
      </c>
      <c r="O1189">
        <v>-0.62926629999999995</v>
      </c>
      <c r="P1189">
        <v>-0.94450599999999996</v>
      </c>
      <c r="Q1189">
        <v>0.15121129999999999</v>
      </c>
      <c r="R1189">
        <v>-0.29162369999999999</v>
      </c>
      <c r="S1189">
        <v>-3.150833</v>
      </c>
      <c r="T1189">
        <v>-0.1436588</v>
      </c>
      <c r="U1189">
        <v>-0.202179</v>
      </c>
      <c r="V1189">
        <v>0.37448500000000001</v>
      </c>
      <c r="W1189">
        <v>0.15247369999999999</v>
      </c>
      <c r="X1189">
        <v>0.9146107</v>
      </c>
      <c r="Y1189">
        <v>0.57736430000000005</v>
      </c>
      <c r="Z1189">
        <v>3.2890610000000001E-2</v>
      </c>
      <c r="AA1189">
        <v>0.81582390000000005</v>
      </c>
      <c r="AB1189">
        <v>31</v>
      </c>
      <c r="AC1189">
        <v>-23.969799999999999</v>
      </c>
      <c r="AD1189">
        <v>-1.1039053792</v>
      </c>
      <c r="AE1189">
        <v>-1.3697000000000199</v>
      </c>
      <c r="AF1189">
        <v>13.9919115392892</v>
      </c>
      <c r="AG1189">
        <v>-1.1039053792</v>
      </c>
      <c r="AH1189">
        <v>19.447989468416701</v>
      </c>
      <c r="AI1189">
        <v>92.638106238787401</v>
      </c>
      <c r="AJ1189">
        <v>54.266764257930198</v>
      </c>
      <c r="AK1189">
        <v>23.9836713197368</v>
      </c>
      <c r="AL1189">
        <v>81.229691488244796</v>
      </c>
      <c r="AM1189">
        <v>67.733479909405801</v>
      </c>
      <c r="AN1189">
        <v>0.99999998848559002</v>
      </c>
    </row>
    <row r="1190" spans="1:40" x14ac:dyDescent="0.25">
      <c r="A1190" t="str">
        <f>"20190303162524143"</f>
        <v>20190303162524143</v>
      </c>
      <c r="B1190" t="str">
        <f>"1551601524134040"</f>
        <v>1551601524134040</v>
      </c>
      <c r="C1190" t="s">
        <v>40</v>
      </c>
      <c r="D1190">
        <v>5.4789320000000004</v>
      </c>
      <c r="E1190">
        <v>0.59811530000000002</v>
      </c>
      <c r="F1190" t="s">
        <v>48</v>
      </c>
      <c r="G1190">
        <v>-228.52969999999999</v>
      </c>
      <c r="H1190" s="1">
        <v>3.0022970000000002E-6</v>
      </c>
      <c r="I1190">
        <v>285.47859999999997</v>
      </c>
      <c r="J1190">
        <v>-202.21729999999999</v>
      </c>
      <c r="K1190">
        <v>1.103782</v>
      </c>
      <c r="L1190">
        <v>286.61430000000001</v>
      </c>
      <c r="M1190">
        <v>-0.79021319999999995</v>
      </c>
      <c r="N1190">
        <v>-1.8340160000000001E-2</v>
      </c>
      <c r="O1190">
        <v>-0.61255760000000004</v>
      </c>
      <c r="P1190">
        <v>-0.9497217</v>
      </c>
      <c r="Q1190">
        <v>0.1540503</v>
      </c>
      <c r="R1190">
        <v>-0.27257599999999998</v>
      </c>
      <c r="S1190">
        <v>-3.1489410000000002</v>
      </c>
      <c r="T1190">
        <v>-0.1308491</v>
      </c>
      <c r="U1190">
        <v>-0.15628049999999999</v>
      </c>
      <c r="V1190">
        <v>0.3732588</v>
      </c>
      <c r="W1190">
        <v>0.15536420000000001</v>
      </c>
      <c r="X1190">
        <v>0.91462549999999998</v>
      </c>
      <c r="Y1190">
        <v>0.5719476</v>
      </c>
      <c r="Z1190">
        <v>2.9040679999999999E-2</v>
      </c>
      <c r="AA1190">
        <v>0.8197759</v>
      </c>
      <c r="AB1190">
        <v>31</v>
      </c>
      <c r="AC1190">
        <v>-26.3124</v>
      </c>
      <c r="AD1190">
        <v>-1.1037789977029999</v>
      </c>
      <c r="AE1190">
        <v>-1.1357000000000399</v>
      </c>
      <c r="AF1190">
        <v>15.196283844887301</v>
      </c>
      <c r="AG1190">
        <v>-1.1037789977029999</v>
      </c>
      <c r="AH1190">
        <v>21.454018602296799</v>
      </c>
      <c r="AI1190">
        <v>92.404071101999804</v>
      </c>
      <c r="AJ1190">
        <v>54.689342596111203</v>
      </c>
      <c r="AK1190">
        <v>26.313880081771501</v>
      </c>
      <c r="AL1190">
        <v>81.062080609706001</v>
      </c>
      <c r="AM1190">
        <v>67.799621556728297</v>
      </c>
      <c r="AN1190">
        <v>0.99999998583466398</v>
      </c>
    </row>
    <row r="1191" spans="1:40" x14ac:dyDescent="0.25">
      <c r="A1191" t="str">
        <f>"20190303162524189"</f>
        <v>20190303162524189</v>
      </c>
      <c r="B1191" t="str">
        <f>"1551601524183816"</f>
        <v>1551601524183816</v>
      </c>
      <c r="C1191" t="s">
        <v>40</v>
      </c>
      <c r="D1191">
        <v>5.3084220000000002</v>
      </c>
      <c r="E1191">
        <v>0.59470749999999994</v>
      </c>
      <c r="F1191" t="s">
        <v>48</v>
      </c>
      <c r="G1191">
        <v>-230.73509999999999</v>
      </c>
      <c r="H1191" s="1">
        <v>-1.1884529999999999E-6</v>
      </c>
      <c r="I1191">
        <v>285.59690000000001</v>
      </c>
      <c r="J1191">
        <v>-202.74359999999999</v>
      </c>
      <c r="K1191">
        <v>1.1034980000000001</v>
      </c>
      <c r="L1191">
        <v>286.26029999999997</v>
      </c>
      <c r="M1191">
        <v>-0.81624419999999898</v>
      </c>
      <c r="N1191">
        <v>-1.8541910000000002E-2</v>
      </c>
      <c r="O1191">
        <v>-0.57740939999999996</v>
      </c>
      <c r="P1191">
        <v>-0.96012470000000005</v>
      </c>
      <c r="Q1191">
        <v>0.14535899999999999</v>
      </c>
      <c r="R1191">
        <v>-0.2388122</v>
      </c>
      <c r="S1191">
        <v>-3.1463619999999999</v>
      </c>
      <c r="T1191">
        <v>-0.12178020000000001</v>
      </c>
      <c r="U1191">
        <v>-0.1122437</v>
      </c>
      <c r="V1191">
        <v>0.36607489999999998</v>
      </c>
      <c r="W1191">
        <v>0.1470515</v>
      </c>
      <c r="X1191">
        <v>0.91889339999999997</v>
      </c>
      <c r="Y1191">
        <v>0.54737899999999995</v>
      </c>
      <c r="Z1191">
        <v>2.5543030000000001E-2</v>
      </c>
      <c r="AA1191">
        <v>0.83649499999999999</v>
      </c>
      <c r="AB1191">
        <v>31</v>
      </c>
      <c r="AC1191">
        <v>-27.991499999999998</v>
      </c>
      <c r="AD1191">
        <v>-1.1034991884530001</v>
      </c>
      <c r="AE1191">
        <v>-0.66339999999996702</v>
      </c>
      <c r="AF1191">
        <v>15.599514392133299</v>
      </c>
      <c r="AG1191">
        <v>-1.1034991884530001</v>
      </c>
      <c r="AH1191">
        <v>23.198912996164001</v>
      </c>
      <c r="AI1191">
        <v>92.260451489043305</v>
      </c>
      <c r="AJ1191">
        <v>56.082152250928999</v>
      </c>
      <c r="AK1191">
        <v>27.9777076246943</v>
      </c>
      <c r="AL1191">
        <v>81.543905125214394</v>
      </c>
      <c r="AM1191">
        <v>68.278320903180699</v>
      </c>
      <c r="AN1191">
        <v>1.0000000283129</v>
      </c>
    </row>
    <row r="1192" spans="1:40" x14ac:dyDescent="0.25">
      <c r="A1192" t="str">
        <f>"20190303162524232"</f>
        <v>20190303162524232</v>
      </c>
      <c r="B1192" t="str">
        <f>"1551601524224808"</f>
        <v>1551601524224808</v>
      </c>
      <c r="C1192" t="s">
        <v>40</v>
      </c>
      <c r="D1192">
        <v>5.4150299999999998</v>
      </c>
      <c r="E1192">
        <v>0.57412989999999997</v>
      </c>
      <c r="F1192" t="s">
        <v>48</v>
      </c>
      <c r="G1192">
        <v>-230.72919999999999</v>
      </c>
      <c r="H1192" s="1">
        <v>-1.2116439999999999E-6</v>
      </c>
      <c r="I1192">
        <v>286.05579999999998</v>
      </c>
      <c r="J1192">
        <v>-203.26410000000001</v>
      </c>
      <c r="K1192">
        <v>1.1032869999999999</v>
      </c>
      <c r="L1192">
        <v>285.94189999999998</v>
      </c>
      <c r="M1192">
        <v>-0.84010839999999998</v>
      </c>
      <c r="N1192">
        <v>-1.8699960000000002E-2</v>
      </c>
      <c r="O1192">
        <v>-0.54209609999999997</v>
      </c>
      <c r="P1192">
        <v>-0.96968370000000004</v>
      </c>
      <c r="Q1192">
        <v>0.13676459999999999</v>
      </c>
      <c r="R1192">
        <v>-0.2025071</v>
      </c>
      <c r="S1192">
        <v>-3.1376189999999999</v>
      </c>
      <c r="T1192">
        <v>-0.1237192</v>
      </c>
      <c r="U1192">
        <v>-2.29187E-2</v>
      </c>
      <c r="V1192">
        <v>0.36185329999999999</v>
      </c>
      <c r="W1192">
        <v>0.13869429999999999</v>
      </c>
      <c r="X1192">
        <v>0.92186020000000002</v>
      </c>
      <c r="Y1192">
        <v>0.53536319999999904</v>
      </c>
      <c r="Z1192">
        <v>2.540769E-2</v>
      </c>
      <c r="AA1192">
        <v>0.84423969999999904</v>
      </c>
      <c r="AB1192">
        <v>30</v>
      </c>
      <c r="AC1192">
        <v>-27.4650999999999</v>
      </c>
      <c r="AD1192">
        <v>-1.1032882116439999</v>
      </c>
      <c r="AE1192">
        <v>0.1139</v>
      </c>
      <c r="AF1192">
        <v>14.962887818461001</v>
      </c>
      <c r="AG1192">
        <v>-1.1032882116439999</v>
      </c>
      <c r="AH1192">
        <v>22.9788613631885</v>
      </c>
      <c r="AI1192">
        <v>92.304054429007707</v>
      </c>
      <c r="AJ1192">
        <v>56.9294826962333</v>
      </c>
      <c r="AK1192">
        <v>27.443274700633602</v>
      </c>
      <c r="AL1192">
        <v>82.027702530091005</v>
      </c>
      <c r="AM1192">
        <v>68.568744794681905</v>
      </c>
      <c r="AN1192">
        <v>1.0000000739587001</v>
      </c>
    </row>
    <row r="1193" spans="1:40" x14ac:dyDescent="0.25">
      <c r="A1193" t="str">
        <f>"20190303162524254"</f>
        <v>20190303162524254</v>
      </c>
      <c r="B1193" t="str">
        <f>"1551601524244328"</f>
        <v>1551601524244328</v>
      </c>
      <c r="C1193" t="s">
        <v>40</v>
      </c>
      <c r="D1193">
        <v>5.434126</v>
      </c>
      <c r="E1193">
        <v>0.57308760000000003</v>
      </c>
      <c r="F1193" t="s">
        <v>48</v>
      </c>
      <c r="G1193">
        <v>-220.05609999999999</v>
      </c>
      <c r="H1193" s="1">
        <v>-1.5069569999999901E-6</v>
      </c>
      <c r="I1193">
        <v>285.59859999999998</v>
      </c>
      <c r="J1193">
        <v>-203.52930000000001</v>
      </c>
      <c r="K1193">
        <v>1.103216</v>
      </c>
      <c r="L1193">
        <v>285.7912</v>
      </c>
      <c r="M1193">
        <v>-0.85156270000000001</v>
      </c>
      <c r="N1193">
        <v>-1.8766339999999999E-2</v>
      </c>
      <c r="O1193">
        <v>-0.52391690000000002</v>
      </c>
      <c r="P1193">
        <v>-0.97267899999999996</v>
      </c>
      <c r="Q1193">
        <v>0.134822</v>
      </c>
      <c r="R1193">
        <v>-0.18899440000000001</v>
      </c>
      <c r="S1193">
        <v>-3.1093289999999998</v>
      </c>
      <c r="T1193">
        <v>-0.20429349999999999</v>
      </c>
      <c r="U1193">
        <v>-6.3568120000000006E-2</v>
      </c>
      <c r="V1193">
        <v>0.35493039999999998</v>
      </c>
      <c r="W1193">
        <v>0.13710829999999999</v>
      </c>
      <c r="X1193">
        <v>0.9247841</v>
      </c>
      <c r="Y1193">
        <v>0.50463570000000002</v>
      </c>
      <c r="Z1193">
        <v>4.4029329999999998E-2</v>
      </c>
      <c r="AA1193">
        <v>0.862209</v>
      </c>
      <c r="AB1193">
        <v>30</v>
      </c>
      <c r="AC1193">
        <v>-16.526799999999898</v>
      </c>
      <c r="AD1193">
        <v>-1.103217506957</v>
      </c>
      <c r="AE1193">
        <v>-0.192600000000027</v>
      </c>
      <c r="AF1193">
        <v>8.4584687327936194</v>
      </c>
      <c r="AG1193">
        <v>-1.103217506957</v>
      </c>
      <c r="AH1193">
        <v>14.114124615979801</v>
      </c>
      <c r="AI1193">
        <v>93.835718179671503</v>
      </c>
      <c r="AJ1193">
        <v>59.066119828121799</v>
      </c>
      <c r="AK1193">
        <v>16.491552257040901</v>
      </c>
      <c r="AL1193">
        <v>82.119449241502394</v>
      </c>
      <c r="AM1193">
        <v>69.003291644684495</v>
      </c>
      <c r="AN1193">
        <v>0.999999953192928</v>
      </c>
    </row>
    <row r="1194" spans="1:40" x14ac:dyDescent="0.25">
      <c r="A1194" t="str">
        <f>"20190303162524277"</f>
        <v>20190303162524277</v>
      </c>
      <c r="B1194" t="str">
        <f>"1551601524263849"</f>
        <v>1551601524263849</v>
      </c>
      <c r="C1194" t="s">
        <v>40</v>
      </c>
      <c r="D1194">
        <v>5.2944360000000001</v>
      </c>
      <c r="E1194">
        <v>0.57658569999999998</v>
      </c>
      <c r="F1194" t="s">
        <v>48</v>
      </c>
      <c r="G1194">
        <v>-220.01240000000001</v>
      </c>
      <c r="H1194" s="1">
        <v>-1.530171E-6</v>
      </c>
      <c r="I1194">
        <v>285.66730000000001</v>
      </c>
      <c r="J1194">
        <v>-203.80770000000001</v>
      </c>
      <c r="K1194">
        <v>1.1031569999999999</v>
      </c>
      <c r="L1194">
        <v>285.64089999999999</v>
      </c>
      <c r="M1194">
        <v>-0.86308909999999905</v>
      </c>
      <c r="N1194">
        <v>-1.8827090000000001E-2</v>
      </c>
      <c r="O1194">
        <v>-0.5047007</v>
      </c>
      <c r="P1194">
        <v>-0.97507520000000003</v>
      </c>
      <c r="Q1194">
        <v>0.13406660000000001</v>
      </c>
      <c r="R1194">
        <v>-0.1767898</v>
      </c>
      <c r="S1194">
        <v>-3.1085509999999998</v>
      </c>
      <c r="T1194">
        <v>-0.2080554</v>
      </c>
      <c r="U1194">
        <v>-2.3376460000000002E-2</v>
      </c>
      <c r="V1194">
        <v>0.34580260000000002</v>
      </c>
      <c r="W1194">
        <v>0.13681969999999999</v>
      </c>
      <c r="X1194">
        <v>0.92827839999999995</v>
      </c>
      <c r="Y1194">
        <v>0.49638529999999997</v>
      </c>
      <c r="Z1194">
        <v>4.3910640000000001E-2</v>
      </c>
      <c r="AA1194">
        <v>0.86699099999999996</v>
      </c>
      <c r="AB1194">
        <v>30</v>
      </c>
      <c r="AC1194">
        <v>-16.204699999999999</v>
      </c>
      <c r="AD1194">
        <v>-1.1031585301710001</v>
      </c>
      <c r="AE1194">
        <v>2.64000000000237E-2</v>
      </c>
      <c r="AF1194">
        <v>8.1649232301202606</v>
      </c>
      <c r="AG1194">
        <v>-1.1031585301710001</v>
      </c>
      <c r="AH1194">
        <v>13.910784516097999</v>
      </c>
      <c r="AI1194">
        <v>93.912472232955096</v>
      </c>
      <c r="AJ1194">
        <v>59.589232622943598</v>
      </c>
      <c r="AK1194">
        <v>16.167648435989701</v>
      </c>
      <c r="AL1194">
        <v>82.136141919697295</v>
      </c>
      <c r="AM1194">
        <v>69.568613480546801</v>
      </c>
      <c r="AN1194">
        <v>0.99999992819070205</v>
      </c>
    </row>
    <row r="1195" spans="1:40" x14ac:dyDescent="0.25">
      <c r="A1195" t="str">
        <f>"20190303162524300"</f>
        <v>20190303162524300</v>
      </c>
      <c r="B1195" t="str">
        <f>"1551601524294104"</f>
        <v>1551601524294104</v>
      </c>
      <c r="C1195" t="s">
        <v>40</v>
      </c>
      <c r="D1195">
        <v>5.2555610000000001</v>
      </c>
      <c r="E1195">
        <v>0.57498130000000003</v>
      </c>
      <c r="F1195" t="s">
        <v>48</v>
      </c>
      <c r="G1195">
        <v>-233.62039999999999</v>
      </c>
      <c r="H1195" s="1">
        <v>3.246735E-7</v>
      </c>
      <c r="I1195">
        <v>286.10649999999998</v>
      </c>
      <c r="J1195">
        <v>-204.09610000000001</v>
      </c>
      <c r="K1195">
        <v>1.103111</v>
      </c>
      <c r="L1195">
        <v>285.49419999999998</v>
      </c>
      <c r="M1195">
        <v>-0.87449080000000001</v>
      </c>
      <c r="N1195">
        <v>-1.888163E-2</v>
      </c>
      <c r="O1195">
        <v>-0.48467440000000001</v>
      </c>
      <c r="P1195">
        <v>-0.97743349999999996</v>
      </c>
      <c r="Q1195">
        <v>0.13454569999999999</v>
      </c>
      <c r="R1195">
        <v>-0.16285339999999901</v>
      </c>
      <c r="S1195">
        <v>-3.1012420000000001</v>
      </c>
      <c r="T1195">
        <v>-0.114755</v>
      </c>
      <c r="U1195">
        <v>4.8431399999999999E-2</v>
      </c>
      <c r="V1195">
        <v>0.33763749999999998</v>
      </c>
      <c r="W1195">
        <v>0.13771720000000001</v>
      </c>
      <c r="X1195">
        <v>0.93114710000000001</v>
      </c>
      <c r="Y1195">
        <v>0.49779830000000003</v>
      </c>
      <c r="Z1195">
        <v>2.1806160000000002E-2</v>
      </c>
      <c r="AA1195">
        <v>0.86701859999999997</v>
      </c>
      <c r="AB1195">
        <v>30</v>
      </c>
      <c r="AC1195">
        <v>-29.524299999999901</v>
      </c>
      <c r="AD1195">
        <v>-1.1031106753265001</v>
      </c>
      <c r="AE1195">
        <v>0.61230000000000395</v>
      </c>
      <c r="AF1195">
        <v>14.8270810523873</v>
      </c>
      <c r="AG1195">
        <v>-1.1031106753265001</v>
      </c>
      <c r="AH1195">
        <v>25.490944419057101</v>
      </c>
      <c r="AI1195">
        <v>92.142258502408197</v>
      </c>
      <c r="AJ1195">
        <v>59.8151177960277</v>
      </c>
      <c r="AK1195">
        <v>29.5101242469689</v>
      </c>
      <c r="AL1195">
        <v>82.0842282174426</v>
      </c>
      <c r="AM1195">
        <v>70.069161698592694</v>
      </c>
      <c r="AN1195">
        <v>1.0000000152102499</v>
      </c>
    </row>
    <row r="1196" spans="1:40" x14ac:dyDescent="0.25">
      <c r="A1196" t="str">
        <f>"20190303162524320"</f>
        <v>20190303162524320</v>
      </c>
      <c r="B1196" t="str">
        <f>"1551601524313623"</f>
        <v>1551601524313623</v>
      </c>
      <c r="C1196" t="s">
        <v>40</v>
      </c>
      <c r="D1196">
        <v>5.2989899999999999</v>
      </c>
      <c r="E1196">
        <v>0.57409690000000002</v>
      </c>
      <c r="F1196" t="s">
        <v>48</v>
      </c>
      <c r="G1196">
        <v>-233.85310000000001</v>
      </c>
      <c r="H1196" s="1">
        <v>4.4169869999999999E-7</v>
      </c>
      <c r="I1196">
        <v>286.2627</v>
      </c>
      <c r="J1196">
        <v>-204.34460000000001</v>
      </c>
      <c r="K1196">
        <v>1.1030949999999999</v>
      </c>
      <c r="L1196">
        <v>285.37439999999998</v>
      </c>
      <c r="M1196">
        <v>-0.88388880000000003</v>
      </c>
      <c r="N1196">
        <v>-1.8922959999999999E-2</v>
      </c>
      <c r="O1196">
        <v>-0.46731440000000002</v>
      </c>
      <c r="P1196">
        <v>-0.97885230000000001</v>
      </c>
      <c r="Q1196">
        <v>0.138699499999999</v>
      </c>
      <c r="R1196">
        <v>-0.150369</v>
      </c>
      <c r="S1196">
        <v>-3.0983890000000001</v>
      </c>
      <c r="T1196">
        <v>-0.114859</v>
      </c>
      <c r="U1196">
        <v>8.0017089999999999E-2</v>
      </c>
      <c r="V1196">
        <v>0.331036</v>
      </c>
      <c r="W1196">
        <v>0.1422049</v>
      </c>
      <c r="X1196">
        <v>0.93284140000000004</v>
      </c>
      <c r="Y1196">
        <v>0.48951020000000001</v>
      </c>
      <c r="Z1196">
        <v>2.141202E-2</v>
      </c>
      <c r="AA1196">
        <v>0.87173459999999903</v>
      </c>
      <c r="AB1196">
        <v>30</v>
      </c>
      <c r="AC1196">
        <v>-29.508500000000002</v>
      </c>
      <c r="AD1196">
        <v>-1.1030945583013001</v>
      </c>
      <c r="AE1196">
        <v>0.88830000000001497</v>
      </c>
      <c r="AF1196">
        <v>14.5571895517639</v>
      </c>
      <c r="AG1196">
        <v>-1.1030945583013001</v>
      </c>
      <c r="AH1196">
        <v>25.6359188144481</v>
      </c>
      <c r="AI1196">
        <v>92.142865526390196</v>
      </c>
      <c r="AJ1196">
        <v>60.410205493450398</v>
      </c>
      <c r="AK1196">
        <v>29.5013375749561</v>
      </c>
      <c r="AL1196">
        <v>81.824546134930202</v>
      </c>
      <c r="AM1196">
        <v>70.461830641225205</v>
      </c>
      <c r="AN1196">
        <v>1.00000007221698</v>
      </c>
    </row>
    <row r="1197" spans="1:40" x14ac:dyDescent="0.25">
      <c r="A1197" t="str">
        <f>"20190303162524342"</f>
        <v>20190303162524342</v>
      </c>
      <c r="B1197" t="str">
        <f>"1551601524334119"</f>
        <v>1551601524334119</v>
      </c>
      <c r="C1197" t="s">
        <v>40</v>
      </c>
      <c r="D1197">
        <v>5.252904</v>
      </c>
      <c r="E1197">
        <v>0.57332430000000001</v>
      </c>
      <c r="F1197" t="s">
        <v>48</v>
      </c>
      <c r="G1197">
        <v>-238.83930000000001</v>
      </c>
      <c r="H1197" s="1">
        <v>3.078168E-6</v>
      </c>
      <c r="I1197">
        <v>286.64929999999998</v>
      </c>
      <c r="J1197">
        <v>-204.6268</v>
      </c>
      <c r="K1197">
        <v>1.103086</v>
      </c>
      <c r="L1197">
        <v>285.24599999999998</v>
      </c>
      <c r="M1197">
        <v>-0.89408279999999996</v>
      </c>
      <c r="N1197">
        <v>-1.8963850000000001E-2</v>
      </c>
      <c r="O1197">
        <v>-0.44750030000000002</v>
      </c>
      <c r="P1197">
        <v>-0.98020870000000004</v>
      </c>
      <c r="Q1197">
        <v>0.14376749999999999</v>
      </c>
      <c r="R1197">
        <v>-0.13609689999999999</v>
      </c>
      <c r="S1197">
        <v>-3.0964049999999999</v>
      </c>
      <c r="T1197">
        <v>-9.9018809999999999E-2</v>
      </c>
      <c r="U1197">
        <v>0.114440899999999</v>
      </c>
      <c r="V1197">
        <v>0.32371499999999997</v>
      </c>
      <c r="W1197">
        <v>0.14764189999999999</v>
      </c>
      <c r="X1197">
        <v>0.93456430000000001</v>
      </c>
      <c r="Y1197">
        <v>0.47989530000000002</v>
      </c>
      <c r="Z1197">
        <v>1.74523E-2</v>
      </c>
      <c r="AA1197">
        <v>0.87715209999999999</v>
      </c>
      <c r="AB1197">
        <v>30</v>
      </c>
      <c r="AC1197">
        <v>-34.212499999999999</v>
      </c>
      <c r="AD1197">
        <v>-1.103082921832</v>
      </c>
      <c r="AE1197">
        <v>1.4033</v>
      </c>
      <c r="AF1197">
        <v>16.550571831285598</v>
      </c>
      <c r="AG1197">
        <v>-1.103082921832</v>
      </c>
      <c r="AH1197">
        <v>29.935149548370099</v>
      </c>
      <c r="AI1197">
        <v>91.847059804940898</v>
      </c>
      <c r="AJ1197">
        <v>61.0626331627493</v>
      </c>
      <c r="AK1197">
        <v>34.223550347067501</v>
      </c>
      <c r="AL1197">
        <v>81.509703991512097</v>
      </c>
      <c r="AM1197">
        <v>70.894903818050807</v>
      </c>
      <c r="AN1197">
        <v>0.99999998134754897</v>
      </c>
    </row>
    <row r="1198" spans="1:40" x14ac:dyDescent="0.25">
      <c r="A1198" t="str">
        <f>"20190303162524366"</f>
        <v>20190303162524366</v>
      </c>
      <c r="B1198" t="str">
        <f>"1551601524354616"</f>
        <v>1551601524354616</v>
      </c>
      <c r="C1198" t="s">
        <v>40</v>
      </c>
      <c r="D1198">
        <v>5.2209339999999997</v>
      </c>
      <c r="E1198">
        <v>0.57293000000000005</v>
      </c>
      <c r="F1198" t="s">
        <v>48</v>
      </c>
      <c r="G1198">
        <v>-246.48169999999999</v>
      </c>
      <c r="H1198" s="1">
        <v>1.9124539999999999E-6</v>
      </c>
      <c r="I1198">
        <v>287.35590000000002</v>
      </c>
      <c r="J1198">
        <v>-204.9211</v>
      </c>
      <c r="K1198">
        <v>1.1030719999999901</v>
      </c>
      <c r="L1198">
        <v>285.12020000000001</v>
      </c>
      <c r="M1198">
        <v>-0.90418609999999999</v>
      </c>
      <c r="N1198">
        <v>-1.9000690000000001E-2</v>
      </c>
      <c r="O1198">
        <v>-0.42671599999999998</v>
      </c>
      <c r="P1198">
        <v>-0.9815412</v>
      </c>
      <c r="Q1198">
        <v>0.1476353</v>
      </c>
      <c r="R1198">
        <v>-0.121576</v>
      </c>
      <c r="S1198">
        <v>-3.0941930000000002</v>
      </c>
      <c r="T1198">
        <v>-8.1547259999999996E-2</v>
      </c>
      <c r="U1198">
        <v>0.15597529999999901</v>
      </c>
      <c r="V1198">
        <v>0.3158511</v>
      </c>
      <c r="W1198">
        <v>0.15190909999999999</v>
      </c>
      <c r="X1198">
        <v>0.93656910000000004</v>
      </c>
      <c r="Y1198">
        <v>0.47150170000000002</v>
      </c>
      <c r="Z1198">
        <v>1.3392309999999999E-2</v>
      </c>
      <c r="AA1198">
        <v>0.88176350000000003</v>
      </c>
      <c r="AB1198">
        <v>30</v>
      </c>
      <c r="AC1198">
        <v>-41.560600000000001</v>
      </c>
      <c r="AD1198">
        <v>-1.10307008754599</v>
      </c>
      <c r="AE1198">
        <v>2.2357</v>
      </c>
      <c r="AF1198">
        <v>19.745758791027299</v>
      </c>
      <c r="AG1198">
        <v>-1.10307008754599</v>
      </c>
      <c r="AH1198">
        <v>36.605407673789003</v>
      </c>
      <c r="AI1198">
        <v>91.519216308103196</v>
      </c>
      <c r="AJ1198">
        <v>61.656604318390599</v>
      </c>
      <c r="AK1198">
        <v>41.606100812450102</v>
      </c>
      <c r="AL1198">
        <v>81.262421936388805</v>
      </c>
      <c r="AM1198">
        <v>71.363696529395796</v>
      </c>
      <c r="AN1198">
        <v>0.99999998555441405</v>
      </c>
    </row>
    <row r="1199" spans="1:40" x14ac:dyDescent="0.25">
      <c r="A1199" t="str">
        <f>"20190303162524390"</f>
        <v>20190303162524390</v>
      </c>
      <c r="B1199" t="str">
        <f>"1551601524383896"</f>
        <v>1551601524383896</v>
      </c>
      <c r="C1199" t="s">
        <v>40</v>
      </c>
      <c r="D1199">
        <v>5.1642070000000002</v>
      </c>
      <c r="E1199">
        <v>0.56613899999999995</v>
      </c>
      <c r="F1199" t="s">
        <v>48</v>
      </c>
      <c r="G1199">
        <v>-255.47309999999999</v>
      </c>
      <c r="H1199" s="1">
        <v>1.375721E-6</v>
      </c>
      <c r="I1199">
        <v>288.39830000000001</v>
      </c>
      <c r="J1199">
        <v>-205.2287</v>
      </c>
      <c r="K1199">
        <v>1.103051</v>
      </c>
      <c r="L1199">
        <v>284.99700000000001</v>
      </c>
      <c r="M1199">
        <v>-0.91417630000000005</v>
      </c>
      <c r="N1199">
        <v>-1.9033560000000001E-2</v>
      </c>
      <c r="O1199">
        <v>-0.4048696</v>
      </c>
      <c r="P1199">
        <v>-0.98351239999999995</v>
      </c>
      <c r="Q1199">
        <v>0.14795810000000001</v>
      </c>
      <c r="R1199">
        <v>-0.1039799</v>
      </c>
      <c r="S1199">
        <v>-3.0914000000000001</v>
      </c>
      <c r="T1199">
        <v>-6.7455890000000004E-2</v>
      </c>
      <c r="U1199">
        <v>0.20047000000000001</v>
      </c>
      <c r="V1199">
        <v>0.31010520000000003</v>
      </c>
      <c r="W1199">
        <v>0.15253449999999999</v>
      </c>
      <c r="X1199">
        <v>0.93838580000000005</v>
      </c>
      <c r="Y1199">
        <v>0.46306429999999998</v>
      </c>
      <c r="Z1199">
        <v>1.0269169999999999E-2</v>
      </c>
      <c r="AA1199">
        <v>0.88626519999999998</v>
      </c>
      <c r="AB1199">
        <v>30</v>
      </c>
      <c r="AC1199">
        <v>-50.244399999999899</v>
      </c>
      <c r="AD1199">
        <v>-1.103049624279</v>
      </c>
      <c r="AE1199">
        <v>3.4012999999999902</v>
      </c>
      <c r="AF1199">
        <v>23.444819407303601</v>
      </c>
      <c r="AG1199">
        <v>-1.103049624279</v>
      </c>
      <c r="AH1199">
        <v>44.5418604142343</v>
      </c>
      <c r="AI1199">
        <v>91.255382272196002</v>
      </c>
      <c r="AJ1199">
        <v>62.239711775961297</v>
      </c>
      <c r="AK1199">
        <v>50.347329667777203</v>
      </c>
      <c r="AL1199">
        <v>81.226166415511997</v>
      </c>
      <c r="AM1199">
        <v>71.713002703485799</v>
      </c>
      <c r="AN1199">
        <v>0.99999995919946405</v>
      </c>
    </row>
    <row r="1200" spans="1:40" x14ac:dyDescent="0.25">
      <c r="A1200" t="str">
        <f>"20190303162524414"</f>
        <v>20190303162524414</v>
      </c>
      <c r="B1200" t="str">
        <f>"1551601524404392"</f>
        <v>1551601524404392</v>
      </c>
      <c r="C1200" t="s">
        <v>40</v>
      </c>
      <c r="D1200">
        <v>5.0994260000000002</v>
      </c>
      <c r="E1200">
        <v>0.5643686</v>
      </c>
      <c r="F1200" t="s">
        <v>48</v>
      </c>
      <c r="G1200">
        <v>-256.25080000000003</v>
      </c>
      <c r="H1200" s="1">
        <v>1.7895669999999999E-6</v>
      </c>
      <c r="I1200">
        <v>288.34589999999997</v>
      </c>
      <c r="J1200">
        <v>-205.5204</v>
      </c>
      <c r="K1200">
        <v>1.103035</v>
      </c>
      <c r="L1200">
        <v>284.88819999999998</v>
      </c>
      <c r="M1200">
        <v>-0.92311049999999994</v>
      </c>
      <c r="N1200">
        <v>-1.9058889999999998E-2</v>
      </c>
      <c r="O1200">
        <v>-0.38406249999999997</v>
      </c>
      <c r="P1200">
        <v>-0.98493799999999998</v>
      </c>
      <c r="Q1200">
        <v>0.14894569999999999</v>
      </c>
      <c r="R1200">
        <v>-8.782181E-2</v>
      </c>
      <c r="S1200">
        <v>-3.0817260000000002</v>
      </c>
      <c r="T1200">
        <v>-6.6624050000000004E-2</v>
      </c>
      <c r="U1200">
        <v>0.20227049999999999</v>
      </c>
      <c r="V1200">
        <v>0.30422830000000001</v>
      </c>
      <c r="W1200">
        <v>0.15382939999999901</v>
      </c>
      <c r="X1200">
        <v>0.94009659999999995</v>
      </c>
      <c r="Y1200">
        <v>0.44358880000000001</v>
      </c>
      <c r="Z1200">
        <v>9.7408340000000003E-3</v>
      </c>
      <c r="AA1200">
        <v>0.89617749999999996</v>
      </c>
      <c r="AB1200">
        <v>30</v>
      </c>
      <c r="AC1200">
        <v>-50.730400000000003</v>
      </c>
      <c r="AD1200">
        <v>-1.1030332104330001</v>
      </c>
      <c r="AE1200">
        <v>3.45769999999998</v>
      </c>
      <c r="AF1200">
        <v>22.668932751316401</v>
      </c>
      <c r="AG1200">
        <v>-1.1030332104330001</v>
      </c>
      <c r="AH1200">
        <v>45.488647082310102</v>
      </c>
      <c r="AI1200">
        <v>91.243290589486506</v>
      </c>
      <c r="AJ1200">
        <v>63.510966683867302</v>
      </c>
      <c r="AK1200">
        <v>50.836150599017401</v>
      </c>
      <c r="AL1200">
        <v>81.151088213039003</v>
      </c>
      <c r="AM1200">
        <v>72.067699706103298</v>
      </c>
      <c r="AN1200">
        <v>0.99999998007840396</v>
      </c>
    </row>
    <row r="1201" spans="1:40" x14ac:dyDescent="0.25">
      <c r="A1201" t="str">
        <f>"20190303162524456"</f>
        <v>20190303162524456</v>
      </c>
      <c r="B1201" t="str">
        <f>"1551601524444408"</f>
        <v>1551601524444408</v>
      </c>
      <c r="C1201" t="s">
        <v>40</v>
      </c>
      <c r="D1201">
        <v>4.8955859999999998</v>
      </c>
      <c r="E1201">
        <v>0.56257979999999996</v>
      </c>
      <c r="F1201" t="s">
        <v>48</v>
      </c>
      <c r="G1201">
        <v>-250.268</v>
      </c>
      <c r="H1201" s="1">
        <v>-1.3941590000000001E-6</v>
      </c>
      <c r="I1201">
        <v>288.3578</v>
      </c>
      <c r="J1201">
        <v>-206.05860000000001</v>
      </c>
      <c r="K1201">
        <v>1.10304</v>
      </c>
      <c r="L1201">
        <v>284.7072</v>
      </c>
      <c r="M1201">
        <v>-0.93823630000000002</v>
      </c>
      <c r="N1201">
        <v>-1.908665E-2</v>
      </c>
      <c r="O1201">
        <v>-0.34546860000000001</v>
      </c>
      <c r="P1201">
        <v>-0.98608600000000002</v>
      </c>
      <c r="Q1201">
        <v>0.15141589999999999</v>
      </c>
      <c r="R1201">
        <v>-6.861449E-2</v>
      </c>
      <c r="S1201">
        <v>-3.0786289999999998</v>
      </c>
      <c r="T1201">
        <v>-7.5888629999999999E-2</v>
      </c>
      <c r="U1201">
        <v>0.23870849999999999</v>
      </c>
      <c r="V1201">
        <v>0.28343020000000002</v>
      </c>
      <c r="W1201">
        <v>0.15735270000000001</v>
      </c>
      <c r="X1201">
        <v>0.94599549999999999</v>
      </c>
      <c r="Y1201">
        <v>0.41681859999999998</v>
      </c>
      <c r="Z1201">
        <v>1.0842360000000001E-2</v>
      </c>
      <c r="AA1201">
        <v>0.90892510000000004</v>
      </c>
      <c r="AB1201">
        <v>30</v>
      </c>
      <c r="AC1201">
        <v>-44.209399999999903</v>
      </c>
      <c r="AD1201">
        <v>-1.103041394159</v>
      </c>
      <c r="AE1201">
        <v>3.6505999999999901</v>
      </c>
      <c r="AF1201">
        <v>18.689933711746502</v>
      </c>
      <c r="AG1201">
        <v>-1.103041394159</v>
      </c>
      <c r="AH1201">
        <v>40.2001636931302</v>
      </c>
      <c r="AI1201">
        <v>91.425289355195801</v>
      </c>
      <c r="AJ1201">
        <v>65.065254957679898</v>
      </c>
      <c r="AK1201">
        <v>44.346177776908497</v>
      </c>
      <c r="AL1201">
        <v>80.946729446246295</v>
      </c>
      <c r="AM1201">
        <v>73.321231155130803</v>
      </c>
      <c r="AN1201">
        <v>1.0000000182447799</v>
      </c>
    </row>
    <row r="1202" spans="1:40" x14ac:dyDescent="0.25">
      <c r="A1202" t="str">
        <f>"20190303162524479"</f>
        <v>20190303162524479</v>
      </c>
      <c r="B1202" t="str">
        <f>"1551601524473688"</f>
        <v>1551601524473688</v>
      </c>
      <c r="C1202" t="s">
        <v>40</v>
      </c>
      <c r="D1202">
        <v>4.8886849999999997</v>
      </c>
      <c r="E1202">
        <v>0.56150419999999901</v>
      </c>
      <c r="F1202" t="s">
        <v>48</v>
      </c>
      <c r="G1202">
        <v>-252.82470000000001</v>
      </c>
      <c r="H1202" s="1">
        <v>-3.3639309999999901E-8</v>
      </c>
      <c r="I1202">
        <v>289.11739999999998</v>
      </c>
      <c r="J1202">
        <v>-206.3663</v>
      </c>
      <c r="K1202">
        <v>1.1030530000000001</v>
      </c>
      <c r="L1202">
        <v>284.6148</v>
      </c>
      <c r="M1202">
        <v>-0.94610170000000005</v>
      </c>
      <c r="N1202">
        <v>-1.9088549999999999E-2</v>
      </c>
      <c r="O1202">
        <v>-0.32330740000000002</v>
      </c>
      <c r="P1202">
        <v>-0.9871896</v>
      </c>
      <c r="Q1202">
        <v>0.149507</v>
      </c>
      <c r="R1202">
        <v>-5.5722470000000003E-2</v>
      </c>
      <c r="S1202">
        <v>-3.0736240000000001</v>
      </c>
      <c r="T1202">
        <v>-7.2495459999999998E-2</v>
      </c>
      <c r="U1202">
        <v>0.289856</v>
      </c>
      <c r="V1202">
        <v>0.27351120000000001</v>
      </c>
      <c r="W1202">
        <v>0.15594740000000001</v>
      </c>
      <c r="X1202">
        <v>0.94914279999999995</v>
      </c>
      <c r="Y1202">
        <v>0.41057759999999999</v>
      </c>
      <c r="Z1202">
        <v>1.007125E-2</v>
      </c>
      <c r="AA1202">
        <v>0.91176999999999997</v>
      </c>
      <c r="AB1202">
        <v>29</v>
      </c>
      <c r="AC1202">
        <v>-46.458399999999997</v>
      </c>
      <c r="AD1202">
        <v>-1.1030530336393101</v>
      </c>
      <c r="AE1202">
        <v>4.50259999999997</v>
      </c>
      <c r="AF1202">
        <v>19.273007511377799</v>
      </c>
      <c r="AG1202">
        <v>-1.1030530336393101</v>
      </c>
      <c r="AH1202">
        <v>42.482656506085803</v>
      </c>
      <c r="AI1202">
        <v>91.354522481796096</v>
      </c>
      <c r="AJ1202">
        <v>65.597740788965098</v>
      </c>
      <c r="AK1202">
        <v>46.663065140887703</v>
      </c>
      <c r="AL1202">
        <v>81.028253633883907</v>
      </c>
      <c r="AM1202">
        <v>73.924788465210398</v>
      </c>
      <c r="AN1202">
        <v>1.00000001144202</v>
      </c>
    </row>
    <row r="1203" spans="1:40" x14ac:dyDescent="0.25">
      <c r="A1203" t="str">
        <f>"20190303162524501"</f>
        <v>20190303162524501</v>
      </c>
      <c r="B1203" t="str">
        <f>"1551601524494184"</f>
        <v>1551601524494184</v>
      </c>
      <c r="C1203" t="s">
        <v>40</v>
      </c>
      <c r="D1203">
        <v>4.8074960000000004</v>
      </c>
      <c r="E1203">
        <v>0.56081650000000005</v>
      </c>
      <c r="F1203" t="s">
        <v>48</v>
      </c>
      <c r="G1203">
        <v>-246.47499999999999</v>
      </c>
      <c r="H1203" s="1">
        <v>1.9088639999999999E-6</v>
      </c>
      <c r="I1203">
        <v>288.83550000000002</v>
      </c>
      <c r="J1203">
        <v>-206.64959999999999</v>
      </c>
      <c r="K1203">
        <v>1.103086</v>
      </c>
      <c r="L1203">
        <v>284.53719999999998</v>
      </c>
      <c r="M1203">
        <v>-0.95284279999999999</v>
      </c>
      <c r="N1203">
        <v>-1.9079769999999999E-2</v>
      </c>
      <c r="O1203">
        <v>-0.30286439999999998</v>
      </c>
      <c r="P1203">
        <v>-0.98778869999999996</v>
      </c>
      <c r="Q1203">
        <v>0.14889820000000001</v>
      </c>
      <c r="R1203">
        <v>-4.5858929999999999E-2</v>
      </c>
      <c r="S1203">
        <v>-3.0699619999999999</v>
      </c>
      <c r="T1203">
        <v>-8.4428669999999997E-2</v>
      </c>
      <c r="U1203">
        <v>0.32305909999999999</v>
      </c>
      <c r="V1203">
        <v>0.26250709999999999</v>
      </c>
      <c r="W1203">
        <v>0.1558852</v>
      </c>
      <c r="X1203">
        <v>0.95225510000000002</v>
      </c>
      <c r="Y1203">
        <v>0.40073249999999999</v>
      </c>
      <c r="Z1203">
        <v>1.175794E-2</v>
      </c>
      <c r="AA1203">
        <v>0.91611960000000003</v>
      </c>
      <c r="AB1203">
        <v>29</v>
      </c>
      <c r="AC1203">
        <v>-39.825400000000002</v>
      </c>
      <c r="AD1203">
        <v>-1.103084091136</v>
      </c>
      <c r="AE1203">
        <v>4.2983000000000402</v>
      </c>
      <c r="AF1203">
        <v>16.147993760964901</v>
      </c>
      <c r="AG1203">
        <v>-1.103084091136</v>
      </c>
      <c r="AH1203">
        <v>36.624436404921298</v>
      </c>
      <c r="AI1203">
        <v>91.578612641733002</v>
      </c>
      <c r="AJ1203">
        <v>66.206951181972897</v>
      </c>
      <c r="AK1203">
        <v>40.041526431873201</v>
      </c>
      <c r="AL1203">
        <v>81.031861219413102</v>
      </c>
      <c r="AM1203">
        <v>74.588125155216602</v>
      </c>
      <c r="AN1203">
        <v>0.99999997430272902</v>
      </c>
    </row>
    <row r="1204" spans="1:40" x14ac:dyDescent="0.25">
      <c r="A1204" t="str">
        <f>"20190303162524522"</f>
        <v>20190303162524522</v>
      </c>
      <c r="B1204" t="str">
        <f>"1551601524513703"</f>
        <v>1551601524513703</v>
      </c>
      <c r="C1204" t="s">
        <v>40</v>
      </c>
      <c r="D1204">
        <v>4.7679739999999997</v>
      </c>
      <c r="E1204">
        <v>0.56010760000000004</v>
      </c>
      <c r="F1204" t="s">
        <v>48</v>
      </c>
      <c r="G1204">
        <v>-244.38939999999999</v>
      </c>
      <c r="H1204" s="1">
        <v>7.9905170000000002E-7</v>
      </c>
      <c r="I1204">
        <v>288.8331</v>
      </c>
      <c r="J1204">
        <v>-206.9254</v>
      </c>
      <c r="K1204">
        <v>1.103132</v>
      </c>
      <c r="L1204">
        <v>284.46800000000002</v>
      </c>
      <c r="M1204">
        <v>-0.95894869999999999</v>
      </c>
      <c r="N1204">
        <v>-1.9062579999999999E-2</v>
      </c>
      <c r="O1204">
        <v>-0.28293889999999999</v>
      </c>
      <c r="P1204">
        <v>-0.98798200000000003</v>
      </c>
      <c r="Q1204">
        <v>0.15000479999999899</v>
      </c>
      <c r="R1204">
        <v>-3.7289910000000002E-2</v>
      </c>
      <c r="S1204">
        <v>-3.0668030000000002</v>
      </c>
      <c r="T1204">
        <v>-8.9638709999999996E-2</v>
      </c>
      <c r="U1204">
        <v>0.34909059999999997</v>
      </c>
      <c r="V1204">
        <v>0.25086009999999997</v>
      </c>
      <c r="W1204">
        <v>0.15755849999999999</v>
      </c>
      <c r="X1204">
        <v>0.95511500000000005</v>
      </c>
      <c r="Y1204">
        <v>0.38936690000000002</v>
      </c>
      <c r="Z1204">
        <v>1.2173659999999999E-2</v>
      </c>
      <c r="AA1204">
        <v>0.92100230000000005</v>
      </c>
      <c r="AB1204">
        <v>29</v>
      </c>
      <c r="AC1204">
        <v>-37.463999999999999</v>
      </c>
      <c r="AD1204">
        <v>-1.1031312009483001</v>
      </c>
      <c r="AE1204">
        <v>4.3650999999999804</v>
      </c>
      <c r="AF1204">
        <v>14.775974685122</v>
      </c>
      <c r="AG1204">
        <v>-1.1031312009483001</v>
      </c>
      <c r="AH1204">
        <v>34.667640364944702</v>
      </c>
      <c r="AI1204">
        <v>91.676698263486898</v>
      </c>
      <c r="AJ1204">
        <v>66.915421049629302</v>
      </c>
      <c r="AK1204">
        <v>37.701347652504602</v>
      </c>
      <c r="AL1204">
        <v>80.934789476420093</v>
      </c>
      <c r="AM1204">
        <v>75.283704025228303</v>
      </c>
      <c r="AN1204">
        <v>1.0000000669596201</v>
      </c>
    </row>
    <row r="1205" spans="1:40" x14ac:dyDescent="0.25">
      <c r="A1205" t="str">
        <f>"20190303162524542"</f>
        <v>20190303162524542</v>
      </c>
      <c r="B1205" t="str">
        <f>"1551601524534199"</f>
        <v>1551601524534199</v>
      </c>
      <c r="C1205" t="s">
        <v>40</v>
      </c>
      <c r="D1205">
        <v>4.7732299999999999</v>
      </c>
      <c r="E1205">
        <v>0.55949589999999905</v>
      </c>
      <c r="F1205" t="s">
        <v>48</v>
      </c>
      <c r="G1205">
        <v>-242.8595</v>
      </c>
      <c r="H1205" s="1">
        <v>-1.5087040000000001E-8</v>
      </c>
      <c r="I1205">
        <v>288.83440000000002</v>
      </c>
      <c r="J1205">
        <v>-207.202</v>
      </c>
      <c r="K1205">
        <v>1.103186</v>
      </c>
      <c r="L1205">
        <v>284.40480000000002</v>
      </c>
      <c r="M1205">
        <v>-0.96462709999999996</v>
      </c>
      <c r="N1205">
        <v>-1.903705E-2</v>
      </c>
      <c r="O1205">
        <v>-0.26292959999999999</v>
      </c>
      <c r="P1205">
        <v>-0.98794000000000004</v>
      </c>
      <c r="Q1205">
        <v>0.15193570000000001</v>
      </c>
      <c r="R1205">
        <v>-2.983237E-2</v>
      </c>
      <c r="S1205">
        <v>-3.064835</v>
      </c>
      <c r="T1205">
        <v>-9.4086530000000002E-2</v>
      </c>
      <c r="U1205">
        <v>0.37240600000000001</v>
      </c>
      <c r="V1205">
        <v>0.23813770000000001</v>
      </c>
      <c r="W1205">
        <v>0.16009789999999999</v>
      </c>
      <c r="X1205">
        <v>0.95794520000000005</v>
      </c>
      <c r="Y1205">
        <v>0.37713390000000002</v>
      </c>
      <c r="Z1205">
        <v>1.235925E-2</v>
      </c>
      <c r="AA1205">
        <v>0.92607620000000002</v>
      </c>
      <c r="AB1205">
        <v>29</v>
      </c>
      <c r="AC1205">
        <v>-35.657499999999999</v>
      </c>
      <c r="AD1205">
        <v>-1.1031860150870401</v>
      </c>
      <c r="AE1205">
        <v>4.42959999999999</v>
      </c>
      <c r="AF1205">
        <v>13.6379437755262</v>
      </c>
      <c r="AG1205">
        <v>-1.1031860150870401</v>
      </c>
      <c r="AH1205">
        <v>33.206242643850103</v>
      </c>
      <c r="AI1205">
        <v>91.760222449466497</v>
      </c>
      <c r="AJ1205">
        <v>67.671837411491794</v>
      </c>
      <c r="AK1205">
        <v>35.914691705909902</v>
      </c>
      <c r="AL1205">
        <v>80.787420841347199</v>
      </c>
      <c r="AM1205">
        <v>76.039698144175404</v>
      </c>
      <c r="AN1205">
        <v>0.99999995397436903</v>
      </c>
    </row>
    <row r="1206" spans="1:40" x14ac:dyDescent="0.25">
      <c r="A1206" t="str">
        <f>"20190303162524566"</f>
        <v>20190303162524566</v>
      </c>
      <c r="B1206" t="str">
        <f>"1551601524553721"</f>
        <v>1551601524553721</v>
      </c>
      <c r="C1206" t="s">
        <v>40</v>
      </c>
      <c r="D1206">
        <v>4.7182810000000002</v>
      </c>
      <c r="E1206">
        <v>0.55890649999999997</v>
      </c>
      <c r="F1206" t="s">
        <v>48</v>
      </c>
      <c r="G1206">
        <v>-243.7216</v>
      </c>
      <c r="H1206" s="1">
        <v>4.4365129999999998E-7</v>
      </c>
      <c r="I1206">
        <v>289.09460000000001</v>
      </c>
      <c r="J1206">
        <v>-207.50319999999999</v>
      </c>
      <c r="K1206">
        <v>1.1032569999999999</v>
      </c>
      <c r="L1206">
        <v>284.34300000000002</v>
      </c>
      <c r="M1206">
        <v>-0.97030870000000002</v>
      </c>
      <c r="N1206">
        <v>-1.9001290000000001E-2</v>
      </c>
      <c r="O1206">
        <v>-0.24112259999999999</v>
      </c>
      <c r="P1206">
        <v>-0.98770380000000002</v>
      </c>
      <c r="Q1206">
        <v>0.15498919999999999</v>
      </c>
      <c r="R1206">
        <v>-2.0479480000000001E-2</v>
      </c>
      <c r="S1206">
        <v>-3.062729</v>
      </c>
      <c r="T1206">
        <v>-9.2519039999999997E-2</v>
      </c>
      <c r="U1206">
        <v>0.39331050000000001</v>
      </c>
      <c r="V1206">
        <v>0.2255587</v>
      </c>
      <c r="W1206">
        <v>0.1637422</v>
      </c>
      <c r="X1206">
        <v>0.96037070000000002</v>
      </c>
      <c r="Y1206">
        <v>0.36253540000000001</v>
      </c>
      <c r="Z1206">
        <v>1.1558850000000001E-2</v>
      </c>
      <c r="AA1206">
        <v>0.93189829999999996</v>
      </c>
      <c r="AB1206">
        <v>29</v>
      </c>
      <c r="AC1206">
        <v>-36.218400000000003</v>
      </c>
      <c r="AD1206">
        <v>-1.1032565563487</v>
      </c>
      <c r="AE1206">
        <v>4.7515999999999901</v>
      </c>
      <c r="AF1206">
        <v>13.3338392853919</v>
      </c>
      <c r="AG1206">
        <v>-1.1032565563487</v>
      </c>
      <c r="AH1206">
        <v>33.972458077023397</v>
      </c>
      <c r="AI1206">
        <v>91.731521834030701</v>
      </c>
      <c r="AJ1206">
        <v>68.570504934630193</v>
      </c>
      <c r="AK1206">
        <v>36.512139801891898</v>
      </c>
      <c r="AL1206">
        <v>80.575826448105701</v>
      </c>
      <c r="AM1206">
        <v>76.782709293152493</v>
      </c>
      <c r="AN1206">
        <v>1.0000000583124999</v>
      </c>
    </row>
    <row r="1207" spans="1:40" x14ac:dyDescent="0.25">
      <c r="A1207" t="str">
        <f>"20190303162524589"</f>
        <v>20190303162524589</v>
      </c>
      <c r="B1207" t="str">
        <f>"1551601524583977"</f>
        <v>1551601524583977</v>
      </c>
      <c r="C1207" t="s">
        <v>40</v>
      </c>
      <c r="D1207">
        <v>4.6116900000000003</v>
      </c>
      <c r="E1207">
        <v>0.55849439999999995</v>
      </c>
      <c r="F1207" t="s">
        <v>48</v>
      </c>
      <c r="G1207">
        <v>-245.4752</v>
      </c>
      <c r="H1207" s="1">
        <v>1.3768220000000001E-6</v>
      </c>
      <c r="I1207">
        <v>289.53649999999999</v>
      </c>
      <c r="J1207">
        <v>-207.80869999999999</v>
      </c>
      <c r="K1207">
        <v>1.1033539999999999</v>
      </c>
      <c r="L1207">
        <v>284.2876</v>
      </c>
      <c r="M1207">
        <v>-0.97554450000000004</v>
      </c>
      <c r="N1207">
        <v>-1.8958329999999999E-2</v>
      </c>
      <c r="O1207">
        <v>-0.2189836</v>
      </c>
      <c r="P1207">
        <v>-0.98729029999999995</v>
      </c>
      <c r="Q1207">
        <v>0.15870909999999999</v>
      </c>
      <c r="R1207">
        <v>-8.3403049999999992E-3</v>
      </c>
      <c r="S1207">
        <v>-3.0599820000000002</v>
      </c>
      <c r="T1207">
        <v>-8.8906170000000007E-2</v>
      </c>
      <c r="U1207">
        <v>0.4185181</v>
      </c>
      <c r="V1207">
        <v>0.21547330000000001</v>
      </c>
      <c r="W1207">
        <v>0.16792449999999901</v>
      </c>
      <c r="X1207">
        <v>0.96196289999999995</v>
      </c>
      <c r="Y1207">
        <v>0.34897240000000002</v>
      </c>
      <c r="Z1207">
        <v>1.054394E-2</v>
      </c>
      <c r="AA1207">
        <v>0.93707370000000001</v>
      </c>
      <c r="AB1207">
        <v>29</v>
      </c>
      <c r="AC1207">
        <v>-37.666499999999999</v>
      </c>
      <c r="AD1207">
        <v>-1.103352623178</v>
      </c>
      <c r="AE1207">
        <v>5.2488999999999901</v>
      </c>
      <c r="AF1207">
        <v>13.3600370485883</v>
      </c>
      <c r="AG1207">
        <v>-1.103352623178</v>
      </c>
      <c r="AH1207">
        <v>35.572375238843001</v>
      </c>
      <c r="AI1207">
        <v>91.663216290811604</v>
      </c>
      <c r="AJ1207">
        <v>69.415158453152202</v>
      </c>
      <c r="AK1207">
        <v>38.014495354848201</v>
      </c>
      <c r="AL1207">
        <v>80.332833038408793</v>
      </c>
      <c r="AM1207">
        <v>77.3745255113448</v>
      </c>
      <c r="AN1207">
        <v>1.00000000084477</v>
      </c>
    </row>
    <row r="1208" spans="1:40" x14ac:dyDescent="0.25">
      <c r="A1208" t="str">
        <f>"20190303162524613"</f>
        <v>20190303162524613</v>
      </c>
      <c r="B1208" t="str">
        <f>"1551601524604472"</f>
        <v>1551601524604472</v>
      </c>
      <c r="C1208" t="s">
        <v>40</v>
      </c>
      <c r="D1208">
        <v>4.5961749999999997</v>
      </c>
      <c r="E1208">
        <v>0.55820950000000003</v>
      </c>
      <c r="F1208" t="s">
        <v>48</v>
      </c>
      <c r="G1208">
        <v>-244.35210000000001</v>
      </c>
      <c r="H1208">
        <v>8.0001290000000003E-2</v>
      </c>
      <c r="I1208">
        <v>289.68329999999997</v>
      </c>
      <c r="J1208">
        <v>-208.11619999999999</v>
      </c>
      <c r="K1208">
        <v>1.103448</v>
      </c>
      <c r="L1208">
        <v>284.23899999999998</v>
      </c>
      <c r="M1208">
        <v>-0.9802826</v>
      </c>
      <c r="N1208">
        <v>-1.8910280000000002E-2</v>
      </c>
      <c r="O1208">
        <v>-0.19669449999999999</v>
      </c>
      <c r="P1208">
        <v>-0.986703</v>
      </c>
      <c r="Q1208">
        <v>0.16240439999999901</v>
      </c>
      <c r="R1208">
        <v>6.5020809999999998E-3</v>
      </c>
      <c r="S1208">
        <v>-3.0562130000000001</v>
      </c>
      <c r="T1208">
        <v>-8.5585590000000003E-2</v>
      </c>
      <c r="U1208">
        <v>0.45126339999999998</v>
      </c>
      <c r="V1208">
        <v>0.20799000000000001</v>
      </c>
      <c r="W1208">
        <v>0.17195529999999901</v>
      </c>
      <c r="X1208">
        <v>0.96289749999999996</v>
      </c>
      <c r="Y1208">
        <v>0.33761000000000002</v>
      </c>
      <c r="Z1208">
        <v>9.6773580000000005E-3</v>
      </c>
      <c r="AA1208">
        <v>0.94123630000000003</v>
      </c>
      <c r="AB1208">
        <v>29</v>
      </c>
      <c r="AC1208">
        <v>-36.235900000000001</v>
      </c>
      <c r="AD1208">
        <v>-1.02344671</v>
      </c>
      <c r="AE1208">
        <v>5.4442999999999397</v>
      </c>
      <c r="AF1208">
        <v>12.456864366563</v>
      </c>
      <c r="AG1208">
        <v>-1.02344671</v>
      </c>
      <c r="AH1208">
        <v>34.429855415646202</v>
      </c>
      <c r="AI1208">
        <v>91.601131732796006</v>
      </c>
      <c r="AJ1208">
        <v>70.109666184484794</v>
      </c>
      <c r="AK1208">
        <v>36.628347723552302</v>
      </c>
      <c r="AL1208">
        <v>80.098476476340807</v>
      </c>
      <c r="AM1208">
        <v>77.811131434867207</v>
      </c>
      <c r="AN1208">
        <v>1.0000000304021599</v>
      </c>
    </row>
    <row r="1209" spans="1:40" x14ac:dyDescent="0.25">
      <c r="A1209" t="str">
        <f>"20190303162524634"</f>
        <v>20190303162524634</v>
      </c>
      <c r="B1209" t="str">
        <f>"1551601524626919"</f>
        <v>1551601524626919</v>
      </c>
      <c r="C1209" t="s">
        <v>40</v>
      </c>
      <c r="D1209">
        <v>4.6464939999999997</v>
      </c>
      <c r="E1209">
        <v>0.55784730000000005</v>
      </c>
      <c r="F1209" t="s">
        <v>48</v>
      </c>
      <c r="G1209">
        <v>-247.86519999999999</v>
      </c>
      <c r="H1209">
        <v>8.0000859999999993E-2</v>
      </c>
      <c r="I1209">
        <v>290.66989999999998</v>
      </c>
      <c r="J1209">
        <v>-208.40729999999999</v>
      </c>
      <c r="K1209">
        <v>1.103529</v>
      </c>
      <c r="L1209">
        <v>284.19959999999998</v>
      </c>
      <c r="M1209">
        <v>-0.98428150000000003</v>
      </c>
      <c r="N1209">
        <v>-1.8861389999999999E-2</v>
      </c>
      <c r="O1209">
        <v>-0.17559629999999901</v>
      </c>
      <c r="P1209">
        <v>-0.98629920000000004</v>
      </c>
      <c r="Q1209">
        <v>0.1637593</v>
      </c>
      <c r="R1209">
        <v>1.992118E-2</v>
      </c>
      <c r="S1209">
        <v>-3.0501100000000001</v>
      </c>
      <c r="T1209">
        <v>-7.8533290000000006E-2</v>
      </c>
      <c r="U1209">
        <v>0.4934692</v>
      </c>
      <c r="V1209">
        <v>0.20036100000000001</v>
      </c>
      <c r="W1209">
        <v>0.173655</v>
      </c>
      <c r="X1209">
        <v>0.96420919999999999</v>
      </c>
      <c r="Y1209">
        <v>0.33041130000000002</v>
      </c>
      <c r="Z1209">
        <v>8.5604730000000007E-3</v>
      </c>
      <c r="AA1209">
        <v>0.94379820000000003</v>
      </c>
      <c r="AB1209">
        <v>29</v>
      </c>
      <c r="AC1209">
        <v>-39.457900000000002</v>
      </c>
      <c r="AD1209">
        <v>-1.02352814</v>
      </c>
      <c r="AE1209">
        <v>6.4702999999999999</v>
      </c>
      <c r="AF1209">
        <v>13.2909156110211</v>
      </c>
      <c r="AG1209">
        <v>-1.02352814</v>
      </c>
      <c r="AH1209">
        <v>37.683538243638999</v>
      </c>
      <c r="AI1209">
        <v>91.467290627240004</v>
      </c>
      <c r="AJ1209">
        <v>70.572346237504803</v>
      </c>
      <c r="AK1209">
        <v>39.971803839612498</v>
      </c>
      <c r="AL1209">
        <v>79.999602930785997</v>
      </c>
      <c r="AM1209">
        <v>78.261096040791003</v>
      </c>
      <c r="AN1209">
        <v>0.99999998535531898</v>
      </c>
    </row>
    <row r="1210" spans="1:40" x14ac:dyDescent="0.25">
      <c r="A1210" t="str">
        <f>"20190303162524657"</f>
        <v>20190303162524657</v>
      </c>
      <c r="B1210" t="str">
        <f>"1551601524645464"</f>
        <v>1551601524645464</v>
      </c>
      <c r="C1210" t="s">
        <v>40</v>
      </c>
      <c r="D1210">
        <v>4.6378830000000004</v>
      </c>
      <c r="E1210">
        <v>0.55237230000000004</v>
      </c>
      <c r="F1210" t="s">
        <v>48</v>
      </c>
      <c r="G1210">
        <v>-248.4992</v>
      </c>
      <c r="H1210">
        <v>8.0001039999999995E-2</v>
      </c>
      <c r="I1210">
        <v>291.22559999999999</v>
      </c>
      <c r="J1210">
        <v>-208.69669999999999</v>
      </c>
      <c r="K1210">
        <v>1.103637</v>
      </c>
      <c r="L1210">
        <v>284.16680000000002</v>
      </c>
      <c r="M1210">
        <v>-0.98779039999999996</v>
      </c>
      <c r="N1210">
        <v>-1.8809030000000001E-2</v>
      </c>
      <c r="O1210">
        <v>-0.15464990000000001</v>
      </c>
      <c r="P1210">
        <v>-0.98587239999999998</v>
      </c>
      <c r="Q1210">
        <v>0.16517850000000001</v>
      </c>
      <c r="R1210">
        <v>2.7782890000000001E-2</v>
      </c>
      <c r="S1210">
        <v>-3.0438079999999998</v>
      </c>
      <c r="T1210">
        <v>-7.770705E-2</v>
      </c>
      <c r="U1210">
        <v>0.53341669999999997</v>
      </c>
      <c r="V1210">
        <v>0.18749740000000001</v>
      </c>
      <c r="W1210">
        <v>0.17565459999999999</v>
      </c>
      <c r="X1210">
        <v>0.9664317</v>
      </c>
      <c r="Y1210">
        <v>0.32271159999999999</v>
      </c>
      <c r="Z1210">
        <v>8.1797080000000008E-3</v>
      </c>
      <c r="AA1210">
        <v>0.94646200000000003</v>
      </c>
      <c r="AB1210">
        <v>29</v>
      </c>
      <c r="AC1210">
        <v>-39.802500000000002</v>
      </c>
      <c r="AD1210">
        <v>-1.02363596</v>
      </c>
      <c r="AE1210">
        <v>7.0587999999999598</v>
      </c>
      <c r="AF1210">
        <v>13.1219743920872</v>
      </c>
      <c r="AG1210">
        <v>-1.02363596</v>
      </c>
      <c r="AH1210">
        <v>38.207143371380603</v>
      </c>
      <c r="AI1210">
        <v>91.451506183400497</v>
      </c>
      <c r="AJ1210">
        <v>71.045326722582203</v>
      </c>
      <c r="AK1210">
        <v>40.410640271176398</v>
      </c>
      <c r="AL1210">
        <v>79.883246202447793</v>
      </c>
      <c r="AM1210">
        <v>79.0204468989958</v>
      </c>
      <c r="AN1210">
        <v>1.0000000221364</v>
      </c>
    </row>
    <row r="1211" spans="1:40" x14ac:dyDescent="0.25">
      <c r="A1211" t="str">
        <f>"20190303162524677"</f>
        <v>20190303162524677</v>
      </c>
      <c r="B1211" t="str">
        <f>"1551601524664022"</f>
        <v>1551601524664022</v>
      </c>
      <c r="C1211" t="s">
        <v>40</v>
      </c>
      <c r="D1211">
        <v>4.6714390000000003</v>
      </c>
      <c r="E1211">
        <v>0.55180629999999997</v>
      </c>
      <c r="F1211" t="s">
        <v>48</v>
      </c>
      <c r="G1211">
        <v>-229.9068</v>
      </c>
      <c r="H1211" s="1">
        <v>3.7351360000000002E-6</v>
      </c>
      <c r="I1211">
        <v>287.7559</v>
      </c>
      <c r="J1211">
        <v>-208.96850000000001</v>
      </c>
      <c r="K1211">
        <v>1.1037840000000001</v>
      </c>
      <c r="L1211">
        <v>284.14179999999999</v>
      </c>
      <c r="M1211">
        <v>-0.99066319999999997</v>
      </c>
      <c r="N1211">
        <v>-1.8754090000000001E-2</v>
      </c>
      <c r="O1211">
        <v>-0.135036299999999</v>
      </c>
      <c r="P1211">
        <v>-0.98521639999999999</v>
      </c>
      <c r="Q1211">
        <v>0.1686849</v>
      </c>
      <c r="R1211">
        <v>2.990686E-2</v>
      </c>
      <c r="S1211">
        <v>-3.0550540000000002</v>
      </c>
      <c r="T1211">
        <v>-0.15896440000000001</v>
      </c>
      <c r="U1211">
        <v>0.51696779999999998</v>
      </c>
      <c r="V1211">
        <v>0.17036689999999999</v>
      </c>
      <c r="W1211">
        <v>0.17992239999999901</v>
      </c>
      <c r="X1211">
        <v>0.96881530000000005</v>
      </c>
      <c r="Y1211">
        <v>0.2978732</v>
      </c>
      <c r="Z1211">
        <v>1.4969140000000001E-2</v>
      </c>
      <c r="AA1211">
        <v>0.95448809999999995</v>
      </c>
      <c r="AB1211">
        <v>29</v>
      </c>
      <c r="AC1211">
        <v>-20.938300000000002</v>
      </c>
      <c r="AD1211">
        <v>-1.1037802648639901</v>
      </c>
      <c r="AE1211">
        <v>3.6141000000000001</v>
      </c>
      <c r="AF1211">
        <v>6.3916649838586999</v>
      </c>
      <c r="AG1211">
        <v>-1.1037802648639901</v>
      </c>
      <c r="AH1211">
        <v>20.203809307711101</v>
      </c>
      <c r="AI1211">
        <v>92.981720349879197</v>
      </c>
      <c r="AJ1211">
        <v>72.444743233506102</v>
      </c>
      <c r="AK1211">
        <v>21.219463298616699</v>
      </c>
      <c r="AL1211">
        <v>79.634760330403793</v>
      </c>
      <c r="AM1211">
        <v>80.026465223852597</v>
      </c>
      <c r="AN1211">
        <v>1.00000001807572</v>
      </c>
    </row>
    <row r="1212" spans="1:40" x14ac:dyDescent="0.25">
      <c r="A1212" t="str">
        <f>"20190303162524698"</f>
        <v>20190303162524698</v>
      </c>
      <c r="B1212" t="str">
        <f>"1551601524684504"</f>
        <v>1551601524684504</v>
      </c>
      <c r="C1212" t="s">
        <v>40</v>
      </c>
      <c r="D1212">
        <v>4.5525029999999997</v>
      </c>
      <c r="E1212">
        <v>0.55285289999999998</v>
      </c>
      <c r="F1212" t="s">
        <v>48</v>
      </c>
      <c r="G1212">
        <v>-230.88319999999999</v>
      </c>
      <c r="H1212" s="1">
        <v>-1.2086149999999999E-6</v>
      </c>
      <c r="I1212">
        <v>287.86059999999998</v>
      </c>
      <c r="J1212">
        <v>-209.24270000000001</v>
      </c>
      <c r="K1212">
        <v>1.1039749999999999</v>
      </c>
      <c r="L1212">
        <v>284.12220000000002</v>
      </c>
      <c r="M1212">
        <v>-0.99314720000000001</v>
      </c>
      <c r="N1212">
        <v>-1.8690149999999999E-2</v>
      </c>
      <c r="O1212">
        <v>-0.1153675</v>
      </c>
      <c r="P1212">
        <v>-0.98450260000000001</v>
      </c>
      <c r="Q1212">
        <v>0.1721896</v>
      </c>
      <c r="R1212">
        <v>3.3255399999999997E-2</v>
      </c>
      <c r="S1212">
        <v>-3.0556489999999998</v>
      </c>
      <c r="T1212">
        <v>-0.15390529999999999</v>
      </c>
      <c r="U1212">
        <v>0.51852419999999999</v>
      </c>
      <c r="V1212">
        <v>0.15439910000000001</v>
      </c>
      <c r="W1212">
        <v>0.18412210000000001</v>
      </c>
      <c r="X1212">
        <v>0.97070069999999997</v>
      </c>
      <c r="Y1212">
        <v>0.27941310000000003</v>
      </c>
      <c r="Z1212">
        <v>1.3246239999999999E-2</v>
      </c>
      <c r="AA1212">
        <v>0.96007960000000003</v>
      </c>
      <c r="AB1212">
        <v>29</v>
      </c>
      <c r="AC1212">
        <v>-21.6404999999999</v>
      </c>
      <c r="AD1212">
        <v>-1.103976208615</v>
      </c>
      <c r="AE1212">
        <v>3.7383999999999502</v>
      </c>
      <c r="AF1212">
        <v>6.19482100596806</v>
      </c>
      <c r="AG1212">
        <v>-1.103976208615</v>
      </c>
      <c r="AH1212">
        <v>21.011490884121699</v>
      </c>
      <c r="AI1212">
        <v>92.885083916190695</v>
      </c>
      <c r="AJ1212">
        <v>73.572893784890198</v>
      </c>
      <c r="AK1212">
        <v>21.933474871499499</v>
      </c>
      <c r="AL1212">
        <v>79.390046122760396</v>
      </c>
      <c r="AM1212">
        <v>80.962276304154798</v>
      </c>
      <c r="AN1212">
        <v>0.99999993938485299</v>
      </c>
    </row>
    <row r="1213" spans="1:40" x14ac:dyDescent="0.25">
      <c r="A1213" t="str">
        <f>"20190303162524723"</f>
        <v>20190303162524723</v>
      </c>
      <c r="B1213" t="str">
        <f>"1551601524713784"</f>
        <v>1551601524713784</v>
      </c>
      <c r="C1213" t="s">
        <v>40</v>
      </c>
      <c r="D1213">
        <v>4.6096349999999999</v>
      </c>
      <c r="E1213">
        <v>0.55412919999999999</v>
      </c>
      <c r="F1213" t="s">
        <v>48</v>
      </c>
      <c r="G1213">
        <v>-233.40729999999999</v>
      </c>
      <c r="H1213" s="1">
        <v>1.122402E-7</v>
      </c>
      <c r="I1213">
        <v>288.37150000000003</v>
      </c>
      <c r="J1213">
        <v>-209.56610000000001</v>
      </c>
      <c r="K1213">
        <v>1.1042909999999999</v>
      </c>
      <c r="L1213">
        <v>284.10640000000001</v>
      </c>
      <c r="M1213">
        <v>-0.99554149999999997</v>
      </c>
      <c r="N1213">
        <v>-1.859179E-2</v>
      </c>
      <c r="O1213">
        <v>-9.2475379999999996E-2</v>
      </c>
      <c r="P1213">
        <v>-0.98361520000000002</v>
      </c>
      <c r="Q1213">
        <v>0.17532819999999999</v>
      </c>
      <c r="R1213">
        <v>4.1966900000000001E-2</v>
      </c>
      <c r="S1213">
        <v>-3.0534819999999998</v>
      </c>
      <c r="T1213">
        <v>-0.1395006</v>
      </c>
      <c r="U1213">
        <v>0.53695680000000001</v>
      </c>
      <c r="V1213">
        <v>0.14055790000000001</v>
      </c>
      <c r="W1213">
        <v>0.18784680000000001</v>
      </c>
      <c r="X1213">
        <v>0.97208899999999998</v>
      </c>
      <c r="Y1213">
        <v>0.26313330000000001</v>
      </c>
      <c r="Z1213">
        <v>1.0918880000000001E-2</v>
      </c>
      <c r="AA1213">
        <v>0.96469769999999999</v>
      </c>
      <c r="AB1213">
        <v>29</v>
      </c>
      <c r="AC1213">
        <v>-23.841199999999901</v>
      </c>
      <c r="AD1213">
        <v>-1.1042908877598001</v>
      </c>
      <c r="AE1213">
        <v>4.2651000000000101</v>
      </c>
      <c r="AF1213">
        <v>6.4385375605458997</v>
      </c>
      <c r="AG1213">
        <v>-1.1042908877598001</v>
      </c>
      <c r="AH1213">
        <v>23.296089738384701</v>
      </c>
      <c r="AI1213">
        <v>92.615997545260598</v>
      </c>
      <c r="AJ1213">
        <v>74.550347284659594</v>
      </c>
      <c r="AK1213">
        <v>24.1946692761489</v>
      </c>
      <c r="AL1213">
        <v>79.172847319937105</v>
      </c>
      <c r="AM1213">
        <v>81.772416604534797</v>
      </c>
      <c r="AN1213">
        <v>0.99999998372182397</v>
      </c>
    </row>
    <row r="1214" spans="1:40" x14ac:dyDescent="0.25">
      <c r="A1214" t="str">
        <f>"20190303162524744"</f>
        <v>20190303162524744</v>
      </c>
      <c r="B1214" t="str">
        <f>"1551601524734279"</f>
        <v>1551601524734279</v>
      </c>
      <c r="C1214" t="s">
        <v>40</v>
      </c>
      <c r="D1214">
        <v>4.6274389999999999</v>
      </c>
      <c r="E1214">
        <v>0.55469429999999997</v>
      </c>
      <c r="F1214" t="s">
        <v>48</v>
      </c>
      <c r="G1214">
        <v>-237.31</v>
      </c>
      <c r="H1214" s="1">
        <v>2.1455559999999999E-6</v>
      </c>
      <c r="I1214">
        <v>289.36770000000001</v>
      </c>
      <c r="J1214">
        <v>-209.84979999999999</v>
      </c>
      <c r="K1214">
        <v>1.1046590000000001</v>
      </c>
      <c r="L1214">
        <v>284.09829999999999</v>
      </c>
      <c r="M1214">
        <v>-0.99717710000000004</v>
      </c>
      <c r="N1214">
        <v>-1.847772E-2</v>
      </c>
      <c r="O1214">
        <v>-7.2776030000000005E-2</v>
      </c>
      <c r="P1214">
        <v>-0.98206110000000002</v>
      </c>
      <c r="Q1214">
        <v>0.18188309999999999</v>
      </c>
      <c r="R1214">
        <v>4.974572E-2</v>
      </c>
      <c r="S1214">
        <v>-3.0469360000000001</v>
      </c>
      <c r="T1214">
        <v>-0.1212767</v>
      </c>
      <c r="U1214">
        <v>0.57781979999999999</v>
      </c>
      <c r="V1214">
        <v>0.1290231</v>
      </c>
      <c r="W1214">
        <v>0.19486110000000001</v>
      </c>
      <c r="X1214">
        <v>0.9723077</v>
      </c>
      <c r="Y1214">
        <v>0.25703160000000003</v>
      </c>
      <c r="Z1214">
        <v>9.0071059999999904E-3</v>
      </c>
      <c r="AA1214">
        <v>0.96636100000000003</v>
      </c>
      <c r="AB1214">
        <v>29</v>
      </c>
      <c r="AC1214">
        <v>-27.4602</v>
      </c>
      <c r="AD1214">
        <v>-1.1046568544440001</v>
      </c>
      <c r="AE1214">
        <v>5.2694000000000099</v>
      </c>
      <c r="AF1214">
        <v>7.2429034307278197</v>
      </c>
      <c r="AG1214">
        <v>-1.1046568544440001</v>
      </c>
      <c r="AH1214">
        <v>26.961726180155601</v>
      </c>
      <c r="AI1214">
        <v>92.265921731387195</v>
      </c>
      <c r="AJ1214">
        <v>74.963265084917197</v>
      </c>
      <c r="AK1214">
        <v>27.939480945189501</v>
      </c>
      <c r="AL1214">
        <v>78.763390852940901</v>
      </c>
      <c r="AM1214">
        <v>82.441136519977604</v>
      </c>
      <c r="AN1214">
        <v>1.0000000360530501</v>
      </c>
    </row>
    <row r="1215" spans="1:40" x14ac:dyDescent="0.25">
      <c r="A1215" t="str">
        <f>"20190303162524766"</f>
        <v>20190303162524766</v>
      </c>
      <c r="B1215" t="str">
        <f>"1551601524753800"</f>
        <v>1551601524753800</v>
      </c>
      <c r="C1215" t="s">
        <v>40</v>
      </c>
      <c r="D1215">
        <v>4.6568860000000001</v>
      </c>
      <c r="E1215">
        <v>0.55505340000000003</v>
      </c>
      <c r="F1215" t="s">
        <v>48</v>
      </c>
      <c r="G1215">
        <v>-240.88300000000001</v>
      </c>
      <c r="H1215">
        <v>8.0000269999999998E-2</v>
      </c>
      <c r="I1215">
        <v>290.28050000000002</v>
      </c>
      <c r="J1215">
        <v>-210.14670000000001</v>
      </c>
      <c r="K1215">
        <v>1.1050850000000001</v>
      </c>
      <c r="L1215">
        <v>284.09559999999999</v>
      </c>
      <c r="M1215">
        <v>-0.99844509999999997</v>
      </c>
      <c r="N1215">
        <v>-1.83258E-2</v>
      </c>
      <c r="O1215">
        <v>-5.2645869999999997E-2</v>
      </c>
      <c r="P1215">
        <v>-0.98090679999999997</v>
      </c>
      <c r="Q1215">
        <v>0.1854866</v>
      </c>
      <c r="R1215">
        <v>5.8451839999999998E-2</v>
      </c>
      <c r="S1215">
        <v>-3.0427089999999999</v>
      </c>
      <c r="T1215">
        <v>-0.1004645</v>
      </c>
      <c r="U1215">
        <v>0.60614009999999996</v>
      </c>
      <c r="V1215">
        <v>0.1179032</v>
      </c>
      <c r="W1215">
        <v>0.198883</v>
      </c>
      <c r="X1215">
        <v>0.97290509999999997</v>
      </c>
      <c r="Y1215">
        <v>0.24653149999999999</v>
      </c>
      <c r="Z1215">
        <v>7.0794949999999999E-3</v>
      </c>
      <c r="AA1215">
        <v>0.96910890000000005</v>
      </c>
      <c r="AB1215">
        <v>29</v>
      </c>
      <c r="AC1215">
        <v>-30.7362999999999</v>
      </c>
      <c r="AD1215">
        <v>-1.0250847300000001</v>
      </c>
      <c r="AE1215">
        <v>6.1849000000000203</v>
      </c>
      <c r="AF1215">
        <v>7.7864075044523497</v>
      </c>
      <c r="AG1215">
        <v>-1.0250847300000001</v>
      </c>
      <c r="AH1215">
        <v>30.335569082897301</v>
      </c>
      <c r="AI1215">
        <v>91.874651633466499</v>
      </c>
      <c r="AJ1215">
        <v>75.604328537407099</v>
      </c>
      <c r="AK1215">
        <v>31.3356935795636</v>
      </c>
      <c r="AL1215">
        <v>78.528352167743904</v>
      </c>
      <c r="AM1215">
        <v>83.090205913842198</v>
      </c>
      <c r="AN1215">
        <v>0.99999997293262399</v>
      </c>
    </row>
    <row r="1216" spans="1:40" x14ac:dyDescent="0.25">
      <c r="A1216" t="str">
        <f>"20190303162524789"</f>
        <v>20190303162524789</v>
      </c>
      <c r="B1216" t="str">
        <f>"1551601524774295"</f>
        <v>1551601524774295</v>
      </c>
      <c r="C1216" t="s">
        <v>40</v>
      </c>
      <c r="D1216">
        <v>4.6755649999999997</v>
      </c>
      <c r="E1216">
        <v>0.55547469999999999</v>
      </c>
      <c r="F1216" t="s">
        <v>48</v>
      </c>
      <c r="G1216">
        <v>-242.6165</v>
      </c>
      <c r="H1216">
        <v>8.0000790000000002E-2</v>
      </c>
      <c r="I1216">
        <v>290.83569999999997</v>
      </c>
      <c r="J1216">
        <v>-210.44110000000001</v>
      </c>
      <c r="K1216">
        <v>1.10562</v>
      </c>
      <c r="L1216">
        <v>284.09829999999999</v>
      </c>
      <c r="M1216">
        <v>-0.99927750000000004</v>
      </c>
      <c r="N1216">
        <v>-1.814282E-2</v>
      </c>
      <c r="O1216">
        <v>-3.3394849999999997E-2</v>
      </c>
      <c r="P1216">
        <v>-0.9805374</v>
      </c>
      <c r="Q1216">
        <v>0.18556030000000001</v>
      </c>
      <c r="R1216">
        <v>6.4140710000000004E-2</v>
      </c>
      <c r="S1216">
        <v>-3.0389560000000002</v>
      </c>
      <c r="T1216">
        <v>-9.5941070000000003E-2</v>
      </c>
      <c r="U1216">
        <v>0.63082890000000003</v>
      </c>
      <c r="V1216">
        <v>0.10448929999999999</v>
      </c>
      <c r="W1216">
        <v>0.19945399999999999</v>
      </c>
      <c r="X1216">
        <v>0.97432030000000003</v>
      </c>
      <c r="Y1216">
        <v>0.23565510000000001</v>
      </c>
      <c r="Z1216">
        <v>6.2856419999999897E-3</v>
      </c>
      <c r="AA1216">
        <v>0.97181640000000002</v>
      </c>
      <c r="AB1216">
        <v>29</v>
      </c>
      <c r="AC1216">
        <v>-32.175400000000003</v>
      </c>
      <c r="AD1216">
        <v>-1.0256192099999999</v>
      </c>
      <c r="AE1216">
        <v>6.7373999999999796</v>
      </c>
      <c r="AF1216">
        <v>7.8007173269251799</v>
      </c>
      <c r="AG1216">
        <v>-1.0256192099999999</v>
      </c>
      <c r="AH1216">
        <v>31.901363784529099</v>
      </c>
      <c r="AI1216">
        <v>91.788742689088295</v>
      </c>
      <c r="AJ1216">
        <v>76.259314923724403</v>
      </c>
      <c r="AK1216">
        <v>32.857268554938898</v>
      </c>
      <c r="AL1216">
        <v>78.494967497588902</v>
      </c>
      <c r="AM1216">
        <v>83.8788082657899</v>
      </c>
      <c r="AN1216">
        <v>0.99999997946128905</v>
      </c>
    </row>
    <row r="1217" spans="1:40" x14ac:dyDescent="0.25">
      <c r="A1217" t="str">
        <f>"20190303162524814"</f>
        <v>20190303162524814</v>
      </c>
      <c r="B1217" t="str">
        <f>"1551601524804553"</f>
        <v>1551601524804553</v>
      </c>
      <c r="C1217" t="s">
        <v>40</v>
      </c>
      <c r="D1217">
        <v>4.7154499999999997</v>
      </c>
      <c r="E1217">
        <v>0.55574630000000003</v>
      </c>
      <c r="F1217" t="s">
        <v>48</v>
      </c>
      <c r="G1217">
        <v>-242.5966</v>
      </c>
      <c r="H1217">
        <v>8.0000779999999994E-2</v>
      </c>
      <c r="I1217">
        <v>291.02960000000002</v>
      </c>
      <c r="J1217">
        <v>-210.76150000000001</v>
      </c>
      <c r="K1217">
        <v>1.106379</v>
      </c>
      <c r="L1217">
        <v>284.10660000000001</v>
      </c>
      <c r="M1217">
        <v>-0.99974779999999996</v>
      </c>
      <c r="N1217">
        <v>-1.7898919999999999E-2</v>
      </c>
      <c r="O1217">
        <v>-1.3578099999999999E-2</v>
      </c>
      <c r="P1217">
        <v>-0.97993330000000001</v>
      </c>
      <c r="Q1217">
        <v>0.18638189999999999</v>
      </c>
      <c r="R1217">
        <v>7.0661920000000003E-2</v>
      </c>
      <c r="S1217">
        <v>-3.0350799999999998</v>
      </c>
      <c r="T1217">
        <v>-9.6805810000000006E-2</v>
      </c>
      <c r="U1217">
        <v>0.65423580000000003</v>
      </c>
      <c r="V1217">
        <v>9.1242450000000003E-2</v>
      </c>
      <c r="W1217">
        <v>0.2007206</v>
      </c>
      <c r="X1217">
        <v>0.97539019999999999</v>
      </c>
      <c r="Y1217">
        <v>0.22380030000000001</v>
      </c>
      <c r="Z1217">
        <v>5.7423259999999999E-3</v>
      </c>
      <c r="AA1217">
        <v>0.97461810000000004</v>
      </c>
      <c r="AB1217">
        <v>28</v>
      </c>
      <c r="AC1217">
        <v>-31.835099999999901</v>
      </c>
      <c r="AD1217">
        <v>-1.02637822</v>
      </c>
      <c r="AE1217">
        <v>6.923</v>
      </c>
      <c r="AF1217">
        <v>7.34739856006009</v>
      </c>
      <c r="AG1217">
        <v>-1.02637822</v>
      </c>
      <c r="AH1217">
        <v>31.706678846110702</v>
      </c>
      <c r="AI1217">
        <v>91.806246969095298</v>
      </c>
      <c r="AJ1217">
        <v>76.953112598702702</v>
      </c>
      <c r="AK1217">
        <v>32.563034276634397</v>
      </c>
      <c r="AL1217">
        <v>78.4208990052621</v>
      </c>
      <c r="AM1217">
        <v>84.655843301748902</v>
      </c>
      <c r="AN1217">
        <v>0.99999999310120102</v>
      </c>
    </row>
    <row r="1218" spans="1:40" x14ac:dyDescent="0.25">
      <c r="A1218" t="str">
        <f>"20190303162524835"</f>
        <v>20190303162524835</v>
      </c>
      <c r="B1218" t="str">
        <f>"1551601524824072"</f>
        <v>1551601524824072</v>
      </c>
      <c r="C1218" t="s">
        <v>40</v>
      </c>
      <c r="D1218">
        <v>4.7609459999999997</v>
      </c>
      <c r="E1218">
        <v>0.55705629999999995</v>
      </c>
      <c r="F1218" t="s">
        <v>48</v>
      </c>
      <c r="G1218">
        <v>-242.13339999999999</v>
      </c>
      <c r="H1218">
        <v>8.0000639999999998E-2</v>
      </c>
      <c r="I1218">
        <v>291.13889999999998</v>
      </c>
      <c r="J1218">
        <v>-211.04509999999999</v>
      </c>
      <c r="K1218">
        <v>1.1072959999999901</v>
      </c>
      <c r="L1218">
        <v>284.1182</v>
      </c>
      <c r="M1218">
        <v>-0.99984110000000004</v>
      </c>
      <c r="N1218">
        <v>-1.7636229999999999E-2</v>
      </c>
      <c r="O1218">
        <v>2.6293710000000001E-3</v>
      </c>
      <c r="P1218">
        <v>-0.97890569999999999</v>
      </c>
      <c r="Q1218">
        <v>0.18798200000000001</v>
      </c>
      <c r="R1218">
        <v>8.0042530000000001E-2</v>
      </c>
      <c r="S1218">
        <v>-3.0313110000000001</v>
      </c>
      <c r="T1218">
        <v>-9.9174020000000002E-2</v>
      </c>
      <c r="U1218">
        <v>0.67950440000000001</v>
      </c>
      <c r="V1218">
        <v>8.4336170000000002E-2</v>
      </c>
      <c r="W1218">
        <v>0.20249490000000001</v>
      </c>
      <c r="X1218">
        <v>0.97564499999999998</v>
      </c>
      <c r="Y1218">
        <v>0.2159952</v>
      </c>
      <c r="Z1218">
        <v>5.378893E-3</v>
      </c>
      <c r="AA1218">
        <v>0.97637960000000001</v>
      </c>
      <c r="AB1218">
        <v>28</v>
      </c>
      <c r="AC1218">
        <v>-31.0883</v>
      </c>
      <c r="AD1218">
        <v>-1.0272953600000001</v>
      </c>
      <c r="AE1218">
        <v>7.0206999999999704</v>
      </c>
      <c r="AF1218">
        <v>6.93171863974381</v>
      </c>
      <c r="AG1218">
        <v>-1.0272953600000001</v>
      </c>
      <c r="AH1218">
        <v>31.074370715026198</v>
      </c>
      <c r="AI1218">
        <v>91.848076881086101</v>
      </c>
      <c r="AJ1218">
        <v>77.424984787811098</v>
      </c>
      <c r="AK1218">
        <v>31.8546790031249</v>
      </c>
      <c r="AL1218">
        <v>78.317107602744301</v>
      </c>
      <c r="AM1218">
        <v>85.059550445720006</v>
      </c>
      <c r="AN1218">
        <v>0.99999997006063901</v>
      </c>
    </row>
    <row r="1219" spans="1:40" x14ac:dyDescent="0.25">
      <c r="A1219" t="str">
        <f>"20190303162524857"</f>
        <v>20190303162524857</v>
      </c>
      <c r="B1219" t="str">
        <f>"1551601524843592"</f>
        <v>1551601524843592</v>
      </c>
      <c r="C1219" t="s">
        <v>40</v>
      </c>
      <c r="D1219">
        <v>4.7759710000000002</v>
      </c>
      <c r="E1219">
        <v>0.55688509999999902</v>
      </c>
      <c r="F1219" t="s">
        <v>48</v>
      </c>
      <c r="G1219">
        <v>-231.05289999999999</v>
      </c>
      <c r="H1219" s="1">
        <v>-1.160042E-6</v>
      </c>
      <c r="I1219">
        <v>288.8152</v>
      </c>
      <c r="J1219">
        <v>-211.32050000000001</v>
      </c>
      <c r="K1219">
        <v>1.108411</v>
      </c>
      <c r="L1219">
        <v>284.13260000000002</v>
      </c>
      <c r="M1219">
        <v>-0.99970550000000002</v>
      </c>
      <c r="N1219">
        <v>-1.7351979999999999E-2</v>
      </c>
      <c r="O1219">
        <v>1.696396E-2</v>
      </c>
      <c r="P1219">
        <v>-0.97682290000000005</v>
      </c>
      <c r="Q1219">
        <v>0.19237380000000001</v>
      </c>
      <c r="R1219">
        <v>9.3859479999999995E-2</v>
      </c>
      <c r="S1219">
        <v>-3.038605</v>
      </c>
      <c r="T1219">
        <v>-0.16816639999999999</v>
      </c>
      <c r="U1219">
        <v>0.71334839999999999</v>
      </c>
      <c r="V1219">
        <v>8.3716239999999997E-2</v>
      </c>
      <c r="W1219">
        <v>0.20682719999999999</v>
      </c>
      <c r="X1219">
        <v>0.97478929999999997</v>
      </c>
      <c r="Y1219">
        <v>0.21160209999999999</v>
      </c>
      <c r="Z1219">
        <v>7.0003640000000002E-3</v>
      </c>
      <c r="AA1219">
        <v>0.97733080000000006</v>
      </c>
      <c r="AB1219">
        <v>28</v>
      </c>
      <c r="AC1219">
        <v>-19.732399999999899</v>
      </c>
      <c r="AD1219">
        <v>-1.108412160042</v>
      </c>
      <c r="AE1219">
        <v>4.6825999999999697</v>
      </c>
      <c r="AF1219">
        <v>4.3341892633407202</v>
      </c>
      <c r="AG1219">
        <v>-1.108412160042</v>
      </c>
      <c r="AH1219">
        <v>19.750011819831101</v>
      </c>
      <c r="AI1219">
        <v>93.137678483080293</v>
      </c>
      <c r="AJ1219">
        <v>77.622506727568293</v>
      </c>
      <c r="AK1219">
        <v>20.250351625847301</v>
      </c>
      <c r="AL1219">
        <v>78.0635179259111</v>
      </c>
      <c r="AM1219">
        <v>85.091404309756101</v>
      </c>
      <c r="AN1219">
        <v>1.0000000394470301</v>
      </c>
    </row>
    <row r="1220" spans="1:40" x14ac:dyDescent="0.25">
      <c r="A1220" t="str">
        <f>"20190303162524877"</f>
        <v>20190303162524877</v>
      </c>
      <c r="B1220" t="str">
        <f>"1551601524864088"</f>
        <v>1551601524864088</v>
      </c>
      <c r="C1220" t="s">
        <v>40</v>
      </c>
      <c r="D1220">
        <v>4.8064169999999997</v>
      </c>
      <c r="E1220">
        <v>0.55607399999999996</v>
      </c>
      <c r="F1220" t="s">
        <v>48</v>
      </c>
      <c r="G1220">
        <v>-231.82060000000001</v>
      </c>
      <c r="H1220" s="1">
        <v>-7.6750130000000001E-7</v>
      </c>
      <c r="I1220">
        <v>289.18110000000001</v>
      </c>
      <c r="J1220">
        <v>-211.59479999999999</v>
      </c>
      <c r="K1220">
        <v>1.109674</v>
      </c>
      <c r="L1220">
        <v>284.14940000000001</v>
      </c>
      <c r="M1220">
        <v>-0.99941239999999998</v>
      </c>
      <c r="N1220">
        <v>-1.7063209999999999E-2</v>
      </c>
      <c r="O1220">
        <v>2.972899E-2</v>
      </c>
      <c r="P1220">
        <v>-0.9745433</v>
      </c>
      <c r="Q1220">
        <v>0.19842879999999999</v>
      </c>
      <c r="R1220">
        <v>0.1043635</v>
      </c>
      <c r="S1220">
        <v>-3.0317229999999999</v>
      </c>
      <c r="T1220">
        <v>-0.16392100000000001</v>
      </c>
      <c r="U1220">
        <v>0.74661250000000001</v>
      </c>
      <c r="V1220">
        <v>8.1308549999999993E-2</v>
      </c>
      <c r="W1220">
        <v>0.21289040000000001</v>
      </c>
      <c r="X1220">
        <v>0.97368710000000003</v>
      </c>
      <c r="Y1220">
        <v>0.20978079999999999</v>
      </c>
      <c r="Z1220">
        <v>6.3208739999999998E-3</v>
      </c>
      <c r="AA1220">
        <v>0.97772800000000004</v>
      </c>
      <c r="AB1220">
        <v>28</v>
      </c>
      <c r="AC1220">
        <v>-20.2258</v>
      </c>
      <c r="AD1220">
        <v>-1.1096747675012999</v>
      </c>
      <c r="AE1220">
        <v>5.0316999999999998</v>
      </c>
      <c r="AF1220">
        <v>4.4155785411278696</v>
      </c>
      <c r="AG1220">
        <v>-1.1096747675012999</v>
      </c>
      <c r="AH1220">
        <v>20.308897869300999</v>
      </c>
      <c r="AI1220">
        <v>93.0562585745962</v>
      </c>
      <c r="AJ1220">
        <v>77.733607936595007</v>
      </c>
      <c r="AK1220">
        <v>20.812977792910701</v>
      </c>
      <c r="AL1220">
        <v>77.708208750358295</v>
      </c>
      <c r="AM1220">
        <v>85.226543247022306</v>
      </c>
      <c r="AN1220">
        <v>0.99999998571083604</v>
      </c>
    </row>
    <row r="1221" spans="1:40" x14ac:dyDescent="0.25">
      <c r="A1221" t="str">
        <f>"20190303162524923"</f>
        <v>20190303162524923</v>
      </c>
      <c r="B1221" t="str">
        <f>"1551601524913865"</f>
        <v>1551601524913865</v>
      </c>
      <c r="C1221" t="s">
        <v>40</v>
      </c>
      <c r="D1221">
        <v>5.1044729999999996</v>
      </c>
      <c r="E1221">
        <v>0.51697269999999995</v>
      </c>
      <c r="F1221" t="s">
        <v>48</v>
      </c>
      <c r="G1221">
        <v>-233.0061</v>
      </c>
      <c r="H1221">
        <v>2.3615899999999999E-2</v>
      </c>
      <c r="I1221">
        <v>289.61630000000002</v>
      </c>
      <c r="J1221">
        <v>-212.17789999999999</v>
      </c>
      <c r="K1221">
        <v>1.1125860000000001</v>
      </c>
      <c r="L1221">
        <v>284.19069999999999</v>
      </c>
      <c r="M1221">
        <v>-0.99856630000000002</v>
      </c>
      <c r="N1221">
        <v>-1.6489239999999999E-2</v>
      </c>
      <c r="O1221">
        <v>5.0928180000000003E-2</v>
      </c>
      <c r="P1221">
        <v>-0.97210810000000003</v>
      </c>
      <c r="Q1221">
        <v>0.20319699999999999</v>
      </c>
      <c r="R1221">
        <v>0.11711969999999999</v>
      </c>
      <c r="S1221">
        <v>-3.0268860000000002</v>
      </c>
      <c r="T1221">
        <v>-0.15353499999999901</v>
      </c>
      <c r="U1221">
        <v>0.77285769999999998</v>
      </c>
      <c r="V1221">
        <v>7.1995790000000004E-2</v>
      </c>
      <c r="W1221">
        <v>0.2178272</v>
      </c>
      <c r="X1221">
        <v>0.97332830000000004</v>
      </c>
      <c r="Y1221">
        <v>0.19742960000000001</v>
      </c>
      <c r="Z1221">
        <v>4.8717930000000001E-3</v>
      </c>
      <c r="AA1221">
        <v>0.98030499999999998</v>
      </c>
      <c r="AB1221">
        <v>28</v>
      </c>
      <c r="AC1221">
        <v>-20.828199999999999</v>
      </c>
      <c r="AD1221">
        <v>-1.0889701000000001</v>
      </c>
      <c r="AE1221">
        <v>5.4256000000000304</v>
      </c>
      <c r="AF1221">
        <v>4.34654442525681</v>
      </c>
      <c r="AG1221">
        <v>-1.0889701000000001</v>
      </c>
      <c r="AH1221">
        <v>21.023700109117499</v>
      </c>
      <c r="AI1221">
        <v>92.903812898388907</v>
      </c>
      <c r="AJ1221">
        <v>78.318959095116796</v>
      </c>
      <c r="AK1221">
        <v>21.4959128812324</v>
      </c>
      <c r="AL1221">
        <v>77.418554423224407</v>
      </c>
      <c r="AM1221">
        <v>85.769612075200996</v>
      </c>
      <c r="AN1221">
        <v>1.0000000312092201</v>
      </c>
    </row>
    <row r="1222" spans="1:40" x14ac:dyDescent="0.25">
      <c r="A1222" t="str">
        <f>"20190303162524946"</f>
        <v>20190303162524946</v>
      </c>
      <c r="B1222" t="str">
        <f>"1551601524935336"</f>
        <v>1551601524935336</v>
      </c>
      <c r="C1222" t="s">
        <v>40</v>
      </c>
      <c r="D1222">
        <v>4.9846909999999998</v>
      </c>
      <c r="E1222">
        <v>0.51385859999999906</v>
      </c>
      <c r="F1222" t="s">
        <v>48</v>
      </c>
      <c r="G1222">
        <v>-237.50470000000001</v>
      </c>
      <c r="H1222" s="1">
        <v>2.2958059999999999E-6</v>
      </c>
      <c r="I1222">
        <v>288.3</v>
      </c>
      <c r="J1222">
        <v>-212.45920000000001</v>
      </c>
      <c r="K1222">
        <v>1.113996</v>
      </c>
      <c r="L1222">
        <v>284.21230000000003</v>
      </c>
      <c r="M1222">
        <v>-0.99816990000000005</v>
      </c>
      <c r="N1222">
        <v>-1.6240729999999998E-2</v>
      </c>
      <c r="O1222">
        <v>5.8250540000000003E-2</v>
      </c>
      <c r="P1222">
        <v>-0.97347499999999998</v>
      </c>
      <c r="Q1222">
        <v>0.1965635</v>
      </c>
      <c r="R1222">
        <v>0.1170857</v>
      </c>
      <c r="S1222">
        <v>-3.0543819999999999</v>
      </c>
      <c r="T1222">
        <v>-0.1341765</v>
      </c>
      <c r="U1222">
        <v>0.49557499999999999</v>
      </c>
      <c r="V1222">
        <v>6.3864920000000006E-2</v>
      </c>
      <c r="W1222">
        <v>0.21135119999999999</v>
      </c>
      <c r="X1222">
        <v>0.97532149999999995</v>
      </c>
      <c r="Y1222">
        <v>0.1022672</v>
      </c>
      <c r="Z1222">
        <v>1.4712169999999999E-3</v>
      </c>
      <c r="AA1222">
        <v>0.99475590000000003</v>
      </c>
      <c r="AB1222">
        <v>28</v>
      </c>
      <c r="AC1222">
        <v>-25.045500000000001</v>
      </c>
      <c r="AD1222">
        <v>-1.113993704194</v>
      </c>
      <c r="AE1222">
        <v>4.0876999999999803</v>
      </c>
      <c r="AF1222">
        <v>2.6166086341900399</v>
      </c>
      <c r="AG1222">
        <v>-1.113993704194</v>
      </c>
      <c r="AH1222">
        <v>25.1925566922929</v>
      </c>
      <c r="AI1222">
        <v>92.518391933199794</v>
      </c>
      <c r="AJ1222">
        <v>84.0702727718201</v>
      </c>
      <c r="AK1222">
        <v>25.352564671288999</v>
      </c>
      <c r="AL1222">
        <v>77.798452762312706</v>
      </c>
      <c r="AM1222">
        <v>86.253569828620698</v>
      </c>
      <c r="AN1222">
        <v>1.0000000430551399</v>
      </c>
    </row>
    <row r="1223" spans="1:40" x14ac:dyDescent="0.25">
      <c r="A1223" t="str">
        <f>"20190303162524968"</f>
        <v>20190303162524968</v>
      </c>
      <c r="B1223" t="str">
        <f>"1551601524953880"</f>
        <v>1551601524953880</v>
      </c>
      <c r="C1223" t="s">
        <v>40</v>
      </c>
      <c r="D1223">
        <v>5.0861369999999999</v>
      </c>
      <c r="E1223">
        <v>0.51163979999999998</v>
      </c>
      <c r="F1223" t="s">
        <v>48</v>
      </c>
      <c r="G1223">
        <v>-232.41040000000001</v>
      </c>
      <c r="H1223" s="1">
        <v>-3.72819E-7</v>
      </c>
      <c r="I1223">
        <v>287.33300000000003</v>
      </c>
      <c r="J1223">
        <v>-212.7518</v>
      </c>
      <c r="K1223">
        <v>1.115415</v>
      </c>
      <c r="L1223">
        <v>284.23520000000002</v>
      </c>
      <c r="M1223">
        <v>-0.99783149999999998</v>
      </c>
      <c r="N1223">
        <v>-1.5997890000000001E-2</v>
      </c>
      <c r="O1223">
        <v>6.3845659999999999E-2</v>
      </c>
      <c r="P1223">
        <v>-0.97595019999999999</v>
      </c>
      <c r="Q1223">
        <v>0.1890105</v>
      </c>
      <c r="R1223">
        <v>0.1086112</v>
      </c>
      <c r="S1223">
        <v>-3.0586850000000001</v>
      </c>
      <c r="T1223">
        <v>-0.1707844</v>
      </c>
      <c r="U1223">
        <v>0.47842410000000002</v>
      </c>
      <c r="V1223">
        <v>4.8942510000000002E-2</v>
      </c>
      <c r="W1223">
        <v>0.2040109</v>
      </c>
      <c r="X1223">
        <v>0.97774450000000002</v>
      </c>
      <c r="Y1223">
        <v>9.1004399999999999E-2</v>
      </c>
      <c r="Z1223">
        <v>7.3856649999999905E-4</v>
      </c>
      <c r="AA1223">
        <v>0.99585020000000002</v>
      </c>
      <c r="AB1223">
        <v>28</v>
      </c>
      <c r="AC1223">
        <v>-19.6586</v>
      </c>
      <c r="AD1223">
        <v>-1.1154153728189999</v>
      </c>
      <c r="AE1223">
        <v>3.0977999999999399</v>
      </c>
      <c r="AF1223">
        <v>1.8304511260902601</v>
      </c>
      <c r="AG1223">
        <v>-1.1154153728189999</v>
      </c>
      <c r="AH1223">
        <v>19.754233484927401</v>
      </c>
      <c r="AI1223">
        <v>93.217996698164896</v>
      </c>
      <c r="AJ1223">
        <v>84.706020898365594</v>
      </c>
      <c r="AK1223">
        <v>19.870189816807301</v>
      </c>
      <c r="AL1223">
        <v>78.228396531998399</v>
      </c>
      <c r="AM1223">
        <v>87.134363163777905</v>
      </c>
      <c r="AN1223">
        <v>1.0000000619420699</v>
      </c>
    </row>
    <row r="1224" spans="1:40" x14ac:dyDescent="0.25">
      <c r="A1224" t="str">
        <f>"20190303162524989"</f>
        <v>20190303162524989</v>
      </c>
      <c r="B1224" t="str">
        <f>"1551601524984137"</f>
        <v>1551601524984137</v>
      </c>
      <c r="C1224" t="s">
        <v>40</v>
      </c>
      <c r="D1224">
        <v>5.1449020000000001</v>
      </c>
      <c r="E1224">
        <v>0.51037860000000002</v>
      </c>
      <c r="F1224" t="s">
        <v>48</v>
      </c>
      <c r="G1224">
        <v>-229.38890000000001</v>
      </c>
      <c r="H1224" s="1">
        <v>3.4595000000000001E-6</v>
      </c>
      <c r="I1224">
        <v>286.64280000000002</v>
      </c>
      <c r="J1224">
        <v>-213.0196</v>
      </c>
      <c r="K1224">
        <v>1.1166659999999999</v>
      </c>
      <c r="L1224">
        <v>284.25619999999998</v>
      </c>
      <c r="M1224">
        <v>-0.99761409999999995</v>
      </c>
      <c r="N1224">
        <v>-1.5792460000000001E-2</v>
      </c>
      <c r="O1224">
        <v>6.7206279999999993E-2</v>
      </c>
      <c r="P1224">
        <v>-0.97847629999999997</v>
      </c>
      <c r="Q1224">
        <v>0.1820669</v>
      </c>
      <c r="R1224">
        <v>9.7137639999999997E-2</v>
      </c>
      <c r="S1224">
        <v>-3.064346</v>
      </c>
      <c r="T1224">
        <v>-0.2054453</v>
      </c>
      <c r="U1224">
        <v>0.44345089999999998</v>
      </c>
      <c r="V1224">
        <v>3.33303E-2</v>
      </c>
      <c r="W1224">
        <v>0.19720879999999999</v>
      </c>
      <c r="X1224">
        <v>0.97979470000000002</v>
      </c>
      <c r="Y1224">
        <v>7.6253929999999998E-2</v>
      </c>
      <c r="Z1224">
        <v>-2.6639360000000001E-4</v>
      </c>
      <c r="AA1224">
        <v>0.99708839999999999</v>
      </c>
      <c r="AB1224">
        <v>28</v>
      </c>
      <c r="AC1224">
        <v>-16.369299999999999</v>
      </c>
      <c r="AD1224">
        <v>-1.1166625404999999</v>
      </c>
      <c r="AE1224">
        <v>2.38660000000004</v>
      </c>
      <c r="AF1224">
        <v>1.27513542449192</v>
      </c>
      <c r="AG1224">
        <v>-1.1166625404999999</v>
      </c>
      <c r="AH1224">
        <v>16.417884879782999</v>
      </c>
      <c r="AI1224">
        <v>93.879333134579397</v>
      </c>
      <c r="AJ1224">
        <v>85.558897914516606</v>
      </c>
      <c r="AK1224">
        <v>16.505146152214301</v>
      </c>
      <c r="AL1224">
        <v>78.626214759881606</v>
      </c>
      <c r="AM1224">
        <v>88.0516842948484</v>
      </c>
      <c r="AN1224">
        <v>0.999999936921808</v>
      </c>
    </row>
    <row r="1225" spans="1:40" x14ac:dyDescent="0.25">
      <c r="A1225" t="str">
        <f>"20190303162525015"</f>
        <v>20190303162525015</v>
      </c>
      <c r="B1225" t="str">
        <f>"1551601525003657"</f>
        <v>1551601525003657</v>
      </c>
      <c r="C1225" t="s">
        <v>40</v>
      </c>
      <c r="D1225">
        <v>5.0444620000000002</v>
      </c>
      <c r="E1225">
        <v>0.50962600000000002</v>
      </c>
      <c r="F1225" t="s">
        <v>48</v>
      </c>
      <c r="G1225">
        <v>-227.75479999999999</v>
      </c>
      <c r="H1225" s="1">
        <v>2.5899399999999998E-6</v>
      </c>
      <c r="I1225">
        <v>286.1712</v>
      </c>
      <c r="J1225">
        <v>-213.3451</v>
      </c>
      <c r="K1225">
        <v>1.118144</v>
      </c>
      <c r="L1225">
        <v>284.28140000000002</v>
      </c>
      <c r="M1225">
        <v>-0.99747620000000004</v>
      </c>
      <c r="N1225">
        <v>-1.55707E-2</v>
      </c>
      <c r="O1225">
        <v>6.9273580000000001E-2</v>
      </c>
      <c r="P1225">
        <v>-0.98036959999999995</v>
      </c>
      <c r="Q1225">
        <v>0.17717739999999901</v>
      </c>
      <c r="R1225">
        <v>8.6509080000000002E-2</v>
      </c>
      <c r="S1225">
        <v>-3.0696720000000002</v>
      </c>
      <c r="T1225">
        <v>-0.23262630000000001</v>
      </c>
      <c r="U1225">
        <v>0.3989258</v>
      </c>
      <c r="V1225">
        <v>1.98184E-2</v>
      </c>
      <c r="W1225">
        <v>0.1923349</v>
      </c>
      <c r="X1225">
        <v>0.98112920000000003</v>
      </c>
      <c r="Y1225">
        <v>5.977884E-2</v>
      </c>
      <c r="Z1225">
        <v>-1.4159330000000001E-3</v>
      </c>
      <c r="AA1225">
        <v>0.99821070000000001</v>
      </c>
      <c r="AB1225">
        <v>28</v>
      </c>
      <c r="AC1225">
        <v>-14.4096999999999</v>
      </c>
      <c r="AD1225">
        <v>-1.11814141006</v>
      </c>
      <c r="AE1225">
        <v>1.8897999999999799</v>
      </c>
      <c r="AF1225">
        <v>0.88170734538354201</v>
      </c>
      <c r="AG1225">
        <v>-1.11814141006</v>
      </c>
      <c r="AH1225">
        <v>14.420642770594799</v>
      </c>
      <c r="AI1225">
        <v>94.425472378324301</v>
      </c>
      <c r="AJ1225">
        <v>86.501175442353798</v>
      </c>
      <c r="AK1225">
        <v>14.4907758927154</v>
      </c>
      <c r="AL1225">
        <v>78.910922191123007</v>
      </c>
      <c r="AM1225">
        <v>88.842806557693805</v>
      </c>
      <c r="AN1225">
        <v>0.99999999491460501</v>
      </c>
    </row>
    <row r="1226" spans="1:40" x14ac:dyDescent="0.25">
      <c r="A1226" t="str">
        <f>"20190303162525036"</f>
        <v>20190303162525036</v>
      </c>
      <c r="B1226" t="str">
        <f>"1551601525024153"</f>
        <v>1551601525024153</v>
      </c>
      <c r="C1226" t="s">
        <v>40</v>
      </c>
      <c r="D1226">
        <v>4.958812</v>
      </c>
      <c r="E1226">
        <v>0.50880829999999999</v>
      </c>
      <c r="F1226" t="s">
        <v>48</v>
      </c>
      <c r="G1226">
        <v>-226.86070000000001</v>
      </c>
      <c r="H1226" s="1">
        <v>2.1141229999999998E-6</v>
      </c>
      <c r="I1226">
        <v>285.83929999999998</v>
      </c>
      <c r="J1226">
        <v>-213.61009999999999</v>
      </c>
      <c r="K1226">
        <v>1.1193120000000001</v>
      </c>
      <c r="L1226">
        <v>284.30099999999999</v>
      </c>
      <c r="M1226">
        <v>-0.9974655</v>
      </c>
      <c r="N1226">
        <v>-1.541636E-2</v>
      </c>
      <c r="O1226">
        <v>6.9463090000000005E-2</v>
      </c>
      <c r="P1226">
        <v>-0.98126930000000001</v>
      </c>
      <c r="Q1226">
        <v>0.17767179999999999</v>
      </c>
      <c r="R1226">
        <v>7.4456480000000005E-2</v>
      </c>
      <c r="S1226">
        <v>-3.0747680000000002</v>
      </c>
      <c r="T1226">
        <v>-0.25437589999999999</v>
      </c>
      <c r="U1226">
        <v>0.3544312</v>
      </c>
      <c r="V1226">
        <v>7.0133330000000001E-3</v>
      </c>
      <c r="W1226">
        <v>0.19279060000000001</v>
      </c>
      <c r="X1226">
        <v>0.9812149</v>
      </c>
      <c r="Y1226">
        <v>4.5195029999999997E-2</v>
      </c>
      <c r="Z1226">
        <v>-2.4308379999999998E-3</v>
      </c>
      <c r="AA1226">
        <v>0.99897519999999995</v>
      </c>
      <c r="AB1226">
        <v>28</v>
      </c>
      <c r="AC1226">
        <v>-13.2506</v>
      </c>
      <c r="AD1226">
        <v>-1.1193098858769901</v>
      </c>
      <c r="AE1226">
        <v>1.53829999999999</v>
      </c>
      <c r="AF1226">
        <v>0.609753380113911</v>
      </c>
      <c r="AG1226">
        <v>-1.1193098858769901</v>
      </c>
      <c r="AH1226">
        <v>13.2322891242081</v>
      </c>
      <c r="AI1226">
        <v>94.829997636110207</v>
      </c>
      <c r="AJ1226">
        <v>87.361635763435899</v>
      </c>
      <c r="AK1226">
        <v>13.293537124175</v>
      </c>
      <c r="AL1226">
        <v>78.884315052986807</v>
      </c>
      <c r="AM1226">
        <v>89.590479579518799</v>
      </c>
      <c r="AN1226">
        <v>1.00000004113506</v>
      </c>
    </row>
    <row r="1227" spans="1:40" x14ac:dyDescent="0.25">
      <c r="A1227" t="str">
        <f>"20190303162525058"</f>
        <v>20190303162525058</v>
      </c>
      <c r="B1227" t="str">
        <f>"1551601525054409"</f>
        <v>1551601525054409</v>
      </c>
      <c r="C1227" t="s">
        <v>40</v>
      </c>
      <c r="D1227">
        <v>5.1931399999999996</v>
      </c>
      <c r="E1227">
        <v>0.50905730000000005</v>
      </c>
      <c r="F1227" t="s">
        <v>48</v>
      </c>
      <c r="G1227">
        <v>-226.75729999999999</v>
      </c>
      <c r="H1227" s="1">
        <v>2.0590859999999999E-6</v>
      </c>
      <c r="I1227">
        <v>285.6087</v>
      </c>
      <c r="J1227">
        <v>-213.87860000000001</v>
      </c>
      <c r="K1227">
        <v>1.12043</v>
      </c>
      <c r="L1227">
        <v>284.31990000000002</v>
      </c>
      <c r="M1227">
        <v>-0.99753320000000001</v>
      </c>
      <c r="N1227">
        <v>-1.527864E-2</v>
      </c>
      <c r="O1227">
        <v>6.8513290000000004E-2</v>
      </c>
      <c r="P1227">
        <v>-0.98163020000000001</v>
      </c>
      <c r="Q1227">
        <v>0.18025040000000001</v>
      </c>
      <c r="R1227">
        <v>6.2545199999999995E-2</v>
      </c>
      <c r="S1227">
        <v>-3.081512</v>
      </c>
      <c r="T1227">
        <v>-0.26235029999999998</v>
      </c>
      <c r="U1227">
        <v>0.30651859999999997</v>
      </c>
      <c r="V1227">
        <v>-4.466416E-3</v>
      </c>
      <c r="W1227">
        <v>0.195267</v>
      </c>
      <c r="X1227">
        <v>0.98073999999999995</v>
      </c>
      <c r="Y1227">
        <v>3.0599479999999998E-2</v>
      </c>
      <c r="Z1227">
        <v>-3.223755E-3</v>
      </c>
      <c r="AA1227">
        <v>0.99952649999999998</v>
      </c>
      <c r="AB1227">
        <v>28</v>
      </c>
      <c r="AC1227">
        <v>-12.878699999999901</v>
      </c>
      <c r="AD1227">
        <v>-1.1204279409139899</v>
      </c>
      <c r="AE1227">
        <v>1.28879999999998</v>
      </c>
      <c r="AF1227">
        <v>0.400305985236517</v>
      </c>
      <c r="AG1227">
        <v>-1.1204279409139899</v>
      </c>
      <c r="AH1227">
        <v>12.8405178705504</v>
      </c>
      <c r="AI1227">
        <v>94.984430568349296</v>
      </c>
      <c r="AJ1227">
        <v>88.214369730030896</v>
      </c>
      <c r="AK1227">
        <v>12.8955225887329</v>
      </c>
      <c r="AL1227">
        <v>78.739679150430604</v>
      </c>
      <c r="AM1227">
        <v>90.260930539383907</v>
      </c>
      <c r="AN1227">
        <v>1.0000000488804399</v>
      </c>
    </row>
    <row r="1228" spans="1:40" x14ac:dyDescent="0.25">
      <c r="A1228" t="str">
        <f>"20190303162525077"</f>
        <v>20190303162525077</v>
      </c>
      <c r="B1228" t="str">
        <f>"1551601525073929"</f>
        <v>1551601525073929</v>
      </c>
      <c r="C1228" t="s">
        <v>40</v>
      </c>
      <c r="D1228">
        <v>5.1657989999999998</v>
      </c>
      <c r="E1228">
        <v>0.50912650000000004</v>
      </c>
      <c r="F1228" t="s">
        <v>48</v>
      </c>
      <c r="G1228">
        <v>-227.65780000000001</v>
      </c>
      <c r="H1228" s="1">
        <v>2.5383260000000002E-6</v>
      </c>
      <c r="I1228">
        <v>285.52940000000001</v>
      </c>
      <c r="J1228">
        <v>-214.1302</v>
      </c>
      <c r="K1228">
        <v>1.121362</v>
      </c>
      <c r="L1228">
        <v>284.33620000000002</v>
      </c>
      <c r="M1228">
        <v>-0.99765879999999996</v>
      </c>
      <c r="N1228">
        <v>-1.5164540000000001E-2</v>
      </c>
      <c r="O1228">
        <v>6.6684480000000004E-2</v>
      </c>
      <c r="P1228">
        <v>-0.98271580000000003</v>
      </c>
      <c r="Q1228">
        <v>0.17763029999999999</v>
      </c>
      <c r="R1228">
        <v>5.212489E-2</v>
      </c>
      <c r="S1228">
        <v>-3.084946</v>
      </c>
      <c r="T1228">
        <v>-0.25084509999999999</v>
      </c>
      <c r="U1228">
        <v>0.27078249999999998</v>
      </c>
      <c r="V1228">
        <v>-1.358207E-2</v>
      </c>
      <c r="W1228">
        <v>0.19252859999999999</v>
      </c>
      <c r="X1228">
        <v>0.9811974</v>
      </c>
      <c r="Y1228">
        <v>2.0870730000000001E-2</v>
      </c>
      <c r="Z1228">
        <v>-3.382379E-3</v>
      </c>
      <c r="AA1228">
        <v>0.99977649999999996</v>
      </c>
      <c r="AB1228">
        <v>28</v>
      </c>
      <c r="AC1228">
        <v>-13.5276</v>
      </c>
      <c r="AD1228">
        <v>-1.1213594616739999</v>
      </c>
      <c r="AE1228">
        <v>1.19319999999999</v>
      </c>
      <c r="AF1228">
        <v>0.28640585648434003</v>
      </c>
      <c r="AG1228">
        <v>-1.1213594616739999</v>
      </c>
      <c r="AH1228">
        <v>13.4851123490839</v>
      </c>
      <c r="AI1228">
        <v>94.752448285709704</v>
      </c>
      <c r="AJ1228">
        <v>88.783296745585901</v>
      </c>
      <c r="AK1228">
        <v>13.534686196005101</v>
      </c>
      <c r="AL1228">
        <v>78.899613089900299</v>
      </c>
      <c r="AM1228">
        <v>90.793057126241294</v>
      </c>
      <c r="AN1228">
        <v>1.0000000361051</v>
      </c>
    </row>
    <row r="1229" spans="1:40" x14ac:dyDescent="0.25">
      <c r="A1229" t="str">
        <f>"20190303162525101"</f>
        <v>20190303162525101</v>
      </c>
      <c r="B1229" t="str">
        <f>"1551601525094424"</f>
        <v>1551601525094424</v>
      </c>
      <c r="C1229" t="s">
        <v>40</v>
      </c>
      <c r="D1229">
        <v>5.1741510000000002</v>
      </c>
      <c r="E1229">
        <v>0.5092487</v>
      </c>
      <c r="F1229" t="s">
        <v>48</v>
      </c>
      <c r="G1229">
        <v>-227.3964</v>
      </c>
      <c r="H1229" s="1">
        <v>2.3992080000000001E-6</v>
      </c>
      <c r="I1229">
        <v>285.35239999999999</v>
      </c>
      <c r="J1229">
        <v>-214.41589999999999</v>
      </c>
      <c r="K1229">
        <v>1.122296</v>
      </c>
      <c r="L1229">
        <v>284.35320000000002</v>
      </c>
      <c r="M1229">
        <v>-0.9978591</v>
      </c>
      <c r="N1229">
        <v>-1.5051470000000001E-2</v>
      </c>
      <c r="O1229">
        <v>6.3646010000000003E-2</v>
      </c>
      <c r="P1229">
        <v>-0.98437039999999998</v>
      </c>
      <c r="Q1229">
        <v>0.1706532</v>
      </c>
      <c r="R1229">
        <v>4.3506059999999999E-2</v>
      </c>
      <c r="S1229">
        <v>-3.0873719999999998</v>
      </c>
      <c r="T1229">
        <v>-0.26096770000000002</v>
      </c>
      <c r="U1229">
        <v>0.23648069999999999</v>
      </c>
      <c r="V1229">
        <v>-1.972668E-2</v>
      </c>
      <c r="W1229">
        <v>0.1854103</v>
      </c>
      <c r="X1229">
        <v>0.98246319999999998</v>
      </c>
      <c r="Y1229">
        <v>1.2848490000000001E-2</v>
      </c>
      <c r="Z1229">
        <v>-3.761861E-3</v>
      </c>
      <c r="AA1229">
        <v>0.99991039999999998</v>
      </c>
      <c r="AB1229">
        <v>28</v>
      </c>
      <c r="AC1229">
        <v>-12.980499999999999</v>
      </c>
      <c r="AD1229">
        <v>-1.1222936007919999</v>
      </c>
      <c r="AE1229">
        <v>0.999199999999973</v>
      </c>
      <c r="AF1229">
        <v>0.16966231942781501</v>
      </c>
      <c r="AG1229">
        <v>-1.1222936007919999</v>
      </c>
      <c r="AH1229">
        <v>12.9217535250372</v>
      </c>
      <c r="AI1229">
        <v>94.963430531939395</v>
      </c>
      <c r="AJ1229">
        <v>89.247750990847905</v>
      </c>
      <c r="AK1229">
        <v>12.9715088710151</v>
      </c>
      <c r="AL1229">
        <v>79.314945612376704</v>
      </c>
      <c r="AM1229">
        <v>91.150275810811905</v>
      </c>
      <c r="AN1229">
        <v>1.00000003030207</v>
      </c>
    </row>
    <row r="1230" spans="1:40" x14ac:dyDescent="0.25">
      <c r="A1230" t="str">
        <f>"20190303162525128"</f>
        <v>20190303162525128</v>
      </c>
      <c r="B1230" t="str">
        <f>"1551601525113945"</f>
        <v>1551601525113945</v>
      </c>
      <c r="C1230" t="s">
        <v>40</v>
      </c>
      <c r="D1230">
        <v>5.331099</v>
      </c>
      <c r="E1230">
        <v>0.50950280000000003</v>
      </c>
      <c r="F1230" t="s">
        <v>42</v>
      </c>
      <c r="G1230">
        <v>-215.35579999999999</v>
      </c>
      <c r="H1230">
        <v>1.0380549999999999</v>
      </c>
      <c r="I1230">
        <v>284.41550000000001</v>
      </c>
      <c r="J1230">
        <v>-214.70949999999999</v>
      </c>
      <c r="K1230">
        <v>1.1231469999999999</v>
      </c>
      <c r="L1230">
        <v>284.36860000000001</v>
      </c>
      <c r="M1230">
        <v>-0.9981061</v>
      </c>
      <c r="N1230">
        <v>-1.4952709999999999E-2</v>
      </c>
      <c r="O1230">
        <v>5.9672280000000001E-2</v>
      </c>
      <c r="P1230">
        <v>-0.98555210000000004</v>
      </c>
      <c r="Q1230">
        <v>0.16553029999999999</v>
      </c>
      <c r="R1230">
        <v>3.5872519999999998E-2</v>
      </c>
      <c r="S1230">
        <v>-3.086624</v>
      </c>
      <c r="T1230">
        <v>-0.27684779999999998</v>
      </c>
      <c r="U1230">
        <v>0.20413210000000001</v>
      </c>
      <c r="V1230">
        <v>-2.385783E-2</v>
      </c>
      <c r="W1230">
        <v>0.18014330000000001</v>
      </c>
      <c r="X1230">
        <v>0.98335099999999998</v>
      </c>
      <c r="Y1230">
        <v>6.4588040000000003E-3</v>
      </c>
      <c r="Z1230">
        <v>-4.1027429999999998E-3</v>
      </c>
      <c r="AA1230">
        <v>0.99997069999999999</v>
      </c>
      <c r="AB1230">
        <v>28</v>
      </c>
      <c r="AC1230">
        <v>-0.64629999999999599</v>
      </c>
      <c r="AD1230">
        <v>-8.5091999999999904E-2</v>
      </c>
      <c r="AE1230">
        <v>4.6899999999993697E-2</v>
      </c>
      <c r="AF1230">
        <v>8.1061239428205298E-3</v>
      </c>
      <c r="AG1230">
        <v>-8.5091999999999904E-2</v>
      </c>
      <c r="AH1230">
        <v>0.63696344371357505</v>
      </c>
      <c r="AI1230">
        <v>97.608487782535093</v>
      </c>
      <c r="AJ1230">
        <v>89.270881831885902</v>
      </c>
      <c r="AK1230">
        <v>0.64267315669540204</v>
      </c>
      <c r="AL1230">
        <v>79.621893233625698</v>
      </c>
      <c r="AM1230">
        <v>91.389824031021305</v>
      </c>
      <c r="AN1230">
        <v>0.99999999689409902</v>
      </c>
    </row>
    <row r="1231" spans="1:40" x14ac:dyDescent="0.25">
      <c r="A1231" t="str">
        <f>"20190303162525147"</f>
        <v>20190303162525147</v>
      </c>
      <c r="B1231" t="str">
        <f>"1551601525134440"</f>
        <v>1551601525134440</v>
      </c>
      <c r="C1231" t="s">
        <v>40</v>
      </c>
      <c r="D1231">
        <v>5.205559</v>
      </c>
      <c r="E1231">
        <v>0.509783599999999</v>
      </c>
      <c r="F1231" t="s">
        <v>42</v>
      </c>
      <c r="G1231">
        <v>-215.6063</v>
      </c>
      <c r="H1231">
        <v>1.039771</v>
      </c>
      <c r="I1231">
        <v>284.4203</v>
      </c>
      <c r="J1231">
        <v>-214.97649999999999</v>
      </c>
      <c r="K1231">
        <v>1.1237980000000001</v>
      </c>
      <c r="L1231">
        <v>284.38080000000002</v>
      </c>
      <c r="M1231">
        <v>-0.99834840000000002</v>
      </c>
      <c r="N1231">
        <v>-1.487367E-2</v>
      </c>
      <c r="O1231">
        <v>5.5492569999999998E-2</v>
      </c>
      <c r="P1231">
        <v>-0.98580460000000003</v>
      </c>
      <c r="Q1231">
        <v>0.1655855</v>
      </c>
      <c r="R1231">
        <v>2.7761629999999999E-2</v>
      </c>
      <c r="S1231">
        <v>-3.085785</v>
      </c>
      <c r="T1231">
        <v>-0.28737079999999998</v>
      </c>
      <c r="U1231">
        <v>0.17715449999999999</v>
      </c>
      <c r="V1231">
        <v>-2.8125029999999999E-2</v>
      </c>
      <c r="W1231">
        <v>0.18005699999999999</v>
      </c>
      <c r="X1231">
        <v>0.98325399999999996</v>
      </c>
      <c r="Y1231">
        <v>1.9784070000000002E-3</v>
      </c>
      <c r="Z1231">
        <v>-4.2179569999999996E-3</v>
      </c>
      <c r="AA1231">
        <v>0.99998920000000002</v>
      </c>
      <c r="AB1231">
        <v>28</v>
      </c>
      <c r="AC1231">
        <v>-0.62980000000001701</v>
      </c>
      <c r="AD1231">
        <v>-8.4026999999999796E-2</v>
      </c>
      <c r="AE1231">
        <v>3.9499999999975402E-2</v>
      </c>
      <c r="AF1231">
        <v>4.4078819445093204E-3</v>
      </c>
      <c r="AG1231">
        <v>-8.4026999999999796E-2</v>
      </c>
      <c r="AH1231">
        <v>0.62002795674205502</v>
      </c>
      <c r="AI1231">
        <v>97.717587229905405</v>
      </c>
      <c r="AJ1231">
        <v>89.592681628791794</v>
      </c>
      <c r="AK1231">
        <v>0.625711301874885</v>
      </c>
      <c r="AL1231">
        <v>79.626919927042593</v>
      </c>
      <c r="AM1231">
        <v>91.638443620251095</v>
      </c>
      <c r="AN1231">
        <v>0.99999998453875005</v>
      </c>
    </row>
    <row r="1232" spans="1:40" x14ac:dyDescent="0.25">
      <c r="A1232" t="str">
        <f>"20190303162525167"</f>
        <v>20190303162525167</v>
      </c>
      <c r="B1232" t="str">
        <f>"1551601525153961"</f>
        <v>1551601525153961</v>
      </c>
      <c r="C1232" t="s">
        <v>40</v>
      </c>
      <c r="D1232">
        <v>5.2268919999999897</v>
      </c>
      <c r="E1232">
        <v>0.50994319999999904</v>
      </c>
      <c r="F1232" t="s">
        <v>48</v>
      </c>
      <c r="G1232">
        <v>-227.27600000000001</v>
      </c>
      <c r="H1232" s="1">
        <v>2.3351400000000001E-6</v>
      </c>
      <c r="I1232">
        <v>284.9862</v>
      </c>
      <c r="J1232">
        <v>-215.23830000000001</v>
      </c>
      <c r="K1232">
        <v>1.1243459999999901</v>
      </c>
      <c r="L1232">
        <v>284.39100000000002</v>
      </c>
      <c r="M1232">
        <v>-0.99859330000000002</v>
      </c>
      <c r="N1232">
        <v>-1.480419E-2</v>
      </c>
      <c r="O1232">
        <v>5.0915269999999999E-2</v>
      </c>
      <c r="P1232">
        <v>-0.98573509999999998</v>
      </c>
      <c r="Q1232">
        <v>0.166969799999999</v>
      </c>
      <c r="R1232">
        <v>2.1150829999999999E-2</v>
      </c>
      <c r="S1232">
        <v>-3.0863040000000002</v>
      </c>
      <c r="T1232">
        <v>-0.28199410000000003</v>
      </c>
      <c r="U1232">
        <v>0.15191650000000001</v>
      </c>
      <c r="V1232">
        <v>-3.0443290000000001E-2</v>
      </c>
      <c r="W1232">
        <v>0.18131630000000001</v>
      </c>
      <c r="X1232">
        <v>0.98295350000000004</v>
      </c>
      <c r="Y1232">
        <v>-1.603742E-3</v>
      </c>
      <c r="Z1232">
        <v>-3.9691489999999999E-3</v>
      </c>
      <c r="AA1232">
        <v>0.99999079999999996</v>
      </c>
      <c r="AB1232">
        <v>28</v>
      </c>
      <c r="AC1232">
        <v>-12.0376999999999</v>
      </c>
      <c r="AD1232">
        <v>-1.12434366485999</v>
      </c>
      <c r="AE1232">
        <v>0.59520000000003304</v>
      </c>
      <c r="AF1232">
        <v>-1.8382072081543101E-2</v>
      </c>
      <c r="AG1232">
        <v>-1.12434366485999</v>
      </c>
      <c r="AH1232">
        <v>11.94840886894</v>
      </c>
      <c r="AI1232">
        <v>95.375689226596705</v>
      </c>
      <c r="AJ1232">
        <v>90.088146826041907</v>
      </c>
      <c r="AK1232">
        <v>12.0012066508601</v>
      </c>
      <c r="AL1232">
        <v>79.553559937072094</v>
      </c>
      <c r="AM1232">
        <v>91.773954352878107</v>
      </c>
      <c r="AN1232">
        <v>0.99999998885698105</v>
      </c>
    </row>
    <row r="1233" spans="1:40" x14ac:dyDescent="0.25">
      <c r="A1233" t="str">
        <f>"20190303162525192"</f>
        <v>20190303162525192</v>
      </c>
      <c r="B1233" t="str">
        <f>"1551601525184216"</f>
        <v>1551601525184216</v>
      </c>
      <c r="C1233" t="s">
        <v>40</v>
      </c>
      <c r="D1233">
        <v>5.2739060000000002</v>
      </c>
      <c r="E1233">
        <v>0.51024820000000004</v>
      </c>
      <c r="F1233" t="s">
        <v>48</v>
      </c>
      <c r="G1233">
        <v>-228.01339999999999</v>
      </c>
      <c r="H1233" s="1">
        <v>2.7275149999999999E-6</v>
      </c>
      <c r="I1233">
        <v>284.94420000000002</v>
      </c>
      <c r="J1233">
        <v>-215.54</v>
      </c>
      <c r="K1233">
        <v>1.124871</v>
      </c>
      <c r="L1233">
        <v>284.4006</v>
      </c>
      <c r="M1233">
        <v>-0.99887420000000005</v>
      </c>
      <c r="N1233">
        <v>-1.4737200000000001E-2</v>
      </c>
      <c r="O1233">
        <v>4.5089570000000002E-2</v>
      </c>
      <c r="P1233">
        <v>-0.98564949999999996</v>
      </c>
      <c r="Q1233">
        <v>0.16790629999999901</v>
      </c>
      <c r="R1233">
        <v>1.73951E-2</v>
      </c>
      <c r="S1233">
        <v>-3.0865629999999999</v>
      </c>
      <c r="T1233">
        <v>-0.2716517</v>
      </c>
      <c r="U1233">
        <v>0.13366700000000001</v>
      </c>
      <c r="V1233">
        <v>-2.8674910000000001E-2</v>
      </c>
      <c r="W1233">
        <v>0.18216540000000001</v>
      </c>
      <c r="X1233">
        <v>0.98284970000000005</v>
      </c>
      <c r="Y1233">
        <v>-1.7026280000000001E-3</v>
      </c>
      <c r="Z1233">
        <v>-3.380751E-3</v>
      </c>
      <c r="AA1233">
        <v>0.99999280000000002</v>
      </c>
      <c r="AB1233">
        <v>28</v>
      </c>
      <c r="AC1233">
        <v>-12.4733999999999</v>
      </c>
      <c r="AD1233">
        <v>-1.1248682724850001</v>
      </c>
      <c r="AE1233">
        <v>0.54360000000002595</v>
      </c>
      <c r="AF1233">
        <v>-1.92778552124248E-2</v>
      </c>
      <c r="AG1233">
        <v>-1.1248682724850001</v>
      </c>
      <c r="AH1233">
        <v>12.3846946872873</v>
      </c>
      <c r="AI1233">
        <v>95.1897742663987</v>
      </c>
      <c r="AJ1233">
        <v>90.089185795656704</v>
      </c>
      <c r="AK1233">
        <v>12.435689074734301</v>
      </c>
      <c r="AL1233">
        <v>79.504086379586198</v>
      </c>
      <c r="AM1233">
        <v>91.671146056844194</v>
      </c>
      <c r="AN1233">
        <v>1.0000000081053699</v>
      </c>
    </row>
    <row r="1234" spans="1:40" x14ac:dyDescent="0.25">
      <c r="A1234" t="str">
        <f>"20190303162525214"</f>
        <v>20190303162525214</v>
      </c>
      <c r="B1234" t="str">
        <f>"1551601525203737"</f>
        <v>1551601525203737</v>
      </c>
      <c r="C1234" t="s">
        <v>40</v>
      </c>
      <c r="D1234">
        <v>5.3362860000000003</v>
      </c>
      <c r="E1234">
        <v>0.51041259999999999</v>
      </c>
      <c r="F1234" t="s">
        <v>48</v>
      </c>
      <c r="G1234">
        <v>-228.83349999999999</v>
      </c>
      <c r="H1234" s="1">
        <v>3.1639319999999999E-6</v>
      </c>
      <c r="I1234">
        <v>284.93110000000001</v>
      </c>
      <c r="J1234">
        <v>-215.81880000000001</v>
      </c>
      <c r="K1234">
        <v>1.125299</v>
      </c>
      <c r="L1234">
        <v>284.40730000000002</v>
      </c>
      <c r="M1234">
        <v>-0.99912239999999997</v>
      </c>
      <c r="N1234">
        <v>-1.4691009999999999E-2</v>
      </c>
      <c r="O1234">
        <v>3.9227030000000003E-2</v>
      </c>
      <c r="P1234">
        <v>-0.98554299999999995</v>
      </c>
      <c r="Q1234">
        <v>0.1686241</v>
      </c>
      <c r="R1234">
        <v>1.6467320000000001E-2</v>
      </c>
      <c r="S1234">
        <v>-3.0859830000000001</v>
      </c>
      <c r="T1234">
        <v>-0.26112970000000002</v>
      </c>
      <c r="U1234">
        <v>0.1231384</v>
      </c>
      <c r="V1234">
        <v>-2.4003630000000001E-2</v>
      </c>
      <c r="W1234">
        <v>0.18285599999999999</v>
      </c>
      <c r="X1234">
        <v>0.98284660000000001</v>
      </c>
      <c r="Y1234">
        <v>7.3240950000000001E-4</v>
      </c>
      <c r="Z1234">
        <v>-2.6990209999999998E-3</v>
      </c>
      <c r="AA1234">
        <v>0.99999610000000005</v>
      </c>
      <c r="AB1234">
        <v>28</v>
      </c>
      <c r="AC1234">
        <v>-13.0146999999999</v>
      </c>
      <c r="AD1234">
        <v>-1.1252958360680001</v>
      </c>
      <c r="AE1234">
        <v>0.52379999999999405</v>
      </c>
      <c r="AF1234">
        <v>1.27187370238577E-2</v>
      </c>
      <c r="AG1234">
        <v>-1.1252958360680001</v>
      </c>
      <c r="AH1234">
        <v>12.9287321082532</v>
      </c>
      <c r="AI1234">
        <v>94.974392962021696</v>
      </c>
      <c r="AJ1234">
        <v>89.943634866047205</v>
      </c>
      <c r="AK1234">
        <v>12.977617902062001</v>
      </c>
      <c r="AL1234">
        <v>79.463841504412201</v>
      </c>
      <c r="AM1234">
        <v>91.3990314975659</v>
      </c>
      <c r="AN1234">
        <v>0.99999996506036704</v>
      </c>
    </row>
    <row r="1235" spans="1:40" x14ac:dyDescent="0.25">
      <c r="A1235" t="str">
        <f>"20190303162525249"</f>
        <v>20190303162525249</v>
      </c>
      <c r="B1235" t="str">
        <f>"1551601525243753"</f>
        <v>1551601525243753</v>
      </c>
      <c r="C1235" t="s">
        <v>40</v>
      </c>
      <c r="D1235">
        <v>5.341494</v>
      </c>
      <c r="E1235">
        <v>0.51067379999999996</v>
      </c>
      <c r="F1235" t="s">
        <v>48</v>
      </c>
      <c r="G1235">
        <v>-229.4949</v>
      </c>
      <c r="H1235" s="1">
        <v>3.5159390000000001E-6</v>
      </c>
      <c r="I1235">
        <v>284.94299999999998</v>
      </c>
      <c r="J1235">
        <v>-216.24019999999999</v>
      </c>
      <c r="K1235">
        <v>1.1258539999999999</v>
      </c>
      <c r="L1235">
        <v>284.41320000000002</v>
      </c>
      <c r="M1235">
        <v>-0.9994556</v>
      </c>
      <c r="N1235">
        <v>-1.4646869999999999E-2</v>
      </c>
      <c r="O1235">
        <v>2.9566240000000001E-2</v>
      </c>
      <c r="P1235">
        <v>-0.98559589999999997</v>
      </c>
      <c r="Q1235">
        <v>0.16870079999999901</v>
      </c>
      <c r="R1235">
        <v>1.1876960000000001E-2</v>
      </c>
      <c r="S1235">
        <v>-3.0854339999999998</v>
      </c>
      <c r="T1235">
        <v>-0.25387530000000003</v>
      </c>
      <c r="U1235">
        <v>0.1208496</v>
      </c>
      <c r="V1235">
        <v>-1.9306739999999999E-2</v>
      </c>
      <c r="W1235">
        <v>0.1829142</v>
      </c>
      <c r="X1235">
        <v>0.98293929999999996</v>
      </c>
      <c r="Y1235">
        <v>9.6030709999999995E-3</v>
      </c>
      <c r="Z1235">
        <v>-1.52993799999999E-3</v>
      </c>
      <c r="AA1235">
        <v>0.99995270000000003</v>
      </c>
      <c r="AB1235">
        <v>28</v>
      </c>
      <c r="AC1235">
        <v>-13.2547</v>
      </c>
      <c r="AD1235">
        <v>-1.125850484061</v>
      </c>
      <c r="AE1235">
        <v>0.52979999999996596</v>
      </c>
      <c r="AF1235">
        <v>0.136650360371744</v>
      </c>
      <c r="AG1235">
        <v>-1.125850484061</v>
      </c>
      <c r="AH1235">
        <v>13.1697053367275</v>
      </c>
      <c r="AI1235">
        <v>94.885954256850695</v>
      </c>
      <c r="AJ1235">
        <v>89.405513809747205</v>
      </c>
      <c r="AK1235">
        <v>13.2184473857439</v>
      </c>
      <c r="AL1235">
        <v>79.460450175567402</v>
      </c>
      <c r="AM1235">
        <v>91.125250047171406</v>
      </c>
      <c r="AN1235">
        <v>1.00000001112777</v>
      </c>
    </row>
    <row r="1236" spans="1:40" x14ac:dyDescent="0.25">
      <c r="A1236" t="str">
        <f>"20190303162525279"</f>
        <v>20190303162525279</v>
      </c>
      <c r="B1236" t="str">
        <f>"1551601525274009"</f>
        <v>1551601525274009</v>
      </c>
      <c r="C1236" t="s">
        <v>40</v>
      </c>
      <c r="D1236">
        <v>5.2035150000000003</v>
      </c>
      <c r="E1236">
        <v>0.5109108</v>
      </c>
      <c r="F1236" t="s">
        <v>48</v>
      </c>
      <c r="G1236">
        <v>-230.3931</v>
      </c>
      <c r="H1236" s="1">
        <v>-1.34065E-6</v>
      </c>
      <c r="I1236">
        <v>284.91419999999999</v>
      </c>
      <c r="J1236">
        <v>-216.61160000000001</v>
      </c>
      <c r="K1236">
        <v>1.1262779999999999</v>
      </c>
      <c r="L1236">
        <v>284.41419999999999</v>
      </c>
      <c r="M1236">
        <v>-0.99968400000000002</v>
      </c>
      <c r="N1236">
        <v>-1.462221E-2</v>
      </c>
      <c r="O1236">
        <v>2.044578E-2</v>
      </c>
      <c r="P1236">
        <v>-0.98505350000000003</v>
      </c>
      <c r="Q1236">
        <v>0.17148350000000001</v>
      </c>
      <c r="R1236">
        <v>1.6229299999999999E-2</v>
      </c>
      <c r="S1236">
        <v>-3.084549</v>
      </c>
      <c r="T1236">
        <v>-0.2453747</v>
      </c>
      <c r="U1236">
        <v>0.109191899999999</v>
      </c>
      <c r="V1236">
        <v>-6.1553780000000004E-3</v>
      </c>
      <c r="W1236">
        <v>0.18581049999999999</v>
      </c>
      <c r="X1236">
        <v>0.9825663</v>
      </c>
      <c r="Y1236">
        <v>1.4922100000000001E-2</v>
      </c>
      <c r="Z1236">
        <v>-6.2286480000000005E-4</v>
      </c>
      <c r="AA1236">
        <v>0.99988849999999996</v>
      </c>
      <c r="AB1236">
        <v>28</v>
      </c>
      <c r="AC1236">
        <v>-13.7814999999999</v>
      </c>
      <c r="AD1236">
        <v>-1.12627934065</v>
      </c>
      <c r="AE1236">
        <v>0.5</v>
      </c>
      <c r="AF1236">
        <v>0.21664676478240999</v>
      </c>
      <c r="AG1236">
        <v>-1.12627934065</v>
      </c>
      <c r="AH1236">
        <v>13.697479883683799</v>
      </c>
      <c r="AI1236">
        <v>94.700002703834798</v>
      </c>
      <c r="AJ1236">
        <v>89.093854457798301</v>
      </c>
      <c r="AK1236">
        <v>13.7454136401124</v>
      </c>
      <c r="AL1236">
        <v>79.291609834197203</v>
      </c>
      <c r="AM1236">
        <v>90.358930045937996</v>
      </c>
      <c r="AN1236">
        <v>0.99999998224213105</v>
      </c>
    </row>
    <row r="1237" spans="1:40" x14ac:dyDescent="0.25">
      <c r="A1237" t="str">
        <f>"20190303162525304"</f>
        <v>20190303162525304</v>
      </c>
      <c r="B1237" t="str">
        <f>"1551601525293530"</f>
        <v>1551601525293530</v>
      </c>
      <c r="C1237" t="s">
        <v>40</v>
      </c>
      <c r="D1237">
        <v>5.3143840000000004</v>
      </c>
      <c r="E1237">
        <v>0.51075990000000004</v>
      </c>
      <c r="F1237" t="s">
        <v>42</v>
      </c>
      <c r="G1237">
        <v>-217.58600000000001</v>
      </c>
      <c r="H1237">
        <v>1.0530630000000001</v>
      </c>
      <c r="I1237">
        <v>284.4529</v>
      </c>
      <c r="J1237">
        <v>-216.91739999999999</v>
      </c>
      <c r="K1237">
        <v>1.1265149999999999</v>
      </c>
      <c r="L1237">
        <v>284.41180000000003</v>
      </c>
      <c r="M1237">
        <v>-0.99981450000000005</v>
      </c>
      <c r="N1237">
        <v>-1.4607500000000001E-2</v>
      </c>
      <c r="O1237">
        <v>1.255738E-2</v>
      </c>
      <c r="P1237">
        <v>-0.9847146</v>
      </c>
      <c r="Q1237">
        <v>0.1734262</v>
      </c>
      <c r="R1237">
        <v>1.6146270000000001E-2</v>
      </c>
      <c r="S1237">
        <v>-3.0838930000000002</v>
      </c>
      <c r="T1237">
        <v>-0.2319148</v>
      </c>
      <c r="U1237">
        <v>0.1220398</v>
      </c>
      <c r="V1237">
        <v>1.4155120000000001E-3</v>
      </c>
      <c r="W1237">
        <v>0.1878262</v>
      </c>
      <c r="X1237">
        <v>0.98220130000000005</v>
      </c>
      <c r="Y1237">
        <v>2.692261E-2</v>
      </c>
      <c r="Z1237">
        <v>4.4816300000000001E-4</v>
      </c>
      <c r="AA1237">
        <v>0.99963740000000001</v>
      </c>
      <c r="AB1237">
        <v>28</v>
      </c>
      <c r="AC1237">
        <v>-0.66859999999999697</v>
      </c>
      <c r="AD1237">
        <v>-7.3452000000000003E-2</v>
      </c>
      <c r="AE1237">
        <v>4.1099999999971701E-2</v>
      </c>
      <c r="AF1237">
        <v>3.2311496677928798E-2</v>
      </c>
      <c r="AG1237">
        <v>-7.3452000000000003E-2</v>
      </c>
      <c r="AH1237">
        <v>0.661114423405461</v>
      </c>
      <c r="AI1237">
        <v>96.332253266312804</v>
      </c>
      <c r="AJ1237">
        <v>87.201936066134905</v>
      </c>
      <c r="AK1237">
        <v>0.66596659822869697</v>
      </c>
      <c r="AL1237">
        <v>79.174049612652894</v>
      </c>
      <c r="AM1237">
        <v>89.917427509715793</v>
      </c>
      <c r="AN1237">
        <v>1.0000000394011701</v>
      </c>
    </row>
    <row r="1238" spans="1:40" x14ac:dyDescent="0.25">
      <c r="A1238" t="str">
        <f>"20190303162525324"</f>
        <v>20190303162525324</v>
      </c>
      <c r="B1238" t="str">
        <f>"1551601525315001"</f>
        <v>1551601525315001</v>
      </c>
      <c r="C1238" t="s">
        <v>40</v>
      </c>
      <c r="D1238">
        <v>5.4354610000000001</v>
      </c>
      <c r="E1238">
        <v>0.48634559999999999</v>
      </c>
      <c r="F1238" t="s">
        <v>48</v>
      </c>
      <c r="G1238">
        <v>-232.40270000000001</v>
      </c>
      <c r="H1238" s="1">
        <v>-2.7504790000000002E-7</v>
      </c>
      <c r="I1238">
        <v>285.00189999999998</v>
      </c>
      <c r="J1238">
        <v>-217.17259999999999</v>
      </c>
      <c r="K1238">
        <v>1.126641</v>
      </c>
      <c r="L1238">
        <v>284.40789999999998</v>
      </c>
      <c r="M1238">
        <v>-0.9998766</v>
      </c>
      <c r="N1238">
        <v>-1.4596329999999999E-2</v>
      </c>
      <c r="O1238">
        <v>5.8122010000000003E-3</v>
      </c>
      <c r="P1238">
        <v>-0.98450139999999997</v>
      </c>
      <c r="Q1238">
        <v>0.1747235</v>
      </c>
      <c r="R1238">
        <v>1.5136449999999999E-2</v>
      </c>
      <c r="S1238">
        <v>-3.084152</v>
      </c>
      <c r="T1238">
        <v>-0.2243638</v>
      </c>
      <c r="U1238">
        <v>0.11752319999999999</v>
      </c>
      <c r="V1238">
        <v>6.9759990000000001E-3</v>
      </c>
      <c r="W1238">
        <v>0.18918180000000001</v>
      </c>
      <c r="X1238">
        <v>0.98191729999999999</v>
      </c>
      <c r="Y1238">
        <v>3.2176419999999997E-2</v>
      </c>
      <c r="Z1238">
        <v>1.0663319999999999E-3</v>
      </c>
      <c r="AA1238">
        <v>0.99948159999999997</v>
      </c>
      <c r="AB1238">
        <v>28</v>
      </c>
      <c r="AC1238">
        <v>-15.2301</v>
      </c>
      <c r="AD1238">
        <v>-1.1266412750479</v>
      </c>
      <c r="AE1238">
        <v>0.59399999999999398</v>
      </c>
      <c r="AF1238">
        <v>0.502713339060188</v>
      </c>
      <c r="AG1238">
        <v>-1.1266412750479</v>
      </c>
      <c r="AH1238">
        <v>15.1505140538098</v>
      </c>
      <c r="AI1238">
        <v>94.250541189090598</v>
      </c>
      <c r="AJ1238">
        <v>88.099550371155701</v>
      </c>
      <c r="AK1238">
        <v>15.2006617408124</v>
      </c>
      <c r="AL1238">
        <v>79.094961170030601</v>
      </c>
      <c r="AM1238">
        <v>89.592950876693806</v>
      </c>
      <c r="AN1238">
        <v>1.0000000010262799</v>
      </c>
    </row>
    <row r="1239" spans="1:40" x14ac:dyDescent="0.25">
      <c r="A1239" t="str">
        <f>"20190303162525347"</f>
        <v>20190303162525347</v>
      </c>
      <c r="B1239" t="str">
        <f>"1551601525333545"</f>
        <v>1551601525333545</v>
      </c>
      <c r="C1239" t="s">
        <v>40</v>
      </c>
      <c r="D1239">
        <v>5.3111699999999997</v>
      </c>
      <c r="E1239">
        <v>0.48507660000000002</v>
      </c>
      <c r="F1239" t="s">
        <v>48</v>
      </c>
      <c r="G1239">
        <v>-238.9889</v>
      </c>
      <c r="H1239" s="1">
        <v>3.2799550000000002E-6</v>
      </c>
      <c r="I1239">
        <v>283.85430000000002</v>
      </c>
      <c r="J1239">
        <v>-217.44470000000001</v>
      </c>
      <c r="K1239">
        <v>1.126711</v>
      </c>
      <c r="L1239">
        <v>284.40159999999997</v>
      </c>
      <c r="M1239">
        <v>-0.99989260000000002</v>
      </c>
      <c r="N1239">
        <v>-1.4585040000000001E-2</v>
      </c>
      <c r="O1239">
        <v>-1.473579E-3</v>
      </c>
      <c r="P1239">
        <v>-0.98417030000000005</v>
      </c>
      <c r="Q1239">
        <v>0.17668719999999999</v>
      </c>
      <c r="R1239">
        <v>1.381279E-2</v>
      </c>
      <c r="S1239">
        <v>-3.0766450000000001</v>
      </c>
      <c r="T1239">
        <v>-0.15888450000000001</v>
      </c>
      <c r="U1239">
        <v>-7.8063960000000002E-2</v>
      </c>
      <c r="V1239">
        <v>1.2764370000000001E-2</v>
      </c>
      <c r="W1239">
        <v>0.19120519999999999</v>
      </c>
      <c r="X1239">
        <v>0.98146710000000004</v>
      </c>
      <c r="Y1239">
        <v>-2.3851890000000001E-2</v>
      </c>
      <c r="Z1239">
        <v>-7.3494259999999905E-4</v>
      </c>
      <c r="AA1239">
        <v>0.99971520000000003</v>
      </c>
      <c r="AB1239">
        <v>28</v>
      </c>
      <c r="AC1239">
        <v>-21.544199999999901</v>
      </c>
      <c r="AD1239">
        <v>-1.126707720045</v>
      </c>
      <c r="AE1239">
        <v>-0.54729999999995005</v>
      </c>
      <c r="AF1239">
        <v>-0.51414365897312297</v>
      </c>
      <c r="AG1239">
        <v>-1.126707720045</v>
      </c>
      <c r="AH1239">
        <v>21.486255565872298</v>
      </c>
      <c r="AI1239">
        <v>93.000899768786894</v>
      </c>
      <c r="AJ1239">
        <v>91.370766582049498</v>
      </c>
      <c r="AK1239">
        <v>21.521918878911599</v>
      </c>
      <c r="AL1239">
        <v>78.976873499710607</v>
      </c>
      <c r="AM1239">
        <v>89.254887606489703</v>
      </c>
      <c r="AN1239">
        <v>1.00000001301547</v>
      </c>
    </row>
    <row r="1240" spans="1:40" x14ac:dyDescent="0.25">
      <c r="A1240" t="str">
        <f>"20190303162525368"</f>
        <v>20190303162525368</v>
      </c>
      <c r="B1240" t="str">
        <f>"1551601525354041"</f>
        <v>1551601525354041</v>
      </c>
      <c r="C1240" t="s">
        <v>40</v>
      </c>
      <c r="D1240">
        <v>5.3085950000000004</v>
      </c>
      <c r="E1240">
        <v>0.48504570000000002</v>
      </c>
      <c r="F1240" t="s">
        <v>48</v>
      </c>
      <c r="G1240">
        <v>-240.05619999999999</v>
      </c>
      <c r="H1240" s="1">
        <v>-1.5068919999999999E-6</v>
      </c>
      <c r="I1240">
        <v>283.73599999999999</v>
      </c>
      <c r="J1240">
        <v>-217.69980000000001</v>
      </c>
      <c r="K1240">
        <v>1.126719</v>
      </c>
      <c r="L1240">
        <v>284.39389999999997</v>
      </c>
      <c r="M1240">
        <v>-0.99985930000000001</v>
      </c>
      <c r="N1240">
        <v>-1.457345E-2</v>
      </c>
      <c r="O1240">
        <v>-8.310797E-3</v>
      </c>
      <c r="P1240">
        <v>-0.98393450000000005</v>
      </c>
      <c r="Q1240">
        <v>0.1776858</v>
      </c>
      <c r="R1240">
        <v>1.735211E-2</v>
      </c>
      <c r="S1240">
        <v>-3.0770569999999999</v>
      </c>
      <c r="T1240">
        <v>-0.15332699999999999</v>
      </c>
      <c r="U1240">
        <v>-9.0576169999999998E-2</v>
      </c>
      <c r="V1240">
        <v>2.3011159999999999E-2</v>
      </c>
      <c r="W1240">
        <v>0.19232179999999999</v>
      </c>
      <c r="X1240">
        <v>0.98106210000000005</v>
      </c>
      <c r="Y1240">
        <v>-2.1085489999999998E-2</v>
      </c>
      <c r="Z1240">
        <v>-3.8599689999999998E-4</v>
      </c>
      <c r="AA1240">
        <v>0.99977760000000004</v>
      </c>
      <c r="AB1240">
        <v>28</v>
      </c>
      <c r="AC1240">
        <v>-22.356399999999901</v>
      </c>
      <c r="AD1240">
        <v>-1.1267205068920001</v>
      </c>
      <c r="AE1240">
        <v>-0.65789999999998305</v>
      </c>
      <c r="AF1240">
        <v>-0.47086310208035598</v>
      </c>
      <c r="AG1240">
        <v>-1.1267205068920001</v>
      </c>
      <c r="AH1240">
        <v>22.304492274156502</v>
      </c>
      <c r="AI1240">
        <v>92.891218387538601</v>
      </c>
      <c r="AJ1240">
        <v>91.209373496017804</v>
      </c>
      <c r="AK1240">
        <v>22.337895755183801</v>
      </c>
      <c r="AL1240">
        <v>78.911687283609595</v>
      </c>
      <c r="AM1240">
        <v>88.6563535096235</v>
      </c>
      <c r="AN1240">
        <v>1.00000001614809</v>
      </c>
    </row>
    <row r="1241" spans="1:40" x14ac:dyDescent="0.25">
      <c r="A1241" t="str">
        <f>"20190303162525392"</f>
        <v>20190303162525392</v>
      </c>
      <c r="B1241" t="str">
        <f>"1551601525384296"</f>
        <v>1551601525384296</v>
      </c>
      <c r="C1241" t="s">
        <v>40</v>
      </c>
      <c r="D1241">
        <v>5.052454</v>
      </c>
      <c r="E1241">
        <v>0.48495859999999902</v>
      </c>
      <c r="F1241" t="s">
        <v>48</v>
      </c>
      <c r="G1241">
        <v>-240.10980000000001</v>
      </c>
      <c r="H1241" s="1">
        <v>-1.4783779999999999E-6</v>
      </c>
      <c r="I1241">
        <v>283.79140000000001</v>
      </c>
      <c r="J1241">
        <v>-217.99789999999999</v>
      </c>
      <c r="K1241">
        <v>1.1266350000000001</v>
      </c>
      <c r="L1241">
        <v>284.38279999999997</v>
      </c>
      <c r="M1241">
        <v>-0.99976319999999996</v>
      </c>
      <c r="N1241">
        <v>-1.4555790000000001E-2</v>
      </c>
      <c r="O1241">
        <v>-1.617888E-2</v>
      </c>
      <c r="P1241">
        <v>-0.98394400000000004</v>
      </c>
      <c r="Q1241">
        <v>0.17735109999999901</v>
      </c>
      <c r="R1241">
        <v>2.0030050000000001E-2</v>
      </c>
      <c r="S1241">
        <v>-3.0784150000000001</v>
      </c>
      <c r="T1241">
        <v>-0.15477550000000001</v>
      </c>
      <c r="U1241">
        <v>-8.2763669999999998E-2</v>
      </c>
      <c r="V1241">
        <v>3.3464819999999999E-2</v>
      </c>
      <c r="W1241">
        <v>0.19209709999999999</v>
      </c>
      <c r="X1241">
        <v>0.98080520000000004</v>
      </c>
      <c r="Y1241">
        <v>-1.0690079999999999E-2</v>
      </c>
      <c r="Z1241">
        <v>2.3092309999999999E-4</v>
      </c>
      <c r="AA1241">
        <v>0.99994280000000002</v>
      </c>
      <c r="AB1241">
        <v>28</v>
      </c>
      <c r="AC1241">
        <v>-22.111899999999999</v>
      </c>
      <c r="AD1241">
        <v>-1.1266364783779901</v>
      </c>
      <c r="AE1241">
        <v>-0.59139999999996395</v>
      </c>
      <c r="AF1241">
        <v>-0.23293463037749201</v>
      </c>
      <c r="AG1241">
        <v>-1.1266364783779901</v>
      </c>
      <c r="AH1241">
        <v>22.061342706735601</v>
      </c>
      <c r="AI1241">
        <v>92.923298865877101</v>
      </c>
      <c r="AJ1241">
        <v>90.604934861926296</v>
      </c>
      <c r="AK1241">
        <v>22.091319795803901</v>
      </c>
      <c r="AL1241">
        <v>78.924806251642295</v>
      </c>
      <c r="AM1241">
        <v>88.045840887887096</v>
      </c>
      <c r="AN1241">
        <v>1.00000001517654</v>
      </c>
    </row>
    <row r="1242" spans="1:40" x14ac:dyDescent="0.25">
      <c r="A1242" t="str">
        <f>"20190303162525415"</f>
        <v>20190303162525415</v>
      </c>
      <c r="B1242" t="str">
        <f>"1551601525404793"</f>
        <v>1551601525404793</v>
      </c>
      <c r="C1242" t="s">
        <v>40</v>
      </c>
      <c r="D1242">
        <v>5.3055979999999998</v>
      </c>
      <c r="E1242">
        <v>0.484657</v>
      </c>
      <c r="F1242" t="s">
        <v>48</v>
      </c>
      <c r="G1242">
        <v>-239.48099999999999</v>
      </c>
      <c r="H1242" s="1">
        <v>3.5421259999999998E-6</v>
      </c>
      <c r="I1242">
        <v>283.8476</v>
      </c>
      <c r="J1242">
        <v>-218.27789999999999</v>
      </c>
      <c r="K1242">
        <v>1.1264449999999999</v>
      </c>
      <c r="L1242">
        <v>284.37040000000002</v>
      </c>
      <c r="M1242">
        <v>-0.99962269999999998</v>
      </c>
      <c r="N1242">
        <v>-1.453276E-2</v>
      </c>
      <c r="O1242">
        <v>-2.330718E-2</v>
      </c>
      <c r="P1242">
        <v>-0.98433499999999996</v>
      </c>
      <c r="Q1242">
        <v>0.1752619</v>
      </c>
      <c r="R1242">
        <v>1.9175870000000001E-2</v>
      </c>
      <c r="S1242">
        <v>-3.0796359999999998</v>
      </c>
      <c r="T1242">
        <v>-0.16150439999999999</v>
      </c>
      <c r="U1242">
        <v>-7.6721189999999995E-2</v>
      </c>
      <c r="V1242">
        <v>3.9732400000000001E-2</v>
      </c>
      <c r="W1242">
        <v>0.19005179999999999</v>
      </c>
      <c r="X1242">
        <v>0.98096969999999994</v>
      </c>
      <c r="Y1242">
        <v>-1.6094099999999999E-3</v>
      </c>
      <c r="Z1242">
        <v>8.2865610000000002E-4</v>
      </c>
      <c r="AA1242">
        <v>0.99999839999999995</v>
      </c>
      <c r="AB1242">
        <v>28</v>
      </c>
      <c r="AC1242">
        <v>-21.203099999999999</v>
      </c>
      <c r="AD1242">
        <v>-1.1264414578740001</v>
      </c>
      <c r="AE1242">
        <v>-0.52280000000001703</v>
      </c>
      <c r="AF1242">
        <v>-2.83413392286672E-2</v>
      </c>
      <c r="AG1242">
        <v>-1.1264414578740001</v>
      </c>
      <c r="AH1242">
        <v>21.149868144102999</v>
      </c>
      <c r="AI1242">
        <v>93.048688590178401</v>
      </c>
      <c r="AJ1242">
        <v>90.076777696226301</v>
      </c>
      <c r="AK1242">
        <v>21.179862985922998</v>
      </c>
      <c r="AL1242">
        <v>79.044192257735901</v>
      </c>
      <c r="AM1242">
        <v>87.680606055272193</v>
      </c>
      <c r="AN1242">
        <v>0.99999995130554298</v>
      </c>
    </row>
    <row r="1243" spans="1:40" x14ac:dyDescent="0.25">
      <c r="A1243" t="str">
        <f>"20190303162525438"</f>
        <v>20190303162525438</v>
      </c>
      <c r="B1243" t="str">
        <f>"1551601525434072"</f>
        <v>1551601525434072</v>
      </c>
      <c r="C1243" t="s">
        <v>40</v>
      </c>
      <c r="D1243">
        <v>5.0077129999999999</v>
      </c>
      <c r="E1243">
        <v>0.48422860000000001</v>
      </c>
      <c r="F1243" t="s">
        <v>48</v>
      </c>
      <c r="G1243">
        <v>-239.0668</v>
      </c>
      <c r="H1243" s="1">
        <v>3.3221189999999998E-6</v>
      </c>
      <c r="I1243">
        <v>283.83800000000002</v>
      </c>
      <c r="J1243">
        <v>-218.56010000000001</v>
      </c>
      <c r="K1243">
        <v>1.1261380000000001</v>
      </c>
      <c r="L1243">
        <v>284.35629999999998</v>
      </c>
      <c r="M1243">
        <v>-0.99944310000000003</v>
      </c>
      <c r="N1243">
        <v>-1.4501999999999999E-2</v>
      </c>
      <c r="O1243">
        <v>-3.005828E-2</v>
      </c>
      <c r="P1243">
        <v>-0.98500710000000002</v>
      </c>
      <c r="Q1243">
        <v>0.17186170000000001</v>
      </c>
      <c r="R1243">
        <v>1.501042E-2</v>
      </c>
      <c r="S1243">
        <v>-3.0789949999999999</v>
      </c>
      <c r="T1243">
        <v>-0.1668347</v>
      </c>
      <c r="U1243">
        <v>-7.8857419999999998E-2</v>
      </c>
      <c r="V1243">
        <v>4.2401800000000003E-2</v>
      </c>
      <c r="W1243">
        <v>0.18663179999999999</v>
      </c>
      <c r="X1243">
        <v>0.98151449999999996</v>
      </c>
      <c r="Y1243">
        <v>4.4282829999999999E-3</v>
      </c>
      <c r="Z1243">
        <v>1.343199E-3</v>
      </c>
      <c r="AA1243">
        <v>0.99998929999999997</v>
      </c>
      <c r="AB1243">
        <v>27</v>
      </c>
      <c r="AC1243">
        <v>-20.506699999999899</v>
      </c>
      <c r="AD1243">
        <v>-1.126134677881</v>
      </c>
      <c r="AE1243">
        <v>-0.51830000000000997</v>
      </c>
      <c r="AF1243">
        <v>9.8099452947173704E-2</v>
      </c>
      <c r="AG1243">
        <v>-1.126134677881</v>
      </c>
      <c r="AH1243">
        <v>20.451376916874999</v>
      </c>
      <c r="AI1243">
        <v>93.151715938520596</v>
      </c>
      <c r="AJ1243">
        <v>89.725170508467997</v>
      </c>
      <c r="AK1243">
        <v>20.482593112481698</v>
      </c>
      <c r="AL1243">
        <v>79.243715518395504</v>
      </c>
      <c r="AM1243">
        <v>87.526338593496803</v>
      </c>
      <c r="AN1243">
        <v>1.0000000275623599</v>
      </c>
    </row>
    <row r="1244" spans="1:40" x14ac:dyDescent="0.25">
      <c r="A1244" t="str">
        <f>"20190303162525462"</f>
        <v>20190303162525462</v>
      </c>
      <c r="B1244" t="str">
        <f>"1551601525453593"</f>
        <v>1551601525453593</v>
      </c>
      <c r="C1244" t="s">
        <v>40</v>
      </c>
      <c r="D1244">
        <v>5.3202170000000004</v>
      </c>
      <c r="E1244">
        <v>0.48403420000000003</v>
      </c>
      <c r="F1244" t="s">
        <v>48</v>
      </c>
      <c r="G1244">
        <v>-237.84569999999999</v>
      </c>
      <c r="H1244" s="1">
        <v>2.6757979999999998E-6</v>
      </c>
      <c r="I1244">
        <v>283.75909999999999</v>
      </c>
      <c r="J1244">
        <v>-218.8357</v>
      </c>
      <c r="K1244">
        <v>1.1257200000000001</v>
      </c>
      <c r="L1244">
        <v>284.34120000000001</v>
      </c>
      <c r="M1244">
        <v>-0.99924619999999997</v>
      </c>
      <c r="N1244">
        <v>-1.4464629999999999E-2</v>
      </c>
      <c r="O1244">
        <v>-3.6026469999999998E-2</v>
      </c>
      <c r="P1244">
        <v>-0.98573319999999998</v>
      </c>
      <c r="Q1244">
        <v>0.167907</v>
      </c>
      <c r="R1244">
        <v>1.1733169999999999E-2</v>
      </c>
      <c r="S1244">
        <v>-3.0784760000000002</v>
      </c>
      <c r="T1244">
        <v>-0.1797599</v>
      </c>
      <c r="U1244">
        <v>-9.5336909999999997E-2</v>
      </c>
      <c r="V1244">
        <v>4.525382E-2</v>
      </c>
      <c r="W1244">
        <v>0.18263660000000001</v>
      </c>
      <c r="X1244">
        <v>0.98213850000000003</v>
      </c>
      <c r="Y1244">
        <v>5.0336979999999996E-3</v>
      </c>
      <c r="Z1244">
        <v>1.7631719999999999E-3</v>
      </c>
      <c r="AA1244">
        <v>0.99998580000000004</v>
      </c>
      <c r="AB1244">
        <v>27</v>
      </c>
      <c r="AC1244">
        <v>-19.009999999999899</v>
      </c>
      <c r="AD1244">
        <v>-1.125717324202</v>
      </c>
      <c r="AE1244">
        <v>-0.58210000000002504</v>
      </c>
      <c r="AF1244">
        <v>0.102852443082095</v>
      </c>
      <c r="AG1244">
        <v>-1.125717324202</v>
      </c>
      <c r="AH1244">
        <v>18.952233106528201</v>
      </c>
      <c r="AI1244">
        <v>93.3991885117604</v>
      </c>
      <c r="AJ1244">
        <v>89.689062865768605</v>
      </c>
      <c r="AK1244">
        <v>18.985914722320899</v>
      </c>
      <c r="AL1244">
        <v>79.476628253415598</v>
      </c>
      <c r="AM1244">
        <v>87.361858548779296</v>
      </c>
      <c r="AN1244">
        <v>1.0000000345332001</v>
      </c>
    </row>
    <row r="1245" spans="1:40" x14ac:dyDescent="0.25">
      <c r="A1245" t="str">
        <f>"20190303162525482"</f>
        <v>20190303162525482</v>
      </c>
      <c r="B1245" t="str">
        <f>"1551601525474089"</f>
        <v>1551601525474089</v>
      </c>
      <c r="C1245" t="s">
        <v>40</v>
      </c>
      <c r="D1245">
        <v>5.3169469999999999</v>
      </c>
      <c r="E1245">
        <v>0.48378139999999997</v>
      </c>
      <c r="F1245" t="s">
        <v>48</v>
      </c>
      <c r="G1245">
        <v>-236.7698</v>
      </c>
      <c r="H1245" s="1">
        <v>2.1054370000000002E-6</v>
      </c>
      <c r="I1245">
        <v>283.70920000000001</v>
      </c>
      <c r="J1245">
        <v>-219.0934</v>
      </c>
      <c r="K1245">
        <v>1.1253059999999999</v>
      </c>
      <c r="L1245">
        <v>284.3261</v>
      </c>
      <c r="M1245">
        <v>-0.99904970000000004</v>
      </c>
      <c r="N1245">
        <v>-1.4429499999999901E-2</v>
      </c>
      <c r="O1245">
        <v>-4.1129440000000003E-2</v>
      </c>
      <c r="P1245">
        <v>-0.98618609999999896</v>
      </c>
      <c r="Q1245">
        <v>0.1654611</v>
      </c>
      <c r="R1245">
        <v>7.7371569999999997E-3</v>
      </c>
      <c r="S1245">
        <v>-3.0776059999999998</v>
      </c>
      <c r="T1245">
        <v>-0.19317980000000001</v>
      </c>
      <c r="U1245">
        <v>-0.1084595</v>
      </c>
      <c r="V1245">
        <v>4.65111E-2</v>
      </c>
      <c r="W1245">
        <v>0.18012779999999901</v>
      </c>
      <c r="X1245">
        <v>0.98254300000000006</v>
      </c>
      <c r="Y1245">
        <v>5.8563240000000004E-3</v>
      </c>
      <c r="Z1245">
        <v>2.2100980000000002E-3</v>
      </c>
      <c r="AA1245">
        <v>0.99998039999999999</v>
      </c>
      <c r="AB1245">
        <v>27</v>
      </c>
      <c r="AC1245">
        <v>-17.676400000000001</v>
      </c>
      <c r="AD1245">
        <v>-1.1253038945629901</v>
      </c>
      <c r="AE1245">
        <v>-0.61689999999998602</v>
      </c>
      <c r="AF1245">
        <v>0.110271829490708</v>
      </c>
      <c r="AG1245">
        <v>-1.1253038945629901</v>
      </c>
      <c r="AH1245">
        <v>17.615510207060598</v>
      </c>
      <c r="AI1245">
        <v>93.655097972073406</v>
      </c>
      <c r="AJ1245">
        <v>89.641337217710699</v>
      </c>
      <c r="AK1245">
        <v>17.6517610619041</v>
      </c>
      <c r="AL1245">
        <v>79.622796401079398</v>
      </c>
      <c r="AM1245">
        <v>87.289785917281307</v>
      </c>
      <c r="AN1245">
        <v>1.00000002680252</v>
      </c>
    </row>
    <row r="1246" spans="1:40" x14ac:dyDescent="0.25">
      <c r="A1246" t="str">
        <f>"20190303162525505"</f>
        <v>20190303162525505</v>
      </c>
      <c r="B1246" t="str">
        <f>"1551601525493609"</f>
        <v>1551601525493609</v>
      </c>
      <c r="C1246" t="s">
        <v>40</v>
      </c>
      <c r="D1246">
        <v>5.3837630000000001</v>
      </c>
      <c r="E1246">
        <v>0.48369859999999998</v>
      </c>
      <c r="F1246" t="s">
        <v>48</v>
      </c>
      <c r="G1246">
        <v>-236.3169</v>
      </c>
      <c r="H1246" s="1">
        <v>1.866444E-6</v>
      </c>
      <c r="I1246">
        <v>283.66309999999999</v>
      </c>
      <c r="J1246">
        <v>-219.36500000000001</v>
      </c>
      <c r="K1246">
        <v>1.1248800000000001</v>
      </c>
      <c r="L1246">
        <v>284.30939999999998</v>
      </c>
      <c r="M1246">
        <v>-0.9988418</v>
      </c>
      <c r="N1246">
        <v>-1.4394270000000001E-2</v>
      </c>
      <c r="O1246">
        <v>-4.5912630000000003E-2</v>
      </c>
      <c r="P1246">
        <v>-0.98649529999999996</v>
      </c>
      <c r="Q1246">
        <v>0.16378329999999999</v>
      </c>
      <c r="R1246">
        <v>1.4599579999999999E-3</v>
      </c>
      <c r="S1246">
        <v>-3.0767060000000002</v>
      </c>
      <c r="T1246">
        <v>-0.20101740000000001</v>
      </c>
      <c r="U1246">
        <v>-0.11843869999999999</v>
      </c>
      <c r="V1246">
        <v>4.517728E-2</v>
      </c>
      <c r="W1246">
        <v>0.17835790000000001</v>
      </c>
      <c r="X1246">
        <v>0.98292800000000002</v>
      </c>
      <c r="Y1246">
        <v>7.3786729999999997E-3</v>
      </c>
      <c r="Z1246">
        <v>2.627416E-3</v>
      </c>
      <c r="AA1246">
        <v>0.99996929999999995</v>
      </c>
      <c r="AB1246">
        <v>27</v>
      </c>
      <c r="AC1246">
        <v>-16.951899999999899</v>
      </c>
      <c r="AD1246">
        <v>-1.1248781335560001</v>
      </c>
      <c r="AE1246">
        <v>-0.64629999999999599</v>
      </c>
      <c r="AF1246">
        <v>0.13218739487296099</v>
      </c>
      <c r="AG1246">
        <v>-1.1248781335560001</v>
      </c>
      <c r="AH1246">
        <v>16.889435620737199</v>
      </c>
      <c r="AI1246">
        <v>93.810296553893195</v>
      </c>
      <c r="AJ1246">
        <v>89.551576182893299</v>
      </c>
      <c r="AK1246">
        <v>16.927370141570801</v>
      </c>
      <c r="AL1246">
        <v>79.7258731819893</v>
      </c>
      <c r="AM1246">
        <v>87.368426712783702</v>
      </c>
      <c r="AN1246">
        <v>0.99999999015230401</v>
      </c>
    </row>
    <row r="1247" spans="1:40" x14ac:dyDescent="0.25">
      <c r="A1247" t="str">
        <f>"20190303162525528"</f>
        <v>20190303162525528</v>
      </c>
      <c r="B1247" t="str">
        <f>"1551601525514104"</f>
        <v>1551601525514104</v>
      </c>
      <c r="C1247" t="s">
        <v>40</v>
      </c>
      <c r="D1247">
        <v>5.3879089999999996</v>
      </c>
      <c r="E1247">
        <v>0.48376920000000001</v>
      </c>
      <c r="F1247" t="s">
        <v>48</v>
      </c>
      <c r="G1247">
        <v>-236.0933</v>
      </c>
      <c r="H1247" s="1">
        <v>1.751596E-6</v>
      </c>
      <c r="I1247">
        <v>283.5675</v>
      </c>
      <c r="J1247">
        <v>-219.64269999999999</v>
      </c>
      <c r="K1247">
        <v>1.124431</v>
      </c>
      <c r="L1247">
        <v>284.29169999999999</v>
      </c>
      <c r="M1247">
        <v>-0.99864180000000002</v>
      </c>
      <c r="N1247">
        <v>-1.435821E-2</v>
      </c>
      <c r="O1247">
        <v>-5.0085490000000003E-2</v>
      </c>
      <c r="P1247">
        <v>-0.98654399999999998</v>
      </c>
      <c r="Q1247">
        <v>0.1634417</v>
      </c>
      <c r="R1247">
        <v>-4.2460750000000002E-3</v>
      </c>
      <c r="S1247">
        <v>-3.0756070000000002</v>
      </c>
      <c r="T1247">
        <v>-0.2068169</v>
      </c>
      <c r="U1247">
        <v>-0.1364136</v>
      </c>
      <c r="V1247">
        <v>4.3803210000000002E-2</v>
      </c>
      <c r="W1247">
        <v>0.1779192</v>
      </c>
      <c r="X1247">
        <v>0.98306970000000005</v>
      </c>
      <c r="Y1247">
        <v>5.7019610000000002E-3</v>
      </c>
      <c r="Z1247">
        <v>2.8743309999999999E-3</v>
      </c>
      <c r="AA1247">
        <v>0.99997959999999997</v>
      </c>
      <c r="AB1247">
        <v>27</v>
      </c>
      <c r="AC1247">
        <v>-16.450600000000001</v>
      </c>
      <c r="AD1247">
        <v>-1.1244292484039999</v>
      </c>
      <c r="AE1247">
        <v>-0.72419999999999596</v>
      </c>
      <c r="AF1247">
        <v>0.100262826283775</v>
      </c>
      <c r="AG1247">
        <v>-1.1244292484039999</v>
      </c>
      <c r="AH1247">
        <v>16.389800133505499</v>
      </c>
      <c r="AI1247">
        <v>93.924578573419694</v>
      </c>
      <c r="AJ1247">
        <v>89.649503649622901</v>
      </c>
      <c r="AK1247">
        <v>16.4286317806827</v>
      </c>
      <c r="AL1247">
        <v>79.751417501893101</v>
      </c>
      <c r="AM1247">
        <v>87.448726055975598</v>
      </c>
      <c r="AN1247">
        <v>0.99999999899651704</v>
      </c>
    </row>
    <row r="1248" spans="1:40" x14ac:dyDescent="0.25">
      <c r="A1248" t="str">
        <f>"20190303162525549"</f>
        <v>20190303162525549</v>
      </c>
      <c r="B1248" t="str">
        <f>"1551601525544361"</f>
        <v>1551601525544361</v>
      </c>
      <c r="C1248" t="s">
        <v>40</v>
      </c>
      <c r="D1248">
        <v>5.5185849999999999</v>
      </c>
      <c r="E1248">
        <v>0.4760664</v>
      </c>
      <c r="F1248" t="s">
        <v>48</v>
      </c>
      <c r="G1248">
        <v>-236.37209999999999</v>
      </c>
      <c r="H1248" s="1">
        <v>1.9057E-6</v>
      </c>
      <c r="I1248">
        <v>283.43610000000001</v>
      </c>
      <c r="J1248">
        <v>-219.8974</v>
      </c>
      <c r="K1248">
        <v>1.1239950000000001</v>
      </c>
      <c r="L1248">
        <v>284.27510000000001</v>
      </c>
      <c r="M1248">
        <v>-0.99847759999999997</v>
      </c>
      <c r="N1248">
        <v>-1.4324699999999999E-2</v>
      </c>
      <c r="O1248">
        <v>-5.3265399999999997E-2</v>
      </c>
      <c r="P1248">
        <v>-0.98628700000000002</v>
      </c>
      <c r="Q1248">
        <v>0.16485449999999999</v>
      </c>
      <c r="R1248">
        <v>-7.8048559999999998E-3</v>
      </c>
      <c r="S1248">
        <v>-3.0744929999999999</v>
      </c>
      <c r="T1248">
        <v>-0.206645</v>
      </c>
      <c r="U1248">
        <v>-0.15725710000000001</v>
      </c>
      <c r="V1248">
        <v>4.35585E-2</v>
      </c>
      <c r="W1248">
        <v>0.17924499999999999</v>
      </c>
      <c r="X1248">
        <v>0.98283969999999998</v>
      </c>
      <c r="Y1248">
        <v>2.1118769999999999E-3</v>
      </c>
      <c r="Z1248">
        <v>2.8948609999999999E-3</v>
      </c>
      <c r="AA1248">
        <v>0.99999360000000004</v>
      </c>
      <c r="AB1248">
        <v>27</v>
      </c>
      <c r="AC1248">
        <v>-16.474699999999899</v>
      </c>
      <c r="AD1248">
        <v>-1.1239930943000001</v>
      </c>
      <c r="AE1248">
        <v>-0.83899999999999797</v>
      </c>
      <c r="AF1248">
        <v>3.96288819411168E-2</v>
      </c>
      <c r="AG1248">
        <v>-1.1239930943000001</v>
      </c>
      <c r="AH1248">
        <v>16.419770323416301</v>
      </c>
      <c r="AI1248">
        <v>93.915984429116904</v>
      </c>
      <c r="AJ1248">
        <v>89.861717720240804</v>
      </c>
      <c r="AK1248">
        <v>16.458243782313499</v>
      </c>
      <c r="AL1248">
        <v>79.674213653261106</v>
      </c>
      <c r="AM1248">
        <v>87.462367337433705</v>
      </c>
      <c r="AN1248">
        <v>0.99999999442166998</v>
      </c>
    </row>
    <row r="1249" spans="1:40" x14ac:dyDescent="0.25">
      <c r="A1249" t="str">
        <f>"20190303162525571"</f>
        <v>20190303162525571</v>
      </c>
      <c r="B1249" t="str">
        <f>"1551601525563881"</f>
        <v>1551601525563881</v>
      </c>
      <c r="C1249" t="s">
        <v>40</v>
      </c>
      <c r="D1249">
        <v>5.3411400000000002</v>
      </c>
      <c r="E1249">
        <v>0.47555789999999998</v>
      </c>
      <c r="F1249" t="s">
        <v>48</v>
      </c>
      <c r="G1249">
        <v>-244.96860000000001</v>
      </c>
      <c r="H1249" s="1">
        <v>1.107249E-6</v>
      </c>
      <c r="I1249">
        <v>282.37630000000001</v>
      </c>
      <c r="J1249">
        <v>-220.1661</v>
      </c>
      <c r="K1249">
        <v>1.123526</v>
      </c>
      <c r="L1249">
        <v>284.25740000000002</v>
      </c>
      <c r="M1249">
        <v>-0.99833059999999996</v>
      </c>
      <c r="N1249">
        <v>-1.429067E-2</v>
      </c>
      <c r="O1249">
        <v>-5.5966040000000002E-2</v>
      </c>
      <c r="P1249">
        <v>-0.98559629999999998</v>
      </c>
      <c r="Q1249">
        <v>0.16859160000000001</v>
      </c>
      <c r="R1249">
        <v>-1.330637E-2</v>
      </c>
      <c r="S1249">
        <v>-3.062805</v>
      </c>
      <c r="T1249">
        <v>-0.13731209999999999</v>
      </c>
      <c r="U1249">
        <v>-0.23196410000000001</v>
      </c>
      <c r="V1249">
        <v>4.0884209999999997E-2</v>
      </c>
      <c r="W1249">
        <v>0.18287329999999999</v>
      </c>
      <c r="X1249">
        <v>0.98228599999999999</v>
      </c>
      <c r="Y1249">
        <v>-1.9589289999999999E-2</v>
      </c>
      <c r="Z1249">
        <v>1.124236E-3</v>
      </c>
      <c r="AA1249">
        <v>0.99980749999999996</v>
      </c>
      <c r="AB1249">
        <v>27</v>
      </c>
      <c r="AC1249">
        <v>-24.802499999999998</v>
      </c>
      <c r="AD1249">
        <v>-1.123524892751</v>
      </c>
      <c r="AE1249">
        <v>-1.8811</v>
      </c>
      <c r="AF1249">
        <v>-0.48891440504961697</v>
      </c>
      <c r="AG1249">
        <v>-1.123524892751</v>
      </c>
      <c r="AH1249">
        <v>24.818271396402199</v>
      </c>
      <c r="AI1249">
        <v>92.591512139950694</v>
      </c>
      <c r="AJ1249">
        <v>91.128568086408507</v>
      </c>
      <c r="AK1249">
        <v>24.848499765289102</v>
      </c>
      <c r="AL1249">
        <v>79.4628333836732</v>
      </c>
      <c r="AM1249">
        <v>87.616639741794302</v>
      </c>
      <c r="AN1249">
        <v>0.99999997413810604</v>
      </c>
    </row>
    <row r="1250" spans="1:40" x14ac:dyDescent="0.25">
      <c r="A1250" t="str">
        <f>"20190303162525593"</f>
        <v>20190303162525593</v>
      </c>
      <c r="B1250" t="str">
        <f>"1551601525584376"</f>
        <v>1551601525584376</v>
      </c>
      <c r="C1250" t="s">
        <v>40</v>
      </c>
      <c r="D1250">
        <v>5.3984699999999997</v>
      </c>
      <c r="E1250">
        <v>0.47562749999999998</v>
      </c>
      <c r="F1250" t="s">
        <v>48</v>
      </c>
      <c r="G1250">
        <v>-248.3826</v>
      </c>
      <c r="H1250" s="1">
        <v>2.923997E-6</v>
      </c>
      <c r="I1250">
        <v>281.93029999999999</v>
      </c>
      <c r="J1250">
        <v>-220.43020000000001</v>
      </c>
      <c r="K1250">
        <v>1.123081</v>
      </c>
      <c r="L1250">
        <v>284.23989999999998</v>
      </c>
      <c r="M1250">
        <v>-0.9982143</v>
      </c>
      <c r="N1250">
        <v>-1.426027E-2</v>
      </c>
      <c r="O1250">
        <v>-5.8010119999999998E-2</v>
      </c>
      <c r="P1250">
        <v>-0.98481110000000005</v>
      </c>
      <c r="Q1250">
        <v>0.17263809999999999</v>
      </c>
      <c r="R1250">
        <v>-1.853519E-2</v>
      </c>
      <c r="S1250">
        <v>-3.0612949999999999</v>
      </c>
      <c r="T1250">
        <v>-0.12189469999999999</v>
      </c>
      <c r="U1250">
        <v>-0.25247190000000003</v>
      </c>
      <c r="V1250">
        <v>3.7828800000000003E-2</v>
      </c>
      <c r="W1250">
        <v>0.18682009999999999</v>
      </c>
      <c r="X1250">
        <v>0.98166560000000003</v>
      </c>
      <c r="Y1250">
        <v>-2.4227889999999998E-2</v>
      </c>
      <c r="Z1250">
        <v>8.2167660000000001E-4</v>
      </c>
      <c r="AA1250">
        <v>0.99970610000000004</v>
      </c>
      <c r="AB1250">
        <v>27</v>
      </c>
      <c r="AC1250">
        <v>-27.952399999999901</v>
      </c>
      <c r="AD1250">
        <v>-1.1230780760029999</v>
      </c>
      <c r="AE1250">
        <v>-2.3095999999999801</v>
      </c>
      <c r="AF1250">
        <v>-0.68292814462787099</v>
      </c>
      <c r="AG1250">
        <v>-1.1230780760029999</v>
      </c>
      <c r="AH1250">
        <v>27.994427522481299</v>
      </c>
      <c r="AI1250">
        <v>92.296672707326806</v>
      </c>
      <c r="AJ1250">
        <v>91.397461725749807</v>
      </c>
      <c r="AK1250">
        <v>28.025268375646</v>
      </c>
      <c r="AL1250">
        <v>79.232733916478693</v>
      </c>
      <c r="AM1250">
        <v>87.793180608843699</v>
      </c>
      <c r="AN1250">
        <v>1.0000000590483999</v>
      </c>
    </row>
    <row r="1251" spans="1:40" x14ac:dyDescent="0.25">
      <c r="A1251" t="str">
        <f>"20190303162525615"</f>
        <v>20190303162525615</v>
      </c>
      <c r="B1251" t="str">
        <f>"1551601525603897"</f>
        <v>1551601525603897</v>
      </c>
      <c r="C1251" t="s">
        <v>40</v>
      </c>
      <c r="D1251">
        <v>5.3940809999999999</v>
      </c>
      <c r="E1251">
        <v>0.4762207</v>
      </c>
      <c r="F1251" t="s">
        <v>48</v>
      </c>
      <c r="G1251">
        <v>-252.87610000000001</v>
      </c>
      <c r="H1251" s="1">
        <v>-6.2945560000000002E-9</v>
      </c>
      <c r="I1251">
        <v>281.41129999999998</v>
      </c>
      <c r="J1251">
        <v>-220.6951</v>
      </c>
      <c r="K1251">
        <v>1.1226370000000001</v>
      </c>
      <c r="L1251">
        <v>284.22239999999999</v>
      </c>
      <c r="M1251">
        <v>-0.99812650000000003</v>
      </c>
      <c r="N1251">
        <v>-1.4232699999999999E-2</v>
      </c>
      <c r="O1251">
        <v>-5.9506379999999998E-2</v>
      </c>
      <c r="P1251">
        <v>-0.98450649999999995</v>
      </c>
      <c r="Q1251">
        <v>0.17402119999999999</v>
      </c>
      <c r="R1251">
        <v>-2.1533859999999998E-2</v>
      </c>
      <c r="S1251">
        <v>-3.0598299999999998</v>
      </c>
      <c r="T1251">
        <v>-0.10591299999999999</v>
      </c>
      <c r="U1251">
        <v>-0.2667542</v>
      </c>
      <c r="V1251">
        <v>3.6491290000000003E-2</v>
      </c>
      <c r="W1251">
        <v>0.1881273</v>
      </c>
      <c r="X1251">
        <v>0.98146650000000002</v>
      </c>
      <c r="Y1251">
        <v>-2.739772E-2</v>
      </c>
      <c r="Z1251">
        <v>5.3828429999999998E-4</v>
      </c>
      <c r="AA1251">
        <v>0.99962450000000003</v>
      </c>
      <c r="AB1251">
        <v>27</v>
      </c>
      <c r="AC1251">
        <v>-32.180999999999997</v>
      </c>
      <c r="AD1251">
        <v>-1.1226370062945501</v>
      </c>
      <c r="AE1251">
        <v>-2.8111000000000099</v>
      </c>
      <c r="AF1251">
        <v>-0.88987404536814796</v>
      </c>
      <c r="AG1251">
        <v>-1.1226370062945501</v>
      </c>
      <c r="AH1251">
        <v>32.252303790594198</v>
      </c>
      <c r="AI1251">
        <v>91.992786764571903</v>
      </c>
      <c r="AJ1251">
        <v>91.5804481870111</v>
      </c>
      <c r="AK1251">
        <v>32.2841027359488</v>
      </c>
      <c r="AL1251">
        <v>79.156484223428194</v>
      </c>
      <c r="AM1251">
        <v>87.870702383677397</v>
      </c>
      <c r="AN1251">
        <v>0.99999999293670205</v>
      </c>
    </row>
    <row r="1252" spans="1:40" x14ac:dyDescent="0.25">
      <c r="A1252" t="str">
        <f>"20190303162525642"</f>
        <v>20190303162525642</v>
      </c>
      <c r="B1252" t="str">
        <f>"1551601525634153"</f>
        <v>1551601525634153</v>
      </c>
      <c r="C1252" t="s">
        <v>40</v>
      </c>
      <c r="D1252">
        <v>5.4407350000000001</v>
      </c>
      <c r="E1252">
        <v>0.47680990000000001</v>
      </c>
      <c r="F1252" t="s">
        <v>48</v>
      </c>
      <c r="G1252">
        <v>-254.2122</v>
      </c>
      <c r="H1252" s="1">
        <v>7.0475859999999997E-7</v>
      </c>
      <c r="I1252">
        <v>281.24779999999998</v>
      </c>
      <c r="J1252">
        <v>-221.0147</v>
      </c>
      <c r="K1252">
        <v>1.122161</v>
      </c>
      <c r="L1252">
        <v>284.20159999999998</v>
      </c>
      <c r="M1252">
        <v>-0.99805809999999995</v>
      </c>
      <c r="N1252">
        <v>-1.420223E-2</v>
      </c>
      <c r="O1252">
        <v>-6.0648939999999998E-2</v>
      </c>
      <c r="P1252">
        <v>-0.98491580000000001</v>
      </c>
      <c r="Q1252">
        <v>0.17158280000000001</v>
      </c>
      <c r="R1252">
        <v>-2.2368809999999999E-2</v>
      </c>
      <c r="S1252">
        <v>-3.059402</v>
      </c>
      <c r="T1252">
        <v>-0.1024728</v>
      </c>
      <c r="U1252">
        <v>-0.2715149</v>
      </c>
      <c r="V1252">
        <v>3.7027749999999998E-2</v>
      </c>
      <c r="W1252">
        <v>0.18562400000000001</v>
      </c>
      <c r="X1252">
        <v>0.98192290000000004</v>
      </c>
      <c r="Y1252">
        <v>-2.7808960000000001E-2</v>
      </c>
      <c r="Z1252">
        <v>5.0138440000000004E-4</v>
      </c>
      <c r="AA1252">
        <v>0.99961310000000003</v>
      </c>
      <c r="AB1252">
        <v>27</v>
      </c>
      <c r="AC1252">
        <v>-33.197499999999899</v>
      </c>
      <c r="AD1252">
        <v>-1.12216029524139</v>
      </c>
      <c r="AE1252">
        <v>-2.9538000000000002</v>
      </c>
      <c r="AF1252">
        <v>-0.93370663716491298</v>
      </c>
      <c r="AG1252">
        <v>-1.12216029524139</v>
      </c>
      <c r="AH1252">
        <v>33.277814250102502</v>
      </c>
      <c r="AI1252">
        <v>91.930578448514098</v>
      </c>
      <c r="AJ1252">
        <v>91.607179403671296</v>
      </c>
      <c r="AK1252">
        <v>33.309817968233098</v>
      </c>
      <c r="AL1252">
        <v>79.302484363701396</v>
      </c>
      <c r="AM1252">
        <v>87.840432228101804</v>
      </c>
      <c r="AN1252">
        <v>0.999999952595235</v>
      </c>
    </row>
    <row r="1253" spans="1:40" x14ac:dyDescent="0.25">
      <c r="A1253" t="str">
        <f>"20190303162525684"</f>
        <v>20190303162525684</v>
      </c>
      <c r="B1253" t="str">
        <f>"1551601525673864"</f>
        <v>1551601525673864</v>
      </c>
      <c r="C1253" t="s">
        <v>40</v>
      </c>
      <c r="D1253">
        <v>5.31989</v>
      </c>
      <c r="E1253">
        <v>0.4776685</v>
      </c>
      <c r="F1253" t="s">
        <v>48</v>
      </c>
      <c r="G1253">
        <v>-251.97190000000001</v>
      </c>
      <c r="H1253" s="1">
        <v>-4.8744499999999996E-7</v>
      </c>
      <c r="I1253">
        <v>281.4778</v>
      </c>
      <c r="J1253">
        <v>-221.52950000000001</v>
      </c>
      <c r="K1253">
        <v>1.121623</v>
      </c>
      <c r="L1253">
        <v>284.16860000000003</v>
      </c>
      <c r="M1253">
        <v>-0.9980137</v>
      </c>
      <c r="N1253">
        <v>-1.415832E-2</v>
      </c>
      <c r="O1253">
        <v>-6.138673E-2</v>
      </c>
      <c r="P1253">
        <v>-0.98544379999999998</v>
      </c>
      <c r="Q1253">
        <v>0.16825909999999999</v>
      </c>
      <c r="R1253">
        <v>-2.42816E-2</v>
      </c>
      <c r="S1253">
        <v>-3.0591279999999998</v>
      </c>
      <c r="T1253">
        <v>-0.11088969999999999</v>
      </c>
      <c r="U1253">
        <v>-0.26916499999999999</v>
      </c>
      <c r="V1253">
        <v>3.6121439999999998E-2</v>
      </c>
      <c r="W1253">
        <v>0.18221789999999999</v>
      </c>
      <c r="X1253">
        <v>0.98259439999999998</v>
      </c>
      <c r="Y1253">
        <v>-2.631785E-2</v>
      </c>
      <c r="Z1253">
        <v>6.8663009999999996E-4</v>
      </c>
      <c r="AA1253">
        <v>0.99965340000000003</v>
      </c>
      <c r="AB1253">
        <v>27</v>
      </c>
      <c r="AC1253">
        <v>-30.4423999999999</v>
      </c>
      <c r="AD1253">
        <v>-1.121623487445</v>
      </c>
      <c r="AE1253">
        <v>-2.6908000000000198</v>
      </c>
      <c r="AF1253">
        <v>-0.81567899710708003</v>
      </c>
      <c r="AG1253">
        <v>-1.121623487445</v>
      </c>
      <c r="AH1253">
        <v>30.509077111104201</v>
      </c>
      <c r="AI1253">
        <v>92.104699473451305</v>
      </c>
      <c r="AJ1253">
        <v>91.531473184077498</v>
      </c>
      <c r="AK1253">
        <v>30.540582143194499</v>
      </c>
      <c r="AL1253">
        <v>79.501026406803206</v>
      </c>
      <c r="AM1253">
        <v>87.894681128159107</v>
      </c>
      <c r="AN1253">
        <v>0.999999938209719</v>
      </c>
    </row>
    <row r="1254" spans="1:40" x14ac:dyDescent="0.25">
      <c r="A1254" t="str">
        <f>"20190303162525705"</f>
        <v>20190303162525705</v>
      </c>
      <c r="B1254" t="str">
        <f>"1551601525694338"</f>
        <v>1551601525694338</v>
      </c>
      <c r="C1254" t="s">
        <v>40</v>
      </c>
      <c r="D1254">
        <v>5.3783310000000002</v>
      </c>
      <c r="E1254">
        <v>0.47805940000000002</v>
      </c>
      <c r="F1254" t="s">
        <v>48</v>
      </c>
      <c r="G1254">
        <v>-250.24199999999999</v>
      </c>
      <c r="H1254" s="1">
        <v>-1.4080290000000001E-6</v>
      </c>
      <c r="I1254">
        <v>281.63389999999998</v>
      </c>
      <c r="J1254">
        <v>-221.78280000000001</v>
      </c>
      <c r="K1254">
        <v>1.121461</v>
      </c>
      <c r="L1254">
        <v>284.15269999999998</v>
      </c>
      <c r="M1254">
        <v>-0.99801059999999997</v>
      </c>
      <c r="N1254">
        <v>-1.4138990000000001E-2</v>
      </c>
      <c r="O1254">
        <v>-6.1441450000000002E-2</v>
      </c>
      <c r="P1254">
        <v>-0.98511780000000004</v>
      </c>
      <c r="Q1254">
        <v>0.1701666</v>
      </c>
      <c r="R1254">
        <v>-2.4214550000000001E-2</v>
      </c>
      <c r="S1254">
        <v>-3.0580440000000002</v>
      </c>
      <c r="T1254">
        <v>-0.11945939999999999</v>
      </c>
      <c r="U1254">
        <v>-0.26995849999999999</v>
      </c>
      <c r="V1254">
        <v>3.6294609999999998E-2</v>
      </c>
      <c r="W1254">
        <v>0.18408640000000001</v>
      </c>
      <c r="X1254">
        <v>0.98223970000000005</v>
      </c>
      <c r="Y1254">
        <v>-2.6551890000000002E-2</v>
      </c>
      <c r="Z1254">
        <v>8.18376E-4</v>
      </c>
      <c r="AA1254">
        <v>0.99964710000000001</v>
      </c>
      <c r="AB1254">
        <v>27</v>
      </c>
      <c r="AC1254">
        <v>-28.459199999999999</v>
      </c>
      <c r="AD1254">
        <v>-1.1214624080290001</v>
      </c>
      <c r="AE1254">
        <v>-2.5188000000000001</v>
      </c>
      <c r="AF1254">
        <v>-0.76411372129334798</v>
      </c>
      <c r="AG1254">
        <v>-1.1214624080290001</v>
      </c>
      <c r="AH1254">
        <v>28.516258412715299</v>
      </c>
      <c r="AI1254">
        <v>92.251310344522494</v>
      </c>
      <c r="AJ1254">
        <v>91.534914464915204</v>
      </c>
      <c r="AK1254">
        <v>28.548529586870899</v>
      </c>
      <c r="AL1254">
        <v>79.392127426777094</v>
      </c>
      <c r="AM1254">
        <v>87.883833948824801</v>
      </c>
      <c r="AN1254">
        <v>0.99999996481804998</v>
      </c>
    </row>
    <row r="1255" spans="1:40" x14ac:dyDescent="0.25">
      <c r="A1255" t="str">
        <f>"20190303162525727"</f>
        <v>20190303162525727</v>
      </c>
      <c r="B1255" t="str">
        <f>"1551601525713858"</f>
        <v>1551601525713858</v>
      </c>
      <c r="C1255" t="s">
        <v>40</v>
      </c>
      <c r="D1255">
        <v>5.4387650000000001</v>
      </c>
      <c r="E1255">
        <v>0.47824230000000001</v>
      </c>
      <c r="F1255" t="s">
        <v>48</v>
      </c>
      <c r="G1255">
        <v>-252.77610000000001</v>
      </c>
      <c r="H1255" s="1">
        <v>-5.948687E-8</v>
      </c>
      <c r="I1255">
        <v>281.4375</v>
      </c>
      <c r="J1255">
        <v>-222.04920000000001</v>
      </c>
      <c r="K1255">
        <v>1.1213340000000001</v>
      </c>
      <c r="L1255">
        <v>284.1361</v>
      </c>
      <c r="M1255">
        <v>-0.99801459999999997</v>
      </c>
      <c r="N1255">
        <v>-1.4120550000000001E-2</v>
      </c>
      <c r="O1255">
        <v>-6.1381419999999999E-2</v>
      </c>
      <c r="P1255">
        <v>-0.98493010000000003</v>
      </c>
      <c r="Q1255">
        <v>0.17126340000000001</v>
      </c>
      <c r="R1255">
        <v>-2.4124719999999999E-2</v>
      </c>
      <c r="S1255">
        <v>-3.0578310000000002</v>
      </c>
      <c r="T1255">
        <v>-0.1106443</v>
      </c>
      <c r="U1255">
        <v>-0.26788329999999999</v>
      </c>
      <c r="V1255">
        <v>3.6367249999999997E-2</v>
      </c>
      <c r="W1255">
        <v>0.1851517</v>
      </c>
      <c r="X1255">
        <v>0.98203680000000004</v>
      </c>
      <c r="Y1255">
        <v>-2.5944800000000001E-2</v>
      </c>
      <c r="Z1255">
        <v>6.9561530000000001E-4</v>
      </c>
      <c r="AA1255">
        <v>0.99966310000000003</v>
      </c>
      <c r="AB1255">
        <v>27</v>
      </c>
      <c r="AC1255">
        <v>-30.726900000000001</v>
      </c>
      <c r="AD1255">
        <v>-1.1213340594868699</v>
      </c>
      <c r="AE1255">
        <v>-2.6985999999999901</v>
      </c>
      <c r="AF1255">
        <v>-0.80619638620876299</v>
      </c>
      <c r="AG1255">
        <v>-1.1213340594868699</v>
      </c>
      <c r="AH1255">
        <v>30.793912860978701</v>
      </c>
      <c r="AI1255">
        <v>92.084741779195198</v>
      </c>
      <c r="AJ1255">
        <v>91.499682794192793</v>
      </c>
      <c r="AK1255">
        <v>30.824866779528001</v>
      </c>
      <c r="AL1255">
        <v>79.330023065282305</v>
      </c>
      <c r="AM1255">
        <v>87.879164819859497</v>
      </c>
      <c r="AN1255">
        <v>1.0000000027198399</v>
      </c>
    </row>
    <row r="1256" spans="1:40" x14ac:dyDescent="0.25">
      <c r="A1256" t="str">
        <f>"20190303162525748"</f>
        <v>20190303162525748</v>
      </c>
      <c r="B1256" t="str">
        <f>"1551601525734353"</f>
        <v>1551601525734353</v>
      </c>
      <c r="C1256" t="s">
        <v>40</v>
      </c>
      <c r="D1256">
        <v>5.319134</v>
      </c>
      <c r="E1256">
        <v>0.48358600000000002</v>
      </c>
      <c r="F1256" t="s">
        <v>48</v>
      </c>
      <c r="G1256">
        <v>-254.21700000000001</v>
      </c>
      <c r="H1256" s="1">
        <v>7.0730170000000001E-7</v>
      </c>
      <c r="I1256">
        <v>281.3329</v>
      </c>
      <c r="J1256">
        <v>-222.30009999999999</v>
      </c>
      <c r="K1256">
        <v>1.1212470000000001</v>
      </c>
      <c r="L1256">
        <v>284.12049999999999</v>
      </c>
      <c r="M1256">
        <v>-0.99802210000000002</v>
      </c>
      <c r="N1256">
        <v>-1.4105070000000001E-2</v>
      </c>
      <c r="O1256">
        <v>-6.1263449999999997E-2</v>
      </c>
      <c r="P1256">
        <v>-0.98517779999999999</v>
      </c>
      <c r="Q1256">
        <v>0.1698693</v>
      </c>
      <c r="R1256">
        <v>-2.386398E-2</v>
      </c>
      <c r="S1256">
        <v>-3.0579070000000002</v>
      </c>
      <c r="T1256">
        <v>-0.1065952</v>
      </c>
      <c r="U1256">
        <v>-0.26647949999999998</v>
      </c>
      <c r="V1256">
        <v>3.6562959999999999E-2</v>
      </c>
      <c r="W1256">
        <v>0.18373919999999999</v>
      </c>
      <c r="X1256">
        <v>0.98229480000000002</v>
      </c>
      <c r="Y1256">
        <v>-2.5605389999999999E-2</v>
      </c>
      <c r="Z1256">
        <v>6.3879180000000005E-4</v>
      </c>
      <c r="AA1256">
        <v>0.99967189999999995</v>
      </c>
      <c r="AB1256">
        <v>27</v>
      </c>
      <c r="AC1256">
        <v>-31.916899999999998</v>
      </c>
      <c r="AD1256">
        <v>-1.12124629269829</v>
      </c>
      <c r="AE1256">
        <v>-2.7875999999999901</v>
      </c>
      <c r="AF1256">
        <v>-0.82581768871257799</v>
      </c>
      <c r="AG1256">
        <v>-1.12124629269829</v>
      </c>
      <c r="AH1256">
        <v>31.988552168932401</v>
      </c>
      <c r="AI1256">
        <v>92.006812276003302</v>
      </c>
      <c r="AJ1256">
        <v>91.478821569059804</v>
      </c>
      <c r="AK1256">
        <v>32.018848167421503</v>
      </c>
      <c r="AL1256">
        <v>79.412366207884304</v>
      </c>
      <c r="AM1256">
        <v>87.868321588839194</v>
      </c>
      <c r="AN1256">
        <v>1.0000000088838199</v>
      </c>
    </row>
    <row r="1257" spans="1:40" x14ac:dyDescent="0.25">
      <c r="A1257" t="str">
        <f>"20190303162525772"</f>
        <v>20190303162525772</v>
      </c>
      <c r="B1257" t="str">
        <f>"1551601525763634"</f>
        <v>1551601525763634</v>
      </c>
      <c r="C1257" t="s">
        <v>40</v>
      </c>
      <c r="D1257">
        <v>5.3654250000000001</v>
      </c>
      <c r="E1257">
        <v>0.48359859999999999</v>
      </c>
      <c r="F1257" t="s">
        <v>48</v>
      </c>
      <c r="G1257">
        <v>-256.91379999999998</v>
      </c>
      <c r="H1257" s="1">
        <v>2.1424149999999998E-6</v>
      </c>
      <c r="I1257">
        <v>281.60899999999998</v>
      </c>
      <c r="J1257">
        <v>-222.58500000000001</v>
      </c>
      <c r="K1257">
        <v>1.121165</v>
      </c>
      <c r="L1257">
        <v>284.10309999999998</v>
      </c>
      <c r="M1257">
        <v>-0.99803339999999996</v>
      </c>
      <c r="N1257">
        <v>-1.408947E-2</v>
      </c>
      <c r="O1257">
        <v>-6.1079700000000001E-2</v>
      </c>
      <c r="P1257">
        <v>-0.98537779999999997</v>
      </c>
      <c r="Q1257">
        <v>0.16877110000000001</v>
      </c>
      <c r="R1257">
        <v>-2.3395260000000001E-2</v>
      </c>
      <c r="S1257">
        <v>-3.0568390000000001</v>
      </c>
      <c r="T1257">
        <v>-9.9020479999999994E-2</v>
      </c>
      <c r="U1257">
        <v>-0.22180179999999999</v>
      </c>
      <c r="V1257">
        <v>3.6895120000000003E-2</v>
      </c>
      <c r="W1257">
        <v>0.18262110000000001</v>
      </c>
      <c r="X1257">
        <v>0.9824908</v>
      </c>
      <c r="Y1257">
        <v>-1.130985E-2</v>
      </c>
      <c r="Z1257">
        <v>8.5048160000000003E-4</v>
      </c>
      <c r="AA1257">
        <v>0.99993569999999998</v>
      </c>
      <c r="AB1257">
        <v>27</v>
      </c>
      <c r="AC1257">
        <v>-34.328799999999902</v>
      </c>
      <c r="AD1257">
        <v>-1.1211628575849999</v>
      </c>
      <c r="AE1257">
        <v>-2.49409999999994</v>
      </c>
      <c r="AF1257">
        <v>-0.39202531300792798</v>
      </c>
      <c r="AG1257">
        <v>-1.1211628575849999</v>
      </c>
      <c r="AH1257">
        <v>34.380566366252502</v>
      </c>
      <c r="AI1257">
        <v>91.8676531261778</v>
      </c>
      <c r="AJ1257">
        <v>90.6532883221101</v>
      </c>
      <c r="AK1257">
        <v>34.401076053861402</v>
      </c>
      <c r="AL1257">
        <v>79.477530566526397</v>
      </c>
      <c r="AM1257">
        <v>87.849402956261301</v>
      </c>
      <c r="AN1257">
        <v>0.99999994406482995</v>
      </c>
    </row>
    <row r="1258" spans="1:40" x14ac:dyDescent="0.25">
      <c r="A1258" t="str">
        <f>"20190303162525794"</f>
        <v>20190303162525794</v>
      </c>
      <c r="B1258" t="str">
        <f>"1551601525784446"</f>
        <v>1551601525784446</v>
      </c>
      <c r="C1258" t="s">
        <v>40</v>
      </c>
      <c r="D1258">
        <v>5.3040010000000004</v>
      </c>
      <c r="E1258">
        <v>0.48944320000000002</v>
      </c>
      <c r="F1258" t="s">
        <v>48</v>
      </c>
      <c r="G1258">
        <v>-256.07650000000001</v>
      </c>
      <c r="H1258" s="1">
        <v>1.6968269999999999E-6</v>
      </c>
      <c r="I1258">
        <v>281.70139999999998</v>
      </c>
      <c r="J1258">
        <v>-222.84880000000001</v>
      </c>
      <c r="K1258">
        <v>1.121102</v>
      </c>
      <c r="L1258">
        <v>284.08710000000002</v>
      </c>
      <c r="M1258">
        <v>-0.99804689999999996</v>
      </c>
      <c r="N1258">
        <v>-1.4076689999999999E-2</v>
      </c>
      <c r="O1258">
        <v>-6.0864500000000002E-2</v>
      </c>
      <c r="P1258">
        <v>-0.98535799999999996</v>
      </c>
      <c r="Q1258">
        <v>0.16904820000000001</v>
      </c>
      <c r="R1258">
        <v>-2.219923E-2</v>
      </c>
      <c r="S1258">
        <v>-3.0568390000000001</v>
      </c>
      <c r="T1258">
        <v>-0.1023309</v>
      </c>
      <c r="U1258">
        <v>-0.21920780000000001</v>
      </c>
      <c r="V1258">
        <v>3.7902869999999998E-2</v>
      </c>
      <c r="W1258">
        <v>0.1828785</v>
      </c>
      <c r="X1258">
        <v>0.98240459999999996</v>
      </c>
      <c r="Y1258">
        <v>-1.0682550000000001E-2</v>
      </c>
      <c r="Z1258">
        <v>9.2198750000000004E-4</v>
      </c>
      <c r="AA1258">
        <v>0.99994249999999996</v>
      </c>
      <c r="AB1258">
        <v>27</v>
      </c>
      <c r="AC1258">
        <v>-33.227699999999999</v>
      </c>
      <c r="AD1258">
        <v>-1.121100303173</v>
      </c>
      <c r="AE1258">
        <v>-2.3857000000000399</v>
      </c>
      <c r="AF1258">
        <v>-0.35828286498713802</v>
      </c>
      <c r="AG1258">
        <v>-1.121100303173</v>
      </c>
      <c r="AH1258">
        <v>33.273619840947397</v>
      </c>
      <c r="AI1258">
        <v>91.929645952833198</v>
      </c>
      <c r="AJ1258">
        <v>90.6169242424575</v>
      </c>
      <c r="AK1258">
        <v>33.294429110903899</v>
      </c>
      <c r="AL1258">
        <v>79.462530458320202</v>
      </c>
      <c r="AM1258">
        <v>87.790525517548602</v>
      </c>
      <c r="AN1258">
        <v>0.99999998570882298</v>
      </c>
    </row>
    <row r="1259" spans="1:40" x14ac:dyDescent="0.25">
      <c r="A1259" t="str">
        <f>"20190303162525823"</f>
        <v>20190303162525823</v>
      </c>
      <c r="B1259" t="str">
        <f>"1551601525813727"</f>
        <v>1551601525813727</v>
      </c>
      <c r="C1259" t="s">
        <v>40</v>
      </c>
      <c r="D1259">
        <v>5.1014290000000004</v>
      </c>
      <c r="E1259">
        <v>0.49559619999999999</v>
      </c>
      <c r="F1259" t="s">
        <v>48</v>
      </c>
      <c r="G1259">
        <v>-262.13670000000002</v>
      </c>
      <c r="H1259" s="1">
        <v>-3.9976620000000002E-7</v>
      </c>
      <c r="I1259">
        <v>281.92790000000002</v>
      </c>
      <c r="J1259">
        <v>-223.15459999999999</v>
      </c>
      <c r="K1259">
        <v>1.1210310000000001</v>
      </c>
      <c r="L1259">
        <v>284.06880000000001</v>
      </c>
      <c r="M1259">
        <v>-0.99806600000000001</v>
      </c>
      <c r="N1259">
        <v>-1.406373E-2</v>
      </c>
      <c r="O1259">
        <v>-6.0553429999999998E-2</v>
      </c>
      <c r="P1259">
        <v>-0.98540870000000003</v>
      </c>
      <c r="Q1259">
        <v>0.1688229</v>
      </c>
      <c r="R1259">
        <v>-2.1645979999999999E-2</v>
      </c>
      <c r="S1259">
        <v>-3.055771</v>
      </c>
      <c r="T1259">
        <v>-8.7198139999999993E-2</v>
      </c>
      <c r="U1259">
        <v>-0.16793820000000001</v>
      </c>
      <c r="V1259">
        <v>3.8179530000000003E-2</v>
      </c>
      <c r="W1259">
        <v>0.18263470000000001</v>
      </c>
      <c r="X1259">
        <v>0.98243930000000002</v>
      </c>
      <c r="Y1259">
        <v>5.6842300000000002E-3</v>
      </c>
      <c r="Z1259">
        <v>9.9413670000000009E-4</v>
      </c>
      <c r="AA1259">
        <v>0.99998339999999997</v>
      </c>
      <c r="AB1259">
        <v>27</v>
      </c>
      <c r="AC1259">
        <v>-38.982100000000003</v>
      </c>
      <c r="AD1259">
        <v>-1.12103139976619</v>
      </c>
      <c r="AE1259">
        <v>-2.1408999999999798</v>
      </c>
      <c r="AF1259">
        <v>0.22357812359767201</v>
      </c>
      <c r="AG1259">
        <v>-1.12103139976619</v>
      </c>
      <c r="AH1259">
        <v>39.008041072992903</v>
      </c>
      <c r="AI1259">
        <v>91.6461129080907</v>
      </c>
      <c r="AJ1259">
        <v>89.671607641687004</v>
      </c>
      <c r="AK1259">
        <v>39.024786571215401</v>
      </c>
      <c r="AL1259">
        <v>79.476739080266</v>
      </c>
      <c r="AM1259">
        <v>87.774492846101793</v>
      </c>
      <c r="AN1259">
        <v>1.00000004416979</v>
      </c>
    </row>
    <row r="1260" spans="1:40" x14ac:dyDescent="0.25">
      <c r="A1260" t="str">
        <f>"20190303162525843"</f>
        <v>20190303162525843</v>
      </c>
      <c r="B1260" t="str">
        <f>"1551601525834222"</f>
        <v>1551601525834222</v>
      </c>
      <c r="C1260" t="s">
        <v>40</v>
      </c>
      <c r="D1260">
        <v>5.1650939999999999</v>
      </c>
      <c r="E1260">
        <v>0.4979768</v>
      </c>
      <c r="F1260" t="s">
        <v>48</v>
      </c>
      <c r="G1260">
        <v>-267.13630000000001</v>
      </c>
      <c r="H1260" s="1">
        <v>2.260791E-6</v>
      </c>
      <c r="I1260">
        <v>282.40989999999999</v>
      </c>
      <c r="J1260">
        <v>-223.44120000000001</v>
      </c>
      <c r="K1260">
        <v>1.1209899999999999</v>
      </c>
      <c r="L1260">
        <v>284.05180000000001</v>
      </c>
      <c r="M1260">
        <v>-0.99808779999999997</v>
      </c>
      <c r="N1260">
        <v>-1.4053019999999999E-2</v>
      </c>
      <c r="O1260">
        <v>-6.0195239999999997E-2</v>
      </c>
      <c r="P1260">
        <v>-0.98538579999999998</v>
      </c>
      <c r="Q1260">
        <v>0.1688347</v>
      </c>
      <c r="R1260">
        <v>-2.2583160000000001E-2</v>
      </c>
      <c r="S1260">
        <v>-3.055237</v>
      </c>
      <c r="T1260">
        <v>-7.787347E-2</v>
      </c>
      <c r="U1260">
        <v>-0.1152344</v>
      </c>
      <c r="V1260">
        <v>3.6909959999999999E-2</v>
      </c>
      <c r="W1260">
        <v>0.18263380000000001</v>
      </c>
      <c r="X1260">
        <v>0.98248789999999997</v>
      </c>
      <c r="Y1260">
        <v>2.2521329999999999E-2</v>
      </c>
      <c r="Z1260">
        <v>1.131354E-3</v>
      </c>
      <c r="AA1260">
        <v>0.99974569999999996</v>
      </c>
      <c r="AB1260">
        <v>27</v>
      </c>
      <c r="AC1260">
        <v>-43.695099999999996</v>
      </c>
      <c r="AD1260">
        <v>-1.120987739209</v>
      </c>
      <c r="AE1260">
        <v>-1.6419000000000199</v>
      </c>
      <c r="AF1260">
        <v>0.99092321094300395</v>
      </c>
      <c r="AG1260">
        <v>-1.120987739209</v>
      </c>
      <c r="AH1260">
        <v>43.685980809690697</v>
      </c>
      <c r="AI1260">
        <v>91.469516493996395</v>
      </c>
      <c r="AJ1260">
        <v>88.700590384109304</v>
      </c>
      <c r="AK1260">
        <v>43.711594132748203</v>
      </c>
      <c r="AL1260">
        <v>79.476790652434403</v>
      </c>
      <c r="AM1260">
        <v>87.848532408753002</v>
      </c>
      <c r="AN1260">
        <v>0.99999996184802498</v>
      </c>
    </row>
    <row r="1261" spans="1:40" x14ac:dyDescent="0.25">
      <c r="A1261" t="str">
        <f>"20190303162525863"</f>
        <v>20190303162525863</v>
      </c>
      <c r="B1261" t="str">
        <f>"1551601525854718"</f>
        <v>1551601525854718</v>
      </c>
      <c r="C1261" t="s">
        <v>40</v>
      </c>
      <c r="D1261">
        <v>5.3047060000000004</v>
      </c>
      <c r="E1261">
        <v>0.49979879999999999</v>
      </c>
      <c r="F1261" t="s">
        <v>48</v>
      </c>
      <c r="G1261">
        <v>-269.64010000000002</v>
      </c>
      <c r="H1261" s="1">
        <v>3.593203E-6</v>
      </c>
      <c r="I1261">
        <v>282.56799999999998</v>
      </c>
      <c r="J1261">
        <v>-223.67490000000001</v>
      </c>
      <c r="K1261">
        <v>1.1209800000000001</v>
      </c>
      <c r="L1261">
        <v>284.03800000000001</v>
      </c>
      <c r="M1261">
        <v>-0.99810750000000004</v>
      </c>
      <c r="N1261">
        <v>-1.404507E-2</v>
      </c>
      <c r="O1261">
        <v>-5.9869360000000003E-2</v>
      </c>
      <c r="P1261">
        <v>-0.98517480000000002</v>
      </c>
      <c r="Q1261">
        <v>0.16996059999999999</v>
      </c>
      <c r="R1261">
        <v>-2.3331729999999998E-2</v>
      </c>
      <c r="S1261">
        <v>-3.0549469999999999</v>
      </c>
      <c r="T1261">
        <v>-7.4126239999999996E-2</v>
      </c>
      <c r="U1261">
        <v>-9.8114010000000001E-2</v>
      </c>
      <c r="V1261">
        <v>3.5840589999999999E-2</v>
      </c>
      <c r="W1261">
        <v>0.18374799999999999</v>
      </c>
      <c r="X1261">
        <v>0.98231979999999997</v>
      </c>
      <c r="Y1261">
        <v>2.7786100000000001E-2</v>
      </c>
      <c r="Z1261">
        <v>1.1420829999999999E-3</v>
      </c>
      <c r="AA1261">
        <v>0.99961319999999998</v>
      </c>
      <c r="AB1261">
        <v>27</v>
      </c>
      <c r="AC1261">
        <v>-45.965200000000003</v>
      </c>
      <c r="AD1261">
        <v>-1.1209764067969901</v>
      </c>
      <c r="AE1261">
        <v>-1.47000000000002</v>
      </c>
      <c r="AF1261">
        <v>1.28405278163889</v>
      </c>
      <c r="AG1261">
        <v>-1.1209764067969901</v>
      </c>
      <c r="AH1261">
        <v>45.943451995788003</v>
      </c>
      <c r="AI1261">
        <v>91.397139715611004</v>
      </c>
      <c r="AJ1261">
        <v>88.399082895843506</v>
      </c>
      <c r="AK1261">
        <v>45.975060205940999</v>
      </c>
      <c r="AL1261">
        <v>79.411853524114903</v>
      </c>
      <c r="AM1261">
        <v>87.910452325186199</v>
      </c>
      <c r="AN1261">
        <v>1.0000000324337901</v>
      </c>
    </row>
    <row r="1262" spans="1:40" x14ac:dyDescent="0.25">
      <c r="A1262" t="str">
        <f>"20190303162525884"</f>
        <v>20190303162525884</v>
      </c>
      <c r="B1262" t="str">
        <f>"1551601525873262"</f>
        <v>1551601525873262</v>
      </c>
      <c r="C1262" t="s">
        <v>40</v>
      </c>
      <c r="D1262">
        <v>5.2980280000000004</v>
      </c>
      <c r="E1262">
        <v>0.50080729999999996</v>
      </c>
      <c r="F1262" t="s">
        <v>48</v>
      </c>
      <c r="G1262">
        <v>-271.57190000000003</v>
      </c>
      <c r="H1262" s="1">
        <v>-6.152224E-7</v>
      </c>
      <c r="I1262">
        <v>282.6703</v>
      </c>
      <c r="J1262">
        <v>-223.9315</v>
      </c>
      <c r="K1262">
        <v>1.120976</v>
      </c>
      <c r="L1262">
        <v>284.0231</v>
      </c>
      <c r="M1262">
        <v>-0.99813059999999998</v>
      </c>
      <c r="N1262">
        <v>-1.403716E-2</v>
      </c>
      <c r="O1262">
        <v>-5.9483590000000003E-2</v>
      </c>
      <c r="P1262">
        <v>-0.98502060000000002</v>
      </c>
      <c r="Q1262">
        <v>0.1709909</v>
      </c>
      <c r="R1262">
        <v>-2.2285280000000001E-2</v>
      </c>
      <c r="S1262">
        <v>-3.0554199999999998</v>
      </c>
      <c r="T1262">
        <v>-7.1509000000000003E-2</v>
      </c>
      <c r="U1262">
        <v>-8.7249759999999996E-2</v>
      </c>
      <c r="V1262">
        <v>3.6502229999999997E-2</v>
      </c>
      <c r="W1262">
        <v>0.1847655</v>
      </c>
      <c r="X1262">
        <v>0.98210450000000005</v>
      </c>
      <c r="Y1262">
        <v>3.095552E-2</v>
      </c>
      <c r="Z1262">
        <v>1.1348980000000001E-3</v>
      </c>
      <c r="AA1262">
        <v>0.99952010000000002</v>
      </c>
      <c r="AB1262">
        <v>27</v>
      </c>
      <c r="AC1262">
        <v>-47.6404</v>
      </c>
      <c r="AD1262">
        <v>-1.1209766152224001</v>
      </c>
      <c r="AE1262">
        <v>-1.3528</v>
      </c>
      <c r="AF1262">
        <v>1.4828767560745999</v>
      </c>
      <c r="AG1262">
        <v>-1.1209766152224001</v>
      </c>
      <c r="AH1262">
        <v>47.610164495915697</v>
      </c>
      <c r="AI1262">
        <v>91.348120765951293</v>
      </c>
      <c r="AJ1262">
        <v>88.216029647487503</v>
      </c>
      <c r="AK1262">
        <v>47.6464403221661</v>
      </c>
      <c r="AL1262">
        <v>79.352538892033905</v>
      </c>
      <c r="AM1262">
        <v>87.871447000198501</v>
      </c>
      <c r="AN1262">
        <v>0.99999997585273603</v>
      </c>
    </row>
    <row r="1263" spans="1:40" x14ac:dyDescent="0.25">
      <c r="A1263" t="str">
        <f>"20190303162525906"</f>
        <v>20190303162525906</v>
      </c>
      <c r="B1263" t="str">
        <f>"1551601525894072"</f>
        <v>1551601525894072</v>
      </c>
      <c r="C1263" t="s">
        <v>40</v>
      </c>
      <c r="D1263">
        <v>5.126519</v>
      </c>
      <c r="E1263">
        <v>0.50149979999999905</v>
      </c>
      <c r="F1263" t="s">
        <v>48</v>
      </c>
      <c r="G1263">
        <v>-275.50220000000002</v>
      </c>
      <c r="H1263" s="1">
        <v>1.4751990000000001E-6</v>
      </c>
      <c r="I1263">
        <v>282.69459999999998</v>
      </c>
      <c r="J1263">
        <v>-224.1935</v>
      </c>
      <c r="K1263">
        <v>1.120967</v>
      </c>
      <c r="L1263">
        <v>284.00799999999998</v>
      </c>
      <c r="M1263">
        <v>-0.99815520000000002</v>
      </c>
      <c r="N1263">
        <v>-1.4029740000000001E-2</v>
      </c>
      <c r="O1263">
        <v>-5.9072489999999998E-2</v>
      </c>
      <c r="P1263">
        <v>-0.98533139999999997</v>
      </c>
      <c r="Q1263">
        <v>0.16930729999999999</v>
      </c>
      <c r="R1263">
        <v>-2.1381689999999998E-2</v>
      </c>
      <c r="S1263">
        <v>-3.0553439999999998</v>
      </c>
      <c r="T1263">
        <v>-6.6412929999999995E-2</v>
      </c>
      <c r="U1263">
        <v>-7.8704830000000003E-2</v>
      </c>
      <c r="V1263">
        <v>3.7016840000000002E-2</v>
      </c>
      <c r="W1263">
        <v>0.1830782</v>
      </c>
      <c r="X1263">
        <v>0.98240119999999997</v>
      </c>
      <c r="Y1263">
        <v>3.3337810000000002E-2</v>
      </c>
      <c r="Z1263">
        <v>1.0498879999999999E-3</v>
      </c>
      <c r="AA1263">
        <v>0.99944359999999999</v>
      </c>
      <c r="AB1263">
        <v>27</v>
      </c>
      <c r="AC1263">
        <v>-51.308700000000002</v>
      </c>
      <c r="AD1263">
        <v>-1.120965524801</v>
      </c>
      <c r="AE1263">
        <v>-1.3133999999999999</v>
      </c>
      <c r="AF1263">
        <v>1.71930464931463</v>
      </c>
      <c r="AG1263">
        <v>-1.120965524801</v>
      </c>
      <c r="AH1263">
        <v>51.272218367800797</v>
      </c>
      <c r="AI1263">
        <v>91.251755882938298</v>
      </c>
      <c r="AJ1263">
        <v>88.079427704912803</v>
      </c>
      <c r="AK1263">
        <v>51.313282379325599</v>
      </c>
      <c r="AL1263">
        <v>79.450892105420394</v>
      </c>
      <c r="AM1263">
        <v>87.842118050987494</v>
      </c>
      <c r="AN1263">
        <v>0.99999999576013199</v>
      </c>
    </row>
    <row r="1264" spans="1:40" x14ac:dyDescent="0.25">
      <c r="A1264" t="str">
        <f>"20190303162525930"</f>
        <v>20190303162525930</v>
      </c>
      <c r="B1264" t="str">
        <f>"1551601525924328"</f>
        <v>1551601525924328</v>
      </c>
      <c r="C1264" t="s">
        <v>40</v>
      </c>
      <c r="D1264">
        <v>5.3471539999999997</v>
      </c>
      <c r="E1264">
        <v>0.50232399999999999</v>
      </c>
      <c r="F1264" t="s">
        <v>48</v>
      </c>
      <c r="G1264">
        <v>-273.32429999999999</v>
      </c>
      <c r="H1264" s="1">
        <v>3.1005120000000001E-7</v>
      </c>
      <c r="I1264">
        <v>282.8365</v>
      </c>
      <c r="J1264">
        <v>-224.4633</v>
      </c>
      <c r="K1264">
        <v>1.1209530000000001</v>
      </c>
      <c r="L1264">
        <v>283.99250000000001</v>
      </c>
      <c r="M1264">
        <v>-0.99818059999999997</v>
      </c>
      <c r="N1264">
        <v>-1.40227999999999E-2</v>
      </c>
      <c r="O1264">
        <v>-5.8643380000000002E-2</v>
      </c>
      <c r="P1264">
        <v>-0.98572559999999998</v>
      </c>
      <c r="Q1264">
        <v>0.1670286</v>
      </c>
      <c r="R1264">
        <v>-2.1140829999999999E-2</v>
      </c>
      <c r="S1264">
        <v>-3.0550540000000002</v>
      </c>
      <c r="T1264">
        <v>-6.9703940000000006E-2</v>
      </c>
      <c r="U1264">
        <v>-7.2845460000000001E-2</v>
      </c>
      <c r="V1264">
        <v>3.685331E-2</v>
      </c>
      <c r="W1264">
        <v>0.18079899999999999</v>
      </c>
      <c r="X1264">
        <v>0.98282939999999996</v>
      </c>
      <c r="Y1264">
        <v>3.4819170000000003E-2</v>
      </c>
      <c r="Z1264">
        <v>1.1554429999999999E-3</v>
      </c>
      <c r="AA1264">
        <v>0.99939299999999998</v>
      </c>
      <c r="AB1264">
        <v>27</v>
      </c>
      <c r="AC1264">
        <v>-48.860999999999898</v>
      </c>
      <c r="AD1264">
        <v>-1.1209526899488</v>
      </c>
      <c r="AE1264">
        <v>-1.1559999999999999</v>
      </c>
      <c r="AF1264">
        <v>1.7107456499662199</v>
      </c>
      <c r="AG1264">
        <v>-1.1209526899488</v>
      </c>
      <c r="AH1264">
        <v>48.819011849621802</v>
      </c>
      <c r="AI1264">
        <v>91.314553387657199</v>
      </c>
      <c r="AJ1264">
        <v>87.993027518412603</v>
      </c>
      <c r="AK1264">
        <v>48.861836883046998</v>
      </c>
      <c r="AL1264">
        <v>79.583697646570997</v>
      </c>
      <c r="AM1264">
        <v>87.852577136841902</v>
      </c>
      <c r="AN1264">
        <v>1.00000003718165</v>
      </c>
    </row>
    <row r="1265" spans="1:40" x14ac:dyDescent="0.25">
      <c r="A1265" t="str">
        <f>"20190303162525949"</f>
        <v>20190303162525949</v>
      </c>
      <c r="B1265" t="str">
        <f>"1551601525943848"</f>
        <v>1551601525943848</v>
      </c>
      <c r="C1265" t="s">
        <v>40</v>
      </c>
      <c r="D1265">
        <v>5.1823350000000001</v>
      </c>
      <c r="E1265">
        <v>0.50270269999999995</v>
      </c>
      <c r="F1265" t="s">
        <v>48</v>
      </c>
      <c r="G1265">
        <v>-270.95659999999998</v>
      </c>
      <c r="H1265" s="1">
        <v>-9.5565509999999998E-7</v>
      </c>
      <c r="I1265">
        <v>282.96690000000001</v>
      </c>
      <c r="J1265">
        <v>-224.69810000000001</v>
      </c>
      <c r="K1265">
        <v>1.1209439999999999</v>
      </c>
      <c r="L1265">
        <v>283.97919999999999</v>
      </c>
      <c r="M1265">
        <v>-0.99820229999999999</v>
      </c>
      <c r="N1265">
        <v>-1.401726E-2</v>
      </c>
      <c r="O1265">
        <v>-5.8272829999999998E-2</v>
      </c>
      <c r="P1265">
        <v>-0.98585780000000001</v>
      </c>
      <c r="Q1265">
        <v>0.16631029999999999</v>
      </c>
      <c r="R1265">
        <v>-2.0617989999999999E-2</v>
      </c>
      <c r="S1265">
        <v>-3.0544889999999998</v>
      </c>
      <c r="T1265">
        <v>-7.3643799999999995E-2</v>
      </c>
      <c r="U1265">
        <v>-6.7382810000000001E-2</v>
      </c>
      <c r="V1265">
        <v>3.7014129999999999E-2</v>
      </c>
      <c r="W1265">
        <v>0.18007670000000001</v>
      </c>
      <c r="X1265">
        <v>0.98295589999999999</v>
      </c>
      <c r="Y1265">
        <v>3.6227380000000003E-2</v>
      </c>
      <c r="Z1265">
        <v>1.277177E-3</v>
      </c>
      <c r="AA1265">
        <v>0.99934270000000003</v>
      </c>
      <c r="AB1265">
        <v>27</v>
      </c>
      <c r="AC1265">
        <v>-46.258499999999898</v>
      </c>
      <c r="AD1265">
        <v>-1.1209449556551001</v>
      </c>
      <c r="AE1265">
        <v>-1.01229999999998</v>
      </c>
      <c r="AF1265">
        <v>1.6843105087166299</v>
      </c>
      <c r="AG1265">
        <v>-1.1209449556551001</v>
      </c>
      <c r="AH1265">
        <v>46.211750098345497</v>
      </c>
      <c r="AI1265">
        <v>91.388612869764501</v>
      </c>
      <c r="AJ1265">
        <v>87.912626455440204</v>
      </c>
      <c r="AK1265">
        <v>46.256018707140299</v>
      </c>
      <c r="AL1265">
        <v>79.625772422701701</v>
      </c>
      <c r="AM1265">
        <v>87.843492373265093</v>
      </c>
      <c r="AN1265">
        <v>0.99999998252367805</v>
      </c>
    </row>
    <row r="1266" spans="1:40" x14ac:dyDescent="0.25">
      <c r="A1266" t="str">
        <f>"20190303162525974"</f>
        <v>20190303162525974</v>
      </c>
      <c r="B1266" t="str">
        <f>"1551601525964344"</f>
        <v>1551601525964344</v>
      </c>
      <c r="C1266" t="s">
        <v>40</v>
      </c>
      <c r="D1266">
        <v>5.3625930000000004</v>
      </c>
      <c r="E1266">
        <v>0.50295380000000001</v>
      </c>
      <c r="F1266" t="s">
        <v>48</v>
      </c>
      <c r="G1266">
        <v>-270.8349</v>
      </c>
      <c r="H1266" s="1">
        <v>-1.0224510000000001E-6</v>
      </c>
      <c r="I1266">
        <v>283.01339999999999</v>
      </c>
      <c r="J1266">
        <v>-224.99160000000001</v>
      </c>
      <c r="K1266">
        <v>1.120946</v>
      </c>
      <c r="L1266">
        <v>283.96260000000001</v>
      </c>
      <c r="M1266">
        <v>-0.99822880000000003</v>
      </c>
      <c r="N1266">
        <v>-1.4010770000000001E-2</v>
      </c>
      <c r="O1266">
        <v>-5.7818960000000003E-2</v>
      </c>
      <c r="P1266">
        <v>-0.98593629999999999</v>
      </c>
      <c r="Q1266">
        <v>0.16606080000000001</v>
      </c>
      <c r="R1266">
        <v>-1.880066E-2</v>
      </c>
      <c r="S1266">
        <v>-3.054214</v>
      </c>
      <c r="T1266">
        <v>-7.4205519999999997E-2</v>
      </c>
      <c r="U1266">
        <v>-6.3934329999999998E-2</v>
      </c>
      <c r="V1266">
        <v>3.8382020000000003E-2</v>
      </c>
      <c r="W1266">
        <v>0.1798206</v>
      </c>
      <c r="X1266">
        <v>0.98295030000000005</v>
      </c>
      <c r="Y1266">
        <v>3.6898229999999997E-2</v>
      </c>
      <c r="Z1266">
        <v>1.299878E-3</v>
      </c>
      <c r="AA1266">
        <v>0.99931820000000005</v>
      </c>
      <c r="AB1266">
        <v>27</v>
      </c>
      <c r="AC1266">
        <v>-45.843299999999999</v>
      </c>
      <c r="AD1266">
        <v>-1.1209470224510001</v>
      </c>
      <c r="AE1266">
        <v>-0.94920000000001803</v>
      </c>
      <c r="AF1266">
        <v>1.7022429649838999</v>
      </c>
      <c r="AG1266">
        <v>-1.1209470224510001</v>
      </c>
      <c r="AH1266">
        <v>45.794112186783103</v>
      </c>
      <c r="AI1266">
        <v>91.40123716443</v>
      </c>
      <c r="AJ1266">
        <v>87.871201134253496</v>
      </c>
      <c r="AK1266">
        <v>45.839446596950197</v>
      </c>
      <c r="AL1266">
        <v>79.640689140061596</v>
      </c>
      <c r="AM1266">
        <v>87.763863457172405</v>
      </c>
      <c r="AN1266">
        <v>0.99999995995686397</v>
      </c>
    </row>
    <row r="1267" spans="1:40" x14ac:dyDescent="0.25">
      <c r="A1267" t="str">
        <f>"20190303162525996"</f>
        <v>20190303162525996</v>
      </c>
      <c r="B1267" t="str">
        <f>"1551601525984840"</f>
        <v>1551601525984840</v>
      </c>
      <c r="C1267" t="s">
        <v>40</v>
      </c>
      <c r="D1267">
        <v>5.1614370000000003</v>
      </c>
      <c r="E1267">
        <v>0.50318030000000002</v>
      </c>
      <c r="F1267" t="s">
        <v>48</v>
      </c>
      <c r="G1267">
        <v>-271.24650000000003</v>
      </c>
      <c r="H1267" s="1">
        <v>-8.0741619999999999E-7</v>
      </c>
      <c r="I1267">
        <v>283.10480000000001</v>
      </c>
      <c r="J1267">
        <v>-225.25489999999999</v>
      </c>
      <c r="K1267">
        <v>1.1209519999999999</v>
      </c>
      <c r="L1267">
        <v>283.94779999999997</v>
      </c>
      <c r="M1267">
        <v>-0.99825189999999997</v>
      </c>
      <c r="N1267">
        <v>-1.4005480000000001E-2</v>
      </c>
      <c r="O1267">
        <v>-5.7421109999999997E-2</v>
      </c>
      <c r="P1267">
        <v>-0.986313</v>
      </c>
      <c r="Q1267">
        <v>0.16413800000000001</v>
      </c>
      <c r="R1267">
        <v>-1.5675919999999999E-2</v>
      </c>
      <c r="S1267">
        <v>-3.0541839999999998</v>
      </c>
      <c r="T1267">
        <v>-7.4015499999999998E-2</v>
      </c>
      <c r="U1267">
        <v>-5.6640629999999997E-2</v>
      </c>
      <c r="V1267">
        <v>4.112685E-2</v>
      </c>
      <c r="W1267">
        <v>0.17789430000000001</v>
      </c>
      <c r="X1267">
        <v>0.9831898</v>
      </c>
      <c r="Y1267">
        <v>3.88844E-2</v>
      </c>
      <c r="Z1267">
        <v>1.32935E-3</v>
      </c>
      <c r="AA1267">
        <v>0.99924279999999999</v>
      </c>
      <c r="AB1267">
        <v>27</v>
      </c>
      <c r="AC1267">
        <v>-45.991599999999998</v>
      </c>
      <c r="AD1267">
        <v>-1.1209528074161901</v>
      </c>
      <c r="AE1267">
        <v>-0.84299999999996</v>
      </c>
      <c r="AF1267">
        <v>1.79847068919909</v>
      </c>
      <c r="AG1267">
        <v>-1.1209528074161901</v>
      </c>
      <c r="AH1267">
        <v>45.936832597931797</v>
      </c>
      <c r="AI1267">
        <v>91.396787305306802</v>
      </c>
      <c r="AJ1267">
        <v>87.757960797416104</v>
      </c>
      <c r="AK1267">
        <v>45.985689308161703</v>
      </c>
      <c r="AL1267">
        <v>79.752867215059098</v>
      </c>
      <c r="AM1267">
        <v>87.604712739201105</v>
      </c>
      <c r="AN1267">
        <v>0.99999999129372596</v>
      </c>
    </row>
    <row r="1268" spans="1:40" x14ac:dyDescent="0.25">
      <c r="A1268" t="str">
        <f>"20190303162526019"</f>
        <v>20190303162526019</v>
      </c>
      <c r="B1268" t="str">
        <f>"1551601526004360"</f>
        <v>1551601526004360</v>
      </c>
      <c r="C1268" t="s">
        <v>40</v>
      </c>
      <c r="D1268">
        <v>5.2913300000000003</v>
      </c>
      <c r="E1268">
        <v>0.50334829999999997</v>
      </c>
      <c r="F1268" t="s">
        <v>48</v>
      </c>
      <c r="G1268">
        <v>-268.68119999999999</v>
      </c>
      <c r="H1268" s="1">
        <v>3.082901E-6</v>
      </c>
      <c r="I1268">
        <v>283.29599999999999</v>
      </c>
      <c r="J1268">
        <v>-225.51779999999999</v>
      </c>
      <c r="K1268">
        <v>1.1209359999999999</v>
      </c>
      <c r="L1268">
        <v>283.9332</v>
      </c>
      <c r="M1268">
        <v>-0.99827429999999995</v>
      </c>
      <c r="N1268">
        <v>-1.4000530000000001E-2</v>
      </c>
      <c r="O1268">
        <v>-5.7030039999999997E-2</v>
      </c>
      <c r="P1268">
        <v>-0.98710249999999999</v>
      </c>
      <c r="Q1268">
        <v>0.15968199999999999</v>
      </c>
      <c r="R1268">
        <v>-1.142081E-2</v>
      </c>
      <c r="S1268">
        <v>-3.054001</v>
      </c>
      <c r="T1268">
        <v>-7.8832029999999997E-2</v>
      </c>
      <c r="U1268">
        <v>-4.58374E-2</v>
      </c>
      <c r="V1268">
        <v>4.5028940000000003E-2</v>
      </c>
      <c r="W1268">
        <v>0.17343900000000001</v>
      </c>
      <c r="X1268">
        <v>0.98381470000000004</v>
      </c>
      <c r="Y1268">
        <v>4.202082E-2</v>
      </c>
      <c r="Z1268">
        <v>1.5086979999999999E-3</v>
      </c>
      <c r="AA1268">
        <v>0.99911559999999999</v>
      </c>
      <c r="AB1268">
        <v>27</v>
      </c>
      <c r="AC1268">
        <v>-43.163400000000003</v>
      </c>
      <c r="AD1268">
        <v>-1.1209329170989999</v>
      </c>
      <c r="AE1268">
        <v>-0.63720000000000698</v>
      </c>
      <c r="AF1268">
        <v>1.82445879131342</v>
      </c>
      <c r="AG1268">
        <v>-1.1209329170989999</v>
      </c>
      <c r="AH1268">
        <v>43.100417998728901</v>
      </c>
      <c r="AI1268">
        <v>91.488450201848096</v>
      </c>
      <c r="AJ1268">
        <v>87.576092675275504</v>
      </c>
      <c r="AK1268">
        <v>43.153576585852001</v>
      </c>
      <c r="AL1268">
        <v>80.012169940595001</v>
      </c>
      <c r="AM1268">
        <v>87.379416150216102</v>
      </c>
      <c r="AN1268">
        <v>1.0000000280473</v>
      </c>
    </row>
    <row r="1269" spans="1:40" x14ac:dyDescent="0.25">
      <c r="A1269" t="str">
        <f>"20190303162526042"</f>
        <v>20190303162526042</v>
      </c>
      <c r="B1269" t="str">
        <f>"1551601526033640"</f>
        <v>1551601526033640</v>
      </c>
      <c r="C1269" t="s">
        <v>40</v>
      </c>
      <c r="D1269">
        <v>5.349183</v>
      </c>
      <c r="E1269">
        <v>0.50359359999999997</v>
      </c>
      <c r="F1269" t="s">
        <v>48</v>
      </c>
      <c r="G1269">
        <v>-263.17880000000002</v>
      </c>
      <c r="H1269" s="1">
        <v>1.548336E-7</v>
      </c>
      <c r="I1269">
        <v>283.54469999999998</v>
      </c>
      <c r="J1269">
        <v>-225.79249999999999</v>
      </c>
      <c r="K1269">
        <v>1.120919</v>
      </c>
      <c r="L1269">
        <v>283.91800000000001</v>
      </c>
      <c r="M1269">
        <v>-0.99829760000000001</v>
      </c>
      <c r="N1269">
        <v>-1.399568E-2</v>
      </c>
      <c r="O1269">
        <v>-5.6625139999999997E-2</v>
      </c>
      <c r="P1269">
        <v>-0.98793240000000004</v>
      </c>
      <c r="Q1269">
        <v>0.154728</v>
      </c>
      <c r="R1269">
        <v>-6.9920850000000003E-3</v>
      </c>
      <c r="S1269">
        <v>-3.0535580000000002</v>
      </c>
      <c r="T1269">
        <v>-9.0885519999999997E-2</v>
      </c>
      <c r="U1269">
        <v>-3.1494139999999997E-2</v>
      </c>
      <c r="V1269">
        <v>4.9091900000000001E-2</v>
      </c>
      <c r="W1269">
        <v>0.16848669999999999</v>
      </c>
      <c r="X1269">
        <v>0.98448069999999999</v>
      </c>
      <c r="Y1269">
        <v>4.6293699999999903E-2</v>
      </c>
      <c r="Z1269">
        <v>1.904207E-3</v>
      </c>
      <c r="AA1269">
        <v>0.99892599999999998</v>
      </c>
      <c r="AB1269">
        <v>27</v>
      </c>
      <c r="AC1269">
        <v>-37.386299999999999</v>
      </c>
      <c r="AD1269">
        <v>-1.1209188451663901</v>
      </c>
      <c r="AE1269">
        <v>-0.373300000000028</v>
      </c>
      <c r="AF1269">
        <v>1.74294388836883</v>
      </c>
      <c r="AG1269">
        <v>-1.1209188451663901</v>
      </c>
      <c r="AH1269">
        <v>37.313903481948202</v>
      </c>
      <c r="AI1269">
        <v>91.718788934968202</v>
      </c>
      <c r="AJ1269">
        <v>87.325640436298499</v>
      </c>
      <c r="AK1269">
        <v>37.371402241762297</v>
      </c>
      <c r="AL1269">
        <v>80.300155908213398</v>
      </c>
      <c r="AM1269">
        <v>87.145265770983002</v>
      </c>
      <c r="AN1269">
        <v>1.00000001569749</v>
      </c>
    </row>
    <row r="1270" spans="1:40" x14ac:dyDescent="0.25">
      <c r="A1270" t="str">
        <f>"20190303162526065"</f>
        <v>20190303162526065</v>
      </c>
      <c r="B1270" t="str">
        <f>"1551601526054136"</f>
        <v>1551601526054136</v>
      </c>
      <c r="C1270" t="s">
        <v>40</v>
      </c>
      <c r="D1270">
        <v>5.4845610000000002</v>
      </c>
      <c r="E1270">
        <v>0.50369390000000003</v>
      </c>
      <c r="F1270" t="s">
        <v>48</v>
      </c>
      <c r="G1270">
        <v>-258.93209999999999</v>
      </c>
      <c r="H1270" s="1">
        <v>3.216406E-6</v>
      </c>
      <c r="I1270">
        <v>283.75200000000001</v>
      </c>
      <c r="J1270">
        <v>-226.07300000000001</v>
      </c>
      <c r="K1270">
        <v>1.1209</v>
      </c>
      <c r="L1270">
        <v>283.90260000000001</v>
      </c>
      <c r="M1270">
        <v>-0.99832080000000001</v>
      </c>
      <c r="N1270">
        <v>-1.399103E-2</v>
      </c>
      <c r="O1270">
        <v>-5.6212970000000001E-2</v>
      </c>
      <c r="P1270">
        <v>-0.98901309999999998</v>
      </c>
      <c r="Q1270">
        <v>0.1478102</v>
      </c>
      <c r="R1270">
        <v>-2.3145650000000002E-3</v>
      </c>
      <c r="S1270">
        <v>-3.0527190000000002</v>
      </c>
      <c r="T1270">
        <v>-0.103255399999999</v>
      </c>
      <c r="U1270">
        <v>-1.528931E-2</v>
      </c>
      <c r="V1270">
        <v>5.3408749999999998E-2</v>
      </c>
      <c r="W1270">
        <v>0.16157379999999999</v>
      </c>
      <c r="X1270">
        <v>0.98541429999999997</v>
      </c>
      <c r="Y1270">
        <v>5.1164950000000001E-2</v>
      </c>
      <c r="Z1270">
        <v>2.3364000000000002E-3</v>
      </c>
      <c r="AA1270">
        <v>0.99868749999999995</v>
      </c>
      <c r="AB1270">
        <v>26</v>
      </c>
      <c r="AC1270">
        <v>-32.859099999999998</v>
      </c>
      <c r="AD1270">
        <v>-1.120896783594</v>
      </c>
      <c r="AE1270">
        <v>-0.15059999999999699</v>
      </c>
      <c r="AF1270">
        <v>1.6949542464799701</v>
      </c>
      <c r="AG1270">
        <v>-1.120896783594</v>
      </c>
      <c r="AH1270">
        <v>32.777459072122603</v>
      </c>
      <c r="AI1270">
        <v>91.955979647054804</v>
      </c>
      <c r="AJ1270">
        <v>87.039816243887003</v>
      </c>
      <c r="AK1270">
        <v>32.8403882851864</v>
      </c>
      <c r="AL1270">
        <v>80.701742660560996</v>
      </c>
      <c r="AM1270">
        <v>86.897645156319001</v>
      </c>
      <c r="AN1270">
        <v>0.999999965033745</v>
      </c>
    </row>
    <row r="1271" spans="1:40" x14ac:dyDescent="0.25">
      <c r="A1271" t="str">
        <f>"20190303162526086"</f>
        <v>20190303162526086</v>
      </c>
      <c r="B1271" t="str">
        <f>"1551601526074632"</f>
        <v>1551601526074632</v>
      </c>
      <c r="C1271" t="s">
        <v>40</v>
      </c>
      <c r="D1271">
        <v>5.2831489999999999</v>
      </c>
      <c r="E1271">
        <v>0.50994039999999996</v>
      </c>
      <c r="F1271" t="s">
        <v>48</v>
      </c>
      <c r="G1271">
        <v>-253.38550000000001</v>
      </c>
      <c r="H1271" s="1">
        <v>2.6480990000000001E-7</v>
      </c>
      <c r="I1271">
        <v>283.90199999999999</v>
      </c>
      <c r="J1271">
        <v>-226.32429999999999</v>
      </c>
      <c r="K1271">
        <v>1.1208640000000001</v>
      </c>
      <c r="L1271">
        <v>283.88889999999998</v>
      </c>
      <c r="M1271">
        <v>-0.99834149999999999</v>
      </c>
      <c r="N1271">
        <v>-1.3987080000000001E-2</v>
      </c>
      <c r="O1271">
        <v>-5.5844900000000003E-2</v>
      </c>
      <c r="P1271">
        <v>-0.99001150000000004</v>
      </c>
      <c r="Q1271">
        <v>0.14098469999999999</v>
      </c>
      <c r="R1271">
        <v>8.2427869999999895E-4</v>
      </c>
      <c r="S1271">
        <v>-3.0520320000000001</v>
      </c>
      <c r="T1271">
        <v>-0.1252549</v>
      </c>
      <c r="U1271" s="1">
        <v>-6.1035159999999999E-5</v>
      </c>
      <c r="V1271">
        <v>5.622804E-2</v>
      </c>
      <c r="W1271">
        <v>0.15475510000000001</v>
      </c>
      <c r="X1271">
        <v>0.98635150000000005</v>
      </c>
      <c r="Y1271">
        <v>5.5747089999999999E-2</v>
      </c>
      <c r="Z1271">
        <v>3.0423239999999999E-3</v>
      </c>
      <c r="AA1271">
        <v>0.99844029999999995</v>
      </c>
      <c r="AB1271">
        <v>26</v>
      </c>
      <c r="AC1271">
        <v>-27.061199999999999</v>
      </c>
      <c r="AD1271">
        <v>-1.1208637351901001</v>
      </c>
      <c r="AE1271">
        <v>1.3100000000008501E-2</v>
      </c>
      <c r="AF1271">
        <v>1.5218465258869101</v>
      </c>
      <c r="AG1271">
        <v>-1.1208637351901001</v>
      </c>
      <c r="AH1271">
        <v>26.971957297458601</v>
      </c>
      <c r="AI1271">
        <v>92.375875914237696</v>
      </c>
      <c r="AJ1271">
        <v>86.7706078201509</v>
      </c>
      <c r="AK1271">
        <v>27.0380996524746</v>
      </c>
      <c r="AL1271">
        <v>81.097406930233703</v>
      </c>
      <c r="AM1271">
        <v>86.737322951266293</v>
      </c>
      <c r="AN1271">
        <v>1.00000000750525</v>
      </c>
    </row>
    <row r="1272" spans="1:40" x14ac:dyDescent="0.25">
      <c r="A1272" t="str">
        <f>"20190303162526106"</f>
        <v>20190303162526106</v>
      </c>
      <c r="B1272" t="str">
        <f>"1551601526094659"</f>
        <v>1551601526094659</v>
      </c>
      <c r="C1272" t="s">
        <v>40</v>
      </c>
      <c r="D1272">
        <v>5.241142</v>
      </c>
      <c r="E1272">
        <v>0.51204399999999906</v>
      </c>
      <c r="F1272" t="s">
        <v>42</v>
      </c>
      <c r="G1272">
        <v>-227.16290000000001</v>
      </c>
      <c r="H1272">
        <v>0.98399910000000002</v>
      </c>
      <c r="I1272">
        <v>283.90120000000002</v>
      </c>
      <c r="J1272">
        <v>-226.55510000000001</v>
      </c>
      <c r="K1272">
        <v>1.1208469999999999</v>
      </c>
      <c r="L1272">
        <v>283.87630000000001</v>
      </c>
      <c r="M1272">
        <v>-0.99836049999999998</v>
      </c>
      <c r="N1272">
        <v>-1.3983600000000001E-2</v>
      </c>
      <c r="O1272">
        <v>-5.5507099999999997E-2</v>
      </c>
      <c r="P1272">
        <v>-0.99058829999999998</v>
      </c>
      <c r="Q1272">
        <v>0.13684640000000001</v>
      </c>
      <c r="R1272">
        <v>2.9293320000000002E-3</v>
      </c>
      <c r="S1272">
        <v>-3.102341</v>
      </c>
      <c r="T1272">
        <v>-0.50641199999999997</v>
      </c>
      <c r="U1272">
        <v>4.5257569999999997E-2</v>
      </c>
      <c r="V1272">
        <v>5.802355E-2</v>
      </c>
      <c r="W1272">
        <v>0.150619899999999</v>
      </c>
      <c r="X1272">
        <v>0.98688750000000003</v>
      </c>
      <c r="Y1272">
        <v>6.84723E-2</v>
      </c>
      <c r="Z1272">
        <v>1.42601E-2</v>
      </c>
      <c r="AA1272">
        <v>0.99755110000000002</v>
      </c>
      <c r="AB1272">
        <v>26</v>
      </c>
      <c r="AC1272">
        <v>-0.60779999999999701</v>
      </c>
      <c r="AD1272">
        <v>-0.136847899999999</v>
      </c>
      <c r="AE1272">
        <v>2.4900000000002299E-2</v>
      </c>
      <c r="AF1272">
        <v>5.5779192186457098E-2</v>
      </c>
      <c r="AG1272">
        <v>-0.136847899999999</v>
      </c>
      <c r="AH1272">
        <v>0.57631391181582803</v>
      </c>
      <c r="AI1272">
        <v>103.297793658906</v>
      </c>
      <c r="AJ1272">
        <v>84.471782385186103</v>
      </c>
      <c r="AK1272">
        <v>0.59495915067157801</v>
      </c>
      <c r="AL1272">
        <v>81.337147737067397</v>
      </c>
      <c r="AM1272">
        <v>86.635197278647198</v>
      </c>
      <c r="AN1272">
        <v>1.00000001214343</v>
      </c>
    </row>
    <row r="1273" spans="1:40" x14ac:dyDescent="0.25">
      <c r="A1273" t="str">
        <f>"20190303162526128"</f>
        <v>20190303162526128</v>
      </c>
      <c r="B1273" t="str">
        <f>"1551601526123939"</f>
        <v>1551601526123939</v>
      </c>
      <c r="C1273" t="s">
        <v>40</v>
      </c>
      <c r="D1273">
        <v>5.2494489999999896</v>
      </c>
      <c r="E1273">
        <v>0.51180820000000005</v>
      </c>
      <c r="F1273" t="s">
        <v>42</v>
      </c>
      <c r="G1273">
        <v>-227.36340000000001</v>
      </c>
      <c r="H1273">
        <v>0.91283040000000004</v>
      </c>
      <c r="I1273">
        <v>283.89089999999999</v>
      </c>
      <c r="J1273">
        <v>-226.82210000000001</v>
      </c>
      <c r="K1273">
        <v>1.120838</v>
      </c>
      <c r="L1273">
        <v>283.86200000000002</v>
      </c>
      <c r="M1273">
        <v>-0.9983822</v>
      </c>
      <c r="N1273">
        <v>-1.3979699999999999E-2</v>
      </c>
      <c r="O1273">
        <v>-5.5116489999999997E-2</v>
      </c>
      <c r="P1273">
        <v>-0.99087270000000005</v>
      </c>
      <c r="Q1273">
        <v>0.1347669</v>
      </c>
      <c r="R1273">
        <v>3.1081099999999999E-3</v>
      </c>
      <c r="S1273">
        <v>-3.1399840000000001</v>
      </c>
      <c r="T1273">
        <v>-0.80811719999999998</v>
      </c>
      <c r="U1273">
        <v>5.6304930000000003E-2</v>
      </c>
      <c r="V1273">
        <v>5.7828329999999997E-2</v>
      </c>
      <c r="W1273">
        <v>0.14854120000000001</v>
      </c>
      <c r="X1273">
        <v>0.98721400000000004</v>
      </c>
      <c r="Y1273">
        <v>6.9034100000000001E-2</v>
      </c>
      <c r="Z1273">
        <v>2.2424880000000001E-2</v>
      </c>
      <c r="AA1273">
        <v>0.99736230000000003</v>
      </c>
      <c r="AB1273">
        <v>26</v>
      </c>
      <c r="AC1273">
        <v>-0.541300000000006</v>
      </c>
      <c r="AD1273">
        <v>-0.20800759999999999</v>
      </c>
      <c r="AE1273">
        <v>2.88999999999646E-2</v>
      </c>
      <c r="AF1273">
        <v>5.11603291887677E-2</v>
      </c>
      <c r="AG1273">
        <v>-0.20800759999999999</v>
      </c>
      <c r="AH1273">
        <v>0.46971929392323702</v>
      </c>
      <c r="AI1273">
        <v>113.760550599929</v>
      </c>
      <c r="AJ1273">
        <v>83.784028694288907</v>
      </c>
      <c r="AK1273">
        <v>0.51625648279145897</v>
      </c>
      <c r="AL1273">
        <v>81.457603944322102</v>
      </c>
      <c r="AM1273">
        <v>86.647598834502702</v>
      </c>
      <c r="AN1273">
        <v>1.0000000428220099</v>
      </c>
    </row>
    <row r="1274" spans="1:40" x14ac:dyDescent="0.25">
      <c r="A1274" t="str">
        <f>"20190303162526151"</f>
        <v>20190303162526151</v>
      </c>
      <c r="B1274" t="str">
        <f>"1551601526144435"</f>
        <v>1551601526144435</v>
      </c>
      <c r="C1274" t="s">
        <v>40</v>
      </c>
      <c r="D1274">
        <v>5.2443059999999999</v>
      </c>
      <c r="E1274">
        <v>0.51171899999999904</v>
      </c>
      <c r="F1274" t="s">
        <v>42</v>
      </c>
      <c r="G1274">
        <v>-227.58320000000001</v>
      </c>
      <c r="H1274">
        <v>0.87799169999999904</v>
      </c>
      <c r="I1274">
        <v>283.87419999999997</v>
      </c>
      <c r="J1274">
        <v>-227.0872</v>
      </c>
      <c r="K1274">
        <v>1.1208309999999999</v>
      </c>
      <c r="L1274">
        <v>283.84780000000001</v>
      </c>
      <c r="M1274">
        <v>-0.99840359999999995</v>
      </c>
      <c r="N1274">
        <v>-1.3975990000000001E-2</v>
      </c>
      <c r="O1274">
        <v>-5.4728249999999999E-2</v>
      </c>
      <c r="P1274">
        <v>-0.9911046</v>
      </c>
      <c r="Q1274">
        <v>0.13305790000000001</v>
      </c>
      <c r="R1274">
        <v>2.6854299999999999E-3</v>
      </c>
      <c r="S1274">
        <v>-3.164841</v>
      </c>
      <c r="T1274">
        <v>-1.0098339999999999</v>
      </c>
      <c r="U1274">
        <v>4.9865720000000002E-2</v>
      </c>
      <c r="V1274">
        <v>5.7032289999999999E-2</v>
      </c>
      <c r="W1274">
        <v>0.14683309999999999</v>
      </c>
      <c r="X1274">
        <v>0.9875157</v>
      </c>
      <c r="Y1274">
        <v>6.4616900000000005E-2</v>
      </c>
      <c r="Z1274">
        <v>2.6807919999999999E-2</v>
      </c>
      <c r="AA1274">
        <v>0.99755000000000005</v>
      </c>
      <c r="AB1274">
        <v>26</v>
      </c>
      <c r="AC1274">
        <v>-0.49600000000000899</v>
      </c>
      <c r="AD1274">
        <v>-0.24283930000000001</v>
      </c>
      <c r="AE1274">
        <v>2.6399999999966801E-2</v>
      </c>
      <c r="AF1274">
        <v>4.3185749399997697E-2</v>
      </c>
      <c r="AG1274">
        <v>-0.24283930000000001</v>
      </c>
      <c r="AH1274">
        <v>0.39854800666465001</v>
      </c>
      <c r="AI1274">
        <v>121.205978665589</v>
      </c>
      <c r="AJ1274">
        <v>83.815689348650196</v>
      </c>
      <c r="AK1274">
        <v>0.46869654168992497</v>
      </c>
      <c r="AL1274">
        <v>81.556555176003499</v>
      </c>
      <c r="AM1274">
        <v>86.694651356398893</v>
      </c>
      <c r="AN1274">
        <v>0.99999994955237004</v>
      </c>
    </row>
    <row r="1275" spans="1:40" x14ac:dyDescent="0.25">
      <c r="A1275" t="str">
        <f>"20190303162526173"</f>
        <v>20190303162526173</v>
      </c>
      <c r="B1275" t="str">
        <f>"1551601526163955"</f>
        <v>1551601526163955</v>
      </c>
      <c r="C1275" t="s">
        <v>40</v>
      </c>
      <c r="D1275">
        <v>5.2440379999999998</v>
      </c>
      <c r="E1275">
        <v>0.51124970000000003</v>
      </c>
      <c r="F1275" t="s">
        <v>42</v>
      </c>
      <c r="G1275">
        <v>-227.81739999999999</v>
      </c>
      <c r="H1275">
        <v>0.87700359999999999</v>
      </c>
      <c r="I1275">
        <v>283.85879999999997</v>
      </c>
      <c r="J1275">
        <v>-227.34829999999999</v>
      </c>
      <c r="K1275">
        <v>1.1208180000000001</v>
      </c>
      <c r="L1275">
        <v>283.834</v>
      </c>
      <c r="M1275">
        <v>-0.9984246</v>
      </c>
      <c r="N1275">
        <v>-1.3972460000000001E-2</v>
      </c>
      <c r="O1275">
        <v>-5.4346079999999998E-2</v>
      </c>
      <c r="P1275">
        <v>-0.99131999999999998</v>
      </c>
      <c r="Q1275">
        <v>0.13145379999999901</v>
      </c>
      <c r="R1275">
        <v>2.2722350000000001E-3</v>
      </c>
      <c r="S1275">
        <v>-3.1688540000000001</v>
      </c>
      <c r="T1275">
        <v>-1.058171</v>
      </c>
      <c r="U1275">
        <v>4.79126E-2</v>
      </c>
      <c r="V1275">
        <v>5.6251269999999999E-2</v>
      </c>
      <c r="W1275">
        <v>0.1452302</v>
      </c>
      <c r="X1275">
        <v>0.98779760000000005</v>
      </c>
      <c r="Y1275">
        <v>6.3155680000000006E-2</v>
      </c>
      <c r="Z1275">
        <v>2.7641010000000001E-2</v>
      </c>
      <c r="AA1275">
        <v>0.99762079999999997</v>
      </c>
      <c r="AB1275">
        <v>26</v>
      </c>
      <c r="AC1275">
        <v>-0.46909999999999702</v>
      </c>
      <c r="AD1275">
        <v>-0.24381439999999999</v>
      </c>
      <c r="AE1275">
        <v>2.4799999999970599E-2</v>
      </c>
      <c r="AF1275">
        <v>3.9593595257555798E-2</v>
      </c>
      <c r="AG1275">
        <v>-0.24381439999999999</v>
      </c>
      <c r="AH1275">
        <v>0.367940516190841</v>
      </c>
      <c r="AI1275">
        <v>123.378595719957</v>
      </c>
      <c r="AJ1275">
        <v>83.858110656602193</v>
      </c>
      <c r="AK1275">
        <v>0.443162879636327</v>
      </c>
      <c r="AL1275">
        <v>81.649390698648901</v>
      </c>
      <c r="AM1275">
        <v>86.740746027102503</v>
      </c>
      <c r="AN1275">
        <v>1.0000000574672001</v>
      </c>
    </row>
    <row r="1276" spans="1:40" x14ac:dyDescent="0.25">
      <c r="A1276" t="str">
        <f>"20190303162526196"</f>
        <v>20190303162526196</v>
      </c>
      <c r="B1276" t="str">
        <f>"1551601526184450"</f>
        <v>1551601526184450</v>
      </c>
      <c r="C1276" t="s">
        <v>40</v>
      </c>
      <c r="D1276">
        <v>5.2247879999999904</v>
      </c>
      <c r="E1276">
        <v>0.51082229999999995</v>
      </c>
      <c r="F1276" t="s">
        <v>42</v>
      </c>
      <c r="G1276">
        <v>-228.05289999999999</v>
      </c>
      <c r="H1276">
        <v>0.87992739999999903</v>
      </c>
      <c r="I1276">
        <v>283.84300000000002</v>
      </c>
      <c r="J1276">
        <v>-227.61250000000001</v>
      </c>
      <c r="K1276">
        <v>1.1208049999999901</v>
      </c>
      <c r="L1276">
        <v>283.82</v>
      </c>
      <c r="M1276">
        <v>-0.99844540000000004</v>
      </c>
      <c r="N1276">
        <v>-1.396905E-2</v>
      </c>
      <c r="O1276">
        <v>-5.3959010000000002E-2</v>
      </c>
      <c r="P1276">
        <v>-0.99150150000000004</v>
      </c>
      <c r="Q1276">
        <v>0.1300926</v>
      </c>
      <c r="R1276">
        <v>9.4306770000000004E-4</v>
      </c>
      <c r="S1276">
        <v>-3.1698909999999998</v>
      </c>
      <c r="T1276">
        <v>-1.0836520000000001</v>
      </c>
      <c r="U1276">
        <v>3.9978029999999998E-2</v>
      </c>
      <c r="V1276">
        <v>5.4548960000000001E-2</v>
      </c>
      <c r="W1276">
        <v>0.14387130000000001</v>
      </c>
      <c r="X1276">
        <v>0.98809179999999996</v>
      </c>
      <c r="Y1276">
        <v>6.0167850000000002E-2</v>
      </c>
      <c r="Z1276">
        <v>2.7629190000000001E-2</v>
      </c>
      <c r="AA1276">
        <v>0.99780579999999996</v>
      </c>
      <c r="AB1276">
        <v>26</v>
      </c>
      <c r="AC1276">
        <v>-0.44039999999998197</v>
      </c>
      <c r="AD1276">
        <v>-0.240877599999999</v>
      </c>
      <c r="AE1276">
        <v>2.3000000000024501E-2</v>
      </c>
      <c r="AF1276">
        <v>3.5993853316790302E-2</v>
      </c>
      <c r="AG1276">
        <v>-0.240877599999999</v>
      </c>
      <c r="AH1276">
        <v>0.337751449029974</v>
      </c>
      <c r="AI1276">
        <v>125.34291083545</v>
      </c>
      <c r="AJ1276">
        <v>83.917001626786003</v>
      </c>
      <c r="AK1276">
        <v>0.41640559191754101</v>
      </c>
      <c r="AL1276">
        <v>81.728075633322604</v>
      </c>
      <c r="AM1276">
        <v>86.840115651095701</v>
      </c>
      <c r="AN1276">
        <v>0.99999997261400497</v>
      </c>
    </row>
    <row r="1277" spans="1:40" x14ac:dyDescent="0.25">
      <c r="A1277" t="str">
        <f>"20190303162526217"</f>
        <v>20190303162526217</v>
      </c>
      <c r="B1277" t="str">
        <f>"1551601526213731"</f>
        <v>1551601526213731</v>
      </c>
      <c r="C1277" t="s">
        <v>40</v>
      </c>
      <c r="D1277">
        <v>5.2206679999999999</v>
      </c>
      <c r="E1277">
        <v>0.51019369999999997</v>
      </c>
      <c r="F1277" t="s">
        <v>42</v>
      </c>
      <c r="G1277">
        <v>-228.28980000000001</v>
      </c>
      <c r="H1277">
        <v>0.88639159999999995</v>
      </c>
      <c r="I1277">
        <v>283.82639999999998</v>
      </c>
      <c r="J1277">
        <v>-227.8553</v>
      </c>
      <c r="K1277">
        <v>1.1207990000000001</v>
      </c>
      <c r="L1277">
        <v>283.8073</v>
      </c>
      <c r="M1277">
        <v>-0.99846480000000004</v>
      </c>
      <c r="N1277">
        <v>-1.396595E-2</v>
      </c>
      <c r="O1277">
        <v>-5.3603419999999999E-2</v>
      </c>
      <c r="P1277">
        <v>-0.99156390000000005</v>
      </c>
      <c r="Q1277">
        <v>0.12960070000000001</v>
      </c>
      <c r="R1277">
        <v>-2.234102E-3</v>
      </c>
      <c r="S1277">
        <v>-3.169632</v>
      </c>
      <c r="T1277">
        <v>-1.097027</v>
      </c>
      <c r="U1277">
        <v>2.972412E-2</v>
      </c>
      <c r="V1277">
        <v>5.1026349999999998E-2</v>
      </c>
      <c r="W1277">
        <v>0.14338190000000001</v>
      </c>
      <c r="X1277">
        <v>0.98835110000000004</v>
      </c>
      <c r="Y1277">
        <v>5.6660700000000001E-2</v>
      </c>
      <c r="Z1277">
        <v>2.7228499999999999E-2</v>
      </c>
      <c r="AA1277">
        <v>0.99802210000000002</v>
      </c>
      <c r="AB1277">
        <v>26</v>
      </c>
      <c r="AC1277">
        <v>-0.43450000000001399</v>
      </c>
      <c r="AD1277">
        <v>-0.23440739999999999</v>
      </c>
      <c r="AE1277">
        <v>1.9099999999980299E-2</v>
      </c>
      <c r="AF1277">
        <v>3.2829104872782698E-2</v>
      </c>
      <c r="AG1277">
        <v>-0.23440739999999999</v>
      </c>
      <c r="AH1277">
        <v>0.33541734960396602</v>
      </c>
      <c r="AI1277">
        <v>124.819749781222</v>
      </c>
      <c r="AJ1277">
        <v>84.409957806608503</v>
      </c>
      <c r="AK1277">
        <v>0.41052329741058202</v>
      </c>
      <c r="AL1277">
        <v>81.756409999116201</v>
      </c>
      <c r="AM1277">
        <v>87.044571403491602</v>
      </c>
      <c r="AN1277">
        <v>0.99999997725657097</v>
      </c>
    </row>
    <row r="1278" spans="1:40" x14ac:dyDescent="0.25">
      <c r="A1278" t="str">
        <f>"20190303162526241"</f>
        <v>20190303162526241</v>
      </c>
      <c r="B1278" t="str">
        <f>"1551601526234226"</f>
        <v>1551601526234226</v>
      </c>
      <c r="C1278" t="s">
        <v>40</v>
      </c>
      <c r="D1278">
        <v>5.2625580000000003</v>
      </c>
      <c r="E1278">
        <v>0.51040569999999996</v>
      </c>
      <c r="F1278" t="s">
        <v>42</v>
      </c>
      <c r="G1278">
        <v>-228.52420000000001</v>
      </c>
      <c r="H1278">
        <v>0.88765720000000004</v>
      </c>
      <c r="I1278">
        <v>283.81099999999998</v>
      </c>
      <c r="J1278">
        <v>-228.13579999999999</v>
      </c>
      <c r="K1278">
        <v>1.1207990000000001</v>
      </c>
      <c r="L1278">
        <v>283.79270000000002</v>
      </c>
      <c r="M1278">
        <v>-0.99848669999999995</v>
      </c>
      <c r="N1278">
        <v>-1.396242E-2</v>
      </c>
      <c r="O1278">
        <v>-5.319227E-2</v>
      </c>
      <c r="P1278">
        <v>-0.99148769999999997</v>
      </c>
      <c r="Q1278">
        <v>0.1300617</v>
      </c>
      <c r="R1278">
        <v>-6.0230269999999898E-3</v>
      </c>
      <c r="S1278">
        <v>-3.1699679999999999</v>
      </c>
      <c r="T1278">
        <v>-1.104808</v>
      </c>
      <c r="U1278">
        <v>1.663208E-2</v>
      </c>
      <c r="V1278">
        <v>4.6831249999999998E-2</v>
      </c>
      <c r="W1278">
        <v>0.1438449</v>
      </c>
      <c r="X1278">
        <v>0.98849149999999997</v>
      </c>
      <c r="Y1278">
        <v>5.232842E-2</v>
      </c>
      <c r="Z1278">
        <v>2.651274E-2</v>
      </c>
      <c r="AA1278">
        <v>0.99827790000000005</v>
      </c>
      <c r="AB1278">
        <v>26</v>
      </c>
      <c r="AC1278">
        <v>-0.38840000000001801</v>
      </c>
      <c r="AD1278">
        <v>-0.23314179999999901</v>
      </c>
      <c r="AE1278">
        <v>1.8299999999953801E-2</v>
      </c>
      <c r="AF1278">
        <v>2.8639578255819399E-2</v>
      </c>
      <c r="AG1278">
        <v>-0.23314179999999901</v>
      </c>
      <c r="AH1278">
        <v>0.28456920003893998</v>
      </c>
      <c r="AI1278">
        <v>129.185607858943</v>
      </c>
      <c r="AJ1278">
        <v>84.252996499835405</v>
      </c>
      <c r="AK1278">
        <v>0.36899180744389598</v>
      </c>
      <c r="AL1278">
        <v>81.729604230831598</v>
      </c>
      <c r="AM1278">
        <v>87.287555694390903</v>
      </c>
      <c r="AN1278">
        <v>0.99999998340241103</v>
      </c>
    </row>
    <row r="1279" spans="1:40" x14ac:dyDescent="0.25">
      <c r="A1279" t="str">
        <f>"20190303162526264"</f>
        <v>20190303162526264</v>
      </c>
      <c r="B1279" t="str">
        <f>"1551601526253747"</f>
        <v>1551601526253747</v>
      </c>
      <c r="C1279" t="s">
        <v>40</v>
      </c>
      <c r="D1279">
        <v>5.2470429999999997</v>
      </c>
      <c r="E1279">
        <v>0.51058899999999996</v>
      </c>
      <c r="F1279" t="s">
        <v>42</v>
      </c>
      <c r="G1279">
        <v>-228.96850000000001</v>
      </c>
      <c r="H1279">
        <v>0.83182069999999997</v>
      </c>
      <c r="I1279">
        <v>283.79500000000002</v>
      </c>
      <c r="J1279">
        <v>-228.41069999999999</v>
      </c>
      <c r="K1279">
        <v>1.1208020000000001</v>
      </c>
      <c r="L1279">
        <v>283.77859999999998</v>
      </c>
      <c r="M1279">
        <v>-0.99850830000000002</v>
      </c>
      <c r="N1279">
        <v>-1.3959050000000001E-2</v>
      </c>
      <c r="O1279">
        <v>-5.2788759999999997E-2</v>
      </c>
      <c r="P1279">
        <v>-0.99140790000000001</v>
      </c>
      <c r="Q1279">
        <v>0.13053439999999999</v>
      </c>
      <c r="R1279">
        <v>-8.4593250000000002E-3</v>
      </c>
      <c r="S1279">
        <v>-3.1701510000000002</v>
      </c>
      <c r="T1279">
        <v>-1.100231</v>
      </c>
      <c r="U1279">
        <v>8.3923339999999996E-3</v>
      </c>
      <c r="V1279">
        <v>4.3993730000000002E-2</v>
      </c>
      <c r="W1279">
        <v>0.14431720000000001</v>
      </c>
      <c r="X1279">
        <v>0.98855300000000002</v>
      </c>
      <c r="Y1279">
        <v>4.9570089999999997E-2</v>
      </c>
      <c r="Z1279">
        <v>2.5790509999999999E-2</v>
      </c>
      <c r="AA1279">
        <v>0.99843760000000004</v>
      </c>
      <c r="AB1279">
        <v>26</v>
      </c>
      <c r="AC1279">
        <v>-0.55780000000001395</v>
      </c>
      <c r="AD1279">
        <v>-0.2889813</v>
      </c>
      <c r="AE1279">
        <v>1.6400000000032802E-2</v>
      </c>
      <c r="AF1279">
        <v>3.6135242387996501E-2</v>
      </c>
      <c r="AG1279">
        <v>-0.2889813</v>
      </c>
      <c r="AH1279">
        <v>0.43855090226211202</v>
      </c>
      <c r="AI1279">
        <v>123.29371899358701</v>
      </c>
      <c r="AJ1279">
        <v>85.289645096371501</v>
      </c>
      <c r="AK1279">
        <v>0.52644357852199297</v>
      </c>
      <c r="AL1279">
        <v>81.702257973477799</v>
      </c>
      <c r="AM1279">
        <v>87.451838242183399</v>
      </c>
      <c r="AN1279">
        <v>0.99999996815207504</v>
      </c>
    </row>
    <row r="1280" spans="1:40" x14ac:dyDescent="0.25">
      <c r="A1280" t="str">
        <f>"20190303162526287"</f>
        <v>20190303162526287</v>
      </c>
      <c r="B1280" t="str">
        <f>"1551601526284003"</f>
        <v>1551601526284003</v>
      </c>
      <c r="C1280" t="s">
        <v>40</v>
      </c>
      <c r="D1280">
        <v>5.2620430000000002</v>
      </c>
      <c r="E1280">
        <v>0.51121620000000001</v>
      </c>
      <c r="F1280" t="s">
        <v>42</v>
      </c>
      <c r="G1280">
        <v>-229.20670000000001</v>
      </c>
      <c r="H1280">
        <v>0.84553480000000003</v>
      </c>
      <c r="I1280">
        <v>283.77890000000002</v>
      </c>
      <c r="J1280">
        <v>-228.68100000000001</v>
      </c>
      <c r="K1280">
        <v>1.1208049999999901</v>
      </c>
      <c r="L1280">
        <v>283.76479999999998</v>
      </c>
      <c r="M1280">
        <v>-0.99852920000000001</v>
      </c>
      <c r="N1280">
        <v>-1.3955759999999999E-2</v>
      </c>
      <c r="O1280">
        <v>-5.2390970000000002E-2</v>
      </c>
      <c r="P1280">
        <v>-0.99121009999999998</v>
      </c>
      <c r="Q1280">
        <v>0.1319874</v>
      </c>
      <c r="R1280">
        <v>-9.0507599999999997E-3</v>
      </c>
      <c r="S1280">
        <v>-3.1703489999999999</v>
      </c>
      <c r="T1280">
        <v>-1.0962719999999999</v>
      </c>
      <c r="U1280">
        <v>9.1552729999999996E-4</v>
      </c>
      <c r="V1280">
        <v>4.2998910000000001E-2</v>
      </c>
      <c r="W1280">
        <v>0.14576510000000001</v>
      </c>
      <c r="X1280">
        <v>0.98838440000000005</v>
      </c>
      <c r="Y1280">
        <v>4.7034380000000001E-2</v>
      </c>
      <c r="Z1280">
        <v>2.5127300000000002E-2</v>
      </c>
      <c r="AA1280">
        <v>0.99857720000000005</v>
      </c>
      <c r="AB1280">
        <v>26</v>
      </c>
      <c r="AC1280">
        <v>-0.52570000000002803</v>
      </c>
      <c r="AD1280">
        <v>-0.27527019999999902</v>
      </c>
      <c r="AE1280">
        <v>1.4100000000041701E-2</v>
      </c>
      <c r="AF1280">
        <v>3.2673207739048901E-2</v>
      </c>
      <c r="AG1280">
        <v>-0.27527019999999902</v>
      </c>
      <c r="AH1280">
        <v>0.41149482686004302</v>
      </c>
      <c r="AI1280">
        <v>123.69745737255001</v>
      </c>
      <c r="AJ1280">
        <v>85.460167475592002</v>
      </c>
      <c r="AK1280">
        <v>0.49615442560212603</v>
      </c>
      <c r="AL1280">
        <v>81.618413453825994</v>
      </c>
      <c r="AM1280">
        <v>87.508961518016804</v>
      </c>
      <c r="AN1280">
        <v>1.0000000464012699</v>
      </c>
    </row>
    <row r="1281" spans="1:40" x14ac:dyDescent="0.25">
      <c r="A1281" t="str">
        <f>"20190303162526308"</f>
        <v>20190303162526308</v>
      </c>
      <c r="B1281" t="str">
        <f>"1551601526304499"</f>
        <v>1551601526304499</v>
      </c>
      <c r="C1281" t="s">
        <v>40</v>
      </c>
      <c r="D1281">
        <v>5.2289820000000002</v>
      </c>
      <c r="E1281">
        <v>0.53099300000000005</v>
      </c>
      <c r="F1281" t="s">
        <v>42</v>
      </c>
      <c r="G1281">
        <v>-229.4444</v>
      </c>
      <c r="H1281">
        <v>0.85818609999999995</v>
      </c>
      <c r="I1281">
        <v>283.76560000000001</v>
      </c>
      <c r="J1281">
        <v>-228.91560000000001</v>
      </c>
      <c r="K1281">
        <v>1.120814</v>
      </c>
      <c r="L1281">
        <v>283.75279999999998</v>
      </c>
      <c r="M1281">
        <v>-0.99854719999999997</v>
      </c>
      <c r="N1281">
        <v>-1.3952859999999999E-2</v>
      </c>
      <c r="O1281">
        <v>-5.204611E-2</v>
      </c>
      <c r="P1281">
        <v>-0.99099590000000004</v>
      </c>
      <c r="Q1281">
        <v>0.13366220000000001</v>
      </c>
      <c r="R1281">
        <v>-7.8431279999999996E-3</v>
      </c>
      <c r="S1281">
        <v>-3.1719210000000002</v>
      </c>
      <c r="T1281">
        <v>-1.091118</v>
      </c>
      <c r="U1281">
        <v>2.8381349999999999E-3</v>
      </c>
      <c r="V1281">
        <v>4.3852670000000003E-2</v>
      </c>
      <c r="W1281">
        <v>0.14743299999999901</v>
      </c>
      <c r="X1281">
        <v>0.98809939999999996</v>
      </c>
      <c r="Y1281">
        <v>4.7351400000000002E-2</v>
      </c>
      <c r="Z1281">
        <v>2.4946690000000001E-2</v>
      </c>
      <c r="AA1281">
        <v>0.99856670000000003</v>
      </c>
      <c r="AB1281">
        <v>26</v>
      </c>
      <c r="AC1281">
        <v>-0.52879999999998895</v>
      </c>
      <c r="AD1281">
        <v>-0.26262790000000003</v>
      </c>
      <c r="AE1281">
        <v>1.2800000000027E-2</v>
      </c>
      <c r="AF1281">
        <v>3.2335985548572498E-2</v>
      </c>
      <c r="AG1281">
        <v>-0.26262790000000003</v>
      </c>
      <c r="AH1281">
        <v>0.42311295992924203</v>
      </c>
      <c r="AI1281">
        <v>121.753333328005</v>
      </c>
      <c r="AJ1281">
        <v>85.629722428970496</v>
      </c>
      <c r="AK1281">
        <v>0.49904269023791098</v>
      </c>
      <c r="AL1281">
        <v>81.521805546526807</v>
      </c>
      <c r="AM1281">
        <v>87.458833370630103</v>
      </c>
      <c r="AN1281">
        <v>0.99999998521774403</v>
      </c>
    </row>
    <row r="1282" spans="1:40" x14ac:dyDescent="0.25">
      <c r="A1282" t="str">
        <f>"20190303162526330"</f>
        <v>20190303162526330</v>
      </c>
      <c r="B1282" t="str">
        <f>"1551601526324019"</f>
        <v>1551601526324019</v>
      </c>
      <c r="C1282" t="s">
        <v>40</v>
      </c>
      <c r="D1282">
        <v>5.1900599999999999</v>
      </c>
      <c r="E1282">
        <v>0.53176129999999999</v>
      </c>
      <c r="F1282" t="s">
        <v>42</v>
      </c>
      <c r="G1282">
        <v>-229.6823</v>
      </c>
      <c r="H1282">
        <v>0.866729999999999</v>
      </c>
      <c r="I1282">
        <v>283.79230000000001</v>
      </c>
      <c r="J1282">
        <v>-229.1808</v>
      </c>
      <c r="K1282">
        <v>1.120833</v>
      </c>
      <c r="L1282">
        <v>283.73950000000002</v>
      </c>
      <c r="M1282">
        <v>-0.9985676</v>
      </c>
      <c r="N1282">
        <v>-1.3949710000000001E-2</v>
      </c>
      <c r="O1282">
        <v>-5.1655710000000001E-2</v>
      </c>
      <c r="P1282">
        <v>-0.99073359999999999</v>
      </c>
      <c r="Q1282">
        <v>0.1356986</v>
      </c>
      <c r="R1282">
        <v>-5.772045E-3</v>
      </c>
      <c r="S1282">
        <v>-3.170258</v>
      </c>
      <c r="T1282">
        <v>-1.0505960000000001</v>
      </c>
      <c r="U1282">
        <v>0.1635132</v>
      </c>
      <c r="V1282">
        <v>4.552146E-2</v>
      </c>
      <c r="W1282">
        <v>0.14946019999999999</v>
      </c>
      <c r="X1282">
        <v>0.98771929999999997</v>
      </c>
      <c r="Y1282">
        <v>9.5196840000000005E-2</v>
      </c>
      <c r="Z1282">
        <v>3.1995620000000002E-2</v>
      </c>
      <c r="AA1282">
        <v>0.99494419999999995</v>
      </c>
      <c r="AB1282">
        <v>26</v>
      </c>
      <c r="AC1282">
        <v>-0.50149999999999295</v>
      </c>
      <c r="AD1282">
        <v>-0.25410300000000002</v>
      </c>
      <c r="AE1282">
        <v>5.2799999999990598E-2</v>
      </c>
      <c r="AF1282">
        <v>6.2713411575353095E-2</v>
      </c>
      <c r="AG1282">
        <v>-0.25410300000000002</v>
      </c>
      <c r="AH1282">
        <v>0.397237644185224</v>
      </c>
      <c r="AI1282">
        <v>122.286717640278</v>
      </c>
      <c r="AJ1282">
        <v>81.028544479921493</v>
      </c>
      <c r="AK1282">
        <v>0.47570899987097798</v>
      </c>
      <c r="AL1282">
        <v>81.404354207314398</v>
      </c>
      <c r="AM1282">
        <v>87.361251073511497</v>
      </c>
      <c r="AN1282">
        <v>0.99999998514852995</v>
      </c>
    </row>
    <row r="1283" spans="1:40" x14ac:dyDescent="0.25">
      <c r="A1283" t="str">
        <f>"20190303162526352"</f>
        <v>20190303162526352</v>
      </c>
      <c r="B1283" t="str">
        <f>"1551601526344516"</f>
        <v>1551601526344516</v>
      </c>
      <c r="C1283" t="s">
        <v>40</v>
      </c>
      <c r="D1283">
        <v>5.1633500000000003</v>
      </c>
      <c r="E1283">
        <v>0.53120919999999905</v>
      </c>
      <c r="F1283" t="s">
        <v>42</v>
      </c>
      <c r="G1283">
        <v>-229.9187</v>
      </c>
      <c r="H1283">
        <v>0.87745110000000004</v>
      </c>
      <c r="I1283">
        <v>283.78059999999999</v>
      </c>
      <c r="J1283">
        <v>-229.4342</v>
      </c>
      <c r="K1283">
        <v>1.1208469999999999</v>
      </c>
      <c r="L1283">
        <v>283.72680000000003</v>
      </c>
      <c r="M1283">
        <v>-0.9985868</v>
      </c>
      <c r="N1283">
        <v>-1.394696E-2</v>
      </c>
      <c r="O1283">
        <v>-5.1282479999999998E-2</v>
      </c>
      <c r="P1283">
        <v>-0.99028959999999999</v>
      </c>
      <c r="Q1283">
        <v>0.13896449999999999</v>
      </c>
      <c r="R1283">
        <v>-3.9354339999999998E-3</v>
      </c>
      <c r="S1283">
        <v>-3.172409</v>
      </c>
      <c r="T1283">
        <v>-1.0463089999999999</v>
      </c>
      <c r="U1283">
        <v>0.1765137</v>
      </c>
      <c r="V1283">
        <v>4.6964980000000003E-2</v>
      </c>
      <c r="W1283">
        <v>0.1527145</v>
      </c>
      <c r="X1283">
        <v>0.98715379999999997</v>
      </c>
      <c r="Y1283">
        <v>9.8751359999999996E-2</v>
      </c>
      <c r="Z1283">
        <v>3.2329429999999999E-2</v>
      </c>
      <c r="AA1283">
        <v>0.99458679999999999</v>
      </c>
      <c r="AB1283">
        <v>26</v>
      </c>
      <c r="AC1283">
        <v>-0.48449999999999699</v>
      </c>
      <c r="AD1283">
        <v>-0.243395899999999</v>
      </c>
      <c r="AE1283">
        <v>5.3799999999966902E-2</v>
      </c>
      <c r="AF1283">
        <v>6.2897763640071103E-2</v>
      </c>
      <c r="AG1283">
        <v>-0.243395899999999</v>
      </c>
      <c r="AH1283">
        <v>0.38509912542298602</v>
      </c>
      <c r="AI1283">
        <v>121.954646418077</v>
      </c>
      <c r="AJ1283">
        <v>80.723856867018199</v>
      </c>
      <c r="AK1283">
        <v>0.459890236044733</v>
      </c>
      <c r="AL1283">
        <v>81.215731509638999</v>
      </c>
      <c r="AM1283">
        <v>87.276141144294598</v>
      </c>
      <c r="AN1283">
        <v>1.00000002635554</v>
      </c>
    </row>
    <row r="1284" spans="1:40" x14ac:dyDescent="0.25">
      <c r="A1284" t="str">
        <f>"20190303162526375"</f>
        <v>20190303162526375</v>
      </c>
      <c r="B1284" t="str">
        <f>"1551601526365012"</f>
        <v>1551601526365012</v>
      </c>
      <c r="C1284" t="s">
        <v>40</v>
      </c>
      <c r="D1284">
        <v>5.1946789999999998</v>
      </c>
      <c r="E1284">
        <v>0.53058019999999995</v>
      </c>
      <c r="F1284" t="s">
        <v>42</v>
      </c>
      <c r="G1284">
        <v>-230.15369999999999</v>
      </c>
      <c r="H1284">
        <v>0.88538530000000004</v>
      </c>
      <c r="I1284">
        <v>283.76749999999998</v>
      </c>
      <c r="J1284">
        <v>-229.696</v>
      </c>
      <c r="K1284">
        <v>1.120859</v>
      </c>
      <c r="L1284">
        <v>283.71379999999999</v>
      </c>
      <c r="M1284">
        <v>-0.99860669999999996</v>
      </c>
      <c r="N1284">
        <v>-1.394422E-2</v>
      </c>
      <c r="O1284">
        <v>-5.0897570000000003E-2</v>
      </c>
      <c r="P1284">
        <v>-0.98975100000000005</v>
      </c>
      <c r="Q1284">
        <v>0.142781399999999</v>
      </c>
      <c r="R1284">
        <v>-2.5908659999999998E-3</v>
      </c>
      <c r="S1284">
        <v>-3.17598</v>
      </c>
      <c r="T1284">
        <v>-1.0393110000000001</v>
      </c>
      <c r="U1284">
        <v>0.17971799999999999</v>
      </c>
      <c r="V1284">
        <v>4.7901590000000001E-2</v>
      </c>
      <c r="W1284">
        <v>0.15651960000000001</v>
      </c>
      <c r="X1284">
        <v>0.98651250000000001</v>
      </c>
      <c r="Y1284">
        <v>9.9409830000000005E-2</v>
      </c>
      <c r="Z1284">
        <v>3.2080780000000003E-2</v>
      </c>
      <c r="AA1284">
        <v>0.99452929999999995</v>
      </c>
      <c r="AB1284">
        <v>26</v>
      </c>
      <c r="AC1284">
        <v>-0.45769999999998801</v>
      </c>
      <c r="AD1284">
        <v>-0.23547369999999901</v>
      </c>
      <c r="AE1284">
        <v>5.3699999999991997E-2</v>
      </c>
      <c r="AF1284">
        <v>6.1001701269683302E-2</v>
      </c>
      <c r="AG1284">
        <v>-0.23547369999999901</v>
      </c>
      <c r="AH1284">
        <v>0.36030275374135101</v>
      </c>
      <c r="AI1284">
        <v>122.79667223881199</v>
      </c>
      <c r="AJ1284">
        <v>80.390561713492801</v>
      </c>
      <c r="AK1284">
        <v>0.43472651782826199</v>
      </c>
      <c r="AL1284">
        <v>80.995060654247496</v>
      </c>
      <c r="AM1284">
        <v>87.220101107820597</v>
      </c>
      <c r="AN1284">
        <v>0.99999993008246602</v>
      </c>
    </row>
    <row r="1285" spans="1:40" x14ac:dyDescent="0.25">
      <c r="A1285" t="str">
        <f>"20190303162526397"</f>
        <v>20190303162526397</v>
      </c>
      <c r="B1285" t="str">
        <f>"1551601526384531"</f>
        <v>1551601526384531</v>
      </c>
      <c r="C1285" t="s">
        <v>40</v>
      </c>
      <c r="D1285">
        <v>5.1808990000000001</v>
      </c>
      <c r="E1285">
        <v>0.53012309999999996</v>
      </c>
      <c r="F1285" t="s">
        <v>42</v>
      </c>
      <c r="G1285">
        <v>-230.38980000000001</v>
      </c>
      <c r="H1285">
        <v>0.8969395</v>
      </c>
      <c r="I1285">
        <v>283.75369999999998</v>
      </c>
      <c r="J1285">
        <v>-229.94300000000001</v>
      </c>
      <c r="K1285">
        <v>1.1208849999999999</v>
      </c>
      <c r="L1285">
        <v>283.70159999999998</v>
      </c>
      <c r="M1285">
        <v>-0.99862510000000004</v>
      </c>
      <c r="N1285">
        <v>-1.39416E-2</v>
      </c>
      <c r="O1285">
        <v>-5.053494E-2</v>
      </c>
      <c r="P1285">
        <v>-0.98926069999999999</v>
      </c>
      <c r="Q1285">
        <v>0.146146</v>
      </c>
      <c r="R1285">
        <v>-2.2036339999999999E-3</v>
      </c>
      <c r="S1285">
        <v>-3.1795960000000001</v>
      </c>
      <c r="T1285">
        <v>-1.0260609999999999</v>
      </c>
      <c r="U1285">
        <v>0.18173220000000001</v>
      </c>
      <c r="V1285">
        <v>4.7906539999999997E-2</v>
      </c>
      <c r="W1285">
        <v>0.15987479999999901</v>
      </c>
      <c r="X1285">
        <v>0.98597409999999996</v>
      </c>
      <c r="Y1285">
        <v>9.9819069999999996E-2</v>
      </c>
      <c r="Z1285">
        <v>3.1614499999999997E-2</v>
      </c>
      <c r="AA1285">
        <v>0.99450329999999998</v>
      </c>
      <c r="AB1285">
        <v>26</v>
      </c>
      <c r="AC1285">
        <v>-0.44680000000002401</v>
      </c>
      <c r="AD1285">
        <v>-0.22394549999999999</v>
      </c>
      <c r="AE1285">
        <v>5.2099999999995802E-2</v>
      </c>
      <c r="AF1285">
        <v>5.9794433748725798E-2</v>
      </c>
      <c r="AG1285">
        <v>-0.22394549999999999</v>
      </c>
      <c r="AH1285">
        <v>0.35548749141643998</v>
      </c>
      <c r="AI1285">
        <v>121.850218644957</v>
      </c>
      <c r="AJ1285">
        <v>80.451994650451894</v>
      </c>
      <c r="AK1285">
        <v>0.42437992156926402</v>
      </c>
      <c r="AL1285">
        <v>80.800370358450394</v>
      </c>
      <c r="AM1285">
        <v>87.218298530960595</v>
      </c>
      <c r="AN1285">
        <v>0.99999995706030897</v>
      </c>
    </row>
    <row r="1286" spans="1:40" x14ac:dyDescent="0.25">
      <c r="A1286" t="str">
        <f>"20190303162526419"</f>
        <v>20190303162526419</v>
      </c>
      <c r="B1286" t="str">
        <f>"1551601526413811"</f>
        <v>1551601526413811</v>
      </c>
      <c r="C1286" t="s">
        <v>40</v>
      </c>
      <c r="D1286">
        <v>5.1329089999999997</v>
      </c>
      <c r="E1286">
        <v>0.52941479999999996</v>
      </c>
      <c r="F1286" t="s">
        <v>42</v>
      </c>
      <c r="G1286">
        <v>-230.62389999999999</v>
      </c>
      <c r="H1286">
        <v>0.90366590000000002</v>
      </c>
      <c r="I1286">
        <v>283.74090000000001</v>
      </c>
      <c r="J1286">
        <v>-230.20490000000001</v>
      </c>
      <c r="K1286">
        <v>1.1208910000000001</v>
      </c>
      <c r="L1286">
        <v>283.68869999999998</v>
      </c>
      <c r="M1286">
        <v>-0.99864459999999999</v>
      </c>
      <c r="N1286">
        <v>-1.393837E-2</v>
      </c>
      <c r="O1286">
        <v>-5.0150609999999998E-2</v>
      </c>
      <c r="P1286">
        <v>-0.98893540000000002</v>
      </c>
      <c r="Q1286">
        <v>0.14833379999999999</v>
      </c>
      <c r="R1286">
        <v>-2.059777E-3</v>
      </c>
      <c r="S1286">
        <v>-3.1829679999999998</v>
      </c>
      <c r="T1286">
        <v>-1.0153760000000001</v>
      </c>
      <c r="U1286">
        <v>0.1839905</v>
      </c>
      <c r="V1286">
        <v>4.7655070000000001E-2</v>
      </c>
      <c r="W1286">
        <v>0.16205459999999999</v>
      </c>
      <c r="X1286">
        <v>0.98563040000000002</v>
      </c>
      <c r="Y1286">
        <v>0.1002451</v>
      </c>
      <c r="Z1286">
        <v>3.1223460000000001E-2</v>
      </c>
      <c r="AA1286">
        <v>0.99447269999999999</v>
      </c>
      <c r="AB1286">
        <v>26</v>
      </c>
      <c r="AC1286">
        <v>-0.418999999999982</v>
      </c>
      <c r="AD1286">
        <v>-0.2172251</v>
      </c>
      <c r="AE1286">
        <v>5.2200000000027502E-2</v>
      </c>
      <c r="AF1286">
        <v>5.7840780619433103E-2</v>
      </c>
      <c r="AG1286">
        <v>-0.2172251</v>
      </c>
      <c r="AH1286">
        <v>0.32882479410341497</v>
      </c>
      <c r="AI1286">
        <v>123.04889698817399</v>
      </c>
      <c r="AJ1286">
        <v>80.023643842907902</v>
      </c>
      <c r="AK1286">
        <v>0.39831902438852801</v>
      </c>
      <c r="AL1286">
        <v>80.673827210167502</v>
      </c>
      <c r="AM1286">
        <v>87.231914000389594</v>
      </c>
      <c r="AN1286">
        <v>0.99999999224101199</v>
      </c>
    </row>
    <row r="1287" spans="1:40" x14ac:dyDescent="0.25">
      <c r="A1287" t="str">
        <f>"20190303162526444"</f>
        <v>20190303162526444</v>
      </c>
      <c r="B1287" t="str">
        <f>"1551601526434307"</f>
        <v>1551601526434307</v>
      </c>
      <c r="C1287" t="s">
        <v>40</v>
      </c>
      <c r="D1287">
        <v>5.092562</v>
      </c>
      <c r="E1287">
        <v>0.52909019999999995</v>
      </c>
      <c r="F1287" t="s">
        <v>42</v>
      </c>
      <c r="G1287">
        <v>-231.0641</v>
      </c>
      <c r="H1287">
        <v>0.84780529999999998</v>
      </c>
      <c r="I1287">
        <v>283.73790000000002</v>
      </c>
      <c r="J1287">
        <v>-230.48599999999999</v>
      </c>
      <c r="K1287">
        <v>1.1208979999999999</v>
      </c>
      <c r="L1287">
        <v>283.67509999999999</v>
      </c>
      <c r="M1287">
        <v>-0.99866520000000003</v>
      </c>
      <c r="N1287">
        <v>-1.392578E-2</v>
      </c>
      <c r="O1287">
        <v>-4.9737259999999998E-2</v>
      </c>
      <c r="P1287">
        <v>-0.98881010000000003</v>
      </c>
      <c r="Q1287">
        <v>0.14916289999999999</v>
      </c>
      <c r="R1287">
        <v>-2.2649150000000002E-3</v>
      </c>
      <c r="S1287">
        <v>-3.1858369999999998</v>
      </c>
      <c r="T1287">
        <v>-1.012578</v>
      </c>
      <c r="U1287">
        <v>0.18222050000000001</v>
      </c>
      <c r="V1287">
        <v>4.7035359999999998E-2</v>
      </c>
      <c r="W1287">
        <v>0.16287099999999999</v>
      </c>
      <c r="X1287">
        <v>0.9855256</v>
      </c>
      <c r="Y1287">
        <v>9.9348870000000006E-2</v>
      </c>
      <c r="Z1287">
        <v>3.0847260000000001E-2</v>
      </c>
      <c r="AA1287">
        <v>0.99457439999999997</v>
      </c>
      <c r="AB1287">
        <v>26</v>
      </c>
      <c r="AC1287">
        <v>-0.57810000000000605</v>
      </c>
      <c r="AD1287">
        <v>-0.27309270000000002</v>
      </c>
      <c r="AE1287">
        <v>6.2800000000038297E-2</v>
      </c>
      <c r="AF1287">
        <v>7.4947931125440695E-2</v>
      </c>
      <c r="AG1287">
        <v>-0.27309270000000002</v>
      </c>
      <c r="AH1287">
        <v>0.47049089667810401</v>
      </c>
      <c r="AI1287">
        <v>119.821971680746</v>
      </c>
      <c r="AJ1287">
        <v>80.948983956762703</v>
      </c>
      <c r="AK1287">
        <v>0.54914342300553898</v>
      </c>
      <c r="AL1287">
        <v>80.626421182891406</v>
      </c>
      <c r="AM1287">
        <v>87.267565397932501</v>
      </c>
      <c r="AN1287">
        <v>0.99999999799334405</v>
      </c>
    </row>
    <row r="1288" spans="1:40" x14ac:dyDescent="0.25">
      <c r="A1288" t="str">
        <f>"20190303162526466"</f>
        <v>20190303162526466</v>
      </c>
      <c r="B1288" t="str">
        <f>"1551601526454803"</f>
        <v>1551601526454803</v>
      </c>
      <c r="C1288" t="s">
        <v>40</v>
      </c>
      <c r="D1288">
        <v>5.0991660000000003</v>
      </c>
      <c r="E1288">
        <v>0.52881400000000001</v>
      </c>
      <c r="F1288" t="s">
        <v>42</v>
      </c>
      <c r="G1288">
        <v>-231.3</v>
      </c>
      <c r="H1288">
        <v>0.86192800000000003</v>
      </c>
      <c r="I1288">
        <v>283.72129999999999</v>
      </c>
      <c r="J1288">
        <v>-230.74510000000001</v>
      </c>
      <c r="K1288">
        <v>1.120914</v>
      </c>
      <c r="L1288">
        <v>283.6626</v>
      </c>
      <c r="M1288">
        <v>-0.99868460000000003</v>
      </c>
      <c r="N1288">
        <v>-1.3897430000000001E-2</v>
      </c>
      <c r="O1288">
        <v>-4.9355879999999998E-2</v>
      </c>
      <c r="P1288">
        <v>-0.98836769999999996</v>
      </c>
      <c r="Q1288">
        <v>0.1520572</v>
      </c>
      <c r="R1288">
        <v>-2.849683E-3</v>
      </c>
      <c r="S1288">
        <v>-3.1873170000000002</v>
      </c>
      <c r="T1288">
        <v>-1.0138750000000001</v>
      </c>
      <c r="U1288">
        <v>0.1809692</v>
      </c>
      <c r="V1288">
        <v>4.6054320000000003E-2</v>
      </c>
      <c r="W1288">
        <v>0.1657322</v>
      </c>
      <c r="X1288">
        <v>0.98509480000000005</v>
      </c>
      <c r="Y1288">
        <v>9.8597649999999995E-2</v>
      </c>
      <c r="Z1288">
        <v>3.063652E-2</v>
      </c>
      <c r="AA1288">
        <v>0.99465570000000003</v>
      </c>
      <c r="AB1288">
        <v>26</v>
      </c>
      <c r="AC1288">
        <v>-0.55490000000000295</v>
      </c>
      <c r="AD1288">
        <v>-0.25898599999999899</v>
      </c>
      <c r="AE1288">
        <v>5.8699999999987498E-2</v>
      </c>
      <c r="AF1288">
        <v>7.0772672875827294E-2</v>
      </c>
      <c r="AG1288">
        <v>-0.25898599999999899</v>
      </c>
      <c r="AH1288">
        <v>0.453608780167021</v>
      </c>
      <c r="AI1288">
        <v>119.428254079787</v>
      </c>
      <c r="AJ1288">
        <v>81.132127460659802</v>
      </c>
      <c r="AK1288">
        <v>0.52710857028377101</v>
      </c>
      <c r="AL1288">
        <v>80.460227564357098</v>
      </c>
      <c r="AM1288">
        <v>87.323305101845605</v>
      </c>
      <c r="AN1288">
        <v>0.99999996374726996</v>
      </c>
    </row>
    <row r="1289" spans="1:40" x14ac:dyDescent="0.25">
      <c r="A1289" t="str">
        <f>"20190303162526510"</f>
        <v>20190303162526510</v>
      </c>
      <c r="B1289" t="str">
        <f>"1551601526504580"</f>
        <v>1551601526504580</v>
      </c>
      <c r="C1289" t="s">
        <v>40</v>
      </c>
      <c r="D1289">
        <v>5.0797540000000003</v>
      </c>
      <c r="E1289">
        <v>0.52839150000000001</v>
      </c>
      <c r="F1289" t="s">
        <v>42</v>
      </c>
      <c r="G1289">
        <v>-231.5341</v>
      </c>
      <c r="H1289">
        <v>0.87157399999999996</v>
      </c>
      <c r="I1289">
        <v>283.70679999999999</v>
      </c>
      <c r="J1289">
        <v>-231.2534</v>
      </c>
      <c r="K1289">
        <v>1.12090499999999</v>
      </c>
      <c r="L1289">
        <v>283.63839999999999</v>
      </c>
      <c r="M1289">
        <v>-0.99872510000000003</v>
      </c>
      <c r="N1289">
        <v>-1.363908E-2</v>
      </c>
      <c r="O1289">
        <v>-4.860416E-2</v>
      </c>
      <c r="P1289">
        <v>-0.98642099999999999</v>
      </c>
      <c r="Q1289">
        <v>0.1641936</v>
      </c>
      <c r="R1289">
        <v>-3.7618870000000002E-3</v>
      </c>
      <c r="S1289">
        <v>-3.190979</v>
      </c>
      <c r="T1289">
        <v>-1.0084709999999999</v>
      </c>
      <c r="U1289">
        <v>0.17828369999999999</v>
      </c>
      <c r="V1289">
        <v>4.4315510000000002E-2</v>
      </c>
      <c r="W1289">
        <v>0.17758789999999999</v>
      </c>
      <c r="X1289">
        <v>0.9831067</v>
      </c>
      <c r="Y1289">
        <v>9.7148949999999998E-2</v>
      </c>
      <c r="Z1289">
        <v>2.999214E-2</v>
      </c>
      <c r="AA1289">
        <v>0.99481790000000003</v>
      </c>
      <c r="AB1289">
        <v>26</v>
      </c>
      <c r="AC1289">
        <v>-0.28069999999999501</v>
      </c>
      <c r="AD1289">
        <v>-0.249330999999999</v>
      </c>
      <c r="AE1289">
        <v>6.8399999999996894E-2</v>
      </c>
      <c r="AF1289">
        <v>4.6976989686993098E-2</v>
      </c>
      <c r="AG1289">
        <v>-0.249330999999999</v>
      </c>
      <c r="AH1289">
        <v>0.158785884001275</v>
      </c>
      <c r="AI1289">
        <v>146.410505107369</v>
      </c>
      <c r="AJ1289">
        <v>73.519086957404795</v>
      </c>
      <c r="AK1289">
        <v>0.29930877380911902</v>
      </c>
      <c r="AL1289">
        <v>79.770707355020704</v>
      </c>
      <c r="AM1289">
        <v>87.419024785749102</v>
      </c>
      <c r="AN1289">
        <v>1.0000000551189201</v>
      </c>
    </row>
    <row r="1290" spans="1:40" x14ac:dyDescent="0.25">
      <c r="A1290" t="str">
        <f>"20190303162526530"</f>
        <v>20190303162526530</v>
      </c>
      <c r="B1290" t="str">
        <f>"1551601526524099"</f>
        <v>1551601526524099</v>
      </c>
      <c r="C1290" t="s">
        <v>40</v>
      </c>
      <c r="D1290">
        <v>4.9928869999999996</v>
      </c>
      <c r="E1290">
        <v>0.52902689999999997</v>
      </c>
      <c r="F1290" t="s">
        <v>42</v>
      </c>
      <c r="G1290">
        <v>-232.00290000000001</v>
      </c>
      <c r="H1290">
        <v>0.89173819999999904</v>
      </c>
      <c r="I1290">
        <v>283.67959999999999</v>
      </c>
      <c r="J1290">
        <v>-231.4897</v>
      </c>
      <c r="K1290">
        <v>1.12087</v>
      </c>
      <c r="L1290">
        <v>283.62729999999999</v>
      </c>
      <c r="M1290">
        <v>-0.99874499999999999</v>
      </c>
      <c r="N1290">
        <v>-1.3425960000000001E-2</v>
      </c>
      <c r="O1290">
        <v>-4.8254209999999999E-2</v>
      </c>
      <c r="P1290">
        <v>-0.98592310000000005</v>
      </c>
      <c r="Q1290">
        <v>0.16715369999999999</v>
      </c>
      <c r="R1290">
        <v>-3.9722000000000004E-3</v>
      </c>
      <c r="S1290">
        <v>-3.2050930000000002</v>
      </c>
      <c r="T1290">
        <v>-0.97993520000000001</v>
      </c>
      <c r="U1290">
        <v>0.17611689999999999</v>
      </c>
      <c r="V1290">
        <v>4.3737449999999997E-2</v>
      </c>
      <c r="W1290">
        <v>0.18033279999999999</v>
      </c>
      <c r="X1290">
        <v>0.98263279999999997</v>
      </c>
      <c r="Y1290">
        <v>9.6382140000000005E-2</v>
      </c>
      <c r="Z1290">
        <v>2.883788E-2</v>
      </c>
      <c r="AA1290">
        <v>0.99492659999999999</v>
      </c>
      <c r="AB1290">
        <v>26</v>
      </c>
      <c r="AC1290">
        <v>-0.51320000000001098</v>
      </c>
      <c r="AD1290">
        <v>-0.2291318</v>
      </c>
      <c r="AE1290">
        <v>5.23000000000024E-2</v>
      </c>
      <c r="AF1290">
        <v>6.43162477643376E-2</v>
      </c>
      <c r="AG1290">
        <v>-0.2291318</v>
      </c>
      <c r="AH1290">
        <v>0.42602637956433398</v>
      </c>
      <c r="AI1290">
        <v>118.004430206322</v>
      </c>
      <c r="AJ1290">
        <v>81.415013740303394</v>
      </c>
      <c r="AK1290">
        <v>0.48799225155981502</v>
      </c>
      <c r="AL1290">
        <v>79.610855482141702</v>
      </c>
      <c r="AM1290">
        <v>87.4514199733716</v>
      </c>
      <c r="AN1290">
        <v>1.0000000514620899</v>
      </c>
    </row>
    <row r="1291" spans="1:40" x14ac:dyDescent="0.25">
      <c r="A1291" t="str">
        <f>"20190303162526643"</f>
        <v>20190303162526643</v>
      </c>
      <c r="B1291" t="str">
        <f>"1551601526634387"</f>
        <v>1551601526634387</v>
      </c>
      <c r="C1291" t="s">
        <v>40</v>
      </c>
      <c r="D1291">
        <v>5.639106</v>
      </c>
      <c r="E1291">
        <v>0.48820429999999998</v>
      </c>
      <c r="F1291" t="s">
        <v>42</v>
      </c>
      <c r="G1291">
        <v>-233.37289999999999</v>
      </c>
      <c r="H1291">
        <v>0.84029219999999905</v>
      </c>
      <c r="I1291">
        <v>283.62709999999998</v>
      </c>
      <c r="J1291">
        <v>-232.78630000000001</v>
      </c>
      <c r="K1291">
        <v>1.1207039999999999</v>
      </c>
      <c r="L1291">
        <v>283.5675</v>
      </c>
      <c r="M1291">
        <v>-0.99884969999999995</v>
      </c>
      <c r="N1291">
        <v>-1.183446E-2</v>
      </c>
      <c r="O1291">
        <v>-4.6466599999999997E-2</v>
      </c>
      <c r="P1291">
        <v>-0.98469709999999999</v>
      </c>
      <c r="Q1291">
        <v>0.17412939999999999</v>
      </c>
      <c r="R1291">
        <v>-7.1182769999999897E-3</v>
      </c>
      <c r="S1291">
        <v>-3.230515</v>
      </c>
      <c r="T1291">
        <v>-1.06202</v>
      </c>
      <c r="U1291">
        <v>0.179595899999999</v>
      </c>
      <c r="V1291">
        <v>3.8751929999999997E-2</v>
      </c>
      <c r="W1291">
        <v>0.18574019999999999</v>
      </c>
      <c r="X1291">
        <v>0.9818344</v>
      </c>
      <c r="Y1291">
        <v>9.4430710000000001E-2</v>
      </c>
      <c r="Z1291">
        <v>3.0024889999999999E-2</v>
      </c>
      <c r="AA1291">
        <v>0.99507860000000004</v>
      </c>
      <c r="AB1291">
        <v>26</v>
      </c>
      <c r="AC1291">
        <v>-0.58659999999997503</v>
      </c>
      <c r="AD1291">
        <v>-0.28041179999999999</v>
      </c>
      <c r="AE1291">
        <v>5.9599999999989002E-2</v>
      </c>
      <c r="AF1291">
        <v>7.0784919728824197E-2</v>
      </c>
      <c r="AG1291">
        <v>-0.28041179999999999</v>
      </c>
      <c r="AH1291">
        <v>0.47562199467278299</v>
      </c>
      <c r="AI1291">
        <v>120.248423126731</v>
      </c>
      <c r="AJ1291">
        <v>81.535030685391902</v>
      </c>
      <c r="AK1291">
        <v>0.55664851051338704</v>
      </c>
      <c r="AL1291">
        <v>79.295708861690599</v>
      </c>
      <c r="AM1291">
        <v>87.739771413380396</v>
      </c>
      <c r="AN1291">
        <v>0.99999996149906101</v>
      </c>
    </row>
    <row r="1292" spans="1:40" x14ac:dyDescent="0.25">
      <c r="A1292" t="str">
        <f>"20190303162526677"</f>
        <v>20190303162526677</v>
      </c>
      <c r="B1292" t="str">
        <f>"1551601526674403"</f>
        <v>1551601526674403</v>
      </c>
      <c r="C1292" t="s">
        <v>40</v>
      </c>
      <c r="D1292">
        <v>5.2953460000000003</v>
      </c>
      <c r="E1292">
        <v>0.48965639999999999</v>
      </c>
      <c r="F1292" t="s">
        <v>49</v>
      </c>
      <c r="G1292">
        <v>-512.82669999999996</v>
      </c>
      <c r="H1292">
        <v>4.6257210000000004</v>
      </c>
      <c r="I1292">
        <v>272.08269999999999</v>
      </c>
      <c r="J1292">
        <v>-233.19200000000001</v>
      </c>
      <c r="K1292">
        <v>1.120709</v>
      </c>
      <c r="L1292">
        <v>283.54910000000001</v>
      </c>
      <c r="M1292">
        <v>-0.99887519999999996</v>
      </c>
      <c r="N1292">
        <v>-1.140291E-2</v>
      </c>
      <c r="O1292">
        <v>-4.6029090000000002E-2</v>
      </c>
      <c r="P1292">
        <v>-0.98429880000000003</v>
      </c>
      <c r="Q1292">
        <v>0.17633460000000001</v>
      </c>
      <c r="R1292">
        <v>-7.9010629999999998E-3</v>
      </c>
      <c r="S1292">
        <v>-3.0390009999999998</v>
      </c>
      <c r="T1292">
        <v>3.8037300000000003E-2</v>
      </c>
      <c r="U1292">
        <v>-0.1246338</v>
      </c>
      <c r="V1292">
        <v>3.750945E-2</v>
      </c>
      <c r="W1292">
        <v>0.18752079999999999</v>
      </c>
      <c r="X1292">
        <v>0.98154419999999998</v>
      </c>
      <c r="Y1292">
        <v>5.0466979999999996E-3</v>
      </c>
      <c r="Z1292">
        <v>-1.1032329999999999E-3</v>
      </c>
      <c r="AA1292">
        <v>0.99998659999999995</v>
      </c>
      <c r="AB1292">
        <v>26</v>
      </c>
      <c r="AC1292">
        <v>-279.63469999999899</v>
      </c>
      <c r="AD1292">
        <v>3.5050119999999998</v>
      </c>
      <c r="AE1292">
        <v>-11.4664</v>
      </c>
      <c r="AF1292">
        <v>1.4176977481870401</v>
      </c>
      <c r="AG1292">
        <v>3.5050119999999998</v>
      </c>
      <c r="AH1292">
        <v>279.82221046090001</v>
      </c>
      <c r="AI1292">
        <v>89.282368202207905</v>
      </c>
      <c r="AJ1292">
        <v>89.709717815222007</v>
      </c>
      <c r="AK1292">
        <v>279.847752256918</v>
      </c>
      <c r="AL1292">
        <v>79.191863993890095</v>
      </c>
      <c r="AM1292">
        <v>87.811521968129398</v>
      </c>
      <c r="AN1292">
        <v>1.0000000129127899</v>
      </c>
    </row>
    <row r="1293" spans="1:40" x14ac:dyDescent="0.25">
      <c r="A1293" t="str">
        <f>"20190303162526699"</f>
        <v>20190303162526699</v>
      </c>
      <c r="B1293" t="str">
        <f>"1551601526693925"</f>
        <v>1551601526693925</v>
      </c>
      <c r="C1293" t="s">
        <v>40</v>
      </c>
      <c r="D1293">
        <v>5.3366020000000001</v>
      </c>
      <c r="E1293">
        <v>0.48908109999999999</v>
      </c>
      <c r="F1293" t="s">
        <v>49</v>
      </c>
      <c r="G1293">
        <v>-512.82920000000001</v>
      </c>
      <c r="H1293">
        <v>12.07028</v>
      </c>
      <c r="I1293">
        <v>273.05430000000001</v>
      </c>
      <c r="J1293">
        <v>-233.44589999999999</v>
      </c>
      <c r="K1293">
        <v>1.1207119999999999</v>
      </c>
      <c r="L1293">
        <v>283.53769999999997</v>
      </c>
      <c r="M1293">
        <v>-0.99888920000000003</v>
      </c>
      <c r="N1293">
        <v>-1.1166000000000001E-2</v>
      </c>
      <c r="O1293">
        <v>-4.5779939999999998E-2</v>
      </c>
      <c r="P1293">
        <v>-0.98395630000000001</v>
      </c>
      <c r="Q1293">
        <v>0.1781488</v>
      </c>
      <c r="R1293">
        <v>-9.6557610000000006E-3</v>
      </c>
      <c r="S1293">
        <v>-3.0257260000000001</v>
      </c>
      <c r="T1293">
        <v>0.1184771</v>
      </c>
      <c r="U1293">
        <v>-0.1135559</v>
      </c>
      <c r="V1293">
        <v>3.5491660000000001E-2</v>
      </c>
      <c r="W1293">
        <v>0.1891014</v>
      </c>
      <c r="X1293">
        <v>0.98131599999999997</v>
      </c>
      <c r="Y1293">
        <v>8.223859E-3</v>
      </c>
      <c r="Z1293">
        <v>-2.4163700000000001E-3</v>
      </c>
      <c r="AA1293">
        <v>0.9999633</v>
      </c>
      <c r="AB1293">
        <v>26</v>
      </c>
      <c r="AC1293">
        <v>-279.38330000000002</v>
      </c>
      <c r="AD1293">
        <v>10.949567999999999</v>
      </c>
      <c r="AE1293">
        <v>-10.4833999999999</v>
      </c>
      <c r="AF1293">
        <v>2.31498923944278</v>
      </c>
      <c r="AG1293">
        <v>10.949567999999999</v>
      </c>
      <c r="AH1293">
        <v>279.14214176131202</v>
      </c>
      <c r="AI1293">
        <v>87.753757209134704</v>
      </c>
      <c r="AJ1293">
        <v>89.524843968526696</v>
      </c>
      <c r="AK1293">
        <v>279.36640370964</v>
      </c>
      <c r="AL1293">
        <v>79.099652909905203</v>
      </c>
      <c r="AM1293">
        <v>87.928662785419803</v>
      </c>
      <c r="AN1293">
        <v>1.00000004463375</v>
      </c>
    </row>
    <row r="1294" spans="1:40" x14ac:dyDescent="0.25">
      <c r="A1294" t="str">
        <f>"20190303162526720"</f>
        <v>20190303162526720</v>
      </c>
      <c r="B1294" t="str">
        <f>"1551601526714419"</f>
        <v>1551601526714419</v>
      </c>
      <c r="C1294" t="s">
        <v>40</v>
      </c>
      <c r="D1294">
        <v>5.2590260000000004</v>
      </c>
      <c r="E1294">
        <v>0.48878929999999998</v>
      </c>
      <c r="F1294" t="s">
        <v>49</v>
      </c>
      <c r="G1294">
        <v>-512.82920000000001</v>
      </c>
      <c r="H1294">
        <v>12.20176</v>
      </c>
      <c r="I1294">
        <v>272.21640000000002</v>
      </c>
      <c r="J1294">
        <v>-233.69329999999999</v>
      </c>
      <c r="K1294">
        <v>1.120709</v>
      </c>
      <c r="L1294">
        <v>283.52659999999997</v>
      </c>
      <c r="M1294">
        <v>-0.99890190000000001</v>
      </c>
      <c r="N1294">
        <v>-1.0960650000000001E-2</v>
      </c>
      <c r="O1294">
        <v>-4.5550220000000002E-2</v>
      </c>
      <c r="P1294">
        <v>-0.98347850000000003</v>
      </c>
      <c r="Q1294">
        <v>0.1806121</v>
      </c>
      <c r="R1294">
        <v>-1.223134E-2</v>
      </c>
      <c r="S1294">
        <v>-3.0259860000000001</v>
      </c>
      <c r="T1294">
        <v>0.120019</v>
      </c>
      <c r="U1294">
        <v>-0.1226196</v>
      </c>
      <c r="V1294">
        <v>3.2669429999999999E-2</v>
      </c>
      <c r="W1294">
        <v>0.191361</v>
      </c>
      <c r="X1294">
        <v>0.98097590000000001</v>
      </c>
      <c r="Y1294">
        <v>5.0075950000000001E-3</v>
      </c>
      <c r="Z1294">
        <v>-2.3751430000000001E-3</v>
      </c>
      <c r="AA1294">
        <v>0.9999846</v>
      </c>
      <c r="AB1294">
        <v>26</v>
      </c>
      <c r="AC1294">
        <v>-279.13589999999999</v>
      </c>
      <c r="AD1294">
        <v>11.081050999999899</v>
      </c>
      <c r="AE1294">
        <v>-11.310199999999901</v>
      </c>
      <c r="AF1294">
        <v>1.4147806221352199</v>
      </c>
      <c r="AG1294">
        <v>11.081050999999899</v>
      </c>
      <c r="AH1294">
        <v>278.922513713966</v>
      </c>
      <c r="AI1294">
        <v>87.724975354498298</v>
      </c>
      <c r="AJ1294">
        <v>89.709380708176695</v>
      </c>
      <c r="AK1294">
        <v>279.14612652156001</v>
      </c>
      <c r="AL1294">
        <v>78.967778964488403</v>
      </c>
      <c r="AM1294">
        <v>88.092584218423099</v>
      </c>
      <c r="AN1294">
        <v>1.0000000201791599</v>
      </c>
    </row>
    <row r="1295" spans="1:40" x14ac:dyDescent="0.25">
      <c r="A1295" t="str">
        <f>"20190303162526742"</f>
        <v>20190303162526742</v>
      </c>
      <c r="B1295" t="str">
        <f>"1551601526733939"</f>
        <v>1551601526733939</v>
      </c>
      <c r="C1295" t="s">
        <v>40</v>
      </c>
      <c r="D1295">
        <v>5.3138670000000001</v>
      </c>
      <c r="E1295">
        <v>0.48849419999999999</v>
      </c>
      <c r="F1295" t="s">
        <v>49</v>
      </c>
      <c r="G1295">
        <v>-512.82899999999995</v>
      </c>
      <c r="H1295">
        <v>11.486230000000001</v>
      </c>
      <c r="I1295">
        <v>271.32310000000001</v>
      </c>
      <c r="J1295">
        <v>-233.9615</v>
      </c>
      <c r="K1295">
        <v>1.120706</v>
      </c>
      <c r="L1295">
        <v>283.51459999999997</v>
      </c>
      <c r="M1295">
        <v>-0.99891509999999994</v>
      </c>
      <c r="N1295">
        <v>-1.0764589999999999E-2</v>
      </c>
      <c r="O1295">
        <v>-4.5308479999999998E-2</v>
      </c>
      <c r="P1295">
        <v>-0.98322140000000002</v>
      </c>
      <c r="Q1295">
        <v>0.1818343</v>
      </c>
      <c r="R1295">
        <v>-1.457525E-2</v>
      </c>
      <c r="S1295">
        <v>-3.0281069999999999</v>
      </c>
      <c r="T1295">
        <v>0.11244750000000001</v>
      </c>
      <c r="U1295">
        <v>-0.13238529999999901</v>
      </c>
      <c r="V1295">
        <v>3.0077779999999998E-2</v>
      </c>
      <c r="W1295">
        <v>0.19239049999999999</v>
      </c>
      <c r="X1295">
        <v>0.98085739999999999</v>
      </c>
      <c r="Y1295">
        <v>1.5830169999999999E-3</v>
      </c>
      <c r="Z1295">
        <v>-2.1886620000000001E-3</v>
      </c>
      <c r="AA1295">
        <v>0.99999640000000001</v>
      </c>
      <c r="AB1295">
        <v>26</v>
      </c>
      <c r="AC1295">
        <v>-278.86750000000001</v>
      </c>
      <c r="AD1295">
        <v>10.365524000000001</v>
      </c>
      <c r="AE1295">
        <v>-12.1914999999999</v>
      </c>
      <c r="AF1295">
        <v>0.45618647576382898</v>
      </c>
      <c r="AG1295">
        <v>10.365524000000001</v>
      </c>
      <c r="AH1295">
        <v>278.74910335315599</v>
      </c>
      <c r="AI1295">
        <v>87.870391484993505</v>
      </c>
      <c r="AJ1295">
        <v>89.906232751663794</v>
      </c>
      <c r="AK1295">
        <v>278.94213524328597</v>
      </c>
      <c r="AL1295">
        <v>78.907676067690403</v>
      </c>
      <c r="AM1295">
        <v>88.243587712114206</v>
      </c>
      <c r="AN1295">
        <v>1.0000000082373599</v>
      </c>
    </row>
    <row r="1296" spans="1:40" x14ac:dyDescent="0.25">
      <c r="A1296" t="str">
        <f>"20190303162526765"</f>
        <v>20190303162526765</v>
      </c>
      <c r="B1296" t="str">
        <f>"1551601526754435"</f>
        <v>1551601526754435</v>
      </c>
      <c r="C1296" t="s">
        <v>40</v>
      </c>
      <c r="D1296">
        <v>5.322692</v>
      </c>
      <c r="E1296">
        <v>0.48835190000000001</v>
      </c>
      <c r="F1296" t="s">
        <v>49</v>
      </c>
      <c r="G1296">
        <v>-512.82889999999998</v>
      </c>
      <c r="H1296">
        <v>11.349489999999999</v>
      </c>
      <c r="I1296">
        <v>270.45639999999997</v>
      </c>
      <c r="J1296">
        <v>-234.22239999999999</v>
      </c>
      <c r="K1296">
        <v>1.1206910000000001</v>
      </c>
      <c r="L1296">
        <v>283.50299999999999</v>
      </c>
      <c r="M1296">
        <v>-0.99892740000000002</v>
      </c>
      <c r="N1296">
        <v>-1.0597270000000001E-2</v>
      </c>
      <c r="O1296">
        <v>-4.5074969999999999E-2</v>
      </c>
      <c r="P1296">
        <v>-0.9832554</v>
      </c>
      <c r="Q1296">
        <v>0.18142140000000001</v>
      </c>
      <c r="R1296">
        <v>-1.717929E-2</v>
      </c>
      <c r="S1296">
        <v>-3.0285639999999998</v>
      </c>
      <c r="T1296">
        <v>0.1110877</v>
      </c>
      <c r="U1296">
        <v>-0.1418152</v>
      </c>
      <c r="V1296">
        <v>2.7247799999999999E-2</v>
      </c>
      <c r="W1296">
        <v>0.1918163</v>
      </c>
      <c r="X1296">
        <v>0.98105249999999999</v>
      </c>
      <c r="Y1296">
        <v>-1.748302E-3</v>
      </c>
      <c r="Z1296">
        <v>-2.1057340000000002E-3</v>
      </c>
      <c r="AA1296">
        <v>0.9999962</v>
      </c>
      <c r="AB1296">
        <v>26</v>
      </c>
      <c r="AC1296">
        <v>-278.60649999999998</v>
      </c>
      <c r="AD1296">
        <v>10.228799</v>
      </c>
      <c r="AE1296">
        <v>-13.0466</v>
      </c>
      <c r="AF1296">
        <v>-0.47381595553231098</v>
      </c>
      <c r="AG1296">
        <v>10.228799</v>
      </c>
      <c r="AH1296">
        <v>278.53677650749199</v>
      </c>
      <c r="AI1296">
        <v>87.896856104934898</v>
      </c>
      <c r="AJ1296">
        <v>90.0974651486695</v>
      </c>
      <c r="AK1296">
        <v>278.72493375678903</v>
      </c>
      <c r="AL1296">
        <v>78.941199282730096</v>
      </c>
      <c r="AM1296">
        <v>88.409073219390805</v>
      </c>
      <c r="AN1296">
        <v>0.99999997165338905</v>
      </c>
    </row>
    <row r="1297" spans="1:40" x14ac:dyDescent="0.25">
      <c r="A1297" t="str">
        <f>"20190303162526788"</f>
        <v>20190303162526788</v>
      </c>
      <c r="B1297" t="str">
        <f>"1551601526773955"</f>
        <v>1551601526773955</v>
      </c>
      <c r="C1297" t="s">
        <v>40</v>
      </c>
      <c r="D1297">
        <v>5.3148299999999997</v>
      </c>
      <c r="E1297">
        <v>0.48814560000000001</v>
      </c>
      <c r="F1297" t="s">
        <v>49</v>
      </c>
      <c r="G1297">
        <v>-512.82870000000003</v>
      </c>
      <c r="H1297">
        <v>10.72541</v>
      </c>
      <c r="I1297">
        <v>269.60070000000002</v>
      </c>
      <c r="J1297">
        <v>-234.49019999999999</v>
      </c>
      <c r="K1297">
        <v>1.120682</v>
      </c>
      <c r="L1297">
        <v>283.49119999999999</v>
      </c>
      <c r="M1297">
        <v>-0.99893989999999999</v>
      </c>
      <c r="N1297">
        <v>-1.044716E-2</v>
      </c>
      <c r="O1297">
        <v>-4.4833320000000003E-2</v>
      </c>
      <c r="P1297">
        <v>-0.98336140000000005</v>
      </c>
      <c r="Q1297">
        <v>0.18069180000000001</v>
      </c>
      <c r="R1297">
        <v>-1.8740779999999999E-2</v>
      </c>
      <c r="S1297">
        <v>-3.029175</v>
      </c>
      <c r="T1297">
        <v>0.10442899999999999</v>
      </c>
      <c r="U1297">
        <v>-0.1511536</v>
      </c>
      <c r="V1297">
        <v>2.545476E-2</v>
      </c>
      <c r="W1297">
        <v>0.19094249999999999</v>
      </c>
      <c r="X1297">
        <v>0.98127109999999995</v>
      </c>
      <c r="Y1297">
        <v>-5.0500809999999997E-3</v>
      </c>
      <c r="Z1297">
        <v>-1.9509670000000001E-3</v>
      </c>
      <c r="AA1297">
        <v>0.99998529999999997</v>
      </c>
      <c r="AB1297">
        <v>26</v>
      </c>
      <c r="AC1297">
        <v>-278.33850000000001</v>
      </c>
      <c r="AD1297">
        <v>9.6047279999999997</v>
      </c>
      <c r="AE1297">
        <v>-13.8904999999999</v>
      </c>
      <c r="AF1297">
        <v>-1.39535441409367</v>
      </c>
      <c r="AG1297">
        <v>9.6047279999999997</v>
      </c>
      <c r="AH1297">
        <v>278.350761028769</v>
      </c>
      <c r="AI1297">
        <v>88.023769664396397</v>
      </c>
      <c r="AJ1297">
        <v>90.287217641808496</v>
      </c>
      <c r="AK1297">
        <v>278.51991666520001</v>
      </c>
      <c r="AL1297">
        <v>78.992207224958094</v>
      </c>
      <c r="AM1297">
        <v>88.514046412863493</v>
      </c>
      <c r="AN1297">
        <v>0.99999997740405799</v>
      </c>
    </row>
    <row r="1298" spans="1:40" x14ac:dyDescent="0.25">
      <c r="A1298" t="str">
        <f>"20190303162526810"</f>
        <v>20190303162526810</v>
      </c>
      <c r="B1298" t="str">
        <f>"1551601526804211"</f>
        <v>1551601526804211</v>
      </c>
      <c r="C1298" t="s">
        <v>40</v>
      </c>
      <c r="D1298">
        <v>5.3635140000000003</v>
      </c>
      <c r="E1298">
        <v>0.4880372</v>
      </c>
      <c r="F1298" t="s">
        <v>49</v>
      </c>
      <c r="G1298">
        <v>-512.82849999999996</v>
      </c>
      <c r="H1298">
        <v>9.9809160000000006</v>
      </c>
      <c r="I1298">
        <v>268.95870000000002</v>
      </c>
      <c r="J1298">
        <v>-234.7457</v>
      </c>
      <c r="K1298">
        <v>1.1206719999999999</v>
      </c>
      <c r="L1298">
        <v>283.48</v>
      </c>
      <c r="M1298">
        <v>-0.9989517</v>
      </c>
      <c r="N1298">
        <v>-1.0322349999999999E-2</v>
      </c>
      <c r="O1298">
        <v>-4.4599079999999999E-2</v>
      </c>
      <c r="P1298">
        <v>-0.98346560000000005</v>
      </c>
      <c r="Q1298">
        <v>0.1800012</v>
      </c>
      <c r="R1298">
        <v>-1.9881639999999999E-2</v>
      </c>
      <c r="S1298">
        <v>-3.0300449999999999</v>
      </c>
      <c r="T1298">
        <v>9.6454979999999996E-2</v>
      </c>
      <c r="U1298">
        <v>-0.15820310000000001</v>
      </c>
      <c r="V1298">
        <v>2.4089079999999999E-2</v>
      </c>
      <c r="W1298">
        <v>0.19013140000000001</v>
      </c>
      <c r="X1298">
        <v>0.98146310000000003</v>
      </c>
      <c r="Y1298">
        <v>-7.5846949999999998E-3</v>
      </c>
      <c r="Z1298">
        <v>-1.7963580000000001E-3</v>
      </c>
      <c r="AA1298">
        <v>0.99996960000000001</v>
      </c>
      <c r="AB1298">
        <v>26</v>
      </c>
      <c r="AC1298">
        <v>-278.08280000000002</v>
      </c>
      <c r="AD1298">
        <v>8.8602439999999998</v>
      </c>
      <c r="AE1298">
        <v>-14.521299999999901</v>
      </c>
      <c r="AF1298">
        <v>-2.1018243072431901</v>
      </c>
      <c r="AG1298">
        <v>8.8602439999999998</v>
      </c>
      <c r="AH1298">
        <v>278.172112929859</v>
      </c>
      <c r="AI1298">
        <v>88.175703045134995</v>
      </c>
      <c r="AJ1298">
        <v>90.432909572290598</v>
      </c>
      <c r="AK1298">
        <v>278.32112029276601</v>
      </c>
      <c r="AL1298">
        <v>79.039547626103897</v>
      </c>
      <c r="AM1298">
        <v>88.594011769769907</v>
      </c>
      <c r="AN1298">
        <v>1.0000000248514</v>
      </c>
    </row>
    <row r="1299" spans="1:40" x14ac:dyDescent="0.25">
      <c r="A1299" t="str">
        <f>"20190303162526833"</f>
        <v>20190303162526833</v>
      </c>
      <c r="B1299" t="str">
        <f>"1551601526823732"</f>
        <v>1551601526823732</v>
      </c>
      <c r="C1299" t="s">
        <v>40</v>
      </c>
      <c r="D1299">
        <v>5.3556499999999998</v>
      </c>
      <c r="E1299">
        <v>0.48802780000000001</v>
      </c>
      <c r="F1299" t="s">
        <v>50</v>
      </c>
      <c r="G1299">
        <v>-355.3929</v>
      </c>
      <c r="H1299">
        <v>4.6007220000000002</v>
      </c>
      <c r="I1299">
        <v>276.98989999999998</v>
      </c>
      <c r="J1299">
        <v>-235.01609999999999</v>
      </c>
      <c r="K1299">
        <v>1.1206640000000001</v>
      </c>
      <c r="L1299">
        <v>283.46820000000002</v>
      </c>
      <c r="M1299">
        <v>-0.99896410000000002</v>
      </c>
      <c r="N1299">
        <v>-1.020765E-2</v>
      </c>
      <c r="O1299">
        <v>-4.4347490000000003E-2</v>
      </c>
      <c r="P1299">
        <v>-0.9835526</v>
      </c>
      <c r="Q1299">
        <v>0.1794095</v>
      </c>
      <c r="R1299">
        <v>-2.0897700000000002E-2</v>
      </c>
      <c r="S1299">
        <v>-3.0311279999999998</v>
      </c>
      <c r="T1299">
        <v>8.7434049999999999E-2</v>
      </c>
      <c r="U1299">
        <v>-0.16305539999999999</v>
      </c>
      <c r="V1299">
        <v>2.282994E-2</v>
      </c>
      <c r="W1299">
        <v>0.18942909999999999</v>
      </c>
      <c r="X1299">
        <v>0.98162899999999997</v>
      </c>
      <c r="Y1299">
        <v>-9.4085379999999993E-3</v>
      </c>
      <c r="Z1299">
        <v>-1.6423150000000001E-3</v>
      </c>
      <c r="AA1299">
        <v>0.99995440000000002</v>
      </c>
      <c r="AB1299">
        <v>26</v>
      </c>
      <c r="AC1299">
        <v>-120.3768</v>
      </c>
      <c r="AD1299">
        <v>3.4800580000000001</v>
      </c>
      <c r="AE1299">
        <v>-6.4783000000000399</v>
      </c>
      <c r="AF1299">
        <v>-1.1322955330733799</v>
      </c>
      <c r="AG1299">
        <v>3.4800580000000001</v>
      </c>
      <c r="AH1299">
        <v>120.445294191469</v>
      </c>
      <c r="AI1299">
        <v>88.345071292972406</v>
      </c>
      <c r="AJ1299">
        <v>90.538616677103605</v>
      </c>
      <c r="AK1299">
        <v>120.500878792343</v>
      </c>
      <c r="AL1299">
        <v>79.080531452404699</v>
      </c>
      <c r="AM1299">
        <v>88.667700889880606</v>
      </c>
      <c r="AN1299">
        <v>1.0000000418641</v>
      </c>
    </row>
    <row r="1300" spans="1:40" x14ac:dyDescent="0.25">
      <c r="A1300" t="str">
        <f>"20190303162526856"</f>
        <v>20190303162526856</v>
      </c>
      <c r="B1300" t="str">
        <f>"1551601526845203"</f>
        <v>1551601526845203</v>
      </c>
      <c r="C1300" t="s">
        <v>40</v>
      </c>
      <c r="D1300">
        <v>5.359915</v>
      </c>
      <c r="E1300">
        <v>0.48865189999999997</v>
      </c>
      <c r="F1300" t="s">
        <v>50</v>
      </c>
      <c r="G1300">
        <v>-355.46269999999998</v>
      </c>
      <c r="H1300">
        <v>4.3093089999999998</v>
      </c>
      <c r="I1300">
        <v>276.86470000000003</v>
      </c>
      <c r="J1300">
        <v>-235.30250000000001</v>
      </c>
      <c r="K1300">
        <v>1.120654</v>
      </c>
      <c r="L1300">
        <v>283.45569999999998</v>
      </c>
      <c r="M1300">
        <v>-0.99897709999999995</v>
      </c>
      <c r="N1300">
        <v>-1.010307E-2</v>
      </c>
      <c r="O1300">
        <v>-4.4078779999999998E-2</v>
      </c>
      <c r="P1300">
        <v>-0.98343230000000004</v>
      </c>
      <c r="Q1300">
        <v>0.1800525</v>
      </c>
      <c r="R1300">
        <v>-2.1029140000000002E-2</v>
      </c>
      <c r="S1300">
        <v>-3.0319980000000002</v>
      </c>
      <c r="T1300">
        <v>8.0269220000000002E-2</v>
      </c>
      <c r="U1300">
        <v>-0.16622919999999999</v>
      </c>
      <c r="V1300">
        <v>2.242947E-2</v>
      </c>
      <c r="W1300">
        <v>0.18996840000000001</v>
      </c>
      <c r="X1300">
        <v>0.98153389999999996</v>
      </c>
      <c r="Y1300">
        <v>-1.070171E-2</v>
      </c>
      <c r="Z1300">
        <v>-1.5229519999999999E-3</v>
      </c>
      <c r="AA1300">
        <v>0.99994159999999999</v>
      </c>
      <c r="AB1300">
        <v>26</v>
      </c>
      <c r="AC1300">
        <v>-120.16019999999899</v>
      </c>
      <c r="AD1300">
        <v>3.1886549999999998</v>
      </c>
      <c r="AE1300">
        <v>-6.5909999999999496</v>
      </c>
      <c r="AF1300">
        <v>-1.28690509075135</v>
      </c>
      <c r="AG1300">
        <v>3.1886549999999998</v>
      </c>
      <c r="AH1300">
        <v>120.249512158014</v>
      </c>
      <c r="AI1300">
        <v>88.481131328400906</v>
      </c>
      <c r="AJ1300">
        <v>90.613153552399794</v>
      </c>
      <c r="AK1300">
        <v>120.29866507846999</v>
      </c>
      <c r="AL1300">
        <v>79.049059219455401</v>
      </c>
      <c r="AM1300">
        <v>88.690936352643305</v>
      </c>
      <c r="AN1300">
        <v>0.99999993548612298</v>
      </c>
    </row>
    <row r="1301" spans="1:40" x14ac:dyDescent="0.25">
      <c r="A1301" t="str">
        <f>"20190303162526880"</f>
        <v>20190303162526880</v>
      </c>
      <c r="B1301" t="str">
        <f>"1551601526874484"</f>
        <v>1551601526874484</v>
      </c>
      <c r="C1301" t="s">
        <v>40</v>
      </c>
      <c r="D1301">
        <v>5.4715669999999896</v>
      </c>
      <c r="E1301">
        <v>0.48984759999999999</v>
      </c>
      <c r="F1301" t="s">
        <v>50</v>
      </c>
      <c r="G1301">
        <v>-355.44349999999997</v>
      </c>
      <c r="H1301">
        <v>3.9158930000000001</v>
      </c>
      <c r="I1301">
        <v>277.0634</v>
      </c>
      <c r="J1301">
        <v>-235.57400000000001</v>
      </c>
      <c r="K1301">
        <v>1.1206449999999999</v>
      </c>
      <c r="L1301">
        <v>283.44409999999999</v>
      </c>
      <c r="M1301">
        <v>-0.99898900000000002</v>
      </c>
      <c r="N1301">
        <v>-1.001909E-2</v>
      </c>
      <c r="O1301">
        <v>-4.3822439999999997E-2</v>
      </c>
      <c r="P1301">
        <v>-0.9833771</v>
      </c>
      <c r="Q1301">
        <v>0.1805716</v>
      </c>
      <c r="R1301">
        <v>-1.9063009999999998E-2</v>
      </c>
      <c r="S1301">
        <v>-3.0341490000000002</v>
      </c>
      <c r="T1301">
        <v>7.0595030000000003E-2</v>
      </c>
      <c r="U1301">
        <v>-0.161438</v>
      </c>
      <c r="V1301">
        <v>2.4139799999999999E-2</v>
      </c>
      <c r="W1301">
        <v>0.19040290000000001</v>
      </c>
      <c r="X1301">
        <v>0.98140919999999998</v>
      </c>
      <c r="Y1301">
        <v>-9.3408199999999997E-3</v>
      </c>
      <c r="Z1301">
        <v>-1.3953780000000001E-3</v>
      </c>
      <c r="AA1301">
        <v>0.99995540000000005</v>
      </c>
      <c r="AB1301">
        <v>26</v>
      </c>
      <c r="AC1301">
        <v>-119.86949999999899</v>
      </c>
      <c r="AD1301">
        <v>2.795248</v>
      </c>
      <c r="AE1301">
        <v>-6.3806999999999903</v>
      </c>
      <c r="AF1301">
        <v>-1.1207238238228501</v>
      </c>
      <c r="AG1301">
        <v>2.795248</v>
      </c>
      <c r="AH1301">
        <v>119.968913553565</v>
      </c>
      <c r="AI1301">
        <v>88.665321274139501</v>
      </c>
      <c r="AJ1301">
        <v>90.535229297109794</v>
      </c>
      <c r="AK1301">
        <v>120.006706697974</v>
      </c>
      <c r="AL1301">
        <v>79.023702157858907</v>
      </c>
      <c r="AM1301">
        <v>88.590975278132802</v>
      </c>
      <c r="AN1301">
        <v>1.0000000060585399</v>
      </c>
    </row>
    <row r="1302" spans="1:40" x14ac:dyDescent="0.25">
      <c r="A1302" t="str">
        <f>"20190303162526902"</f>
        <v>20190303162526902</v>
      </c>
      <c r="B1302" t="str">
        <f>"1551601526894004"</f>
        <v>1551601526894004</v>
      </c>
      <c r="C1302" t="s">
        <v>40</v>
      </c>
      <c r="D1302">
        <v>5.4096399999999996</v>
      </c>
      <c r="E1302">
        <v>0.4903576</v>
      </c>
      <c r="F1302" t="s">
        <v>49</v>
      </c>
      <c r="G1302">
        <v>-511.07569999999998</v>
      </c>
      <c r="H1302">
        <v>6.161092</v>
      </c>
      <c r="I1302">
        <v>270.0838</v>
      </c>
      <c r="J1302">
        <v>-235.8407</v>
      </c>
      <c r="K1302">
        <v>1.120633</v>
      </c>
      <c r="L1302">
        <v>283.43270000000001</v>
      </c>
      <c r="M1302">
        <v>-0.99900080000000002</v>
      </c>
      <c r="N1302">
        <v>-9.9487450000000002E-3</v>
      </c>
      <c r="O1302">
        <v>-4.357047E-2</v>
      </c>
      <c r="P1302">
        <v>-0.98347260000000003</v>
      </c>
      <c r="Q1302">
        <v>0.1802685</v>
      </c>
      <c r="R1302">
        <v>-1.6878520000000001E-2</v>
      </c>
      <c r="S1302">
        <v>-3.0376430000000001</v>
      </c>
      <c r="T1302">
        <v>5.5576090000000002E-2</v>
      </c>
      <c r="U1302">
        <v>-0.147308299999999</v>
      </c>
      <c r="V1302">
        <v>2.607864E-2</v>
      </c>
      <c r="W1302">
        <v>0.1900298</v>
      </c>
      <c r="X1302">
        <v>0.98143190000000002</v>
      </c>
      <c r="Y1302">
        <v>-4.8868430000000001E-3</v>
      </c>
      <c r="Z1302">
        <v>-1.209262E-3</v>
      </c>
      <c r="AA1302">
        <v>0.99998730000000002</v>
      </c>
      <c r="AB1302">
        <v>27</v>
      </c>
      <c r="AC1302">
        <v>-275.23500000000001</v>
      </c>
      <c r="AD1302">
        <v>5.0404589999999896</v>
      </c>
      <c r="AE1302">
        <v>-13.3489</v>
      </c>
      <c r="AF1302">
        <v>-1.34306061047667</v>
      </c>
      <c r="AG1302">
        <v>5.0404589999999896</v>
      </c>
      <c r="AH1302">
        <v>275.46307843548402</v>
      </c>
      <c r="AI1302">
        <v>88.951723866660799</v>
      </c>
      <c r="AJ1302">
        <v>90.279351756659494</v>
      </c>
      <c r="AK1302">
        <v>275.512463638013</v>
      </c>
      <c r="AL1302">
        <v>79.045476673158603</v>
      </c>
      <c r="AM1302">
        <v>88.477892876809307</v>
      </c>
      <c r="AN1302">
        <v>0.99999999734494904</v>
      </c>
    </row>
    <row r="1303" spans="1:40" x14ac:dyDescent="0.25">
      <c r="A1303" t="str">
        <f>"20190303162526922"</f>
        <v>20190303162526922</v>
      </c>
      <c r="B1303" t="str">
        <f>"1551601526914500"</f>
        <v>1551601526914500</v>
      </c>
      <c r="C1303" t="s">
        <v>40</v>
      </c>
      <c r="D1303">
        <v>5.4067949999999998</v>
      </c>
      <c r="E1303">
        <v>0.4907784</v>
      </c>
      <c r="F1303" t="s">
        <v>49</v>
      </c>
      <c r="G1303">
        <v>-512.82690000000002</v>
      </c>
      <c r="H1303">
        <v>5.3169180000000003</v>
      </c>
      <c r="I1303">
        <v>270.9547</v>
      </c>
      <c r="J1303">
        <v>-236.08279999999999</v>
      </c>
      <c r="K1303">
        <v>1.120627</v>
      </c>
      <c r="L1303">
        <v>283.42239999999998</v>
      </c>
      <c r="M1303">
        <v>-0.99901139999999999</v>
      </c>
      <c r="N1303">
        <v>-9.8933949999999993E-3</v>
      </c>
      <c r="O1303">
        <v>-4.3341919999999999E-2</v>
      </c>
      <c r="P1303">
        <v>-0.98380449999999997</v>
      </c>
      <c r="Q1303">
        <v>0.178624799999999</v>
      </c>
      <c r="R1303">
        <v>-1.490201E-2</v>
      </c>
      <c r="S1303">
        <v>-3.0396269999999999</v>
      </c>
      <c r="T1303">
        <v>4.6050550000000003E-2</v>
      </c>
      <c r="U1303">
        <v>-0.13693239999999901</v>
      </c>
      <c r="V1303">
        <v>2.7842430000000001E-2</v>
      </c>
      <c r="W1303">
        <v>0.18833340000000001</v>
      </c>
      <c r="X1303">
        <v>0.98171039999999998</v>
      </c>
      <c r="Y1303">
        <v>-1.6745079999999999E-3</v>
      </c>
      <c r="Z1303">
        <v>-1.0803150000000001E-3</v>
      </c>
      <c r="AA1303">
        <v>0.99999800000000005</v>
      </c>
      <c r="AB1303">
        <v>27</v>
      </c>
      <c r="AC1303">
        <v>-276.7441</v>
      </c>
      <c r="AD1303">
        <v>4.1962910000000004</v>
      </c>
      <c r="AE1303">
        <v>-12.467699999999899</v>
      </c>
      <c r="AF1303">
        <v>-0.46067059644040298</v>
      </c>
      <c r="AG1303">
        <v>4.1962910000000004</v>
      </c>
      <c r="AH1303">
        <v>276.96086837656497</v>
      </c>
      <c r="AI1303">
        <v>89.1319674951325</v>
      </c>
      <c r="AJ1303">
        <v>90.095300309880201</v>
      </c>
      <c r="AK1303">
        <v>276.99303905956901</v>
      </c>
      <c r="AL1303">
        <v>79.144460607871906</v>
      </c>
      <c r="AM1303">
        <v>88.375461622702304</v>
      </c>
      <c r="AN1303">
        <v>0.99999998996601203</v>
      </c>
    </row>
    <row r="1304" spans="1:40" x14ac:dyDescent="0.25">
      <c r="A1304" t="str">
        <f>"20190303162526944"</f>
        <v>20190303162526944</v>
      </c>
      <c r="B1304" t="str">
        <f>"1551601526934020"</f>
        <v>1551601526934020</v>
      </c>
      <c r="C1304" t="s">
        <v>40</v>
      </c>
      <c r="D1304">
        <v>5.4683780000000004</v>
      </c>
      <c r="E1304">
        <v>0.49124440000000003</v>
      </c>
      <c r="F1304" t="s">
        <v>49</v>
      </c>
      <c r="G1304">
        <v>-512.82650000000001</v>
      </c>
      <c r="H1304">
        <v>4.2466759999999999</v>
      </c>
      <c r="I1304">
        <v>271.81439999999998</v>
      </c>
      <c r="J1304">
        <v>-236.34389999999999</v>
      </c>
      <c r="K1304">
        <v>1.120614</v>
      </c>
      <c r="L1304">
        <v>283.41129999999998</v>
      </c>
      <c r="M1304">
        <v>-0.99902250000000004</v>
      </c>
      <c r="N1304">
        <v>-9.8420369999999997E-3</v>
      </c>
      <c r="O1304">
        <v>-4.309528E-2</v>
      </c>
      <c r="P1304">
        <v>-0.98396090000000003</v>
      </c>
      <c r="Q1304">
        <v>0.17782970000000001</v>
      </c>
      <c r="R1304">
        <v>-1.4052179999999999E-2</v>
      </c>
      <c r="S1304">
        <v>-3.0412140000000001</v>
      </c>
      <c r="T1304">
        <v>3.4353849999999998E-2</v>
      </c>
      <c r="U1304">
        <v>-0.1275635</v>
      </c>
      <c r="V1304">
        <v>2.845553E-2</v>
      </c>
      <c r="W1304">
        <v>0.18748899999999999</v>
      </c>
      <c r="X1304">
        <v>0.98185440000000002</v>
      </c>
      <c r="Y1304">
        <v>1.1807510000000001E-3</v>
      </c>
      <c r="Z1304">
        <v>-9.1134720000000003E-4</v>
      </c>
      <c r="AA1304">
        <v>0.99999890000000002</v>
      </c>
      <c r="AB1304">
        <v>27</v>
      </c>
      <c r="AC1304">
        <v>-276.48259999999999</v>
      </c>
      <c r="AD1304">
        <v>3.1260620000000001</v>
      </c>
      <c r="AE1304">
        <v>-11.5969</v>
      </c>
      <c r="AF1304">
        <v>0.32950493991479302</v>
      </c>
      <c r="AG1304">
        <v>3.1260620000000001</v>
      </c>
      <c r="AH1304">
        <v>276.69020010146102</v>
      </c>
      <c r="AI1304">
        <v>89.352696945109699</v>
      </c>
      <c r="AJ1304">
        <v>89.931767610655896</v>
      </c>
      <c r="AK1304">
        <v>276.70805494116001</v>
      </c>
      <c r="AL1304">
        <v>79.193718238765697</v>
      </c>
      <c r="AM1304">
        <v>88.339951893101897</v>
      </c>
      <c r="AN1304">
        <v>0.99999995255396901</v>
      </c>
    </row>
    <row r="1305" spans="1:40" x14ac:dyDescent="0.25">
      <c r="A1305" t="str">
        <f>"20190303162526967"</f>
        <v>20190303162526967</v>
      </c>
      <c r="B1305" t="str">
        <f>"1551601526954516"</f>
        <v>1551601526954516</v>
      </c>
      <c r="C1305" t="s">
        <v>40</v>
      </c>
      <c r="D1305">
        <v>5.4090749999999996</v>
      </c>
      <c r="E1305">
        <v>0.49152709999999999</v>
      </c>
      <c r="F1305" t="s">
        <v>49</v>
      </c>
      <c r="G1305">
        <v>-512.82629999999995</v>
      </c>
      <c r="H1305">
        <v>3.5125959999999998</v>
      </c>
      <c r="I1305">
        <v>272.32350000000002</v>
      </c>
      <c r="J1305">
        <v>-236.61519999999999</v>
      </c>
      <c r="K1305">
        <v>1.1206020000000001</v>
      </c>
      <c r="L1305">
        <v>283.3999</v>
      </c>
      <c r="M1305">
        <v>-0.99903390000000003</v>
      </c>
      <c r="N1305">
        <v>-9.7964850000000006E-3</v>
      </c>
      <c r="O1305">
        <v>-4.2838889999999998E-2</v>
      </c>
      <c r="P1305">
        <v>-0.98395739999999998</v>
      </c>
      <c r="Q1305">
        <v>0.1779029</v>
      </c>
      <c r="R1305">
        <v>-1.336477E-2</v>
      </c>
      <c r="S1305">
        <v>-3.042389</v>
      </c>
      <c r="T1305">
        <v>2.632201E-2</v>
      </c>
      <c r="U1305">
        <v>-0.1220093</v>
      </c>
      <c r="V1305">
        <v>2.889036E-2</v>
      </c>
      <c r="W1305">
        <v>0.18751660000000001</v>
      </c>
      <c r="X1305">
        <v>0.9818365</v>
      </c>
      <c r="Y1305">
        <v>2.7651540000000001E-3</v>
      </c>
      <c r="Z1305">
        <v>-7.8839980000000001E-4</v>
      </c>
      <c r="AA1305">
        <v>0.99999590000000005</v>
      </c>
      <c r="AB1305">
        <v>27</v>
      </c>
      <c r="AC1305">
        <v>-276.21109999999999</v>
      </c>
      <c r="AD1305">
        <v>2.3919939999999902</v>
      </c>
      <c r="AE1305">
        <v>-11.0763999999999</v>
      </c>
      <c r="AF1305">
        <v>0.76685727051262698</v>
      </c>
      <c r="AG1305">
        <v>2.3919939999999902</v>
      </c>
      <c r="AH1305">
        <v>276.41133903045301</v>
      </c>
      <c r="AI1305">
        <v>89.504191062029307</v>
      </c>
      <c r="AJ1305">
        <v>89.841042800503203</v>
      </c>
      <c r="AK1305">
        <v>276.42275241010299</v>
      </c>
      <c r="AL1305">
        <v>79.192109064486004</v>
      </c>
      <c r="AM1305">
        <v>88.314568448696704</v>
      </c>
      <c r="AN1305">
        <v>1.00000002045436</v>
      </c>
    </row>
    <row r="1306" spans="1:40" x14ac:dyDescent="0.25">
      <c r="A1306" t="str">
        <f>"20190303162526988"</f>
        <v>20190303162526988</v>
      </c>
      <c r="B1306" t="str">
        <f>"1551601526974036"</f>
        <v>1551601526974036</v>
      </c>
      <c r="C1306" t="s">
        <v>40</v>
      </c>
      <c r="D1306">
        <v>5.531453</v>
      </c>
      <c r="E1306">
        <v>0.49181510000000001</v>
      </c>
      <c r="F1306" t="s">
        <v>49</v>
      </c>
      <c r="G1306">
        <v>-512.82619999999997</v>
      </c>
      <c r="H1306">
        <v>3.0885470000000002</v>
      </c>
      <c r="I1306">
        <v>272.68389999999999</v>
      </c>
      <c r="J1306">
        <v>-236.8732</v>
      </c>
      <c r="K1306">
        <v>1.1205879999999999</v>
      </c>
      <c r="L1306">
        <v>283.38909999999998</v>
      </c>
      <c r="M1306">
        <v>-0.99904479999999996</v>
      </c>
      <c r="N1306">
        <v>-9.7594819999999999E-3</v>
      </c>
      <c r="O1306">
        <v>-4.2595889999999997E-2</v>
      </c>
      <c r="P1306">
        <v>-0.98392429999999997</v>
      </c>
      <c r="Q1306">
        <v>0.17811299999999999</v>
      </c>
      <c r="R1306">
        <v>-1.300161E-2</v>
      </c>
      <c r="S1306">
        <v>-3.043396</v>
      </c>
      <c r="T1306">
        <v>2.1684410000000001E-2</v>
      </c>
      <c r="U1306">
        <v>-0.1180725</v>
      </c>
      <c r="V1306">
        <v>2.9013049999999999E-2</v>
      </c>
      <c r="W1306">
        <v>0.18768989999999999</v>
      </c>
      <c r="X1306">
        <v>0.98179970000000005</v>
      </c>
      <c r="Y1306">
        <v>3.8279189999999999E-3</v>
      </c>
      <c r="Z1306">
        <v>-7.1392959999999996E-4</v>
      </c>
      <c r="AA1306">
        <v>0.9999924</v>
      </c>
      <c r="AB1306">
        <v>27</v>
      </c>
      <c r="AC1306">
        <v>-275.95299999999997</v>
      </c>
      <c r="AD1306">
        <v>1.967959</v>
      </c>
      <c r="AE1306">
        <v>-10.7051999999999</v>
      </c>
      <c r="AF1306">
        <v>1.0594858080484799</v>
      </c>
      <c r="AG1306">
        <v>1.967959</v>
      </c>
      <c r="AH1306">
        <v>276.14451265702297</v>
      </c>
      <c r="AI1306">
        <v>89.591688405439498</v>
      </c>
      <c r="AJ1306">
        <v>89.780173913968</v>
      </c>
      <c r="AK1306">
        <v>276.15355736145801</v>
      </c>
      <c r="AL1306">
        <v>79.181999486979294</v>
      </c>
      <c r="AM1306">
        <v>88.307351600007607</v>
      </c>
      <c r="AN1306">
        <v>0.99999995327619995</v>
      </c>
    </row>
    <row r="1307" spans="1:40" x14ac:dyDescent="0.25">
      <c r="A1307" t="str">
        <f>"20190303162527011"</f>
        <v>20190303162527011</v>
      </c>
      <c r="B1307" t="str">
        <f>"1551601527004291"</f>
        <v>1551601527004291</v>
      </c>
      <c r="C1307" t="s">
        <v>40</v>
      </c>
      <c r="D1307">
        <v>5.4739279999999999</v>
      </c>
      <c r="E1307">
        <v>0.4921218</v>
      </c>
      <c r="F1307" t="s">
        <v>49</v>
      </c>
      <c r="G1307">
        <v>-512.82600000000002</v>
      </c>
      <c r="H1307">
        <v>2.7893940000000002</v>
      </c>
      <c r="I1307">
        <v>272.94869999999997</v>
      </c>
      <c r="J1307">
        <v>-237.1413</v>
      </c>
      <c r="K1307">
        <v>1.120584</v>
      </c>
      <c r="L1307">
        <v>283.37799999999999</v>
      </c>
      <c r="M1307">
        <v>-0.99905569999999999</v>
      </c>
      <c r="N1307">
        <v>-9.7266790000000002E-3</v>
      </c>
      <c r="O1307">
        <v>-4.2342779999999997E-2</v>
      </c>
      <c r="P1307">
        <v>-0.98391810000000002</v>
      </c>
      <c r="Q1307">
        <v>0.17819949999999901</v>
      </c>
      <c r="R1307">
        <v>-1.2243499999999999E-2</v>
      </c>
      <c r="S1307">
        <v>-3.0441590000000001</v>
      </c>
      <c r="T1307">
        <v>1.841021E-2</v>
      </c>
      <c r="U1307">
        <v>-0.11517330000000001</v>
      </c>
      <c r="V1307">
        <v>2.9521220000000001E-2</v>
      </c>
      <c r="W1307">
        <v>0.18774379999999999</v>
      </c>
      <c r="X1307">
        <v>0.98177429999999999</v>
      </c>
      <c r="Y1307">
        <v>4.5360549999999998E-3</v>
      </c>
      <c r="Z1307">
        <v>-6.5939959999999995E-4</v>
      </c>
      <c r="AA1307">
        <v>0.99998949999999998</v>
      </c>
      <c r="AB1307">
        <v>27</v>
      </c>
      <c r="AC1307">
        <v>-275.68470000000002</v>
      </c>
      <c r="AD1307">
        <v>1.6688099999999899</v>
      </c>
      <c r="AE1307">
        <v>-10.4293</v>
      </c>
      <c r="AF1307">
        <v>1.25381854458873</v>
      </c>
      <c r="AG1307">
        <v>1.6688099999999899</v>
      </c>
      <c r="AH1307">
        <v>275.868958934663</v>
      </c>
      <c r="AI1307">
        <v>89.653409298459394</v>
      </c>
      <c r="AJ1307">
        <v>89.739593695094499</v>
      </c>
      <c r="AK1307">
        <v>275.87685566472197</v>
      </c>
      <c r="AL1307">
        <v>79.178855934539001</v>
      </c>
      <c r="AM1307">
        <v>88.2776776591122</v>
      </c>
      <c r="AN1307">
        <v>1.0000000065046</v>
      </c>
    </row>
    <row r="1308" spans="1:40" x14ac:dyDescent="0.25">
      <c r="A1308" t="str">
        <f>"20190303162527033"</f>
        <v>20190303162527033</v>
      </c>
      <c r="B1308" t="str">
        <f>"1551601527023812"</f>
        <v>1551601527023812</v>
      </c>
      <c r="C1308" t="s">
        <v>40</v>
      </c>
      <c r="D1308">
        <v>5.4171769999999997</v>
      </c>
      <c r="E1308">
        <v>0.49231930000000002</v>
      </c>
      <c r="F1308" t="s">
        <v>49</v>
      </c>
      <c r="G1308">
        <v>-512.82590000000005</v>
      </c>
      <c r="H1308">
        <v>2.2888489999999999</v>
      </c>
      <c r="I1308">
        <v>273.27199999999999</v>
      </c>
      <c r="J1308">
        <v>-237.4153</v>
      </c>
      <c r="K1308">
        <v>1.1205750000000001</v>
      </c>
      <c r="L1308">
        <v>283.36660000000001</v>
      </c>
      <c r="M1308">
        <v>-0.99906709999999999</v>
      </c>
      <c r="N1308">
        <v>-9.6983239999999995E-3</v>
      </c>
      <c r="O1308">
        <v>-4.2084450000000002E-2</v>
      </c>
      <c r="P1308">
        <v>-0.98412820000000001</v>
      </c>
      <c r="Q1308">
        <v>0.1771228</v>
      </c>
      <c r="R1308">
        <v>-1.0932539999999999E-2</v>
      </c>
      <c r="S1308">
        <v>-3.0452880000000002</v>
      </c>
      <c r="T1308">
        <v>1.290584E-2</v>
      </c>
      <c r="U1308">
        <v>-0.1116333</v>
      </c>
      <c r="V1308">
        <v>3.0585290000000001E-2</v>
      </c>
      <c r="W1308">
        <v>0.18664020000000001</v>
      </c>
      <c r="X1308">
        <v>0.98195209999999999</v>
      </c>
      <c r="Y1308">
        <v>5.453505E-3</v>
      </c>
      <c r="Z1308">
        <v>-5.7150009999999999E-4</v>
      </c>
      <c r="AA1308">
        <v>0.99998500000000001</v>
      </c>
      <c r="AB1308">
        <v>27</v>
      </c>
      <c r="AC1308">
        <v>-275.41059999999999</v>
      </c>
      <c r="AD1308">
        <v>1.168274</v>
      </c>
      <c r="AE1308">
        <v>-10.0946</v>
      </c>
      <c r="AF1308">
        <v>1.5053644524685199</v>
      </c>
      <c r="AG1308">
        <v>1.168274</v>
      </c>
      <c r="AH1308">
        <v>275.58647239058098</v>
      </c>
      <c r="AI1308">
        <v>89.757115182864297</v>
      </c>
      <c r="AJ1308">
        <v>89.6870304584465</v>
      </c>
      <c r="AK1308">
        <v>275.59306005587001</v>
      </c>
      <c r="AL1308">
        <v>79.243225058867793</v>
      </c>
      <c r="AM1308">
        <v>88.215960172770906</v>
      </c>
      <c r="AN1308">
        <v>0.99999997545741603</v>
      </c>
    </row>
    <row r="1309" spans="1:40" x14ac:dyDescent="0.25">
      <c r="A1309" t="str">
        <f>"20190303162527057"</f>
        <v>20190303162527057</v>
      </c>
      <c r="B1309" t="str">
        <f>"1551601527044308"</f>
        <v>1551601527044308</v>
      </c>
      <c r="C1309" t="s">
        <v>40</v>
      </c>
      <c r="D1309">
        <v>5.4745249999999999</v>
      </c>
      <c r="E1309">
        <v>0.49244399999999999</v>
      </c>
      <c r="F1309" t="s">
        <v>49</v>
      </c>
      <c r="G1309">
        <v>-512.82569999999998</v>
      </c>
      <c r="H1309">
        <v>1.70104399999999</v>
      </c>
      <c r="I1309">
        <v>273.69529999999997</v>
      </c>
      <c r="J1309">
        <v>-237.69820000000001</v>
      </c>
      <c r="K1309">
        <v>1.120568</v>
      </c>
      <c r="L1309">
        <v>283.35500000000002</v>
      </c>
      <c r="M1309">
        <v>-0.99907840000000003</v>
      </c>
      <c r="N1309">
        <v>-9.6736909999999999E-3</v>
      </c>
      <c r="O1309">
        <v>-4.1818500000000002E-2</v>
      </c>
      <c r="P1309">
        <v>-0.98430989999999996</v>
      </c>
      <c r="Q1309">
        <v>0.17619000000000001</v>
      </c>
      <c r="R1309">
        <v>-9.5464899999999995E-3</v>
      </c>
      <c r="S1309">
        <v>-3.046036</v>
      </c>
      <c r="T1309">
        <v>6.420851E-3</v>
      </c>
      <c r="U1309">
        <v>-0.10696410000000001</v>
      </c>
      <c r="V1309">
        <v>3.1715729999999998E-2</v>
      </c>
      <c r="W1309">
        <v>0.18568399999999999</v>
      </c>
      <c r="X1309">
        <v>0.98209760000000002</v>
      </c>
      <c r="Y1309">
        <v>6.7283380000000004E-3</v>
      </c>
      <c r="Z1309">
        <v>-4.6720710000000001E-4</v>
      </c>
      <c r="AA1309">
        <v>0.99997720000000001</v>
      </c>
      <c r="AB1309">
        <v>27</v>
      </c>
      <c r="AC1309">
        <v>-275.12749999999897</v>
      </c>
      <c r="AD1309">
        <v>0.58047599999999899</v>
      </c>
      <c r="AE1309">
        <v>-9.6597000000000399</v>
      </c>
      <c r="AF1309">
        <v>1.85470026108284</v>
      </c>
      <c r="AG1309">
        <v>0.58047599999999899</v>
      </c>
      <c r="AH1309">
        <v>275.28955164880898</v>
      </c>
      <c r="AI1309">
        <v>89.879188946241499</v>
      </c>
      <c r="AJ1309">
        <v>89.613988657440402</v>
      </c>
      <c r="AK1309">
        <v>275.29641136863199</v>
      </c>
      <c r="AL1309">
        <v>79.298987018897805</v>
      </c>
      <c r="AM1309">
        <v>88.150340495281299</v>
      </c>
      <c r="AN1309">
        <v>1.0000000656555901</v>
      </c>
    </row>
    <row r="1310" spans="1:40" x14ac:dyDescent="0.25">
      <c r="A1310" t="str">
        <f>"20190303162527080"</f>
        <v>20190303162527080</v>
      </c>
      <c r="B1310" t="str">
        <f>"1551601527074563"</f>
        <v>1551601527074563</v>
      </c>
      <c r="C1310" t="s">
        <v>40</v>
      </c>
      <c r="D1310">
        <v>5.4711309999999997</v>
      </c>
      <c r="E1310">
        <v>0.49266660000000001</v>
      </c>
      <c r="F1310" t="s">
        <v>49</v>
      </c>
      <c r="G1310">
        <v>-512.82560000000001</v>
      </c>
      <c r="H1310">
        <v>1.202056</v>
      </c>
      <c r="I1310">
        <v>274.1173</v>
      </c>
      <c r="J1310">
        <v>-237.9742</v>
      </c>
      <c r="K1310">
        <v>1.1205700000000001</v>
      </c>
      <c r="L1310">
        <v>283.34379999999999</v>
      </c>
      <c r="M1310">
        <v>-0.99908940000000002</v>
      </c>
      <c r="N1310">
        <v>-9.6539850000000003E-3</v>
      </c>
      <c r="O1310">
        <v>-4.1558770000000002E-2</v>
      </c>
      <c r="P1310">
        <v>-0.98410520000000001</v>
      </c>
      <c r="Q1310">
        <v>0.17736939999999901</v>
      </c>
      <c r="R1310">
        <v>-8.7959560000000006E-3</v>
      </c>
      <c r="S1310">
        <v>-3.0466609999999998</v>
      </c>
      <c r="T1310">
        <v>9.032488E-4</v>
      </c>
      <c r="U1310">
        <v>-0.10229489999999999</v>
      </c>
      <c r="V1310">
        <v>3.2202340000000003E-2</v>
      </c>
      <c r="W1310">
        <v>0.18684120000000001</v>
      </c>
      <c r="X1310">
        <v>0.98186220000000002</v>
      </c>
      <c r="Y1310">
        <v>8.0070899999999997E-3</v>
      </c>
      <c r="Z1310">
        <v>-3.7609790000000002E-4</v>
      </c>
      <c r="AA1310">
        <v>0.99996790000000002</v>
      </c>
      <c r="AB1310">
        <v>27</v>
      </c>
      <c r="AC1310">
        <v>-274.85140000000001</v>
      </c>
      <c r="AD1310">
        <v>8.1485999999999906E-2</v>
      </c>
      <c r="AE1310">
        <v>-9.2264999999999802</v>
      </c>
      <c r="AF1310">
        <v>2.20449034926148</v>
      </c>
      <c r="AG1310">
        <v>8.1485999999999906E-2</v>
      </c>
      <c r="AH1310">
        <v>274.99735876290703</v>
      </c>
      <c r="AI1310">
        <v>89.983022914234894</v>
      </c>
      <c r="AJ1310">
        <v>89.540703634285094</v>
      </c>
      <c r="AK1310">
        <v>275.00620673767202</v>
      </c>
      <c r="AL1310">
        <v>79.2315026883077</v>
      </c>
      <c r="AM1310">
        <v>88.121531667879097</v>
      </c>
      <c r="AN1310">
        <v>1.00000000225387</v>
      </c>
    </row>
    <row r="1311" spans="1:40" x14ac:dyDescent="0.25">
      <c r="A1311" t="str">
        <f>"20190303162527123"</f>
        <v>20190303162527123</v>
      </c>
      <c r="B1311" t="str">
        <f>"1551601527114581"</f>
        <v>1551601527114581</v>
      </c>
      <c r="C1311" t="s">
        <v>40</v>
      </c>
      <c r="D1311">
        <v>5.3097620000000001</v>
      </c>
      <c r="E1311">
        <v>0.49275479999999999</v>
      </c>
      <c r="F1311" t="s">
        <v>49</v>
      </c>
      <c r="G1311">
        <v>-512.82560000000001</v>
      </c>
      <c r="H1311">
        <v>1.17657099999999</v>
      </c>
      <c r="I1311">
        <v>274.5086</v>
      </c>
      <c r="J1311">
        <v>-238.4949</v>
      </c>
      <c r="K1311">
        <v>1.1205830000000001</v>
      </c>
      <c r="L1311">
        <v>283.32279999999997</v>
      </c>
      <c r="M1311">
        <v>-0.99911000000000005</v>
      </c>
      <c r="N1311">
        <v>-9.6255730000000001E-3</v>
      </c>
      <c r="O1311">
        <v>-4.1068819999999999E-2</v>
      </c>
      <c r="P1311">
        <v>-0.98327310000000001</v>
      </c>
      <c r="Q1311">
        <v>0.18202109999999999</v>
      </c>
      <c r="R1311">
        <v>-6.5112369999999996E-3</v>
      </c>
      <c r="S1311">
        <v>-3.0474549999999998</v>
      </c>
      <c r="T1311">
        <v>6.2179569999999999E-4</v>
      </c>
      <c r="U1311">
        <v>-9.7961430000000002E-2</v>
      </c>
      <c r="V1311">
        <v>3.3971130000000002E-2</v>
      </c>
      <c r="W1311">
        <v>0.19145509999999999</v>
      </c>
      <c r="X1311">
        <v>0.98091329999999999</v>
      </c>
      <c r="Y1311">
        <v>8.9459209999999904E-3</v>
      </c>
      <c r="Z1311">
        <v>-3.615863E-4</v>
      </c>
      <c r="AA1311">
        <v>0.99995990000000001</v>
      </c>
      <c r="AB1311">
        <v>27</v>
      </c>
      <c r="AC1311">
        <v>-274.33069999999998</v>
      </c>
      <c r="AD1311">
        <v>5.5987999999999899E-2</v>
      </c>
      <c r="AE1311">
        <v>-8.8141999999999694</v>
      </c>
      <c r="AF1311">
        <v>2.4601965348478001</v>
      </c>
      <c r="AG1311">
        <v>5.5987999999999899E-2</v>
      </c>
      <c r="AH1311">
        <v>274.461225399559</v>
      </c>
      <c r="AI1311">
        <v>89.988312566964495</v>
      </c>
      <c r="AJ1311">
        <v>89.486429812008694</v>
      </c>
      <c r="AK1311">
        <v>274.47225715812198</v>
      </c>
      <c r="AL1311">
        <v>78.962285614524006</v>
      </c>
      <c r="AM1311">
        <v>88.016517085011102</v>
      </c>
      <c r="AN1311">
        <v>0.99999999755318802</v>
      </c>
    </row>
    <row r="1312" spans="1:40" x14ac:dyDescent="0.25">
      <c r="A1312" t="str">
        <f>"20190303162527145"</f>
        <v>20190303162527145</v>
      </c>
      <c r="B1312" t="str">
        <f>"1551601527134100"</f>
        <v>1551601527134100</v>
      </c>
      <c r="C1312" t="s">
        <v>40</v>
      </c>
      <c r="D1312">
        <v>5.2349259999999997</v>
      </c>
      <c r="E1312">
        <v>0.53388040000000003</v>
      </c>
      <c r="F1312" t="s">
        <v>49</v>
      </c>
      <c r="G1312">
        <v>-512.82590000000005</v>
      </c>
      <c r="H1312">
        <v>2.2635269999999998</v>
      </c>
      <c r="I1312">
        <v>275.14060000000001</v>
      </c>
      <c r="J1312">
        <v>-238.75989999999999</v>
      </c>
      <c r="K1312">
        <v>1.1205830000000001</v>
      </c>
      <c r="L1312">
        <v>283.31220000000002</v>
      </c>
      <c r="M1312">
        <v>-0.99912020000000001</v>
      </c>
      <c r="N1312">
        <v>-9.6145999999999992E-3</v>
      </c>
      <c r="O1312">
        <v>-4.081974E-2</v>
      </c>
      <c r="P1312">
        <v>-0.98330689999999998</v>
      </c>
      <c r="Q1312">
        <v>0.1819037</v>
      </c>
      <c r="R1312">
        <v>-4.3012739999999999E-3</v>
      </c>
      <c r="S1312">
        <v>-3.0480800000000001</v>
      </c>
      <c r="T1312">
        <v>1.2700080000000001E-2</v>
      </c>
      <c r="U1312">
        <v>-9.0911870000000006E-2</v>
      </c>
      <c r="V1312">
        <v>3.5935870000000002E-2</v>
      </c>
      <c r="W1312">
        <v>0.19132540000000001</v>
      </c>
      <c r="X1312">
        <v>0.98086859999999998</v>
      </c>
      <c r="Y1312">
        <v>1.10119E-2</v>
      </c>
      <c r="Z1312">
        <v>-5.3248800000000002E-4</v>
      </c>
      <c r="AA1312">
        <v>0.99993920000000003</v>
      </c>
      <c r="AB1312">
        <v>27</v>
      </c>
      <c r="AC1312">
        <v>-274.06599999999997</v>
      </c>
      <c r="AD1312">
        <v>1.142944</v>
      </c>
      <c r="AE1312">
        <v>-8.1716000000000104</v>
      </c>
      <c r="AF1312">
        <v>3.0229796402644</v>
      </c>
      <c r="AG1312">
        <v>1.142944</v>
      </c>
      <c r="AH1312">
        <v>274.16636632303198</v>
      </c>
      <c r="AI1312">
        <v>89.761161412046505</v>
      </c>
      <c r="AJ1312">
        <v>89.368277886452105</v>
      </c>
      <c r="AK1312">
        <v>274.185413816395</v>
      </c>
      <c r="AL1312">
        <v>78.9698568989417</v>
      </c>
      <c r="AM1312">
        <v>87.901805396224006</v>
      </c>
      <c r="AN1312">
        <v>1.0000000029518801</v>
      </c>
    </row>
    <row r="1313" spans="1:40" x14ac:dyDescent="0.25">
      <c r="A1313" t="str">
        <f>"20190303162527167"</f>
        <v>20190303162527167</v>
      </c>
      <c r="B1313" t="str">
        <f>"1551601527164356"</f>
        <v>1551601527164356</v>
      </c>
      <c r="C1313" t="s">
        <v>40</v>
      </c>
      <c r="D1313">
        <v>5.1764749999999999</v>
      </c>
      <c r="E1313">
        <v>0.53682640000000004</v>
      </c>
      <c r="F1313" t="s">
        <v>51</v>
      </c>
      <c r="G1313">
        <v>-290.93259999999998</v>
      </c>
      <c r="H1313" s="1">
        <v>2.127787E-6</v>
      </c>
      <c r="I1313">
        <v>287.40050000000002</v>
      </c>
      <c r="J1313">
        <v>-239.02680000000001</v>
      </c>
      <c r="K1313">
        <v>1.1205750000000001</v>
      </c>
      <c r="L1313">
        <v>283.30160000000001</v>
      </c>
      <c r="M1313">
        <v>-0.99913050000000003</v>
      </c>
      <c r="N1313">
        <v>-9.6054230000000001E-3</v>
      </c>
      <c r="O1313">
        <v>-4.0568409999999999E-2</v>
      </c>
      <c r="P1313">
        <v>-0.98350150000000003</v>
      </c>
      <c r="Q1313">
        <v>0.18089720000000001</v>
      </c>
      <c r="R1313">
        <v>-1.165927E-3</v>
      </c>
      <c r="S1313">
        <v>-3.0641479999999999</v>
      </c>
      <c r="T1313">
        <v>-6.5812590000000004E-2</v>
      </c>
      <c r="U1313">
        <v>0.2401123</v>
      </c>
      <c r="V1313">
        <v>3.8829250000000003E-2</v>
      </c>
      <c r="W1313">
        <v>0.1903097</v>
      </c>
      <c r="X1313">
        <v>0.98095589999999999</v>
      </c>
      <c r="Y1313">
        <v>0.1184621</v>
      </c>
      <c r="Z1313">
        <v>2.3210879999999998E-3</v>
      </c>
      <c r="AA1313">
        <v>0.9929559</v>
      </c>
      <c r="AB1313">
        <v>27</v>
      </c>
      <c r="AC1313">
        <v>-51.9057999999999</v>
      </c>
      <c r="AD1313">
        <v>-1.1205728722129999</v>
      </c>
      <c r="AE1313">
        <v>4.0989000000000102</v>
      </c>
      <c r="AF1313">
        <v>6.1984874332061404</v>
      </c>
      <c r="AG1313">
        <v>-1.1205728722129999</v>
      </c>
      <c r="AH1313">
        <v>51.672837980967302</v>
      </c>
      <c r="AI1313">
        <v>91.233476674368205</v>
      </c>
      <c r="AJ1313">
        <v>83.159689440472306</v>
      </c>
      <c r="AK1313">
        <v>52.055346651701797</v>
      </c>
      <c r="AL1313">
        <v>79.029141351853994</v>
      </c>
      <c r="AM1313">
        <v>87.733240292225503</v>
      </c>
      <c r="AN1313">
        <v>0.99999998515723099</v>
      </c>
    </row>
    <row r="1314" spans="1:40" x14ac:dyDescent="0.25">
      <c r="A1314" t="str">
        <f>"20190303162527188"</f>
        <v>20190303162527188</v>
      </c>
      <c r="B1314" t="str">
        <f>"1551601527183876"</f>
        <v>1551601527183876</v>
      </c>
      <c r="C1314" t="s">
        <v>40</v>
      </c>
      <c r="D1314">
        <v>5.1671370000000003</v>
      </c>
      <c r="E1314">
        <v>0.53726509999999905</v>
      </c>
      <c r="F1314" t="s">
        <v>51</v>
      </c>
      <c r="G1314">
        <v>-287.39150000000001</v>
      </c>
      <c r="H1314" s="1">
        <v>4.5070469999999996E-6</v>
      </c>
      <c r="I1314">
        <v>287.60419999999999</v>
      </c>
      <c r="J1314">
        <v>-239.2877</v>
      </c>
      <c r="K1314">
        <v>1.120563</v>
      </c>
      <c r="L1314">
        <v>283.29129999999998</v>
      </c>
      <c r="M1314">
        <v>-0.99914069999999999</v>
      </c>
      <c r="N1314">
        <v>-9.5983609999999997E-3</v>
      </c>
      <c r="O1314">
        <v>-4.0323169999999998E-2</v>
      </c>
      <c r="P1314">
        <v>-0.98353480000000004</v>
      </c>
      <c r="Q1314">
        <v>0.18071809999999999</v>
      </c>
      <c r="R1314">
        <v>5.8215529999999999E-4</v>
      </c>
      <c r="S1314">
        <v>-3.0636899999999998</v>
      </c>
      <c r="T1314">
        <v>-7.0983169999999998E-2</v>
      </c>
      <c r="U1314">
        <v>0.27255249999999998</v>
      </c>
      <c r="V1314">
        <v>4.0335839999999998E-2</v>
      </c>
      <c r="W1314">
        <v>0.1901225</v>
      </c>
      <c r="X1314">
        <v>0.98093140000000001</v>
      </c>
      <c r="Y1314">
        <v>0.1286543</v>
      </c>
      <c r="Z1314">
        <v>2.6524130000000002E-3</v>
      </c>
      <c r="AA1314">
        <v>0.99168599999999996</v>
      </c>
      <c r="AB1314">
        <v>27</v>
      </c>
      <c r="AC1314">
        <v>-48.1038</v>
      </c>
      <c r="AD1314">
        <v>-1.1205584929529999</v>
      </c>
      <c r="AE1314">
        <v>4.3129000000000097</v>
      </c>
      <c r="AF1314">
        <v>6.2458166067304299</v>
      </c>
      <c r="AG1314">
        <v>-1.1205584929529999</v>
      </c>
      <c r="AH1314">
        <v>47.8649890779323</v>
      </c>
      <c r="AI1314">
        <v>91.329826329879893</v>
      </c>
      <c r="AJ1314">
        <v>82.565582258933603</v>
      </c>
      <c r="AK1314">
        <v>48.283776321365103</v>
      </c>
      <c r="AL1314">
        <v>79.040066515691905</v>
      </c>
      <c r="AM1314">
        <v>87.645327536738705</v>
      </c>
      <c r="AN1314">
        <v>0.99999997825035702</v>
      </c>
    </row>
    <row r="1315" spans="1:40" x14ac:dyDescent="0.25">
      <c r="A1315" t="str">
        <f>"20190303162527213"</f>
        <v>20190303162527213</v>
      </c>
      <c r="B1315" t="str">
        <f>"1551601527204371"</f>
        <v>1551601527204371</v>
      </c>
      <c r="C1315" t="s">
        <v>40</v>
      </c>
      <c r="D1315">
        <v>5.1763979999999998</v>
      </c>
      <c r="E1315">
        <v>0.53738299999999894</v>
      </c>
      <c r="F1315" t="s">
        <v>51</v>
      </c>
      <c r="G1315">
        <v>-286.75220000000002</v>
      </c>
      <c r="H1315" s="1">
        <v>4.7812699999999999E-6</v>
      </c>
      <c r="I1315">
        <v>287.649</v>
      </c>
      <c r="J1315">
        <v>-239.5787</v>
      </c>
      <c r="K1315">
        <v>1.1205639999999999</v>
      </c>
      <c r="L1315">
        <v>283.27980000000002</v>
      </c>
      <c r="M1315">
        <v>-0.99915180000000003</v>
      </c>
      <c r="N1315">
        <v>-9.5923880000000003E-3</v>
      </c>
      <c r="O1315">
        <v>-4.0048599999999997E-2</v>
      </c>
      <c r="P1315">
        <v>-0.98334339999999998</v>
      </c>
      <c r="Q1315">
        <v>0.18173549999999999</v>
      </c>
      <c r="R1315">
        <v>2.908636E-3</v>
      </c>
      <c r="S1315">
        <v>-3.0633699999999999</v>
      </c>
      <c r="T1315">
        <v>-7.2321060000000006E-2</v>
      </c>
      <c r="U1315">
        <v>0.28125</v>
      </c>
      <c r="V1315">
        <v>4.2383879999999999E-2</v>
      </c>
      <c r="W1315">
        <v>0.1911303</v>
      </c>
      <c r="X1315">
        <v>0.9806492</v>
      </c>
      <c r="Y1315">
        <v>0.13118050000000001</v>
      </c>
      <c r="Z1315">
        <v>2.7360129999999998E-3</v>
      </c>
      <c r="AA1315">
        <v>0.99135469999999903</v>
      </c>
      <c r="AB1315">
        <v>27</v>
      </c>
      <c r="AC1315">
        <v>-47.173499999999997</v>
      </c>
      <c r="AD1315">
        <v>-1.12055921873</v>
      </c>
      <c r="AE1315">
        <v>4.36919999999997</v>
      </c>
      <c r="AF1315">
        <v>6.2515163269821397</v>
      </c>
      <c r="AG1315">
        <v>-1.12055921873</v>
      </c>
      <c r="AH1315">
        <v>46.934404805476603</v>
      </c>
      <c r="AI1315">
        <v>91.355708589958198</v>
      </c>
      <c r="AJ1315">
        <v>82.413038355674203</v>
      </c>
      <c r="AK1315">
        <v>47.362173343223503</v>
      </c>
      <c r="AL1315">
        <v>78.981245654834396</v>
      </c>
      <c r="AM1315">
        <v>87.525203659943301</v>
      </c>
      <c r="AN1315">
        <v>1.0000000191612901</v>
      </c>
    </row>
    <row r="1316" spans="1:40" x14ac:dyDescent="0.25">
      <c r="A1316" t="str">
        <f>"20190303162527246"</f>
        <v>20190303162527246</v>
      </c>
      <c r="B1316" t="str">
        <f>"1551601527234629"</f>
        <v>1551601527234629</v>
      </c>
      <c r="C1316" t="s">
        <v>40</v>
      </c>
      <c r="D1316">
        <v>5.1775929999999999</v>
      </c>
      <c r="E1316">
        <v>0.53657080000000001</v>
      </c>
      <c r="F1316" t="s">
        <v>51</v>
      </c>
      <c r="G1316">
        <v>-288.7928</v>
      </c>
      <c r="H1316" s="1">
        <v>3.8195350000000004E-6</v>
      </c>
      <c r="I1316">
        <v>287.92399999999998</v>
      </c>
      <c r="J1316">
        <v>-239.98169999999999</v>
      </c>
      <c r="K1316">
        <v>1.120552</v>
      </c>
      <c r="L1316">
        <v>283.26409999999998</v>
      </c>
      <c r="M1316">
        <v>-0.99916719999999903</v>
      </c>
      <c r="N1316">
        <v>-9.5867169999999998E-3</v>
      </c>
      <c r="O1316">
        <v>-3.9660979999999998E-2</v>
      </c>
      <c r="P1316">
        <v>-0.98325879999999999</v>
      </c>
      <c r="Q1316">
        <v>0.18209700000000001</v>
      </c>
      <c r="R1316">
        <v>6.5520960000000003E-3</v>
      </c>
      <c r="S1316">
        <v>-3.0628660000000001</v>
      </c>
      <c r="T1316">
        <v>-6.9738629999999996E-2</v>
      </c>
      <c r="U1316">
        <v>0.28903200000000001</v>
      </c>
      <c r="V1316">
        <v>4.5642380000000003E-2</v>
      </c>
      <c r="W1316">
        <v>0.19148180000000001</v>
      </c>
      <c r="X1316">
        <v>0.98043440000000004</v>
      </c>
      <c r="Y1316">
        <v>0.13331029999999999</v>
      </c>
      <c r="Z1316">
        <v>2.6765869999999998E-3</v>
      </c>
      <c r="AA1316">
        <v>0.99107069999999997</v>
      </c>
      <c r="AB1316">
        <v>27</v>
      </c>
      <c r="AC1316">
        <v>-48.811100000000003</v>
      </c>
      <c r="AD1316">
        <v>-1.1205481804649999</v>
      </c>
      <c r="AE1316">
        <v>4.6599000000000501</v>
      </c>
      <c r="AF1316">
        <v>6.5887772291545703</v>
      </c>
      <c r="AG1316">
        <v>-1.1205481804649999</v>
      </c>
      <c r="AH1316">
        <v>48.562504829393497</v>
      </c>
      <c r="AI1316">
        <v>91.309831747360704</v>
      </c>
      <c r="AJ1316">
        <v>82.273504413242307</v>
      </c>
      <c r="AK1316">
        <v>49.020245704250001</v>
      </c>
      <c r="AL1316">
        <v>78.960727674598701</v>
      </c>
      <c r="AM1316">
        <v>87.334621233297199</v>
      </c>
      <c r="AN1316">
        <v>1.0000000596433301</v>
      </c>
    </row>
    <row r="1317" spans="1:40" x14ac:dyDescent="0.25">
      <c r="A1317" t="str">
        <f>"20190303162527268"</f>
        <v>20190303162527268</v>
      </c>
      <c r="B1317" t="str">
        <f>"1551601527263908"</f>
        <v>1551601527263908</v>
      </c>
      <c r="C1317" t="s">
        <v>40</v>
      </c>
      <c r="D1317">
        <v>5.1743350000000001</v>
      </c>
      <c r="E1317">
        <v>0.53593359999999901</v>
      </c>
      <c r="F1317" t="s">
        <v>51</v>
      </c>
      <c r="G1317">
        <v>-289.46120000000002</v>
      </c>
      <c r="H1317" s="1">
        <v>3.512283E-6</v>
      </c>
      <c r="I1317">
        <v>287.97660000000002</v>
      </c>
      <c r="J1317">
        <v>-240.25710000000001</v>
      </c>
      <c r="K1317">
        <v>1.12053</v>
      </c>
      <c r="L1317">
        <v>283.25349999999997</v>
      </c>
      <c r="M1317">
        <v>-0.99917809999999996</v>
      </c>
      <c r="N1317">
        <v>-9.5841250000000006E-3</v>
      </c>
      <c r="O1317">
        <v>-3.9386249999999998E-2</v>
      </c>
      <c r="P1317">
        <v>-0.98358049999999997</v>
      </c>
      <c r="Q1317">
        <v>0.18027070000000001</v>
      </c>
      <c r="R1317">
        <v>8.4819249999999995E-3</v>
      </c>
      <c r="S1317">
        <v>-3.0619809999999998</v>
      </c>
      <c r="T1317">
        <v>-6.9343920000000003E-2</v>
      </c>
      <c r="U1317">
        <v>0.291626</v>
      </c>
      <c r="V1317">
        <v>4.7315169999999997E-2</v>
      </c>
      <c r="W1317">
        <v>0.18965380000000001</v>
      </c>
      <c r="X1317">
        <v>0.98071030000000003</v>
      </c>
      <c r="Y1317">
        <v>0.13389709999999999</v>
      </c>
      <c r="Z1317">
        <v>2.6693540000000001E-3</v>
      </c>
      <c r="AA1317">
        <v>0.99099170000000003</v>
      </c>
      <c r="AB1317">
        <v>27</v>
      </c>
      <c r="AC1317">
        <v>-49.204099999999997</v>
      </c>
      <c r="AD1317">
        <v>-1.120526487717</v>
      </c>
      <c r="AE1317">
        <v>4.7231000000000396</v>
      </c>
      <c r="AF1317">
        <v>6.6540694457031098</v>
      </c>
      <c r="AG1317">
        <v>-1.120526487717</v>
      </c>
      <c r="AH1317">
        <v>48.954726690319298</v>
      </c>
      <c r="AI1317">
        <v>91.299273207936096</v>
      </c>
      <c r="AJ1317">
        <v>82.259625602285098</v>
      </c>
      <c r="AK1317">
        <v>49.417582752718502</v>
      </c>
      <c r="AL1317">
        <v>79.0674188409089</v>
      </c>
      <c r="AM1317">
        <v>87.2378600649985</v>
      </c>
      <c r="AN1317">
        <v>0.99999999084632896</v>
      </c>
    </row>
    <row r="1318" spans="1:40" x14ac:dyDescent="0.25">
      <c r="A1318" t="str">
        <f>"20190303162527293"</f>
        <v>20190303162527293</v>
      </c>
      <c r="B1318" t="str">
        <f>"1551601527284404"</f>
        <v>1551601527284404</v>
      </c>
      <c r="C1318" t="s">
        <v>40</v>
      </c>
      <c r="D1318">
        <v>5.1559160000000004</v>
      </c>
      <c r="E1318">
        <v>0.53576049999999997</v>
      </c>
      <c r="F1318" t="s">
        <v>51</v>
      </c>
      <c r="G1318">
        <v>-284.43130000000002</v>
      </c>
      <c r="H1318" s="1">
        <v>5.8481610000000002E-6</v>
      </c>
      <c r="I1318">
        <v>287.4667</v>
      </c>
      <c r="J1318">
        <v>-240.55940000000001</v>
      </c>
      <c r="K1318">
        <v>1.1205039999999999</v>
      </c>
      <c r="L1318">
        <v>283.24189999999999</v>
      </c>
      <c r="M1318">
        <v>-0.99919069999999999</v>
      </c>
      <c r="N1318">
        <v>-9.5823620000000005E-3</v>
      </c>
      <c r="O1318">
        <v>-3.9067350000000001E-2</v>
      </c>
      <c r="P1318">
        <v>-0.98396649999999997</v>
      </c>
      <c r="Q1318">
        <v>0.17809269999999999</v>
      </c>
      <c r="R1318">
        <v>9.6447170000000006E-3</v>
      </c>
      <c r="S1318">
        <v>-3.061798</v>
      </c>
      <c r="T1318">
        <v>-7.7665570000000003E-2</v>
      </c>
      <c r="U1318">
        <v>0.29202270000000002</v>
      </c>
      <c r="V1318">
        <v>4.8182750000000003E-2</v>
      </c>
      <c r="W1318">
        <v>0.1874759</v>
      </c>
      <c r="X1318">
        <v>0.98108669999999998</v>
      </c>
      <c r="Y1318">
        <v>0.13370179999999901</v>
      </c>
      <c r="Z1318">
        <v>2.9493000000000002E-3</v>
      </c>
      <c r="AA1318">
        <v>0.99101719999999904</v>
      </c>
      <c r="AB1318">
        <v>27</v>
      </c>
      <c r="AC1318">
        <v>-43.871899999999997</v>
      </c>
      <c r="AD1318">
        <v>-1.120498151839</v>
      </c>
      <c r="AE1318">
        <v>4.2248000000000099</v>
      </c>
      <c r="AF1318">
        <v>5.9317780930563799</v>
      </c>
      <c r="AG1318">
        <v>-1.120498151839</v>
      </c>
      <c r="AH1318">
        <v>43.645136651730397</v>
      </c>
      <c r="AI1318">
        <v>91.457235888849496</v>
      </c>
      <c r="AJ1318">
        <v>82.260394289673201</v>
      </c>
      <c r="AK1318">
        <v>44.060633912845198</v>
      </c>
      <c r="AL1318">
        <v>79.194482353636801</v>
      </c>
      <c r="AM1318">
        <v>87.188370920577896</v>
      </c>
      <c r="AN1318">
        <v>0.99999995169763001</v>
      </c>
    </row>
    <row r="1319" spans="1:40" x14ac:dyDescent="0.25">
      <c r="A1319" t="str">
        <f>"20190303162527316"</f>
        <v>20190303162527316</v>
      </c>
      <c r="B1319" t="str">
        <f>"1551601527303924"</f>
        <v>1551601527303924</v>
      </c>
      <c r="C1319" t="s">
        <v>40</v>
      </c>
      <c r="D1319">
        <v>5.1440169999999998</v>
      </c>
      <c r="E1319">
        <v>0.5354719</v>
      </c>
      <c r="F1319" t="s">
        <v>51</v>
      </c>
      <c r="G1319">
        <v>-280.86649999999997</v>
      </c>
      <c r="H1319" s="1">
        <v>7.5006129999999902E-6</v>
      </c>
      <c r="I1319">
        <v>287.12009999999998</v>
      </c>
      <c r="J1319">
        <v>-240.83920000000001</v>
      </c>
      <c r="K1319">
        <v>1.120474</v>
      </c>
      <c r="L1319">
        <v>283.23129999999998</v>
      </c>
      <c r="M1319">
        <v>-0.99920350000000002</v>
      </c>
      <c r="N1319">
        <v>-9.5816119999999998E-3</v>
      </c>
      <c r="O1319">
        <v>-3.874027E-2</v>
      </c>
      <c r="P1319">
        <v>-0.98405500000000001</v>
      </c>
      <c r="Q1319">
        <v>0.1775206</v>
      </c>
      <c r="R1319">
        <v>1.1066110000000001E-2</v>
      </c>
      <c r="S1319">
        <v>-3.061401</v>
      </c>
      <c r="T1319">
        <v>-8.5103750000000006E-2</v>
      </c>
      <c r="U1319">
        <v>0.29455569999999998</v>
      </c>
      <c r="V1319">
        <v>4.9293530000000002E-2</v>
      </c>
      <c r="W1319">
        <v>0.1869006</v>
      </c>
      <c r="X1319">
        <v>0.98114129999999999</v>
      </c>
      <c r="Y1319">
        <v>0.13419010000000001</v>
      </c>
      <c r="Z1319">
        <v>3.2094110000000001E-3</v>
      </c>
      <c r="AA1319">
        <v>0.99095040000000001</v>
      </c>
      <c r="AB1319">
        <v>27</v>
      </c>
      <c r="AC1319">
        <v>-40.027299999999897</v>
      </c>
      <c r="AD1319">
        <v>-1.1204664993869999</v>
      </c>
      <c r="AE1319">
        <v>3.8887999999999998</v>
      </c>
      <c r="AF1319">
        <v>5.4324029292500802</v>
      </c>
      <c r="AG1319">
        <v>-1.1204664993869999</v>
      </c>
      <c r="AH1319">
        <v>39.8156820789305</v>
      </c>
      <c r="AI1319">
        <v>91.597164647415596</v>
      </c>
      <c r="AJ1319">
        <v>82.230607432559793</v>
      </c>
      <c r="AK1319">
        <v>40.200186394747497</v>
      </c>
      <c r="AL1319">
        <v>79.228037923631902</v>
      </c>
      <c r="AM1319">
        <v>87.123820512074801</v>
      </c>
      <c r="AN1319">
        <v>0.99999996847295403</v>
      </c>
    </row>
    <row r="1320" spans="1:40" x14ac:dyDescent="0.25">
      <c r="A1320" t="str">
        <f>"20190303162527335"</f>
        <v>20190303162527335</v>
      </c>
      <c r="B1320" t="str">
        <f>"1551601527324420"</f>
        <v>1551601527324420</v>
      </c>
      <c r="C1320" t="s">
        <v>40</v>
      </c>
      <c r="D1320">
        <v>5.1710339999999997</v>
      </c>
      <c r="E1320">
        <v>0.53514589999999995</v>
      </c>
      <c r="F1320" t="s">
        <v>48</v>
      </c>
      <c r="G1320">
        <v>-279.53089999999997</v>
      </c>
      <c r="H1320" s="1">
        <v>3.4311550000000001E-6</v>
      </c>
      <c r="I1320">
        <v>286.99439999999998</v>
      </c>
      <c r="J1320">
        <v>-241.07570000000001</v>
      </c>
      <c r="K1320">
        <v>1.1204400000000001</v>
      </c>
      <c r="L1320">
        <v>283.22239999999999</v>
      </c>
      <c r="M1320">
        <v>-0.99921550000000003</v>
      </c>
      <c r="N1320">
        <v>-9.581549E-3</v>
      </c>
      <c r="O1320">
        <v>-3.842922E-2</v>
      </c>
      <c r="P1320">
        <v>-0.98415180000000002</v>
      </c>
      <c r="Q1320">
        <v>0.17699129999999999</v>
      </c>
      <c r="R1320">
        <v>1.0942779999999999E-2</v>
      </c>
      <c r="S1320">
        <v>-3.061264</v>
      </c>
      <c r="T1320">
        <v>-8.8650939999999998E-2</v>
      </c>
      <c r="U1320">
        <v>0.29772949999999998</v>
      </c>
      <c r="V1320">
        <v>4.887913E-2</v>
      </c>
      <c r="W1320">
        <v>0.1863698</v>
      </c>
      <c r="X1320">
        <v>0.981263</v>
      </c>
      <c r="Y1320">
        <v>0.1348974</v>
      </c>
      <c r="Z1320">
        <v>3.339351E-3</v>
      </c>
      <c r="AA1320">
        <v>0.99085400000000001</v>
      </c>
      <c r="AB1320">
        <v>27</v>
      </c>
      <c r="AC1320">
        <v>-38.455199999999898</v>
      </c>
      <c r="AD1320">
        <v>-1.120436568845</v>
      </c>
      <c r="AE1320">
        <v>3.77199999999999</v>
      </c>
      <c r="AF1320">
        <v>5.2426762992191902</v>
      </c>
      <c r="AG1320">
        <v>-1.120436568845</v>
      </c>
      <c r="AH1320">
        <v>38.249668536701598</v>
      </c>
      <c r="AI1320">
        <v>91.662335629957894</v>
      </c>
      <c r="AJ1320">
        <v>82.195407466321399</v>
      </c>
      <c r="AK1320">
        <v>38.623544322740997</v>
      </c>
      <c r="AL1320">
        <v>79.258994507058802</v>
      </c>
      <c r="AM1320">
        <v>87.148312975232002</v>
      </c>
      <c r="AN1320">
        <v>0.99999997343529801</v>
      </c>
    </row>
    <row r="1321" spans="1:40" x14ac:dyDescent="0.25">
      <c r="A1321" t="str">
        <f>"20190303162527356"</f>
        <v>20190303162527356</v>
      </c>
      <c r="B1321" t="str">
        <f>"1551601527343941"</f>
        <v>1551601527343941</v>
      </c>
      <c r="C1321" t="s">
        <v>40</v>
      </c>
      <c r="D1321">
        <v>5.1181580000000002</v>
      </c>
      <c r="E1321">
        <v>0.534796099999999</v>
      </c>
      <c r="F1321" t="s">
        <v>48</v>
      </c>
      <c r="G1321">
        <v>-277.70069999999998</v>
      </c>
      <c r="H1321" s="1">
        <v>2.4672779999999999E-6</v>
      </c>
      <c r="I1321">
        <v>286.7629</v>
      </c>
      <c r="J1321">
        <v>-241.33619999999999</v>
      </c>
      <c r="K1321">
        <v>1.1203879999999999</v>
      </c>
      <c r="L1321">
        <v>283.21280000000002</v>
      </c>
      <c r="M1321">
        <v>-0.99923010000000001</v>
      </c>
      <c r="N1321">
        <v>-9.5820239999999997E-3</v>
      </c>
      <c r="O1321">
        <v>-3.8048600000000002E-2</v>
      </c>
      <c r="P1321">
        <v>-0.98429509999999998</v>
      </c>
      <c r="Q1321">
        <v>0.1763245</v>
      </c>
      <c r="R1321">
        <v>8.5507840000000005E-3</v>
      </c>
      <c r="S1321">
        <v>-3.0619049999999999</v>
      </c>
      <c r="T1321">
        <v>-9.3670489999999995E-2</v>
      </c>
      <c r="U1321">
        <v>0.29598999999999998</v>
      </c>
      <c r="V1321">
        <v>4.6134559999999998E-2</v>
      </c>
      <c r="W1321">
        <v>0.18570410000000001</v>
      </c>
      <c r="X1321">
        <v>0.98152209999999995</v>
      </c>
      <c r="Y1321">
        <v>0.1339341</v>
      </c>
      <c r="Z1321">
        <v>3.4845689999999999E-3</v>
      </c>
      <c r="AA1321">
        <v>0.99098410000000003</v>
      </c>
      <c r="AB1321">
        <v>27</v>
      </c>
      <c r="AC1321">
        <v>-36.3644999999999</v>
      </c>
      <c r="AD1321">
        <v>-1.120385532722</v>
      </c>
      <c r="AE1321">
        <v>3.55009999999998</v>
      </c>
      <c r="AF1321">
        <v>4.9265783334913804</v>
      </c>
      <c r="AG1321">
        <v>-1.120385532722</v>
      </c>
      <c r="AH1321">
        <v>36.1690738779509</v>
      </c>
      <c r="AI1321">
        <v>91.758023119165898</v>
      </c>
      <c r="AJ1321">
        <v>82.243493624886199</v>
      </c>
      <c r="AK1321">
        <v>36.520245659176901</v>
      </c>
      <c r="AL1321">
        <v>79.297814512210905</v>
      </c>
      <c r="AM1321">
        <v>87.308902634300395</v>
      </c>
      <c r="AN1321">
        <v>1.0000000215858</v>
      </c>
    </row>
    <row r="1322" spans="1:40" x14ac:dyDescent="0.25">
      <c r="A1322" t="str">
        <f>"20190303162527470"</f>
        <v>20190303162527470</v>
      </c>
      <c r="B1322" t="str">
        <f>"1551601527463988"</f>
        <v>1551601527463988</v>
      </c>
      <c r="C1322" t="s">
        <v>40</v>
      </c>
      <c r="D1322">
        <v>4.2035679999999997</v>
      </c>
      <c r="E1322">
        <v>0.4829349</v>
      </c>
      <c r="F1322" t="s">
        <v>48</v>
      </c>
      <c r="G1322">
        <v>-275.49090000000001</v>
      </c>
      <c r="H1322" s="1">
        <v>1.30592E-6</v>
      </c>
      <c r="I1322">
        <v>286.43029999999999</v>
      </c>
      <c r="J1322">
        <v>-242.73859999999999</v>
      </c>
      <c r="K1322">
        <v>1.120274</v>
      </c>
      <c r="L1322">
        <v>283.1635</v>
      </c>
      <c r="M1322">
        <v>-0.99932500000000002</v>
      </c>
      <c r="N1322">
        <v>-9.5813630000000007E-3</v>
      </c>
      <c r="O1322">
        <v>-3.5464919999999997E-2</v>
      </c>
      <c r="P1322">
        <v>-0.98441140000000005</v>
      </c>
      <c r="Q1322">
        <v>0.17569949999999901</v>
      </c>
      <c r="R1322">
        <v>8.0042569999999903E-3</v>
      </c>
      <c r="S1322">
        <v>-3.063339</v>
      </c>
      <c r="T1322">
        <v>-0.10048749999999999</v>
      </c>
      <c r="U1322">
        <v>0.2885742</v>
      </c>
      <c r="V1322">
        <v>4.3100159999999998E-2</v>
      </c>
      <c r="W1322">
        <v>0.18507109999999999</v>
      </c>
      <c r="X1322">
        <v>0.98177959999999997</v>
      </c>
      <c r="Y1322">
        <v>0.12894</v>
      </c>
      <c r="Z1322">
        <v>3.5507720000000002E-3</v>
      </c>
      <c r="AA1322">
        <v>0.99164609999999997</v>
      </c>
      <c r="AB1322">
        <v>28</v>
      </c>
      <c r="AC1322">
        <v>-32.752299999999998</v>
      </c>
      <c r="AD1322">
        <v>-1.1202726940799901</v>
      </c>
      <c r="AE1322">
        <v>3.2667999999999799</v>
      </c>
      <c r="AF1322">
        <v>4.4212341186186404</v>
      </c>
      <c r="AG1322">
        <v>-1.1202726940799901</v>
      </c>
      <c r="AH1322">
        <v>32.578093242673297</v>
      </c>
      <c r="AI1322">
        <v>91.951595223878996</v>
      </c>
      <c r="AJ1322">
        <v>82.271498628579494</v>
      </c>
      <c r="AK1322">
        <v>32.895812520274603</v>
      </c>
      <c r="AL1322">
        <v>79.334722931478296</v>
      </c>
      <c r="AM1322">
        <v>87.486327169551501</v>
      </c>
      <c r="AN1322">
        <v>1.00000005941169</v>
      </c>
    </row>
    <row r="1323" spans="1:40" x14ac:dyDescent="0.25">
      <c r="A1323" t="str">
        <f>"20190303162527495"</f>
        <v>20190303162527495</v>
      </c>
      <c r="B1323" t="str">
        <f>"1551601527484484"</f>
        <v>1551601527484484</v>
      </c>
      <c r="C1323" t="s">
        <v>40</v>
      </c>
      <c r="D1323">
        <v>5.3101039999999999</v>
      </c>
      <c r="E1323">
        <v>0.48932039999999999</v>
      </c>
      <c r="F1323" t="s">
        <v>42</v>
      </c>
      <c r="G1323">
        <v>-243.45679999999999</v>
      </c>
      <c r="H1323">
        <v>0.78289089999999995</v>
      </c>
      <c r="I1323">
        <v>283.12920000000003</v>
      </c>
      <c r="J1323">
        <v>-243.04089999999999</v>
      </c>
      <c r="K1323">
        <v>1.1202719999999999</v>
      </c>
      <c r="L1323">
        <v>283.15339999999998</v>
      </c>
      <c r="M1323">
        <v>-0.99934639999999997</v>
      </c>
      <c r="N1323">
        <v>-9.5734240000000005E-3</v>
      </c>
      <c r="O1323">
        <v>-3.4861540000000003E-2</v>
      </c>
      <c r="P1323">
        <v>-0.98420430000000003</v>
      </c>
      <c r="Q1323">
        <v>0.17688879999999901</v>
      </c>
      <c r="R1323">
        <v>7.2252799999999997E-3</v>
      </c>
      <c r="S1323">
        <v>-3.3278500000000002</v>
      </c>
      <c r="T1323">
        <v>-1.563436</v>
      </c>
      <c r="U1323">
        <v>-0.15939329999999999</v>
      </c>
      <c r="V1323">
        <v>4.1723540000000003E-2</v>
      </c>
      <c r="W1323">
        <v>0.18625230000000001</v>
      </c>
      <c r="X1323">
        <v>0.98161560000000003</v>
      </c>
      <c r="Y1323">
        <v>-1.4894370000000001E-2</v>
      </c>
      <c r="Z1323">
        <v>1.183376E-2</v>
      </c>
      <c r="AA1323">
        <v>0.99981900000000001</v>
      </c>
      <c r="AB1323">
        <v>28</v>
      </c>
      <c r="AC1323">
        <v>-0.415899999999993</v>
      </c>
      <c r="AD1323">
        <v>-0.33738109999999899</v>
      </c>
      <c r="AE1323">
        <v>-2.4199999999950698E-2</v>
      </c>
      <c r="AF1323">
        <v>-5.84943616517789E-3</v>
      </c>
      <c r="AG1323">
        <v>-0.33738109999999899</v>
      </c>
      <c r="AH1323">
        <v>0.25152894160603601</v>
      </c>
      <c r="AI1323">
        <v>143.28681149671201</v>
      </c>
      <c r="AJ1323">
        <v>91.332202982677003</v>
      </c>
      <c r="AK1323">
        <v>0.42086462313446199</v>
      </c>
      <c r="AL1323">
        <v>79.265846805363594</v>
      </c>
      <c r="AM1323">
        <v>87.566109747678397</v>
      </c>
      <c r="AN1323">
        <v>0.99999997960439002</v>
      </c>
    </row>
    <row r="1324" spans="1:40" x14ac:dyDescent="0.25">
      <c r="A1324" t="str">
        <f>"20190303162527516"</f>
        <v>20190303162527516</v>
      </c>
      <c r="B1324" t="str">
        <f>"1551601527504983"</f>
        <v>1551601527504983</v>
      </c>
      <c r="C1324" t="s">
        <v>40</v>
      </c>
      <c r="D1324">
        <v>5.430364</v>
      </c>
      <c r="E1324">
        <v>0.48852190000000001</v>
      </c>
      <c r="F1324" t="s">
        <v>42</v>
      </c>
      <c r="G1324">
        <v>-243.78370000000001</v>
      </c>
      <c r="H1324">
        <v>0.96524359999999998</v>
      </c>
      <c r="I1324">
        <v>283.13240000000002</v>
      </c>
      <c r="J1324">
        <v>-243.3228</v>
      </c>
      <c r="K1324">
        <v>1.1202589999999999</v>
      </c>
      <c r="L1324">
        <v>283.14409999999998</v>
      </c>
      <c r="M1324">
        <v>-0.99936579999999997</v>
      </c>
      <c r="N1324">
        <v>-9.5582059999999996E-3</v>
      </c>
      <c r="O1324">
        <v>-3.4302140000000002E-2</v>
      </c>
      <c r="P1324">
        <v>-0.98413030000000001</v>
      </c>
      <c r="Q1324">
        <v>0.1773421</v>
      </c>
      <c r="R1324">
        <v>6.1378479999999996E-3</v>
      </c>
      <c r="S1324">
        <v>-3.1676479999999998</v>
      </c>
      <c r="T1324">
        <v>-0.66118759999999999</v>
      </c>
      <c r="U1324">
        <v>-9.0087890000000004E-2</v>
      </c>
      <c r="V1324">
        <v>4.0085240000000001E-2</v>
      </c>
      <c r="W1324">
        <v>0.1866922</v>
      </c>
      <c r="X1324">
        <v>0.98160029999999998</v>
      </c>
      <c r="Y1324">
        <v>5.09116E-3</v>
      </c>
      <c r="Z1324">
        <v>7.3059259999999999E-3</v>
      </c>
      <c r="AA1324">
        <v>0.99996039999999997</v>
      </c>
      <c r="AB1324">
        <v>28</v>
      </c>
      <c r="AC1324">
        <v>-0.46090000000000902</v>
      </c>
      <c r="AD1324">
        <v>-0.1550154</v>
      </c>
      <c r="AE1324">
        <v>-1.1699999999961999E-2</v>
      </c>
      <c r="AF1324">
        <v>3.6992750552286E-3</v>
      </c>
      <c r="AG1324">
        <v>-0.1550154</v>
      </c>
      <c r="AH1324">
        <v>0.414205659331911</v>
      </c>
      <c r="AI1324">
        <v>110.517482344024</v>
      </c>
      <c r="AJ1324">
        <v>89.488304401233293</v>
      </c>
      <c r="AK1324">
        <v>0.44227795230564898</v>
      </c>
      <c r="AL1324">
        <v>79.240192385127401</v>
      </c>
      <c r="AM1324">
        <v>87.661533254812099</v>
      </c>
      <c r="AN1324">
        <v>0.999999976483393</v>
      </c>
    </row>
    <row r="1325" spans="1:40" x14ac:dyDescent="0.25">
      <c r="A1325" t="str">
        <f>"20190303162527537"</f>
        <v>20190303162527537</v>
      </c>
      <c r="B1325" t="str">
        <f>"1551601527534261"</f>
        <v>1551601527534261</v>
      </c>
      <c r="C1325" t="s">
        <v>40</v>
      </c>
      <c r="D1325">
        <v>4.9328399999999997</v>
      </c>
      <c r="E1325">
        <v>0.48953079999999999</v>
      </c>
      <c r="F1325" t="s">
        <v>42</v>
      </c>
      <c r="G1325">
        <v>-244.04750000000001</v>
      </c>
      <c r="H1325">
        <v>0.99607089999999998</v>
      </c>
      <c r="I1325">
        <v>283.12200000000001</v>
      </c>
      <c r="J1325">
        <v>-243.5752</v>
      </c>
      <c r="K1325">
        <v>1.1202460000000001</v>
      </c>
      <c r="L1325">
        <v>283.13600000000002</v>
      </c>
      <c r="M1325">
        <v>-0.99938309999999997</v>
      </c>
      <c r="N1325">
        <v>-9.524032E-3</v>
      </c>
      <c r="O1325">
        <v>-3.3805490000000001E-2</v>
      </c>
      <c r="P1325">
        <v>-0.98420090000000005</v>
      </c>
      <c r="Q1325">
        <v>0.17696779999999901</v>
      </c>
      <c r="R1325">
        <v>5.5931540000000004E-3</v>
      </c>
      <c r="S1325">
        <v>-3.1461329999999998</v>
      </c>
      <c r="T1325">
        <v>-0.53905839999999905</v>
      </c>
      <c r="U1325">
        <v>-9.6282960000000001E-2</v>
      </c>
      <c r="V1325">
        <v>3.9054730000000003E-2</v>
      </c>
      <c r="W1325">
        <v>0.18628600000000001</v>
      </c>
      <c r="X1325">
        <v>0.98171900000000001</v>
      </c>
      <c r="Y1325">
        <v>2.738613E-3</v>
      </c>
      <c r="Z1325">
        <v>5.6736769999999898E-3</v>
      </c>
      <c r="AA1325">
        <v>0.99998019999999999</v>
      </c>
      <c r="AB1325">
        <v>28</v>
      </c>
      <c r="AC1325">
        <v>-0.47230000000001798</v>
      </c>
      <c r="AD1325">
        <v>-0.124175099999999</v>
      </c>
      <c r="AE1325">
        <v>-1.39999999999531E-2</v>
      </c>
      <c r="AF1325">
        <v>1.84746564353389E-3</v>
      </c>
      <c r="AG1325">
        <v>-0.124175099999999</v>
      </c>
      <c r="AH1325">
        <v>0.44197851824079898</v>
      </c>
      <c r="AI1325">
        <v>105.69272592150701</v>
      </c>
      <c r="AJ1325">
        <v>89.760505627955197</v>
      </c>
      <c r="AK1325">
        <v>0.45909462987018901</v>
      </c>
      <c r="AL1325">
        <v>79.263881442438304</v>
      </c>
      <c r="AM1325">
        <v>87.721861481916406</v>
      </c>
      <c r="AN1325">
        <v>0.99999997034618504</v>
      </c>
    </row>
    <row r="1326" spans="1:40" x14ac:dyDescent="0.25">
      <c r="A1326" t="str">
        <f>"20190303162527557"</f>
        <v>20190303162527557</v>
      </c>
      <c r="B1326" t="str">
        <f>"1551601527544021"</f>
        <v>1551601527544021</v>
      </c>
      <c r="C1326" t="s">
        <v>40</v>
      </c>
      <c r="D1326">
        <v>4.9142270000000003</v>
      </c>
      <c r="E1326">
        <v>0.48887789999999998</v>
      </c>
      <c r="F1326" t="s">
        <v>49</v>
      </c>
      <c r="G1326">
        <v>-511.95940000000002</v>
      </c>
      <c r="H1326">
        <v>2.5030640000000002</v>
      </c>
      <c r="I1326">
        <v>276.28140000000002</v>
      </c>
      <c r="J1326">
        <v>-243.83539999999999</v>
      </c>
      <c r="K1326">
        <v>1.1202240000000001</v>
      </c>
      <c r="L1326">
        <v>283.1277</v>
      </c>
      <c r="M1326">
        <v>-0.99940079999999998</v>
      </c>
      <c r="N1326">
        <v>-9.4627400000000007E-3</v>
      </c>
      <c r="O1326">
        <v>-3.329729E-2</v>
      </c>
      <c r="P1326">
        <v>-0.9842166</v>
      </c>
      <c r="Q1326">
        <v>0.17688019999999999</v>
      </c>
      <c r="R1326">
        <v>5.5983119999999898E-3</v>
      </c>
      <c r="S1326">
        <v>-3.045776</v>
      </c>
      <c r="T1326">
        <v>1.56939E-2</v>
      </c>
      <c r="U1326">
        <v>-7.778931E-2</v>
      </c>
      <c r="V1326">
        <v>3.8560589999999999E-2</v>
      </c>
      <c r="W1326">
        <v>0.1861389</v>
      </c>
      <c r="X1326">
        <v>0.98176649999999999</v>
      </c>
      <c r="Y1326">
        <v>7.7668809999999998E-3</v>
      </c>
      <c r="Z1326">
        <v>-4.6986180000000002E-4</v>
      </c>
      <c r="AA1326">
        <v>0.99996969999999996</v>
      </c>
      <c r="AB1326">
        <v>28</v>
      </c>
      <c r="AC1326">
        <v>-268.12400000000002</v>
      </c>
      <c r="AD1326">
        <v>1.3828399999999901</v>
      </c>
      <c r="AE1326">
        <v>-6.8462999999999798</v>
      </c>
      <c r="AF1326">
        <v>2.0856426074257501</v>
      </c>
      <c r="AG1326">
        <v>1.3828399999999901</v>
      </c>
      <c r="AH1326">
        <v>268.19615387652698</v>
      </c>
      <c r="AI1326">
        <v>89.7045901034694</v>
      </c>
      <c r="AJ1326">
        <v>89.554445101266495</v>
      </c>
      <c r="AK1326">
        <v>268.20782819618302</v>
      </c>
      <c r="AL1326">
        <v>79.272460389938203</v>
      </c>
      <c r="AM1326">
        <v>87.750764550951203</v>
      </c>
      <c r="AN1326">
        <v>1.0000000348583</v>
      </c>
    </row>
    <row r="1327" spans="1:40" x14ac:dyDescent="0.25">
      <c r="A1327" t="str">
        <f>"20190303162527581"</f>
        <v>20190303162527581</v>
      </c>
      <c r="B1327" t="str">
        <f>"1551601527574276"</f>
        <v>1551601527574276</v>
      </c>
      <c r="C1327" t="s">
        <v>40</v>
      </c>
      <c r="D1327">
        <v>4.881081</v>
      </c>
      <c r="E1327">
        <v>0.48792790000000003</v>
      </c>
      <c r="F1327" t="s">
        <v>50</v>
      </c>
      <c r="G1327">
        <v>-454.8227</v>
      </c>
      <c r="H1327">
        <v>0.13008789999999901</v>
      </c>
      <c r="I1327">
        <v>277.34969999999998</v>
      </c>
      <c r="J1327">
        <v>-244.1277</v>
      </c>
      <c r="K1327">
        <v>1.120196</v>
      </c>
      <c r="L1327">
        <v>283.11860000000001</v>
      </c>
      <c r="M1327">
        <v>-0.99942050000000004</v>
      </c>
      <c r="N1327">
        <v>-9.3618169999999997E-3</v>
      </c>
      <c r="O1327">
        <v>-3.2729689999999999E-2</v>
      </c>
      <c r="P1327">
        <v>-0.98421840000000005</v>
      </c>
      <c r="Q1327">
        <v>0.1768595</v>
      </c>
      <c r="R1327">
        <v>5.9462450000000002E-3</v>
      </c>
      <c r="S1327">
        <v>-3.0511629999999998</v>
      </c>
      <c r="T1327">
        <v>-1.4317750000000001E-2</v>
      </c>
      <c r="U1327">
        <v>-8.3557129999999993E-2</v>
      </c>
      <c r="V1327">
        <v>3.835015E-2</v>
      </c>
      <c r="W1327">
        <v>0.1860194</v>
      </c>
      <c r="X1327">
        <v>0.98179729999999998</v>
      </c>
      <c r="Y1327">
        <v>5.3579069999999899E-3</v>
      </c>
      <c r="Z1327">
        <v>-1.152629E-4</v>
      </c>
      <c r="AA1327">
        <v>0.99998560000000003</v>
      </c>
      <c r="AB1327">
        <v>28</v>
      </c>
      <c r="AC1327">
        <v>-210.69499999999999</v>
      </c>
      <c r="AD1327">
        <v>-0.99010810000000005</v>
      </c>
      <c r="AE1327">
        <v>-5.7689000000000297</v>
      </c>
      <c r="AF1327">
        <v>1.13044958782065</v>
      </c>
      <c r="AG1327">
        <v>-0.99010810000000005</v>
      </c>
      <c r="AH1327">
        <v>210.76627992336401</v>
      </c>
      <c r="AI1327">
        <v>90.269150179917702</v>
      </c>
      <c r="AJ1327">
        <v>89.6926957704937</v>
      </c>
      <c r="AK1327">
        <v>210.77163704600801</v>
      </c>
      <c r="AL1327">
        <v>79.279427965196504</v>
      </c>
      <c r="AM1327">
        <v>87.763097096155704</v>
      </c>
      <c r="AN1327">
        <v>0.99999994473433396</v>
      </c>
    </row>
    <row r="1328" spans="1:40" x14ac:dyDescent="0.25">
      <c r="A1328" t="str">
        <f>"20190303162527602"</f>
        <v>20190303162527602</v>
      </c>
      <c r="B1328" t="str">
        <f>"1551601527593796"</f>
        <v>1551601527593796</v>
      </c>
      <c r="C1328" t="s">
        <v>40</v>
      </c>
      <c r="D1328">
        <v>4.874911</v>
      </c>
      <c r="E1328">
        <v>0.48796970000000001</v>
      </c>
      <c r="F1328" t="s">
        <v>51</v>
      </c>
      <c r="G1328">
        <v>-299.983</v>
      </c>
      <c r="H1328" s="1">
        <v>4.2435359999999901E-6</v>
      </c>
      <c r="I1328">
        <v>281.46010000000001</v>
      </c>
      <c r="J1328">
        <v>-244.4015</v>
      </c>
      <c r="K1328">
        <v>1.120166</v>
      </c>
      <c r="L1328">
        <v>283.11020000000002</v>
      </c>
      <c r="M1328">
        <v>-0.99943879999999996</v>
      </c>
      <c r="N1328">
        <v>-9.2482380000000006E-3</v>
      </c>
      <c r="O1328">
        <v>-3.2199239999999997E-2</v>
      </c>
      <c r="P1328">
        <v>-0.98428859999999996</v>
      </c>
      <c r="Q1328">
        <v>0.17645999999999901</v>
      </c>
      <c r="R1328">
        <v>6.1641119999999898E-3</v>
      </c>
      <c r="S1328">
        <v>-3.0596770000000002</v>
      </c>
      <c r="T1328">
        <v>-6.13625E-2</v>
      </c>
      <c r="U1328">
        <v>-9.0850829999999994E-2</v>
      </c>
      <c r="V1328">
        <v>3.8047770000000002E-2</v>
      </c>
      <c r="W1328">
        <v>0.1855097</v>
      </c>
      <c r="X1328">
        <v>0.98190560000000005</v>
      </c>
      <c r="Y1328">
        <v>2.5193350000000002E-3</v>
      </c>
      <c r="Z1328">
        <v>3.84519E-4</v>
      </c>
      <c r="AA1328">
        <v>0.99999680000000002</v>
      </c>
      <c r="AB1328">
        <v>28</v>
      </c>
      <c r="AC1328">
        <v>-55.581499999999998</v>
      </c>
      <c r="AD1328">
        <v>-1.1201617564640001</v>
      </c>
      <c r="AE1328">
        <v>-1.6500999999999999</v>
      </c>
      <c r="AF1328">
        <v>0.14045708849767899</v>
      </c>
      <c r="AG1328">
        <v>-1.1201617564640001</v>
      </c>
      <c r="AH1328">
        <v>55.5832550872002</v>
      </c>
      <c r="AI1328">
        <v>91.1545140615831</v>
      </c>
      <c r="AJ1328">
        <v>89.855215725823101</v>
      </c>
      <c r="AK1328">
        <v>55.594718603866703</v>
      </c>
      <c r="AL1328">
        <v>79.309150019465804</v>
      </c>
      <c r="AM1328">
        <v>87.780961265000897</v>
      </c>
      <c r="AN1328">
        <v>1.00000004445371</v>
      </c>
    </row>
    <row r="1329" spans="1:40" x14ac:dyDescent="0.25">
      <c r="A1329" t="str">
        <f>"20190303162527626"</f>
        <v>20190303162527626</v>
      </c>
      <c r="B1329" t="str">
        <f>"1551601527614291"</f>
        <v>1551601527614291</v>
      </c>
      <c r="C1329" t="s">
        <v>40</v>
      </c>
      <c r="D1329">
        <v>4.8663740000000004</v>
      </c>
      <c r="E1329">
        <v>0.48756759999999899</v>
      </c>
      <c r="F1329" t="s">
        <v>51</v>
      </c>
      <c r="G1329">
        <v>-288.6968</v>
      </c>
      <c r="H1329" s="1">
        <v>5.1275379999999901E-6</v>
      </c>
      <c r="I1329">
        <v>281.8</v>
      </c>
      <c r="J1329">
        <v>-244.69309999999999</v>
      </c>
      <c r="K1329">
        <v>1.1201479999999999</v>
      </c>
      <c r="L1329">
        <v>283.10140000000001</v>
      </c>
      <c r="M1329">
        <v>-0.99945790000000001</v>
      </c>
      <c r="N1329">
        <v>-9.1213579999999995E-3</v>
      </c>
      <c r="O1329">
        <v>-3.1635480000000001E-2</v>
      </c>
      <c r="P1329">
        <v>-0.98432739999999996</v>
      </c>
      <c r="Q1329">
        <v>0.17622360000000001</v>
      </c>
      <c r="R1329">
        <v>6.7086990000000003E-3</v>
      </c>
      <c r="S1329">
        <v>-3.0623170000000002</v>
      </c>
      <c r="T1329">
        <v>-7.7441449999999995E-2</v>
      </c>
      <c r="U1329">
        <v>-9.0576169999999998E-2</v>
      </c>
      <c r="V1329">
        <v>3.8038389999999998E-2</v>
      </c>
      <c r="W1329">
        <v>0.18514890000000001</v>
      </c>
      <c r="X1329">
        <v>0.98197400000000001</v>
      </c>
      <c r="Y1329">
        <v>2.068009E-3</v>
      </c>
      <c r="Z1329">
        <v>5.4655069999999897E-4</v>
      </c>
      <c r="AA1329">
        <v>0.99999769999999999</v>
      </c>
      <c r="AB1329">
        <v>28</v>
      </c>
      <c r="AC1329">
        <v>-44.003700000000002</v>
      </c>
      <c r="AD1329">
        <v>-1.1201428724619999</v>
      </c>
      <c r="AE1329">
        <v>-1.3013999999999999</v>
      </c>
      <c r="AF1329">
        <v>9.1328329412980302E-2</v>
      </c>
      <c r="AG1329">
        <v>-1.1201428724619999</v>
      </c>
      <c r="AH1329">
        <v>43.994362247703698</v>
      </c>
      <c r="AI1329">
        <v>91.458492736810399</v>
      </c>
      <c r="AJ1329">
        <v>89.881059298478704</v>
      </c>
      <c r="AK1329">
        <v>44.008714710846299</v>
      </c>
      <c r="AL1329">
        <v>79.330186129938099</v>
      </c>
      <c r="AM1329">
        <v>87.781662158830102</v>
      </c>
      <c r="AN1329">
        <v>0.99999998548050095</v>
      </c>
    </row>
    <row r="1330" spans="1:40" x14ac:dyDescent="0.25">
      <c r="A1330" t="str">
        <f>"20190303162527648"</f>
        <v>20190303162527648</v>
      </c>
      <c r="B1330" t="str">
        <f>"1551601527644548"</f>
        <v>1551601527644548</v>
      </c>
      <c r="C1330" t="s">
        <v>40</v>
      </c>
      <c r="D1330">
        <v>4.8440190000000003</v>
      </c>
      <c r="E1330">
        <v>0.48748639999999999</v>
      </c>
      <c r="F1330" t="s">
        <v>51</v>
      </c>
      <c r="G1330">
        <v>-280.89440000000002</v>
      </c>
      <c r="H1330" s="1">
        <v>8.5441530000000001E-6</v>
      </c>
      <c r="I1330">
        <v>282.01010000000002</v>
      </c>
      <c r="J1330">
        <v>-244.97450000000001</v>
      </c>
      <c r="K1330">
        <v>1.1201209999999999</v>
      </c>
      <c r="L1330">
        <v>283.09300000000002</v>
      </c>
      <c r="M1330">
        <v>-0.99947620000000004</v>
      </c>
      <c r="N1330">
        <v>-8.9909840000000005E-3</v>
      </c>
      <c r="O1330">
        <v>-3.1091980000000002E-2</v>
      </c>
      <c r="P1330">
        <v>-0.98435689999999998</v>
      </c>
      <c r="Q1330">
        <v>0.17605599999999999</v>
      </c>
      <c r="R1330">
        <v>6.7896140000000002E-3</v>
      </c>
      <c r="S1330">
        <v>-3.065369</v>
      </c>
      <c r="T1330">
        <v>-9.4848630000000003E-2</v>
      </c>
      <c r="U1330">
        <v>-9.2407230000000007E-2</v>
      </c>
      <c r="V1330">
        <v>3.7585060000000003E-2</v>
      </c>
      <c r="W1330">
        <v>0.18485409999999999</v>
      </c>
      <c r="X1330">
        <v>0.982047</v>
      </c>
      <c r="Y1330">
        <v>9.5376070000000002E-4</v>
      </c>
      <c r="Z1330">
        <v>7.0090069999999998E-4</v>
      </c>
      <c r="AA1330">
        <v>0.99999930000000004</v>
      </c>
      <c r="AB1330">
        <v>28</v>
      </c>
      <c r="AC1330">
        <v>-35.919899999999998</v>
      </c>
      <c r="AD1330">
        <v>-1.1201124558469999</v>
      </c>
      <c r="AE1330">
        <v>-1.08289999999999</v>
      </c>
      <c r="AF1330">
        <v>3.4455950458872397E-2</v>
      </c>
      <c r="AG1330">
        <v>-1.1201124558469999</v>
      </c>
      <c r="AH1330">
        <v>35.901323784279903</v>
      </c>
      <c r="AI1330">
        <v>91.787033683067193</v>
      </c>
      <c r="AJ1330">
        <v>89.945010943158294</v>
      </c>
      <c r="AK1330">
        <v>35.918809676685598</v>
      </c>
      <c r="AL1330">
        <v>79.347373689181893</v>
      </c>
      <c r="AM1330">
        <v>87.808236470873496</v>
      </c>
      <c r="AN1330">
        <v>0.99999999261550598</v>
      </c>
    </row>
    <row r="1331" spans="1:40" x14ac:dyDescent="0.25">
      <c r="A1331" t="str">
        <f>"20190303162527669"</f>
        <v>20190303162527669</v>
      </c>
      <c r="B1331" t="str">
        <f>"1551601527664068"</f>
        <v>1551601527664068</v>
      </c>
      <c r="C1331" t="s">
        <v>40</v>
      </c>
      <c r="D1331">
        <v>4.8617999999999997</v>
      </c>
      <c r="E1331">
        <v>0.48734830000000001</v>
      </c>
      <c r="F1331" t="s">
        <v>48</v>
      </c>
      <c r="G1331">
        <v>-277.55520000000001</v>
      </c>
      <c r="H1331" s="1">
        <v>2.5934320000000001E-6</v>
      </c>
      <c r="I1331">
        <v>282.10590000000002</v>
      </c>
      <c r="J1331">
        <v>-245.2405</v>
      </c>
      <c r="K1331">
        <v>1.120099</v>
      </c>
      <c r="L1331">
        <v>283.08530000000002</v>
      </c>
      <c r="M1331">
        <v>-0.99949319999999997</v>
      </c>
      <c r="N1331">
        <v>-8.8591450000000006E-3</v>
      </c>
      <c r="O1331">
        <v>-3.057816E-2</v>
      </c>
      <c r="P1331">
        <v>-0.98438859999999995</v>
      </c>
      <c r="Q1331">
        <v>0.175871</v>
      </c>
      <c r="R1331">
        <v>6.9956389999999997E-3</v>
      </c>
      <c r="S1331">
        <v>-3.0671539999999999</v>
      </c>
      <c r="T1331">
        <v>-0.1054484</v>
      </c>
      <c r="U1331">
        <v>-9.2926030000000007E-2</v>
      </c>
      <c r="V1331">
        <v>3.728646E-2</v>
      </c>
      <c r="W1331">
        <v>0.1845406</v>
      </c>
      <c r="X1331">
        <v>0.98211740000000003</v>
      </c>
      <c r="Y1331">
        <v>2.8609270000000002E-4</v>
      </c>
      <c r="Z1331">
        <v>7.8581769999999998E-4</v>
      </c>
      <c r="AA1331">
        <v>0.99999959999999999</v>
      </c>
      <c r="AB1331">
        <v>28</v>
      </c>
      <c r="AC1331">
        <v>-32.314700000000002</v>
      </c>
      <c r="AD1331">
        <v>-1.1200964065679999</v>
      </c>
      <c r="AE1331">
        <v>-0.97939999999999805</v>
      </c>
      <c r="AF1331">
        <v>9.2097329595878206E-3</v>
      </c>
      <c r="AG1331">
        <v>-1.1200964065679999</v>
      </c>
      <c r="AH1331">
        <v>32.290776616025902</v>
      </c>
      <c r="AI1331">
        <v>91.986668618855802</v>
      </c>
      <c r="AJ1331">
        <v>89.983658528223302</v>
      </c>
      <c r="AK1331">
        <v>32.310198935402298</v>
      </c>
      <c r="AL1331">
        <v>79.365650978423503</v>
      </c>
      <c r="AM1331">
        <v>87.825788189024195</v>
      </c>
      <c r="AN1331">
        <v>1.00000005026522</v>
      </c>
    </row>
    <row r="1332" spans="1:40" x14ac:dyDescent="0.25">
      <c r="A1332" t="str">
        <f>"20190303162527693"</f>
        <v>20190303162527693</v>
      </c>
      <c r="B1332" t="str">
        <f>"1551601527684564"</f>
        <v>1551601527684564</v>
      </c>
      <c r="C1332" t="s">
        <v>40</v>
      </c>
      <c r="D1332">
        <v>4.8934040000000003</v>
      </c>
      <c r="E1332">
        <v>0.48729329999999998</v>
      </c>
      <c r="F1332" t="s">
        <v>48</v>
      </c>
      <c r="G1332">
        <v>-276.63339999999999</v>
      </c>
      <c r="H1332" s="1">
        <v>2.1019070000000001E-6</v>
      </c>
      <c r="I1332">
        <v>282.12900000000002</v>
      </c>
      <c r="J1332">
        <v>-245.55260000000001</v>
      </c>
      <c r="K1332">
        <v>1.1200749999999999</v>
      </c>
      <c r="L1332">
        <v>283.07639999999998</v>
      </c>
      <c r="M1332">
        <v>-0.99951279999999998</v>
      </c>
      <c r="N1332">
        <v>-8.7002390000000002E-3</v>
      </c>
      <c r="O1332">
        <v>-2.9975559999999998E-2</v>
      </c>
      <c r="P1332">
        <v>-0.98427220000000004</v>
      </c>
      <c r="Q1332">
        <v>0.17652309999999999</v>
      </c>
      <c r="R1332">
        <v>6.9254819999999898E-3</v>
      </c>
      <c r="S1332">
        <v>-3.0677949999999998</v>
      </c>
      <c r="T1332">
        <v>-0.10945870000000001</v>
      </c>
      <c r="U1332">
        <v>-9.3444819999999998E-2</v>
      </c>
      <c r="V1332">
        <v>3.6621019999999997E-2</v>
      </c>
      <c r="W1332">
        <v>0.18503639999999999</v>
      </c>
      <c r="X1332">
        <v>0.98204910000000001</v>
      </c>
      <c r="Y1332">
        <v>-4.7983990000000001E-4</v>
      </c>
      <c r="Z1332">
        <v>7.9731609999999999E-4</v>
      </c>
      <c r="AA1332">
        <v>0.99999959999999999</v>
      </c>
      <c r="AB1332">
        <v>28</v>
      </c>
      <c r="AC1332">
        <v>-31.080799999999901</v>
      </c>
      <c r="AD1332">
        <v>-1.1200728980929999</v>
      </c>
      <c r="AE1332">
        <v>-0.94739999999995905</v>
      </c>
      <c r="AF1332">
        <v>-1.525482605782E-2</v>
      </c>
      <c r="AG1332">
        <v>-1.1200728980929999</v>
      </c>
      <c r="AH1332">
        <v>31.054938593100299</v>
      </c>
      <c r="AI1332">
        <v>92.065617865619501</v>
      </c>
      <c r="AJ1332">
        <v>90.028144865828594</v>
      </c>
      <c r="AK1332">
        <v>31.075134867414299</v>
      </c>
      <c r="AL1332">
        <v>79.336745413722298</v>
      </c>
      <c r="AM1332">
        <v>87.8644060505694</v>
      </c>
      <c r="AN1332">
        <v>1.0000000016207999</v>
      </c>
    </row>
    <row r="1333" spans="1:40" x14ac:dyDescent="0.25">
      <c r="A1333" t="str">
        <f>"20190303162527716"</f>
        <v>20190303162527716</v>
      </c>
      <c r="B1333" t="str">
        <f>"1551601527704591"</f>
        <v>1551601527704591</v>
      </c>
      <c r="C1333" t="s">
        <v>40</v>
      </c>
      <c r="D1333">
        <v>4.8643970000000003</v>
      </c>
      <c r="E1333">
        <v>0.48733720000000003</v>
      </c>
      <c r="F1333" t="s">
        <v>48</v>
      </c>
      <c r="G1333">
        <v>-277.09710000000001</v>
      </c>
      <c r="H1333" s="1">
        <v>2.349335E-6</v>
      </c>
      <c r="I1333">
        <v>282.11309999999997</v>
      </c>
      <c r="J1333">
        <v>-245.84190000000001</v>
      </c>
      <c r="K1333">
        <v>1.1200559999999999</v>
      </c>
      <c r="L1333">
        <v>283.06830000000002</v>
      </c>
      <c r="M1333">
        <v>-0.99953069999999999</v>
      </c>
      <c r="N1333">
        <v>-8.5576679999999992E-3</v>
      </c>
      <c r="O1333">
        <v>-2.9417849999999999E-2</v>
      </c>
      <c r="P1333">
        <v>-0.98400900000000002</v>
      </c>
      <c r="Q1333">
        <v>0.1779654</v>
      </c>
      <c r="R1333">
        <v>7.4079519999999998E-3</v>
      </c>
      <c r="S1333">
        <v>-3.0681150000000001</v>
      </c>
      <c r="T1333">
        <v>-0.108941899999999</v>
      </c>
      <c r="U1333">
        <v>-9.3688960000000002E-2</v>
      </c>
      <c r="V1333">
        <v>3.654872E-2</v>
      </c>
      <c r="W1333">
        <v>0.18633620000000001</v>
      </c>
      <c r="X1333">
        <v>0.98180599999999996</v>
      </c>
      <c r="Y1333">
        <v>-1.113466E-3</v>
      </c>
      <c r="Z1333">
        <v>7.675453E-4</v>
      </c>
      <c r="AA1333">
        <v>0.99999910000000003</v>
      </c>
      <c r="AB1333">
        <v>28</v>
      </c>
      <c r="AC1333">
        <v>-31.255199999999999</v>
      </c>
      <c r="AD1333">
        <v>-1.1200536506649901</v>
      </c>
      <c r="AE1333">
        <v>-0.95520000000004701</v>
      </c>
      <c r="AF1333">
        <v>-3.5247004967302903E-2</v>
      </c>
      <c r="AG1333">
        <v>-1.1200536506649901</v>
      </c>
      <c r="AH1333">
        <v>31.229704958261902</v>
      </c>
      <c r="AI1333">
        <v>92.054031944782594</v>
      </c>
      <c r="AJ1333">
        <v>90.064666117413097</v>
      </c>
      <c r="AK1333">
        <v>31.249803748372798</v>
      </c>
      <c r="AL1333">
        <v>79.260954312493297</v>
      </c>
      <c r="AM1333">
        <v>87.868091156298604</v>
      </c>
      <c r="AN1333">
        <v>1.0000000050000299</v>
      </c>
    </row>
    <row r="1334" spans="1:40" x14ac:dyDescent="0.25">
      <c r="A1334" t="str">
        <f>"20190303162527737"</f>
        <v>20190303162527737</v>
      </c>
      <c r="B1334" t="str">
        <f>"1551601527724111"</f>
        <v>1551601527724111</v>
      </c>
      <c r="C1334" t="s">
        <v>40</v>
      </c>
      <c r="D1334">
        <v>5.0593329999999996</v>
      </c>
      <c r="E1334">
        <v>0.48791659999999998</v>
      </c>
      <c r="F1334" t="s">
        <v>48</v>
      </c>
      <c r="G1334">
        <v>-278.48419999999999</v>
      </c>
      <c r="H1334" s="1">
        <v>3.0885109999999998E-6</v>
      </c>
      <c r="I1334">
        <v>282.08980000000003</v>
      </c>
      <c r="J1334">
        <v>-246.11420000000001</v>
      </c>
      <c r="K1334">
        <v>1.1200490000000001</v>
      </c>
      <c r="L1334">
        <v>283.06079999999997</v>
      </c>
      <c r="M1334">
        <v>-0.99954699999999996</v>
      </c>
      <c r="N1334">
        <v>-8.433744E-3</v>
      </c>
      <c r="O1334">
        <v>-2.889311E-2</v>
      </c>
      <c r="P1334">
        <v>-0.98385959999999995</v>
      </c>
      <c r="Q1334">
        <v>0.17877789999999999</v>
      </c>
      <c r="R1334">
        <v>7.688421E-3</v>
      </c>
      <c r="S1334">
        <v>-3.0684969999999998</v>
      </c>
      <c r="T1334">
        <v>-0.1052892</v>
      </c>
      <c r="U1334">
        <v>-9.1979980000000003E-2</v>
      </c>
      <c r="V1334">
        <v>3.6310479999999999E-2</v>
      </c>
      <c r="W1334">
        <v>0.18702569999999999</v>
      </c>
      <c r="X1334">
        <v>0.98168370000000005</v>
      </c>
      <c r="Y1334">
        <v>-1.077321E-3</v>
      </c>
      <c r="Z1334">
        <v>7.2404009999999896E-4</v>
      </c>
      <c r="AA1334">
        <v>0.99999919999999998</v>
      </c>
      <c r="AB1334">
        <v>28</v>
      </c>
      <c r="AC1334">
        <v>-32.369999999999898</v>
      </c>
      <c r="AD1334">
        <v>-1.120045911489</v>
      </c>
      <c r="AE1334">
        <v>-0.97099999999994602</v>
      </c>
      <c r="AF1334">
        <v>-3.5249254500884598E-2</v>
      </c>
      <c r="AG1334">
        <v>-1.120045911489</v>
      </c>
      <c r="AH1334">
        <v>32.345849617183902</v>
      </c>
      <c r="AI1334">
        <v>91.983198328346006</v>
      </c>
      <c r="AJ1334">
        <v>90.062438697338095</v>
      </c>
      <c r="AK1334">
        <v>32.365255024659703</v>
      </c>
      <c r="AL1334">
        <v>79.220741636779096</v>
      </c>
      <c r="AM1334">
        <v>87.881711513704602</v>
      </c>
      <c r="AN1334">
        <v>0.999999975132004</v>
      </c>
    </row>
    <row r="1335" spans="1:40" x14ac:dyDescent="0.25">
      <c r="A1335" t="str">
        <f>"20190303162527761"</f>
        <v>20190303162527761</v>
      </c>
      <c r="B1335" t="str">
        <f>"1551601527754367"</f>
        <v>1551601527754367</v>
      </c>
      <c r="C1335" t="s">
        <v>40</v>
      </c>
      <c r="D1335">
        <v>4.9305409999999998</v>
      </c>
      <c r="E1335">
        <v>0.48877359999999997</v>
      </c>
      <c r="F1335" t="s">
        <v>48</v>
      </c>
      <c r="G1335">
        <v>-279.11270000000002</v>
      </c>
      <c r="H1335" s="1">
        <v>3.4213749999999999E-6</v>
      </c>
      <c r="I1335">
        <v>282.1266</v>
      </c>
      <c r="J1335">
        <v>-246.40110000000001</v>
      </c>
      <c r="K1335">
        <v>1.1200399999999999</v>
      </c>
      <c r="L1335">
        <v>283.05309999999997</v>
      </c>
      <c r="M1335">
        <v>-0.99956389999999995</v>
      </c>
      <c r="N1335">
        <v>-8.3160999999999999E-3</v>
      </c>
      <c r="O1335">
        <v>-2.8340270000000001E-2</v>
      </c>
      <c r="P1335">
        <v>-0.98374810000000001</v>
      </c>
      <c r="Q1335">
        <v>0.17931129999999901</v>
      </c>
      <c r="R1335">
        <v>9.3392730000000004E-3</v>
      </c>
      <c r="S1335">
        <v>-3.068832</v>
      </c>
      <c r="T1335">
        <v>-0.1041632</v>
      </c>
      <c r="U1335">
        <v>-8.6883539999999995E-2</v>
      </c>
      <c r="V1335">
        <v>3.7414950000000002E-2</v>
      </c>
      <c r="W1335">
        <v>0.18744069999999999</v>
      </c>
      <c r="X1335">
        <v>0.98156310000000002</v>
      </c>
      <c r="Y1335" s="1">
        <v>3.1689729999999998E-5</v>
      </c>
      <c r="Z1335">
        <v>7.2630679999999997E-4</v>
      </c>
      <c r="AA1335">
        <v>0.99999979999999999</v>
      </c>
      <c r="AB1335">
        <v>29</v>
      </c>
      <c r="AC1335">
        <v>-32.711599999999997</v>
      </c>
      <c r="AD1335">
        <v>-1.1200365786249999</v>
      </c>
      <c r="AE1335">
        <v>-0.92649999999997601</v>
      </c>
      <c r="AF1335">
        <v>9.5853296886594397E-4</v>
      </c>
      <c r="AG1335">
        <v>-1.1200365786249999</v>
      </c>
      <c r="AH1335">
        <v>32.686428586124499</v>
      </c>
      <c r="AI1335">
        <v>91.962535295382395</v>
      </c>
      <c r="AJ1335">
        <v>89.998319795217697</v>
      </c>
      <c r="AK1335">
        <v>32.705612615758497</v>
      </c>
      <c r="AL1335">
        <v>79.1965361667705</v>
      </c>
      <c r="AM1335">
        <v>87.817072194886507</v>
      </c>
      <c r="AN1335">
        <v>1.0000000068907999</v>
      </c>
    </row>
    <row r="1336" spans="1:40" x14ac:dyDescent="0.25">
      <c r="A1336" t="str">
        <f>"20190303162527782"</f>
        <v>20190303162527782</v>
      </c>
      <c r="B1336" t="str">
        <f>"1551601527773887"</f>
        <v>1551601527773887</v>
      </c>
      <c r="C1336" t="s">
        <v>40</v>
      </c>
      <c r="D1336">
        <v>4.9115989999999998</v>
      </c>
      <c r="E1336">
        <v>0.48917959999999999</v>
      </c>
      <c r="F1336" t="s">
        <v>51</v>
      </c>
      <c r="G1336">
        <v>-280.4169</v>
      </c>
      <c r="H1336" s="1">
        <v>8.7161079999999997E-6</v>
      </c>
      <c r="I1336">
        <v>282.20269999999999</v>
      </c>
      <c r="J1336">
        <v>-246.69290000000001</v>
      </c>
      <c r="K1336">
        <v>1.1200220000000001</v>
      </c>
      <c r="L1336">
        <v>283.0455</v>
      </c>
      <c r="M1336">
        <v>-0.99958040000000004</v>
      </c>
      <c r="N1336">
        <v>-8.2096659999999991E-3</v>
      </c>
      <c r="O1336">
        <v>-2.7778520000000001E-2</v>
      </c>
      <c r="P1336">
        <v>-0.98386669999999998</v>
      </c>
      <c r="Q1336">
        <v>0.1785426</v>
      </c>
      <c r="R1336">
        <v>1.137064E-2</v>
      </c>
      <c r="S1336">
        <v>-3.0687099999999998</v>
      </c>
      <c r="T1336">
        <v>-0.1010429</v>
      </c>
      <c r="U1336">
        <v>-7.6721189999999995E-2</v>
      </c>
      <c r="V1336">
        <v>3.889687E-2</v>
      </c>
      <c r="W1336">
        <v>0.1865667</v>
      </c>
      <c r="X1336">
        <v>0.98167199999999999</v>
      </c>
      <c r="Y1336">
        <v>2.776766E-3</v>
      </c>
      <c r="Z1336">
        <v>7.4318379999999996E-4</v>
      </c>
      <c r="AA1336">
        <v>0.99999590000000005</v>
      </c>
      <c r="AB1336">
        <v>29</v>
      </c>
      <c r="AC1336">
        <v>-33.723999999999897</v>
      </c>
      <c r="AD1336">
        <v>-1.1200132838919901</v>
      </c>
      <c r="AE1336">
        <v>-0.84280000000001098</v>
      </c>
      <c r="AF1336">
        <v>9.4255728858362905E-2</v>
      </c>
      <c r="AG1336">
        <v>-1.1200132838919901</v>
      </c>
      <c r="AH1336">
        <v>33.6972533946645</v>
      </c>
      <c r="AI1336">
        <v>91.903661622379801</v>
      </c>
      <c r="AJ1336">
        <v>89.839736452374396</v>
      </c>
      <c r="AK1336">
        <v>33.715993241231097</v>
      </c>
      <c r="AL1336">
        <v>79.247511942396102</v>
      </c>
      <c r="AM1336">
        <v>87.730951602347503</v>
      </c>
      <c r="AN1336">
        <v>1.0000000078143401</v>
      </c>
    </row>
    <row r="1337" spans="1:40" x14ac:dyDescent="0.25">
      <c r="A1337" t="str">
        <f>"20190303162527805"</f>
        <v>20190303162527805</v>
      </c>
      <c r="B1337" t="str">
        <f>"1551601527795358"</f>
        <v>1551601527795358</v>
      </c>
      <c r="C1337" t="s">
        <v>40</v>
      </c>
      <c r="D1337">
        <v>5.2418110000000002</v>
      </c>
      <c r="E1337">
        <v>0.48948970000000003</v>
      </c>
      <c r="F1337" t="s">
        <v>51</v>
      </c>
      <c r="G1337">
        <v>-280.05950000000001</v>
      </c>
      <c r="H1337" s="1">
        <v>8.8536999999999996E-6</v>
      </c>
      <c r="I1337">
        <v>282.30380000000002</v>
      </c>
      <c r="J1337">
        <v>-246.97800000000001</v>
      </c>
      <c r="K1337">
        <v>1.120012</v>
      </c>
      <c r="L1337">
        <v>283.03809999999999</v>
      </c>
      <c r="M1337">
        <v>-0.99959620000000005</v>
      </c>
      <c r="N1337">
        <v>-8.1175020000000004E-3</v>
      </c>
      <c r="O1337">
        <v>-2.7229710000000001E-2</v>
      </c>
      <c r="P1337">
        <v>-0.9839947</v>
      </c>
      <c r="Q1337">
        <v>0.17772389999999999</v>
      </c>
      <c r="R1337">
        <v>1.2995980000000001E-2</v>
      </c>
      <c r="S1337">
        <v>-3.0686650000000002</v>
      </c>
      <c r="T1337">
        <v>-0.1030056</v>
      </c>
      <c r="U1337">
        <v>-6.8206790000000003E-2</v>
      </c>
      <c r="V1337">
        <v>3.9985390000000003E-2</v>
      </c>
      <c r="W1337">
        <v>0.18565680000000001</v>
      </c>
      <c r="X1337">
        <v>0.98180069999999997</v>
      </c>
      <c r="Y1337">
        <v>4.9984490000000003E-3</v>
      </c>
      <c r="Z1337">
        <v>7.9664509999999896E-4</v>
      </c>
      <c r="AA1337">
        <v>0.99998719999999996</v>
      </c>
      <c r="AB1337">
        <v>29</v>
      </c>
      <c r="AC1337">
        <v>-33.081499999999998</v>
      </c>
      <c r="AD1337">
        <v>-1.1200031463</v>
      </c>
      <c r="AE1337">
        <v>-0.73429999999996198</v>
      </c>
      <c r="AF1337">
        <v>0.16661078594755399</v>
      </c>
      <c r="AG1337">
        <v>-1.1200031463</v>
      </c>
      <c r="AH1337">
        <v>33.051362608378597</v>
      </c>
      <c r="AI1337">
        <v>91.940800252699603</v>
      </c>
      <c r="AJ1337">
        <v>89.711176385953493</v>
      </c>
      <c r="AK1337">
        <v>33.070753491147499</v>
      </c>
      <c r="AL1337">
        <v>79.300571753436103</v>
      </c>
      <c r="AM1337">
        <v>87.667827399001496</v>
      </c>
      <c r="AN1337">
        <v>0.99999994666008896</v>
      </c>
    </row>
    <row r="1338" spans="1:40" x14ac:dyDescent="0.25">
      <c r="A1338" t="str">
        <f>"20190303162527848"</f>
        <v>20190303162527848</v>
      </c>
      <c r="B1338" t="str">
        <f>"1551601527834398"</f>
        <v>1551601527834398</v>
      </c>
      <c r="C1338" t="s">
        <v>40</v>
      </c>
      <c r="D1338">
        <v>5.1792559999999996</v>
      </c>
      <c r="E1338">
        <v>0.48999110000000001</v>
      </c>
      <c r="F1338" t="s">
        <v>48</v>
      </c>
      <c r="G1338">
        <v>-279.48180000000002</v>
      </c>
      <c r="H1338" s="1">
        <v>3.6059629999999999E-6</v>
      </c>
      <c r="I1338">
        <v>282.3965</v>
      </c>
      <c r="J1338">
        <v>-247.5334</v>
      </c>
      <c r="K1338">
        <v>1.1199859999999999</v>
      </c>
      <c r="L1338">
        <v>283.02420000000001</v>
      </c>
      <c r="M1338">
        <v>-0.99962600000000001</v>
      </c>
      <c r="N1338">
        <v>-7.9697190000000001E-3</v>
      </c>
      <c r="O1338">
        <v>-2.6160949999999999E-2</v>
      </c>
      <c r="P1338">
        <v>-0.98390659999999996</v>
      </c>
      <c r="Q1338">
        <v>0.17805389999999999</v>
      </c>
      <c r="R1338">
        <v>1.5004389999999999E-2</v>
      </c>
      <c r="S1338">
        <v>-3.068695</v>
      </c>
      <c r="T1338">
        <v>-0.1057405</v>
      </c>
      <c r="U1338">
        <v>-6.0577390000000002E-2</v>
      </c>
      <c r="V1338">
        <v>4.0941970000000001E-2</v>
      </c>
      <c r="W1338">
        <v>0.18583949999999999</v>
      </c>
      <c r="X1338">
        <v>0.98172680000000001</v>
      </c>
      <c r="Y1338">
        <v>6.4129959999999998E-3</v>
      </c>
      <c r="Z1338">
        <v>8.2850950000000001E-4</v>
      </c>
      <c r="AA1338">
        <v>0.99997910000000001</v>
      </c>
      <c r="AB1338">
        <v>29</v>
      </c>
      <c r="AC1338">
        <v>-31.948399999999999</v>
      </c>
      <c r="AD1338">
        <v>-1.119982394037</v>
      </c>
      <c r="AE1338">
        <v>-0.62770000000000403</v>
      </c>
      <c r="AF1338">
        <v>0.20808624307777299</v>
      </c>
      <c r="AG1338">
        <v>-1.119982394037</v>
      </c>
      <c r="AH1338">
        <v>31.914681010894999</v>
      </c>
      <c r="AI1338">
        <v>92.009814202859999</v>
      </c>
      <c r="AJ1338">
        <v>89.626432281860005</v>
      </c>
      <c r="AK1338">
        <v>31.935004688815901</v>
      </c>
      <c r="AL1338">
        <v>79.289919399768493</v>
      </c>
      <c r="AM1338">
        <v>87.611918567498705</v>
      </c>
      <c r="AN1338">
        <v>1.00000003725298</v>
      </c>
    </row>
    <row r="1339" spans="1:40" x14ac:dyDescent="0.25">
      <c r="A1339" t="str">
        <f>"20190303162527870"</f>
        <v>20190303162527870</v>
      </c>
      <c r="B1339" t="str">
        <f>"1551601527864655"</f>
        <v>1551601527864655</v>
      </c>
      <c r="C1339" t="s">
        <v>40</v>
      </c>
      <c r="D1339">
        <v>4.961748</v>
      </c>
      <c r="E1339">
        <v>0.49022890000000002</v>
      </c>
      <c r="F1339" t="s">
        <v>51</v>
      </c>
      <c r="G1339">
        <v>-280.64640000000003</v>
      </c>
      <c r="H1339" s="1">
        <v>8.5574849999999996E-6</v>
      </c>
      <c r="I1339">
        <v>282.47789999999998</v>
      </c>
      <c r="J1339">
        <v>-247.8304</v>
      </c>
      <c r="K1339">
        <v>1.119972</v>
      </c>
      <c r="L1339">
        <v>283.01710000000003</v>
      </c>
      <c r="M1339">
        <v>-0.99964140000000001</v>
      </c>
      <c r="N1339">
        <v>-7.9061659999999992E-3</v>
      </c>
      <c r="O1339">
        <v>-2.5589600000000001E-2</v>
      </c>
      <c r="P1339">
        <v>-0.98380880000000004</v>
      </c>
      <c r="Q1339">
        <v>0.1784762</v>
      </c>
      <c r="R1339">
        <v>1.6337089999999999E-2</v>
      </c>
      <c r="S1339">
        <v>-3.0686339999999999</v>
      </c>
      <c r="T1339">
        <v>-0.1037902</v>
      </c>
      <c r="U1339">
        <v>-5.0628659999999999E-2</v>
      </c>
      <c r="V1339">
        <v>4.171126E-2</v>
      </c>
      <c r="W1339">
        <v>0.18619749999999999</v>
      </c>
      <c r="X1339">
        <v>0.98162660000000002</v>
      </c>
      <c r="Y1339">
        <v>9.0808069999999998E-3</v>
      </c>
      <c r="Z1339">
        <v>8.5223220000000004E-4</v>
      </c>
      <c r="AA1339">
        <v>0.99995840000000003</v>
      </c>
      <c r="AB1339">
        <v>29</v>
      </c>
      <c r="AC1339">
        <v>-32.816000000000003</v>
      </c>
      <c r="AD1339">
        <v>-1.119963442515</v>
      </c>
      <c r="AE1339">
        <v>-0.53920000000004997</v>
      </c>
      <c r="AF1339">
        <v>0.30040122994014601</v>
      </c>
      <c r="AG1339">
        <v>-1.119963442515</v>
      </c>
      <c r="AH1339">
        <v>32.780879952771599</v>
      </c>
      <c r="AI1339">
        <v>91.956675283076194</v>
      </c>
      <c r="AJ1339">
        <v>89.474960986805101</v>
      </c>
      <c r="AK1339">
        <v>32.801381822867498</v>
      </c>
      <c r="AL1339">
        <v>79.269043389455405</v>
      </c>
      <c r="AM1339">
        <v>87.566852458096704</v>
      </c>
      <c r="AN1339">
        <v>1.00000006002229</v>
      </c>
    </row>
    <row r="1340" spans="1:40" x14ac:dyDescent="0.25">
      <c r="A1340" t="str">
        <f>"20190303162527895"</f>
        <v>20190303162527895</v>
      </c>
      <c r="B1340" t="str">
        <f>"1551601527884174"</f>
        <v>1551601527884174</v>
      </c>
      <c r="C1340" t="s">
        <v>40</v>
      </c>
      <c r="D1340">
        <v>5.1140790000000003</v>
      </c>
      <c r="E1340">
        <v>0.4903613</v>
      </c>
      <c r="F1340" t="s">
        <v>51</v>
      </c>
      <c r="G1340">
        <v>-281.57420000000002</v>
      </c>
      <c r="H1340" s="1">
        <v>8.1375410000000001E-6</v>
      </c>
      <c r="I1340">
        <v>282.51909999999998</v>
      </c>
      <c r="J1340">
        <v>-248.15270000000001</v>
      </c>
      <c r="K1340">
        <v>1.1199680000000001</v>
      </c>
      <c r="L1340">
        <v>283.0095</v>
      </c>
      <c r="M1340">
        <v>-0.99965749999999998</v>
      </c>
      <c r="N1340">
        <v>-7.8474459999999992E-3</v>
      </c>
      <c r="O1340">
        <v>-2.4969740000000001E-2</v>
      </c>
      <c r="P1340">
        <v>-0.98386739999999995</v>
      </c>
      <c r="Q1340">
        <v>0.17802299999999999</v>
      </c>
      <c r="R1340">
        <v>1.769925E-2</v>
      </c>
      <c r="S1340">
        <v>-3.068619</v>
      </c>
      <c r="T1340">
        <v>-0.1018481</v>
      </c>
      <c r="U1340">
        <v>-4.5288090000000003E-2</v>
      </c>
      <c r="V1340">
        <v>4.2465620000000003E-2</v>
      </c>
      <c r="W1340">
        <v>0.18568580000000001</v>
      </c>
      <c r="X1340">
        <v>0.98169110000000004</v>
      </c>
      <c r="Y1340">
        <v>1.0200580000000001E-2</v>
      </c>
      <c r="Z1340">
        <v>8.4171569999999995E-4</v>
      </c>
      <c r="AA1340">
        <v>0.99994760000000005</v>
      </c>
      <c r="AB1340">
        <v>29</v>
      </c>
      <c r="AC1340">
        <v>-33.421500000000002</v>
      </c>
      <c r="AD1340">
        <v>-1.1199598624589999</v>
      </c>
      <c r="AE1340">
        <v>-0.49040000000002198</v>
      </c>
      <c r="AF1340">
        <v>0.343918583146478</v>
      </c>
      <c r="AG1340">
        <v>-1.1199598624589999</v>
      </c>
      <c r="AH1340">
        <v>33.385842396400797</v>
      </c>
      <c r="AI1340">
        <v>91.921219112978903</v>
      </c>
      <c r="AJ1340">
        <v>89.409798138282099</v>
      </c>
      <c r="AK1340">
        <v>33.406392540989302</v>
      </c>
      <c r="AL1340">
        <v>79.298881139336302</v>
      </c>
      <c r="AM1340">
        <v>87.523065169485406</v>
      </c>
      <c r="AN1340">
        <v>0.99999998051141703</v>
      </c>
    </row>
    <row r="1341" spans="1:40" x14ac:dyDescent="0.25">
      <c r="A1341" t="str">
        <f>"20190303162527918"</f>
        <v>20190303162527918</v>
      </c>
      <c r="B1341" t="str">
        <f>"1551601527904671"</f>
        <v>1551601527904671</v>
      </c>
      <c r="C1341" t="s">
        <v>40</v>
      </c>
      <c r="D1341">
        <v>5.1150440000000001</v>
      </c>
      <c r="E1341">
        <v>0.4905079</v>
      </c>
      <c r="F1341" t="s">
        <v>51</v>
      </c>
      <c r="G1341">
        <v>-281.47140000000002</v>
      </c>
      <c r="H1341" s="1">
        <v>8.173869E-6</v>
      </c>
      <c r="I1341">
        <v>282.56380000000001</v>
      </c>
      <c r="J1341">
        <v>-248.44540000000001</v>
      </c>
      <c r="K1341">
        <v>1.119958</v>
      </c>
      <c r="L1341">
        <v>283.00279999999998</v>
      </c>
      <c r="M1341">
        <v>-0.9996718</v>
      </c>
      <c r="N1341">
        <v>-7.8026090000000003E-3</v>
      </c>
      <c r="O1341">
        <v>-2.4406919999999999E-2</v>
      </c>
      <c r="P1341">
        <v>-0.98388679999999995</v>
      </c>
      <c r="Q1341">
        <v>0.17779819999999999</v>
      </c>
      <c r="R1341">
        <v>1.8831710000000002E-2</v>
      </c>
      <c r="S1341">
        <v>-3.0685880000000001</v>
      </c>
      <c r="T1341">
        <v>-0.1031461</v>
      </c>
      <c r="U1341">
        <v>-4.1046140000000002E-2</v>
      </c>
      <c r="V1341">
        <v>4.3045409999999999E-2</v>
      </c>
      <c r="W1341">
        <v>0.185416</v>
      </c>
      <c r="X1341">
        <v>0.9817169</v>
      </c>
      <c r="Y1341">
        <v>1.101863E-2</v>
      </c>
      <c r="Z1341">
        <v>8.5775869999999896E-4</v>
      </c>
      <c r="AA1341">
        <v>0.99993889999999996</v>
      </c>
      <c r="AB1341">
        <v>29</v>
      </c>
      <c r="AC1341">
        <v>-33.026000000000003</v>
      </c>
      <c r="AD1341">
        <v>-1.1199498261309999</v>
      </c>
      <c r="AE1341">
        <v>-0.43899999999996397</v>
      </c>
      <c r="AF1341">
        <v>0.36679641652942602</v>
      </c>
      <c r="AG1341">
        <v>-1.1199498261309999</v>
      </c>
      <c r="AH1341">
        <v>32.988946663109203</v>
      </c>
      <c r="AI1341">
        <v>91.944281580067099</v>
      </c>
      <c r="AJ1341">
        <v>89.362967819404702</v>
      </c>
      <c r="AK1341">
        <v>33.009989838921399</v>
      </c>
      <c r="AL1341">
        <v>79.314613326005002</v>
      </c>
      <c r="AM1341">
        <v>87.489356058802997</v>
      </c>
      <c r="AN1341">
        <v>1.00000003606183</v>
      </c>
    </row>
    <row r="1342" spans="1:40" x14ac:dyDescent="0.25">
      <c r="A1342" t="str">
        <f>"20190303162527937"</f>
        <v>20190303162527937</v>
      </c>
      <c r="B1342" t="str">
        <f>"1551601527924192"</f>
        <v>1551601527924192</v>
      </c>
      <c r="C1342" t="s">
        <v>40</v>
      </c>
      <c r="D1342">
        <v>5.0610369999999998</v>
      </c>
      <c r="E1342">
        <v>0.49054700000000001</v>
      </c>
      <c r="F1342" t="s">
        <v>51</v>
      </c>
      <c r="G1342">
        <v>-281.58920000000001</v>
      </c>
      <c r="H1342" s="1">
        <v>8.1111740000000001E-6</v>
      </c>
      <c r="I1342">
        <v>282.61450000000002</v>
      </c>
      <c r="J1342">
        <v>-248.71260000000001</v>
      </c>
      <c r="K1342">
        <v>1.1199589999999999</v>
      </c>
      <c r="L1342">
        <v>282.99680000000001</v>
      </c>
      <c r="M1342">
        <v>-0.99968449999999998</v>
      </c>
      <c r="N1342">
        <v>-7.7680630000000004E-3</v>
      </c>
      <c r="O1342">
        <v>-2.3893950000000001E-2</v>
      </c>
      <c r="P1342">
        <v>-0.98381689999999999</v>
      </c>
      <c r="Q1342">
        <v>0.17806</v>
      </c>
      <c r="R1342">
        <v>1.9981820000000001E-2</v>
      </c>
      <c r="S1342">
        <v>-3.0685730000000002</v>
      </c>
      <c r="T1342">
        <v>-0.1036892</v>
      </c>
      <c r="U1342">
        <v>-3.5949710000000003E-2</v>
      </c>
      <c r="V1342">
        <v>4.369025E-2</v>
      </c>
      <c r="W1342">
        <v>0.18564269999999999</v>
      </c>
      <c r="X1342">
        <v>0.98164549999999995</v>
      </c>
      <c r="Y1342">
        <v>1.216511E-2</v>
      </c>
      <c r="Z1342">
        <v>8.7420070000000002E-4</v>
      </c>
      <c r="AA1342">
        <v>0.99992559999999997</v>
      </c>
      <c r="AB1342">
        <v>29</v>
      </c>
      <c r="AC1342">
        <v>-32.876600000000003</v>
      </c>
      <c r="AD1342">
        <v>-1.1199508888259999</v>
      </c>
      <c r="AE1342">
        <v>-0.38229999999998598</v>
      </c>
      <c r="AF1342">
        <v>0.40291705039409498</v>
      </c>
      <c r="AG1342">
        <v>-1.1199508888259999</v>
      </c>
      <c r="AH1342">
        <v>32.838246268312801</v>
      </c>
      <c r="AI1342">
        <v>91.953172915560799</v>
      </c>
      <c r="AJ1342">
        <v>89.297030422458505</v>
      </c>
      <c r="AK1342">
        <v>32.859809039634399</v>
      </c>
      <c r="AL1342">
        <v>79.301394156551297</v>
      </c>
      <c r="AM1342">
        <v>87.451609571562599</v>
      </c>
      <c r="AN1342">
        <v>0.99999996883929998</v>
      </c>
    </row>
    <row r="1343" spans="1:40" x14ac:dyDescent="0.25">
      <c r="A1343" t="str">
        <f>"20190303162527961"</f>
        <v>20190303162527961</v>
      </c>
      <c r="B1343" t="str">
        <f>"1551601527954447"</f>
        <v>1551601527954447</v>
      </c>
      <c r="C1343" t="s">
        <v>40</v>
      </c>
      <c r="D1343">
        <v>5.0615500000000004</v>
      </c>
      <c r="E1343">
        <v>0.49060670000000001</v>
      </c>
      <c r="F1343" t="s">
        <v>51</v>
      </c>
      <c r="G1343">
        <v>-282.15609999999998</v>
      </c>
      <c r="H1343" s="1">
        <v>7.8538030000000008E-6</v>
      </c>
      <c r="I1343">
        <v>282.64319999999998</v>
      </c>
      <c r="J1343">
        <v>-249.01390000000001</v>
      </c>
      <c r="K1343">
        <v>1.1199589999999999</v>
      </c>
      <c r="L1343">
        <v>282.99020000000002</v>
      </c>
      <c r="M1343">
        <v>-0.99969839999999999</v>
      </c>
      <c r="N1343">
        <v>-7.7357969999999896E-3</v>
      </c>
      <c r="O1343">
        <v>-2.331544E-2</v>
      </c>
      <c r="P1343">
        <v>-0.9837072</v>
      </c>
      <c r="Q1343">
        <v>0.17852079999999901</v>
      </c>
      <c r="R1343">
        <v>2.1230260000000001E-2</v>
      </c>
      <c r="S1343">
        <v>-3.0686040000000001</v>
      </c>
      <c r="T1343">
        <v>-0.1027608</v>
      </c>
      <c r="U1343">
        <v>-3.2440190000000001E-2</v>
      </c>
      <c r="V1343">
        <v>4.436851E-2</v>
      </c>
      <c r="W1343">
        <v>0.18607000000000001</v>
      </c>
      <c r="X1343">
        <v>0.98153420000000002</v>
      </c>
      <c r="Y1343">
        <v>1.2730139999999999E-2</v>
      </c>
      <c r="Z1343">
        <v>8.6246949999999999E-4</v>
      </c>
      <c r="AA1343">
        <v>0.99991859999999999</v>
      </c>
      <c r="AB1343">
        <v>29</v>
      </c>
      <c r="AC1343">
        <v>-33.142199999999903</v>
      </c>
      <c r="AD1343">
        <v>-1.119951146197</v>
      </c>
      <c r="AE1343">
        <v>-0.347000000000036</v>
      </c>
      <c r="AF1343">
        <v>0.42535662982424199</v>
      </c>
      <c r="AG1343">
        <v>-1.119951146197</v>
      </c>
      <c r="AH1343">
        <v>33.103483356465702</v>
      </c>
      <c r="AI1343">
        <v>91.937521718195498</v>
      </c>
      <c r="AJ1343">
        <v>89.263829782342896</v>
      </c>
      <c r="AK1343">
        <v>33.125154024761997</v>
      </c>
      <c r="AL1343">
        <v>79.276477857894093</v>
      </c>
      <c r="AM1343">
        <v>87.411807947490303</v>
      </c>
      <c r="AN1343">
        <v>0.99999999767462999</v>
      </c>
    </row>
    <row r="1344" spans="1:40" x14ac:dyDescent="0.25">
      <c r="A1344" t="str">
        <f>"20190303162527983"</f>
        <v>20190303162527983</v>
      </c>
      <c r="B1344" t="str">
        <f>"1551601527973968"</f>
        <v>1551601527973968</v>
      </c>
      <c r="C1344" t="s">
        <v>40</v>
      </c>
      <c r="D1344">
        <v>5.0028360000000003</v>
      </c>
      <c r="E1344">
        <v>0.49063440000000003</v>
      </c>
      <c r="F1344" t="s">
        <v>51</v>
      </c>
      <c r="G1344">
        <v>-283.06229999999999</v>
      </c>
      <c r="H1344" s="1">
        <v>7.44593899999999E-6</v>
      </c>
      <c r="I1344">
        <v>282.67219999999998</v>
      </c>
      <c r="J1344">
        <v>-249.31010000000001</v>
      </c>
      <c r="K1344">
        <v>1.119958</v>
      </c>
      <c r="L1344">
        <v>282.98390000000001</v>
      </c>
      <c r="M1344">
        <v>-0.99971140000000003</v>
      </c>
      <c r="N1344">
        <v>-7.715001E-3</v>
      </c>
      <c r="O1344">
        <v>-2.274673E-2</v>
      </c>
      <c r="P1344">
        <v>-0.98357329999999998</v>
      </c>
      <c r="Q1344">
        <v>0.17914829999999901</v>
      </c>
      <c r="R1344">
        <v>2.212633E-2</v>
      </c>
      <c r="S1344">
        <v>-3.0686040000000001</v>
      </c>
      <c r="T1344">
        <v>-0.1009352</v>
      </c>
      <c r="U1344">
        <v>-2.8656009999999999E-2</v>
      </c>
      <c r="V1344">
        <v>4.470387E-2</v>
      </c>
      <c r="W1344">
        <v>0.18667529999999999</v>
      </c>
      <c r="X1344">
        <v>0.98140400000000005</v>
      </c>
      <c r="Y1344">
        <v>1.3394639999999999E-2</v>
      </c>
      <c r="Z1344">
        <v>8.4436799999999996E-4</v>
      </c>
      <c r="AA1344">
        <v>0.99990990000000002</v>
      </c>
      <c r="AB1344">
        <v>29</v>
      </c>
      <c r="AC1344">
        <v>-33.752199999999903</v>
      </c>
      <c r="AD1344">
        <v>-1.119950554061</v>
      </c>
      <c r="AE1344">
        <v>-0.31170000000003001</v>
      </c>
      <c r="AF1344">
        <v>0.45565411449069099</v>
      </c>
      <c r="AG1344">
        <v>-1.119950554061</v>
      </c>
      <c r="AH1344">
        <v>33.713440926751503</v>
      </c>
      <c r="AI1344">
        <v>91.902475570728498</v>
      </c>
      <c r="AJ1344">
        <v>89.225665862452004</v>
      </c>
      <c r="AK1344">
        <v>33.735115370147497</v>
      </c>
      <c r="AL1344">
        <v>79.241177803518198</v>
      </c>
      <c r="AM1344">
        <v>87.391926483600102</v>
      </c>
      <c r="AN1344">
        <v>0.99999995741953196</v>
      </c>
    </row>
    <row r="1345" spans="1:40" x14ac:dyDescent="0.25">
      <c r="A1345" t="str">
        <f>"20190303162528006"</f>
        <v>20190303162528006</v>
      </c>
      <c r="B1345" t="str">
        <f>"1551601527994464"</f>
        <v>1551601527994464</v>
      </c>
      <c r="C1345" t="s">
        <v>40</v>
      </c>
      <c r="D1345">
        <v>5.0085199999999999</v>
      </c>
      <c r="E1345">
        <v>0.49066340000000003</v>
      </c>
      <c r="F1345" t="s">
        <v>51</v>
      </c>
      <c r="G1345">
        <v>-284.08800000000002</v>
      </c>
      <c r="H1345" s="1">
        <v>6.9878740000000002E-6</v>
      </c>
      <c r="I1345">
        <v>282.68779999999998</v>
      </c>
      <c r="J1345">
        <v>-249.6052</v>
      </c>
      <c r="K1345">
        <v>1.1199589999999999</v>
      </c>
      <c r="L1345">
        <v>282.9778</v>
      </c>
      <c r="M1345">
        <v>-0.99972439999999996</v>
      </c>
      <c r="N1345">
        <v>-7.7039839999999997E-3</v>
      </c>
      <c r="O1345">
        <v>-2.2180680000000001E-2</v>
      </c>
      <c r="P1345">
        <v>-0.98345170000000004</v>
      </c>
      <c r="Q1345">
        <v>0.17971989999999999</v>
      </c>
      <c r="R1345">
        <v>2.289004E-2</v>
      </c>
      <c r="S1345">
        <v>-3.068695</v>
      </c>
      <c r="T1345">
        <v>-9.8821039999999999E-2</v>
      </c>
      <c r="U1345">
        <v>-2.6123049999999998E-2</v>
      </c>
      <c r="V1345">
        <v>4.4909699999999997E-2</v>
      </c>
      <c r="W1345">
        <v>0.1872346</v>
      </c>
      <c r="X1345">
        <v>0.9812881</v>
      </c>
      <c r="Y1345">
        <v>1.365476E-2</v>
      </c>
      <c r="Z1345">
        <v>8.1558209999999995E-4</v>
      </c>
      <c r="AA1345">
        <v>0.99990639999999997</v>
      </c>
      <c r="AB1345">
        <v>30</v>
      </c>
      <c r="AC1345">
        <v>-34.482799999999898</v>
      </c>
      <c r="AD1345">
        <v>-1.11995201212599</v>
      </c>
      <c r="AE1345">
        <v>-0.29000000000002002</v>
      </c>
      <c r="AF1345">
        <v>0.47444548404631998</v>
      </c>
      <c r="AG1345">
        <v>-1.11995201212599</v>
      </c>
      <c r="AH1345">
        <v>34.444417192745298</v>
      </c>
      <c r="AI1345">
        <v>91.862125995395104</v>
      </c>
      <c r="AJ1345">
        <v>89.210844395962994</v>
      </c>
      <c r="AK1345">
        <v>34.465885550420502</v>
      </c>
      <c r="AL1345">
        <v>79.208557649591299</v>
      </c>
      <c r="AM1345">
        <v>87.379625802956994</v>
      </c>
      <c r="AN1345">
        <v>1.00000000589642</v>
      </c>
    </row>
    <row r="1346" spans="1:40" x14ac:dyDescent="0.25">
      <c r="A1346" t="str">
        <f>"20190303162528027"</f>
        <v>20190303162528027</v>
      </c>
      <c r="B1346" t="str">
        <f>"1551601528013983"</f>
        <v>1551601528013983</v>
      </c>
      <c r="C1346" t="s">
        <v>40</v>
      </c>
      <c r="D1346">
        <v>4.79148</v>
      </c>
      <c r="E1346">
        <v>0.49067260000000001</v>
      </c>
      <c r="F1346" t="s">
        <v>51</v>
      </c>
      <c r="G1346">
        <v>-284.86149999999998</v>
      </c>
      <c r="H1346" s="1">
        <v>6.639855E-6</v>
      </c>
      <c r="I1346">
        <v>282.71199999999999</v>
      </c>
      <c r="J1346">
        <v>-249.8937</v>
      </c>
      <c r="K1346">
        <v>1.119966</v>
      </c>
      <c r="L1346">
        <v>282.97199999999998</v>
      </c>
      <c r="M1346">
        <v>-0.99973650000000003</v>
      </c>
      <c r="N1346">
        <v>-7.7022059999999996E-3</v>
      </c>
      <c r="O1346">
        <v>-2.1627529999999999E-2</v>
      </c>
      <c r="P1346">
        <v>-0.98325019999999996</v>
      </c>
      <c r="Q1346">
        <v>0.18075469999999999</v>
      </c>
      <c r="R1346">
        <v>2.3388430000000002E-2</v>
      </c>
      <c r="S1346">
        <v>-3.0688170000000001</v>
      </c>
      <c r="T1346">
        <v>-9.748387E-2</v>
      </c>
      <c r="U1346">
        <v>-2.3132320000000001E-2</v>
      </c>
      <c r="V1346">
        <v>4.4862150000000003E-2</v>
      </c>
      <c r="W1346">
        <v>0.1882664</v>
      </c>
      <c r="X1346">
        <v>0.98109279999999999</v>
      </c>
      <c r="Y1346">
        <v>1.407659E-2</v>
      </c>
      <c r="Z1346">
        <v>7.9796819999999999E-4</v>
      </c>
      <c r="AA1346">
        <v>0.99990060000000003</v>
      </c>
      <c r="AB1346">
        <v>30</v>
      </c>
      <c r="AC1346">
        <v>-34.967799999999897</v>
      </c>
      <c r="AD1346">
        <v>-1.119959360145</v>
      </c>
      <c r="AE1346">
        <v>-0.25999999999999002</v>
      </c>
      <c r="AF1346">
        <v>0.49584172845296198</v>
      </c>
      <c r="AG1346">
        <v>-1.119959360145</v>
      </c>
      <c r="AH1346">
        <v>34.9294147453788</v>
      </c>
      <c r="AI1346">
        <v>91.836289291946301</v>
      </c>
      <c r="AJ1346">
        <v>89.1867103849644</v>
      </c>
      <c r="AK1346">
        <v>34.950882427239797</v>
      </c>
      <c r="AL1346">
        <v>79.1483690835435</v>
      </c>
      <c r="AM1346">
        <v>87.381876026438405</v>
      </c>
      <c r="AN1346">
        <v>0.99999996604171004</v>
      </c>
    </row>
    <row r="1347" spans="1:40" x14ac:dyDescent="0.25">
      <c r="A1347" t="str">
        <f>"20190303162528048"</f>
        <v>20190303162528048</v>
      </c>
      <c r="B1347" t="str">
        <f>"1551601528034478"</f>
        <v>1551601528034478</v>
      </c>
      <c r="C1347" t="s">
        <v>40</v>
      </c>
      <c r="D1347">
        <v>5.007555</v>
      </c>
      <c r="E1347">
        <v>0.49065550000000002</v>
      </c>
      <c r="F1347" t="s">
        <v>51</v>
      </c>
      <c r="G1347">
        <v>-286.23779999999999</v>
      </c>
      <c r="H1347" s="1">
        <v>6.0303389999999997E-6</v>
      </c>
      <c r="I1347">
        <v>282.7081</v>
      </c>
      <c r="J1347">
        <v>-250.17689999999999</v>
      </c>
      <c r="K1347">
        <v>1.119969</v>
      </c>
      <c r="L1347">
        <v>282.96640000000002</v>
      </c>
      <c r="M1347">
        <v>-0.99974799999999997</v>
      </c>
      <c r="N1347">
        <v>-7.7058650000000001E-3</v>
      </c>
      <c r="O1347">
        <v>-2.1084180000000001E-2</v>
      </c>
      <c r="P1347">
        <v>-0.98313600000000001</v>
      </c>
      <c r="Q1347">
        <v>0.18126220000000001</v>
      </c>
      <c r="R1347">
        <v>2.4241720000000001E-2</v>
      </c>
      <c r="S1347">
        <v>-3.069016</v>
      </c>
      <c r="T1347">
        <v>-9.4573019999999994E-2</v>
      </c>
      <c r="U1347">
        <v>-2.2277829999999998E-2</v>
      </c>
      <c r="V1347">
        <v>4.5180400000000003E-2</v>
      </c>
      <c r="W1347">
        <v>0.1887759</v>
      </c>
      <c r="X1347">
        <v>0.98098030000000003</v>
      </c>
      <c r="Y1347">
        <v>1.3813280000000001E-2</v>
      </c>
      <c r="Z1347">
        <v>7.5306820000000003E-4</v>
      </c>
      <c r="AA1347">
        <v>0.99990429999999997</v>
      </c>
      <c r="AB1347">
        <v>30</v>
      </c>
      <c r="AC1347">
        <v>-36.060899999999997</v>
      </c>
      <c r="AD1347">
        <v>-1.1199629696610001</v>
      </c>
      <c r="AE1347">
        <v>-0.25830000000001901</v>
      </c>
      <c r="AF1347">
        <v>0.50161069473636899</v>
      </c>
      <c r="AG1347">
        <v>-1.1199629696610001</v>
      </c>
      <c r="AH1347">
        <v>36.023584012276203</v>
      </c>
      <c r="AI1347">
        <v>91.780563384115894</v>
      </c>
      <c r="AJ1347">
        <v>89.202235999693301</v>
      </c>
      <c r="AK1347">
        <v>36.044479957852197</v>
      </c>
      <c r="AL1347">
        <v>79.118644026261606</v>
      </c>
      <c r="AM1347">
        <v>87.363027345353501</v>
      </c>
      <c r="AN1347">
        <v>0.99999997897652904</v>
      </c>
    </row>
    <row r="1348" spans="1:40" x14ac:dyDescent="0.25">
      <c r="A1348" t="str">
        <f>"20190303162528071"</f>
        <v>20190303162528071</v>
      </c>
      <c r="B1348" t="str">
        <f>"1551601528063759"</f>
        <v>1551601528063759</v>
      </c>
      <c r="C1348" t="s">
        <v>40</v>
      </c>
      <c r="D1348">
        <v>4.8150069999999996</v>
      </c>
      <c r="E1348">
        <v>0.49065779999999998</v>
      </c>
      <c r="F1348" t="s">
        <v>51</v>
      </c>
      <c r="G1348">
        <v>-286.96069999999997</v>
      </c>
      <c r="H1348" s="1">
        <v>5.7073399999999998E-6</v>
      </c>
      <c r="I1348">
        <v>282.7199</v>
      </c>
      <c r="J1348">
        <v>-250.48339999999999</v>
      </c>
      <c r="K1348">
        <v>1.1199650000000001</v>
      </c>
      <c r="L1348">
        <v>282.9606</v>
      </c>
      <c r="M1348">
        <v>-0.99976030000000005</v>
      </c>
      <c r="N1348">
        <v>-7.7128550000000002E-3</v>
      </c>
      <c r="O1348">
        <v>-2.049685E-2</v>
      </c>
      <c r="P1348">
        <v>-0.98317339999999998</v>
      </c>
      <c r="Q1348">
        <v>0.18097170000000001</v>
      </c>
      <c r="R1348">
        <v>2.4895939999999998E-2</v>
      </c>
      <c r="S1348">
        <v>-3.0691989999999998</v>
      </c>
      <c r="T1348">
        <v>-9.3448519999999993E-2</v>
      </c>
      <c r="U1348">
        <v>-2.056885E-2</v>
      </c>
      <c r="V1348">
        <v>4.5259069999999998E-2</v>
      </c>
      <c r="W1348">
        <v>0.1884921</v>
      </c>
      <c r="X1348">
        <v>0.98103119999999999</v>
      </c>
      <c r="Y1348">
        <v>1.378355E-2</v>
      </c>
      <c r="Z1348">
        <v>7.287595E-4</v>
      </c>
      <c r="AA1348">
        <v>0.99990480000000004</v>
      </c>
      <c r="AB1348">
        <v>30</v>
      </c>
      <c r="AC1348">
        <v>-36.4772999999999</v>
      </c>
      <c r="AD1348">
        <v>-1.1199592926599999</v>
      </c>
      <c r="AE1348">
        <v>-0.24070000000000299</v>
      </c>
      <c r="AF1348">
        <v>0.50656495431585502</v>
      </c>
      <c r="AG1348">
        <v>-1.1199592926599999</v>
      </c>
      <c r="AH1348">
        <v>36.440220480651703</v>
      </c>
      <c r="AI1348">
        <v>91.760213123597893</v>
      </c>
      <c r="AJ1348">
        <v>89.203567811000397</v>
      </c>
      <c r="AK1348">
        <v>36.460946032003399</v>
      </c>
      <c r="AL1348">
        <v>79.135201342852199</v>
      </c>
      <c r="AM1348">
        <v>87.358579097455305</v>
      </c>
      <c r="AN1348">
        <v>0.99999993527655495</v>
      </c>
    </row>
    <row r="1349" spans="1:40" x14ac:dyDescent="0.25">
      <c r="A1349" t="str">
        <f>"20190303162528095"</f>
        <v>20190303162528095</v>
      </c>
      <c r="B1349" t="str">
        <f>"1551601528085231"</f>
        <v>1551601528085231</v>
      </c>
      <c r="C1349" t="s">
        <v>40</v>
      </c>
      <c r="D1349">
        <v>4.8926850000000002</v>
      </c>
      <c r="E1349">
        <v>0.49066929999999997</v>
      </c>
      <c r="F1349" t="s">
        <v>51</v>
      </c>
      <c r="G1349">
        <v>-286.83890000000002</v>
      </c>
      <c r="H1349" s="1">
        <v>5.7574080000000004E-6</v>
      </c>
      <c r="I1349">
        <v>282.73899999999998</v>
      </c>
      <c r="J1349">
        <v>-250.81229999999999</v>
      </c>
      <c r="K1349">
        <v>1.1199509999999999</v>
      </c>
      <c r="L1349">
        <v>282.9545</v>
      </c>
      <c r="M1349">
        <v>-0.99977280000000002</v>
      </c>
      <c r="N1349">
        <v>-7.7223780000000002E-3</v>
      </c>
      <c r="O1349">
        <v>-1.986684E-2</v>
      </c>
      <c r="P1349">
        <v>-0.98318530000000004</v>
      </c>
      <c r="Q1349">
        <v>0.18085850000000001</v>
      </c>
      <c r="R1349">
        <v>2.5240749999999999E-2</v>
      </c>
      <c r="S1349">
        <v>-3.069229</v>
      </c>
      <c r="T1349">
        <v>-9.4550010000000004E-2</v>
      </c>
      <c r="U1349">
        <v>-1.870728E-2</v>
      </c>
      <c r="V1349">
        <v>4.4985919999999999E-2</v>
      </c>
      <c r="W1349">
        <v>0.18838859999999999</v>
      </c>
      <c r="X1349">
        <v>0.98106369999999998</v>
      </c>
      <c r="Y1349">
        <v>1.3759820000000001E-2</v>
      </c>
      <c r="Z1349">
        <v>7.2345579999999997E-4</v>
      </c>
      <c r="AA1349">
        <v>0.99990500000000004</v>
      </c>
      <c r="AB1349">
        <v>30</v>
      </c>
      <c r="AC1349">
        <v>-36.026600000000002</v>
      </c>
      <c r="AD1349">
        <v>-1.119945242592</v>
      </c>
      <c r="AE1349">
        <v>-0.215499999999963</v>
      </c>
      <c r="AF1349">
        <v>0.49981558943968402</v>
      </c>
      <c r="AG1349">
        <v>-1.119945242592</v>
      </c>
      <c r="AH1349">
        <v>35.988992886745599</v>
      </c>
      <c r="AI1349">
        <v>91.782246396117102</v>
      </c>
      <c r="AJ1349">
        <v>89.204326640828299</v>
      </c>
      <c r="AK1349">
        <v>36.009883392925197</v>
      </c>
      <c r="AL1349">
        <v>79.141240241925402</v>
      </c>
      <c r="AM1349">
        <v>87.374585224153904</v>
      </c>
      <c r="AN1349">
        <v>0.99999999053294797</v>
      </c>
    </row>
    <row r="1350" spans="1:40" x14ac:dyDescent="0.25">
      <c r="A1350" t="str">
        <f>"20190303162528138"</f>
        <v>20190303162528138</v>
      </c>
      <c r="B1350" t="str">
        <f>"1551601528134032"</f>
        <v>1551601528134032</v>
      </c>
      <c r="C1350" t="s">
        <v>40</v>
      </c>
      <c r="D1350">
        <v>4.9433259999999999</v>
      </c>
      <c r="E1350">
        <v>0.54921699999999996</v>
      </c>
      <c r="F1350" t="s">
        <v>51</v>
      </c>
      <c r="G1350">
        <v>-287.00369999999998</v>
      </c>
      <c r="H1350" s="1">
        <v>5.6818259999999998E-6</v>
      </c>
      <c r="I1350">
        <v>282.75119999999998</v>
      </c>
      <c r="J1350">
        <v>-251.37209999999999</v>
      </c>
      <c r="K1350">
        <v>1.1199440000000001</v>
      </c>
      <c r="L1350">
        <v>282.94459999999998</v>
      </c>
      <c r="M1350">
        <v>-0.9997933</v>
      </c>
      <c r="N1350">
        <v>-7.753121E-3</v>
      </c>
      <c r="O1350">
        <v>-1.879511E-2</v>
      </c>
      <c r="P1350">
        <v>-0.98305430000000005</v>
      </c>
      <c r="Q1350">
        <v>0.18124699999999999</v>
      </c>
      <c r="R1350">
        <v>2.7456250000000001E-2</v>
      </c>
      <c r="S1350">
        <v>-3.0692439999999999</v>
      </c>
      <c r="T1350">
        <v>-9.4978209999999993E-2</v>
      </c>
      <c r="U1350">
        <v>-1.724243E-2</v>
      </c>
      <c r="V1350">
        <v>4.6147790000000001E-2</v>
      </c>
      <c r="W1350">
        <v>0.18880449999999999</v>
      </c>
      <c r="X1350">
        <v>0.98092979999999996</v>
      </c>
      <c r="Y1350">
        <v>1.3165720000000001E-2</v>
      </c>
      <c r="Z1350">
        <v>6.9044769999999998E-4</v>
      </c>
      <c r="AA1350">
        <v>0.9999131</v>
      </c>
      <c r="AB1350">
        <v>30</v>
      </c>
      <c r="AC1350">
        <v>-35.631599999999899</v>
      </c>
      <c r="AD1350">
        <v>-1.1199383181739999</v>
      </c>
      <c r="AE1350">
        <v>-0.19339999999999599</v>
      </c>
      <c r="AF1350">
        <v>0.47588401525816698</v>
      </c>
      <c r="AG1350">
        <v>-1.1199383181739999</v>
      </c>
      <c r="AH1350">
        <v>35.593778180270299</v>
      </c>
      <c r="AI1350">
        <v>91.802024133088494</v>
      </c>
      <c r="AJ1350">
        <v>89.234008791919095</v>
      </c>
      <c r="AK1350">
        <v>35.614572475024602</v>
      </c>
      <c r="AL1350">
        <v>79.116975758364504</v>
      </c>
      <c r="AM1350">
        <v>87.306509046746299</v>
      </c>
      <c r="AN1350">
        <v>1.0000000151350801</v>
      </c>
    </row>
    <row r="1351" spans="1:40" x14ac:dyDescent="0.25">
      <c r="A1351" t="str">
        <f>"20190303162528161"</f>
        <v>20190303162528161</v>
      </c>
      <c r="B1351" t="str">
        <f>"1551601528154527"</f>
        <v>1551601528154527</v>
      </c>
      <c r="C1351" t="s">
        <v>40</v>
      </c>
      <c r="D1351">
        <v>4.8363820000000004</v>
      </c>
      <c r="E1351">
        <v>0.55510029999999999</v>
      </c>
      <c r="F1351" t="s">
        <v>48</v>
      </c>
      <c r="G1351">
        <v>-279.8537</v>
      </c>
      <c r="H1351" s="1">
        <v>3.5953000000000001E-6</v>
      </c>
      <c r="I1351">
        <v>287.16860000000003</v>
      </c>
      <c r="J1351">
        <v>-251.68379999999999</v>
      </c>
      <c r="K1351">
        <v>1.119947</v>
      </c>
      <c r="L1351">
        <v>282.9393</v>
      </c>
      <c r="M1351">
        <v>-0.99980409999999997</v>
      </c>
      <c r="N1351">
        <v>-7.7739760000000001E-3</v>
      </c>
      <c r="O1351">
        <v>-1.8199239999999998E-2</v>
      </c>
      <c r="P1351">
        <v>-0.98311559999999998</v>
      </c>
      <c r="Q1351">
        <v>0.18079680000000001</v>
      </c>
      <c r="R1351">
        <v>2.821999E-2</v>
      </c>
      <c r="S1351">
        <v>-3.0612490000000001</v>
      </c>
      <c r="T1351">
        <v>-0.12037299999999999</v>
      </c>
      <c r="U1351">
        <v>0.45401000000000002</v>
      </c>
      <c r="V1351">
        <v>4.6327519999999997E-2</v>
      </c>
      <c r="W1351">
        <v>0.18837509999999999</v>
      </c>
      <c r="X1351">
        <v>0.98100390000000004</v>
      </c>
      <c r="Y1351">
        <v>0.16452429999999901</v>
      </c>
      <c r="Z1351">
        <v>4.4301799999999997E-3</v>
      </c>
      <c r="AA1351">
        <v>0.98636310000000005</v>
      </c>
      <c r="AB1351">
        <v>30</v>
      </c>
      <c r="AC1351">
        <v>-28.169899999999998</v>
      </c>
      <c r="AD1351">
        <v>-1.1199434047000001</v>
      </c>
      <c r="AE1351">
        <v>4.2293000000000198</v>
      </c>
      <c r="AF1351">
        <v>4.7339682337597804</v>
      </c>
      <c r="AG1351">
        <v>-1.1199434047000001</v>
      </c>
      <c r="AH1351">
        <v>28.044911253900398</v>
      </c>
      <c r="AI1351">
        <v>92.254963910652407</v>
      </c>
      <c r="AJ1351">
        <v>80.418817032912699</v>
      </c>
      <c r="AK1351">
        <v>28.463692236024599</v>
      </c>
      <c r="AL1351">
        <v>79.142028320578802</v>
      </c>
      <c r="AM1351">
        <v>87.296238291812699</v>
      </c>
      <c r="AN1351">
        <v>1.0000000346122799</v>
      </c>
    </row>
    <row r="1352" spans="1:40" x14ac:dyDescent="0.25">
      <c r="A1352" t="str">
        <f>"20190303162528183"</f>
        <v>20190303162528183</v>
      </c>
      <c r="B1352" t="str">
        <f>"1551601528174047"</f>
        <v>1551601528174047</v>
      </c>
      <c r="C1352" t="s">
        <v>40</v>
      </c>
      <c r="D1352">
        <v>4.8367740000000001</v>
      </c>
      <c r="E1352">
        <v>0.5583205</v>
      </c>
      <c r="F1352" t="s">
        <v>51</v>
      </c>
      <c r="G1352">
        <v>-281.52940000000001</v>
      </c>
      <c r="H1352" s="1">
        <v>7.0557460000000001E-6</v>
      </c>
      <c r="I1352">
        <v>287.85050000000001</v>
      </c>
      <c r="J1352">
        <v>-251.9922</v>
      </c>
      <c r="K1352">
        <v>1.119934</v>
      </c>
      <c r="L1352">
        <v>282.93430000000001</v>
      </c>
      <c r="M1352">
        <v>-0.9998146</v>
      </c>
      <c r="N1352">
        <v>-7.7943409999999998E-3</v>
      </c>
      <c r="O1352">
        <v>-1.7609570000000001E-2</v>
      </c>
      <c r="P1352">
        <v>-0.98323210000000005</v>
      </c>
      <c r="Q1352">
        <v>0.1800262</v>
      </c>
      <c r="R1352">
        <v>2.9080970000000001E-2</v>
      </c>
      <c r="S1352">
        <v>-3.058182</v>
      </c>
      <c r="T1352">
        <v>-0.11475680000000001</v>
      </c>
      <c r="U1352">
        <v>0.50323490000000004</v>
      </c>
      <c r="V1352">
        <v>4.661129E-2</v>
      </c>
      <c r="W1352">
        <v>0.18762480000000001</v>
      </c>
      <c r="X1352">
        <v>0.98113419999999896</v>
      </c>
      <c r="Y1352">
        <v>0.17956440000000001</v>
      </c>
      <c r="Z1352">
        <v>4.5702490000000002E-3</v>
      </c>
      <c r="AA1352">
        <v>0.98373560000000004</v>
      </c>
      <c r="AB1352">
        <v>30</v>
      </c>
      <c r="AC1352">
        <v>-29.537199999999999</v>
      </c>
      <c r="AD1352">
        <v>-1.1199269442540001</v>
      </c>
      <c r="AE1352">
        <v>4.9161999999999999</v>
      </c>
      <c r="AF1352">
        <v>5.4279978228985897</v>
      </c>
      <c r="AG1352">
        <v>-1.1199269442540001</v>
      </c>
      <c r="AH1352">
        <v>29.404911611585899</v>
      </c>
      <c r="AI1352">
        <v>92.144931455591006</v>
      </c>
      <c r="AJ1352">
        <v>79.541223828154898</v>
      </c>
      <c r="AK1352">
        <v>29.922670729917101</v>
      </c>
      <c r="AL1352">
        <v>79.185797396576007</v>
      </c>
      <c r="AM1352">
        <v>87.280062467120203</v>
      </c>
      <c r="AN1352">
        <v>0.99999999817007101</v>
      </c>
    </row>
    <row r="1353" spans="1:40" x14ac:dyDescent="0.25">
      <c r="A1353" t="str">
        <f>"20190303162528206"</f>
        <v>20190303162528206</v>
      </c>
      <c r="B1353" t="str">
        <f>"1551601528194544"</f>
        <v>1551601528194544</v>
      </c>
      <c r="C1353" t="s">
        <v>40</v>
      </c>
      <c r="D1353">
        <v>4.8527750000000003</v>
      </c>
      <c r="E1353">
        <v>0.55987349999999902</v>
      </c>
      <c r="F1353" t="s">
        <v>51</v>
      </c>
      <c r="G1353">
        <v>-281.26190000000003</v>
      </c>
      <c r="H1353" s="1">
        <v>7.1372290000000002E-6</v>
      </c>
      <c r="I1353">
        <v>288.03019999999998</v>
      </c>
      <c r="J1353">
        <v>-252.29249999999999</v>
      </c>
      <c r="K1353">
        <v>1.1199330000000001</v>
      </c>
      <c r="L1353">
        <v>282.92970000000003</v>
      </c>
      <c r="M1353">
        <v>-0.9998245</v>
      </c>
      <c r="N1353">
        <v>-7.8137640000000008E-3</v>
      </c>
      <c r="O1353">
        <v>-1.7035749999999999E-2</v>
      </c>
      <c r="P1353">
        <v>-0.98326930000000001</v>
      </c>
      <c r="Q1353">
        <v>0.17972080000000001</v>
      </c>
      <c r="R1353">
        <v>2.9701419999999999E-2</v>
      </c>
      <c r="S1353">
        <v>-3.0568240000000002</v>
      </c>
      <c r="T1353">
        <v>-0.1169611</v>
      </c>
      <c r="U1353">
        <v>0.532196</v>
      </c>
      <c r="V1353">
        <v>4.666878E-2</v>
      </c>
      <c r="W1353">
        <v>0.18733859999999999</v>
      </c>
      <c r="X1353">
        <v>0.98118620000000001</v>
      </c>
      <c r="Y1353">
        <v>0.18811050000000001</v>
      </c>
      <c r="Z1353">
        <v>4.8262720000000004E-3</v>
      </c>
      <c r="AA1353">
        <v>0.98213600000000001</v>
      </c>
      <c r="AB1353">
        <v>30</v>
      </c>
      <c r="AC1353">
        <v>-28.9694</v>
      </c>
      <c r="AD1353">
        <v>-1.119925862771</v>
      </c>
      <c r="AE1353">
        <v>5.1004999999999496</v>
      </c>
      <c r="AF1353">
        <v>5.5851940540853198</v>
      </c>
      <c r="AG1353">
        <v>-1.119925862771</v>
      </c>
      <c r="AH1353">
        <v>28.836501520048198</v>
      </c>
      <c r="AI1353">
        <v>92.183544590592405</v>
      </c>
      <c r="AJ1353">
        <v>79.038400006180396</v>
      </c>
      <c r="AK1353">
        <v>29.3937484250586</v>
      </c>
      <c r="AL1353">
        <v>79.202491951618299</v>
      </c>
      <c r="AM1353">
        <v>87.276856873643197</v>
      </c>
      <c r="AN1353">
        <v>1.00000004257354</v>
      </c>
    </row>
    <row r="1354" spans="1:40" x14ac:dyDescent="0.25">
      <c r="A1354" t="str">
        <f>"20190303162528226"</f>
        <v>20190303162528226</v>
      </c>
      <c r="B1354" t="str">
        <f>"1551601528214063"</f>
        <v>1551601528214063</v>
      </c>
      <c r="C1354" t="s">
        <v>40</v>
      </c>
      <c r="D1354">
        <v>4.8582599999999996</v>
      </c>
      <c r="E1354">
        <v>0.56088389999999999</v>
      </c>
      <c r="F1354" t="s">
        <v>51</v>
      </c>
      <c r="G1354">
        <v>-281.17849999999999</v>
      </c>
      <c r="H1354" s="1">
        <v>7.1609679999999997E-6</v>
      </c>
      <c r="I1354">
        <v>288.09440000000001</v>
      </c>
      <c r="J1354">
        <v>-252.5744</v>
      </c>
      <c r="K1354">
        <v>1.1199300000000001</v>
      </c>
      <c r="L1354">
        <v>282.92540000000002</v>
      </c>
      <c r="M1354">
        <v>-0.99983330000000004</v>
      </c>
      <c r="N1354">
        <v>-7.8313830000000008E-3</v>
      </c>
      <c r="O1354">
        <v>-1.6496739999999999E-2</v>
      </c>
      <c r="P1354">
        <v>-0.98311789999999999</v>
      </c>
      <c r="Q1354">
        <v>0.1804183</v>
      </c>
      <c r="R1354">
        <v>3.0470509999999999E-2</v>
      </c>
      <c r="S1354">
        <v>-3.0562130000000001</v>
      </c>
      <c r="T1354">
        <v>-0.1184912</v>
      </c>
      <c r="U1354">
        <v>0.54644780000000004</v>
      </c>
      <c r="V1354">
        <v>4.6907160000000003E-2</v>
      </c>
      <c r="W1354">
        <v>0.18805189999999999</v>
      </c>
      <c r="X1354">
        <v>0.98103830000000003</v>
      </c>
      <c r="Y1354">
        <v>0.19204689999999999</v>
      </c>
      <c r="Z1354">
        <v>4.9569339999999996E-3</v>
      </c>
      <c r="AA1354">
        <v>0.9813733</v>
      </c>
      <c r="AB1354">
        <v>30</v>
      </c>
      <c r="AC1354">
        <v>-28.604099999999899</v>
      </c>
      <c r="AD1354">
        <v>-1.119922839032</v>
      </c>
      <c r="AE1354">
        <v>5.1689999999999801</v>
      </c>
      <c r="AF1354">
        <v>5.6318252688272796</v>
      </c>
      <c r="AG1354">
        <v>-1.119922839032</v>
      </c>
      <c r="AH1354">
        <v>28.472666929536501</v>
      </c>
      <c r="AI1354">
        <v>92.209701069696806</v>
      </c>
      <c r="AJ1354">
        <v>78.811453423885297</v>
      </c>
      <c r="AK1354">
        <v>29.045902380616599</v>
      </c>
      <c r="AL1354">
        <v>79.1608826069766</v>
      </c>
      <c r="AM1354">
        <v>87.262556393644402</v>
      </c>
      <c r="AN1354">
        <v>0.99999997240988203</v>
      </c>
    </row>
    <row r="1355" spans="1:40" x14ac:dyDescent="0.25">
      <c r="A1355" t="str">
        <f>"20190303162528250"</f>
        <v>20190303162528250</v>
      </c>
      <c r="B1355" t="str">
        <f>"1551601528244319"</f>
        <v>1551601528244319</v>
      </c>
      <c r="C1355" t="s">
        <v>40</v>
      </c>
      <c r="D1355">
        <v>4.8553989999999896</v>
      </c>
      <c r="E1355">
        <v>0.56198789999999998</v>
      </c>
      <c r="F1355" t="s">
        <v>51</v>
      </c>
      <c r="G1355">
        <v>-282.3125</v>
      </c>
      <c r="H1355" s="1">
        <v>6.6062829999999999E-6</v>
      </c>
      <c r="I1355">
        <v>288.34500000000003</v>
      </c>
      <c r="J1355">
        <v>-252.89340000000001</v>
      </c>
      <c r="K1355">
        <v>1.1199330000000001</v>
      </c>
      <c r="L1355">
        <v>282.92079999999999</v>
      </c>
      <c r="M1355">
        <v>-0.99984309999999998</v>
      </c>
      <c r="N1355">
        <v>-7.8504349999999994E-3</v>
      </c>
      <c r="O1355">
        <v>-1.588763E-2</v>
      </c>
      <c r="P1355">
        <v>-0.98300209999999999</v>
      </c>
      <c r="Q1355">
        <v>0.1808497</v>
      </c>
      <c r="R1355">
        <v>3.1635980000000001E-2</v>
      </c>
      <c r="S1355">
        <v>-3.0553439999999998</v>
      </c>
      <c r="T1355">
        <v>-0.115063</v>
      </c>
      <c r="U1355">
        <v>0.55682369999999903</v>
      </c>
      <c r="V1355">
        <v>4.7474099999999998E-2</v>
      </c>
      <c r="W1355">
        <v>0.1885001</v>
      </c>
      <c r="X1355">
        <v>0.98092500000000005</v>
      </c>
      <c r="Y1355">
        <v>0.1947316</v>
      </c>
      <c r="Z1355">
        <v>4.8762759999999997E-3</v>
      </c>
      <c r="AA1355">
        <v>0.98084439999999995</v>
      </c>
      <c r="AB1355">
        <v>30</v>
      </c>
      <c r="AC1355">
        <v>-29.419099999999901</v>
      </c>
      <c r="AD1355">
        <v>-1.1199263937170001</v>
      </c>
      <c r="AE1355">
        <v>5.4242000000000399</v>
      </c>
      <c r="AF1355">
        <v>5.8826847026912796</v>
      </c>
      <c r="AG1355">
        <v>-1.1199263937170001</v>
      </c>
      <c r="AH1355">
        <v>29.288158094769798</v>
      </c>
      <c r="AI1355">
        <v>92.1469822939533</v>
      </c>
      <c r="AJ1355">
        <v>78.642949521460594</v>
      </c>
      <c r="AK1355">
        <v>29.8940866898932</v>
      </c>
      <c r="AL1355">
        <v>79.134734956005005</v>
      </c>
      <c r="AM1355">
        <v>87.2292022198734</v>
      </c>
      <c r="AN1355">
        <v>0.99999996674790903</v>
      </c>
    </row>
    <row r="1356" spans="1:40" x14ac:dyDescent="0.25">
      <c r="A1356" t="str">
        <f>"20190303162528272"</f>
        <v>20190303162528272</v>
      </c>
      <c r="B1356" t="str">
        <f>"1551601528263839"</f>
        <v>1551601528263839</v>
      </c>
      <c r="C1356" t="s">
        <v>40</v>
      </c>
      <c r="D1356">
        <v>4.8583129999999999</v>
      </c>
      <c r="E1356">
        <v>0.56246890000000005</v>
      </c>
      <c r="F1356" t="s">
        <v>51</v>
      </c>
      <c r="G1356">
        <v>-283.45979999999997</v>
      </c>
      <c r="H1356" s="1">
        <v>6.041314E-6</v>
      </c>
      <c r="I1356">
        <v>288.61700000000002</v>
      </c>
      <c r="J1356">
        <v>-253.2028</v>
      </c>
      <c r="K1356">
        <v>1.1199319999999999</v>
      </c>
      <c r="L1356">
        <v>282.91649999999998</v>
      </c>
      <c r="M1356">
        <v>-0.99985210000000002</v>
      </c>
      <c r="N1356">
        <v>-7.8679579999999995E-3</v>
      </c>
      <c r="O1356">
        <v>-1.5296880000000001E-2</v>
      </c>
      <c r="P1356">
        <v>-0.98286620000000002</v>
      </c>
      <c r="Q1356">
        <v>0.1813341</v>
      </c>
      <c r="R1356">
        <v>3.3047460000000001E-2</v>
      </c>
      <c r="S1356">
        <v>-3.054138</v>
      </c>
      <c r="T1356">
        <v>-0.111901</v>
      </c>
      <c r="U1356">
        <v>0.56915280000000001</v>
      </c>
      <c r="V1356">
        <v>4.8304329999999999E-2</v>
      </c>
      <c r="W1356">
        <v>0.18899930000000001</v>
      </c>
      <c r="X1356">
        <v>0.98078849999999995</v>
      </c>
      <c r="Y1356">
        <v>0.1980547</v>
      </c>
      <c r="Z1356">
        <v>4.8186710000000001E-3</v>
      </c>
      <c r="AA1356">
        <v>0.98017909999999997</v>
      </c>
      <c r="AB1356">
        <v>30</v>
      </c>
      <c r="AC1356">
        <v>-30.256999999999898</v>
      </c>
      <c r="AD1356">
        <v>-1.119925958686</v>
      </c>
      <c r="AE1356">
        <v>5.7005000000000301</v>
      </c>
      <c r="AF1356">
        <v>6.1545421617438603</v>
      </c>
      <c r="AG1356">
        <v>-1.119925958686</v>
      </c>
      <c r="AH1356">
        <v>30.1263980792056</v>
      </c>
      <c r="AI1356">
        <v>92.085903645911401</v>
      </c>
      <c r="AJ1356">
        <v>78.453881539275997</v>
      </c>
      <c r="AK1356">
        <v>30.769018258637701</v>
      </c>
      <c r="AL1356">
        <v>79.105610434201594</v>
      </c>
      <c r="AM1356">
        <v>87.180432115210905</v>
      </c>
      <c r="AN1356">
        <v>1.0000000627147401</v>
      </c>
    </row>
    <row r="1357" spans="1:40" x14ac:dyDescent="0.25">
      <c r="A1357" t="str">
        <f>"20190303162528297"</f>
        <v>20190303162528297</v>
      </c>
      <c r="B1357" t="str">
        <f>"1551601528284336"</f>
        <v>1551601528284336</v>
      </c>
      <c r="C1357" t="s">
        <v>40</v>
      </c>
      <c r="D1357">
        <v>4.8502650000000003</v>
      </c>
      <c r="E1357">
        <v>0.56287790000000004</v>
      </c>
      <c r="F1357" t="s">
        <v>51</v>
      </c>
      <c r="G1357">
        <v>-284.4203</v>
      </c>
      <c r="H1357" s="1">
        <v>5.5735169999999999E-6</v>
      </c>
      <c r="I1357">
        <v>288.81959999999998</v>
      </c>
      <c r="J1357">
        <v>-253.5335</v>
      </c>
      <c r="K1357">
        <v>1.119931</v>
      </c>
      <c r="L1357">
        <v>282.91199999999998</v>
      </c>
      <c r="M1357">
        <v>-0.99986140000000001</v>
      </c>
      <c r="N1357">
        <v>-7.8857749999999994E-3</v>
      </c>
      <c r="O1357">
        <v>-1.466524E-2</v>
      </c>
      <c r="P1357">
        <v>-0.98265230000000003</v>
      </c>
      <c r="Q1357">
        <v>0.18229790000000001</v>
      </c>
      <c r="R1357">
        <v>3.4089019999999998E-2</v>
      </c>
      <c r="S1357">
        <v>-3.0531009999999998</v>
      </c>
      <c r="T1357">
        <v>-0.1095299</v>
      </c>
      <c r="U1357">
        <v>0.5773315</v>
      </c>
      <c r="V1357">
        <v>4.8724190000000001E-2</v>
      </c>
      <c r="W1357">
        <v>0.18997829999999999</v>
      </c>
      <c r="X1357">
        <v>0.98057850000000002</v>
      </c>
      <c r="Y1357">
        <v>0.2000364</v>
      </c>
      <c r="Z1357">
        <v>4.7584089999999999E-3</v>
      </c>
      <c r="AA1357">
        <v>0.97977689999999995</v>
      </c>
      <c r="AB1357">
        <v>30</v>
      </c>
      <c r="AC1357">
        <v>-30.886799999999901</v>
      </c>
      <c r="AD1357">
        <v>-1.1199254264830001</v>
      </c>
      <c r="AE1357">
        <v>5.90759999999994</v>
      </c>
      <c r="AF1357">
        <v>6.3518848429338499</v>
      </c>
      <c r="AG1357">
        <v>-1.1199254264830001</v>
      </c>
      <c r="AH1357">
        <v>30.7578284224379</v>
      </c>
      <c r="AI1357">
        <v>92.042223809362696</v>
      </c>
      <c r="AJ1357">
        <v>78.331717985669897</v>
      </c>
      <c r="AK1357">
        <v>31.426814717417699</v>
      </c>
      <c r="AL1357">
        <v>79.048482162055805</v>
      </c>
      <c r="AM1357">
        <v>87.155356490617294</v>
      </c>
      <c r="AN1357">
        <v>0.999999997912148</v>
      </c>
    </row>
    <row r="1358" spans="1:40" x14ac:dyDescent="0.25">
      <c r="A1358" t="str">
        <f>"20190303162528318"</f>
        <v>20190303162528318</v>
      </c>
      <c r="B1358" t="str">
        <f>"1551601528314591"</f>
        <v>1551601528314591</v>
      </c>
      <c r="C1358" t="s">
        <v>40</v>
      </c>
      <c r="D1358">
        <v>4.862832</v>
      </c>
      <c r="E1358">
        <v>0.56333080000000002</v>
      </c>
      <c r="F1358" t="s">
        <v>51</v>
      </c>
      <c r="G1358">
        <v>-285.74020000000002</v>
      </c>
      <c r="H1358" s="1">
        <v>4.9355670000000004E-6</v>
      </c>
      <c r="I1358">
        <v>289.07420000000002</v>
      </c>
      <c r="J1358">
        <v>-253.82679999999999</v>
      </c>
      <c r="K1358">
        <v>1.1199300000000001</v>
      </c>
      <c r="L1358">
        <v>282.9083</v>
      </c>
      <c r="M1358">
        <v>-0.99986920000000001</v>
      </c>
      <c r="N1358">
        <v>-7.9005619999999999E-3</v>
      </c>
      <c r="O1358">
        <v>-1.4105950000000001E-2</v>
      </c>
      <c r="P1358">
        <v>-0.98254810000000004</v>
      </c>
      <c r="Q1358">
        <v>0.1826518</v>
      </c>
      <c r="R1358">
        <v>3.5181110000000002E-2</v>
      </c>
      <c r="S1358">
        <v>-3.0523989999999999</v>
      </c>
      <c r="T1358">
        <v>-0.1061412</v>
      </c>
      <c r="U1358">
        <v>0.5840149</v>
      </c>
      <c r="V1358">
        <v>4.9266940000000002E-2</v>
      </c>
      <c r="W1358">
        <v>0.1903453</v>
      </c>
      <c r="X1358">
        <v>0.98048020000000002</v>
      </c>
      <c r="Y1358">
        <v>0.20160739999999999</v>
      </c>
      <c r="Z1358">
        <v>4.6523090000000003E-3</v>
      </c>
      <c r="AA1358">
        <v>0.97945539999999998</v>
      </c>
      <c r="AB1358">
        <v>31</v>
      </c>
      <c r="AC1358">
        <v>-31.913399999999999</v>
      </c>
      <c r="AD1358">
        <v>-1.1199250644330001</v>
      </c>
      <c r="AE1358">
        <v>6.1659000000000201</v>
      </c>
      <c r="AF1358">
        <v>6.6076249929745199</v>
      </c>
      <c r="AG1358">
        <v>-1.1199250644330001</v>
      </c>
      <c r="AH1358">
        <v>31.785511006530999</v>
      </c>
      <c r="AI1358">
        <v>91.975710695507303</v>
      </c>
      <c r="AJ1358">
        <v>78.256515435362601</v>
      </c>
      <c r="AK1358">
        <v>32.484360085186097</v>
      </c>
      <c r="AL1358">
        <v>79.027063736708996</v>
      </c>
      <c r="AM1358">
        <v>87.123434384437303</v>
      </c>
      <c r="AN1358">
        <v>0.99999999360054603</v>
      </c>
    </row>
    <row r="1359" spans="1:40" x14ac:dyDescent="0.25">
      <c r="A1359" t="str">
        <f>"20190303162528339"</f>
        <v>20190303162528339</v>
      </c>
      <c r="B1359" t="str">
        <f>"1551601528334111"</f>
        <v>1551601528334111</v>
      </c>
      <c r="C1359" t="s">
        <v>40</v>
      </c>
      <c r="D1359">
        <v>4.8554779999999997</v>
      </c>
      <c r="E1359">
        <v>0.56358330000000001</v>
      </c>
      <c r="F1359" t="s">
        <v>51</v>
      </c>
      <c r="G1359">
        <v>-286.5394</v>
      </c>
      <c r="H1359" s="1">
        <v>4.5471519999999998E-6</v>
      </c>
      <c r="I1359">
        <v>289.2389</v>
      </c>
      <c r="J1359">
        <v>-254.12270000000001</v>
      </c>
      <c r="K1359">
        <v>1.1199300000000001</v>
      </c>
      <c r="L1359">
        <v>282.90469999999999</v>
      </c>
      <c r="M1359">
        <v>-0.99987709999999996</v>
      </c>
      <c r="N1359">
        <v>-7.9146459999999991E-3</v>
      </c>
      <c r="O1359">
        <v>-1.3541889999999999E-2</v>
      </c>
      <c r="P1359">
        <v>-0.98238570000000003</v>
      </c>
      <c r="Q1359">
        <v>0.18338750000000001</v>
      </c>
      <c r="R1359">
        <v>3.5879910000000001E-2</v>
      </c>
      <c r="S1359">
        <v>-3.05159</v>
      </c>
      <c r="T1359">
        <v>-0.1044722</v>
      </c>
      <c r="U1359">
        <v>0.59054569999999995</v>
      </c>
      <c r="V1359">
        <v>4.9411179999999999E-2</v>
      </c>
      <c r="W1359">
        <v>0.19109280000000001</v>
      </c>
      <c r="X1359">
        <v>0.98032750000000002</v>
      </c>
      <c r="Y1359">
        <v>0.20312720000000001</v>
      </c>
      <c r="Z1359">
        <v>4.6088630000000004E-3</v>
      </c>
      <c r="AA1359">
        <v>0.9791415</v>
      </c>
      <c r="AB1359">
        <v>31</v>
      </c>
      <c r="AC1359">
        <v>-32.416699999999899</v>
      </c>
      <c r="AD1359">
        <v>-1.1199254528479901</v>
      </c>
      <c r="AE1359">
        <v>6.3342000000000098</v>
      </c>
      <c r="AF1359">
        <v>6.7648389962691802</v>
      </c>
      <c r="AG1359">
        <v>-1.1199254528479901</v>
      </c>
      <c r="AH1359">
        <v>32.290824316355597</v>
      </c>
      <c r="AI1359">
        <v>91.9441900009504</v>
      </c>
      <c r="AJ1359">
        <v>78.167812281578307</v>
      </c>
      <c r="AK1359">
        <v>33.010825719680497</v>
      </c>
      <c r="AL1359">
        <v>78.983433989161895</v>
      </c>
      <c r="AM1359">
        <v>87.114578184867995</v>
      </c>
      <c r="AN1359">
        <v>0.99999996508854005</v>
      </c>
    </row>
    <row r="1360" spans="1:40" x14ac:dyDescent="0.25">
      <c r="A1360" t="str">
        <f>"20190303162528361"</f>
        <v>20190303162528361</v>
      </c>
      <c r="B1360" t="str">
        <f>"1551601528354607"</f>
        <v>1551601528354607</v>
      </c>
      <c r="C1360" t="s">
        <v>40</v>
      </c>
      <c r="D1360">
        <v>4.8623810000000001</v>
      </c>
      <c r="E1360">
        <v>0.56336609999999998</v>
      </c>
      <c r="F1360" t="s">
        <v>51</v>
      </c>
      <c r="G1360">
        <v>-287.55489999999998</v>
      </c>
      <c r="H1360" s="1">
        <v>4.0594959999999997E-6</v>
      </c>
      <c r="I1360">
        <v>289.41930000000002</v>
      </c>
      <c r="J1360">
        <v>-254.4324</v>
      </c>
      <c r="K1360">
        <v>1.1199239999999999</v>
      </c>
      <c r="L1360">
        <v>282.90109999999999</v>
      </c>
      <c r="M1360">
        <v>-0.99988469999999996</v>
      </c>
      <c r="N1360">
        <v>-7.9284969999999996E-3</v>
      </c>
      <c r="O1360">
        <v>-1.295172E-2</v>
      </c>
      <c r="P1360">
        <v>-0.9823364</v>
      </c>
      <c r="Q1360">
        <v>0.183503</v>
      </c>
      <c r="R1360">
        <v>3.6627319999999998E-2</v>
      </c>
      <c r="S1360">
        <v>-3.051132</v>
      </c>
      <c r="T1360">
        <v>-0.10220799999999999</v>
      </c>
      <c r="U1360">
        <v>0.5945435</v>
      </c>
      <c r="V1360">
        <v>4.9579600000000001E-2</v>
      </c>
      <c r="W1360">
        <v>0.19122149999999999</v>
      </c>
      <c r="X1360">
        <v>0.98029390000000005</v>
      </c>
      <c r="Y1360">
        <v>0.20381840000000001</v>
      </c>
      <c r="Z1360">
        <v>4.5250129999999996E-3</v>
      </c>
      <c r="AA1360">
        <v>0.97899820000000004</v>
      </c>
      <c r="AB1360">
        <v>31</v>
      </c>
      <c r="AC1360">
        <v>-33.122499999999903</v>
      </c>
      <c r="AD1360">
        <v>-1.1199199405039999</v>
      </c>
      <c r="AE1360">
        <v>6.5182000000000304</v>
      </c>
      <c r="AF1360">
        <v>6.9390230278227296</v>
      </c>
      <c r="AG1360">
        <v>-1.1199199405039999</v>
      </c>
      <c r="AH1360">
        <v>32.998978630428901</v>
      </c>
      <c r="AI1360">
        <v>91.902190442621006</v>
      </c>
      <c r="AJ1360">
        <v>78.1248601880189</v>
      </c>
      <c r="AK1360">
        <v>33.7392479451646</v>
      </c>
      <c r="AL1360">
        <v>78.975921481773398</v>
      </c>
      <c r="AM1360">
        <v>87.104660746688396</v>
      </c>
      <c r="AN1360">
        <v>0.99999996458780904</v>
      </c>
    </row>
    <row r="1361" spans="1:40" x14ac:dyDescent="0.25">
      <c r="A1361" t="str">
        <f>"20190303162528383"</f>
        <v>20190303162528383</v>
      </c>
      <c r="B1361" t="str">
        <f>"1551601528374128"</f>
        <v>1551601528374128</v>
      </c>
      <c r="C1361" t="s">
        <v>40</v>
      </c>
      <c r="D1361">
        <v>4.8472470000000003</v>
      </c>
      <c r="E1361">
        <v>0.55056729999999998</v>
      </c>
      <c r="F1361" t="s">
        <v>51</v>
      </c>
      <c r="G1361">
        <v>-288.06479999999999</v>
      </c>
      <c r="H1361" s="1">
        <v>3.8241140000000003E-6</v>
      </c>
      <c r="I1361">
        <v>289.46440000000001</v>
      </c>
      <c r="J1361">
        <v>-254.73740000000001</v>
      </c>
      <c r="K1361">
        <v>1.1199269999999999</v>
      </c>
      <c r="L1361">
        <v>282.89769999999999</v>
      </c>
      <c r="M1361">
        <v>-0.99989209999999995</v>
      </c>
      <c r="N1361">
        <v>-7.9416019999999903E-3</v>
      </c>
      <c r="O1361">
        <v>-1.237097E-2</v>
      </c>
      <c r="P1361">
        <v>-0.98218570000000005</v>
      </c>
      <c r="Q1361">
        <v>0.18424589999999999</v>
      </c>
      <c r="R1361">
        <v>3.6946300000000001E-2</v>
      </c>
      <c r="S1361">
        <v>-3.0507200000000001</v>
      </c>
      <c r="T1361">
        <v>-0.1015855</v>
      </c>
      <c r="U1361">
        <v>0.59533689999999995</v>
      </c>
      <c r="V1361">
        <v>4.932835E-2</v>
      </c>
      <c r="W1361">
        <v>0.19197600000000001</v>
      </c>
      <c r="X1361">
        <v>0.98015920000000001</v>
      </c>
      <c r="Y1361">
        <v>0.2035218</v>
      </c>
      <c r="Z1361">
        <v>4.4827469999999996E-3</v>
      </c>
      <c r="AA1361">
        <v>0.97906020000000005</v>
      </c>
      <c r="AB1361">
        <v>31</v>
      </c>
      <c r="AC1361">
        <v>-33.327399999999898</v>
      </c>
      <c r="AD1361">
        <v>-1.119923175886</v>
      </c>
      <c r="AE1361">
        <v>6.5667000000000204</v>
      </c>
      <c r="AF1361">
        <v>6.9709252260332804</v>
      </c>
      <c r="AG1361">
        <v>-1.119923175886</v>
      </c>
      <c r="AH1361">
        <v>33.2075137498027</v>
      </c>
      <c r="AI1361">
        <v>91.890396061302894</v>
      </c>
      <c r="AJ1361">
        <v>78.144604499804899</v>
      </c>
      <c r="AK1361">
        <v>33.949771661532097</v>
      </c>
      <c r="AL1361">
        <v>78.931876908306805</v>
      </c>
      <c r="AM1361">
        <v>87.118913198911201</v>
      </c>
      <c r="AN1361">
        <v>1.00000006401717</v>
      </c>
    </row>
    <row r="1362" spans="1:40" x14ac:dyDescent="0.25">
      <c r="A1362" t="str">
        <f>"20190303162528406"</f>
        <v>20190303162528406</v>
      </c>
      <c r="B1362" t="str">
        <f>"1551601528394623"</f>
        <v>1551601528394623</v>
      </c>
      <c r="C1362" t="s">
        <v>40</v>
      </c>
      <c r="D1362">
        <v>4.7757949999999996</v>
      </c>
      <c r="E1362">
        <v>0.54990329999999998</v>
      </c>
      <c r="F1362" t="s">
        <v>51</v>
      </c>
      <c r="G1362">
        <v>-310.17579999999998</v>
      </c>
      <c r="H1362">
        <v>6.379435E-2</v>
      </c>
      <c r="I1362">
        <v>291.92720000000003</v>
      </c>
      <c r="J1362">
        <v>-255.04069999999999</v>
      </c>
      <c r="K1362">
        <v>1.119923</v>
      </c>
      <c r="L1362">
        <v>282.89460000000003</v>
      </c>
      <c r="M1362">
        <v>-0.99989899999999998</v>
      </c>
      <c r="N1362">
        <v>-7.9540069999999904E-3</v>
      </c>
      <c r="O1362">
        <v>-1.179331E-2</v>
      </c>
      <c r="P1362">
        <v>-0.98208340000000005</v>
      </c>
      <c r="Q1362">
        <v>0.18471580000000001</v>
      </c>
      <c r="R1362">
        <v>3.7318070000000002E-2</v>
      </c>
      <c r="S1362">
        <v>-3.0466310000000001</v>
      </c>
      <c r="T1362">
        <v>-5.8040019999999998E-2</v>
      </c>
      <c r="U1362">
        <v>0.49621579999999899</v>
      </c>
      <c r="V1362">
        <v>4.9133459999999997E-2</v>
      </c>
      <c r="W1362">
        <v>0.1924575</v>
      </c>
      <c r="X1362">
        <v>0.98007449999999996</v>
      </c>
      <c r="Y1362">
        <v>0.172340299999999</v>
      </c>
      <c r="Z1362">
        <v>2.450743E-3</v>
      </c>
      <c r="AA1362">
        <v>0.98503439999999998</v>
      </c>
      <c r="AB1362">
        <v>31</v>
      </c>
      <c r="AC1362">
        <v>-55.135100000000001</v>
      </c>
      <c r="AD1362">
        <v>-1.05612865</v>
      </c>
      <c r="AE1362">
        <v>9.0326000000000004</v>
      </c>
      <c r="AF1362">
        <v>9.6787590270863593</v>
      </c>
      <c r="AG1362">
        <v>-1.05612865</v>
      </c>
      <c r="AH1362">
        <v>55.0050826575713</v>
      </c>
      <c r="AI1362">
        <v>91.083336751967494</v>
      </c>
      <c r="AJ1362">
        <v>80.020328346917097</v>
      </c>
      <c r="AK1362">
        <v>55.860119067148503</v>
      </c>
      <c r="AL1362">
        <v>78.903764117435401</v>
      </c>
      <c r="AM1362">
        <v>87.130029346840004</v>
      </c>
      <c r="AN1362">
        <v>1.0000000058740299</v>
      </c>
    </row>
    <row r="1363" spans="1:40" x14ac:dyDescent="0.25">
      <c r="A1363" t="str">
        <f>"20190303162528428"</f>
        <v>20190303162528428</v>
      </c>
      <c r="B1363" t="str">
        <f>"1551601528423903"</f>
        <v>1551601528423903</v>
      </c>
      <c r="C1363" t="s">
        <v>40</v>
      </c>
      <c r="D1363">
        <v>4.7528129999999997</v>
      </c>
      <c r="E1363">
        <v>0.55050189999999999</v>
      </c>
      <c r="F1363" t="s">
        <v>51</v>
      </c>
      <c r="G1363">
        <v>-315.94560000000001</v>
      </c>
      <c r="H1363">
        <v>7.9999920000000002E-2</v>
      </c>
      <c r="I1363">
        <v>292.74029999999999</v>
      </c>
      <c r="J1363">
        <v>-255.34880000000001</v>
      </c>
      <c r="K1363">
        <v>1.11992</v>
      </c>
      <c r="L1363">
        <v>282.89150000000001</v>
      </c>
      <c r="M1363">
        <v>-0.99990559999999995</v>
      </c>
      <c r="N1363">
        <v>-7.966084E-3</v>
      </c>
      <c r="O1363">
        <v>-1.1207190000000001E-2</v>
      </c>
      <c r="P1363">
        <v>-0.98205580000000003</v>
      </c>
      <c r="Q1363">
        <v>0.18480260000000001</v>
      </c>
      <c r="R1363">
        <v>3.7609549999999999E-2</v>
      </c>
      <c r="S1363">
        <v>-3.045776</v>
      </c>
      <c r="T1363">
        <v>-5.2005290000000003E-2</v>
      </c>
      <c r="U1363">
        <v>0.49237059999999999</v>
      </c>
      <c r="V1363">
        <v>4.8850350000000001E-2</v>
      </c>
      <c r="W1363">
        <v>0.19255620000000001</v>
      </c>
      <c r="X1363">
        <v>0.98006930000000003</v>
      </c>
      <c r="Y1363">
        <v>0.1706027</v>
      </c>
      <c r="Z1363">
        <v>2.2324379999999998E-3</v>
      </c>
      <c r="AA1363">
        <v>0.98533740000000003</v>
      </c>
      <c r="AB1363">
        <v>31</v>
      </c>
      <c r="AC1363">
        <v>-60.596800000000002</v>
      </c>
      <c r="AD1363">
        <v>-1.0399200799999999</v>
      </c>
      <c r="AE1363">
        <v>9.8487999999999793</v>
      </c>
      <c r="AF1363">
        <v>10.5243029937914</v>
      </c>
      <c r="AG1363">
        <v>-1.0399200799999999</v>
      </c>
      <c r="AH1363">
        <v>60.465263922050099</v>
      </c>
      <c r="AI1363">
        <v>90.970720575892699</v>
      </c>
      <c r="AJ1363">
        <v>80.126278761258703</v>
      </c>
      <c r="AK1363">
        <v>61.383145312382702</v>
      </c>
      <c r="AL1363">
        <v>78.898001614649303</v>
      </c>
      <c r="AM1363">
        <v>87.146523768993305</v>
      </c>
      <c r="AN1363">
        <v>1.00000003982802</v>
      </c>
    </row>
    <row r="1364" spans="1:40" x14ac:dyDescent="0.25">
      <c r="A1364" t="str">
        <f>"20190303162528451"</f>
        <v>20190303162528451</v>
      </c>
      <c r="B1364" t="str">
        <f>"1551601528444400"</f>
        <v>1551601528444400</v>
      </c>
      <c r="C1364" t="s">
        <v>40</v>
      </c>
      <c r="D1364">
        <v>4.7478290000000003</v>
      </c>
      <c r="E1364">
        <v>0.55072580000000004</v>
      </c>
      <c r="F1364" t="s">
        <v>51</v>
      </c>
      <c r="G1364">
        <v>-317.84890000000001</v>
      </c>
      <c r="H1364">
        <v>8.0000230000000006E-2</v>
      </c>
      <c r="I1364">
        <v>293.11649999999997</v>
      </c>
      <c r="J1364">
        <v>-255.6763</v>
      </c>
      <c r="K1364">
        <v>1.1199190000000001</v>
      </c>
      <c r="L1364">
        <v>282.88850000000002</v>
      </c>
      <c r="M1364">
        <v>-0.99991229999999998</v>
      </c>
      <c r="N1364">
        <v>-7.9784060000000004E-3</v>
      </c>
      <c r="O1364">
        <v>-1.0584120000000001E-2</v>
      </c>
      <c r="P1364">
        <v>-0.98217670000000001</v>
      </c>
      <c r="Q1364">
        <v>0.18424760000000001</v>
      </c>
      <c r="R1364">
        <v>3.71743E-2</v>
      </c>
      <c r="S1364">
        <v>-3.045258</v>
      </c>
      <c r="T1364">
        <v>-5.0669069999999997E-2</v>
      </c>
      <c r="U1364">
        <v>0.49819950000000002</v>
      </c>
      <c r="V1364">
        <v>4.7805130000000001E-2</v>
      </c>
      <c r="W1364">
        <v>0.19201570000000001</v>
      </c>
      <c r="X1364">
        <v>0.98022679999999995</v>
      </c>
      <c r="Y1364">
        <v>0.171853799999999</v>
      </c>
      <c r="Z1364">
        <v>2.201438E-3</v>
      </c>
      <c r="AA1364">
        <v>0.98512</v>
      </c>
      <c r="AB1364">
        <v>31</v>
      </c>
      <c r="AC1364">
        <v>-62.172600000000003</v>
      </c>
      <c r="AD1364">
        <v>-1.0399187700000001</v>
      </c>
      <c r="AE1364">
        <v>10.2279999999999</v>
      </c>
      <c r="AF1364">
        <v>10.8825257933279</v>
      </c>
      <c r="AG1364">
        <v>-1.0399187700000001</v>
      </c>
      <c r="AH1364">
        <v>62.043958839184299</v>
      </c>
      <c r="AI1364">
        <v>90.945808503174604</v>
      </c>
      <c r="AJ1364">
        <v>80.051504901490802</v>
      </c>
      <c r="AK1364">
        <v>62.999711325759598</v>
      </c>
      <c r="AL1364">
        <v>78.929558085841293</v>
      </c>
      <c r="AM1364">
        <v>87.207928081289694</v>
      </c>
      <c r="AN1364">
        <v>0.99999996946952296</v>
      </c>
    </row>
    <row r="1365" spans="1:40" x14ac:dyDescent="0.25">
      <c r="A1365" t="str">
        <f>"20190303162528474"</f>
        <v>20190303162528474</v>
      </c>
      <c r="B1365" t="str">
        <f>"1551601528464895"</f>
        <v>1551601528464895</v>
      </c>
      <c r="C1365" t="s">
        <v>40</v>
      </c>
      <c r="D1365">
        <v>4.6995079999999998</v>
      </c>
      <c r="E1365">
        <v>0.55086650000000004</v>
      </c>
      <c r="F1365" t="s">
        <v>51</v>
      </c>
      <c r="G1365">
        <v>-316.65159999999997</v>
      </c>
      <c r="H1365">
        <v>8.0000039999999994E-2</v>
      </c>
      <c r="I1365">
        <v>292.87169999999998</v>
      </c>
      <c r="J1365">
        <v>-255.99780000000001</v>
      </c>
      <c r="K1365">
        <v>1.119915</v>
      </c>
      <c r="L1365">
        <v>282.88569999999999</v>
      </c>
      <c r="M1365">
        <v>-0.99991850000000004</v>
      </c>
      <c r="N1365">
        <v>-7.9900949999999991E-3</v>
      </c>
      <c r="O1365">
        <v>-9.972959E-3</v>
      </c>
      <c r="P1365">
        <v>-0.98210609999999998</v>
      </c>
      <c r="Q1365">
        <v>0.18469150000000001</v>
      </c>
      <c r="R1365">
        <v>3.6833440000000002E-2</v>
      </c>
      <c r="S1365">
        <v>-3.0453190000000001</v>
      </c>
      <c r="T1365">
        <v>-5.19371E-2</v>
      </c>
      <c r="U1365">
        <v>0.49859619999999999</v>
      </c>
      <c r="V1365">
        <v>4.6865169999999998E-2</v>
      </c>
      <c r="W1365">
        <v>0.19247149999999999</v>
      </c>
      <c r="X1365">
        <v>0.98018280000000002</v>
      </c>
      <c r="Y1365">
        <v>0.1713721</v>
      </c>
      <c r="Z1365">
        <v>2.230676E-3</v>
      </c>
      <c r="AA1365">
        <v>0.98520390000000002</v>
      </c>
      <c r="AB1365">
        <v>31</v>
      </c>
      <c r="AC1365">
        <v>-60.653799999999897</v>
      </c>
      <c r="AD1365">
        <v>-1.0399149599999999</v>
      </c>
      <c r="AE1365">
        <v>9.98599999999999</v>
      </c>
      <c r="AF1365">
        <v>10.587390355872699</v>
      </c>
      <c r="AG1365">
        <v>-1.0399149599999999</v>
      </c>
      <c r="AH1365">
        <v>60.533865709936599</v>
      </c>
      <c r="AI1365">
        <v>90.9694772325347</v>
      </c>
      <c r="AJ1365">
        <v>80.079298075001105</v>
      </c>
      <c r="AK1365">
        <v>61.461558355286598</v>
      </c>
      <c r="AL1365">
        <v>78.9029463126178</v>
      </c>
      <c r="AM1365">
        <v>87.262619689380102</v>
      </c>
      <c r="AN1365">
        <v>0.99999997194360901</v>
      </c>
    </row>
    <row r="1366" spans="1:40" x14ac:dyDescent="0.25">
      <c r="A1366" t="str">
        <f>"20190303162528497"</f>
        <v>20190303162528497</v>
      </c>
      <c r="B1366" t="str">
        <f>"1551601528484415"</f>
        <v>1551601528484415</v>
      </c>
      <c r="C1366" t="s">
        <v>40</v>
      </c>
      <c r="D1366">
        <v>4.6436739999999999</v>
      </c>
      <c r="E1366">
        <v>0.55109790000000003</v>
      </c>
      <c r="F1366" t="s">
        <v>51</v>
      </c>
      <c r="G1366">
        <v>-317.66849999999999</v>
      </c>
      <c r="H1366">
        <v>8.0000210000000002E-2</v>
      </c>
      <c r="I1366">
        <v>292.98540000000003</v>
      </c>
      <c r="J1366">
        <v>-256.31509999999997</v>
      </c>
      <c r="K1366">
        <v>1.119918</v>
      </c>
      <c r="L1366">
        <v>282.88310000000001</v>
      </c>
      <c r="M1366">
        <v>-0.99992420000000004</v>
      </c>
      <c r="N1366">
        <v>-8.0011590000000007E-3</v>
      </c>
      <c r="O1366">
        <v>-9.3724159999999997E-3</v>
      </c>
      <c r="P1366">
        <v>-0.98217109999999996</v>
      </c>
      <c r="Q1366">
        <v>0.184335</v>
      </c>
      <c r="R1366">
        <v>3.6888579999999997E-2</v>
      </c>
      <c r="S1366">
        <v>-3.0456240000000001</v>
      </c>
      <c r="T1366">
        <v>-5.1356550000000001E-2</v>
      </c>
      <c r="U1366">
        <v>0.49877929999999998</v>
      </c>
      <c r="V1366">
        <v>4.6331610000000002E-2</v>
      </c>
      <c r="W1366">
        <v>0.1921271</v>
      </c>
      <c r="X1366">
        <v>0.98027580000000003</v>
      </c>
      <c r="Y1366">
        <v>0.17082310000000001</v>
      </c>
      <c r="Z1366">
        <v>2.2011439999999999E-3</v>
      </c>
      <c r="AA1366">
        <v>0.98529920000000004</v>
      </c>
      <c r="AB1366">
        <v>31</v>
      </c>
      <c r="AC1366">
        <v>-61.353400000000001</v>
      </c>
      <c r="AD1366">
        <v>-1.0399177900000001</v>
      </c>
      <c r="AE1366">
        <v>10.1023</v>
      </c>
      <c r="AF1366">
        <v>10.6739186095388</v>
      </c>
      <c r="AG1366">
        <v>-1.0399177900000001</v>
      </c>
      <c r="AH1366">
        <v>61.238890155338296</v>
      </c>
      <c r="AI1366">
        <v>90.958418150954898</v>
      </c>
      <c r="AJ1366">
        <v>80.112692489159997</v>
      </c>
      <c r="AK1366">
        <v>62.170858406094197</v>
      </c>
      <c r="AL1366">
        <v>78.923055057934306</v>
      </c>
      <c r="AM1366">
        <v>87.2939945335945</v>
      </c>
      <c r="AN1366">
        <v>1.0000000423526201</v>
      </c>
    </row>
    <row r="1367" spans="1:40" x14ac:dyDescent="0.25">
      <c r="A1367" t="str">
        <f>"20190303162528521"</f>
        <v>20190303162528521</v>
      </c>
      <c r="B1367" t="str">
        <f>"1551601528514672"</f>
        <v>1551601528514672</v>
      </c>
      <c r="C1367" t="s">
        <v>40</v>
      </c>
      <c r="D1367">
        <v>4.8208479999999998</v>
      </c>
      <c r="E1367">
        <v>0.55135599999999996</v>
      </c>
      <c r="F1367" t="s">
        <v>51</v>
      </c>
      <c r="G1367">
        <v>-317.70600000000002</v>
      </c>
      <c r="H1367">
        <v>8.0000219999999997E-2</v>
      </c>
      <c r="I1367">
        <v>292.97809999999998</v>
      </c>
      <c r="J1367">
        <v>-256.64069999999998</v>
      </c>
      <c r="K1367">
        <v>1.1199079999999999</v>
      </c>
      <c r="L1367">
        <v>282.88060000000002</v>
      </c>
      <c r="M1367">
        <v>-0.99992950000000003</v>
      </c>
      <c r="N1367">
        <v>-8.0122219999999994E-3</v>
      </c>
      <c r="O1367">
        <v>-8.7597309999999998E-3</v>
      </c>
      <c r="P1367">
        <v>-0.98223020000000005</v>
      </c>
      <c r="Q1367">
        <v>0.1839731</v>
      </c>
      <c r="R1367">
        <v>3.7119279999999998E-2</v>
      </c>
      <c r="S1367">
        <v>-3.0452880000000002</v>
      </c>
      <c r="T1367">
        <v>-5.1584959999999999E-2</v>
      </c>
      <c r="U1367">
        <v>0.50076290000000001</v>
      </c>
      <c r="V1367">
        <v>4.5960599999999997E-2</v>
      </c>
      <c r="W1367">
        <v>0.19177710000000001</v>
      </c>
      <c r="X1367">
        <v>0.98036179999999995</v>
      </c>
      <c r="Y1367">
        <v>0.1708614</v>
      </c>
      <c r="Z1367">
        <v>2.2042229999999999E-3</v>
      </c>
      <c r="AA1367">
        <v>0.98529259999999996</v>
      </c>
      <c r="AB1367">
        <v>31</v>
      </c>
      <c r="AC1367">
        <v>-61.065299999999901</v>
      </c>
      <c r="AD1367">
        <v>-1.0399077799999901</v>
      </c>
      <c r="AE1367">
        <v>10.097499999999901</v>
      </c>
      <c r="AF1367">
        <v>10.6290449488422</v>
      </c>
      <c r="AG1367">
        <v>-1.0399077799999901</v>
      </c>
      <c r="AH1367">
        <v>60.957295485281897</v>
      </c>
      <c r="AI1367">
        <v>90.962824260137296</v>
      </c>
      <c r="AJ1367">
        <v>80.108853733085695</v>
      </c>
      <c r="AK1367">
        <v>61.885780899940102</v>
      </c>
      <c r="AL1367">
        <v>78.943488594635895</v>
      </c>
      <c r="AM1367">
        <v>87.315866747814596</v>
      </c>
      <c r="AN1367">
        <v>1.0000000458680001</v>
      </c>
    </row>
    <row r="1368" spans="1:40" x14ac:dyDescent="0.25">
      <c r="A1368" t="str">
        <f>"20190303162528542"</f>
        <v>20190303162528542</v>
      </c>
      <c r="B1368" t="str">
        <f>"1551601528534191"</f>
        <v>1551601528534191</v>
      </c>
      <c r="C1368" t="s">
        <v>40</v>
      </c>
      <c r="D1368">
        <v>4.6836019999999996</v>
      </c>
      <c r="E1368">
        <v>0.5091909</v>
      </c>
      <c r="F1368" t="s">
        <v>51</v>
      </c>
      <c r="G1368">
        <v>-318.28230000000002</v>
      </c>
      <c r="H1368">
        <v>8.000032E-2</v>
      </c>
      <c r="I1368">
        <v>293.08010000000002</v>
      </c>
      <c r="J1368">
        <v>-256.95170000000002</v>
      </c>
      <c r="K1368">
        <v>1.11991</v>
      </c>
      <c r="L1368">
        <v>282.87849999999997</v>
      </c>
      <c r="M1368">
        <v>-0.9999344</v>
      </c>
      <c r="N1368">
        <v>-8.0226210000000006E-3</v>
      </c>
      <c r="O1368">
        <v>-8.18102699999999E-3</v>
      </c>
      <c r="P1368">
        <v>-0.98233879999999996</v>
      </c>
      <c r="Q1368">
        <v>0.18355050000000001</v>
      </c>
      <c r="R1368">
        <v>3.6332940000000001E-2</v>
      </c>
      <c r="S1368">
        <v>-3.044861</v>
      </c>
      <c r="T1368">
        <v>-5.136752E-2</v>
      </c>
      <c r="U1368">
        <v>0.50381469999999995</v>
      </c>
      <c r="V1368">
        <v>4.4605770000000003E-2</v>
      </c>
      <c r="W1368">
        <v>0.19136800000000001</v>
      </c>
      <c r="X1368">
        <v>0.9805043</v>
      </c>
      <c r="Y1368">
        <v>0.17127490000000001</v>
      </c>
      <c r="Z1368">
        <v>2.1985440000000002E-3</v>
      </c>
      <c r="AA1368">
        <v>0.98522080000000001</v>
      </c>
      <c r="AB1368">
        <v>31</v>
      </c>
      <c r="AC1368">
        <v>-61.330599999999997</v>
      </c>
      <c r="AD1368">
        <v>-1.0399096800000001</v>
      </c>
      <c r="AE1368">
        <v>10.201599999999999</v>
      </c>
      <c r="AF1368">
        <v>10.700028570052099</v>
      </c>
      <c r="AG1368">
        <v>-1.0399096800000001</v>
      </c>
      <c r="AH1368">
        <v>61.227956118920297</v>
      </c>
      <c r="AI1368">
        <v>90.958507527224</v>
      </c>
      <c r="AJ1368">
        <v>80.087250910892195</v>
      </c>
      <c r="AK1368">
        <v>62.164577003651502</v>
      </c>
      <c r="AL1368">
        <v>78.967370499271695</v>
      </c>
      <c r="AM1368">
        <v>87.395257262091704</v>
      </c>
      <c r="AN1368">
        <v>1.00000003422989</v>
      </c>
    </row>
    <row r="1369" spans="1:40" x14ac:dyDescent="0.25">
      <c r="A1369" t="str">
        <f>"20190303162528565"</f>
        <v>20190303162528565</v>
      </c>
      <c r="B1369" t="str">
        <f>"1551601528554688"</f>
        <v>1551601528554688</v>
      </c>
      <c r="C1369" t="s">
        <v>40</v>
      </c>
      <c r="D1369">
        <v>4.6973209999999996</v>
      </c>
      <c r="E1369">
        <v>0.49004700000000001</v>
      </c>
      <c r="F1369" t="s">
        <v>51</v>
      </c>
      <c r="G1369">
        <v>-288.26150000000001</v>
      </c>
      <c r="H1369" s="1">
        <v>4.7524359999999997E-6</v>
      </c>
      <c r="I1369">
        <v>284.54950000000002</v>
      </c>
      <c r="J1369">
        <v>-257.28100000000001</v>
      </c>
      <c r="K1369">
        <v>1.1199079999999999</v>
      </c>
      <c r="L1369">
        <v>282.87639999999999</v>
      </c>
      <c r="M1369">
        <v>-0.99993920000000003</v>
      </c>
      <c r="N1369">
        <v>-8.0348959999999997E-3</v>
      </c>
      <c r="O1369">
        <v>-7.5736090000000002E-3</v>
      </c>
      <c r="P1369">
        <v>-0.98236699999999999</v>
      </c>
      <c r="Q1369">
        <v>0.1834789</v>
      </c>
      <c r="R1369">
        <v>3.5927800000000003E-2</v>
      </c>
      <c r="S1369">
        <v>-3.06839</v>
      </c>
      <c r="T1369">
        <v>-0.10975169999999999</v>
      </c>
      <c r="U1369">
        <v>0.16375729999999999</v>
      </c>
      <c r="V1369">
        <v>4.3602910000000002E-2</v>
      </c>
      <c r="W1369">
        <v>0.19131049999999999</v>
      </c>
      <c r="X1369">
        <v>0.9805606</v>
      </c>
      <c r="Y1369">
        <v>6.0804440000000001E-2</v>
      </c>
      <c r="Z1369">
        <v>1.54071E-3</v>
      </c>
      <c r="AA1369">
        <v>0.99814849999999999</v>
      </c>
      <c r="AB1369">
        <v>31</v>
      </c>
      <c r="AC1369">
        <v>-30.980499999999999</v>
      </c>
      <c r="AD1369">
        <v>-1.1199032475639901</v>
      </c>
      <c r="AE1369">
        <v>1.67310000000003</v>
      </c>
      <c r="AF1369">
        <v>1.9052113948537499</v>
      </c>
      <c r="AG1369">
        <v>-1.1199032475639901</v>
      </c>
      <c r="AH1369">
        <v>30.926644510037601</v>
      </c>
      <c r="AI1369">
        <v>92.069944973865205</v>
      </c>
      <c r="AJ1369">
        <v>86.474793940592306</v>
      </c>
      <c r="AK1369">
        <v>31.005505227188699</v>
      </c>
      <c r="AL1369">
        <v>78.970726703338798</v>
      </c>
      <c r="AM1369">
        <v>87.453887064885507</v>
      </c>
      <c r="AN1369">
        <v>1.0000000057215299</v>
      </c>
    </row>
    <row r="1370" spans="1:40" x14ac:dyDescent="0.25">
      <c r="A1370" t="str">
        <f>"20190303162528584"</f>
        <v>20190303162528584</v>
      </c>
      <c r="B1370" t="str">
        <f>"1551601528574207"</f>
        <v>1551601528574207</v>
      </c>
      <c r="C1370" t="s">
        <v>40</v>
      </c>
      <c r="D1370">
        <v>4.7304559999999896</v>
      </c>
      <c r="E1370">
        <v>0.47792119999999999</v>
      </c>
      <c r="F1370" t="s">
        <v>51</v>
      </c>
      <c r="G1370">
        <v>-290.48469999999998</v>
      </c>
      <c r="H1370" s="1">
        <v>2.4339460000000001E-6</v>
      </c>
      <c r="I1370">
        <v>282.98950000000002</v>
      </c>
      <c r="J1370">
        <v>-257.55650000000003</v>
      </c>
      <c r="K1370">
        <v>1.1199129999999999</v>
      </c>
      <c r="L1370">
        <v>282.87479999999999</v>
      </c>
      <c r="M1370">
        <v>-0.99994269999999996</v>
      </c>
      <c r="N1370">
        <v>-8.0489469999999903E-3</v>
      </c>
      <c r="O1370">
        <v>-7.0721760000000003E-3</v>
      </c>
      <c r="P1370">
        <v>-0.98254589999999997</v>
      </c>
      <c r="Q1370">
        <v>0.1824829</v>
      </c>
      <c r="R1370">
        <v>3.6109000000000002E-2</v>
      </c>
      <c r="S1370">
        <v>-3.0728149999999999</v>
      </c>
      <c r="T1370">
        <v>-0.103641</v>
      </c>
      <c r="U1370">
        <v>1.0467529999999999E-2</v>
      </c>
      <c r="V1370">
        <v>4.3290309999999999E-2</v>
      </c>
      <c r="W1370">
        <v>0.19033030000000001</v>
      </c>
      <c r="X1370">
        <v>0.9807652</v>
      </c>
      <c r="Y1370">
        <v>1.0469050000000001E-2</v>
      </c>
      <c r="Z1370">
        <v>4.0020080000000003E-4</v>
      </c>
      <c r="AA1370">
        <v>0.99994510000000003</v>
      </c>
      <c r="AB1370">
        <v>32</v>
      </c>
      <c r="AC1370">
        <v>-32.928199999999897</v>
      </c>
      <c r="AD1370">
        <v>-1.1199105660540001</v>
      </c>
      <c r="AE1370">
        <v>0.114700000000027</v>
      </c>
      <c r="AF1370">
        <v>0.34717709304425698</v>
      </c>
      <c r="AG1370">
        <v>-1.1199105660540001</v>
      </c>
      <c r="AH1370">
        <v>32.8885227030161</v>
      </c>
      <c r="AI1370">
        <v>91.950157366064602</v>
      </c>
      <c r="AJ1370">
        <v>89.395198028874205</v>
      </c>
      <c r="AK1370">
        <v>32.909415935210703</v>
      </c>
      <c r="AL1370">
        <v>79.027939535148406</v>
      </c>
      <c r="AM1370">
        <v>87.472643675886204</v>
      </c>
      <c r="AN1370">
        <v>1.0000000257845101</v>
      </c>
    </row>
    <row r="1371" spans="1:40" x14ac:dyDescent="0.25">
      <c r="A1371" t="str">
        <f>"20190303162528607"</f>
        <v>20190303162528607</v>
      </c>
      <c r="B1371" t="str">
        <f>"1551601528594740"</f>
        <v>1551601528594740</v>
      </c>
      <c r="C1371" t="s">
        <v>40</v>
      </c>
      <c r="D1371">
        <v>4.5959729999999999</v>
      </c>
      <c r="E1371">
        <v>0.4727961</v>
      </c>
      <c r="F1371" t="s">
        <v>51</v>
      </c>
      <c r="G1371">
        <v>-287.88159999999999</v>
      </c>
      <c r="H1371" s="1">
        <v>5.4419219999999997E-6</v>
      </c>
      <c r="I1371">
        <v>282.02800000000002</v>
      </c>
      <c r="J1371">
        <v>-257.86579999999998</v>
      </c>
      <c r="K1371">
        <v>1.119915</v>
      </c>
      <c r="L1371">
        <v>282.87310000000002</v>
      </c>
      <c r="M1371">
        <v>-0.99994640000000001</v>
      </c>
      <c r="N1371">
        <v>-8.0669639999999994E-3</v>
      </c>
      <c r="O1371">
        <v>-6.5198729999999998E-3</v>
      </c>
      <c r="P1371">
        <v>-0.98266629999999999</v>
      </c>
      <c r="Q1371">
        <v>0.18177180000000001</v>
      </c>
      <c r="R1371">
        <v>3.6420569999999999E-2</v>
      </c>
      <c r="S1371">
        <v>-3.0775450000000002</v>
      </c>
      <c r="T1371">
        <v>-0.1136538</v>
      </c>
      <c r="U1371">
        <v>-8.59375E-2</v>
      </c>
      <c r="V1371">
        <v>4.3056999999999998E-2</v>
      </c>
      <c r="W1371">
        <v>0.1896388</v>
      </c>
      <c r="X1371">
        <v>0.98090940000000004</v>
      </c>
      <c r="Y1371">
        <v>-2.1379990000000001E-2</v>
      </c>
      <c r="Z1371">
        <v>-2.9279049999999997E-4</v>
      </c>
      <c r="AA1371">
        <v>0.99977139999999998</v>
      </c>
      <c r="AB1371">
        <v>32</v>
      </c>
      <c r="AC1371">
        <v>-30.015799999999999</v>
      </c>
      <c r="AD1371">
        <v>-1.1199095580779901</v>
      </c>
      <c r="AE1371">
        <v>-0.84510000000000196</v>
      </c>
      <c r="AF1371">
        <v>-0.64847448535250196</v>
      </c>
      <c r="AG1371">
        <v>-1.1199095580779901</v>
      </c>
      <c r="AH1371">
        <v>29.9789718580966</v>
      </c>
      <c r="AI1371">
        <v>92.138875303042198</v>
      </c>
      <c r="AJ1371">
        <v>91.239170510123003</v>
      </c>
      <c r="AK1371">
        <v>30.006890379460799</v>
      </c>
      <c r="AL1371">
        <v>79.068294433823098</v>
      </c>
      <c r="AM1371">
        <v>87.486616224688404</v>
      </c>
      <c r="AN1371">
        <v>1.0000000153613899</v>
      </c>
    </row>
    <row r="1372" spans="1:40" x14ac:dyDescent="0.25">
      <c r="A1372" t="str">
        <f>"20190303162528629"</f>
        <v>20190303162528629</v>
      </c>
      <c r="B1372" t="str">
        <f>"1551601528624021"</f>
        <v>1551601528624021</v>
      </c>
      <c r="C1372" t="s">
        <v>40</v>
      </c>
      <c r="D1372">
        <v>4.5373919999999996</v>
      </c>
      <c r="E1372">
        <v>0.4696784</v>
      </c>
      <c r="F1372" t="s">
        <v>51</v>
      </c>
      <c r="G1372">
        <v>-287.53199999999998</v>
      </c>
      <c r="H1372" s="1">
        <v>5.6713119999999997E-6</v>
      </c>
      <c r="I1372">
        <v>281.66820000000001</v>
      </c>
      <c r="J1372">
        <v>-258.1866</v>
      </c>
      <c r="K1372">
        <v>1.119931</v>
      </c>
      <c r="L1372">
        <v>282.8716</v>
      </c>
      <c r="M1372">
        <v>-0.99994959999999999</v>
      </c>
      <c r="N1372">
        <v>-8.0859609999999991E-3</v>
      </c>
      <c r="O1372">
        <v>-5.9618730000000003E-3</v>
      </c>
      <c r="P1372">
        <v>-0.98282499999999995</v>
      </c>
      <c r="Q1372">
        <v>0.1809675</v>
      </c>
      <c r="R1372">
        <v>3.6138459999999997E-2</v>
      </c>
      <c r="S1372">
        <v>-3.0790099999999998</v>
      </c>
      <c r="T1372">
        <v>-0.1162339</v>
      </c>
      <c r="U1372">
        <v>-0.12506099999999901</v>
      </c>
      <c r="V1372">
        <v>4.2223129999999998E-2</v>
      </c>
      <c r="W1372">
        <v>0.18885650000000001</v>
      </c>
      <c r="X1372">
        <v>0.98109659999999999</v>
      </c>
      <c r="Y1372">
        <v>-3.4598690000000001E-2</v>
      </c>
      <c r="Z1372">
        <v>-6.1585239999999999E-4</v>
      </c>
      <c r="AA1372">
        <v>0.99940110000000004</v>
      </c>
      <c r="AB1372">
        <v>32</v>
      </c>
      <c r="AC1372">
        <v>-29.345399999999898</v>
      </c>
      <c r="AD1372">
        <v>-1.119925328688</v>
      </c>
      <c r="AE1372">
        <v>-1.20339999999998</v>
      </c>
      <c r="AF1372">
        <v>-1.0269261910396299</v>
      </c>
      <c r="AG1372">
        <v>-1.119925328688</v>
      </c>
      <c r="AH1372">
        <v>29.3094368806353</v>
      </c>
      <c r="AI1372">
        <v>92.186889528796996</v>
      </c>
      <c r="AJ1372">
        <v>92.006673737187199</v>
      </c>
      <c r="AK1372">
        <v>29.348797256508298</v>
      </c>
      <c r="AL1372">
        <v>79.113942228797796</v>
      </c>
      <c r="AM1372">
        <v>87.535701150820103</v>
      </c>
      <c r="AN1372">
        <v>1.0000000544154</v>
      </c>
    </row>
    <row r="1373" spans="1:40" x14ac:dyDescent="0.25">
      <c r="A1373" t="str">
        <f>"20190303162528652"</f>
        <v>20190303162528652</v>
      </c>
      <c r="B1373" t="str">
        <f>"1551601528644517"</f>
        <v>1551601528644517</v>
      </c>
      <c r="C1373" t="s">
        <v>40</v>
      </c>
      <c r="D1373">
        <v>4.5023879999999998</v>
      </c>
      <c r="E1373">
        <v>0.46836810000000001</v>
      </c>
      <c r="F1373" t="s">
        <v>51</v>
      </c>
      <c r="G1373">
        <v>-288.5745</v>
      </c>
      <c r="H1373" s="1">
        <v>5.265122E-6</v>
      </c>
      <c r="I1373">
        <v>281.39659999999998</v>
      </c>
      <c r="J1373">
        <v>-258.5068</v>
      </c>
      <c r="K1373">
        <v>1.119934</v>
      </c>
      <c r="L1373">
        <v>282.87020000000001</v>
      </c>
      <c r="M1373">
        <v>-0.99995259999999997</v>
      </c>
      <c r="N1373">
        <v>-8.1044280000000003E-3</v>
      </c>
      <c r="O1373">
        <v>-5.4209369999999998E-3</v>
      </c>
      <c r="P1373">
        <v>-0.98278390000000004</v>
      </c>
      <c r="Q1373">
        <v>0.18114479999999999</v>
      </c>
      <c r="R1373">
        <v>3.6373179999999998E-2</v>
      </c>
      <c r="S1373">
        <v>-3.078827</v>
      </c>
      <c r="T1373">
        <v>-0.1134681</v>
      </c>
      <c r="U1373">
        <v>-0.14944460000000001</v>
      </c>
      <c r="V1373">
        <v>4.1921800000000002E-2</v>
      </c>
      <c r="W1373">
        <v>0.1890531</v>
      </c>
      <c r="X1373">
        <v>0.98107160000000004</v>
      </c>
      <c r="Y1373">
        <v>-4.3033580000000002E-2</v>
      </c>
      <c r="Z1373">
        <v>-8.1111649999999905E-4</v>
      </c>
      <c r="AA1373">
        <v>0.99907330000000005</v>
      </c>
      <c r="AB1373">
        <v>32</v>
      </c>
      <c r="AC1373">
        <v>-30.067699999999999</v>
      </c>
      <c r="AD1373">
        <v>-1.119928734878</v>
      </c>
      <c r="AE1373">
        <v>-1.47360000000003</v>
      </c>
      <c r="AF1373">
        <v>-1.30876656501504</v>
      </c>
      <c r="AG1373">
        <v>-1.119928734878</v>
      </c>
      <c r="AH1373">
        <v>30.033679888204599</v>
      </c>
      <c r="AI1373">
        <v>92.133495484346199</v>
      </c>
      <c r="AJ1373">
        <v>92.4951784168708</v>
      </c>
      <c r="AK1373">
        <v>30.083035716497299</v>
      </c>
      <c r="AL1373">
        <v>79.102470617411299</v>
      </c>
      <c r="AM1373">
        <v>87.553204167642093</v>
      </c>
      <c r="AN1373">
        <v>0.99999999813070495</v>
      </c>
    </row>
    <row r="1374" spans="1:40" x14ac:dyDescent="0.25">
      <c r="A1374" t="str">
        <f>"20190303162528674"</f>
        <v>20190303162528674</v>
      </c>
      <c r="B1374" t="str">
        <f>"1551601528664037"</f>
        <v>1551601528664037</v>
      </c>
      <c r="C1374" t="s">
        <v>40</v>
      </c>
      <c r="D1374">
        <v>4.5016889999999998</v>
      </c>
      <c r="E1374">
        <v>0.46732810000000002</v>
      </c>
      <c r="F1374" t="s">
        <v>51</v>
      </c>
      <c r="G1374">
        <v>-289.90890000000002</v>
      </c>
      <c r="H1374" s="1">
        <v>4.7028339999999998E-6</v>
      </c>
      <c r="I1374">
        <v>281.25409999999999</v>
      </c>
      <c r="J1374">
        <v>-258.82350000000002</v>
      </c>
      <c r="K1374">
        <v>1.119945</v>
      </c>
      <c r="L1374">
        <v>282.86900000000003</v>
      </c>
      <c r="M1374">
        <v>-0.99995509999999999</v>
      </c>
      <c r="N1374">
        <v>-8.1218739999999994E-3</v>
      </c>
      <c r="O1374">
        <v>-4.9031400000000003E-3</v>
      </c>
      <c r="P1374">
        <v>-0.98293509999999995</v>
      </c>
      <c r="Q1374">
        <v>0.18021490000000001</v>
      </c>
      <c r="R1374">
        <v>3.6898809999999997E-2</v>
      </c>
      <c r="S1374">
        <v>-3.0786440000000002</v>
      </c>
      <c r="T1374">
        <v>-0.1097972</v>
      </c>
      <c r="U1374">
        <v>-0.15844730000000001</v>
      </c>
      <c r="V1374">
        <v>4.1932959999999998E-2</v>
      </c>
      <c r="W1374">
        <v>0.1881428</v>
      </c>
      <c r="X1374">
        <v>0.98124610000000001</v>
      </c>
      <c r="Y1374">
        <v>-4.6466790000000001E-2</v>
      </c>
      <c r="Z1374">
        <v>-8.8178839999999905E-4</v>
      </c>
      <c r="AA1374">
        <v>0.99891940000000001</v>
      </c>
      <c r="AB1374">
        <v>32</v>
      </c>
      <c r="AC1374">
        <v>-31.0854</v>
      </c>
      <c r="AD1374">
        <v>-1.119940297166</v>
      </c>
      <c r="AE1374">
        <v>-1.61490000000003</v>
      </c>
      <c r="AF1374">
        <v>-1.46056878244634</v>
      </c>
      <c r="AG1374">
        <v>-1.119940297166</v>
      </c>
      <c r="AH1374">
        <v>31.052746481756301</v>
      </c>
      <c r="AI1374">
        <v>92.063240443411402</v>
      </c>
      <c r="AJ1374">
        <v>92.692927566822405</v>
      </c>
      <c r="AK1374">
        <v>31.107243392780699</v>
      </c>
      <c r="AL1374">
        <v>79.1555800427207</v>
      </c>
      <c r="AM1374">
        <v>87.552988310977895</v>
      </c>
      <c r="AN1374">
        <v>0.99999999754570501</v>
      </c>
    </row>
    <row r="1375" spans="1:40" x14ac:dyDescent="0.25">
      <c r="A1375" t="str">
        <f>"20190303162528696"</f>
        <v>20190303162528696</v>
      </c>
      <c r="B1375" t="str">
        <f>"1551601528684533"</f>
        <v>1551601528684533</v>
      </c>
      <c r="C1375" t="s">
        <v>40</v>
      </c>
      <c r="D1375">
        <v>4.5074930000000002</v>
      </c>
      <c r="E1375">
        <v>0.46669899999999997</v>
      </c>
      <c r="F1375" t="s">
        <v>51</v>
      </c>
      <c r="G1375">
        <v>-290.01850000000002</v>
      </c>
      <c r="H1375" s="1">
        <v>2.5086110000000001E-6</v>
      </c>
      <c r="I1375">
        <v>281.18959999999998</v>
      </c>
      <c r="J1375">
        <v>-259.12650000000002</v>
      </c>
      <c r="K1375">
        <v>1.1199479999999999</v>
      </c>
      <c r="L1375">
        <v>282.86799999999999</v>
      </c>
      <c r="M1375">
        <v>-0.99995719999999999</v>
      </c>
      <c r="N1375">
        <v>-8.1381219999999994E-3</v>
      </c>
      <c r="O1375">
        <v>-4.4258810000000004E-3</v>
      </c>
      <c r="P1375">
        <v>-0.98327330000000002</v>
      </c>
      <c r="Q1375">
        <v>0.17800289999999999</v>
      </c>
      <c r="R1375">
        <v>3.858466E-2</v>
      </c>
      <c r="S1375">
        <v>-3.0785830000000001</v>
      </c>
      <c r="T1375">
        <v>-0.11052530000000001</v>
      </c>
      <c r="U1375">
        <v>-0.165741</v>
      </c>
      <c r="V1375">
        <v>4.3142739999999999E-2</v>
      </c>
      <c r="W1375">
        <v>0.18594959999999999</v>
      </c>
      <c r="X1375">
        <v>0.98161169999999998</v>
      </c>
      <c r="Y1375">
        <v>-4.9301600000000001E-2</v>
      </c>
      <c r="Z1375">
        <v>-9.6217220000000003E-4</v>
      </c>
      <c r="AA1375">
        <v>0.99878350000000005</v>
      </c>
      <c r="AB1375">
        <v>32</v>
      </c>
      <c r="AC1375">
        <v>-30.891999999999999</v>
      </c>
      <c r="AD1375">
        <v>-1.1199454913889999</v>
      </c>
      <c r="AE1375">
        <v>-1.6784000000000101</v>
      </c>
      <c r="AF1375">
        <v>-1.53963710871697</v>
      </c>
      <c r="AG1375">
        <v>-1.1199454913889999</v>
      </c>
      <c r="AH1375">
        <v>30.858687184373899</v>
      </c>
      <c r="AI1375">
        <v>92.075927091238896</v>
      </c>
      <c r="AJ1375">
        <v>92.856298406931998</v>
      </c>
      <c r="AK1375">
        <v>30.9173630032262</v>
      </c>
      <c r="AL1375">
        <v>79.283499255351103</v>
      </c>
      <c r="AM1375">
        <v>87.483417200615094</v>
      </c>
      <c r="AN1375">
        <v>1.0000000396658699</v>
      </c>
    </row>
    <row r="1376" spans="1:40" x14ac:dyDescent="0.25">
      <c r="A1376" t="str">
        <f>"20190303162528743"</f>
        <v>20190303162528743</v>
      </c>
      <c r="B1376" t="str">
        <f>"1551601528734308"</f>
        <v>1551601528734308</v>
      </c>
      <c r="C1376" t="s">
        <v>40</v>
      </c>
      <c r="D1376">
        <v>4.5344470000000001</v>
      </c>
      <c r="E1376">
        <v>0.49445499999999998</v>
      </c>
      <c r="F1376" t="s">
        <v>51</v>
      </c>
      <c r="G1376">
        <v>-288.72480000000002</v>
      </c>
      <c r="H1376" s="1">
        <v>5.2223069999999999E-6</v>
      </c>
      <c r="I1376">
        <v>281.28129999999999</v>
      </c>
      <c r="J1376">
        <v>-259.79790000000003</v>
      </c>
      <c r="K1376">
        <v>1.1199600000000001</v>
      </c>
      <c r="L1376">
        <v>282.86619999999999</v>
      </c>
      <c r="M1376">
        <v>-0.99996079999999998</v>
      </c>
      <c r="N1376">
        <v>-8.1716870000000004E-3</v>
      </c>
      <c r="O1376">
        <v>-3.4397099999999999E-3</v>
      </c>
      <c r="P1376">
        <v>-0.98390219999999995</v>
      </c>
      <c r="Q1376">
        <v>0.17383460000000001</v>
      </c>
      <c r="R1376">
        <v>4.1451010000000003E-2</v>
      </c>
      <c r="S1376">
        <v>-3.0785520000000002</v>
      </c>
      <c r="T1376">
        <v>-0.1164867</v>
      </c>
      <c r="U1376">
        <v>-0.16503909999999999</v>
      </c>
      <c r="V1376">
        <v>4.5023239999999999E-2</v>
      </c>
      <c r="W1376">
        <v>0.18182129999999999</v>
      </c>
      <c r="X1376">
        <v>0.98230030000000002</v>
      </c>
      <c r="Y1376">
        <v>-5.0055299999999997E-2</v>
      </c>
      <c r="Z1376">
        <v>-1.0488120000000001E-3</v>
      </c>
      <c r="AA1376">
        <v>0.99874589999999996</v>
      </c>
      <c r="AB1376">
        <v>32</v>
      </c>
      <c r="AC1376">
        <v>-28.9268999999999</v>
      </c>
      <c r="AD1376">
        <v>-1.1199547776929999</v>
      </c>
      <c r="AE1376">
        <v>-1.5849</v>
      </c>
      <c r="AF1376">
        <v>-1.48317056846557</v>
      </c>
      <c r="AG1376">
        <v>-1.1199547776929999</v>
      </c>
      <c r="AH1376">
        <v>28.889006070360001</v>
      </c>
      <c r="AI1376">
        <v>92.217185614969694</v>
      </c>
      <c r="AJ1376">
        <v>92.939002741341298</v>
      </c>
      <c r="AK1376">
        <v>28.948726489649498</v>
      </c>
      <c r="AL1376">
        <v>79.524136386961999</v>
      </c>
      <c r="AM1376">
        <v>87.375713447730703</v>
      </c>
      <c r="AN1376">
        <v>0.99999997832693799</v>
      </c>
    </row>
    <row r="1377" spans="1:40" x14ac:dyDescent="0.25">
      <c r="A1377" t="str">
        <f>"20190303162528763"</f>
        <v>20190303162528763</v>
      </c>
      <c r="B1377" t="str">
        <f>"1551601528754806"</f>
        <v>1551601528754806</v>
      </c>
      <c r="C1377" t="s">
        <v>40</v>
      </c>
      <c r="D1377">
        <v>4.5088419999999996</v>
      </c>
      <c r="E1377">
        <v>0.52571230000000002</v>
      </c>
      <c r="F1377" t="s">
        <v>42</v>
      </c>
      <c r="G1377">
        <v>-260.72899999999998</v>
      </c>
      <c r="H1377">
        <v>0.99585579999999996</v>
      </c>
      <c r="I1377">
        <v>282.88380000000001</v>
      </c>
      <c r="J1377">
        <v>-260.10180000000003</v>
      </c>
      <c r="K1377">
        <v>1.1199680000000001</v>
      </c>
      <c r="L1377">
        <v>282.86559999999997</v>
      </c>
      <c r="M1377">
        <v>-0.99996189999999996</v>
      </c>
      <c r="N1377">
        <v>-8.1856729999999992E-3</v>
      </c>
      <c r="O1377">
        <v>-3.0191839999999998E-3</v>
      </c>
      <c r="P1377">
        <v>-0.98384329999999998</v>
      </c>
      <c r="Q1377">
        <v>0.17389180000000001</v>
      </c>
      <c r="R1377">
        <v>4.2591270000000001E-2</v>
      </c>
      <c r="S1377">
        <v>-3.1200559999999999</v>
      </c>
      <c r="T1377">
        <v>-0.41590290000000002</v>
      </c>
      <c r="U1377">
        <v>5.8532710000000002E-2</v>
      </c>
      <c r="V1377">
        <v>4.5744180000000002E-2</v>
      </c>
      <c r="W1377">
        <v>0.18189259999999999</v>
      </c>
      <c r="X1377">
        <v>0.98225379999999995</v>
      </c>
      <c r="Y1377">
        <v>2.1549639999999998E-2</v>
      </c>
      <c r="Z1377">
        <v>1.8944949999999999E-3</v>
      </c>
      <c r="AA1377">
        <v>0.99976600000000004</v>
      </c>
      <c r="AB1377">
        <v>32</v>
      </c>
      <c r="AC1377">
        <v>-0.62720000000001597</v>
      </c>
      <c r="AD1377">
        <v>-0.12411220000000001</v>
      </c>
      <c r="AE1377">
        <v>1.8200000000035702E-2</v>
      </c>
      <c r="AF1377">
        <v>1.9337055755748501E-2</v>
      </c>
      <c r="AG1377">
        <v>-0.12411220000000001</v>
      </c>
      <c r="AH1377">
        <v>0.6035292726782</v>
      </c>
      <c r="AI1377">
        <v>101.614736472974</v>
      </c>
      <c r="AJ1377">
        <v>88.164873110017695</v>
      </c>
      <c r="AK1377">
        <v>0.61646195575527396</v>
      </c>
      <c r="AL1377">
        <v>79.519982022227097</v>
      </c>
      <c r="AM1377">
        <v>87.333625870000901</v>
      </c>
      <c r="AN1377">
        <v>0.99999998777653598</v>
      </c>
    </row>
    <row r="1378" spans="1:40" x14ac:dyDescent="0.25">
      <c r="A1378" t="str">
        <f>"20190303162528786"</f>
        <v>20190303162528786</v>
      </c>
      <c r="B1378" t="str">
        <f>"1551601528774325"</f>
        <v>1551601528774325</v>
      </c>
      <c r="C1378" t="s">
        <v>40</v>
      </c>
      <c r="D1378">
        <v>4.480772</v>
      </c>
      <c r="E1378">
        <v>0.52609810000000001</v>
      </c>
      <c r="F1378" t="s">
        <v>42</v>
      </c>
      <c r="G1378">
        <v>-260.95460000000003</v>
      </c>
      <c r="H1378">
        <v>0.85827299999999995</v>
      </c>
      <c r="I1378">
        <v>282.94490000000002</v>
      </c>
      <c r="J1378">
        <v>-260.42</v>
      </c>
      <c r="K1378">
        <v>1.1199859999999999</v>
      </c>
      <c r="L1378">
        <v>282.86509999999998</v>
      </c>
      <c r="M1378">
        <v>-0.99996300000000005</v>
      </c>
      <c r="N1378">
        <v>-8.1995409999999994E-3</v>
      </c>
      <c r="O1378">
        <v>-2.591009E-3</v>
      </c>
      <c r="P1378">
        <v>-0.9837224</v>
      </c>
      <c r="Q1378">
        <v>0.17445429999999901</v>
      </c>
      <c r="R1378">
        <v>4.3083509999999998E-2</v>
      </c>
      <c r="S1378">
        <v>-3.21048</v>
      </c>
      <c r="T1378">
        <v>-0.98522639999999995</v>
      </c>
      <c r="U1378">
        <v>0.29867549999999998</v>
      </c>
      <c r="V1378">
        <v>4.5811169999999998E-2</v>
      </c>
      <c r="W1378">
        <v>0.18246879999999999</v>
      </c>
      <c r="X1378">
        <v>0.98214380000000001</v>
      </c>
      <c r="Y1378">
        <v>9.0836249999999993E-2</v>
      </c>
      <c r="Z1378">
        <v>1.473357E-2</v>
      </c>
      <c r="AA1378">
        <v>0.99575689999999994</v>
      </c>
      <c r="AB1378">
        <v>32</v>
      </c>
      <c r="AC1378">
        <v>-0.53460000000001096</v>
      </c>
      <c r="AD1378">
        <v>-0.26171299999999997</v>
      </c>
      <c r="AE1378">
        <v>7.9800000000034205E-2</v>
      </c>
      <c r="AF1378">
        <v>6.5766884732870401E-2</v>
      </c>
      <c r="AG1378">
        <v>-0.26171299999999997</v>
      </c>
      <c r="AH1378">
        <v>0.43290373035080798</v>
      </c>
      <c r="AI1378">
        <v>120.866526129503</v>
      </c>
      <c r="AJ1378">
        <v>81.361658218843502</v>
      </c>
      <c r="AK1378">
        <v>0.51012215914240799</v>
      </c>
      <c r="AL1378">
        <v>79.486406277044495</v>
      </c>
      <c r="AM1378">
        <v>87.329428112395604</v>
      </c>
      <c r="AN1378">
        <v>0.99999998507432397</v>
      </c>
    </row>
    <row r="1379" spans="1:40" x14ac:dyDescent="0.25">
      <c r="A1379" t="str">
        <f>"20190303162528808"</f>
        <v>20190303162528808</v>
      </c>
      <c r="B1379" t="str">
        <f>"1551601528804582"</f>
        <v>1551601528804582</v>
      </c>
      <c r="C1379" t="s">
        <v>40</v>
      </c>
      <c r="D1379">
        <v>4.4497689999999999</v>
      </c>
      <c r="E1379">
        <v>0.52504649999999997</v>
      </c>
      <c r="F1379" t="s">
        <v>42</v>
      </c>
      <c r="G1379">
        <v>-261.24590000000001</v>
      </c>
      <c r="H1379">
        <v>0.86525129999999995</v>
      </c>
      <c r="I1379">
        <v>282.94310000000002</v>
      </c>
      <c r="J1379">
        <v>-260.73849999999999</v>
      </c>
      <c r="K1379">
        <v>1.1200000000000001</v>
      </c>
      <c r="L1379">
        <v>282.86470000000003</v>
      </c>
      <c r="M1379">
        <v>-0.99996399999999996</v>
      </c>
      <c r="N1379">
        <v>-8.2128730000000007E-3</v>
      </c>
      <c r="O1379">
        <v>-2.1735410000000002E-3</v>
      </c>
      <c r="P1379">
        <v>-0.98364320000000005</v>
      </c>
      <c r="Q1379">
        <v>0.1750246</v>
      </c>
      <c r="R1379">
        <v>4.2575839999999997E-2</v>
      </c>
      <c r="S1379">
        <v>-3.2120359999999999</v>
      </c>
      <c r="T1379">
        <v>-0.99073770000000005</v>
      </c>
      <c r="U1379">
        <v>0.3037415</v>
      </c>
      <c r="V1379">
        <v>4.4889789999999999E-2</v>
      </c>
      <c r="W1379">
        <v>0.1830534</v>
      </c>
      <c r="X1379">
        <v>0.9820776</v>
      </c>
      <c r="Y1379">
        <v>9.1859919999999998E-2</v>
      </c>
      <c r="Z1379">
        <v>1.48395E-2</v>
      </c>
      <c r="AA1379">
        <v>0.99566140000000003</v>
      </c>
      <c r="AB1379">
        <v>32</v>
      </c>
      <c r="AC1379">
        <v>-0.50740000000001795</v>
      </c>
      <c r="AD1379">
        <v>-0.25474869999999999</v>
      </c>
      <c r="AE1379">
        <v>7.8399999999987799E-2</v>
      </c>
      <c r="AF1379">
        <v>6.3796444294465196E-2</v>
      </c>
      <c r="AG1379">
        <v>-0.25474869999999999</v>
      </c>
      <c r="AH1379">
        <v>0.407022214882512</v>
      </c>
      <c r="AI1379">
        <v>121.729940528572</v>
      </c>
      <c r="AJ1379">
        <v>81.091966961470007</v>
      </c>
      <c r="AK1379">
        <v>0.484390307359853</v>
      </c>
      <c r="AL1379">
        <v>79.452337793919199</v>
      </c>
      <c r="AM1379">
        <v>87.382888564328098</v>
      </c>
      <c r="AN1379">
        <v>1.0000000264597799</v>
      </c>
    </row>
    <row r="1380" spans="1:40" x14ac:dyDescent="0.25">
      <c r="A1380" t="str">
        <f>"20190303162528830"</f>
        <v>20190303162528830</v>
      </c>
      <c r="B1380" t="str">
        <f>"1551601528824101"</f>
        <v>1551601528824101</v>
      </c>
      <c r="C1380" t="s">
        <v>40</v>
      </c>
      <c r="D1380">
        <v>4.4418819999999997</v>
      </c>
      <c r="E1380">
        <v>0.52475989999999995</v>
      </c>
      <c r="F1380" t="s">
        <v>42</v>
      </c>
      <c r="G1380">
        <v>-261.53879999999998</v>
      </c>
      <c r="H1380">
        <v>0.87474010000000002</v>
      </c>
      <c r="I1380">
        <v>282.9384</v>
      </c>
      <c r="J1380">
        <v>-261.06939999999997</v>
      </c>
      <c r="K1380">
        <v>1.120015</v>
      </c>
      <c r="L1380">
        <v>282.86439999999999</v>
      </c>
      <c r="M1380">
        <v>-0.99996470000000004</v>
      </c>
      <c r="N1380">
        <v>-8.2261290000000004E-3</v>
      </c>
      <c r="O1380">
        <v>-1.747354E-3</v>
      </c>
      <c r="P1380">
        <v>-0.98358199999999996</v>
      </c>
      <c r="Q1380">
        <v>0.17554500000000001</v>
      </c>
      <c r="R1380">
        <v>4.183854E-2</v>
      </c>
      <c r="S1380">
        <v>-3.21225</v>
      </c>
      <c r="T1380">
        <v>-0.98428890000000002</v>
      </c>
      <c r="U1380">
        <v>0.29486079999999998</v>
      </c>
      <c r="V1380">
        <v>4.3731119999999998E-2</v>
      </c>
      <c r="W1380">
        <v>0.18358820000000001</v>
      </c>
      <c r="X1380">
        <v>0.98202999999999996</v>
      </c>
      <c r="Y1380">
        <v>8.8911390000000007E-2</v>
      </c>
      <c r="Z1380">
        <v>1.417351E-2</v>
      </c>
      <c r="AA1380">
        <v>0.99593869999999896</v>
      </c>
      <c r="AB1380">
        <v>32</v>
      </c>
      <c r="AC1380">
        <v>-0.46940000000000698</v>
      </c>
      <c r="AD1380">
        <v>-0.24527489999999999</v>
      </c>
      <c r="AE1380">
        <v>7.4000000000012195E-2</v>
      </c>
      <c r="AF1380">
        <v>5.9080261046364102E-2</v>
      </c>
      <c r="AG1380">
        <v>-0.24527489999999999</v>
      </c>
      <c r="AH1380">
        <v>0.37054994852186701</v>
      </c>
      <c r="AI1380">
        <v>123.171242025482</v>
      </c>
      <c r="AJ1380">
        <v>80.941044144405595</v>
      </c>
      <c r="AK1380">
        <v>0.44828285508691301</v>
      </c>
      <c r="AL1380">
        <v>79.421167274839405</v>
      </c>
      <c r="AM1380">
        <v>87.450226229637295</v>
      </c>
      <c r="AN1380">
        <v>0.99999997946784702</v>
      </c>
    </row>
    <row r="1381" spans="1:40" x14ac:dyDescent="0.25">
      <c r="A1381" t="str">
        <f>"20190303162528853"</f>
        <v>20190303162528853</v>
      </c>
      <c r="B1381" t="str">
        <f>"1551601528844597"</f>
        <v>1551601528844597</v>
      </c>
      <c r="C1381" t="s">
        <v>40</v>
      </c>
      <c r="D1381">
        <v>4.3983970000000001</v>
      </c>
      <c r="E1381">
        <v>0.52453399999999994</v>
      </c>
      <c r="F1381" t="s">
        <v>42</v>
      </c>
      <c r="G1381">
        <v>-261.83359999999999</v>
      </c>
      <c r="H1381">
        <v>0.88749210000000001</v>
      </c>
      <c r="I1381">
        <v>282.93360000000001</v>
      </c>
      <c r="J1381">
        <v>-261.3997</v>
      </c>
      <c r="K1381">
        <v>1.1200239999999999</v>
      </c>
      <c r="L1381">
        <v>282.86419999999998</v>
      </c>
      <c r="M1381">
        <v>-0.99996529999999995</v>
      </c>
      <c r="N1381">
        <v>-8.2419439999999993E-3</v>
      </c>
      <c r="O1381">
        <v>-1.326647E-3</v>
      </c>
      <c r="P1381">
        <v>-0.98347560000000001</v>
      </c>
      <c r="Q1381">
        <v>0.1763634</v>
      </c>
      <c r="R1381">
        <v>4.0887939999999998E-2</v>
      </c>
      <c r="S1381">
        <v>-3.2121580000000001</v>
      </c>
      <c r="T1381">
        <v>-0.97737419999999997</v>
      </c>
      <c r="U1381">
        <v>0.29074100000000003</v>
      </c>
      <c r="V1381">
        <v>4.2365659999999999E-2</v>
      </c>
      <c r="W1381">
        <v>0.18442339999999999</v>
      </c>
      <c r="X1381">
        <v>0.98193339999999996</v>
      </c>
      <c r="Y1381">
        <v>8.7373399999999907E-2</v>
      </c>
      <c r="Z1381">
        <v>1.3725930000000001E-2</v>
      </c>
      <c r="AA1381">
        <v>0.99608110000000005</v>
      </c>
      <c r="AB1381">
        <v>32</v>
      </c>
      <c r="AC1381">
        <v>-0.43389999999999401</v>
      </c>
      <c r="AD1381">
        <v>-0.23253189999999899</v>
      </c>
      <c r="AE1381">
        <v>6.9400000000030104E-2</v>
      </c>
      <c r="AF1381">
        <v>5.4666854142215303E-2</v>
      </c>
      <c r="AG1381">
        <v>-0.23253189999999899</v>
      </c>
      <c r="AH1381">
        <v>0.33890237509757898</v>
      </c>
      <c r="AI1381">
        <v>124.112789531752</v>
      </c>
      <c r="AJ1381">
        <v>80.836799293762795</v>
      </c>
      <c r="AK1381">
        <v>0.414625577245539</v>
      </c>
      <c r="AL1381">
        <v>79.372482997873306</v>
      </c>
      <c r="AM1381">
        <v>87.529497411827094</v>
      </c>
      <c r="AN1381">
        <v>1.00000002082517</v>
      </c>
    </row>
    <row r="1382" spans="1:40" x14ac:dyDescent="0.25">
      <c r="A1382" t="str">
        <f>"20190303162528875"</f>
        <v>20190303162528875</v>
      </c>
      <c r="B1382" t="str">
        <f>"1551601528864117"</f>
        <v>1551601528864117</v>
      </c>
      <c r="C1382" t="s">
        <v>40</v>
      </c>
      <c r="D1382">
        <v>4.4042469999999998</v>
      </c>
      <c r="E1382">
        <v>0.52472969999999997</v>
      </c>
      <c r="F1382" t="s">
        <v>42</v>
      </c>
      <c r="G1382">
        <v>-262.12889999999999</v>
      </c>
      <c r="H1382">
        <v>0.90009359999999905</v>
      </c>
      <c r="I1382">
        <v>282.92899999999997</v>
      </c>
      <c r="J1382">
        <v>-261.72710000000001</v>
      </c>
      <c r="K1382">
        <v>1.120034</v>
      </c>
      <c r="L1382">
        <v>282.86419999999998</v>
      </c>
      <c r="M1382">
        <v>-0.99996549999999995</v>
      </c>
      <c r="N1382">
        <v>-8.2614419999999904E-3</v>
      </c>
      <c r="O1382">
        <v>-9.1213739999999996E-4</v>
      </c>
      <c r="P1382">
        <v>-0.98329599999999995</v>
      </c>
      <c r="Q1382">
        <v>0.17754990000000001</v>
      </c>
      <c r="R1382">
        <v>4.0063920000000003E-2</v>
      </c>
      <c r="S1382">
        <v>-3.2123409999999999</v>
      </c>
      <c r="T1382">
        <v>-0.96872849999999999</v>
      </c>
      <c r="U1382">
        <v>0.28430179999999999</v>
      </c>
      <c r="V1382">
        <v>4.1133679999999999E-2</v>
      </c>
      <c r="W1382">
        <v>0.18562870000000001</v>
      </c>
      <c r="X1382">
        <v>0.98175869999999998</v>
      </c>
      <c r="Y1382">
        <v>8.5161310000000004E-2</v>
      </c>
      <c r="Z1382">
        <v>1.316001E-2</v>
      </c>
      <c r="AA1382">
        <v>0.99628030000000001</v>
      </c>
      <c r="AB1382">
        <v>32</v>
      </c>
      <c r="AC1382">
        <v>-0.40179999999998001</v>
      </c>
      <c r="AD1382">
        <v>-0.21994040000000001</v>
      </c>
      <c r="AE1382">
        <v>6.4800000000047903E-2</v>
      </c>
      <c r="AF1382">
        <v>5.04369846689545E-2</v>
      </c>
      <c r="AG1382">
        <v>-0.21994040000000001</v>
      </c>
      <c r="AH1382">
        <v>0.31093577596421701</v>
      </c>
      <c r="AI1382">
        <v>124.92365743581399</v>
      </c>
      <c r="AJ1382">
        <v>80.786286203921094</v>
      </c>
      <c r="AK1382">
        <v>0.38418579587112001</v>
      </c>
      <c r="AL1382">
        <v>79.302211575518498</v>
      </c>
      <c r="AM1382">
        <v>87.600827325377097</v>
      </c>
      <c r="AN1382">
        <v>1.0000000694598501</v>
      </c>
    </row>
    <row r="1383" spans="1:40" x14ac:dyDescent="0.25">
      <c r="A1383" t="str">
        <f>"20190303162528897"</f>
        <v>20190303162528897</v>
      </c>
      <c r="B1383" t="str">
        <f>"1551601528884614"</f>
        <v>1551601528884614</v>
      </c>
      <c r="C1383" t="s">
        <v>40</v>
      </c>
      <c r="D1383">
        <v>4.4273420000000003</v>
      </c>
      <c r="E1383">
        <v>0.52491350000000003</v>
      </c>
      <c r="F1383" t="s">
        <v>42</v>
      </c>
      <c r="G1383">
        <v>-262.42489999999998</v>
      </c>
      <c r="H1383">
        <v>0.91172549999999997</v>
      </c>
      <c r="I1383">
        <v>282.92559999999997</v>
      </c>
      <c r="J1383">
        <v>-262.02879999999999</v>
      </c>
      <c r="K1383">
        <v>1.120042</v>
      </c>
      <c r="L1383">
        <v>282.86430000000001</v>
      </c>
      <c r="M1383">
        <v>-0.99996560000000001</v>
      </c>
      <c r="N1383">
        <v>-8.2805629999999995E-3</v>
      </c>
      <c r="O1383">
        <v>-5.3040019999999995E-4</v>
      </c>
      <c r="P1383">
        <v>-0.98310830000000005</v>
      </c>
      <c r="Q1383">
        <v>0.17876029999999901</v>
      </c>
      <c r="R1383">
        <v>3.927866E-2</v>
      </c>
      <c r="S1383">
        <v>-3.2125849999999998</v>
      </c>
      <c r="T1383">
        <v>-0.95898819999999996</v>
      </c>
      <c r="U1383">
        <v>0.28265380000000001</v>
      </c>
      <c r="V1383">
        <v>3.9973380000000003E-2</v>
      </c>
      <c r="W1383">
        <v>0.186858</v>
      </c>
      <c r="X1383">
        <v>0.98157329999999998</v>
      </c>
      <c r="Y1383">
        <v>8.4392839999999997E-2</v>
      </c>
      <c r="Z1383">
        <v>1.2813079999999999E-2</v>
      </c>
      <c r="AA1383">
        <v>0.99635019999999996</v>
      </c>
      <c r="AB1383">
        <v>32</v>
      </c>
      <c r="AC1383">
        <v>-0.39609999999998902</v>
      </c>
      <c r="AD1383">
        <v>-0.20831649999999999</v>
      </c>
      <c r="AE1383">
        <v>6.1299999999960102E-2</v>
      </c>
      <c r="AF1383">
        <v>4.8428517740721197E-2</v>
      </c>
      <c r="AG1383">
        <v>-0.20831649999999999</v>
      </c>
      <c r="AH1383">
        <v>0.311834343166702</v>
      </c>
      <c r="AI1383">
        <v>123.429702155293</v>
      </c>
      <c r="AJ1383">
        <v>81.172366728729997</v>
      </c>
      <c r="AK1383">
        <v>0.37812926768635802</v>
      </c>
      <c r="AL1383">
        <v>79.230522438231503</v>
      </c>
      <c r="AM1383">
        <v>87.667987583066093</v>
      </c>
      <c r="AN1383">
        <v>0.99999996327275598</v>
      </c>
    </row>
    <row r="1384" spans="1:40" x14ac:dyDescent="0.25">
      <c r="A1384" t="str">
        <f>"20190303162528921"</f>
        <v>20190303162528921</v>
      </c>
      <c r="B1384" t="str">
        <f>"1551601528913892"</f>
        <v>1551601528913892</v>
      </c>
      <c r="C1384" t="s">
        <v>40</v>
      </c>
      <c r="D1384">
        <v>4.3909820000000002</v>
      </c>
      <c r="E1384">
        <v>0.52629239999999999</v>
      </c>
      <c r="F1384" t="s">
        <v>42</v>
      </c>
      <c r="G1384">
        <v>-262.71769999999998</v>
      </c>
      <c r="H1384">
        <v>0.91491659999999997</v>
      </c>
      <c r="I1384">
        <v>282.92489999999998</v>
      </c>
      <c r="J1384">
        <v>-262.3818</v>
      </c>
      <c r="K1384">
        <v>1.12005</v>
      </c>
      <c r="L1384">
        <v>282.8646</v>
      </c>
      <c r="M1384">
        <v>-0.99996549999999995</v>
      </c>
      <c r="N1384">
        <v>-8.3029169999999999E-3</v>
      </c>
      <c r="O1384" s="1">
        <v>-8.4176200000000002E-5</v>
      </c>
      <c r="P1384">
        <v>-0.98291059999999997</v>
      </c>
      <c r="Q1384">
        <v>0.1798381</v>
      </c>
      <c r="R1384">
        <v>3.9311949999999998E-2</v>
      </c>
      <c r="S1384">
        <v>-3.2142940000000002</v>
      </c>
      <c r="T1384">
        <v>-0.9570495</v>
      </c>
      <c r="U1384">
        <v>0.2825317</v>
      </c>
      <c r="V1384">
        <v>3.9568850000000003E-2</v>
      </c>
      <c r="W1384">
        <v>0.18795690000000001</v>
      </c>
      <c r="X1384">
        <v>0.98137989999999997</v>
      </c>
      <c r="Y1384">
        <v>8.3921889999999999E-2</v>
      </c>
      <c r="Z1384">
        <v>1.258687E-2</v>
      </c>
      <c r="AA1384">
        <v>0.99639279999999997</v>
      </c>
      <c r="AB1384">
        <v>33</v>
      </c>
      <c r="AC1384">
        <v>-0.33589999999998099</v>
      </c>
      <c r="AD1384">
        <v>-0.20513339999999999</v>
      </c>
      <c r="AE1384">
        <v>6.0299999999983797E-2</v>
      </c>
      <c r="AF1384">
        <v>4.4316400912142798E-2</v>
      </c>
      <c r="AG1384">
        <v>-0.20513339999999999</v>
      </c>
      <c r="AH1384">
        <v>0.24674423275895399</v>
      </c>
      <c r="AI1384">
        <v>129.29234584403099</v>
      </c>
      <c r="AJ1384">
        <v>79.817971183964104</v>
      </c>
      <c r="AK1384">
        <v>0.32392340388612001</v>
      </c>
      <c r="AL1384">
        <v>79.166424821745593</v>
      </c>
      <c r="AM1384">
        <v>87.691107421657406</v>
      </c>
      <c r="AN1384">
        <v>0.99999999913597104</v>
      </c>
    </row>
    <row r="1385" spans="1:40" x14ac:dyDescent="0.25">
      <c r="A1385" t="str">
        <f>"20190303162528943"</f>
        <v>20190303162528943</v>
      </c>
      <c r="B1385" t="str">
        <f>"1551601528934389"</f>
        <v>1551601528934389</v>
      </c>
      <c r="C1385" t="s">
        <v>40</v>
      </c>
      <c r="D1385">
        <v>4.4165749999999999</v>
      </c>
      <c r="E1385">
        <v>0.52688749999999995</v>
      </c>
      <c r="F1385" t="s">
        <v>42</v>
      </c>
      <c r="G1385">
        <v>-263.27609999999999</v>
      </c>
      <c r="H1385">
        <v>0.85091870000000003</v>
      </c>
      <c r="I1385">
        <v>282.94630000000001</v>
      </c>
      <c r="J1385">
        <v>-262.71530000000001</v>
      </c>
      <c r="K1385">
        <v>1.120053</v>
      </c>
      <c r="L1385">
        <v>282.86500000000001</v>
      </c>
      <c r="M1385">
        <v>-0.9999654</v>
      </c>
      <c r="N1385">
        <v>-8.3282440000000003E-3</v>
      </c>
      <c r="O1385">
        <v>3.3760289999999998E-4</v>
      </c>
      <c r="P1385">
        <v>-0.98279130000000003</v>
      </c>
      <c r="Q1385">
        <v>0.18040439999999999</v>
      </c>
      <c r="R1385">
        <v>3.9694590000000002E-2</v>
      </c>
      <c r="S1385">
        <v>-3.21759</v>
      </c>
      <c r="T1385">
        <v>-0.9683079</v>
      </c>
      <c r="U1385">
        <v>0.29357909999999998</v>
      </c>
      <c r="V1385">
        <v>3.9537200000000002E-2</v>
      </c>
      <c r="W1385">
        <v>0.18854689999999999</v>
      </c>
      <c r="X1385">
        <v>0.98126800000000003</v>
      </c>
      <c r="Y1385">
        <v>8.6624960000000001E-2</v>
      </c>
      <c r="Z1385">
        <v>1.3000299999999999E-2</v>
      </c>
      <c r="AA1385">
        <v>0.99615620000000005</v>
      </c>
      <c r="AB1385">
        <v>33</v>
      </c>
      <c r="AC1385">
        <v>-0.56079999999997199</v>
      </c>
      <c r="AD1385">
        <v>-0.26913429999999899</v>
      </c>
      <c r="AE1385">
        <v>8.1299999999998804E-2</v>
      </c>
      <c r="AF1385">
        <v>6.6181768292364301E-2</v>
      </c>
      <c r="AG1385">
        <v>-0.26913429999999899</v>
      </c>
      <c r="AH1385">
        <v>0.45760384136903198</v>
      </c>
      <c r="AI1385">
        <v>120.202915795911</v>
      </c>
      <c r="AJ1385">
        <v>81.770557692910501</v>
      </c>
      <c r="AK1385">
        <v>0.534990255543489</v>
      </c>
      <c r="AL1385">
        <v>79.132004982783997</v>
      </c>
      <c r="AM1385">
        <v>87.692689440496494</v>
      </c>
      <c r="AN1385">
        <v>1.0000000057537199</v>
      </c>
    </row>
    <row r="1386" spans="1:40" x14ac:dyDescent="0.25">
      <c r="A1386" t="str">
        <f>"20190303162528964"</f>
        <v>20190303162528964</v>
      </c>
      <c r="B1386" t="str">
        <f>"1551601528953909"</f>
        <v>1551601528953909</v>
      </c>
      <c r="C1386" t="s">
        <v>40</v>
      </c>
      <c r="D1386">
        <v>4.3900560000000004</v>
      </c>
      <c r="E1386">
        <v>0.52745500000000001</v>
      </c>
      <c r="F1386" t="s">
        <v>42</v>
      </c>
      <c r="G1386">
        <v>-263.5729</v>
      </c>
      <c r="H1386">
        <v>0.86050569999999904</v>
      </c>
      <c r="I1386">
        <v>282.94450000000001</v>
      </c>
      <c r="J1386">
        <v>-263.02330000000001</v>
      </c>
      <c r="K1386">
        <v>1.120052</v>
      </c>
      <c r="L1386">
        <v>282.8655</v>
      </c>
      <c r="M1386">
        <v>-0.99996499999999999</v>
      </c>
      <c r="N1386">
        <v>-8.353783E-3</v>
      </c>
      <c r="O1386">
        <v>7.2720009999999895E-4</v>
      </c>
      <c r="P1386">
        <v>-0.98273029999999995</v>
      </c>
      <c r="Q1386">
        <v>0.18059159999999999</v>
      </c>
      <c r="R1386">
        <v>4.0348580000000002E-2</v>
      </c>
      <c r="S1386">
        <v>-3.21936</v>
      </c>
      <c r="T1386">
        <v>-0.97439799999999999</v>
      </c>
      <c r="U1386">
        <v>0.29803469999999999</v>
      </c>
      <c r="V1386">
        <v>3.9808690000000001E-2</v>
      </c>
      <c r="W1386">
        <v>0.1887586</v>
      </c>
      <c r="X1386">
        <v>0.98121630000000004</v>
      </c>
      <c r="Y1386">
        <v>8.7488289999999996E-2</v>
      </c>
      <c r="Z1386">
        <v>1.308949E-2</v>
      </c>
      <c r="AA1386">
        <v>0.99607959999999995</v>
      </c>
      <c r="AB1386">
        <v>33</v>
      </c>
      <c r="AC1386">
        <v>-0.54959999999999798</v>
      </c>
      <c r="AD1386">
        <v>-0.25954630000000001</v>
      </c>
      <c r="AE1386">
        <v>7.9000000000007703E-2</v>
      </c>
      <c r="AF1386">
        <v>6.4505700418544407E-2</v>
      </c>
      <c r="AG1386">
        <v>-0.25954630000000001</v>
      </c>
      <c r="AH1386">
        <v>0.451092823572808</v>
      </c>
      <c r="AI1386">
        <v>119.664895436235</v>
      </c>
      <c r="AJ1386">
        <v>81.861947762489805</v>
      </c>
      <c r="AK1386">
        <v>0.52441396120723704</v>
      </c>
      <c r="AL1386">
        <v>79.119653446501999</v>
      </c>
      <c r="AM1386">
        <v>87.676740865015503</v>
      </c>
      <c r="AN1386">
        <v>0.99999998412958302</v>
      </c>
    </row>
    <row r="1387" spans="1:40" x14ac:dyDescent="0.25">
      <c r="A1387" t="str">
        <f>"20190303162528985"</f>
        <v>20190303162528985</v>
      </c>
      <c r="B1387" t="str">
        <f>"1551601528974405"</f>
        <v>1551601528974405</v>
      </c>
      <c r="C1387" t="s">
        <v>40</v>
      </c>
      <c r="D1387">
        <v>4.4205779999999999</v>
      </c>
      <c r="E1387">
        <v>0.52779830000000005</v>
      </c>
      <c r="F1387" t="s">
        <v>42</v>
      </c>
      <c r="G1387">
        <v>-263.86770000000001</v>
      </c>
      <c r="H1387">
        <v>0.86384889999999903</v>
      </c>
      <c r="I1387">
        <v>282.94580000000002</v>
      </c>
      <c r="J1387">
        <v>-263.32740000000001</v>
      </c>
      <c r="K1387">
        <v>1.1200460000000001</v>
      </c>
      <c r="L1387">
        <v>282.86610000000002</v>
      </c>
      <c r="M1387">
        <v>-0.99996439999999998</v>
      </c>
      <c r="N1387">
        <v>-8.3787150000000001E-3</v>
      </c>
      <c r="O1387">
        <v>1.111498E-3</v>
      </c>
      <c r="P1387">
        <v>-0.98276779999999997</v>
      </c>
      <c r="Q1387">
        <v>0.1802328</v>
      </c>
      <c r="R1387">
        <v>4.103743E-2</v>
      </c>
      <c r="S1387">
        <v>-3.2196959999999999</v>
      </c>
      <c r="T1387">
        <v>-0.97694159999999997</v>
      </c>
      <c r="U1387">
        <v>0.30575560000000002</v>
      </c>
      <c r="V1387">
        <v>4.0120129999999997E-2</v>
      </c>
      <c r="W1387">
        <v>0.1884238</v>
      </c>
      <c r="X1387">
        <v>0.98126800000000003</v>
      </c>
      <c r="Y1387">
        <v>8.9374800000000004E-2</v>
      </c>
      <c r="Z1387">
        <v>1.329662E-2</v>
      </c>
      <c r="AA1387">
        <v>0.9959093</v>
      </c>
      <c r="AB1387">
        <v>33</v>
      </c>
      <c r="AC1387">
        <v>-0.540300000000002</v>
      </c>
      <c r="AD1387">
        <v>-0.25619710000000001</v>
      </c>
      <c r="AE1387">
        <v>7.9700000000002505E-2</v>
      </c>
      <c r="AF1387">
        <v>6.4832678192869503E-2</v>
      </c>
      <c r="AG1387">
        <v>-0.25619710000000001</v>
      </c>
      <c r="AH1387">
        <v>0.44292148194411401</v>
      </c>
      <c r="AI1387">
        <v>119.783662642116</v>
      </c>
      <c r="AJ1387">
        <v>81.672462601327197</v>
      </c>
      <c r="AK1387">
        <v>0.51577094662033895</v>
      </c>
      <c r="AL1387">
        <v>79.139186982893904</v>
      </c>
      <c r="AM1387">
        <v>87.658708414021604</v>
      </c>
      <c r="AN1387">
        <v>1.0000000205308199</v>
      </c>
    </row>
    <row r="1388" spans="1:40" x14ac:dyDescent="0.25">
      <c r="A1388" t="str">
        <f>"20190303162529008"</f>
        <v>20190303162529008</v>
      </c>
      <c r="B1388" t="str">
        <f>"1551601529004661"</f>
        <v>1551601529004661</v>
      </c>
      <c r="C1388" t="s">
        <v>40</v>
      </c>
      <c r="D1388">
        <v>4.4315160000000002</v>
      </c>
      <c r="E1388">
        <v>0.52831919999999899</v>
      </c>
      <c r="F1388" t="s">
        <v>42</v>
      </c>
      <c r="G1388">
        <v>-264.16230000000002</v>
      </c>
      <c r="H1388">
        <v>0.86508449999999903</v>
      </c>
      <c r="I1388">
        <v>282.947</v>
      </c>
      <c r="J1388">
        <v>-263.66840000000002</v>
      </c>
      <c r="K1388">
        <v>1.1200509999999999</v>
      </c>
      <c r="L1388">
        <v>282.86689999999999</v>
      </c>
      <c r="M1388">
        <v>-0.99996350000000001</v>
      </c>
      <c r="N1388">
        <v>-8.4052640000000008E-3</v>
      </c>
      <c r="O1388">
        <v>1.5423429999999901E-3</v>
      </c>
      <c r="P1388">
        <v>-0.98275449999999998</v>
      </c>
      <c r="Q1388">
        <v>0.18015349999999999</v>
      </c>
      <c r="R1388">
        <v>4.16961E-2</v>
      </c>
      <c r="S1388">
        <v>-3.21991</v>
      </c>
      <c r="T1388">
        <v>-0.98329500000000003</v>
      </c>
      <c r="U1388">
        <v>0.31164550000000002</v>
      </c>
      <c r="V1388">
        <v>4.035565E-2</v>
      </c>
      <c r="W1388">
        <v>0.18837039999999999</v>
      </c>
      <c r="X1388">
        <v>0.98126860000000005</v>
      </c>
      <c r="Y1388">
        <v>9.0653579999999997E-2</v>
      </c>
      <c r="Z1388">
        <v>1.3447590000000001E-2</v>
      </c>
      <c r="AA1388">
        <v>0.99579169999999995</v>
      </c>
      <c r="AB1388">
        <v>33</v>
      </c>
      <c r="AC1388">
        <v>-0.49389999999999601</v>
      </c>
      <c r="AD1388">
        <v>-0.25496649999999998</v>
      </c>
      <c r="AE1388">
        <v>8.0100000000015797E-2</v>
      </c>
      <c r="AF1388">
        <v>6.2983513779472894E-2</v>
      </c>
      <c r="AG1388">
        <v>-0.25496649999999998</v>
      </c>
      <c r="AH1388">
        <v>0.392186050400603</v>
      </c>
      <c r="AI1388">
        <v>122.696054349508</v>
      </c>
      <c r="AJ1388">
        <v>80.876429866214906</v>
      </c>
      <c r="AK1388">
        <v>0.472000780994146</v>
      </c>
      <c r="AL1388">
        <v>79.142302421768406</v>
      </c>
      <c r="AM1388">
        <v>87.644981034733902</v>
      </c>
      <c r="AN1388">
        <v>1.0000000257145201</v>
      </c>
    </row>
    <row r="1389" spans="1:40" x14ac:dyDescent="0.25">
      <c r="A1389" t="str">
        <f>"20190303162529031"</f>
        <v>20190303162529031</v>
      </c>
      <c r="B1389" t="str">
        <f>"1551601529024181"</f>
        <v>1551601529024181</v>
      </c>
      <c r="C1389" t="s">
        <v>40</v>
      </c>
      <c r="D1389">
        <v>4.4016520000000003</v>
      </c>
      <c r="E1389">
        <v>0.52859999999999996</v>
      </c>
      <c r="F1389" t="s">
        <v>42</v>
      </c>
      <c r="G1389">
        <v>-264.46129999999999</v>
      </c>
      <c r="H1389">
        <v>0.87624259999999998</v>
      </c>
      <c r="I1389">
        <v>282.94499999999999</v>
      </c>
      <c r="J1389">
        <v>-264.0104</v>
      </c>
      <c r="K1389">
        <v>1.1200490000000001</v>
      </c>
      <c r="L1389">
        <v>282.86779999999999</v>
      </c>
      <c r="M1389">
        <v>-0.99996260000000003</v>
      </c>
      <c r="N1389">
        <v>-8.4304180000000003E-3</v>
      </c>
      <c r="O1389">
        <v>1.9746220000000001E-3</v>
      </c>
      <c r="P1389">
        <v>-0.98267519999999997</v>
      </c>
      <c r="Q1389">
        <v>0.18029539999999999</v>
      </c>
      <c r="R1389">
        <v>4.2937040000000003E-2</v>
      </c>
      <c r="S1389">
        <v>-3.2207949999999999</v>
      </c>
      <c r="T1389">
        <v>-0.99042620000000003</v>
      </c>
      <c r="U1389">
        <v>0.3164978</v>
      </c>
      <c r="V1389">
        <v>4.1172609999999998E-2</v>
      </c>
      <c r="W1389">
        <v>0.1885357</v>
      </c>
      <c r="X1389">
        <v>0.98120289999999999</v>
      </c>
      <c r="Y1389">
        <v>9.1601459999999996E-2</v>
      </c>
      <c r="Z1389">
        <v>1.355521E-2</v>
      </c>
      <c r="AA1389">
        <v>0.99570349999999996</v>
      </c>
      <c r="AB1389">
        <v>33</v>
      </c>
      <c r="AC1389">
        <v>-0.45089999999998998</v>
      </c>
      <c r="AD1389">
        <v>-0.24380640000000001</v>
      </c>
      <c r="AE1389">
        <v>7.7200000000004806E-2</v>
      </c>
      <c r="AF1389">
        <v>5.9429120971074799E-2</v>
      </c>
      <c r="AG1389">
        <v>-0.24380640000000001</v>
      </c>
      <c r="AH1389">
        <v>0.35127489886434099</v>
      </c>
      <c r="AI1389">
        <v>124.385280022657</v>
      </c>
      <c r="AJ1389">
        <v>80.397554990837193</v>
      </c>
      <c r="AK1389">
        <v>0.43170294841766799</v>
      </c>
      <c r="AL1389">
        <v>79.132658488610204</v>
      </c>
      <c r="AM1389">
        <v>87.597200645745701</v>
      </c>
      <c r="AN1389">
        <v>1.00000001247855</v>
      </c>
    </row>
    <row r="1390" spans="1:40" x14ac:dyDescent="0.25">
      <c r="A1390" t="str">
        <f>"20190303162529054"</f>
        <v>20190303162529054</v>
      </c>
      <c r="B1390" t="str">
        <f>"1551601529044677"</f>
        <v>1551601529044677</v>
      </c>
      <c r="C1390" t="s">
        <v>40</v>
      </c>
      <c r="D1390">
        <v>4.3955339999999996</v>
      </c>
      <c r="E1390">
        <v>0.52889619999999904</v>
      </c>
      <c r="F1390" t="s">
        <v>42</v>
      </c>
      <c r="G1390">
        <v>-264.76119999999997</v>
      </c>
      <c r="H1390">
        <v>0.88862090000000005</v>
      </c>
      <c r="I1390">
        <v>282.94260000000003</v>
      </c>
      <c r="J1390">
        <v>-264.33679999999998</v>
      </c>
      <c r="K1390">
        <v>1.120047</v>
      </c>
      <c r="L1390">
        <v>282.8689</v>
      </c>
      <c r="M1390">
        <v>-0.99996160000000001</v>
      </c>
      <c r="N1390">
        <v>-8.4529700000000006E-3</v>
      </c>
      <c r="O1390">
        <v>2.387302E-3</v>
      </c>
      <c r="P1390">
        <v>-0.9824889</v>
      </c>
      <c r="Q1390">
        <v>0.18114160000000001</v>
      </c>
      <c r="R1390">
        <v>4.3629380000000002E-2</v>
      </c>
      <c r="S1390">
        <v>-3.2209469999999998</v>
      </c>
      <c r="T1390">
        <v>-0.99283350000000004</v>
      </c>
      <c r="U1390">
        <v>0.32180789999999998</v>
      </c>
      <c r="V1390">
        <v>4.1460909999999997E-2</v>
      </c>
      <c r="W1390">
        <v>0.1894024</v>
      </c>
      <c r="X1390">
        <v>0.9810238</v>
      </c>
      <c r="Y1390">
        <v>9.2755969999999993E-2</v>
      </c>
      <c r="Z1390">
        <v>1.3643209999999999E-2</v>
      </c>
      <c r="AA1390">
        <v>0.99559540000000002</v>
      </c>
      <c r="AB1390">
        <v>33</v>
      </c>
      <c r="AC1390">
        <v>-0.42439999999999101</v>
      </c>
      <c r="AD1390">
        <v>-0.2314261</v>
      </c>
      <c r="AE1390">
        <v>7.3700000000030699E-2</v>
      </c>
      <c r="AF1390">
        <v>5.6405244489105798E-2</v>
      </c>
      <c r="AG1390">
        <v>-0.2314261</v>
      </c>
      <c r="AH1390">
        <v>0.32947266311592899</v>
      </c>
      <c r="AI1390">
        <v>124.69644516857301</v>
      </c>
      <c r="AJ1390">
        <v>80.285224555889002</v>
      </c>
      <c r="AK1390">
        <v>0.40656097587912698</v>
      </c>
      <c r="AL1390">
        <v>79.082088838718406</v>
      </c>
      <c r="AM1390">
        <v>87.579954415525705</v>
      </c>
      <c r="AN1390">
        <v>0.99999998617511299</v>
      </c>
    </row>
    <row r="1391" spans="1:40" x14ac:dyDescent="0.25">
      <c r="A1391" t="str">
        <f>"20190303162529076"</f>
        <v>20190303162529076</v>
      </c>
      <c r="B1391" t="str">
        <f>"1551601529064197"</f>
        <v>1551601529064197</v>
      </c>
      <c r="C1391" t="s">
        <v>40</v>
      </c>
      <c r="D1391">
        <v>4.4041119999999996</v>
      </c>
      <c r="E1391">
        <v>0.52912859999999995</v>
      </c>
      <c r="F1391" t="s">
        <v>42</v>
      </c>
      <c r="G1391">
        <v>-265.06020000000001</v>
      </c>
      <c r="H1391">
        <v>0.89715800000000001</v>
      </c>
      <c r="I1391">
        <v>282.94240000000002</v>
      </c>
      <c r="J1391">
        <v>-264.66269999999997</v>
      </c>
      <c r="K1391">
        <v>1.1200460000000001</v>
      </c>
      <c r="L1391">
        <v>282.87</v>
      </c>
      <c r="M1391">
        <v>-0.99996019999999997</v>
      </c>
      <c r="N1391">
        <v>-8.4740409999999999E-3</v>
      </c>
      <c r="O1391">
        <v>2.7997479999999999E-3</v>
      </c>
      <c r="P1391">
        <v>-0.98238230000000004</v>
      </c>
      <c r="Q1391">
        <v>0.18152289999999999</v>
      </c>
      <c r="R1391">
        <v>4.4435870000000002E-2</v>
      </c>
      <c r="S1391">
        <v>-3.2219540000000002</v>
      </c>
      <c r="T1391">
        <v>-0.99259310000000001</v>
      </c>
      <c r="U1391">
        <v>0.32720949999999999</v>
      </c>
      <c r="V1391">
        <v>4.1863360000000002E-2</v>
      </c>
      <c r="W1391">
        <v>0.18980320000000001</v>
      </c>
      <c r="X1391">
        <v>0.9809293</v>
      </c>
      <c r="Y1391">
        <v>9.3934320000000002E-2</v>
      </c>
      <c r="Z1391">
        <v>1.3697869999999999E-2</v>
      </c>
      <c r="AA1391">
        <v>0.99548419999999904</v>
      </c>
      <c r="AB1391">
        <v>33</v>
      </c>
      <c r="AC1391">
        <v>-0.39750000000003599</v>
      </c>
      <c r="AD1391">
        <v>-0.222887999999999</v>
      </c>
      <c r="AE1391">
        <v>7.2400000000015993E-2</v>
      </c>
      <c r="AF1391">
        <v>5.46545085439855E-2</v>
      </c>
      <c r="AG1391">
        <v>-0.222887999999999</v>
      </c>
      <c r="AH1391">
        <v>0.304911542288335</v>
      </c>
      <c r="AI1391">
        <v>125.735949057177</v>
      </c>
      <c r="AJ1391">
        <v>79.837816153945298</v>
      </c>
      <c r="AK1391">
        <v>0.38162445475733803</v>
      </c>
      <c r="AL1391">
        <v>79.058701081056796</v>
      </c>
      <c r="AM1391">
        <v>87.556256898989204</v>
      </c>
      <c r="AN1391">
        <v>1.0000000436195999</v>
      </c>
    </row>
    <row r="1392" spans="1:40" x14ac:dyDescent="0.25">
      <c r="A1392" t="str">
        <f>"20190303162529097"</f>
        <v>20190303162529097</v>
      </c>
      <c r="B1392" t="str">
        <f>"1551601529094051"</f>
        <v>1551601529094051</v>
      </c>
      <c r="C1392" t="s">
        <v>40</v>
      </c>
      <c r="D1392">
        <v>4.4551170000000004</v>
      </c>
      <c r="E1392">
        <v>0.5294257</v>
      </c>
      <c r="F1392" t="s">
        <v>42</v>
      </c>
      <c r="G1392">
        <v>-265.35969999999998</v>
      </c>
      <c r="H1392">
        <v>0.90509119999999998</v>
      </c>
      <c r="I1392">
        <v>282.94170000000003</v>
      </c>
      <c r="J1392">
        <v>-264.98349999999999</v>
      </c>
      <c r="K1392">
        <v>1.1200460000000001</v>
      </c>
      <c r="L1392">
        <v>282.87130000000002</v>
      </c>
      <c r="M1392">
        <v>-0.99995889999999998</v>
      </c>
      <c r="N1392">
        <v>-8.4933790000000006E-3</v>
      </c>
      <c r="O1392">
        <v>3.205168E-3</v>
      </c>
      <c r="P1392">
        <v>-0.98234809999999995</v>
      </c>
      <c r="Q1392">
        <v>0.18143409999999999</v>
      </c>
      <c r="R1392">
        <v>4.5539629999999998E-2</v>
      </c>
      <c r="S1392">
        <v>-3.2224430000000002</v>
      </c>
      <c r="T1392">
        <v>-0.99374450000000003</v>
      </c>
      <c r="U1392">
        <v>0.33151249999999999</v>
      </c>
      <c r="V1392">
        <v>4.256919E-2</v>
      </c>
      <c r="W1392">
        <v>0.1897325</v>
      </c>
      <c r="X1392">
        <v>0.98091260000000002</v>
      </c>
      <c r="Y1392">
        <v>9.4799880000000003E-2</v>
      </c>
      <c r="Z1392">
        <v>1.3726230000000001E-2</v>
      </c>
      <c r="AA1392">
        <v>0.99540169999999994</v>
      </c>
      <c r="AB1392">
        <v>33</v>
      </c>
      <c r="AC1392">
        <v>-0.37619999999998199</v>
      </c>
      <c r="AD1392">
        <v>-0.214954799999999</v>
      </c>
      <c r="AE1392">
        <v>7.0400000000006402E-2</v>
      </c>
      <c r="AF1392">
        <v>5.2601514234004498E-2</v>
      </c>
      <c r="AG1392">
        <v>-0.214954799999999</v>
      </c>
      <c r="AH1392">
        <v>0.286159374785665</v>
      </c>
      <c r="AI1392">
        <v>126.456751991536</v>
      </c>
      <c r="AJ1392">
        <v>79.584225801683104</v>
      </c>
      <c r="AK1392">
        <v>0.361745315270942</v>
      </c>
      <c r="AL1392">
        <v>79.062826857079003</v>
      </c>
      <c r="AM1392">
        <v>87.515063554208893</v>
      </c>
      <c r="AN1392">
        <v>1.00000004316613</v>
      </c>
    </row>
    <row r="1393" spans="1:40" x14ac:dyDescent="0.25">
      <c r="A1393" t="str">
        <f>"20190303162529122"</f>
        <v>20190303162529122</v>
      </c>
      <c r="B1393" t="str">
        <f>"1551601529114531"</f>
        <v>1551601529114531</v>
      </c>
      <c r="C1393" t="s">
        <v>40</v>
      </c>
      <c r="D1393">
        <v>4.4657</v>
      </c>
      <c r="E1393">
        <v>0.52958689999999997</v>
      </c>
      <c r="F1393" t="s">
        <v>42</v>
      </c>
      <c r="G1393">
        <v>-265.65890000000002</v>
      </c>
      <c r="H1393">
        <v>0.91114090000000003</v>
      </c>
      <c r="I1393">
        <v>282.94200000000001</v>
      </c>
      <c r="J1393">
        <v>-265.34620000000001</v>
      </c>
      <c r="K1393">
        <v>1.120052</v>
      </c>
      <c r="L1393">
        <v>282.87299999999999</v>
      </c>
      <c r="M1393">
        <v>-0.99995710000000004</v>
      </c>
      <c r="N1393">
        <v>-8.5137300000000006E-3</v>
      </c>
      <c r="O1393">
        <v>3.6630370000000001E-3</v>
      </c>
      <c r="P1393">
        <v>-0.98221069999999999</v>
      </c>
      <c r="Q1393">
        <v>0.18183569999999999</v>
      </c>
      <c r="R1393">
        <v>4.6883139999999997E-2</v>
      </c>
      <c r="S1393">
        <v>-3.222321</v>
      </c>
      <c r="T1393">
        <v>-0.99664909999999995</v>
      </c>
      <c r="U1393">
        <v>0.33624270000000001</v>
      </c>
      <c r="V1393">
        <v>4.34644E-2</v>
      </c>
      <c r="W1393">
        <v>0.19015190000000001</v>
      </c>
      <c r="X1393">
        <v>0.980792</v>
      </c>
      <c r="Y1393">
        <v>9.5744480000000007E-2</v>
      </c>
      <c r="Z1393">
        <v>1.37763E-2</v>
      </c>
      <c r="AA1393">
        <v>0.99531060000000005</v>
      </c>
      <c r="AB1393">
        <v>33</v>
      </c>
      <c r="AC1393">
        <v>-0.31270000000000597</v>
      </c>
      <c r="AD1393">
        <v>-0.20891109999999999</v>
      </c>
      <c r="AE1393">
        <v>6.9000000000016798E-2</v>
      </c>
      <c r="AF1393">
        <v>4.7596244143861502E-2</v>
      </c>
      <c r="AG1393">
        <v>-0.20891109999999999</v>
      </c>
      <c r="AH1393">
        <v>0.21951929167513201</v>
      </c>
      <c r="AI1393">
        <v>132.92481484132799</v>
      </c>
      <c r="AJ1393">
        <v>77.766468388568299</v>
      </c>
      <c r="AK1393">
        <v>0.30675392349139402</v>
      </c>
      <c r="AL1393">
        <v>79.038350108483897</v>
      </c>
      <c r="AM1393">
        <v>87.462562532814403</v>
      </c>
      <c r="AN1393">
        <v>0.99999992320248199</v>
      </c>
    </row>
    <row r="1394" spans="1:40" x14ac:dyDescent="0.25">
      <c r="A1394" t="str">
        <f>"20190303162529144"</f>
        <v>20190303162529144</v>
      </c>
      <c r="B1394" t="str">
        <f>"1551601529135027"</f>
        <v>1551601529135027</v>
      </c>
      <c r="C1394" t="s">
        <v>40</v>
      </c>
      <c r="D1394">
        <v>4.5030869999999998</v>
      </c>
      <c r="E1394">
        <v>0.52969809999999995</v>
      </c>
      <c r="F1394" t="s">
        <v>42</v>
      </c>
      <c r="G1394">
        <v>-266.22820000000002</v>
      </c>
      <c r="H1394">
        <v>0.84721360000000001</v>
      </c>
      <c r="I1394">
        <v>282.96660000000003</v>
      </c>
      <c r="J1394">
        <v>-265.6814</v>
      </c>
      <c r="K1394">
        <v>1.1200559999999999</v>
      </c>
      <c r="L1394">
        <v>282.87459999999999</v>
      </c>
      <c r="M1394">
        <v>-0.99995540000000005</v>
      </c>
      <c r="N1394">
        <v>-8.5311659999999997E-3</v>
      </c>
      <c r="O1394">
        <v>4.0861079999999998E-3</v>
      </c>
      <c r="P1394">
        <v>-0.98195049999999995</v>
      </c>
      <c r="Q1394">
        <v>0.1830321</v>
      </c>
      <c r="R1394">
        <v>4.767362E-2</v>
      </c>
      <c r="S1394">
        <v>-3.222534</v>
      </c>
      <c r="T1394">
        <v>-0.99683639999999996</v>
      </c>
      <c r="U1394">
        <v>0.34112550000000003</v>
      </c>
      <c r="V1394">
        <v>4.3841909999999998E-2</v>
      </c>
      <c r="W1394">
        <v>0.1913629</v>
      </c>
      <c r="X1394">
        <v>0.98053970000000001</v>
      </c>
      <c r="Y1394">
        <v>9.6777180000000004E-2</v>
      </c>
      <c r="Z1394">
        <v>1.3813999999999899E-2</v>
      </c>
      <c r="AA1394">
        <v>0.99521020000000004</v>
      </c>
      <c r="AB1394">
        <v>33</v>
      </c>
      <c r="AC1394">
        <v>-0.54680000000001805</v>
      </c>
      <c r="AD1394">
        <v>-0.27284239999999899</v>
      </c>
      <c r="AE1394">
        <v>9.2000000000041299E-2</v>
      </c>
      <c r="AF1394">
        <v>7.2267060033636601E-2</v>
      </c>
      <c r="AG1394">
        <v>-0.27284239999999899</v>
      </c>
      <c r="AH1394">
        <v>0.44051161186718601</v>
      </c>
      <c r="AI1394">
        <v>121.43352468460699</v>
      </c>
      <c r="AJ1394">
        <v>80.683468220504494</v>
      </c>
      <c r="AK1394">
        <v>0.52317872987487901</v>
      </c>
      <c r="AL1394">
        <v>78.967667692479793</v>
      </c>
      <c r="AM1394">
        <v>87.439895115263994</v>
      </c>
      <c r="AN1394">
        <v>0.99999998792247402</v>
      </c>
    </row>
    <row r="1395" spans="1:40" x14ac:dyDescent="0.25">
      <c r="A1395" t="str">
        <f>"20190303162529164"</f>
        <v>20190303162529164</v>
      </c>
      <c r="B1395" t="str">
        <f>"1551601529154548"</f>
        <v>1551601529154548</v>
      </c>
      <c r="C1395" t="s">
        <v>40</v>
      </c>
      <c r="D1395">
        <v>4.548419</v>
      </c>
      <c r="E1395">
        <v>0.52982340000000006</v>
      </c>
      <c r="F1395" t="s">
        <v>42</v>
      </c>
      <c r="G1395">
        <v>-266.53070000000002</v>
      </c>
      <c r="H1395">
        <v>0.85797479999999904</v>
      </c>
      <c r="I1395">
        <v>282.96550000000002</v>
      </c>
      <c r="J1395">
        <v>-265.98259999999999</v>
      </c>
      <c r="K1395">
        <v>1.1200600000000001</v>
      </c>
      <c r="L1395">
        <v>282.87619999999998</v>
      </c>
      <c r="M1395">
        <v>-0.9999536</v>
      </c>
      <c r="N1395">
        <v>-8.545782E-3</v>
      </c>
      <c r="O1395">
        <v>4.4659180000000001E-3</v>
      </c>
      <c r="P1395">
        <v>-0.98174819999999996</v>
      </c>
      <c r="Q1395">
        <v>0.1841806</v>
      </c>
      <c r="R1395">
        <v>4.7414949999999997E-2</v>
      </c>
      <c r="S1395">
        <v>-3.2238159999999998</v>
      </c>
      <c r="T1395">
        <v>-0.99482979999999999</v>
      </c>
      <c r="U1395">
        <v>0.34490969999999999</v>
      </c>
      <c r="V1395">
        <v>4.3212889999999997E-2</v>
      </c>
      <c r="W1395">
        <v>0.19252440000000001</v>
      </c>
      <c r="X1395">
        <v>0.98034019999999999</v>
      </c>
      <c r="Y1395">
        <v>9.7515489999999996E-2</v>
      </c>
      <c r="Z1395">
        <v>1.378646E-2</v>
      </c>
      <c r="AA1395">
        <v>0.99513850000000004</v>
      </c>
      <c r="AB1395">
        <v>33</v>
      </c>
      <c r="AC1395">
        <v>-0.54810000000003301</v>
      </c>
      <c r="AD1395">
        <v>-0.26208520000000002</v>
      </c>
      <c r="AE1395">
        <v>8.9300000000037003E-2</v>
      </c>
      <c r="AF1395">
        <v>7.1030345957412297E-2</v>
      </c>
      <c r="AG1395">
        <v>-0.26208520000000002</v>
      </c>
      <c r="AH1395">
        <v>0.44857929487577503</v>
      </c>
      <c r="AI1395">
        <v>119.987802958329</v>
      </c>
      <c r="AJ1395">
        <v>81.002197311248906</v>
      </c>
      <c r="AK1395">
        <v>0.52436375341657404</v>
      </c>
      <c r="AL1395">
        <v>78.899857386877301</v>
      </c>
      <c r="AM1395">
        <v>87.476065435986598</v>
      </c>
      <c r="AN1395">
        <v>0.99999995309677403</v>
      </c>
    </row>
    <row r="1396" spans="1:40" x14ac:dyDescent="0.25">
      <c r="A1396" t="str">
        <f>"20190303162529187"</f>
        <v>20190303162529187</v>
      </c>
      <c r="B1396" t="str">
        <f>"1551601529183828"</f>
        <v>1551601529183828</v>
      </c>
      <c r="C1396" t="s">
        <v>40</v>
      </c>
      <c r="D1396">
        <v>4.5349810000000002</v>
      </c>
      <c r="E1396">
        <v>0.52995819999999905</v>
      </c>
      <c r="F1396" t="s">
        <v>42</v>
      </c>
      <c r="G1396">
        <v>-266.83</v>
      </c>
      <c r="H1396">
        <v>0.85934809999999995</v>
      </c>
      <c r="I1396">
        <v>282.96690000000001</v>
      </c>
      <c r="J1396">
        <v>-266.3134</v>
      </c>
      <c r="K1396">
        <v>1.1200600000000001</v>
      </c>
      <c r="L1396">
        <v>282.87810000000002</v>
      </c>
      <c r="M1396">
        <v>-0.99995149999999999</v>
      </c>
      <c r="N1396">
        <v>-8.5608919999999901E-3</v>
      </c>
      <c r="O1396">
        <v>4.8829770000000002E-3</v>
      </c>
      <c r="P1396">
        <v>-0.98160009999999998</v>
      </c>
      <c r="Q1396">
        <v>0.18493280000000001</v>
      </c>
      <c r="R1396">
        <v>4.7551469999999998E-2</v>
      </c>
      <c r="S1396">
        <v>-3.2252809999999998</v>
      </c>
      <c r="T1396">
        <v>-0.99236789999999997</v>
      </c>
      <c r="U1396">
        <v>0.34497070000000002</v>
      </c>
      <c r="V1396">
        <v>4.2941859999999998E-2</v>
      </c>
      <c r="W1396">
        <v>0.1932903</v>
      </c>
      <c r="X1396">
        <v>0.9802014</v>
      </c>
      <c r="Y1396">
        <v>9.7132159999999995E-2</v>
      </c>
      <c r="Z1396">
        <v>1.356921E-2</v>
      </c>
      <c r="AA1396">
        <v>0.99517900000000004</v>
      </c>
      <c r="AB1396">
        <v>33</v>
      </c>
      <c r="AC1396">
        <v>-0.51659999999998196</v>
      </c>
      <c r="AD1396">
        <v>-0.2607119</v>
      </c>
      <c r="AE1396">
        <v>8.8799999999991996E-2</v>
      </c>
      <c r="AF1396">
        <v>6.9165950126437004E-2</v>
      </c>
      <c r="AG1396">
        <v>-0.2607119</v>
      </c>
      <c r="AH1396">
        <v>0.41449035923953498</v>
      </c>
      <c r="AI1396">
        <v>121.81609702200799</v>
      </c>
      <c r="AJ1396">
        <v>80.526350440124006</v>
      </c>
      <c r="AK1396">
        <v>0.49452692683110899</v>
      </c>
      <c r="AL1396">
        <v>78.855134638140001</v>
      </c>
      <c r="AM1396">
        <v>87.491520496214804</v>
      </c>
      <c r="AN1396">
        <v>0.99999996398815405</v>
      </c>
    </row>
    <row r="1397" spans="1:40" x14ac:dyDescent="0.25">
      <c r="A1397" t="str">
        <f>"20190303162529209"</f>
        <v>20190303162529209</v>
      </c>
      <c r="B1397" t="str">
        <f>"1551601529204031"</f>
        <v>1551601529204031</v>
      </c>
      <c r="C1397" t="s">
        <v>40</v>
      </c>
      <c r="D1397">
        <v>4.5611940000000004</v>
      </c>
      <c r="E1397">
        <v>0.53001109999999996</v>
      </c>
      <c r="F1397" t="s">
        <v>42</v>
      </c>
      <c r="G1397">
        <v>-267.13260000000002</v>
      </c>
      <c r="H1397">
        <v>0.86791070000000003</v>
      </c>
      <c r="I1397">
        <v>282.96600000000001</v>
      </c>
      <c r="J1397">
        <v>-266.66039999999998</v>
      </c>
      <c r="K1397">
        <v>1.120066</v>
      </c>
      <c r="L1397">
        <v>282.8802</v>
      </c>
      <c r="M1397">
        <v>-0.99994910000000004</v>
      </c>
      <c r="N1397">
        <v>-8.5757990000000003E-3</v>
      </c>
      <c r="O1397">
        <v>5.3208400000000003E-3</v>
      </c>
      <c r="P1397">
        <v>-0.98146440000000001</v>
      </c>
      <c r="Q1397">
        <v>0.18575739999999999</v>
      </c>
      <c r="R1397">
        <v>4.7136980000000002E-2</v>
      </c>
      <c r="S1397">
        <v>-3.2265630000000001</v>
      </c>
      <c r="T1397">
        <v>-0.99310589999999999</v>
      </c>
      <c r="U1397">
        <v>0.34637449999999997</v>
      </c>
      <c r="V1397">
        <v>4.2099640000000001E-2</v>
      </c>
      <c r="W1397">
        <v>0.19412950000000001</v>
      </c>
      <c r="X1397">
        <v>0.9800721</v>
      </c>
      <c r="Y1397">
        <v>9.7100350000000002E-2</v>
      </c>
      <c r="Z1397">
        <v>1.344152E-2</v>
      </c>
      <c r="AA1397">
        <v>0.99518379999999995</v>
      </c>
      <c r="AB1397">
        <v>33</v>
      </c>
      <c r="AC1397">
        <v>-0.47220000000004297</v>
      </c>
      <c r="AD1397">
        <v>-0.25215530000000003</v>
      </c>
      <c r="AE1397">
        <v>8.5800000000006094E-2</v>
      </c>
      <c r="AF1397">
        <v>6.5269094597567107E-2</v>
      </c>
      <c r="AG1397">
        <v>-0.25215530000000003</v>
      </c>
      <c r="AH1397">
        <v>0.37040267472905802</v>
      </c>
      <c r="AI1397">
        <v>123.839122721873</v>
      </c>
      <c r="AJ1397">
        <v>80.006434621475293</v>
      </c>
      <c r="AK1397">
        <v>0.45281397005184898</v>
      </c>
      <c r="AL1397">
        <v>78.806123895342296</v>
      </c>
      <c r="AM1397">
        <v>87.540334309153195</v>
      </c>
      <c r="AN1397">
        <v>0.999999981828394</v>
      </c>
    </row>
    <row r="1398" spans="1:40" x14ac:dyDescent="0.25">
      <c r="A1398" t="str">
        <f>"20190303162529232"</f>
        <v>20190303162529232</v>
      </c>
      <c r="B1398" t="str">
        <f>"1551601529224527"</f>
        <v>1551601529224527</v>
      </c>
      <c r="C1398" t="s">
        <v>40</v>
      </c>
      <c r="D1398">
        <v>4.6099449999999997</v>
      </c>
      <c r="E1398">
        <v>0.53005519999999995</v>
      </c>
      <c r="F1398" t="s">
        <v>42</v>
      </c>
      <c r="G1398">
        <v>-267.43759999999997</v>
      </c>
      <c r="H1398">
        <v>0.88115919999999903</v>
      </c>
      <c r="I1398">
        <v>282.96359999999999</v>
      </c>
      <c r="J1398">
        <v>-267.00510000000003</v>
      </c>
      <c r="K1398">
        <v>1.12007099999999</v>
      </c>
      <c r="L1398">
        <v>282.88240000000002</v>
      </c>
      <c r="M1398">
        <v>-0.99994669999999997</v>
      </c>
      <c r="N1398">
        <v>-8.5897590000000006E-3</v>
      </c>
      <c r="O1398">
        <v>5.7557229999999999E-3</v>
      </c>
      <c r="P1398">
        <v>-0.98133380000000003</v>
      </c>
      <c r="Q1398">
        <v>0.18655849999999999</v>
      </c>
      <c r="R1398">
        <v>4.6695720000000003E-2</v>
      </c>
      <c r="S1398">
        <v>-3.227814</v>
      </c>
      <c r="T1398">
        <v>-0.99226729999999996</v>
      </c>
      <c r="U1398">
        <v>0.34570309999999999</v>
      </c>
      <c r="V1398">
        <v>4.1233640000000002E-2</v>
      </c>
      <c r="W1398">
        <v>0.19494339999999999</v>
      </c>
      <c r="X1398">
        <v>0.97994740000000002</v>
      </c>
      <c r="Y1398">
        <v>9.6479999999999996E-2</v>
      </c>
      <c r="Z1398">
        <v>1.3204810000000001E-2</v>
      </c>
      <c r="AA1398">
        <v>0.99524729999999995</v>
      </c>
      <c r="AB1398">
        <v>33</v>
      </c>
      <c r="AC1398">
        <v>-0.43249999999994698</v>
      </c>
      <c r="AD1398">
        <v>-0.23891179999999901</v>
      </c>
      <c r="AE1398">
        <v>8.1199999999967007E-2</v>
      </c>
      <c r="AF1398">
        <v>6.07909049889565E-2</v>
      </c>
      <c r="AG1398">
        <v>-0.23891179999999901</v>
      </c>
      <c r="AH1398">
        <v>0.334395966524698</v>
      </c>
      <c r="AI1398">
        <v>125.10478736376</v>
      </c>
      <c r="AJ1398">
        <v>79.6965403859068</v>
      </c>
      <c r="AK1398">
        <v>0.415445597806263</v>
      </c>
      <c r="AL1398">
        <v>78.758583081418294</v>
      </c>
      <c r="AM1398">
        <v>87.590563797162702</v>
      </c>
      <c r="AN1398">
        <v>1.00000002451898</v>
      </c>
    </row>
    <row r="1399" spans="1:40" x14ac:dyDescent="0.25">
      <c r="A1399" t="str">
        <f>"20190303162529254"</f>
        <v>20190303162529254</v>
      </c>
      <c r="B1399" t="str">
        <f>"1551601529244047"</f>
        <v>1551601529244047</v>
      </c>
      <c r="C1399" t="s">
        <v>40</v>
      </c>
      <c r="D1399">
        <v>4.7172809999999998</v>
      </c>
      <c r="E1399">
        <v>0.53003420000000001</v>
      </c>
      <c r="F1399" t="s">
        <v>42</v>
      </c>
      <c r="G1399">
        <v>-267.74279999999999</v>
      </c>
      <c r="H1399">
        <v>0.89371780000000001</v>
      </c>
      <c r="I1399">
        <v>282.9615</v>
      </c>
      <c r="J1399">
        <v>-267.33300000000003</v>
      </c>
      <c r="K1399">
        <v>1.120074</v>
      </c>
      <c r="L1399">
        <v>282.88459999999998</v>
      </c>
      <c r="M1399">
        <v>-0.99994400000000006</v>
      </c>
      <c r="N1399">
        <v>-8.6023469999999998E-3</v>
      </c>
      <c r="O1399">
        <v>6.1688000000000003E-3</v>
      </c>
      <c r="P1399">
        <v>-0.98123950000000004</v>
      </c>
      <c r="Q1399">
        <v>0.18727050000000001</v>
      </c>
      <c r="R1399">
        <v>4.5812390000000001E-2</v>
      </c>
      <c r="S1399">
        <v>-3.2289729999999999</v>
      </c>
      <c r="T1399">
        <v>-0.99080060000000003</v>
      </c>
      <c r="U1399">
        <v>0.34579470000000001</v>
      </c>
      <c r="V1399">
        <v>3.9946469999999998E-2</v>
      </c>
      <c r="W1399">
        <v>0.1956687</v>
      </c>
      <c r="X1399">
        <v>0.97985610000000001</v>
      </c>
      <c r="Y1399">
        <v>9.6109130000000001E-2</v>
      </c>
      <c r="Z1399">
        <v>1.3005930000000001E-2</v>
      </c>
      <c r="AA1399">
        <v>0.9952858</v>
      </c>
      <c r="AB1399">
        <v>34</v>
      </c>
      <c r="AC1399">
        <v>-0.40980000000001798</v>
      </c>
      <c r="AD1399">
        <v>-0.22635619999999901</v>
      </c>
      <c r="AE1399">
        <v>7.69000000000232E-2</v>
      </c>
      <c r="AF1399">
        <v>5.7441312393891303E-2</v>
      </c>
      <c r="AG1399">
        <v>-0.22635619999999901</v>
      </c>
      <c r="AH1399">
        <v>0.31687647360645999</v>
      </c>
      <c r="AI1399">
        <v>125.102645459738</v>
      </c>
      <c r="AJ1399">
        <v>79.725364871502805</v>
      </c>
      <c r="AK1399">
        <v>0.39363350108093897</v>
      </c>
      <c r="AL1399">
        <v>78.716209816600994</v>
      </c>
      <c r="AM1399">
        <v>87.665476163734894</v>
      </c>
      <c r="AN1399">
        <v>0.99999996866617902</v>
      </c>
    </row>
    <row r="1400" spans="1:40" x14ac:dyDescent="0.25">
      <c r="A1400" t="str">
        <f>"20190303162529276"</f>
        <v>20190303162529276</v>
      </c>
      <c r="B1400" t="str">
        <f>"1551601529264543"</f>
        <v>1551601529264543</v>
      </c>
      <c r="C1400" t="s">
        <v>40</v>
      </c>
      <c r="D1400">
        <v>4.6338210000000002</v>
      </c>
      <c r="E1400">
        <v>0.51137929999999998</v>
      </c>
      <c r="F1400" t="s">
        <v>42</v>
      </c>
      <c r="G1400">
        <v>-268.04680000000002</v>
      </c>
      <c r="H1400">
        <v>0.90161670000000005</v>
      </c>
      <c r="I1400">
        <v>282.96069999999997</v>
      </c>
      <c r="J1400">
        <v>-267.65379999999999</v>
      </c>
      <c r="K1400">
        <v>1.1200680000000001</v>
      </c>
      <c r="L1400">
        <v>282.887</v>
      </c>
      <c r="M1400">
        <v>-0.99994130000000003</v>
      </c>
      <c r="N1400">
        <v>-8.6140980000000006E-3</v>
      </c>
      <c r="O1400">
        <v>6.5730569999999898E-3</v>
      </c>
      <c r="P1400">
        <v>-0.9812554</v>
      </c>
      <c r="Q1400">
        <v>0.18719350000000001</v>
      </c>
      <c r="R1400">
        <v>4.5787759999999997E-2</v>
      </c>
      <c r="S1400">
        <v>-3.2299799999999999</v>
      </c>
      <c r="T1400">
        <v>-0.98846849999999997</v>
      </c>
      <c r="U1400">
        <v>0.34335329999999997</v>
      </c>
      <c r="V1400">
        <v>3.9525539999999998E-2</v>
      </c>
      <c r="W1400">
        <v>0.1956032</v>
      </c>
      <c r="X1400">
        <v>0.97988629999999999</v>
      </c>
      <c r="Y1400">
        <v>9.5019359999999997E-2</v>
      </c>
      <c r="Z1400">
        <v>1.2690460000000001E-2</v>
      </c>
      <c r="AA1400">
        <v>0.99539449999999996</v>
      </c>
      <c r="AB1400">
        <v>34</v>
      </c>
      <c r="AC1400">
        <v>-0.39300000000002899</v>
      </c>
      <c r="AD1400">
        <v>-0.21845129999999999</v>
      </c>
      <c r="AE1400">
        <v>7.3699999999973898E-2</v>
      </c>
      <c r="AF1400">
        <v>5.4768017344032402E-2</v>
      </c>
      <c r="AG1400">
        <v>-0.21845129999999999</v>
      </c>
      <c r="AH1400">
        <v>0.303028444572774</v>
      </c>
      <c r="AI1400">
        <v>125.35190518256501</v>
      </c>
      <c r="AJ1400">
        <v>79.755209349661001</v>
      </c>
      <c r="AK1400">
        <v>0.37755363117798302</v>
      </c>
      <c r="AL1400">
        <v>78.720037230381806</v>
      </c>
      <c r="AM1400">
        <v>87.690120188375104</v>
      </c>
      <c r="AN1400">
        <v>1.0000000205451101</v>
      </c>
    </row>
    <row r="1401" spans="1:40" x14ac:dyDescent="0.25">
      <c r="A1401" t="str">
        <f>"20190303162529299"</f>
        <v>20190303162529299</v>
      </c>
      <c r="B1401" t="str">
        <f>"1551601529284063"</f>
        <v>1551601529284063</v>
      </c>
      <c r="C1401" t="s">
        <v>40</v>
      </c>
      <c r="D1401">
        <v>4.6986030000000003</v>
      </c>
      <c r="E1401">
        <v>0.50161829999999996</v>
      </c>
      <c r="F1401" t="s">
        <v>42</v>
      </c>
      <c r="G1401">
        <v>-268.3861</v>
      </c>
      <c r="H1401">
        <v>0.98054479999999999</v>
      </c>
      <c r="I1401">
        <v>282.93400000000003</v>
      </c>
      <c r="J1401">
        <v>-268.0016</v>
      </c>
      <c r="K1401">
        <v>1.1200639999999999</v>
      </c>
      <c r="L1401">
        <v>282.8897</v>
      </c>
      <c r="M1401">
        <v>-0.9999382</v>
      </c>
      <c r="N1401">
        <v>-8.6262679999999994E-3</v>
      </c>
      <c r="O1401">
        <v>7.0110490000000001E-3</v>
      </c>
      <c r="P1401">
        <v>-0.9811472</v>
      </c>
      <c r="Q1401">
        <v>0.18780140000000001</v>
      </c>
      <c r="R1401">
        <v>4.5615000000000003E-2</v>
      </c>
      <c r="S1401">
        <v>-3.1627809999999998</v>
      </c>
      <c r="T1401">
        <v>-0.60260419999999904</v>
      </c>
      <c r="U1401">
        <v>0.2029724</v>
      </c>
      <c r="V1401">
        <v>3.8924840000000002E-2</v>
      </c>
      <c r="W1401">
        <v>0.1962228</v>
      </c>
      <c r="X1401">
        <v>0.9797865</v>
      </c>
      <c r="Y1401">
        <v>5.6107949999999997E-2</v>
      </c>
      <c r="Z1401">
        <v>4.2740829999999997E-3</v>
      </c>
      <c r="AA1401">
        <v>0.99841559999999996</v>
      </c>
      <c r="AB1401">
        <v>34</v>
      </c>
      <c r="AC1401">
        <v>-0.38450000000000201</v>
      </c>
      <c r="AD1401">
        <v>-0.13951919999999901</v>
      </c>
      <c r="AE1401">
        <v>4.43000000000211E-2</v>
      </c>
      <c r="AF1401">
        <v>3.6818772384686498E-2</v>
      </c>
      <c r="AG1401">
        <v>-0.13951919999999901</v>
      </c>
      <c r="AH1401">
        <v>0.34054959252191203</v>
      </c>
      <c r="AI1401">
        <v>112.16179059572499</v>
      </c>
      <c r="AJ1401">
        <v>83.829392485034305</v>
      </c>
      <c r="AK1401">
        <v>0.36985842444832301</v>
      </c>
      <c r="AL1401">
        <v>78.683835646232396</v>
      </c>
      <c r="AM1401">
        <v>87.724956576447994</v>
      </c>
      <c r="AN1401">
        <v>1.0000000579955499</v>
      </c>
    </row>
    <row r="1402" spans="1:40" x14ac:dyDescent="0.25">
      <c r="A1402" t="str">
        <f>"20190303162529322"</f>
        <v>20190303162529322</v>
      </c>
      <c r="B1402" t="str">
        <f>"1551601529314319"</f>
        <v>1551601529314319</v>
      </c>
      <c r="C1402" t="s">
        <v>40</v>
      </c>
      <c r="D1402">
        <v>4.6910230000000004</v>
      </c>
      <c r="E1402">
        <v>0.49619089999999999</v>
      </c>
      <c r="F1402" t="s">
        <v>42</v>
      </c>
      <c r="G1402">
        <v>-269.00240000000002</v>
      </c>
      <c r="H1402">
        <v>1.0051509999999999</v>
      </c>
      <c r="I1402">
        <v>282.9314</v>
      </c>
      <c r="J1402">
        <v>-268.3503</v>
      </c>
      <c r="K1402">
        <v>1.1200650000000001</v>
      </c>
      <c r="L1402">
        <v>282.89260000000002</v>
      </c>
      <c r="M1402">
        <v>-0.99993509999999997</v>
      </c>
      <c r="N1402">
        <v>-8.6379630000000002E-3</v>
      </c>
      <c r="O1402">
        <v>7.4501159999999997E-3</v>
      </c>
      <c r="P1402">
        <v>-0.98119619999999996</v>
      </c>
      <c r="Q1402">
        <v>0.1875126</v>
      </c>
      <c r="R1402">
        <v>4.5752260000000003E-2</v>
      </c>
      <c r="S1402">
        <v>-3.1201780000000001</v>
      </c>
      <c r="T1402">
        <v>-0.35825810000000002</v>
      </c>
      <c r="U1402">
        <v>0.13012699999999999</v>
      </c>
      <c r="V1402">
        <v>3.8631110000000003E-2</v>
      </c>
      <c r="W1402">
        <v>0.19594639999999999</v>
      </c>
      <c r="X1402">
        <v>0.97985339999999999</v>
      </c>
      <c r="Y1402">
        <v>3.4025380000000001E-2</v>
      </c>
      <c r="Z1402">
        <v>1.3056189999999901E-3</v>
      </c>
      <c r="AA1402">
        <v>0.99942010000000003</v>
      </c>
      <c r="AB1402">
        <v>34</v>
      </c>
      <c r="AC1402">
        <v>-0.652100000000018</v>
      </c>
      <c r="AD1402">
        <v>-0.114913999999999</v>
      </c>
      <c r="AE1402">
        <v>3.87999999999806E-2</v>
      </c>
      <c r="AF1402">
        <v>3.2921775954165303E-2</v>
      </c>
      <c r="AG1402">
        <v>-0.114913999999999</v>
      </c>
      <c r="AH1402">
        <v>0.63278965251591202</v>
      </c>
      <c r="AI1402">
        <v>100.279087388132</v>
      </c>
      <c r="AJ1402">
        <v>87.021791248036806</v>
      </c>
      <c r="AK1402">
        <v>0.64398122259828705</v>
      </c>
      <c r="AL1402">
        <v>78.699985284461604</v>
      </c>
      <c r="AM1402">
        <v>87.742260402211798</v>
      </c>
      <c r="AN1402">
        <v>1.0000000199121699</v>
      </c>
    </row>
    <row r="1403" spans="1:40" x14ac:dyDescent="0.25">
      <c r="A1403" t="str">
        <f>"20190303162529348"</f>
        <v>20190303162529348</v>
      </c>
      <c r="B1403" t="str">
        <f>"1551601529333839"</f>
        <v>1551601529333839</v>
      </c>
      <c r="C1403" t="s">
        <v>40</v>
      </c>
      <c r="D1403">
        <v>4.7174639999999997</v>
      </c>
      <c r="E1403">
        <v>0.49486390000000002</v>
      </c>
      <c r="F1403" t="s">
        <v>51</v>
      </c>
      <c r="G1403">
        <v>-285.11810000000003</v>
      </c>
      <c r="H1403" s="1">
        <v>6.3869389999999998E-6</v>
      </c>
      <c r="I1403">
        <v>283.3854</v>
      </c>
      <c r="J1403">
        <v>-268.74560000000002</v>
      </c>
      <c r="K1403">
        <v>1.1200600000000001</v>
      </c>
      <c r="L1403">
        <v>282.89609999999999</v>
      </c>
      <c r="M1403">
        <v>-0.99993120000000002</v>
      </c>
      <c r="N1403">
        <v>-8.6505339999999997E-3</v>
      </c>
      <c r="O1403">
        <v>7.947473E-3</v>
      </c>
      <c r="P1403">
        <v>-0.98123819999999995</v>
      </c>
      <c r="Q1403">
        <v>0.18722369999999999</v>
      </c>
      <c r="R1403">
        <v>4.603753E-2</v>
      </c>
      <c r="S1403">
        <v>-3.092743</v>
      </c>
      <c r="T1403">
        <v>-0.20658960000000001</v>
      </c>
      <c r="U1403">
        <v>9.088135E-2</v>
      </c>
      <c r="V1403">
        <v>3.842856E-2</v>
      </c>
      <c r="W1403">
        <v>0.19567010000000001</v>
      </c>
      <c r="X1403">
        <v>0.97991660000000003</v>
      </c>
      <c r="Y1403">
        <v>2.1387010000000001E-2</v>
      </c>
      <c r="Z1403">
        <v>3.4452089999999902E-4</v>
      </c>
      <c r="AA1403">
        <v>0.99977119999999997</v>
      </c>
      <c r="AB1403">
        <v>34</v>
      </c>
      <c r="AC1403">
        <v>-16.372499999999999</v>
      </c>
      <c r="AD1403">
        <v>-1.1200536130609999</v>
      </c>
      <c r="AE1403">
        <v>0.489300000000014</v>
      </c>
      <c r="AF1403">
        <v>0.35748814297803999</v>
      </c>
      <c r="AG1403">
        <v>-1.1200536130609999</v>
      </c>
      <c r="AH1403">
        <v>16.299657098137001</v>
      </c>
      <c r="AI1403">
        <v>93.930037538460894</v>
      </c>
      <c r="AJ1403">
        <v>88.743576110553306</v>
      </c>
      <c r="AK1403">
        <v>16.342005366091101</v>
      </c>
      <c r="AL1403">
        <v>78.716128866690198</v>
      </c>
      <c r="AM1403">
        <v>87.754230693649703</v>
      </c>
      <c r="AN1403">
        <v>1.00000004260662</v>
      </c>
    </row>
    <row r="1404" spans="1:40" x14ac:dyDescent="0.25">
      <c r="A1404" t="str">
        <f>"20190303162529368"</f>
        <v>20190303162529368</v>
      </c>
      <c r="B1404" t="str">
        <f>"1551601529354335"</f>
        <v>1551601529354335</v>
      </c>
      <c r="C1404" t="s">
        <v>40</v>
      </c>
      <c r="D1404">
        <v>4.726534</v>
      </c>
      <c r="E1404">
        <v>0.4942686</v>
      </c>
      <c r="F1404" t="s">
        <v>51</v>
      </c>
      <c r="G1404">
        <v>-288.58659999999998</v>
      </c>
      <c r="H1404" s="1">
        <v>4.8404740000000002E-6</v>
      </c>
      <c r="I1404">
        <v>283.42570000000001</v>
      </c>
      <c r="J1404">
        <v>-269.05290000000002</v>
      </c>
      <c r="K1404">
        <v>1.1200589999999999</v>
      </c>
      <c r="L1404">
        <v>282.89890000000003</v>
      </c>
      <c r="M1404">
        <v>-0.99992780000000003</v>
      </c>
      <c r="N1404">
        <v>-8.6599199999999998E-3</v>
      </c>
      <c r="O1404">
        <v>8.3344519999999991E-3</v>
      </c>
      <c r="P1404">
        <v>-0.98119160000000005</v>
      </c>
      <c r="Q1404">
        <v>0.1874025</v>
      </c>
      <c r="R1404">
        <v>4.6296289999999997E-2</v>
      </c>
      <c r="S1404">
        <v>-3.0867</v>
      </c>
      <c r="T1404">
        <v>-0.17424879999999901</v>
      </c>
      <c r="U1404">
        <v>8.2397460000000006E-2</v>
      </c>
      <c r="V1404">
        <v>3.8308330000000002E-2</v>
      </c>
      <c r="W1404">
        <v>0.19585810000000001</v>
      </c>
      <c r="X1404">
        <v>0.97988370000000002</v>
      </c>
      <c r="Y1404">
        <v>1.8327980000000001E-2</v>
      </c>
      <c r="Z1404">
        <v>1.9836640000000001E-4</v>
      </c>
      <c r="AA1404">
        <v>0.99983200000000005</v>
      </c>
      <c r="AB1404">
        <v>34</v>
      </c>
      <c r="AC1404">
        <v>-19.5336999999999</v>
      </c>
      <c r="AD1404">
        <v>-1.1200541595259901</v>
      </c>
      <c r="AE1404">
        <v>0.52679999999997995</v>
      </c>
      <c r="AF1404">
        <v>0.36278102228997</v>
      </c>
      <c r="AG1404">
        <v>-1.1200541595259901</v>
      </c>
      <c r="AH1404">
        <v>19.473433498767399</v>
      </c>
      <c r="AI1404">
        <v>93.291286681376803</v>
      </c>
      <c r="AJ1404">
        <v>88.932729694176402</v>
      </c>
      <c r="AK1404">
        <v>19.508991353253599</v>
      </c>
      <c r="AL1404">
        <v>78.705144178244097</v>
      </c>
      <c r="AM1404">
        <v>87.761174697160101</v>
      </c>
      <c r="AN1404">
        <v>0.99999999450434396</v>
      </c>
    </row>
    <row r="1405" spans="1:40" x14ac:dyDescent="0.25">
      <c r="A1405" t="str">
        <f>"20190303162529388"</f>
        <v>20190303162529388</v>
      </c>
      <c r="B1405" t="str">
        <f>"1551601529373855"</f>
        <v>1551601529373855</v>
      </c>
      <c r="C1405" t="s">
        <v>40</v>
      </c>
      <c r="D1405">
        <v>4.7678949999999896</v>
      </c>
      <c r="E1405">
        <v>0.49395299999999998</v>
      </c>
      <c r="F1405" t="s">
        <v>51</v>
      </c>
      <c r="G1405">
        <v>-291.99470000000002</v>
      </c>
      <c r="H1405" s="1">
        <v>2.6580650000000001E-6</v>
      </c>
      <c r="I1405">
        <v>283.48970000000003</v>
      </c>
      <c r="J1405">
        <v>-269.34910000000002</v>
      </c>
      <c r="K1405">
        <v>1.120052</v>
      </c>
      <c r="L1405">
        <v>282.90159999999997</v>
      </c>
      <c r="M1405">
        <v>-0.99992449999999999</v>
      </c>
      <c r="N1405">
        <v>-8.6689200000000001E-3</v>
      </c>
      <c r="O1405">
        <v>8.7072469999999996E-3</v>
      </c>
      <c r="P1405">
        <v>-0.98120249999999998</v>
      </c>
      <c r="Q1405">
        <v>0.18726090000000001</v>
      </c>
      <c r="R1405">
        <v>4.6640300000000003E-2</v>
      </c>
      <c r="S1405">
        <v>-3.0824889999999998</v>
      </c>
      <c r="T1405">
        <v>-0.150492299999999</v>
      </c>
      <c r="U1405">
        <v>7.9376219999999997E-2</v>
      </c>
      <c r="V1405">
        <v>3.8286729999999998E-2</v>
      </c>
      <c r="W1405">
        <v>0.19572580000000001</v>
      </c>
      <c r="X1405">
        <v>0.97991099999999998</v>
      </c>
      <c r="Y1405">
        <v>1.7019639999999999E-2</v>
      </c>
      <c r="Z1405">
        <v>1.39658E-4</v>
      </c>
      <c r="AA1405">
        <v>0.99985520000000006</v>
      </c>
      <c r="AB1405">
        <v>34</v>
      </c>
      <c r="AC1405">
        <v>-22.645600000000002</v>
      </c>
      <c r="AD1405">
        <v>-1.1200493419349999</v>
      </c>
      <c r="AE1405">
        <v>0.58810000000005302</v>
      </c>
      <c r="AF1405">
        <v>0.38993620792879702</v>
      </c>
      <c r="AG1405">
        <v>-1.1200493419349999</v>
      </c>
      <c r="AH1405">
        <v>22.594626799896599</v>
      </c>
      <c r="AI1405">
        <v>92.837492349429198</v>
      </c>
      <c r="AJ1405">
        <v>89.011292306981701</v>
      </c>
      <c r="AK1405">
        <v>22.6257313915204</v>
      </c>
      <c r="AL1405">
        <v>78.712874254096405</v>
      </c>
      <c r="AM1405">
        <v>87.762498040911197</v>
      </c>
      <c r="AN1405">
        <v>1.0000000152003601</v>
      </c>
    </row>
    <row r="1406" spans="1:40" x14ac:dyDescent="0.25">
      <c r="A1406" t="str">
        <f>"20190303162529411"</f>
        <v>20190303162529411</v>
      </c>
      <c r="B1406" t="str">
        <f>"1551601529404112"</f>
        <v>1551601529404112</v>
      </c>
      <c r="C1406" t="s">
        <v>40</v>
      </c>
      <c r="D1406">
        <v>4.8460460000000003</v>
      </c>
      <c r="E1406">
        <v>0.49360599999999999</v>
      </c>
      <c r="F1406" t="s">
        <v>51</v>
      </c>
      <c r="G1406">
        <v>-294.37060000000002</v>
      </c>
      <c r="H1406" s="1">
        <v>3.0753399999999998E-6</v>
      </c>
      <c r="I1406">
        <v>283.53750000000002</v>
      </c>
      <c r="J1406">
        <v>-269.71199999999999</v>
      </c>
      <c r="K1406">
        <v>1.120052</v>
      </c>
      <c r="L1406">
        <v>282.90519999999998</v>
      </c>
      <c r="M1406">
        <v>-0.99992040000000004</v>
      </c>
      <c r="N1406">
        <v>-8.6798589999999998E-3</v>
      </c>
      <c r="O1406">
        <v>9.1637209999999997E-3</v>
      </c>
      <c r="P1406">
        <v>-0.98128439999999995</v>
      </c>
      <c r="Q1406">
        <v>0.1867779</v>
      </c>
      <c r="R1406">
        <v>4.6852009999999999E-2</v>
      </c>
      <c r="S1406">
        <v>-3.0801090000000002</v>
      </c>
      <c r="T1406">
        <v>-0.1378759</v>
      </c>
      <c r="U1406">
        <v>7.8277589999999994E-2</v>
      </c>
      <c r="V1406">
        <v>3.804979E-2</v>
      </c>
      <c r="W1406">
        <v>0.19525439999999999</v>
      </c>
      <c r="X1406">
        <v>0.9800143</v>
      </c>
      <c r="Y1406">
        <v>1.6230089999999999E-2</v>
      </c>
      <c r="Z1406">
        <v>1.030967E-4</v>
      </c>
      <c r="AA1406">
        <v>0.99986830000000004</v>
      </c>
      <c r="AB1406">
        <v>34</v>
      </c>
      <c r="AC1406">
        <v>-24.6586</v>
      </c>
      <c r="AD1406">
        <v>-1.1200489246600001</v>
      </c>
      <c r="AE1406">
        <v>0.63230000000004305</v>
      </c>
      <c r="AF1406">
        <v>0.40546442301866198</v>
      </c>
      <c r="AG1406">
        <v>-1.1200489246600001</v>
      </c>
      <c r="AH1406">
        <v>24.612612114985499</v>
      </c>
      <c r="AI1406">
        <v>92.605214892341394</v>
      </c>
      <c r="AJ1406">
        <v>89.056203427594994</v>
      </c>
      <c r="AK1406">
        <v>24.641420131857199</v>
      </c>
      <c r="AL1406">
        <v>78.740415232824006</v>
      </c>
      <c r="AM1406">
        <v>87.7765651826615</v>
      </c>
      <c r="AN1406">
        <v>1.0000000477214399</v>
      </c>
    </row>
    <row r="1407" spans="1:40" x14ac:dyDescent="0.25">
      <c r="A1407" t="str">
        <f>"20190303162529434"</f>
        <v>20190303162529434</v>
      </c>
      <c r="B1407" t="str">
        <f>"1551601529424607"</f>
        <v>1551601529424607</v>
      </c>
      <c r="C1407" t="s">
        <v>40</v>
      </c>
      <c r="D1407">
        <v>4.8483349999999996</v>
      </c>
      <c r="E1407">
        <v>0.49323260000000002</v>
      </c>
      <c r="F1407" t="s">
        <v>51</v>
      </c>
      <c r="G1407">
        <v>-296.6669</v>
      </c>
      <c r="H1407" s="1">
        <v>3.4795279999999998E-6</v>
      </c>
      <c r="I1407">
        <v>283.57339999999999</v>
      </c>
      <c r="J1407">
        <v>-270.05369999999999</v>
      </c>
      <c r="K1407">
        <v>1.1200509999999999</v>
      </c>
      <c r="L1407">
        <v>282.90879999999999</v>
      </c>
      <c r="M1407">
        <v>-0.99991629999999998</v>
      </c>
      <c r="N1407">
        <v>-8.6899439999999998E-3</v>
      </c>
      <c r="O1407">
        <v>9.5925449999999992E-3</v>
      </c>
      <c r="P1407">
        <v>-0.98138340000000002</v>
      </c>
      <c r="Q1407">
        <v>0.1862453</v>
      </c>
      <c r="R1407">
        <v>4.6895689999999997E-2</v>
      </c>
      <c r="S1407">
        <v>-3.0779109999999998</v>
      </c>
      <c r="T1407">
        <v>-0.1278957</v>
      </c>
      <c r="U1407">
        <v>7.6293949999999999E-2</v>
      </c>
      <c r="V1407">
        <v>3.7671580000000003E-2</v>
      </c>
      <c r="W1407">
        <v>0.19473289999999999</v>
      </c>
      <c r="X1407">
        <v>0.98013260000000002</v>
      </c>
      <c r="Y1407">
        <v>1.5178199999999999E-2</v>
      </c>
      <c r="Z1407" s="1">
        <v>6.6133490000000006E-5</v>
      </c>
      <c r="AA1407">
        <v>0.99988480000000002</v>
      </c>
      <c r="AB1407">
        <v>34</v>
      </c>
      <c r="AC1407">
        <v>-26.613199999999999</v>
      </c>
      <c r="AD1407">
        <v>-1.120047520472</v>
      </c>
      <c r="AE1407">
        <v>0.66460000000000696</v>
      </c>
      <c r="AF1407">
        <v>0.40854829109040203</v>
      </c>
      <c r="AG1407">
        <v>-1.120047520472</v>
      </c>
      <c r="AH1407">
        <v>26.5713159077618</v>
      </c>
      <c r="AI1407">
        <v>92.413446772052893</v>
      </c>
      <c r="AJ1407">
        <v>89.119115946841106</v>
      </c>
      <c r="AK1407">
        <v>26.598049688357602</v>
      </c>
      <c r="AL1407">
        <v>78.770879014128298</v>
      </c>
      <c r="AM1407">
        <v>87.798909423445394</v>
      </c>
      <c r="AN1407">
        <v>0.999999981932433</v>
      </c>
    </row>
    <row r="1408" spans="1:40" x14ac:dyDescent="0.25">
      <c r="A1408" t="str">
        <f>"20190303162529457"</f>
        <v>20190303162529457</v>
      </c>
      <c r="B1408" t="str">
        <f>"1551601529444127"</f>
        <v>1551601529444127</v>
      </c>
      <c r="C1408" t="s">
        <v>40</v>
      </c>
      <c r="D1408">
        <v>4.8328259999999998</v>
      </c>
      <c r="E1408">
        <v>0.4929365</v>
      </c>
      <c r="F1408" t="s">
        <v>51</v>
      </c>
      <c r="G1408">
        <v>-297.8725</v>
      </c>
      <c r="H1408" s="1">
        <v>3.6930800000000001E-6</v>
      </c>
      <c r="I1408">
        <v>283.57679999999999</v>
      </c>
      <c r="J1408">
        <v>-270.40769999999998</v>
      </c>
      <c r="K1408">
        <v>1.1200460000000001</v>
      </c>
      <c r="L1408">
        <v>282.9126</v>
      </c>
      <c r="M1408">
        <v>-0.99991180000000002</v>
      </c>
      <c r="N1408">
        <v>-8.70008699999999E-3</v>
      </c>
      <c r="O1408">
        <v>1.00371E-2</v>
      </c>
      <c r="P1408">
        <v>-0.98148570000000002</v>
      </c>
      <c r="Q1408">
        <v>0.18571660000000001</v>
      </c>
      <c r="R1408">
        <v>4.685396E-2</v>
      </c>
      <c r="S1408">
        <v>-3.0768430000000002</v>
      </c>
      <c r="T1408">
        <v>-0.1238807</v>
      </c>
      <c r="U1408">
        <v>7.388306E-2</v>
      </c>
      <c r="V1408">
        <v>3.7192469999999998E-2</v>
      </c>
      <c r="W1408">
        <v>0.1942152</v>
      </c>
      <c r="X1408">
        <v>0.98025359999999995</v>
      </c>
      <c r="Y1408">
        <v>1.396115E-2</v>
      </c>
      <c r="Z1408" s="1">
        <v>2.5082149999999998E-5</v>
      </c>
      <c r="AA1408">
        <v>0.99990250000000003</v>
      </c>
      <c r="AB1408">
        <v>34</v>
      </c>
      <c r="AC1408">
        <v>-27.4648</v>
      </c>
      <c r="AD1408">
        <v>-1.1200423069199901</v>
      </c>
      <c r="AE1408">
        <v>0.66419999999999302</v>
      </c>
      <c r="AF1408">
        <v>0.38784452447791801</v>
      </c>
      <c r="AG1408">
        <v>-1.1200423069199901</v>
      </c>
      <c r="AH1408">
        <v>27.424500529453301</v>
      </c>
      <c r="AI1408">
        <v>92.338480025396905</v>
      </c>
      <c r="AJ1408">
        <v>89.189761978348599</v>
      </c>
      <c r="AK1408">
        <v>27.450102867465599</v>
      </c>
      <c r="AL1408">
        <v>78.801118267890601</v>
      </c>
      <c r="AM1408">
        <v>87.827144035762998</v>
      </c>
      <c r="AN1408">
        <v>0.99999997202434998</v>
      </c>
    </row>
    <row r="1409" spans="1:40" x14ac:dyDescent="0.25">
      <c r="A1409" t="str">
        <f>"20190303162529479"</f>
        <v>20190303162529479</v>
      </c>
      <c r="B1409" t="str">
        <f>"1551601529464623"</f>
        <v>1551601529464623</v>
      </c>
      <c r="C1409" t="s">
        <v>40</v>
      </c>
      <c r="D1409">
        <v>5.0264410000000002</v>
      </c>
      <c r="E1409">
        <v>0.49273820000000002</v>
      </c>
      <c r="F1409" t="s">
        <v>51</v>
      </c>
      <c r="G1409">
        <v>-298.57859999999999</v>
      </c>
      <c r="H1409" s="1">
        <v>3.8189909999999997E-6</v>
      </c>
      <c r="I1409">
        <v>283.5693</v>
      </c>
      <c r="J1409">
        <v>-270.73200000000003</v>
      </c>
      <c r="K1409">
        <v>1.120044</v>
      </c>
      <c r="L1409">
        <v>282.9162</v>
      </c>
      <c r="M1409">
        <v>-0.99990769999999995</v>
      </c>
      <c r="N1409">
        <v>-8.7090759999999996E-3</v>
      </c>
      <c r="O1409">
        <v>1.044429E-2</v>
      </c>
      <c r="P1409">
        <v>-0.98153239999999997</v>
      </c>
      <c r="Q1409">
        <v>0.18548249999999999</v>
      </c>
      <c r="R1409">
        <v>4.6805510000000002E-2</v>
      </c>
      <c r="S1409">
        <v>-3.0763240000000001</v>
      </c>
      <c r="T1409">
        <v>-0.1223108</v>
      </c>
      <c r="U1409">
        <v>7.1716310000000005E-2</v>
      </c>
      <c r="V1409">
        <v>3.6744100000000002E-2</v>
      </c>
      <c r="W1409">
        <v>0.1939911</v>
      </c>
      <c r="X1409">
        <v>0.98031489999999999</v>
      </c>
      <c r="Y1409">
        <v>1.285554E-2</v>
      </c>
      <c r="Z1409" s="1">
        <v>-1.264771E-5</v>
      </c>
      <c r="AA1409">
        <v>0.99991739999999996</v>
      </c>
      <c r="AB1409">
        <v>34</v>
      </c>
      <c r="AC1409">
        <v>-27.846599999999899</v>
      </c>
      <c r="AD1409">
        <v>-1.1200401810089999</v>
      </c>
      <c r="AE1409">
        <v>0.65309999999999402</v>
      </c>
      <c r="AF1409">
        <v>0.36163070649062801</v>
      </c>
      <c r="AG1409">
        <v>-1.1200401810089999</v>
      </c>
      <c r="AH1409">
        <v>27.806941335976301</v>
      </c>
      <c r="AI1409">
        <v>92.306384061654498</v>
      </c>
      <c r="AJ1409">
        <v>89.254907436119595</v>
      </c>
      <c r="AK1409">
        <v>27.831838840388802</v>
      </c>
      <c r="AL1409">
        <v>78.814207386624105</v>
      </c>
      <c r="AM1409">
        <v>87.853448129889401</v>
      </c>
      <c r="AN1409">
        <v>0.99999998946301405</v>
      </c>
    </row>
    <row r="1410" spans="1:40" x14ac:dyDescent="0.25">
      <c r="A1410" t="str">
        <f>"20190303162529513"</f>
        <v>20190303162529513</v>
      </c>
      <c r="B1410" t="str">
        <f>"1551601529504640"</f>
        <v>1551601529504640</v>
      </c>
      <c r="C1410" t="s">
        <v>40</v>
      </c>
      <c r="D1410">
        <v>4.8234079999999997</v>
      </c>
      <c r="E1410">
        <v>0.4922801</v>
      </c>
      <c r="F1410" t="s">
        <v>51</v>
      </c>
      <c r="G1410">
        <v>-299.18729999999999</v>
      </c>
      <c r="H1410" s="1">
        <v>3.9273310000000003E-6</v>
      </c>
      <c r="I1410">
        <v>283.56490000000002</v>
      </c>
      <c r="J1410">
        <v>-271.26459999999997</v>
      </c>
      <c r="K1410">
        <v>1.120044</v>
      </c>
      <c r="L1410">
        <v>282.92250000000001</v>
      </c>
      <c r="M1410">
        <v>-0.99990029999999996</v>
      </c>
      <c r="N1410">
        <v>-8.7234019999999999E-3</v>
      </c>
      <c r="O1410">
        <v>1.111241E-2</v>
      </c>
      <c r="P1410">
        <v>-0.981545</v>
      </c>
      <c r="Q1410">
        <v>0.1853909</v>
      </c>
      <c r="R1410">
        <v>4.6903010000000002E-2</v>
      </c>
      <c r="S1410">
        <v>-3.0759889999999999</v>
      </c>
      <c r="T1410">
        <v>-0.1210753</v>
      </c>
      <c r="U1410">
        <v>7.012939E-2</v>
      </c>
      <c r="V1410">
        <v>3.6186080000000002E-2</v>
      </c>
      <c r="W1410">
        <v>0.19391439999999999</v>
      </c>
      <c r="X1410">
        <v>0.98035090000000003</v>
      </c>
      <c r="Y1410">
        <v>1.167587E-2</v>
      </c>
      <c r="Z1410" s="1">
        <v>-5.9621789999999998E-5</v>
      </c>
      <c r="AA1410">
        <v>0.99993180000000004</v>
      </c>
      <c r="AB1410">
        <v>34</v>
      </c>
      <c r="AC1410">
        <v>-27.922699999999999</v>
      </c>
      <c r="AD1410">
        <v>-1.1200400726690001</v>
      </c>
      <c r="AE1410">
        <v>0.64240000000000896</v>
      </c>
      <c r="AF1410">
        <v>0.33152692462522998</v>
      </c>
      <c r="AG1410">
        <v>-1.1200400726690001</v>
      </c>
      <c r="AH1410">
        <v>27.8832746038753</v>
      </c>
      <c r="AI1410">
        <v>92.300108561986406</v>
      </c>
      <c r="AJ1410">
        <v>89.318795987040701</v>
      </c>
      <c r="AK1410">
        <v>27.907730156737099</v>
      </c>
      <c r="AL1410">
        <v>78.818687802764501</v>
      </c>
      <c r="AM1410">
        <v>87.886094828073297</v>
      </c>
      <c r="AN1410">
        <v>1.00000005702196</v>
      </c>
    </row>
    <row r="1411" spans="1:40" x14ac:dyDescent="0.25">
      <c r="A1411" t="str">
        <f>"20190303162529558"</f>
        <v>20190303162529558</v>
      </c>
      <c r="B1411" t="str">
        <f>"1551601529544655"</f>
        <v>1551601529544655</v>
      </c>
      <c r="C1411" t="s">
        <v>40</v>
      </c>
      <c r="D1411">
        <v>4.7767249999999999</v>
      </c>
      <c r="E1411">
        <v>0.49204750000000003</v>
      </c>
      <c r="F1411" t="s">
        <v>51</v>
      </c>
      <c r="G1411">
        <v>-300.73059999999998</v>
      </c>
      <c r="H1411" s="1">
        <v>3.9265859999999998E-6</v>
      </c>
      <c r="I1411">
        <v>283.56869999999998</v>
      </c>
      <c r="J1411">
        <v>-271.95729999999998</v>
      </c>
      <c r="K1411">
        <v>1.1200429999999999</v>
      </c>
      <c r="L1411">
        <v>282.93119999999999</v>
      </c>
      <c r="M1411">
        <v>-0.9998901</v>
      </c>
      <c r="N1411">
        <v>-8.7412240000000006E-3</v>
      </c>
      <c r="O1411">
        <v>1.1982090000000001E-2</v>
      </c>
      <c r="P1411">
        <v>-0.98158449999999997</v>
      </c>
      <c r="Q1411">
        <v>0.18517839999999999</v>
      </c>
      <c r="R1411">
        <v>4.6915869999999998E-2</v>
      </c>
      <c r="S1411">
        <v>-3.075256</v>
      </c>
      <c r="T1411">
        <v>-0.1168944</v>
      </c>
      <c r="U1411">
        <v>6.744385E-2</v>
      </c>
      <c r="V1411">
        <v>3.534545E-2</v>
      </c>
      <c r="W1411">
        <v>0.19372030000000001</v>
      </c>
      <c r="X1411">
        <v>0.98041990000000001</v>
      </c>
      <c r="Y1411">
        <v>9.9409189999999995E-3</v>
      </c>
      <c r="Z1411">
        <v>-1.181927E-4</v>
      </c>
      <c r="AA1411">
        <v>0.99995060000000002</v>
      </c>
      <c r="AB1411">
        <v>34</v>
      </c>
      <c r="AC1411">
        <v>-28.773299999999999</v>
      </c>
      <c r="AD1411">
        <v>-1.120039073414</v>
      </c>
      <c r="AE1411">
        <v>0.63749999999998797</v>
      </c>
      <c r="AF1411">
        <v>0.29223422889256501</v>
      </c>
      <c r="AG1411">
        <v>-1.120039073414</v>
      </c>
      <c r="AH1411">
        <v>28.7353529920818</v>
      </c>
      <c r="AI1411">
        <v>92.232014663611295</v>
      </c>
      <c r="AJ1411">
        <v>89.417330605320501</v>
      </c>
      <c r="AK1411">
        <v>28.758657825949701</v>
      </c>
      <c r="AL1411">
        <v>78.830023428937594</v>
      </c>
      <c r="AM1411">
        <v>87.935304624246996</v>
      </c>
      <c r="AN1411">
        <v>1.0000000178919</v>
      </c>
    </row>
    <row r="1412" spans="1:40" x14ac:dyDescent="0.25">
      <c r="A1412" t="str">
        <f>"20190303162529579"</f>
        <v>20190303162529579</v>
      </c>
      <c r="B1412" t="str">
        <f>"1551601529564175"</f>
        <v>1551601529564175</v>
      </c>
      <c r="C1412" t="s">
        <v>40</v>
      </c>
      <c r="D1412">
        <v>4.7678890000000003</v>
      </c>
      <c r="E1412">
        <v>0.49190450000000002</v>
      </c>
      <c r="F1412" t="s">
        <v>51</v>
      </c>
      <c r="G1412">
        <v>-302.07510000000002</v>
      </c>
      <c r="H1412" s="1">
        <v>3.6882480000000002E-6</v>
      </c>
      <c r="I1412">
        <v>283.56700000000001</v>
      </c>
      <c r="J1412">
        <v>-272.27749999999997</v>
      </c>
      <c r="K1412">
        <v>1.1200349999999999</v>
      </c>
      <c r="L1412">
        <v>282.93540000000002</v>
      </c>
      <c r="M1412">
        <v>-0.99988500000000002</v>
      </c>
      <c r="N1412">
        <v>-8.7494140000000005E-3</v>
      </c>
      <c r="O1412">
        <v>1.238415E-2</v>
      </c>
      <c r="P1412">
        <v>-0.9817361</v>
      </c>
      <c r="Q1412">
        <v>0.18437319999999999</v>
      </c>
      <c r="R1412">
        <v>4.69129E-2</v>
      </c>
      <c r="S1412">
        <v>-3.0747990000000001</v>
      </c>
      <c r="T1412">
        <v>-0.11434759999999999</v>
      </c>
      <c r="U1412">
        <v>6.4910889999999999E-2</v>
      </c>
      <c r="V1412">
        <v>3.494514E-2</v>
      </c>
      <c r="W1412">
        <v>0.19292490000000001</v>
      </c>
      <c r="X1412">
        <v>0.98059110000000005</v>
      </c>
      <c r="Y1412">
        <v>8.7199849999999995E-3</v>
      </c>
      <c r="Z1412">
        <v>-1.5175780000000001E-4</v>
      </c>
      <c r="AA1412">
        <v>0.99996200000000002</v>
      </c>
      <c r="AB1412">
        <v>34</v>
      </c>
      <c r="AC1412">
        <v>-29.797599999999999</v>
      </c>
      <c r="AD1412">
        <v>-1.120031311752</v>
      </c>
      <c r="AE1412">
        <v>0.63159999999999095</v>
      </c>
      <c r="AF1412">
        <v>0.26214926251707199</v>
      </c>
      <c r="AG1412">
        <v>-1.120031311752</v>
      </c>
      <c r="AH1412">
        <v>29.761107616872501</v>
      </c>
      <c r="AI1412">
        <v>92.155172151358698</v>
      </c>
      <c r="AJ1412">
        <v>89.495325977325194</v>
      </c>
      <c r="AK1412">
        <v>29.783329547889899</v>
      </c>
      <c r="AL1412">
        <v>78.876473026065099</v>
      </c>
      <c r="AM1412">
        <v>87.959024825192401</v>
      </c>
      <c r="AN1412">
        <v>1.00000004262441</v>
      </c>
    </row>
    <row r="1413" spans="1:40" x14ac:dyDescent="0.25">
      <c r="A1413" t="str">
        <f>"20190303162529601"</f>
        <v>20190303162529601</v>
      </c>
      <c r="B1413" t="str">
        <f>"1551601529594431"</f>
        <v>1551601529594431</v>
      </c>
      <c r="C1413" t="s">
        <v>40</v>
      </c>
      <c r="D1413">
        <v>4.6997470000000003</v>
      </c>
      <c r="E1413">
        <v>0.49163839999999998</v>
      </c>
      <c r="F1413" t="s">
        <v>51</v>
      </c>
      <c r="G1413">
        <v>-302.34739999999999</v>
      </c>
      <c r="H1413" s="1">
        <v>3.6405620000000001E-6</v>
      </c>
      <c r="I1413">
        <v>283.5598</v>
      </c>
      <c r="J1413">
        <v>-272.63380000000001</v>
      </c>
      <c r="K1413">
        <v>1.1200319999999999</v>
      </c>
      <c r="L1413">
        <v>282.9402</v>
      </c>
      <c r="M1413">
        <v>-0.99987939999999997</v>
      </c>
      <c r="N1413">
        <v>-8.7584519999999999E-3</v>
      </c>
      <c r="O1413">
        <v>1.283074E-2</v>
      </c>
      <c r="P1413">
        <v>-0.98181649999999998</v>
      </c>
      <c r="Q1413">
        <v>0.1837194</v>
      </c>
      <c r="R1413">
        <v>4.7785380000000002E-2</v>
      </c>
      <c r="S1413">
        <v>-3.0742799999999999</v>
      </c>
      <c r="T1413">
        <v>-0.11450920000000001</v>
      </c>
      <c r="U1413">
        <v>6.3842769999999993E-2</v>
      </c>
      <c r="V1413">
        <v>3.5377579999999999E-2</v>
      </c>
      <c r="W1413">
        <v>0.1922806</v>
      </c>
      <c r="X1413">
        <v>0.98070210000000002</v>
      </c>
      <c r="Y1413">
        <v>7.9305049999999992E-3</v>
      </c>
      <c r="Z1413">
        <v>-1.8294900000000001E-4</v>
      </c>
      <c r="AA1413">
        <v>0.99996850000000004</v>
      </c>
      <c r="AB1413">
        <v>35</v>
      </c>
      <c r="AC1413">
        <v>-29.7135999999999</v>
      </c>
      <c r="AD1413">
        <v>-1.1200283594379901</v>
      </c>
      <c r="AE1413">
        <v>0.61959999999999105</v>
      </c>
      <c r="AF1413">
        <v>0.23794897939646201</v>
      </c>
      <c r="AG1413">
        <v>-1.1200283594379901</v>
      </c>
      <c r="AH1413">
        <v>29.676955994985502</v>
      </c>
      <c r="AI1413">
        <v>92.161286211837606</v>
      </c>
      <c r="AJ1413">
        <v>89.540613932344002</v>
      </c>
      <c r="AK1413">
        <v>29.699037027672201</v>
      </c>
      <c r="AL1413">
        <v>78.914092647572005</v>
      </c>
      <c r="AM1413">
        <v>87.934023531747499</v>
      </c>
      <c r="AN1413">
        <v>1.0000000056237099</v>
      </c>
    </row>
    <row r="1414" spans="1:40" x14ac:dyDescent="0.25">
      <c r="A1414" t="str">
        <f>"20190303162529625"</f>
        <v>20190303162529625</v>
      </c>
      <c r="B1414" t="str">
        <f>"1551601529614928"</f>
        <v>1551601529614928</v>
      </c>
      <c r="C1414" t="s">
        <v>40</v>
      </c>
      <c r="D1414">
        <v>4.7139610000000003</v>
      </c>
      <c r="E1414">
        <v>0.47764259999999997</v>
      </c>
      <c r="F1414" t="s">
        <v>51</v>
      </c>
      <c r="G1414">
        <v>-302.66309999999999</v>
      </c>
      <c r="H1414" s="1">
        <v>3.5833020000000001E-6</v>
      </c>
      <c r="I1414">
        <v>283.57440000000003</v>
      </c>
      <c r="J1414">
        <v>-272.99430000000001</v>
      </c>
      <c r="K1414">
        <v>1.120023</v>
      </c>
      <c r="L1414">
        <v>282.94529999999997</v>
      </c>
      <c r="M1414">
        <v>-0.99987349999999997</v>
      </c>
      <c r="N1414">
        <v>-8.7674910000000005E-3</v>
      </c>
      <c r="O1414">
        <v>1.3282270000000001E-2</v>
      </c>
      <c r="P1414">
        <v>-0.98181430000000003</v>
      </c>
      <c r="Q1414">
        <v>0.18338589999999999</v>
      </c>
      <c r="R1414">
        <v>4.9097620000000002E-2</v>
      </c>
      <c r="S1414">
        <v>-3.0738530000000002</v>
      </c>
      <c r="T1414">
        <v>-0.1146481</v>
      </c>
      <c r="U1414">
        <v>6.4910889999999999E-2</v>
      </c>
      <c r="V1414">
        <v>3.6246809999999997E-2</v>
      </c>
      <c r="W1414">
        <v>0.19195490000000001</v>
      </c>
      <c r="X1414">
        <v>0.9807342</v>
      </c>
      <c r="Y1414">
        <v>7.8293990000000008E-3</v>
      </c>
      <c r="Z1414">
        <v>-1.984434E-4</v>
      </c>
      <c r="AA1414">
        <v>0.99996929999999995</v>
      </c>
      <c r="AB1414">
        <v>35</v>
      </c>
      <c r="AC1414">
        <v>-29.668799999999901</v>
      </c>
      <c r="AD1414">
        <v>-1.120019416698</v>
      </c>
      <c r="AE1414">
        <v>0.62910000000004995</v>
      </c>
      <c r="AF1414">
        <v>0.23462618178487199</v>
      </c>
      <c r="AG1414">
        <v>-1.120019416698</v>
      </c>
      <c r="AH1414">
        <v>29.632328198054601</v>
      </c>
      <c r="AI1414">
        <v>92.164522583099398</v>
      </c>
      <c r="AJ1414">
        <v>89.546346511501497</v>
      </c>
      <c r="AK1414">
        <v>29.6544156471879</v>
      </c>
      <c r="AL1414">
        <v>78.933108523546096</v>
      </c>
      <c r="AM1414">
        <v>87.883377161072303</v>
      </c>
      <c r="AN1414">
        <v>1.00000004295941</v>
      </c>
    </row>
    <row r="1415" spans="1:40" x14ac:dyDescent="0.25">
      <c r="A1415" t="str">
        <f>"20190303162529646"</f>
        <v>20190303162529646</v>
      </c>
      <c r="B1415" t="str">
        <f>"1551601529634447"</f>
        <v>1551601529634447</v>
      </c>
      <c r="C1415" t="s">
        <v>40</v>
      </c>
      <c r="D1415">
        <v>4.6703239999999999</v>
      </c>
      <c r="E1415">
        <v>0.47876859999999999</v>
      </c>
      <c r="F1415" t="s">
        <v>51</v>
      </c>
      <c r="G1415">
        <v>-307.1284</v>
      </c>
      <c r="H1415" s="1">
        <v>2.8877240000000001E-6</v>
      </c>
      <c r="I1415">
        <v>282.47059999999999</v>
      </c>
      <c r="J1415">
        <v>-273.32369999999997</v>
      </c>
      <c r="K1415">
        <v>1.12002</v>
      </c>
      <c r="L1415">
        <v>282.95</v>
      </c>
      <c r="M1415">
        <v>-0.99986779999999997</v>
      </c>
      <c r="N1415">
        <v>-8.7756280000000006E-3</v>
      </c>
      <c r="O1415">
        <v>1.369447E-2</v>
      </c>
      <c r="P1415">
        <v>-0.98177610000000004</v>
      </c>
      <c r="Q1415">
        <v>0.1832434</v>
      </c>
      <c r="R1415">
        <v>5.037457E-2</v>
      </c>
      <c r="S1415">
        <v>-3.0765380000000002</v>
      </c>
      <c r="T1415">
        <v>-0.1009485</v>
      </c>
      <c r="U1415">
        <v>-4.278564E-2</v>
      </c>
      <c r="V1415">
        <v>3.7119489999999998E-2</v>
      </c>
      <c r="W1415">
        <v>0.19181960000000001</v>
      </c>
      <c r="X1415">
        <v>0.98072800000000004</v>
      </c>
      <c r="Y1415">
        <v>-2.757534E-2</v>
      </c>
      <c r="Z1415">
        <v>-9.0236240000000001E-4</v>
      </c>
      <c r="AA1415">
        <v>0.99961929999999999</v>
      </c>
      <c r="AB1415">
        <v>35</v>
      </c>
      <c r="AC1415">
        <v>-33.804699999999997</v>
      </c>
      <c r="AD1415">
        <v>-1.1200171122759901</v>
      </c>
      <c r="AE1415">
        <v>-0.47939999999999799</v>
      </c>
      <c r="AF1415">
        <v>-0.94127721992309199</v>
      </c>
      <c r="AG1415">
        <v>-1.1200171122759901</v>
      </c>
      <c r="AH1415">
        <v>33.757914793650301</v>
      </c>
      <c r="AI1415">
        <v>91.899519534717598</v>
      </c>
      <c r="AJ1415">
        <v>91.597173352045601</v>
      </c>
      <c r="AK1415">
        <v>33.789602725570703</v>
      </c>
      <c r="AL1415">
        <v>78.941007089202998</v>
      </c>
      <c r="AM1415">
        <v>87.832451591230594</v>
      </c>
      <c r="AN1415">
        <v>1.00000001273301</v>
      </c>
    </row>
    <row r="1416" spans="1:40" x14ac:dyDescent="0.25">
      <c r="A1416" t="str">
        <f>"20190303162529667"</f>
        <v>20190303162529667</v>
      </c>
      <c r="B1416" t="str">
        <f>"1551601529653968"</f>
        <v>1551601529653968</v>
      </c>
      <c r="C1416" t="s">
        <v>40</v>
      </c>
      <c r="D1416">
        <v>4.664536</v>
      </c>
      <c r="E1416">
        <v>0.4790972</v>
      </c>
      <c r="F1416" t="s">
        <v>51</v>
      </c>
      <c r="G1416">
        <v>-306.90929999999997</v>
      </c>
      <c r="H1416" s="1">
        <v>2.91354E-6</v>
      </c>
      <c r="I1416">
        <v>282.61989999999997</v>
      </c>
      <c r="J1416">
        <v>-273.64870000000002</v>
      </c>
      <c r="K1416">
        <v>1.1200129999999999</v>
      </c>
      <c r="L1416">
        <v>282.95490000000001</v>
      </c>
      <c r="M1416">
        <v>-0.99986200000000003</v>
      </c>
      <c r="N1416">
        <v>-8.7835299999999995E-3</v>
      </c>
      <c r="O1416">
        <v>1.410077E-2</v>
      </c>
      <c r="P1416">
        <v>-0.98183299999999996</v>
      </c>
      <c r="Q1416">
        <v>0.18271080000000001</v>
      </c>
      <c r="R1416">
        <v>5.1193139999999998E-2</v>
      </c>
      <c r="S1416">
        <v>-3.0763850000000001</v>
      </c>
      <c r="T1416">
        <v>-0.10259160000000001</v>
      </c>
      <c r="U1416">
        <v>-3.024292E-2</v>
      </c>
      <c r="V1416">
        <v>3.753811E-2</v>
      </c>
      <c r="W1416">
        <v>0.19129550000000001</v>
      </c>
      <c r="X1416">
        <v>0.98081439999999998</v>
      </c>
      <c r="Y1416">
        <v>-2.3908809999999999E-2</v>
      </c>
      <c r="Z1416">
        <v>-8.4983859999999999E-4</v>
      </c>
      <c r="AA1416">
        <v>0.99971379999999999</v>
      </c>
      <c r="AB1416">
        <v>35</v>
      </c>
      <c r="AC1416">
        <v>-33.260599999999897</v>
      </c>
      <c r="AD1416">
        <v>-1.12001008646</v>
      </c>
      <c r="AE1416">
        <v>-0.33500000000003599</v>
      </c>
      <c r="AF1416">
        <v>-0.80307432229202103</v>
      </c>
      <c r="AG1416">
        <v>-1.12001008646</v>
      </c>
      <c r="AH1416">
        <v>33.214909667024102</v>
      </c>
      <c r="AI1416">
        <v>91.930723845067405</v>
      </c>
      <c r="AJ1416">
        <v>91.385034818120801</v>
      </c>
      <c r="AK1416">
        <v>33.2434892144231</v>
      </c>
      <c r="AL1416">
        <v>78.971602053810301</v>
      </c>
      <c r="AM1416">
        <v>87.808223389278197</v>
      </c>
      <c r="AN1416">
        <v>0.99999998263499001</v>
      </c>
    </row>
    <row r="1417" spans="1:40" x14ac:dyDescent="0.25">
      <c r="A1417" t="str">
        <f>"20190303162529691"</f>
        <v>20190303162529691</v>
      </c>
      <c r="B1417" t="str">
        <f>"1551601529684224"</f>
        <v>1551601529684224</v>
      </c>
      <c r="C1417" t="s">
        <v>40</v>
      </c>
      <c r="D1417">
        <v>4.6325640000000003</v>
      </c>
      <c r="E1417">
        <v>0.47895260000000001</v>
      </c>
      <c r="F1417" t="s">
        <v>51</v>
      </c>
      <c r="G1417">
        <v>-306.06549999999999</v>
      </c>
      <c r="H1417" s="1">
        <v>3.05698E-6</v>
      </c>
      <c r="I1417">
        <v>282.69119999999998</v>
      </c>
      <c r="J1417">
        <v>-274.02690000000001</v>
      </c>
      <c r="K1417">
        <v>1.1200030000000001</v>
      </c>
      <c r="L1417">
        <v>282.96069999999997</v>
      </c>
      <c r="M1417">
        <v>-0.9998553</v>
      </c>
      <c r="N1417">
        <v>-8.7926789999999994E-3</v>
      </c>
      <c r="O1417">
        <v>1.4573590000000001E-2</v>
      </c>
      <c r="P1417">
        <v>-0.9818289</v>
      </c>
      <c r="Q1417">
        <v>0.1826335</v>
      </c>
      <c r="R1417">
        <v>5.1547540000000003E-2</v>
      </c>
      <c r="S1417">
        <v>-3.0765380000000002</v>
      </c>
      <c r="T1417">
        <v>-0.1062951</v>
      </c>
      <c r="U1417">
        <v>-2.502441E-2</v>
      </c>
      <c r="V1417">
        <v>3.742856E-2</v>
      </c>
      <c r="W1417">
        <v>0.1912267</v>
      </c>
      <c r="X1417">
        <v>0.98083200000000004</v>
      </c>
      <c r="Y1417">
        <v>-2.2684670000000001E-2</v>
      </c>
      <c r="Z1417">
        <v>-8.6676959999999997E-4</v>
      </c>
      <c r="AA1417">
        <v>0.99974229999999997</v>
      </c>
      <c r="AB1417">
        <v>35</v>
      </c>
      <c r="AC1417">
        <v>-32.038599999999903</v>
      </c>
      <c r="AD1417">
        <v>-1.1199999430200001</v>
      </c>
      <c r="AE1417">
        <v>-0.26949999999999302</v>
      </c>
      <c r="AF1417">
        <v>-0.73550800838219199</v>
      </c>
      <c r="AG1417">
        <v>-1.1199999430200001</v>
      </c>
      <c r="AH1417">
        <v>31.992176222420301</v>
      </c>
      <c r="AI1417">
        <v>92.004494507640104</v>
      </c>
      <c r="AJ1417">
        <v>91.317012074714995</v>
      </c>
      <c r="AK1417">
        <v>32.020223474378703</v>
      </c>
      <c r="AL1417">
        <v>78.975618115025597</v>
      </c>
      <c r="AM1417">
        <v>87.814652764299794</v>
      </c>
      <c r="AN1417">
        <v>0.99999998006028101</v>
      </c>
    </row>
    <row r="1418" spans="1:40" x14ac:dyDescent="0.25">
      <c r="A1418" t="str">
        <f>"20190303162529713"</f>
        <v>20190303162529713</v>
      </c>
      <c r="B1418" t="str">
        <f>"1551601529704720"</f>
        <v>1551601529704720</v>
      </c>
      <c r="C1418" t="s">
        <v>40</v>
      </c>
      <c r="D1418">
        <v>4.6159439999999998</v>
      </c>
      <c r="E1418">
        <v>0.47911809999999999</v>
      </c>
      <c r="F1418" t="s">
        <v>51</v>
      </c>
      <c r="G1418">
        <v>-308.19940000000003</v>
      </c>
      <c r="H1418" s="1">
        <v>2.679035E-6</v>
      </c>
      <c r="I1418">
        <v>282.68470000000002</v>
      </c>
      <c r="J1418">
        <v>-274.36860000000001</v>
      </c>
      <c r="K1418">
        <v>1.120004</v>
      </c>
      <c r="L1418">
        <v>282.96600000000001</v>
      </c>
      <c r="M1418">
        <v>-0.99984879999999998</v>
      </c>
      <c r="N1418">
        <v>-8.8009850000000008E-3</v>
      </c>
      <c r="O1418">
        <v>1.5000919999999999E-2</v>
      </c>
      <c r="P1418">
        <v>-0.98175659999999998</v>
      </c>
      <c r="Q1418">
        <v>0.18288499999999999</v>
      </c>
      <c r="R1418">
        <v>5.2031340000000002E-2</v>
      </c>
      <c r="S1418">
        <v>-3.0755919999999999</v>
      </c>
      <c r="T1418">
        <v>-0.1008023</v>
      </c>
      <c r="U1418">
        <v>-2.4841309999999998E-2</v>
      </c>
      <c r="V1418">
        <v>3.74945E-2</v>
      </c>
      <c r="W1418">
        <v>0.19148599999999999</v>
      </c>
      <c r="X1418">
        <v>0.98077890000000001</v>
      </c>
      <c r="Y1418">
        <v>-2.3056739999999999E-2</v>
      </c>
      <c r="Z1418">
        <v>-8.3874179999999902E-4</v>
      </c>
      <c r="AA1418">
        <v>0.99973380000000001</v>
      </c>
      <c r="AB1418">
        <v>35</v>
      </c>
      <c r="AC1418">
        <v>-33.830800000000004</v>
      </c>
      <c r="AD1418">
        <v>-1.1200013209649999</v>
      </c>
      <c r="AE1418">
        <v>-0.281299999999987</v>
      </c>
      <c r="AF1418">
        <v>-0.78791759636999104</v>
      </c>
      <c r="AG1418">
        <v>-1.1200013209649999</v>
      </c>
      <c r="AH1418">
        <v>33.785746350580801</v>
      </c>
      <c r="AI1418">
        <v>91.898150563212397</v>
      </c>
      <c r="AJ1418">
        <v>91.335953063395493</v>
      </c>
      <c r="AK1418">
        <v>33.813486563254898</v>
      </c>
      <c r="AL1418">
        <v>78.960481696942296</v>
      </c>
      <c r="AM1418">
        <v>87.810688048847496</v>
      </c>
      <c r="AN1418">
        <v>0.999999988205729</v>
      </c>
    </row>
    <row r="1419" spans="1:40" x14ac:dyDescent="0.25">
      <c r="A1419" t="str">
        <f>"20190303162529736"</f>
        <v>20190303162529736</v>
      </c>
      <c r="B1419" t="str">
        <f>"1551601529724239"</f>
        <v>1551601529724239</v>
      </c>
      <c r="C1419" t="s">
        <v>40</v>
      </c>
      <c r="D1419">
        <v>4.6279170000000001</v>
      </c>
      <c r="E1419">
        <v>0.47911720000000002</v>
      </c>
      <c r="F1419" t="s">
        <v>51</v>
      </c>
      <c r="G1419">
        <v>-308.4468</v>
      </c>
      <c r="H1419" s="1">
        <v>2.63174E-6</v>
      </c>
      <c r="I1419">
        <v>282.72359999999998</v>
      </c>
      <c r="J1419">
        <v>-274.72859999999997</v>
      </c>
      <c r="K1419">
        <v>1.1200030000000001</v>
      </c>
      <c r="L1419">
        <v>282.97190000000001</v>
      </c>
      <c r="M1419">
        <v>-0.99984200000000001</v>
      </c>
      <c r="N1419">
        <v>-8.8097360000000003E-3</v>
      </c>
      <c r="O1419">
        <v>1.545091E-2</v>
      </c>
      <c r="P1419">
        <v>-0.98158840000000003</v>
      </c>
      <c r="Q1419">
        <v>0.18368599999999999</v>
      </c>
      <c r="R1419">
        <v>5.2384569999999998E-2</v>
      </c>
      <c r="S1419">
        <v>-3.075745</v>
      </c>
      <c r="T1419">
        <v>-0.1010861</v>
      </c>
      <c r="U1419">
        <v>-2.1881100000000001E-2</v>
      </c>
      <c r="V1419">
        <v>3.740943E-2</v>
      </c>
      <c r="W1419">
        <v>0.1922942</v>
      </c>
      <c r="X1419">
        <v>0.98062400000000005</v>
      </c>
      <c r="Y1419">
        <v>-2.254426E-2</v>
      </c>
      <c r="Z1419">
        <v>-8.4125899999999904E-4</v>
      </c>
      <c r="AA1419">
        <v>0.99974549999999995</v>
      </c>
      <c r="AB1419">
        <v>35</v>
      </c>
      <c r="AC1419">
        <v>-33.718200000000003</v>
      </c>
      <c r="AD1419">
        <v>-1.1200003682599999</v>
      </c>
      <c r="AE1419">
        <v>-0.248300000000028</v>
      </c>
      <c r="AF1419">
        <v>-0.76841957496721502</v>
      </c>
      <c r="AG1419">
        <v>-1.1200003682599999</v>
      </c>
      <c r="AH1419">
        <v>33.673187250205302</v>
      </c>
      <c r="AI1419">
        <v>91.904511201193202</v>
      </c>
      <c r="AJ1419">
        <v>91.307258449534999</v>
      </c>
      <c r="AK1419">
        <v>33.700569862473898</v>
      </c>
      <c r="AL1419">
        <v>78.913298286773596</v>
      </c>
      <c r="AM1419">
        <v>87.815305780415699</v>
      </c>
      <c r="AN1419">
        <v>0.99999997709128197</v>
      </c>
    </row>
    <row r="1420" spans="1:40" x14ac:dyDescent="0.25">
      <c r="A1420" t="str">
        <f>"20190303162529759"</f>
        <v>20190303162529759</v>
      </c>
      <c r="B1420" t="str">
        <f>"1551601529744737"</f>
        <v>1551601529744737</v>
      </c>
      <c r="C1420" t="s">
        <v>40</v>
      </c>
      <c r="D1420">
        <v>4.5954969999999999</v>
      </c>
      <c r="E1420">
        <v>0.47904570000000002</v>
      </c>
      <c r="F1420" t="s">
        <v>51</v>
      </c>
      <c r="G1420">
        <v>-309.70940000000002</v>
      </c>
      <c r="H1420" s="1">
        <v>2.4072640000000001E-6</v>
      </c>
      <c r="I1420">
        <v>282.7296</v>
      </c>
      <c r="J1420">
        <v>-275.07810000000001</v>
      </c>
      <c r="K1420">
        <v>1.120001</v>
      </c>
      <c r="L1420">
        <v>282.97770000000003</v>
      </c>
      <c r="M1420">
        <v>-0.99983480000000002</v>
      </c>
      <c r="N1420">
        <v>-8.8181739999999998E-3</v>
      </c>
      <c r="O1420">
        <v>1.58879E-2</v>
      </c>
      <c r="P1420">
        <v>-0.98148729999999995</v>
      </c>
      <c r="Q1420">
        <v>0.18419650000000001</v>
      </c>
      <c r="R1420">
        <v>5.2482939999999999E-2</v>
      </c>
      <c r="S1420">
        <v>-3.0758359999999998</v>
      </c>
      <c r="T1420">
        <v>-9.8481059999999995E-2</v>
      </c>
      <c r="U1420">
        <v>-2.1301270000000001E-2</v>
      </c>
      <c r="V1420">
        <v>3.7081169999999997E-2</v>
      </c>
      <c r="W1420">
        <v>0.19281209999999999</v>
      </c>
      <c r="X1420">
        <v>0.98053480000000004</v>
      </c>
      <c r="Y1420">
        <v>-2.2793290000000001E-2</v>
      </c>
      <c r="Z1420">
        <v>-8.3379759999999896E-4</v>
      </c>
      <c r="AA1420">
        <v>0.99973979999999996</v>
      </c>
      <c r="AB1420">
        <v>35</v>
      </c>
      <c r="AC1420">
        <v>-34.631300000000003</v>
      </c>
      <c r="AD1420">
        <v>-1.1199985927359899</v>
      </c>
      <c r="AE1420">
        <v>-0.248100000000022</v>
      </c>
      <c r="AF1420">
        <v>-0.79747470895605199</v>
      </c>
      <c r="AG1420">
        <v>-1.1199985927359899</v>
      </c>
      <c r="AH1420">
        <v>34.586813440907598</v>
      </c>
      <c r="AI1420">
        <v>91.854225261884594</v>
      </c>
      <c r="AJ1420">
        <v>91.320845605594897</v>
      </c>
      <c r="AK1420">
        <v>34.614130449215402</v>
      </c>
      <c r="AL1420">
        <v>78.883059250015407</v>
      </c>
      <c r="AM1420">
        <v>87.834260874011605</v>
      </c>
      <c r="AN1420">
        <v>1.0000000065429999</v>
      </c>
    </row>
    <row r="1421" spans="1:40" x14ac:dyDescent="0.25">
      <c r="A1421" t="str">
        <f>"20190303162529779"</f>
        <v>20190303162529779</v>
      </c>
      <c r="B1421" t="str">
        <f>"1551601529774016"</f>
        <v>1551601529774016</v>
      </c>
      <c r="C1421" t="s">
        <v>40</v>
      </c>
      <c r="D1421">
        <v>4.6417320000000002</v>
      </c>
      <c r="E1421">
        <v>0.47889739999999997</v>
      </c>
      <c r="F1421" t="s">
        <v>51</v>
      </c>
      <c r="G1421">
        <v>-310.78660000000002</v>
      </c>
      <c r="H1421" s="1">
        <v>2.7312190000000001E-6</v>
      </c>
      <c r="I1421">
        <v>282.7244</v>
      </c>
      <c r="J1421">
        <v>-275.40879999999999</v>
      </c>
      <c r="K1421">
        <v>1.119999</v>
      </c>
      <c r="L1421">
        <v>282.98329999999999</v>
      </c>
      <c r="M1421">
        <v>-0.9998283</v>
      </c>
      <c r="N1421">
        <v>-8.8261569999999994E-3</v>
      </c>
      <c r="O1421">
        <v>1.6299609999999999E-2</v>
      </c>
      <c r="P1421">
        <v>-0.98144600000000004</v>
      </c>
      <c r="Q1421">
        <v>0.18437870000000001</v>
      </c>
      <c r="R1421">
        <v>5.2617009999999999E-2</v>
      </c>
      <c r="S1421">
        <v>-3.0758670000000001</v>
      </c>
      <c r="T1421">
        <v>-9.6474530000000003E-2</v>
      </c>
      <c r="U1421">
        <v>-2.182007E-2</v>
      </c>
      <c r="V1421">
        <v>3.6811820000000002E-2</v>
      </c>
      <c r="W1421">
        <v>0.1930026</v>
      </c>
      <c r="X1421">
        <v>0.98050749999999998</v>
      </c>
      <c r="Y1421">
        <v>-2.33738E-2</v>
      </c>
      <c r="Z1421">
        <v>-8.3690520000000005E-4</v>
      </c>
      <c r="AA1421">
        <v>0.99972649999999996</v>
      </c>
      <c r="AB1421">
        <v>35</v>
      </c>
      <c r="AC1421">
        <v>-35.377800000000001</v>
      </c>
      <c r="AD1421">
        <v>-1.1199962687809999</v>
      </c>
      <c r="AE1421">
        <v>-0.25889999999998198</v>
      </c>
      <c r="AF1421">
        <v>-0.83469582745027204</v>
      </c>
      <c r="AG1421">
        <v>-1.1199962687809999</v>
      </c>
      <c r="AH1421">
        <v>35.3334689495492</v>
      </c>
      <c r="AI1421">
        <v>91.815041141328294</v>
      </c>
      <c r="AJ1421">
        <v>91.353268051642502</v>
      </c>
      <c r="AK1421">
        <v>35.361068094377501</v>
      </c>
      <c r="AL1421">
        <v>78.871935793553007</v>
      </c>
      <c r="AM1421">
        <v>87.849917734052198</v>
      </c>
      <c r="AN1421">
        <v>1.00000003562736</v>
      </c>
    </row>
    <row r="1422" spans="1:40" x14ac:dyDescent="0.25">
      <c r="A1422" t="str">
        <f>"20190303162529802"</f>
        <v>20190303162529802</v>
      </c>
      <c r="B1422" t="str">
        <f>"1551601529794512"</f>
        <v>1551601529794512</v>
      </c>
      <c r="C1422" t="s">
        <v>40</v>
      </c>
      <c r="D1422">
        <v>4.621982</v>
      </c>
      <c r="E1422">
        <v>0.47892240000000003</v>
      </c>
      <c r="F1422" t="s">
        <v>51</v>
      </c>
      <c r="G1422">
        <v>-311.86529999999999</v>
      </c>
      <c r="H1422" s="1">
        <v>3.2098869999999998E-6</v>
      </c>
      <c r="I1422">
        <v>282.72070000000002</v>
      </c>
      <c r="J1422">
        <v>-275.7704</v>
      </c>
      <c r="K1422">
        <v>1.120001</v>
      </c>
      <c r="L1422">
        <v>282.9896</v>
      </c>
      <c r="M1422">
        <v>-0.99982079999999995</v>
      </c>
      <c r="N1422">
        <v>-8.8348839999999994E-3</v>
      </c>
      <c r="O1422">
        <v>1.674761E-2</v>
      </c>
      <c r="P1422">
        <v>-0.98140340000000004</v>
      </c>
      <c r="Q1422">
        <v>0.18474160000000001</v>
      </c>
      <c r="R1422">
        <v>5.213752E-2</v>
      </c>
      <c r="S1422">
        <v>-3.075653</v>
      </c>
      <c r="T1422">
        <v>-9.4488619999999995E-2</v>
      </c>
      <c r="U1422">
        <v>-2.215576E-2</v>
      </c>
      <c r="V1422">
        <v>3.5893359999999999E-2</v>
      </c>
      <c r="W1422">
        <v>0.1933745</v>
      </c>
      <c r="X1422">
        <v>0.98046820000000001</v>
      </c>
      <c r="Y1422">
        <v>-2.393168E-2</v>
      </c>
      <c r="Z1422">
        <v>-8.3970009999999903E-4</v>
      </c>
      <c r="AA1422">
        <v>0.99971319999999997</v>
      </c>
      <c r="AB1422">
        <v>35</v>
      </c>
      <c r="AC1422">
        <v>-36.094900000000003</v>
      </c>
      <c r="AD1422">
        <v>-1.119997790113</v>
      </c>
      <c r="AE1422">
        <v>-0.26889999999997299</v>
      </c>
      <c r="AF1422">
        <v>-0.87254907779597501</v>
      </c>
      <c r="AG1422">
        <v>-1.119997790113</v>
      </c>
      <c r="AH1422">
        <v>36.050625509555502</v>
      </c>
      <c r="AI1422">
        <v>91.778935658416103</v>
      </c>
      <c r="AJ1422">
        <v>91.386484149766204</v>
      </c>
      <c r="AK1422">
        <v>36.078571709163299</v>
      </c>
      <c r="AL1422">
        <v>78.850217529310001</v>
      </c>
      <c r="AM1422">
        <v>87.903430144631102</v>
      </c>
      <c r="AN1422">
        <v>0.999999960876789</v>
      </c>
    </row>
    <row r="1423" spans="1:40" x14ac:dyDescent="0.25">
      <c r="A1423" t="str">
        <f>"20190303162529836"</f>
        <v>20190303162529836</v>
      </c>
      <c r="B1423" t="str">
        <f>"1551601529824767"</f>
        <v>1551601529824767</v>
      </c>
      <c r="C1423" t="s">
        <v>40</v>
      </c>
      <c r="D1423">
        <v>4.6427759999999996</v>
      </c>
      <c r="E1423">
        <v>0.47885090000000002</v>
      </c>
      <c r="F1423" t="s">
        <v>51</v>
      </c>
      <c r="G1423">
        <v>-312.9973</v>
      </c>
      <c r="H1423" s="1">
        <v>3.7124810000000001E-6</v>
      </c>
      <c r="I1423">
        <v>282.71370000000002</v>
      </c>
      <c r="J1423">
        <v>-276.29930000000002</v>
      </c>
      <c r="K1423">
        <v>1.12001</v>
      </c>
      <c r="L1423">
        <v>282.9991</v>
      </c>
      <c r="M1423">
        <v>-0.99980950000000002</v>
      </c>
      <c r="N1423">
        <v>-8.8476059999999992E-3</v>
      </c>
      <c r="O1423">
        <v>1.7399390000000001E-2</v>
      </c>
      <c r="P1423">
        <v>-0.98132359999999996</v>
      </c>
      <c r="Q1423">
        <v>0.18515029999999999</v>
      </c>
      <c r="R1423">
        <v>5.2188180000000001E-2</v>
      </c>
      <c r="S1423">
        <v>-3.0754999999999999</v>
      </c>
      <c r="T1423">
        <v>-9.2528579999999999E-2</v>
      </c>
      <c r="U1423">
        <v>-2.2796629999999998E-2</v>
      </c>
      <c r="V1423">
        <v>3.5305650000000001E-2</v>
      </c>
      <c r="W1423">
        <v>0.19379550000000001</v>
      </c>
      <c r="X1423">
        <v>0.98040649999999996</v>
      </c>
      <c r="Y1423">
        <v>-2.4792160000000001E-2</v>
      </c>
      <c r="Z1423">
        <v>-8.5197970000000002E-4</v>
      </c>
      <c r="AA1423">
        <v>0.99969229999999998</v>
      </c>
      <c r="AB1423">
        <v>35</v>
      </c>
      <c r="AC1423">
        <v>-36.697999999999901</v>
      </c>
      <c r="AD1423">
        <v>-1.120006287519</v>
      </c>
      <c r="AE1423">
        <v>-0.285399999999981</v>
      </c>
      <c r="AF1423">
        <v>-0.92304487103438104</v>
      </c>
      <c r="AG1423">
        <v>-1.120006287519</v>
      </c>
      <c r="AH1423">
        <v>36.653339791111101</v>
      </c>
      <c r="AI1423">
        <v>91.749672809597897</v>
      </c>
      <c r="AJ1423">
        <v>91.442580674547997</v>
      </c>
      <c r="AK1423">
        <v>36.6820629703493</v>
      </c>
      <c r="AL1423">
        <v>78.825631864419805</v>
      </c>
      <c r="AM1423">
        <v>87.937599358471005</v>
      </c>
      <c r="AN1423">
        <v>1.00000004499221</v>
      </c>
    </row>
    <row r="1424" spans="1:40" x14ac:dyDescent="0.25">
      <c r="A1424" t="str">
        <f>"20190303162529856"</f>
        <v>20190303162529856</v>
      </c>
      <c r="B1424" t="str">
        <f>"1551601529844287"</f>
        <v>1551601529844287</v>
      </c>
      <c r="C1424" t="s">
        <v>40</v>
      </c>
      <c r="D1424">
        <v>4.6334609999999996</v>
      </c>
      <c r="E1424">
        <v>0.4787785</v>
      </c>
      <c r="F1424" t="s">
        <v>51</v>
      </c>
      <c r="G1424">
        <v>-313.8734</v>
      </c>
      <c r="H1424" s="1">
        <v>4.1018579999999998E-6</v>
      </c>
      <c r="I1424">
        <v>282.70420000000001</v>
      </c>
      <c r="J1424">
        <v>-276.62779999999998</v>
      </c>
      <c r="K1424">
        <v>1.1200110000000001</v>
      </c>
      <c r="L1424">
        <v>283.0052</v>
      </c>
      <c r="M1424">
        <v>-0.99980250000000004</v>
      </c>
      <c r="N1424">
        <v>-8.8556529999999998E-3</v>
      </c>
      <c r="O1424">
        <v>1.7802390000000001E-2</v>
      </c>
      <c r="P1424">
        <v>-0.98117940000000003</v>
      </c>
      <c r="Q1424">
        <v>0.18581810000000001</v>
      </c>
      <c r="R1424">
        <v>5.2527310000000001E-2</v>
      </c>
      <c r="S1424">
        <v>-3.0756839999999999</v>
      </c>
      <c r="T1424">
        <v>-9.1679689999999994E-2</v>
      </c>
      <c r="U1424">
        <v>-2.4139399999999998E-2</v>
      </c>
      <c r="V1424">
        <v>3.5252079999999998E-2</v>
      </c>
      <c r="W1424">
        <v>0.19447010000000001</v>
      </c>
      <c r="X1424">
        <v>0.9802748</v>
      </c>
      <c r="Y1424">
        <v>-2.563085E-2</v>
      </c>
      <c r="Z1424">
        <v>-8.6831899999999999E-4</v>
      </c>
      <c r="AA1424">
        <v>0.99967110000000003</v>
      </c>
      <c r="AB1424">
        <v>35</v>
      </c>
      <c r="AC1424">
        <v>-37.245600000000003</v>
      </c>
      <c r="AD1424">
        <v>-1.1200068981419999</v>
      </c>
      <c r="AE1424">
        <v>-0.300999999999987</v>
      </c>
      <c r="AF1424">
        <v>-0.96316797140868504</v>
      </c>
      <c r="AG1424">
        <v>-1.1200068981419999</v>
      </c>
      <c r="AH1424">
        <v>37.200701546256298</v>
      </c>
      <c r="AI1424">
        <v>91.723914023786193</v>
      </c>
      <c r="AJ1424">
        <v>91.483120779758707</v>
      </c>
      <c r="AK1424">
        <v>37.230018849399798</v>
      </c>
      <c r="AL1424">
        <v>78.786230091977203</v>
      </c>
      <c r="AM1424">
        <v>87.940449560395393</v>
      </c>
      <c r="AN1424">
        <v>1.0000000062266801</v>
      </c>
    </row>
    <row r="1425" spans="1:40" x14ac:dyDescent="0.25">
      <c r="A1425" t="str">
        <f>"20190303162529880"</f>
        <v>20190303162529880</v>
      </c>
      <c r="B1425" t="str">
        <f>"1551601529874544"</f>
        <v>1551601529874544</v>
      </c>
      <c r="C1425" t="s">
        <v>40</v>
      </c>
      <c r="D1425">
        <v>4.6758550000000003</v>
      </c>
      <c r="E1425">
        <v>0.47878389999999998</v>
      </c>
      <c r="F1425" t="s">
        <v>51</v>
      </c>
      <c r="G1425">
        <v>-314.67770000000002</v>
      </c>
      <c r="H1425" s="1">
        <v>4.4576570000000004E-6</v>
      </c>
      <c r="I1425">
        <v>282.71409999999997</v>
      </c>
      <c r="J1425">
        <v>-276.98930000000001</v>
      </c>
      <c r="K1425">
        <v>1.120007</v>
      </c>
      <c r="L1425">
        <v>283.01209999999998</v>
      </c>
      <c r="M1425">
        <v>-0.99979439999999997</v>
      </c>
      <c r="N1425">
        <v>-8.8643309999999996E-3</v>
      </c>
      <c r="O1425">
        <v>1.8244739999999999E-2</v>
      </c>
      <c r="P1425">
        <v>-0.98108249999999997</v>
      </c>
      <c r="Q1425">
        <v>0.18616250000000001</v>
      </c>
      <c r="R1425">
        <v>5.3111499999999999E-2</v>
      </c>
      <c r="S1425">
        <v>-3.0759280000000002</v>
      </c>
      <c r="T1425">
        <v>-9.0540529999999994E-2</v>
      </c>
      <c r="U1425">
        <v>-2.3529049999999999E-2</v>
      </c>
      <c r="V1425">
        <v>3.5404049999999999E-2</v>
      </c>
      <c r="W1425">
        <v>0.1948223</v>
      </c>
      <c r="X1425">
        <v>0.98019940000000005</v>
      </c>
      <c r="Y1425">
        <v>-2.5874399999999999E-2</v>
      </c>
      <c r="Z1425">
        <v>-8.7062960000000003E-4</v>
      </c>
      <c r="AA1425">
        <v>0.99966480000000002</v>
      </c>
      <c r="AB1425">
        <v>35</v>
      </c>
      <c r="AC1425">
        <v>-37.688400000000001</v>
      </c>
      <c r="AD1425">
        <v>-1.120002542343</v>
      </c>
      <c r="AE1425">
        <v>-0.29800000000000099</v>
      </c>
      <c r="AF1425">
        <v>-0.984722790777108</v>
      </c>
      <c r="AG1425">
        <v>-1.120002542343</v>
      </c>
      <c r="AH1425">
        <v>37.643447337800801</v>
      </c>
      <c r="AI1425">
        <v>91.703631626805702</v>
      </c>
      <c r="AJ1425">
        <v>91.498470506469701</v>
      </c>
      <c r="AK1425">
        <v>37.672977213691397</v>
      </c>
      <c r="AL1425">
        <v>78.765657179683302</v>
      </c>
      <c r="AM1425">
        <v>87.931419663136595</v>
      </c>
      <c r="AN1425">
        <v>1.00000001954702</v>
      </c>
    </row>
    <row r="1426" spans="1:40" x14ac:dyDescent="0.25">
      <c r="A1426" t="str">
        <f>"20190303162529901"</f>
        <v>20190303162529901</v>
      </c>
      <c r="B1426" t="str">
        <f>"1551601529894064"</f>
        <v>1551601529894064</v>
      </c>
      <c r="C1426" t="s">
        <v>40</v>
      </c>
      <c r="D1426">
        <v>4.6466570000000003</v>
      </c>
      <c r="E1426">
        <v>0.49285230000000002</v>
      </c>
      <c r="F1426" t="s">
        <v>51</v>
      </c>
      <c r="G1426">
        <v>-315.5385</v>
      </c>
      <c r="H1426" s="1">
        <v>4.8367179999999999E-6</v>
      </c>
      <c r="I1426">
        <v>282.74430000000001</v>
      </c>
      <c r="J1426">
        <v>-277.34730000000002</v>
      </c>
      <c r="K1426">
        <v>1.1200049999999999</v>
      </c>
      <c r="L1426">
        <v>283.01900000000001</v>
      </c>
      <c r="M1426">
        <v>-0.99978619999999996</v>
      </c>
      <c r="N1426">
        <v>-8.8729210000000006E-3</v>
      </c>
      <c r="O1426">
        <v>1.86816E-2</v>
      </c>
      <c r="P1426">
        <v>-0.98111579999999998</v>
      </c>
      <c r="Q1426">
        <v>0.18570429999999999</v>
      </c>
      <c r="R1426">
        <v>5.4092800000000003E-2</v>
      </c>
      <c r="S1426">
        <v>-3.0759280000000002</v>
      </c>
      <c r="T1426">
        <v>-8.9367509999999997E-2</v>
      </c>
      <c r="U1426">
        <v>-2.1362300000000001E-2</v>
      </c>
      <c r="V1426">
        <v>3.5955380000000002E-2</v>
      </c>
      <c r="W1426">
        <v>0.19437280000000001</v>
      </c>
      <c r="X1426">
        <v>0.98026849999999999</v>
      </c>
      <c r="Y1426">
        <v>-2.5607600000000001E-2</v>
      </c>
      <c r="Z1426">
        <v>-8.62453E-4</v>
      </c>
      <c r="AA1426">
        <v>0.99967169999999905</v>
      </c>
      <c r="AB1426">
        <v>35</v>
      </c>
      <c r="AC1426">
        <v>-38.191199999999903</v>
      </c>
      <c r="AD1426">
        <v>-1.120000163282</v>
      </c>
      <c r="AE1426">
        <v>-0.274699999999995</v>
      </c>
      <c r="AF1426">
        <v>-0.98730374354910599</v>
      </c>
      <c r="AG1426">
        <v>-1.120000163282</v>
      </c>
      <c r="AH1426">
        <v>38.146597235899598</v>
      </c>
      <c r="AI1426">
        <v>91.6811824229069</v>
      </c>
      <c r="AJ1426">
        <v>91.482588635621198</v>
      </c>
      <c r="AK1426">
        <v>38.175804506594503</v>
      </c>
      <c r="AL1426">
        <v>78.791912820418403</v>
      </c>
      <c r="AM1426">
        <v>87.899383264181694</v>
      </c>
      <c r="AN1426">
        <v>0.99999995341151604</v>
      </c>
    </row>
    <row r="1427" spans="1:40" x14ac:dyDescent="0.25">
      <c r="A1427" t="str">
        <f>"20190303162529925"</f>
        <v>20190303162529925</v>
      </c>
      <c r="B1427" t="str">
        <f>"1551601529914559"</f>
        <v>1551601529914559</v>
      </c>
      <c r="C1427" t="s">
        <v>40</v>
      </c>
      <c r="D1427">
        <v>4.6185769999999904</v>
      </c>
      <c r="E1427">
        <v>0.49510880000000002</v>
      </c>
      <c r="F1427" t="s">
        <v>51</v>
      </c>
      <c r="G1427">
        <v>-310.92349999999999</v>
      </c>
      <c r="H1427" s="1">
        <v>2.6764509999999998E-6</v>
      </c>
      <c r="I1427">
        <v>284.04500000000002</v>
      </c>
      <c r="J1427">
        <v>-277.69799999999998</v>
      </c>
      <c r="K1427">
        <v>1.1199950000000001</v>
      </c>
      <c r="L1427">
        <v>283.02600000000001</v>
      </c>
      <c r="M1427">
        <v>-0.99977800000000006</v>
      </c>
      <c r="N1427">
        <v>-8.8813269999999996E-3</v>
      </c>
      <c r="O1427">
        <v>1.9108569999999998E-2</v>
      </c>
      <c r="P1427">
        <v>-0.98134889999999997</v>
      </c>
      <c r="Q1427">
        <v>0.18407999999999999</v>
      </c>
      <c r="R1427">
        <v>5.5397950000000001E-2</v>
      </c>
      <c r="S1427">
        <v>-3.0719910000000001</v>
      </c>
      <c r="T1427">
        <v>-0.1024727</v>
      </c>
      <c r="U1427">
        <v>9.3872070000000002E-2</v>
      </c>
      <c r="V1427">
        <v>3.6834899999999997E-2</v>
      </c>
      <c r="W1427">
        <v>0.19275829999999999</v>
      </c>
      <c r="X1427">
        <v>0.98055460000000005</v>
      </c>
      <c r="Y1427">
        <v>1.143483E-2</v>
      </c>
      <c r="Z1427">
        <v>-2.2591859999999999E-4</v>
      </c>
      <c r="AA1427">
        <v>0.99993460000000001</v>
      </c>
      <c r="AB1427">
        <v>35</v>
      </c>
      <c r="AC1427">
        <v>-33.225499999999997</v>
      </c>
      <c r="AD1427">
        <v>-1.1199923235489999</v>
      </c>
      <c r="AE1427">
        <v>1.0189999999999999</v>
      </c>
      <c r="AF1427">
        <v>0.38346180564638099</v>
      </c>
      <c r="AG1427">
        <v>-1.1199923235489999</v>
      </c>
      <c r="AH1427">
        <v>33.2012148605371</v>
      </c>
      <c r="AI1427">
        <v>91.931924310107803</v>
      </c>
      <c r="AJ1427">
        <v>89.338284267104399</v>
      </c>
      <c r="AK1427">
        <v>33.222313194248699</v>
      </c>
      <c r="AL1427">
        <v>78.886200032476694</v>
      </c>
      <c r="AM1427">
        <v>87.848674202632296</v>
      </c>
      <c r="AN1427">
        <v>0.99999994782902801</v>
      </c>
    </row>
    <row r="1428" spans="1:40" x14ac:dyDescent="0.25">
      <c r="A1428" t="str">
        <f>"20190303162529947"</f>
        <v>20190303162529947</v>
      </c>
      <c r="B1428" t="str">
        <f>"1551601529934079"</f>
        <v>1551601529934079</v>
      </c>
      <c r="C1428" t="s">
        <v>40</v>
      </c>
      <c r="D1428">
        <v>4.6205290000000003</v>
      </c>
      <c r="E1428">
        <v>0.49581029999999998</v>
      </c>
      <c r="F1428" t="s">
        <v>51</v>
      </c>
      <c r="G1428">
        <v>-309.81709999999998</v>
      </c>
      <c r="H1428" s="1">
        <v>2.2563400000000002E-6</v>
      </c>
      <c r="I1428">
        <v>284.23739999999998</v>
      </c>
      <c r="J1428">
        <v>-278.06200000000001</v>
      </c>
      <c r="K1428">
        <v>1.1199870000000001</v>
      </c>
      <c r="L1428">
        <v>283.0333</v>
      </c>
      <c r="M1428">
        <v>-0.99976949999999998</v>
      </c>
      <c r="N1428">
        <v>-8.8900439999999997E-3</v>
      </c>
      <c r="O1428">
        <v>1.9550620000000001E-2</v>
      </c>
      <c r="P1428">
        <v>-0.98153199999999996</v>
      </c>
      <c r="Q1428">
        <v>0.18278</v>
      </c>
      <c r="R1428">
        <v>5.6450010000000002E-2</v>
      </c>
      <c r="S1428">
        <v>-3.070557</v>
      </c>
      <c r="T1428">
        <v>-0.10707029999999999</v>
      </c>
      <c r="U1428">
        <v>0.11581420000000001</v>
      </c>
      <c r="V1428">
        <v>3.7447790000000002E-2</v>
      </c>
      <c r="W1428">
        <v>0.19146769999999999</v>
      </c>
      <c r="X1428">
        <v>0.98078430000000005</v>
      </c>
      <c r="Y1428">
        <v>1.8138919999999999E-2</v>
      </c>
      <c r="Z1428">
        <v>-1.1072070000000001E-4</v>
      </c>
      <c r="AA1428">
        <v>0.99983549999999999</v>
      </c>
      <c r="AB1428">
        <v>35</v>
      </c>
      <c r="AC1428">
        <v>-31.755099999999899</v>
      </c>
      <c r="AD1428">
        <v>-1.1199847436599999</v>
      </c>
      <c r="AE1428">
        <v>1.20409999999998</v>
      </c>
      <c r="AF1428">
        <v>0.58229021919042701</v>
      </c>
      <c r="AG1428">
        <v>-1.1199847436599999</v>
      </c>
      <c r="AH1428">
        <v>31.733154678697101</v>
      </c>
      <c r="AI1428">
        <v>92.021008865848202</v>
      </c>
      <c r="AJ1428">
        <v>88.948764199164401</v>
      </c>
      <c r="AK1428">
        <v>31.758251425220401</v>
      </c>
      <c r="AL1428">
        <v>78.961550444458695</v>
      </c>
      <c r="AM1428">
        <v>87.813424834000301</v>
      </c>
      <c r="AN1428">
        <v>1.00000003012283</v>
      </c>
    </row>
    <row r="1429" spans="1:40" x14ac:dyDescent="0.25">
      <c r="A1429" t="str">
        <f>"20190303162529971"</f>
        <v>20190303162529971</v>
      </c>
      <c r="B1429" t="str">
        <f>"1551601529964336"</f>
        <v>1551601529964336</v>
      </c>
      <c r="C1429" t="s">
        <v>40</v>
      </c>
      <c r="D1429">
        <v>4.6374750000000002</v>
      </c>
      <c r="E1429">
        <v>0.4959923</v>
      </c>
      <c r="F1429" t="s">
        <v>51</v>
      </c>
      <c r="G1429">
        <v>-309.31549999999999</v>
      </c>
      <c r="H1429" s="1">
        <v>2.339867E-6</v>
      </c>
      <c r="I1429">
        <v>284.29969999999997</v>
      </c>
      <c r="J1429">
        <v>-278.42669999999998</v>
      </c>
      <c r="K1429">
        <v>1.119983</v>
      </c>
      <c r="L1429">
        <v>283.04090000000002</v>
      </c>
      <c r="M1429">
        <v>-0.99976069999999995</v>
      </c>
      <c r="N1429">
        <v>-8.8987289999999993E-3</v>
      </c>
      <c r="O1429">
        <v>1.9991709999999999E-2</v>
      </c>
      <c r="P1429">
        <v>-0.98167740000000003</v>
      </c>
      <c r="Q1429">
        <v>0.18185470000000001</v>
      </c>
      <c r="R1429">
        <v>5.6911410000000003E-2</v>
      </c>
      <c r="S1429">
        <v>-3.0697939999999999</v>
      </c>
      <c r="T1429">
        <v>-0.11000749999999999</v>
      </c>
      <c r="U1429">
        <v>0.1243896</v>
      </c>
      <c r="V1429">
        <v>3.7471829999999998E-2</v>
      </c>
      <c r="W1429">
        <v>0.19055269999999999</v>
      </c>
      <c r="X1429">
        <v>0.98096159999999999</v>
      </c>
      <c r="Y1429">
        <v>2.049393E-2</v>
      </c>
      <c r="Z1429" s="1">
        <v>-7.9768269999999896E-5</v>
      </c>
      <c r="AA1429">
        <v>0.99978999999999996</v>
      </c>
      <c r="AB1429">
        <v>36</v>
      </c>
      <c r="AC1429">
        <v>-30.8888</v>
      </c>
      <c r="AD1429">
        <v>-1.119980660133</v>
      </c>
      <c r="AE1429">
        <v>1.25879999999995</v>
      </c>
      <c r="AF1429">
        <v>0.64016390399950795</v>
      </c>
      <c r="AG1429">
        <v>-1.119980660133</v>
      </c>
      <c r="AH1429">
        <v>30.867279602950699</v>
      </c>
      <c r="AI1429">
        <v>92.077547812865106</v>
      </c>
      <c r="AJ1429">
        <v>88.811899427924203</v>
      </c>
      <c r="AK1429">
        <v>30.8942246478172</v>
      </c>
      <c r="AL1429">
        <v>79.014959835952098</v>
      </c>
      <c r="AM1429">
        <v>87.812417576089203</v>
      </c>
      <c r="AN1429">
        <v>1.0000000650976899</v>
      </c>
    </row>
    <row r="1430" spans="1:40" x14ac:dyDescent="0.25">
      <c r="A1430" t="str">
        <f>"20190303162529991"</f>
        <v>20190303162529991</v>
      </c>
      <c r="B1430" t="str">
        <f>"1551601529983856"</f>
        <v>1551601529983856</v>
      </c>
      <c r="C1430" t="s">
        <v>40</v>
      </c>
      <c r="D1430">
        <v>4.6781370000000004</v>
      </c>
      <c r="E1430">
        <v>0.49615749999999997</v>
      </c>
      <c r="F1430" t="s">
        <v>51</v>
      </c>
      <c r="G1430">
        <v>-310.80149999999998</v>
      </c>
      <c r="H1430" s="1">
        <v>2.5927420000000001E-6</v>
      </c>
      <c r="I1430">
        <v>284.38400000000001</v>
      </c>
      <c r="J1430">
        <v>-278.76319999999998</v>
      </c>
      <c r="K1430">
        <v>1.119972</v>
      </c>
      <c r="L1430">
        <v>283.048</v>
      </c>
      <c r="M1430">
        <v>-0.99975230000000004</v>
      </c>
      <c r="N1430">
        <v>-8.9068210000000005E-3</v>
      </c>
      <c r="O1430">
        <v>2.0395190000000001E-2</v>
      </c>
      <c r="P1430">
        <v>-0.98171240000000004</v>
      </c>
      <c r="Q1430">
        <v>0.1813632</v>
      </c>
      <c r="R1430">
        <v>5.786409E-2</v>
      </c>
      <c r="S1430">
        <v>-3.0682680000000002</v>
      </c>
      <c r="T1430">
        <v>-0.1061443</v>
      </c>
      <c r="U1430">
        <v>0.12728879999999901</v>
      </c>
      <c r="V1430">
        <v>3.8026200000000003E-2</v>
      </c>
      <c r="W1430">
        <v>0.19006909999999999</v>
      </c>
      <c r="X1430">
        <v>0.98103399999999996</v>
      </c>
      <c r="Y1430">
        <v>2.1053720000000001E-2</v>
      </c>
      <c r="Z1430" s="1">
        <v>-6.5618920000000004E-5</v>
      </c>
      <c r="AA1430">
        <v>0.99977830000000001</v>
      </c>
      <c r="AB1430">
        <v>36</v>
      </c>
      <c r="AC1430">
        <v>-32.0382999999999</v>
      </c>
      <c r="AD1430">
        <v>-1.119969407258</v>
      </c>
      <c r="AE1430">
        <v>1.3360000000000101</v>
      </c>
      <c r="AF1430">
        <v>0.68143765955528202</v>
      </c>
      <c r="AG1430">
        <v>-1.119969407258</v>
      </c>
      <c r="AH1430">
        <v>32.019823947436002</v>
      </c>
      <c r="AI1430">
        <v>92.002786208845293</v>
      </c>
      <c r="AJ1430">
        <v>88.780829990567398</v>
      </c>
      <c r="AK1430">
        <v>32.046650595371901</v>
      </c>
      <c r="AL1430">
        <v>79.043182977200999</v>
      </c>
      <c r="AM1430">
        <v>87.780249604439902</v>
      </c>
      <c r="AN1430">
        <v>0.99999998190862405</v>
      </c>
    </row>
    <row r="1431" spans="1:40" x14ac:dyDescent="0.25">
      <c r="A1431" t="str">
        <f>"20190303162530015"</f>
        <v>20190303162530015</v>
      </c>
      <c r="B1431" t="str">
        <f>"1551601530004351"</f>
        <v>1551601530004351</v>
      </c>
      <c r="C1431" t="s">
        <v>40</v>
      </c>
      <c r="D1431">
        <v>4.7789989999999998</v>
      </c>
      <c r="E1431">
        <v>0.49588929999999998</v>
      </c>
      <c r="F1431" t="s">
        <v>51</v>
      </c>
      <c r="G1431">
        <v>-310.9076</v>
      </c>
      <c r="H1431" s="1">
        <v>2.6364350000000002E-6</v>
      </c>
      <c r="I1431">
        <v>284.42230000000001</v>
      </c>
      <c r="J1431">
        <v>-279.1309</v>
      </c>
      <c r="K1431">
        <v>1.119974</v>
      </c>
      <c r="L1431">
        <v>283.05590000000001</v>
      </c>
      <c r="M1431">
        <v>-0.99974339999999995</v>
      </c>
      <c r="N1431">
        <v>-8.9157790000000004E-3</v>
      </c>
      <c r="O1431">
        <v>2.0831369999999998E-2</v>
      </c>
      <c r="P1431">
        <v>-0.98170789999999997</v>
      </c>
      <c r="Q1431">
        <v>0.1811537</v>
      </c>
      <c r="R1431">
        <v>5.8594880000000002E-2</v>
      </c>
      <c r="S1431">
        <v>-3.0679020000000001</v>
      </c>
      <c r="T1431">
        <v>-0.1068914</v>
      </c>
      <c r="U1431">
        <v>0.13116459999999999</v>
      </c>
      <c r="V1431">
        <v>3.832692E-2</v>
      </c>
      <c r="W1431">
        <v>0.1898687</v>
      </c>
      <c r="X1431">
        <v>0.98106110000000002</v>
      </c>
      <c r="Y1431">
        <v>2.188269E-2</v>
      </c>
      <c r="Z1431" s="1">
        <v>-6.0935040000000001E-5</v>
      </c>
      <c r="AA1431">
        <v>0.9997606</v>
      </c>
      <c r="AB1431">
        <v>36</v>
      </c>
      <c r="AC1431">
        <v>-31.776700000000002</v>
      </c>
      <c r="AD1431">
        <v>-1.1199713635649999</v>
      </c>
      <c r="AE1431">
        <v>1.3663999999999901</v>
      </c>
      <c r="AF1431">
        <v>0.70325308822772903</v>
      </c>
      <c r="AG1431">
        <v>-1.1199713635649999</v>
      </c>
      <c r="AH1431">
        <v>31.758890619217699</v>
      </c>
      <c r="AI1431">
        <v>92.019193469838299</v>
      </c>
      <c r="AJ1431">
        <v>88.731478043477694</v>
      </c>
      <c r="AK1431">
        <v>31.786412728157</v>
      </c>
      <c r="AL1431">
        <v>79.054877984664003</v>
      </c>
      <c r="AM1431">
        <v>87.762774810744205</v>
      </c>
      <c r="AN1431">
        <v>0.99999997898479298</v>
      </c>
    </row>
    <row r="1432" spans="1:40" x14ac:dyDescent="0.25">
      <c r="A1432" t="str">
        <f>"20190303162530036"</f>
        <v>20190303162530036</v>
      </c>
      <c r="B1432" t="str">
        <f>"1551601530023872"</f>
        <v>1551601530023872</v>
      </c>
      <c r="C1432" t="s">
        <v>40</v>
      </c>
      <c r="D1432">
        <v>4.6615419999999999</v>
      </c>
      <c r="E1432">
        <v>0.49544329999999998</v>
      </c>
      <c r="F1432" t="s">
        <v>51</v>
      </c>
      <c r="G1432">
        <v>-312.69279999999998</v>
      </c>
      <c r="H1432" s="1">
        <v>3.4217140000000002E-6</v>
      </c>
      <c r="I1432">
        <v>284.49560000000002</v>
      </c>
      <c r="J1432">
        <v>-279.476</v>
      </c>
      <c r="K1432">
        <v>1.1199749999999999</v>
      </c>
      <c r="L1432">
        <v>283.0634</v>
      </c>
      <c r="M1432">
        <v>-0.99973480000000003</v>
      </c>
      <c r="N1432">
        <v>-8.9238919999999992E-3</v>
      </c>
      <c r="O1432">
        <v>2.123427E-2</v>
      </c>
      <c r="P1432">
        <v>-0.98159430000000003</v>
      </c>
      <c r="Q1432">
        <v>0.18136869999999999</v>
      </c>
      <c r="R1432">
        <v>5.9820379999999999E-2</v>
      </c>
      <c r="S1432">
        <v>-3.0669249999999999</v>
      </c>
      <c r="T1432">
        <v>-0.102344</v>
      </c>
      <c r="U1432">
        <v>0.13156129999999999</v>
      </c>
      <c r="V1432">
        <v>3.9156700000000003E-2</v>
      </c>
      <c r="W1432">
        <v>0.1900906</v>
      </c>
      <c r="X1432">
        <v>0.98098540000000001</v>
      </c>
      <c r="Y1432">
        <v>2.1623219999999999E-2</v>
      </c>
      <c r="Z1432" s="1">
        <v>-6.1465249999999999E-5</v>
      </c>
      <c r="AA1432">
        <v>0.99976620000000005</v>
      </c>
      <c r="AB1432">
        <v>36</v>
      </c>
      <c r="AC1432">
        <v>-33.2167999999999</v>
      </c>
      <c r="AD1432">
        <v>-1.119971578286</v>
      </c>
      <c r="AE1432">
        <v>1.4322000000000199</v>
      </c>
      <c r="AF1432">
        <v>0.72569107487708995</v>
      </c>
      <c r="AG1432">
        <v>-1.119971578286</v>
      </c>
      <c r="AH1432">
        <v>33.202047563549201</v>
      </c>
      <c r="AI1432">
        <v>91.931507928221606</v>
      </c>
      <c r="AJ1432">
        <v>88.747895996880402</v>
      </c>
      <c r="AK1432">
        <v>33.228856830840598</v>
      </c>
      <c r="AL1432">
        <v>79.0419286559559</v>
      </c>
      <c r="AM1432">
        <v>87.714213396007295</v>
      </c>
      <c r="AN1432">
        <v>1.0000000191881999</v>
      </c>
    </row>
    <row r="1433" spans="1:40" x14ac:dyDescent="0.25">
      <c r="A1433" t="str">
        <f>"20190303162530059"</f>
        <v>20190303162530059</v>
      </c>
      <c r="B1433" t="str">
        <f>"1551601530044368"</f>
        <v>1551601530044368</v>
      </c>
      <c r="C1433" t="s">
        <v>40</v>
      </c>
      <c r="D1433">
        <v>4.6819350000000002</v>
      </c>
      <c r="E1433">
        <v>0.49512250000000002</v>
      </c>
      <c r="F1433" t="s">
        <v>51</v>
      </c>
      <c r="G1433">
        <v>-315.38229999999999</v>
      </c>
      <c r="H1433" s="1">
        <v>4.6044130000000001E-6</v>
      </c>
      <c r="I1433">
        <v>284.60919999999999</v>
      </c>
      <c r="J1433">
        <v>-279.83550000000002</v>
      </c>
      <c r="K1433">
        <v>1.11998</v>
      </c>
      <c r="L1433">
        <v>283.07150000000001</v>
      </c>
      <c r="M1433">
        <v>-0.99972589999999995</v>
      </c>
      <c r="N1433">
        <v>-8.9322719999999998E-3</v>
      </c>
      <c r="O1433">
        <v>2.1645089999999999E-2</v>
      </c>
      <c r="P1433">
        <v>-0.98149189999999997</v>
      </c>
      <c r="Q1433">
        <v>0.18154300000000001</v>
      </c>
      <c r="R1433">
        <v>6.0960229999999997E-2</v>
      </c>
      <c r="S1433">
        <v>-3.065887</v>
      </c>
      <c r="T1433">
        <v>-9.5629690000000003E-2</v>
      </c>
      <c r="U1433">
        <v>0.13198850000000001</v>
      </c>
      <c r="V1433">
        <v>3.9892339999999998E-2</v>
      </c>
      <c r="W1433">
        <v>0.19027269999999999</v>
      </c>
      <c r="X1433">
        <v>0.98092040000000003</v>
      </c>
      <c r="Y1433">
        <v>2.1366840000000002E-2</v>
      </c>
      <c r="Z1433" s="1">
        <v>-5.2794260000000001E-5</v>
      </c>
      <c r="AA1433">
        <v>0.99977169999999904</v>
      </c>
      <c r="AB1433">
        <v>36</v>
      </c>
      <c r="AC1433">
        <v>-35.546799999999898</v>
      </c>
      <c r="AD1433">
        <v>-1.119975395587</v>
      </c>
      <c r="AE1433">
        <v>1.5376999999999701</v>
      </c>
      <c r="AF1433">
        <v>0.76713529063430597</v>
      </c>
      <c r="AG1433">
        <v>-1.119975395587</v>
      </c>
      <c r="AH1433">
        <v>35.536545257691898</v>
      </c>
      <c r="AI1433">
        <v>91.804725185369804</v>
      </c>
      <c r="AJ1433">
        <v>88.763335364264904</v>
      </c>
      <c r="AK1433">
        <v>35.562464626243802</v>
      </c>
      <c r="AL1433">
        <v>79.031300530755502</v>
      </c>
      <c r="AM1433">
        <v>87.671162845112406</v>
      </c>
      <c r="AN1433">
        <v>0.99999996514606204</v>
      </c>
    </row>
    <row r="1434" spans="1:40" x14ac:dyDescent="0.25">
      <c r="A1434" t="str">
        <f>"20190303162530081"</f>
        <v>20190303162530081</v>
      </c>
      <c r="B1434" t="str">
        <f>"1551601530074624"</f>
        <v>1551601530074624</v>
      </c>
      <c r="C1434" t="s">
        <v>40</v>
      </c>
      <c r="D1434">
        <v>4.6370930000000001</v>
      </c>
      <c r="E1434">
        <v>0.49469849999999999</v>
      </c>
      <c r="F1434" t="s">
        <v>51</v>
      </c>
      <c r="G1434">
        <v>-317.75330000000002</v>
      </c>
      <c r="H1434" s="1">
        <v>5.6461930000000003E-6</v>
      </c>
      <c r="I1434">
        <v>284.72019999999998</v>
      </c>
      <c r="J1434">
        <v>-280.19470000000001</v>
      </c>
      <c r="K1434">
        <v>1.11999</v>
      </c>
      <c r="L1434">
        <v>283.0797</v>
      </c>
      <c r="M1434">
        <v>-0.99971710000000003</v>
      </c>
      <c r="N1434">
        <v>-8.9406539999999993E-3</v>
      </c>
      <c r="O1434">
        <v>2.204565E-2</v>
      </c>
      <c r="P1434">
        <v>-0.98146750000000005</v>
      </c>
      <c r="Q1434">
        <v>0.1814142</v>
      </c>
      <c r="R1434">
        <v>6.1732519999999999E-2</v>
      </c>
      <c r="S1434">
        <v>-3.0650330000000001</v>
      </c>
      <c r="T1434">
        <v>-9.0531470000000003E-2</v>
      </c>
      <c r="U1434">
        <v>0.13327030000000001</v>
      </c>
      <c r="V1434">
        <v>4.0268199999999997E-2</v>
      </c>
      <c r="W1434">
        <v>0.1901524</v>
      </c>
      <c r="X1434">
        <v>0.98092840000000003</v>
      </c>
      <c r="Y1434">
        <v>2.139607E-2</v>
      </c>
      <c r="Z1434" s="1">
        <v>-4.2083640000000001E-5</v>
      </c>
      <c r="AA1434">
        <v>0.99977110000000002</v>
      </c>
      <c r="AB1434">
        <v>36</v>
      </c>
      <c r="AC1434">
        <v>-37.558599999999998</v>
      </c>
      <c r="AD1434">
        <v>-1.119984353807</v>
      </c>
      <c r="AE1434">
        <v>1.6404999999999701</v>
      </c>
      <c r="AF1434">
        <v>0.811344434538816</v>
      </c>
      <c r="AG1434">
        <v>-1.119984353807</v>
      </c>
      <c r="AH1434">
        <v>37.552310187005403</v>
      </c>
      <c r="AI1434">
        <v>91.707921580920697</v>
      </c>
      <c r="AJ1434">
        <v>88.762276403191507</v>
      </c>
      <c r="AK1434">
        <v>37.577767963588499</v>
      </c>
      <c r="AL1434">
        <v>79.038321719867895</v>
      </c>
      <c r="AM1434">
        <v>87.649264520888295</v>
      </c>
      <c r="AN1434">
        <v>0.99999999454178001</v>
      </c>
    </row>
    <row r="1435" spans="1:40" x14ac:dyDescent="0.25">
      <c r="A1435" t="str">
        <f>"20190303162530102"</f>
        <v>20190303162530102</v>
      </c>
      <c r="B1435" t="str">
        <f>"1551601530094144"</f>
        <v>1551601530094144</v>
      </c>
      <c r="C1435" t="s">
        <v>40</v>
      </c>
      <c r="D1435">
        <v>4.6587540000000001</v>
      </c>
      <c r="E1435">
        <v>0.49443579999999998</v>
      </c>
      <c r="F1435" t="s">
        <v>48</v>
      </c>
      <c r="G1435">
        <v>-320.20639999999997</v>
      </c>
      <c r="H1435" s="1">
        <v>-1.4353029999999999E-6</v>
      </c>
      <c r="I1435">
        <v>284.80709999999999</v>
      </c>
      <c r="J1435">
        <v>-280.55410000000001</v>
      </c>
      <c r="K1435">
        <v>1.1200019999999999</v>
      </c>
      <c r="L1435">
        <v>283.08789999999999</v>
      </c>
      <c r="M1435">
        <v>-0.99970840000000005</v>
      </c>
      <c r="N1435">
        <v>-8.9492019999999999E-3</v>
      </c>
      <c r="O1435">
        <v>2.2437149999999999E-2</v>
      </c>
      <c r="P1435">
        <v>-0.981267</v>
      </c>
      <c r="Q1435">
        <v>0.18239569999999999</v>
      </c>
      <c r="R1435">
        <v>6.2028769999999997E-2</v>
      </c>
      <c r="S1435">
        <v>-3.0641780000000001</v>
      </c>
      <c r="T1435">
        <v>-8.5771319999999998E-2</v>
      </c>
      <c r="U1435">
        <v>0.13229369999999999</v>
      </c>
      <c r="V1435">
        <v>4.0182309999999999E-2</v>
      </c>
      <c r="W1435">
        <v>0.19114100000000001</v>
      </c>
      <c r="X1435">
        <v>0.98073980000000005</v>
      </c>
      <c r="Y1435">
        <v>2.0699450000000001E-2</v>
      </c>
      <c r="Z1435" s="1">
        <v>-4.460146E-5</v>
      </c>
      <c r="AA1435">
        <v>0.9997857</v>
      </c>
      <c r="AB1435">
        <v>36</v>
      </c>
      <c r="AC1435">
        <v>-39.652299999999897</v>
      </c>
      <c r="AD1435">
        <v>-1.120003435303</v>
      </c>
      <c r="AE1435">
        <v>1.7192000000000001</v>
      </c>
      <c r="AF1435">
        <v>0.82838745256465196</v>
      </c>
      <c r="AG1435">
        <v>-1.120003435303</v>
      </c>
      <c r="AH1435">
        <v>39.649318989238601</v>
      </c>
      <c r="AI1435">
        <v>91.617692848988995</v>
      </c>
      <c r="AJ1435">
        <v>88.80310174828</v>
      </c>
      <c r="AK1435">
        <v>39.673783910500099</v>
      </c>
      <c r="AL1435">
        <v>78.980621169298104</v>
      </c>
      <c r="AM1435">
        <v>87.653822323707303</v>
      </c>
      <c r="AN1435">
        <v>1.0000000276109799</v>
      </c>
    </row>
    <row r="1436" spans="1:40" x14ac:dyDescent="0.25">
      <c r="A1436" t="str">
        <f>"20190303162530125"</f>
        <v>20190303162530125</v>
      </c>
      <c r="B1436" t="str">
        <f>"1551601530114640"</f>
        <v>1551601530114640</v>
      </c>
      <c r="C1436" t="s">
        <v>40</v>
      </c>
      <c r="D1436">
        <v>4.7744730000000004</v>
      </c>
      <c r="E1436">
        <v>0.49431659999999999</v>
      </c>
      <c r="F1436" t="s">
        <v>48</v>
      </c>
      <c r="G1436">
        <v>-323.95269999999999</v>
      </c>
      <c r="H1436" s="1">
        <v>5.5203359999999998E-7</v>
      </c>
      <c r="I1436">
        <v>284.95030000000003</v>
      </c>
      <c r="J1436">
        <v>-280.90879999999999</v>
      </c>
      <c r="K1436">
        <v>1.1200129999999999</v>
      </c>
      <c r="L1436">
        <v>283.09629999999999</v>
      </c>
      <c r="M1436">
        <v>-0.99969960000000002</v>
      </c>
      <c r="N1436">
        <v>-8.9574619999999994E-3</v>
      </c>
      <c r="O1436">
        <v>2.2815240000000001E-2</v>
      </c>
      <c r="P1436">
        <v>-0.9810989</v>
      </c>
      <c r="Q1436">
        <v>0.1832983</v>
      </c>
      <c r="R1436">
        <v>6.2020150000000003E-2</v>
      </c>
      <c r="S1436">
        <v>-3.06366</v>
      </c>
      <c r="T1436">
        <v>-7.9064850000000006E-2</v>
      </c>
      <c r="U1436">
        <v>0.13146969999999999</v>
      </c>
      <c r="V1436">
        <v>3.9803970000000001E-2</v>
      </c>
      <c r="W1436">
        <v>0.19205130000000001</v>
      </c>
      <c r="X1436">
        <v>0.98057729999999999</v>
      </c>
      <c r="Y1436">
        <v>2.0061099999999998E-2</v>
      </c>
      <c r="Z1436" s="1">
        <v>-3.5417499999999998E-5</v>
      </c>
      <c r="AA1436">
        <v>0.99979879999999999</v>
      </c>
      <c r="AB1436">
        <v>36</v>
      </c>
      <c r="AC1436">
        <v>-43.043900000000001</v>
      </c>
      <c r="AD1436">
        <v>-1.1200124479664</v>
      </c>
      <c r="AE1436">
        <v>1.8540000000000401</v>
      </c>
      <c r="AF1436">
        <v>0.870832575246412</v>
      </c>
      <c r="AG1436">
        <v>-1.1200124479664</v>
      </c>
      <c r="AH1436">
        <v>43.045905484750897</v>
      </c>
      <c r="AI1436">
        <v>91.490139221728796</v>
      </c>
      <c r="AJ1436">
        <v>88.841045958870595</v>
      </c>
      <c r="AK1436">
        <v>43.069278566744202</v>
      </c>
      <c r="AL1436">
        <v>78.927479450232497</v>
      </c>
      <c r="AM1436">
        <v>87.675503896627902</v>
      </c>
      <c r="AN1436">
        <v>0.99999994956736904</v>
      </c>
    </row>
    <row r="1437" spans="1:40" x14ac:dyDescent="0.25">
      <c r="A1437" t="str">
        <f>"20190303162530148"</f>
        <v>20190303162530148</v>
      </c>
      <c r="B1437" t="str">
        <f>"1551601530143920"</f>
        <v>1551601530143920</v>
      </c>
      <c r="C1437" t="s">
        <v>40</v>
      </c>
      <c r="D1437">
        <v>4.655106</v>
      </c>
      <c r="E1437">
        <v>0.50609999999999999</v>
      </c>
      <c r="F1437" t="s">
        <v>48</v>
      </c>
      <c r="G1437">
        <v>-326.75700000000001</v>
      </c>
      <c r="H1437" s="1">
        <v>2.0396610000000001E-6</v>
      </c>
      <c r="I1437">
        <v>285.05700000000002</v>
      </c>
      <c r="J1437">
        <v>-281.28879999999998</v>
      </c>
      <c r="K1437">
        <v>1.1200220000000001</v>
      </c>
      <c r="L1437">
        <v>283.1053</v>
      </c>
      <c r="M1437">
        <v>-0.99969039999999998</v>
      </c>
      <c r="N1437">
        <v>-8.9663039999999996E-3</v>
      </c>
      <c r="O1437">
        <v>2.3211869999999999E-2</v>
      </c>
      <c r="P1437">
        <v>-0.98108309999999999</v>
      </c>
      <c r="Q1437">
        <v>0.1835387</v>
      </c>
      <c r="R1437">
        <v>6.1559500000000003E-2</v>
      </c>
      <c r="S1437">
        <v>-3.063507</v>
      </c>
      <c r="T1437">
        <v>-7.483745E-2</v>
      </c>
      <c r="U1437">
        <v>0.13101199999999999</v>
      </c>
      <c r="V1437">
        <v>3.8951619999999999E-2</v>
      </c>
      <c r="W1437">
        <v>0.19230169999999999</v>
      </c>
      <c r="X1437">
        <v>0.9805625</v>
      </c>
      <c r="Y1437">
        <v>1.9518000000000001E-2</v>
      </c>
      <c r="Z1437" s="1">
        <v>-3.2712749999999999E-5</v>
      </c>
      <c r="AA1437">
        <v>0.99980950000000002</v>
      </c>
      <c r="AB1437">
        <v>36</v>
      </c>
      <c r="AC1437">
        <v>-45.468200000000003</v>
      </c>
      <c r="AD1437">
        <v>-1.12001996033899</v>
      </c>
      <c r="AE1437">
        <v>1.95170000000001</v>
      </c>
      <c r="AF1437">
        <v>0.89518758748031702</v>
      </c>
      <c r="AG1437">
        <v>-1.12001996033899</v>
      </c>
      <c r="AH1437">
        <v>45.473710772180297</v>
      </c>
      <c r="AI1437">
        <v>91.410639698045699</v>
      </c>
      <c r="AJ1437">
        <v>88.872230883688204</v>
      </c>
      <c r="AK1437">
        <v>45.496309486817097</v>
      </c>
      <c r="AL1437">
        <v>78.912860590943097</v>
      </c>
      <c r="AM1437">
        <v>87.725192783325198</v>
      </c>
      <c r="AN1437">
        <v>0.99999999446488197</v>
      </c>
    </row>
    <row r="1438" spans="1:40" x14ac:dyDescent="0.25">
      <c r="A1438" t="str">
        <f>"20190303162530172"</f>
        <v>20190303162530172</v>
      </c>
      <c r="B1438" t="str">
        <f>"1551601530164415"</f>
        <v>1551601530164415</v>
      </c>
      <c r="C1438" t="s">
        <v>40</v>
      </c>
      <c r="D1438">
        <v>4.5731630000000001</v>
      </c>
      <c r="E1438">
        <v>0.52488330000000005</v>
      </c>
      <c r="F1438" t="s">
        <v>42</v>
      </c>
      <c r="G1438">
        <v>-282.16770000000002</v>
      </c>
      <c r="H1438">
        <v>1.0420160000000001</v>
      </c>
      <c r="I1438">
        <v>283.16820000000001</v>
      </c>
      <c r="J1438">
        <v>-281.65300000000002</v>
      </c>
      <c r="K1438">
        <v>1.1200300000000001</v>
      </c>
      <c r="L1438">
        <v>283.11410000000001</v>
      </c>
      <c r="M1438">
        <v>-0.99968170000000001</v>
      </c>
      <c r="N1438">
        <v>-8.9748369999999994E-3</v>
      </c>
      <c r="O1438">
        <v>2.3586639999999999E-2</v>
      </c>
      <c r="P1438">
        <v>-0.98112279999999996</v>
      </c>
      <c r="Q1438">
        <v>0.18363399999999999</v>
      </c>
      <c r="R1438">
        <v>6.0637389999999999E-2</v>
      </c>
      <c r="S1438">
        <v>-3.0953979999999999</v>
      </c>
      <c r="T1438">
        <v>-0.27485739999999997</v>
      </c>
      <c r="U1438">
        <v>0.22109989999999999</v>
      </c>
      <c r="V1438">
        <v>3.7658749999999998E-2</v>
      </c>
      <c r="W1438">
        <v>0.19240689999999999</v>
      </c>
      <c r="X1438">
        <v>0.98059240000000003</v>
      </c>
      <c r="Y1438">
        <v>4.756904E-2</v>
      </c>
      <c r="Z1438">
        <v>4.4340379999999998E-4</v>
      </c>
      <c r="AA1438">
        <v>0.99886790000000003</v>
      </c>
      <c r="AB1438">
        <v>36</v>
      </c>
      <c r="AC1438">
        <v>-0.51470000000000404</v>
      </c>
      <c r="AD1438">
        <v>-7.8013999999999806E-2</v>
      </c>
      <c r="AE1438">
        <v>5.4100000000005297E-2</v>
      </c>
      <c r="AF1438">
        <v>4.1012492388621903E-2</v>
      </c>
      <c r="AG1438">
        <v>-7.8013999999999806E-2</v>
      </c>
      <c r="AH1438">
        <v>0.50437205814970698</v>
      </c>
      <c r="AI1438">
        <v>98.764100855082106</v>
      </c>
      <c r="AJ1438">
        <v>85.351280646911405</v>
      </c>
      <c r="AK1438">
        <v>0.51201502103951801</v>
      </c>
      <c r="AL1438">
        <v>78.906718724085806</v>
      </c>
      <c r="AM1438">
        <v>87.800689050324493</v>
      </c>
      <c r="AN1438">
        <v>1.00000002577846</v>
      </c>
    </row>
    <row r="1439" spans="1:40" x14ac:dyDescent="0.25">
      <c r="A1439" t="str">
        <f>"20190303162530193"</f>
        <v>20190303162530193</v>
      </c>
      <c r="B1439" t="str">
        <f>"1551601530184912"</f>
        <v>1551601530184912</v>
      </c>
      <c r="C1439" t="s">
        <v>40</v>
      </c>
      <c r="D1439">
        <v>4.549525</v>
      </c>
      <c r="E1439">
        <v>0.52448649999999997</v>
      </c>
      <c r="F1439" t="s">
        <v>42</v>
      </c>
      <c r="G1439">
        <v>-282.42680000000001</v>
      </c>
      <c r="H1439">
        <v>0.91114870000000003</v>
      </c>
      <c r="I1439">
        <v>283.20139999999998</v>
      </c>
      <c r="J1439">
        <v>-282.01369999999997</v>
      </c>
      <c r="K1439">
        <v>1.120031</v>
      </c>
      <c r="L1439">
        <v>283.12290000000002</v>
      </c>
      <c r="M1439">
        <v>-0.99967280000000003</v>
      </c>
      <c r="N1439">
        <v>-8.9832839999999994E-3</v>
      </c>
      <c r="O1439">
        <v>2.3954039999999999E-2</v>
      </c>
      <c r="P1439">
        <v>-0.98095920000000003</v>
      </c>
      <c r="Q1439">
        <v>0.1848263</v>
      </c>
      <c r="R1439">
        <v>5.9654119999999998E-2</v>
      </c>
      <c r="S1439">
        <v>-3.1969910000000001</v>
      </c>
      <c r="T1439">
        <v>-0.86302789999999996</v>
      </c>
      <c r="U1439">
        <v>0.35995480000000002</v>
      </c>
      <c r="V1439">
        <v>3.6318570000000001E-2</v>
      </c>
      <c r="W1439">
        <v>0.19360749999999999</v>
      </c>
      <c r="X1439">
        <v>0.98040660000000002</v>
      </c>
      <c r="Y1439">
        <v>8.5705379999999998E-2</v>
      </c>
      <c r="Z1439">
        <v>5.6036480000000001E-3</v>
      </c>
      <c r="AA1439">
        <v>0.99630479999999999</v>
      </c>
      <c r="AB1439">
        <v>36</v>
      </c>
      <c r="AC1439">
        <v>-0.41310000000004199</v>
      </c>
      <c r="AD1439">
        <v>-0.20888229999999999</v>
      </c>
      <c r="AE1439">
        <v>7.8499999999962697E-2</v>
      </c>
      <c r="AF1439">
        <v>5.5007603277564203E-2</v>
      </c>
      <c r="AG1439">
        <v>-0.20888229999999999</v>
      </c>
      <c r="AH1439">
        <v>0.33275017989533201</v>
      </c>
      <c r="AI1439">
        <v>121.771568036171</v>
      </c>
      <c r="AJ1439">
        <v>80.613212347666305</v>
      </c>
      <c r="AK1439">
        <v>0.39671190288672697</v>
      </c>
      <c r="AL1439">
        <v>78.836610930961697</v>
      </c>
      <c r="AM1439">
        <v>87.878482562860896</v>
      </c>
      <c r="AN1439">
        <v>1.00000000195332</v>
      </c>
    </row>
    <row r="1440" spans="1:40" x14ac:dyDescent="0.25">
      <c r="A1440" t="str">
        <f>"20190303162530214"</f>
        <v>20190303162530214</v>
      </c>
      <c r="B1440" t="str">
        <f>"1551601530204431"</f>
        <v>1551601530204431</v>
      </c>
      <c r="C1440" t="s">
        <v>40</v>
      </c>
      <c r="D1440">
        <v>4.5965230000000004</v>
      </c>
      <c r="E1440">
        <v>0.52481299999999997</v>
      </c>
      <c r="F1440" t="s">
        <v>42</v>
      </c>
      <c r="G1440">
        <v>-282.745</v>
      </c>
      <c r="H1440">
        <v>0.89740719999999996</v>
      </c>
      <c r="I1440">
        <v>283.20299999999997</v>
      </c>
      <c r="J1440">
        <v>-282.35039999999998</v>
      </c>
      <c r="K1440">
        <v>1.120028</v>
      </c>
      <c r="L1440">
        <v>283.13119999999998</v>
      </c>
      <c r="M1440">
        <v>-0.99966460000000001</v>
      </c>
      <c r="N1440">
        <v>-8.9910890000000007E-3</v>
      </c>
      <c r="O1440">
        <v>2.4294920000000001E-2</v>
      </c>
      <c r="P1440">
        <v>-0.98081479999999999</v>
      </c>
      <c r="Q1440">
        <v>0.18581909999999999</v>
      </c>
      <c r="R1440">
        <v>5.894158E-2</v>
      </c>
      <c r="S1440">
        <v>-3.2215880000000001</v>
      </c>
      <c r="T1440">
        <v>-0.98070119999999905</v>
      </c>
      <c r="U1440">
        <v>0.35290529999999998</v>
      </c>
      <c r="V1440">
        <v>3.5274949999999999E-2</v>
      </c>
      <c r="W1440">
        <v>0.19460759999999999</v>
      </c>
      <c r="X1440">
        <v>0.98024670000000003</v>
      </c>
      <c r="Y1440">
        <v>8.1950880000000004E-2</v>
      </c>
      <c r="Z1440">
        <v>5.5454249999999997E-3</v>
      </c>
      <c r="AA1440">
        <v>0.99662099999999998</v>
      </c>
      <c r="AB1440">
        <v>36</v>
      </c>
      <c r="AC1440">
        <v>-0.39460000000002499</v>
      </c>
      <c r="AD1440">
        <v>-0.22262080000000001</v>
      </c>
      <c r="AE1440">
        <v>7.1799999999996006E-2</v>
      </c>
      <c r="AF1440">
        <v>4.7544013809632003E-2</v>
      </c>
      <c r="AG1440">
        <v>-0.22262080000000001</v>
      </c>
      <c r="AH1440">
        <v>0.30290673247433197</v>
      </c>
      <c r="AI1440">
        <v>125.98186643516</v>
      </c>
      <c r="AJ1440">
        <v>81.079676537679504</v>
      </c>
      <c r="AK1440">
        <v>0.37891020363675498</v>
      </c>
      <c r="AL1440">
        <v>78.778198593254899</v>
      </c>
      <c r="AM1440">
        <v>87.939055539465897</v>
      </c>
      <c r="AN1440">
        <v>1.00000001646807</v>
      </c>
    </row>
    <row r="1441" spans="1:40" x14ac:dyDescent="0.25">
      <c r="A1441" t="str">
        <f>"20190303162530236"</f>
        <v>20190303162530236</v>
      </c>
      <c r="B1441" t="str">
        <f>"1551601530234688"</f>
        <v>1551601530234688</v>
      </c>
      <c r="C1441" t="s">
        <v>40</v>
      </c>
      <c r="D1441">
        <v>4.5990589999999996</v>
      </c>
      <c r="E1441">
        <v>0.52516759999999996</v>
      </c>
      <c r="F1441" t="s">
        <v>42</v>
      </c>
      <c r="G1441">
        <v>-283.06779999999998</v>
      </c>
      <c r="H1441">
        <v>0.89356849999999999</v>
      </c>
      <c r="I1441">
        <v>283.2097</v>
      </c>
      <c r="J1441">
        <v>-282.71039999999999</v>
      </c>
      <c r="K1441">
        <v>1.1200289999999999</v>
      </c>
      <c r="L1441">
        <v>283.14030000000002</v>
      </c>
      <c r="M1441">
        <v>-0.99965550000000003</v>
      </c>
      <c r="N1441">
        <v>-8.9993269999999997E-3</v>
      </c>
      <c r="O1441">
        <v>2.4657979999999999E-2</v>
      </c>
      <c r="P1441">
        <v>-0.98081850000000004</v>
      </c>
      <c r="Q1441">
        <v>0.18567939999999999</v>
      </c>
      <c r="R1441">
        <v>5.931645E-2</v>
      </c>
      <c r="S1441">
        <v>-3.2307130000000002</v>
      </c>
      <c r="T1441">
        <v>-1.01976</v>
      </c>
      <c r="U1441">
        <v>0.35247800000000001</v>
      </c>
      <c r="V1441">
        <v>3.5292509999999999E-2</v>
      </c>
      <c r="W1441">
        <v>0.1944766</v>
      </c>
      <c r="X1441">
        <v>0.98027209999999998</v>
      </c>
      <c r="Y1441">
        <v>8.1020110000000006E-2</v>
      </c>
      <c r="Z1441">
        <v>5.4652090000000004E-3</v>
      </c>
      <c r="AA1441">
        <v>0.99669750000000001</v>
      </c>
      <c r="AB1441">
        <v>36</v>
      </c>
      <c r="AC1441">
        <v>-0.35739999999998401</v>
      </c>
      <c r="AD1441">
        <v>-0.22646050000000001</v>
      </c>
      <c r="AE1441">
        <v>6.9399999999973205E-2</v>
      </c>
      <c r="AF1441">
        <v>4.3669817507587298E-2</v>
      </c>
      <c r="AG1441">
        <v>-0.22646050000000001</v>
      </c>
      <c r="AH1441">
        <v>0.25885212439605598</v>
      </c>
      <c r="AI1441">
        <v>130.783484677742</v>
      </c>
      <c r="AJ1441">
        <v>80.424047463036999</v>
      </c>
      <c r="AK1441">
        <v>0.34669270734433799</v>
      </c>
      <c r="AL1441">
        <v>78.785850913628096</v>
      </c>
      <c r="AM1441">
        <v>87.938083861040496</v>
      </c>
      <c r="AN1441">
        <v>1.00000004962403</v>
      </c>
    </row>
    <row r="1442" spans="1:40" x14ac:dyDescent="0.25">
      <c r="A1442" t="str">
        <f>"20190303162530260"</f>
        <v>20190303162530260</v>
      </c>
      <c r="B1442" t="str">
        <f>"1551601530254207"</f>
        <v>1551601530254207</v>
      </c>
      <c r="C1442" t="s">
        <v>40</v>
      </c>
      <c r="D1442">
        <v>4.5827540000000004</v>
      </c>
      <c r="E1442">
        <v>0.52522029999999997</v>
      </c>
      <c r="F1442" t="s">
        <v>42</v>
      </c>
      <c r="G1442">
        <v>-283.39510000000001</v>
      </c>
      <c r="H1442">
        <v>0.89911649999999999</v>
      </c>
      <c r="I1442">
        <v>283.21550000000002</v>
      </c>
      <c r="J1442">
        <v>-283.07679999999999</v>
      </c>
      <c r="K1442">
        <v>1.120026</v>
      </c>
      <c r="L1442">
        <v>283.1497</v>
      </c>
      <c r="M1442">
        <v>-0.99964620000000004</v>
      </c>
      <c r="N1442">
        <v>-9.0119559999999998E-3</v>
      </c>
      <c r="O1442">
        <v>2.502704E-2</v>
      </c>
      <c r="P1442">
        <v>-0.98084000000000005</v>
      </c>
      <c r="Q1442">
        <v>0.18549199999999999</v>
      </c>
      <c r="R1442">
        <v>5.9548360000000002E-2</v>
      </c>
      <c r="S1442">
        <v>-3.2347109999999999</v>
      </c>
      <c r="T1442">
        <v>-1.0435730000000001</v>
      </c>
      <c r="U1442">
        <v>0.35534670000000002</v>
      </c>
      <c r="V1442">
        <v>3.5160709999999998E-2</v>
      </c>
      <c r="W1442">
        <v>0.19430210000000001</v>
      </c>
      <c r="X1442">
        <v>0.98031140000000005</v>
      </c>
      <c r="Y1442">
        <v>8.1275050000000001E-2</v>
      </c>
      <c r="Z1442">
        <v>5.4973030000000003E-3</v>
      </c>
      <c r="AA1442">
        <v>0.99667660000000002</v>
      </c>
      <c r="AB1442">
        <v>36</v>
      </c>
      <c r="AC1442">
        <v>-0.31830000000002101</v>
      </c>
      <c r="AD1442">
        <v>-0.22090949999999901</v>
      </c>
      <c r="AE1442">
        <v>6.58000000000242E-2</v>
      </c>
      <c r="AF1442">
        <v>3.9545479271435598E-2</v>
      </c>
      <c r="AG1442">
        <v>-0.22090949999999901</v>
      </c>
      <c r="AH1442">
        <v>0.21878327604164799</v>
      </c>
      <c r="AI1442">
        <v>134.81657019036501</v>
      </c>
      <c r="AJ1442">
        <v>79.754306507304705</v>
      </c>
      <c r="AK1442">
        <v>0.31341820942085202</v>
      </c>
      <c r="AL1442">
        <v>78.796043019809403</v>
      </c>
      <c r="AM1442">
        <v>87.945859766340803</v>
      </c>
      <c r="AN1442">
        <v>1.0000000112810301</v>
      </c>
    </row>
    <row r="1443" spans="1:40" x14ac:dyDescent="0.25">
      <c r="A1443" t="str">
        <f>"20190303162530282"</f>
        <v>20190303162530282</v>
      </c>
      <c r="B1443" t="str">
        <f>"1551601530274704"</f>
        <v>1551601530274704</v>
      </c>
      <c r="C1443" t="s">
        <v>40</v>
      </c>
      <c r="D1443">
        <v>4.5574620000000001</v>
      </c>
      <c r="E1443">
        <v>0.52578150000000001</v>
      </c>
      <c r="F1443" t="s">
        <v>42</v>
      </c>
      <c r="G1443">
        <v>-284.01240000000001</v>
      </c>
      <c r="H1443">
        <v>0.81506730000000005</v>
      </c>
      <c r="I1443">
        <v>283.2527</v>
      </c>
      <c r="J1443">
        <v>-283.45089999999999</v>
      </c>
      <c r="K1443">
        <v>1.1200369999999999</v>
      </c>
      <c r="L1443">
        <v>283.15940000000001</v>
      </c>
      <c r="M1443">
        <v>-0.99963639999999998</v>
      </c>
      <c r="N1443">
        <v>-9.0382359999999998E-3</v>
      </c>
      <c r="O1443">
        <v>2.5403559999999999E-2</v>
      </c>
      <c r="P1443">
        <v>-0.98086949999999995</v>
      </c>
      <c r="Q1443">
        <v>0.18512670000000001</v>
      </c>
      <c r="R1443">
        <v>6.0191229999999998E-2</v>
      </c>
      <c r="S1443">
        <v>-3.23645</v>
      </c>
      <c r="T1443">
        <v>-1.0549360000000001</v>
      </c>
      <c r="U1443">
        <v>0.35632320000000001</v>
      </c>
      <c r="V1443">
        <v>3.5432060000000001E-2</v>
      </c>
      <c r="W1443">
        <v>0.193963</v>
      </c>
      <c r="X1443">
        <v>0.98036880000000004</v>
      </c>
      <c r="Y1443">
        <v>8.1106170000000005E-2</v>
      </c>
      <c r="Z1443">
        <v>5.4038840000000003E-3</v>
      </c>
      <c r="AA1443">
        <v>0.99669079999999999</v>
      </c>
      <c r="AB1443">
        <v>36</v>
      </c>
      <c r="AC1443">
        <v>-0.56150000000002298</v>
      </c>
      <c r="AD1443">
        <v>-0.30496970000000001</v>
      </c>
      <c r="AE1443">
        <v>9.3299999999999203E-2</v>
      </c>
      <c r="AF1443">
        <v>6.1383836768096799E-2</v>
      </c>
      <c r="AG1443">
        <v>-0.30496970000000001</v>
      </c>
      <c r="AH1443">
        <v>0.43796348398941198</v>
      </c>
      <c r="AI1443">
        <v>124.589975682071</v>
      </c>
      <c r="AJ1443">
        <v>82.021543063663103</v>
      </c>
      <c r="AK1443">
        <v>0.537202481977332</v>
      </c>
      <c r="AL1443">
        <v>78.815849031265998</v>
      </c>
      <c r="AM1443">
        <v>87.930141929974099</v>
      </c>
      <c r="AN1443">
        <v>1.0000000301291401</v>
      </c>
    </row>
    <row r="1444" spans="1:40" x14ac:dyDescent="0.25">
      <c r="A1444" t="str">
        <f>"20190303162530304"</f>
        <v>20190303162530304</v>
      </c>
      <c r="B1444" t="str">
        <f>"1551601530294223"</f>
        <v>1551601530294223</v>
      </c>
      <c r="C1444" t="s">
        <v>40</v>
      </c>
      <c r="D1444">
        <v>4.5636570000000001</v>
      </c>
      <c r="E1444">
        <v>0.52625</v>
      </c>
      <c r="F1444" t="s">
        <v>42</v>
      </c>
      <c r="G1444">
        <v>-284.34390000000002</v>
      </c>
      <c r="H1444">
        <v>0.82901539999999996</v>
      </c>
      <c r="I1444">
        <v>283.25990000000002</v>
      </c>
      <c r="J1444">
        <v>-283.81549999999999</v>
      </c>
      <c r="K1444">
        <v>1.120044</v>
      </c>
      <c r="L1444">
        <v>283.16899999999998</v>
      </c>
      <c r="M1444">
        <v>-0.99962689999999998</v>
      </c>
      <c r="N1444">
        <v>-9.0727280000000004E-3</v>
      </c>
      <c r="O1444">
        <v>2.5770520000000002E-2</v>
      </c>
      <c r="P1444">
        <v>-0.98083750000000003</v>
      </c>
      <c r="Q1444">
        <v>0.18494079999999999</v>
      </c>
      <c r="R1444">
        <v>6.1280469999999997E-2</v>
      </c>
      <c r="S1444">
        <v>-3.2352289999999999</v>
      </c>
      <c r="T1444">
        <v>-1.0543020000000001</v>
      </c>
      <c r="U1444">
        <v>0.36322019999999999</v>
      </c>
      <c r="V1444">
        <v>3.6161119999999998E-2</v>
      </c>
      <c r="W1444">
        <v>0.1938105</v>
      </c>
      <c r="X1444">
        <v>0.98037229999999997</v>
      </c>
      <c r="Y1444">
        <v>8.2809590000000002E-2</v>
      </c>
      <c r="Z1444">
        <v>5.5695329999999998E-3</v>
      </c>
      <c r="AA1444">
        <v>0.99654980000000004</v>
      </c>
      <c r="AB1444">
        <v>36</v>
      </c>
      <c r="AC1444">
        <v>-0.52840000000003295</v>
      </c>
      <c r="AD1444">
        <v>-0.29102860000000003</v>
      </c>
      <c r="AE1444">
        <v>9.0899999999976402E-2</v>
      </c>
      <c r="AF1444">
        <v>5.9671098560398698E-2</v>
      </c>
      <c r="AG1444">
        <v>-0.29102860000000003</v>
      </c>
      <c r="AH1444">
        <v>0.409820840376244</v>
      </c>
      <c r="AI1444">
        <v>125.096720451086</v>
      </c>
      <c r="AJ1444">
        <v>81.715783955967197</v>
      </c>
      <c r="AK1444">
        <v>0.50617329762449503</v>
      </c>
      <c r="AL1444">
        <v>78.824755213519595</v>
      </c>
      <c r="AM1444">
        <v>87.887597680431597</v>
      </c>
      <c r="AN1444">
        <v>0.99999999155859698</v>
      </c>
    </row>
    <row r="1445" spans="1:40" x14ac:dyDescent="0.25">
      <c r="A1445" t="str">
        <f>"20190303162530326"</f>
        <v>20190303162530326</v>
      </c>
      <c r="B1445" t="str">
        <f>"1551601530314720"</f>
        <v>1551601530314720</v>
      </c>
      <c r="C1445" t="s">
        <v>40</v>
      </c>
      <c r="D1445">
        <v>4.6084649999999998</v>
      </c>
      <c r="E1445">
        <v>0.52654250000000002</v>
      </c>
      <c r="F1445" t="s">
        <v>42</v>
      </c>
      <c r="G1445">
        <v>-284.67500000000001</v>
      </c>
      <c r="H1445">
        <v>0.840431699999999</v>
      </c>
      <c r="I1445">
        <v>283.26769999999999</v>
      </c>
      <c r="J1445">
        <v>-284.16520000000003</v>
      </c>
      <c r="K1445">
        <v>1.120053</v>
      </c>
      <c r="L1445">
        <v>283.17840000000001</v>
      </c>
      <c r="M1445">
        <v>-0.99961730000000004</v>
      </c>
      <c r="N1445">
        <v>-9.1128029999999992E-3</v>
      </c>
      <c r="O1445">
        <v>2.612188E-2</v>
      </c>
      <c r="P1445">
        <v>-0.98071779999999997</v>
      </c>
      <c r="Q1445">
        <v>0.18514820000000001</v>
      </c>
      <c r="R1445">
        <v>6.2552930000000007E-2</v>
      </c>
      <c r="S1445">
        <v>-3.2337950000000002</v>
      </c>
      <c r="T1445">
        <v>-1.0519430000000001</v>
      </c>
      <c r="U1445">
        <v>0.37078860000000002</v>
      </c>
      <c r="V1445">
        <v>3.7091140000000002E-2</v>
      </c>
      <c r="W1445">
        <v>0.19405520000000001</v>
      </c>
      <c r="X1445">
        <v>0.98028919999999997</v>
      </c>
      <c r="Y1445">
        <v>8.4737469999999995E-2</v>
      </c>
      <c r="Z1445">
        <v>5.7691690000000002E-3</v>
      </c>
      <c r="AA1445">
        <v>0.99638660000000001</v>
      </c>
      <c r="AB1445">
        <v>36</v>
      </c>
      <c r="AC1445">
        <v>-0.50979999999998404</v>
      </c>
      <c r="AD1445">
        <v>-0.27962130000000002</v>
      </c>
      <c r="AE1445">
        <v>8.9299999999980104E-2</v>
      </c>
      <c r="AF1445">
        <v>5.8791524900806399E-2</v>
      </c>
      <c r="AG1445">
        <v>-0.27962130000000002</v>
      </c>
      <c r="AH1445">
        <v>0.39628743749734202</v>
      </c>
      <c r="AI1445">
        <v>124.913621082544</v>
      </c>
      <c r="AJ1445">
        <v>81.561391383354604</v>
      </c>
      <c r="AK1445">
        <v>0.488557312842682</v>
      </c>
      <c r="AL1445">
        <v>78.810464206946506</v>
      </c>
      <c r="AM1445">
        <v>87.833136898212899</v>
      </c>
      <c r="AN1445">
        <v>1.0000000444750801</v>
      </c>
    </row>
    <row r="1446" spans="1:40" x14ac:dyDescent="0.25">
      <c r="A1446" t="str">
        <f>"20190303162530349"</f>
        <v>20190303162530349</v>
      </c>
      <c r="B1446" t="str">
        <f>"1551601530344000"</f>
        <v>1551601530344000</v>
      </c>
      <c r="C1446" t="s">
        <v>40</v>
      </c>
      <c r="D1446">
        <v>4.5560519999999904</v>
      </c>
      <c r="E1446">
        <v>0.52718999999999905</v>
      </c>
      <c r="F1446" t="s">
        <v>42</v>
      </c>
      <c r="G1446">
        <v>-285.00409999999999</v>
      </c>
      <c r="H1446">
        <v>0.84615779999999996</v>
      </c>
      <c r="I1446">
        <v>283.27629999999999</v>
      </c>
      <c r="J1446">
        <v>-284.55200000000002</v>
      </c>
      <c r="K1446">
        <v>1.120055</v>
      </c>
      <c r="L1446">
        <v>283.18880000000001</v>
      </c>
      <c r="M1446">
        <v>-0.99960669999999996</v>
      </c>
      <c r="N1446">
        <v>-9.1657949999999992E-3</v>
      </c>
      <c r="O1446">
        <v>2.6506269999999998E-2</v>
      </c>
      <c r="P1446">
        <v>-0.98075489999999999</v>
      </c>
      <c r="Q1446">
        <v>0.18468300000000001</v>
      </c>
      <c r="R1446">
        <v>6.334128E-2</v>
      </c>
      <c r="S1446">
        <v>-3.2343440000000001</v>
      </c>
      <c r="T1446">
        <v>-1.056006</v>
      </c>
      <c r="U1446">
        <v>0.37701420000000002</v>
      </c>
      <c r="V1446">
        <v>3.7499530000000003E-2</v>
      </c>
      <c r="W1446">
        <v>0.1936426</v>
      </c>
      <c r="X1446">
        <v>0.98035519999999998</v>
      </c>
      <c r="Y1446">
        <v>8.6149310000000007E-2</v>
      </c>
      <c r="Z1446">
        <v>5.9026649999999996E-3</v>
      </c>
      <c r="AA1446">
        <v>0.99626479999999995</v>
      </c>
      <c r="AB1446">
        <v>37</v>
      </c>
      <c r="AC1446">
        <v>-0.45209999999997302</v>
      </c>
      <c r="AD1446">
        <v>-0.27389719999999901</v>
      </c>
      <c r="AE1446">
        <v>8.7499999999977193E-2</v>
      </c>
      <c r="AF1446">
        <v>5.5758811137719799E-2</v>
      </c>
      <c r="AG1446">
        <v>-0.27389719999999901</v>
      </c>
      <c r="AH1446">
        <v>0.33554928641537102</v>
      </c>
      <c r="AI1446">
        <v>128.841836094911</v>
      </c>
      <c r="AJ1446">
        <v>80.565270410653895</v>
      </c>
      <c r="AK1446">
        <v>0.43671735115655302</v>
      </c>
      <c r="AL1446">
        <v>78.834560974733805</v>
      </c>
      <c r="AM1446">
        <v>87.809449227435906</v>
      </c>
      <c r="AN1446">
        <v>0.99999999472600998</v>
      </c>
    </row>
    <row r="1447" spans="1:40" x14ac:dyDescent="0.25">
      <c r="A1447" t="str">
        <f>"20190303162530372"</f>
        <v>20190303162530372</v>
      </c>
      <c r="B1447" t="str">
        <f>"1551601530364496"</f>
        <v>1551601530364496</v>
      </c>
      <c r="C1447" t="s">
        <v>40</v>
      </c>
      <c r="D1447">
        <v>4.574065</v>
      </c>
      <c r="E1447">
        <v>0.52771590000000002</v>
      </c>
      <c r="F1447" t="s">
        <v>42</v>
      </c>
      <c r="G1447">
        <v>-285.33760000000001</v>
      </c>
      <c r="H1447">
        <v>0.86180210000000002</v>
      </c>
      <c r="I1447">
        <v>283.28250000000003</v>
      </c>
      <c r="J1447">
        <v>-284.92540000000002</v>
      </c>
      <c r="K1447">
        <v>1.120066</v>
      </c>
      <c r="L1447">
        <v>283.19909999999999</v>
      </c>
      <c r="M1447">
        <v>-0.99959640000000005</v>
      </c>
      <c r="N1447">
        <v>-9.2256830000000001E-3</v>
      </c>
      <c r="O1447">
        <v>2.6872549999999999E-2</v>
      </c>
      <c r="P1447">
        <v>-0.98073390000000005</v>
      </c>
      <c r="Q1447">
        <v>0.1846633</v>
      </c>
      <c r="R1447">
        <v>6.3724939999999994E-2</v>
      </c>
      <c r="S1447">
        <v>-3.2341609999999998</v>
      </c>
      <c r="T1447">
        <v>-1.0631900000000001</v>
      </c>
      <c r="U1447">
        <v>0.38555909999999999</v>
      </c>
      <c r="V1447">
        <v>3.7522550000000002E-2</v>
      </c>
      <c r="W1447">
        <v>0.19368189999999999</v>
      </c>
      <c r="X1447">
        <v>0.98034659999999996</v>
      </c>
      <c r="Y1447">
        <v>8.8249910000000001E-2</v>
      </c>
      <c r="Z1447">
        <v>6.1723230000000004E-3</v>
      </c>
      <c r="AA1447">
        <v>0.9960793</v>
      </c>
      <c r="AB1447">
        <v>37</v>
      </c>
      <c r="AC1447">
        <v>-0.41219999999998402</v>
      </c>
      <c r="AD1447">
        <v>-0.25826389999999999</v>
      </c>
      <c r="AE1447">
        <v>8.3400000000040095E-2</v>
      </c>
      <c r="AF1447">
        <v>5.2495211330842298E-2</v>
      </c>
      <c r="AG1447">
        <v>-0.25826389999999999</v>
      </c>
      <c r="AH1447">
        <v>0.30083831200414102</v>
      </c>
      <c r="AI1447">
        <v>130.221264871898</v>
      </c>
      <c r="AJ1447">
        <v>80.101751993634807</v>
      </c>
      <c r="AK1447">
        <v>0.39994959585600398</v>
      </c>
      <c r="AL1447">
        <v>78.832266289974498</v>
      </c>
      <c r="AM1447">
        <v>87.808086606266201</v>
      </c>
      <c r="AN1447">
        <v>1.0000000381388301</v>
      </c>
    </row>
    <row r="1448" spans="1:40" x14ac:dyDescent="0.25">
      <c r="A1448" t="str">
        <f>"20190303162530392"</f>
        <v>20190303162530392</v>
      </c>
      <c r="B1448" t="str">
        <f>"1551601530384016"</f>
        <v>1551601530384016</v>
      </c>
      <c r="C1448" t="s">
        <v>40</v>
      </c>
      <c r="D1448">
        <v>4.5617470000000004</v>
      </c>
      <c r="E1448">
        <v>0.52820369999999905</v>
      </c>
      <c r="F1448" t="s">
        <v>42</v>
      </c>
      <c r="G1448">
        <v>-285.6705</v>
      </c>
      <c r="H1448">
        <v>0.87488790000000005</v>
      </c>
      <c r="I1448">
        <v>283.28879999999998</v>
      </c>
      <c r="J1448">
        <v>-285.27159999999998</v>
      </c>
      <c r="K1448">
        <v>1.1200760000000001</v>
      </c>
      <c r="L1448">
        <v>283.20859999999999</v>
      </c>
      <c r="M1448">
        <v>-0.9995868</v>
      </c>
      <c r="N1448">
        <v>-9.2885269999999995E-3</v>
      </c>
      <c r="O1448">
        <v>2.7203499999999999E-2</v>
      </c>
      <c r="P1448">
        <v>-0.98082239999999998</v>
      </c>
      <c r="Q1448">
        <v>0.1842414</v>
      </c>
      <c r="R1448">
        <v>6.3581239999999997E-2</v>
      </c>
      <c r="S1448">
        <v>-3.233978</v>
      </c>
      <c r="T1448">
        <v>-1.0641240000000001</v>
      </c>
      <c r="U1448">
        <v>0.38946530000000001</v>
      </c>
      <c r="V1448">
        <v>3.7048629999999999E-2</v>
      </c>
      <c r="W1448">
        <v>0.19332350000000001</v>
      </c>
      <c r="X1448">
        <v>0.98043530000000001</v>
      </c>
      <c r="Y1448">
        <v>8.9077980000000001E-2</v>
      </c>
      <c r="Z1448">
        <v>6.2150139999999996E-3</v>
      </c>
      <c r="AA1448">
        <v>0.99600520000000003</v>
      </c>
      <c r="AB1448">
        <v>37</v>
      </c>
      <c r="AC1448">
        <v>-0.39890000000002601</v>
      </c>
      <c r="AD1448">
        <v>-0.24518809999999999</v>
      </c>
      <c r="AE1448">
        <v>8.0199999999990695E-2</v>
      </c>
      <c r="AF1448">
        <v>5.0852389793576001E-2</v>
      </c>
      <c r="AG1448">
        <v>-0.24518809999999999</v>
      </c>
      <c r="AH1448">
        <v>0.294127806817997</v>
      </c>
      <c r="AI1448">
        <v>129.40051316772301</v>
      </c>
      <c r="AJ1448">
        <v>80.190978319794397</v>
      </c>
      <c r="AK1448">
        <v>0.38628271599036501</v>
      </c>
      <c r="AL1448">
        <v>78.853195997009493</v>
      </c>
      <c r="AM1448">
        <v>87.835940187356002</v>
      </c>
      <c r="AN1448">
        <v>0.99999997706160804</v>
      </c>
    </row>
    <row r="1449" spans="1:40" x14ac:dyDescent="0.25">
      <c r="A1449" t="str">
        <f>"20190303162530415"</f>
        <v>20190303162530415</v>
      </c>
      <c r="B1449" t="str">
        <f>"1551601530404512"</f>
        <v>1551601530404512</v>
      </c>
      <c r="C1449" t="s">
        <v>40</v>
      </c>
      <c r="D1449">
        <v>4.5781409999999996</v>
      </c>
      <c r="E1449">
        <v>0.52856449999999999</v>
      </c>
      <c r="F1449" t="s">
        <v>42</v>
      </c>
      <c r="G1449">
        <v>-286.00049999999999</v>
      </c>
      <c r="H1449">
        <v>0.88025580000000003</v>
      </c>
      <c r="I1449">
        <v>283.29750000000001</v>
      </c>
      <c r="J1449">
        <v>-285.62479999999999</v>
      </c>
      <c r="K1449">
        <v>1.1201019999999999</v>
      </c>
      <c r="L1449">
        <v>283.21859999999998</v>
      </c>
      <c r="M1449">
        <v>-0.9995773</v>
      </c>
      <c r="N1449">
        <v>-9.365188E-3</v>
      </c>
      <c r="O1449">
        <v>2.7527079999999999E-2</v>
      </c>
      <c r="P1449">
        <v>-0.98089780000000004</v>
      </c>
      <c r="Q1449">
        <v>0.183971</v>
      </c>
      <c r="R1449">
        <v>6.320199E-2</v>
      </c>
      <c r="S1449">
        <v>-3.23291</v>
      </c>
      <c r="T1449">
        <v>-1.0637000000000001</v>
      </c>
      <c r="U1449">
        <v>0.39352419999999999</v>
      </c>
      <c r="V1449">
        <v>3.6345089999999997E-2</v>
      </c>
      <c r="W1449">
        <v>0.1931303</v>
      </c>
      <c r="X1449">
        <v>0.98049969999999997</v>
      </c>
      <c r="Y1449">
        <v>8.999327E-2</v>
      </c>
      <c r="Z1449">
        <v>6.2701659999999998E-3</v>
      </c>
      <c r="AA1449">
        <v>0.99592259999999999</v>
      </c>
      <c r="AB1449">
        <v>37</v>
      </c>
      <c r="AC1449">
        <v>-0.37569999999999398</v>
      </c>
      <c r="AD1449">
        <v>-0.23984620000000001</v>
      </c>
      <c r="AE1449">
        <v>7.8900000000032805E-2</v>
      </c>
      <c r="AF1449">
        <v>4.9288567325458603E-2</v>
      </c>
      <c r="AG1449">
        <v>-0.23984620000000001</v>
      </c>
      <c r="AH1449">
        <v>0.27168203129364699</v>
      </c>
      <c r="AI1449">
        <v>130.978898849883</v>
      </c>
      <c r="AJ1449">
        <v>79.717236466408707</v>
      </c>
      <c r="AK1449">
        <v>0.36574128650082399</v>
      </c>
      <c r="AL1449">
        <v>78.864478085127303</v>
      </c>
      <c r="AM1449">
        <v>87.877136241366998</v>
      </c>
      <c r="AN1449">
        <v>0.99999997002264296</v>
      </c>
    </row>
    <row r="1450" spans="1:40" x14ac:dyDescent="0.25">
      <c r="A1450" t="str">
        <f>"20190303162530438"</f>
        <v>20190303162530438</v>
      </c>
      <c r="B1450" t="str">
        <f>"1551601530434768"</f>
        <v>1551601530434768</v>
      </c>
      <c r="C1450" t="s">
        <v>40</v>
      </c>
      <c r="D1450">
        <v>4.5834830000000002</v>
      </c>
      <c r="E1450">
        <v>0.52904240000000002</v>
      </c>
      <c r="F1450" t="s">
        <v>42</v>
      </c>
      <c r="G1450">
        <v>-286.33170000000001</v>
      </c>
      <c r="H1450">
        <v>0.88734219999999897</v>
      </c>
      <c r="I1450">
        <v>283.30520000000001</v>
      </c>
      <c r="J1450">
        <v>-286.0025</v>
      </c>
      <c r="K1450">
        <v>1.120134</v>
      </c>
      <c r="L1450">
        <v>283.22930000000002</v>
      </c>
      <c r="M1450">
        <v>-0.99956719999999999</v>
      </c>
      <c r="N1450">
        <v>-9.4728380000000008E-3</v>
      </c>
      <c r="O1450">
        <v>2.7853260000000001E-2</v>
      </c>
      <c r="P1450">
        <v>-0.9808751</v>
      </c>
      <c r="Q1450">
        <v>0.184195</v>
      </c>
      <c r="R1450">
        <v>6.2900040000000004E-2</v>
      </c>
      <c r="S1450">
        <v>-3.2326350000000001</v>
      </c>
      <c r="T1450">
        <v>-1.0643959999999999</v>
      </c>
      <c r="U1450">
        <v>0.39514159999999998</v>
      </c>
      <c r="V1450">
        <v>3.5717020000000002E-2</v>
      </c>
      <c r="W1450">
        <v>0.1934611</v>
      </c>
      <c r="X1450">
        <v>0.98045760000000004</v>
      </c>
      <c r="Y1450">
        <v>9.0168970000000001E-2</v>
      </c>
      <c r="Z1450">
        <v>6.2096159999999899E-3</v>
      </c>
      <c r="AA1450">
        <v>0.99590710000000005</v>
      </c>
      <c r="AB1450">
        <v>37</v>
      </c>
      <c r="AC1450">
        <v>-0.32920000000001398</v>
      </c>
      <c r="AD1450">
        <v>-0.23279179999999999</v>
      </c>
      <c r="AE1450">
        <v>7.5899999999990003E-2</v>
      </c>
      <c r="AF1450">
        <v>4.5226652606124698E-2</v>
      </c>
      <c r="AG1450">
        <v>-0.23279179999999999</v>
      </c>
      <c r="AH1450">
        <v>0.224561669925917</v>
      </c>
      <c r="AI1450">
        <v>135.46160424419301</v>
      </c>
      <c r="AJ1450">
        <v>78.612976002608903</v>
      </c>
      <c r="AK1450">
        <v>0.32659671745611801</v>
      </c>
      <c r="AL1450">
        <v>78.845160702648698</v>
      </c>
      <c r="AM1450">
        <v>87.913698694256695</v>
      </c>
      <c r="AN1450">
        <v>1.00000000406432</v>
      </c>
    </row>
    <row r="1451" spans="1:40" x14ac:dyDescent="0.25">
      <c r="A1451" t="str">
        <f>"20190303162530461"</f>
        <v>20190303162530461</v>
      </c>
      <c r="B1451" t="str">
        <f>"1551601530454288"</f>
        <v>1551601530454288</v>
      </c>
      <c r="C1451" t="s">
        <v>40</v>
      </c>
      <c r="D1451">
        <v>4.6206889999999996</v>
      </c>
      <c r="E1451">
        <v>0.52917219999999998</v>
      </c>
      <c r="F1451" t="s">
        <v>42</v>
      </c>
      <c r="G1451">
        <v>-286.66629999999998</v>
      </c>
      <c r="H1451">
        <v>0.90211160000000001</v>
      </c>
      <c r="I1451">
        <v>283.31099999999998</v>
      </c>
      <c r="J1451">
        <v>-286.37400000000002</v>
      </c>
      <c r="K1451">
        <v>1.120174</v>
      </c>
      <c r="L1451">
        <v>283.23989999999998</v>
      </c>
      <c r="M1451">
        <v>-0.99955769999999999</v>
      </c>
      <c r="N1451">
        <v>-9.6217390000000007E-3</v>
      </c>
      <c r="O1451">
        <v>2.8145460000000001E-2</v>
      </c>
      <c r="P1451">
        <v>-0.98091740000000005</v>
      </c>
      <c r="Q1451">
        <v>0.1837512</v>
      </c>
      <c r="R1451">
        <v>6.3539680000000001E-2</v>
      </c>
      <c r="S1451">
        <v>-3.2323300000000001</v>
      </c>
      <c r="T1451">
        <v>-1.0617449999999999</v>
      </c>
      <c r="U1451">
        <v>0.39773560000000002</v>
      </c>
      <c r="V1451">
        <v>3.6059170000000001E-2</v>
      </c>
      <c r="W1451">
        <v>0.19316539999999999</v>
      </c>
      <c r="X1451">
        <v>0.98050340000000002</v>
      </c>
      <c r="Y1451">
        <v>9.0676350000000003E-2</v>
      </c>
      <c r="Z1451">
        <v>6.2008460000000003E-3</v>
      </c>
      <c r="AA1451">
        <v>0.99586110000000005</v>
      </c>
      <c r="AB1451">
        <v>37</v>
      </c>
      <c r="AC1451">
        <v>-0.29229999999995399</v>
      </c>
      <c r="AD1451">
        <v>-0.21806239999999999</v>
      </c>
      <c r="AE1451">
        <v>7.1100000000001204E-2</v>
      </c>
      <c r="AF1451">
        <v>4.1197111952178199E-2</v>
      </c>
      <c r="AG1451">
        <v>-0.21806239999999999</v>
      </c>
      <c r="AH1451">
        <v>0.19285034607795101</v>
      </c>
      <c r="AI1451">
        <v>137.87584255707301</v>
      </c>
      <c r="AJ1451">
        <v>77.941596330795406</v>
      </c>
      <c r="AK1451">
        <v>0.29400623855514701</v>
      </c>
      <c r="AL1451">
        <v>78.862429043632005</v>
      </c>
      <c r="AM1451">
        <v>87.893829252816801</v>
      </c>
      <c r="AN1451">
        <v>1.0000000264549</v>
      </c>
    </row>
    <row r="1452" spans="1:40" x14ac:dyDescent="0.25">
      <c r="A1452" t="str">
        <f>"20190303162530484"</f>
        <v>20190303162530484</v>
      </c>
      <c r="B1452" t="str">
        <f>"1551601530474785"</f>
        <v>1551601530474785</v>
      </c>
      <c r="C1452" t="s">
        <v>40</v>
      </c>
      <c r="D1452">
        <v>4.6025660000000004</v>
      </c>
      <c r="E1452">
        <v>0.52929289999999996</v>
      </c>
      <c r="F1452" t="s">
        <v>42</v>
      </c>
      <c r="G1452">
        <v>-287.28980000000001</v>
      </c>
      <c r="H1452">
        <v>0.81859019999999905</v>
      </c>
      <c r="I1452">
        <v>283.3526</v>
      </c>
      <c r="J1452">
        <v>-286.76029999999997</v>
      </c>
      <c r="K1452">
        <v>1.120231</v>
      </c>
      <c r="L1452">
        <v>283.25110000000001</v>
      </c>
      <c r="M1452">
        <v>-0.99954799999999999</v>
      </c>
      <c r="N1452">
        <v>-9.8247040000000001E-3</v>
      </c>
      <c r="O1452">
        <v>2.8414269999999998E-2</v>
      </c>
      <c r="P1452">
        <v>-0.98107730000000004</v>
      </c>
      <c r="Q1452">
        <v>0.18272579999999999</v>
      </c>
      <c r="R1452">
        <v>6.4020190000000005E-2</v>
      </c>
      <c r="S1452">
        <v>-3.2320250000000001</v>
      </c>
      <c r="T1452">
        <v>-1.064344</v>
      </c>
      <c r="U1452">
        <v>0.39767459999999999</v>
      </c>
      <c r="V1452">
        <v>3.625863E-2</v>
      </c>
      <c r="W1452">
        <v>0.19234280000000001</v>
      </c>
      <c r="X1452">
        <v>0.98065769999999997</v>
      </c>
      <c r="Y1452">
        <v>9.0407509999999996E-2</v>
      </c>
      <c r="Z1452">
        <v>6.1015569999999996E-3</v>
      </c>
      <c r="AA1452">
        <v>0.9958861</v>
      </c>
      <c r="AB1452">
        <v>37</v>
      </c>
      <c r="AC1452">
        <v>-0.52950000000004105</v>
      </c>
      <c r="AD1452">
        <v>-0.30164079999999999</v>
      </c>
      <c r="AE1452">
        <v>0.101499999999987</v>
      </c>
      <c r="AF1452">
        <v>6.5812201018032701E-2</v>
      </c>
      <c r="AG1452">
        <v>-0.30164079999999999</v>
      </c>
      <c r="AH1452">
        <v>0.40530164382776002</v>
      </c>
      <c r="AI1452">
        <v>126.301602614674</v>
      </c>
      <c r="AJ1452">
        <v>80.776906138284502</v>
      </c>
      <c r="AK1452">
        <v>0.50949763543804805</v>
      </c>
      <c r="AL1452">
        <v>78.910460805850093</v>
      </c>
      <c r="AM1452">
        <v>87.882522544616506</v>
      </c>
      <c r="AN1452">
        <v>0.999999982765303</v>
      </c>
    </row>
    <row r="1453" spans="1:40" x14ac:dyDescent="0.25">
      <c r="A1453" t="str">
        <f>"20190303162530506"</f>
        <v>20190303162530506</v>
      </c>
      <c r="B1453" t="str">
        <f>"1551601530494304"</f>
        <v>1551601530494304</v>
      </c>
      <c r="C1453" t="s">
        <v>40</v>
      </c>
      <c r="D1453">
        <v>4.6047699999999896</v>
      </c>
      <c r="E1453">
        <v>0.52941359999999904</v>
      </c>
      <c r="F1453" t="s">
        <v>42</v>
      </c>
      <c r="G1453">
        <v>-287.62470000000002</v>
      </c>
      <c r="H1453">
        <v>0.83429430000000004</v>
      </c>
      <c r="I1453">
        <v>283.35849999999999</v>
      </c>
      <c r="J1453">
        <v>-287.11849999999998</v>
      </c>
      <c r="K1453">
        <v>1.1202890000000001</v>
      </c>
      <c r="L1453">
        <v>283.26150000000001</v>
      </c>
      <c r="M1453">
        <v>-0.99953970000000003</v>
      </c>
      <c r="N1453">
        <v>-1.004041E-2</v>
      </c>
      <c r="O1453">
        <v>2.8631859999999999E-2</v>
      </c>
      <c r="P1453">
        <v>-0.9810932</v>
      </c>
      <c r="Q1453">
        <v>0.18229919999999999</v>
      </c>
      <c r="R1453">
        <v>6.4985959999999995E-2</v>
      </c>
      <c r="S1453">
        <v>-3.2307739999999998</v>
      </c>
      <c r="T1453">
        <v>-1.068651</v>
      </c>
      <c r="U1453">
        <v>0.40042109999999997</v>
      </c>
      <c r="V1453">
        <v>3.6999230000000001E-2</v>
      </c>
      <c r="W1453">
        <v>0.19212989999999999</v>
      </c>
      <c r="X1453">
        <v>0.98067179999999998</v>
      </c>
      <c r="Y1453">
        <v>9.1015449999999998E-2</v>
      </c>
      <c r="Z1453">
        <v>6.1730999999999999E-3</v>
      </c>
      <c r="AA1453">
        <v>0.9958304</v>
      </c>
      <c r="AB1453">
        <v>37</v>
      </c>
      <c r="AC1453">
        <v>-0.50620000000003496</v>
      </c>
      <c r="AD1453">
        <v>-0.28599469999999899</v>
      </c>
      <c r="AE1453">
        <v>9.6999999999980005E-2</v>
      </c>
      <c r="AF1453">
        <v>6.3052238576888298E-2</v>
      </c>
      <c r="AG1453">
        <v>-0.28599469999999899</v>
      </c>
      <c r="AH1453">
        <v>0.38899740147482698</v>
      </c>
      <c r="AI1453">
        <v>125.969817924365</v>
      </c>
      <c r="AJ1453">
        <v>80.793052417655701</v>
      </c>
      <c r="AK1453">
        <v>0.48691634966574499</v>
      </c>
      <c r="AL1453">
        <v>78.922891225842605</v>
      </c>
      <c r="AM1453">
        <v>87.8393436671671</v>
      </c>
      <c r="AN1453">
        <v>1.00000001040492</v>
      </c>
    </row>
    <row r="1454" spans="1:40" x14ac:dyDescent="0.25">
      <c r="A1454" t="str">
        <f>"20190303162530526"</f>
        <v>20190303162530526</v>
      </c>
      <c r="B1454" t="str">
        <f>"1551601530513824"</f>
        <v>1551601530513824</v>
      </c>
      <c r="C1454" t="s">
        <v>40</v>
      </c>
      <c r="D1454">
        <v>4.6242749999999999</v>
      </c>
      <c r="E1454">
        <v>0.52941689999999997</v>
      </c>
      <c r="F1454" t="s">
        <v>42</v>
      </c>
      <c r="G1454">
        <v>-287.95659999999998</v>
      </c>
      <c r="H1454">
        <v>0.8427424</v>
      </c>
      <c r="I1454">
        <v>283.36689999999999</v>
      </c>
      <c r="J1454">
        <v>-287.45760000000001</v>
      </c>
      <c r="K1454">
        <v>1.12035</v>
      </c>
      <c r="L1454">
        <v>283.27140000000003</v>
      </c>
      <c r="M1454">
        <v>-0.99953230000000004</v>
      </c>
      <c r="N1454">
        <v>-1.028572E-2</v>
      </c>
      <c r="O1454">
        <v>2.8802370000000001E-2</v>
      </c>
      <c r="P1454">
        <v>-0.98118749999999999</v>
      </c>
      <c r="Q1454">
        <v>0.18169920000000001</v>
      </c>
      <c r="R1454">
        <v>6.5243469999999998E-2</v>
      </c>
      <c r="S1454">
        <v>-3.2296450000000001</v>
      </c>
      <c r="T1454">
        <v>-1.069475</v>
      </c>
      <c r="U1454">
        <v>0.40600589999999998</v>
      </c>
      <c r="V1454">
        <v>3.707601E-2</v>
      </c>
      <c r="W1454">
        <v>0.19177379999999999</v>
      </c>
      <c r="X1454">
        <v>0.98073860000000002</v>
      </c>
      <c r="Y1454">
        <v>9.2498960000000005E-2</v>
      </c>
      <c r="Z1454">
        <v>6.3899619999999999E-3</v>
      </c>
      <c r="AA1454">
        <v>0.99569229999999997</v>
      </c>
      <c r="AB1454">
        <v>37</v>
      </c>
      <c r="AC1454">
        <v>-0.49899999999996603</v>
      </c>
      <c r="AD1454">
        <v>-0.27760759999999901</v>
      </c>
      <c r="AE1454">
        <v>9.5499999999958604E-2</v>
      </c>
      <c r="AF1454">
        <v>6.2443721844879001E-2</v>
      </c>
      <c r="AG1454">
        <v>-0.27760759999999901</v>
      </c>
      <c r="AH1454">
        <v>0.38622919500045699</v>
      </c>
      <c r="AI1454">
        <v>125.357617012226</v>
      </c>
      <c r="AJ1454">
        <v>80.816155817813097</v>
      </c>
      <c r="AK1454">
        <v>0.47972720273745301</v>
      </c>
      <c r="AL1454">
        <v>78.943680858491902</v>
      </c>
      <c r="AM1454">
        <v>87.835011514095001</v>
      </c>
      <c r="AN1454">
        <v>1.00000001120696</v>
      </c>
    </row>
    <row r="1455" spans="1:40" x14ac:dyDescent="0.25">
      <c r="A1455" t="str">
        <f>"20190303162530550"</f>
        <v>20190303162530550</v>
      </c>
      <c r="B1455" t="str">
        <f>"1551601530544080"</f>
        <v>1551601530544080</v>
      </c>
      <c r="C1455" t="s">
        <v>40</v>
      </c>
      <c r="D1455">
        <v>4.6244440000000004</v>
      </c>
      <c r="E1455">
        <v>0.52944029999999997</v>
      </c>
      <c r="F1455" t="s">
        <v>42</v>
      </c>
      <c r="G1455">
        <v>-288.286</v>
      </c>
      <c r="H1455">
        <v>0.84516539999999996</v>
      </c>
      <c r="I1455">
        <v>283.3759</v>
      </c>
      <c r="J1455">
        <v>-287.85469999999998</v>
      </c>
      <c r="K1455">
        <v>1.1204419999999999</v>
      </c>
      <c r="L1455">
        <v>283.28300000000002</v>
      </c>
      <c r="M1455">
        <v>-0.99952410000000003</v>
      </c>
      <c r="N1455">
        <v>-1.0646600000000001E-2</v>
      </c>
      <c r="O1455">
        <v>2.8953610000000001E-2</v>
      </c>
      <c r="P1455">
        <v>-0.98126420000000003</v>
      </c>
      <c r="Q1455">
        <v>0.18103130000000001</v>
      </c>
      <c r="R1455">
        <v>6.5941890000000003E-2</v>
      </c>
      <c r="S1455">
        <v>-3.2291259999999999</v>
      </c>
      <c r="T1455">
        <v>-1.0726450000000001</v>
      </c>
      <c r="U1455">
        <v>0.40628049999999999</v>
      </c>
      <c r="V1455">
        <v>3.7607450000000001E-2</v>
      </c>
      <c r="W1455">
        <v>0.19146350000000001</v>
      </c>
      <c r="X1455">
        <v>0.98077899999999996</v>
      </c>
      <c r="Y1455">
        <v>9.2432479999999997E-2</v>
      </c>
      <c r="Z1455">
        <v>6.3757409999999999E-3</v>
      </c>
      <c r="AA1455">
        <v>0.99569859999999999</v>
      </c>
      <c r="AB1455">
        <v>37</v>
      </c>
      <c r="AC1455">
        <v>-0.431300000000021</v>
      </c>
      <c r="AD1455">
        <v>-0.27527659999999898</v>
      </c>
      <c r="AE1455">
        <v>9.2899999999985994E-2</v>
      </c>
      <c r="AF1455">
        <v>5.7851199610771301E-2</v>
      </c>
      <c r="AG1455">
        <v>-0.27527659999999898</v>
      </c>
      <c r="AH1455">
        <v>0.31225021711171003</v>
      </c>
      <c r="AI1455">
        <v>130.91998544558399</v>
      </c>
      <c r="AJ1455">
        <v>79.503717876226403</v>
      </c>
      <c r="AK1455">
        <v>0.42026677942739499</v>
      </c>
      <c r="AL1455">
        <v>78.961795503783804</v>
      </c>
      <c r="AM1455">
        <v>87.804099544310105</v>
      </c>
      <c r="AN1455">
        <v>1.0000000194843699</v>
      </c>
    </row>
    <row r="1456" spans="1:40" x14ac:dyDescent="0.25">
      <c r="A1456" t="str">
        <f>"20190303162530574"</f>
        <v>20190303162530574</v>
      </c>
      <c r="B1456" t="str">
        <f>"1551601530564577"</f>
        <v>1551601530564577</v>
      </c>
      <c r="C1456" t="s">
        <v>40</v>
      </c>
      <c r="D1456">
        <v>4.6086080000000003</v>
      </c>
      <c r="E1456">
        <v>0.52945790000000004</v>
      </c>
      <c r="F1456" t="s">
        <v>42</v>
      </c>
      <c r="G1456">
        <v>-288.62189999999998</v>
      </c>
      <c r="H1456">
        <v>0.86473539999999904</v>
      </c>
      <c r="I1456">
        <v>283.38010000000003</v>
      </c>
      <c r="J1456">
        <v>-288.23779999999999</v>
      </c>
      <c r="K1456">
        <v>1.120549</v>
      </c>
      <c r="L1456">
        <v>283.29430000000002</v>
      </c>
      <c r="M1456">
        <v>-0.99951650000000003</v>
      </c>
      <c r="N1456">
        <v>-1.105504E-2</v>
      </c>
      <c r="O1456">
        <v>2.9062359999999999E-2</v>
      </c>
      <c r="P1456">
        <v>-0.98148930000000001</v>
      </c>
      <c r="Q1456">
        <v>0.1797869</v>
      </c>
      <c r="R1456">
        <v>6.5997239999999999E-2</v>
      </c>
      <c r="S1456">
        <v>-3.2283940000000002</v>
      </c>
      <c r="T1456">
        <v>-1.076023</v>
      </c>
      <c r="U1456">
        <v>0.40792850000000003</v>
      </c>
      <c r="V1456">
        <v>3.7529409999999999E-2</v>
      </c>
      <c r="W1456">
        <v>0.1906262</v>
      </c>
      <c r="X1456">
        <v>0.98094510000000001</v>
      </c>
      <c r="Y1456">
        <v>9.2804419999999999E-2</v>
      </c>
      <c r="Z1456">
        <v>6.4527530000000003E-3</v>
      </c>
      <c r="AA1456">
        <v>0.99566350000000003</v>
      </c>
      <c r="AB1456">
        <v>37</v>
      </c>
      <c r="AC1456">
        <v>-0.38409999999998901</v>
      </c>
      <c r="AD1456">
        <v>-0.25581359999999997</v>
      </c>
      <c r="AE1456">
        <v>8.5800000000006094E-2</v>
      </c>
      <c r="AF1456">
        <v>5.2443585629931698E-2</v>
      </c>
      <c r="AG1456">
        <v>-0.25581359999999997</v>
      </c>
      <c r="AH1456">
        <v>0.27165939240479697</v>
      </c>
      <c r="AI1456">
        <v>132.75644191545001</v>
      </c>
      <c r="AJ1456">
        <v>79.0735171821363</v>
      </c>
      <c r="AK1456">
        <v>0.37681527715901802</v>
      </c>
      <c r="AL1456">
        <v>79.010669760737798</v>
      </c>
      <c r="AM1456">
        <v>87.809022547596101</v>
      </c>
      <c r="AN1456">
        <v>1.00000004697769</v>
      </c>
    </row>
    <row r="1457" spans="1:40" x14ac:dyDescent="0.25">
      <c r="A1457" t="str">
        <f>"20190303162530594"</f>
        <v>20190303162530594</v>
      </c>
      <c r="B1457" t="str">
        <f>"1551601530584097"</f>
        <v>1551601530584097</v>
      </c>
      <c r="C1457" t="s">
        <v>40</v>
      </c>
      <c r="D1457">
        <v>4.6442870000000003</v>
      </c>
      <c r="E1457">
        <v>0.52947040000000001</v>
      </c>
      <c r="F1457" t="s">
        <v>42</v>
      </c>
      <c r="G1457">
        <v>-288.95569999999998</v>
      </c>
      <c r="H1457">
        <v>0.88009629999999905</v>
      </c>
      <c r="I1457">
        <v>283.38549999999998</v>
      </c>
      <c r="J1457">
        <v>-288.57420000000002</v>
      </c>
      <c r="K1457">
        <v>1.1206469999999999</v>
      </c>
      <c r="L1457">
        <v>283.30419999999998</v>
      </c>
      <c r="M1457">
        <v>-0.99951020000000002</v>
      </c>
      <c r="N1457">
        <v>-1.142555E-2</v>
      </c>
      <c r="O1457">
        <v>2.9132910000000001E-2</v>
      </c>
      <c r="P1457">
        <v>-0.98159770000000002</v>
      </c>
      <c r="Q1457">
        <v>0.17925450000000001</v>
      </c>
      <c r="R1457">
        <v>6.5830159999999999E-2</v>
      </c>
      <c r="S1457">
        <v>-3.2271420000000002</v>
      </c>
      <c r="T1457">
        <v>-1.0807979999999999</v>
      </c>
      <c r="U1457">
        <v>0.4081726</v>
      </c>
      <c r="V1457">
        <v>3.7271409999999998E-2</v>
      </c>
      <c r="W1457">
        <v>0.19046189999999999</v>
      </c>
      <c r="X1457">
        <v>0.98098680000000005</v>
      </c>
      <c r="Y1457">
        <v>9.2816540000000003E-2</v>
      </c>
      <c r="Z1457">
        <v>6.4866209999999997E-3</v>
      </c>
      <c r="AA1457">
        <v>0.99566209999999999</v>
      </c>
      <c r="AB1457">
        <v>37</v>
      </c>
      <c r="AC1457">
        <v>-0.38149999999995998</v>
      </c>
      <c r="AD1457">
        <v>-0.24055070000000001</v>
      </c>
      <c r="AE1457">
        <v>8.1299999999998804E-2</v>
      </c>
      <c r="AF1457">
        <v>5.0822383944869202E-2</v>
      </c>
      <c r="AG1457">
        <v>-0.24055070000000001</v>
      </c>
      <c r="AH1457">
        <v>0.27798624542695499</v>
      </c>
      <c r="AI1457">
        <v>130.40523288077699</v>
      </c>
      <c r="AJ1457">
        <v>79.639412999366897</v>
      </c>
      <c r="AK1457">
        <v>0.37111171717813601</v>
      </c>
      <c r="AL1457">
        <v>79.020258598124997</v>
      </c>
      <c r="AM1457">
        <v>87.824162537543003</v>
      </c>
      <c r="AN1457">
        <v>0.99999999756461899</v>
      </c>
    </row>
    <row r="1458" spans="1:40" x14ac:dyDescent="0.25">
      <c r="A1458" t="str">
        <f>"20190303162530615"</f>
        <v>20190303162530615</v>
      </c>
      <c r="B1458" t="str">
        <f>"1551601530604592"</f>
        <v>1551601530604592</v>
      </c>
      <c r="C1458" t="s">
        <v>40</v>
      </c>
      <c r="D1458">
        <v>4.6521569999999999</v>
      </c>
      <c r="E1458">
        <v>0.52948549999999905</v>
      </c>
      <c r="F1458" t="s">
        <v>42</v>
      </c>
      <c r="G1458">
        <v>-289.28379999999999</v>
      </c>
      <c r="H1458">
        <v>0.88243259999999901</v>
      </c>
      <c r="I1458">
        <v>283.39440000000002</v>
      </c>
      <c r="J1458">
        <v>-288.91359999999997</v>
      </c>
      <c r="K1458">
        <v>1.1207309999999999</v>
      </c>
      <c r="L1458">
        <v>283.3141</v>
      </c>
      <c r="M1458">
        <v>-0.99950459999999997</v>
      </c>
      <c r="N1458">
        <v>-1.178326E-2</v>
      </c>
      <c r="O1458">
        <v>2.9182509999999998E-2</v>
      </c>
      <c r="P1458">
        <v>-0.98156239999999995</v>
      </c>
      <c r="Q1458">
        <v>0.17944209999999999</v>
      </c>
      <c r="R1458">
        <v>6.5848580000000004E-2</v>
      </c>
      <c r="S1458">
        <v>-3.2265320000000002</v>
      </c>
      <c r="T1458">
        <v>-1.0829839999999999</v>
      </c>
      <c r="U1458">
        <v>0.40963749999999999</v>
      </c>
      <c r="V1458">
        <v>3.7226290000000002E-2</v>
      </c>
      <c r="W1458">
        <v>0.19100300000000001</v>
      </c>
      <c r="X1458">
        <v>0.98088330000000001</v>
      </c>
      <c r="Y1458">
        <v>9.3192700000000003E-2</v>
      </c>
      <c r="Z1458">
        <v>6.5735109999999998E-3</v>
      </c>
      <c r="AA1458">
        <v>0.99562640000000002</v>
      </c>
      <c r="AB1458">
        <v>37</v>
      </c>
      <c r="AC1458">
        <v>-0.37020000000001102</v>
      </c>
      <c r="AD1458">
        <v>-0.23829839999999999</v>
      </c>
      <c r="AE1458">
        <v>8.0300000000022395E-2</v>
      </c>
      <c r="AF1458">
        <v>4.97671753222379E-2</v>
      </c>
      <c r="AG1458">
        <v>-0.23829839999999999</v>
      </c>
      <c r="AH1458">
        <v>0.26680309028696803</v>
      </c>
      <c r="AI1458">
        <v>131.28370863436399</v>
      </c>
      <c r="AJ1458">
        <v>79.4339615802797</v>
      </c>
      <c r="AK1458">
        <v>0.36117417982019401</v>
      </c>
      <c r="AL1458">
        <v>78.988676037366503</v>
      </c>
      <c r="AM1458">
        <v>87.826564943810496</v>
      </c>
      <c r="AN1458">
        <v>0.99999999544752705</v>
      </c>
    </row>
    <row r="1459" spans="1:40" x14ac:dyDescent="0.25">
      <c r="A1459" t="str">
        <f>"20190303162530639"</f>
        <v>20190303162530639</v>
      </c>
      <c r="B1459" t="str">
        <f>"1551601530633873"</f>
        <v>1551601530633873</v>
      </c>
      <c r="C1459" t="s">
        <v>40</v>
      </c>
      <c r="D1459">
        <v>4.6728480000000001</v>
      </c>
      <c r="E1459">
        <v>0.52954259999999997</v>
      </c>
      <c r="F1459" t="s">
        <v>42</v>
      </c>
      <c r="G1459">
        <v>-289.61219999999997</v>
      </c>
      <c r="H1459">
        <v>0.88636990000000004</v>
      </c>
      <c r="I1459">
        <v>283.40339999999998</v>
      </c>
      <c r="J1459">
        <v>-289.29770000000002</v>
      </c>
      <c r="K1459">
        <v>1.120806</v>
      </c>
      <c r="L1459">
        <v>283.3254</v>
      </c>
      <c r="M1459">
        <v>-0.99949929999999998</v>
      </c>
      <c r="N1459">
        <v>-1.215718E-2</v>
      </c>
      <c r="O1459">
        <v>2.921352E-2</v>
      </c>
      <c r="P1459">
        <v>-0.98153480000000004</v>
      </c>
      <c r="Q1459">
        <v>0.1796652</v>
      </c>
      <c r="R1459">
        <v>6.5649269999999996E-2</v>
      </c>
      <c r="S1459">
        <v>-3.2266539999999999</v>
      </c>
      <c r="T1459">
        <v>-1.082473</v>
      </c>
      <c r="U1459">
        <v>0.41107179999999999</v>
      </c>
      <c r="V1459">
        <v>3.6984019999999999E-2</v>
      </c>
      <c r="W1459">
        <v>0.1915955</v>
      </c>
      <c r="X1459">
        <v>0.98077689999999995</v>
      </c>
      <c r="Y1459">
        <v>9.3567590000000006E-2</v>
      </c>
      <c r="Z1459">
        <v>6.6528530000000002E-3</v>
      </c>
      <c r="AA1459">
        <v>0.99559070000000005</v>
      </c>
      <c r="AB1459">
        <v>37</v>
      </c>
      <c r="AC1459">
        <v>-0.31449999999995198</v>
      </c>
      <c r="AD1459">
        <v>-0.23443609999999901</v>
      </c>
      <c r="AE1459">
        <v>7.7999999999974506E-2</v>
      </c>
      <c r="AF1459">
        <v>4.5146164457901899E-2</v>
      </c>
      <c r="AG1459">
        <v>-0.23443609999999901</v>
      </c>
      <c r="AH1459">
        <v>0.207845682006356</v>
      </c>
      <c r="AI1459">
        <v>137.78409693891899</v>
      </c>
      <c r="AJ1459">
        <v>77.745144829311798</v>
      </c>
      <c r="AK1459">
        <v>0.316541132678135</v>
      </c>
      <c r="AL1459">
        <v>78.9540894797383</v>
      </c>
      <c r="AM1459">
        <v>87.840462270846899</v>
      </c>
      <c r="AN1459">
        <v>0.99999999046460997</v>
      </c>
    </row>
    <row r="1460" spans="1:40" x14ac:dyDescent="0.25">
      <c r="A1460" t="str">
        <f>"20190303162530661"</f>
        <v>20190303162530661</v>
      </c>
      <c r="B1460" t="str">
        <f>"1551601530654368"</f>
        <v>1551601530654368</v>
      </c>
      <c r="C1460" t="s">
        <v>40</v>
      </c>
      <c r="D1460">
        <v>4.7030070000000004</v>
      </c>
      <c r="E1460">
        <v>0.52959639999999997</v>
      </c>
      <c r="F1460" t="s">
        <v>42</v>
      </c>
      <c r="G1460">
        <v>-290.23270000000002</v>
      </c>
      <c r="H1460">
        <v>0.8074325</v>
      </c>
      <c r="I1460">
        <v>283.44450000000001</v>
      </c>
      <c r="J1460">
        <v>-289.66969999999998</v>
      </c>
      <c r="K1460">
        <v>1.1208579999999999</v>
      </c>
      <c r="L1460">
        <v>283.33629999999999</v>
      </c>
      <c r="M1460">
        <v>-0.99949509999999997</v>
      </c>
      <c r="N1460">
        <v>-1.248323E-2</v>
      </c>
      <c r="O1460">
        <v>2.922201E-2</v>
      </c>
      <c r="P1460">
        <v>-0.98149540000000002</v>
      </c>
      <c r="Q1460">
        <v>0.18014279999999999</v>
      </c>
      <c r="R1460">
        <v>6.492916E-2</v>
      </c>
      <c r="S1460">
        <v>-3.2269899999999998</v>
      </c>
      <c r="T1460">
        <v>-1.0815459999999999</v>
      </c>
      <c r="U1460">
        <v>0.41036990000000001</v>
      </c>
      <c r="V1460">
        <v>3.6248839999999997E-2</v>
      </c>
      <c r="W1460">
        <v>0.19239329999999999</v>
      </c>
      <c r="X1460">
        <v>0.98064819999999997</v>
      </c>
      <c r="Y1460">
        <v>9.334431E-2</v>
      </c>
      <c r="Z1460">
        <v>6.632331E-3</v>
      </c>
      <c r="AA1460">
        <v>0.99561180000000005</v>
      </c>
      <c r="AB1460">
        <v>37</v>
      </c>
      <c r="AC1460">
        <v>-0.56300000000004502</v>
      </c>
      <c r="AD1460">
        <v>-0.31342549999999902</v>
      </c>
      <c r="AE1460">
        <v>0.10820000000001</v>
      </c>
      <c r="AF1460">
        <v>7.0599550441154305E-2</v>
      </c>
      <c r="AG1460">
        <v>-0.31342549999999902</v>
      </c>
      <c r="AH1460">
        <v>0.43569887298035398</v>
      </c>
      <c r="AI1460">
        <v>125.378591636526</v>
      </c>
      <c r="AJ1460">
        <v>80.795933927385803</v>
      </c>
      <c r="AK1460">
        <v>0.54134402046119801</v>
      </c>
      <c r="AL1460">
        <v>78.907512787415996</v>
      </c>
      <c r="AM1460">
        <v>87.883073264412104</v>
      </c>
      <c r="AN1460">
        <v>1.0000000262247299</v>
      </c>
    </row>
    <row r="1461" spans="1:40" x14ac:dyDescent="0.25">
      <c r="A1461" t="str">
        <f>"20190303162530683"</f>
        <v>20190303162530683</v>
      </c>
      <c r="B1461" t="str">
        <f>"1551601530674864"</f>
        <v>1551601530674864</v>
      </c>
      <c r="C1461" t="s">
        <v>40</v>
      </c>
      <c r="D1461">
        <v>4.7243079999999997</v>
      </c>
      <c r="E1461">
        <v>0.52961080000000005</v>
      </c>
      <c r="F1461" t="s">
        <v>42</v>
      </c>
      <c r="G1461">
        <v>-290.5641</v>
      </c>
      <c r="H1461">
        <v>0.8216869</v>
      </c>
      <c r="I1461">
        <v>283.44979999999998</v>
      </c>
      <c r="J1461">
        <v>-290.03489999999999</v>
      </c>
      <c r="K1461">
        <v>1.1208910000000001</v>
      </c>
      <c r="L1461">
        <v>283.34699999999998</v>
      </c>
      <c r="M1461">
        <v>-0.99949160000000004</v>
      </c>
      <c r="N1461">
        <v>-1.2771909999999999E-2</v>
      </c>
      <c r="O1461">
        <v>2.92182E-2</v>
      </c>
      <c r="P1461">
        <v>-0.98148060000000004</v>
      </c>
      <c r="Q1461">
        <v>0.18067520000000001</v>
      </c>
      <c r="R1461">
        <v>6.3660149999999999E-2</v>
      </c>
      <c r="S1461">
        <v>-3.2276609999999999</v>
      </c>
      <c r="T1461">
        <v>-1.079623</v>
      </c>
      <c r="U1461">
        <v>0.40878300000000001</v>
      </c>
      <c r="V1461">
        <v>3.4979410000000002E-2</v>
      </c>
      <c r="W1461">
        <v>0.1932094</v>
      </c>
      <c r="X1461">
        <v>0.98053380000000001</v>
      </c>
      <c r="Y1461">
        <v>9.2872860000000002E-2</v>
      </c>
      <c r="Z1461">
        <v>6.565474E-3</v>
      </c>
      <c r="AA1461">
        <v>0.99565630000000005</v>
      </c>
      <c r="AB1461">
        <v>36</v>
      </c>
      <c r="AC1461">
        <v>-0.529200000000003</v>
      </c>
      <c r="AD1461">
        <v>-0.29920409999999997</v>
      </c>
      <c r="AE1461">
        <v>0.102800000000001</v>
      </c>
      <c r="AF1461">
        <v>6.6735336661776307E-2</v>
      </c>
      <c r="AG1461">
        <v>-0.29920409999999997</v>
      </c>
      <c r="AH1461">
        <v>0.40669810994452299</v>
      </c>
      <c r="AI1461">
        <v>125.97897532380399</v>
      </c>
      <c r="AJ1461">
        <v>80.681346156401005</v>
      </c>
      <c r="AK1461">
        <v>0.50929367878329102</v>
      </c>
      <c r="AL1461">
        <v>78.859859126609507</v>
      </c>
      <c r="AM1461">
        <v>87.956905691598905</v>
      </c>
      <c r="AN1461">
        <v>0.99999998215737396</v>
      </c>
    </row>
    <row r="1462" spans="1:40" x14ac:dyDescent="0.25">
      <c r="A1462" t="str">
        <f>"20190303162530705"</f>
        <v>20190303162530705</v>
      </c>
      <c r="B1462" t="str">
        <f>"1551601530694384"</f>
        <v>1551601530694384</v>
      </c>
      <c r="C1462" t="s">
        <v>40</v>
      </c>
      <c r="D1462">
        <v>4.7713640000000002</v>
      </c>
      <c r="E1462">
        <v>0.52962869999999995</v>
      </c>
      <c r="F1462" t="s">
        <v>42</v>
      </c>
      <c r="G1462">
        <v>-290.89429999999999</v>
      </c>
      <c r="H1462">
        <v>0.8339955</v>
      </c>
      <c r="I1462">
        <v>283.45530000000002</v>
      </c>
      <c r="J1462">
        <v>-290.37790000000001</v>
      </c>
      <c r="K1462">
        <v>1.1209229999999999</v>
      </c>
      <c r="L1462">
        <v>283.35700000000003</v>
      </c>
      <c r="M1462">
        <v>-0.9994885</v>
      </c>
      <c r="N1462">
        <v>-1.3014970000000001E-2</v>
      </c>
      <c r="O1462">
        <v>2.9211290000000001E-2</v>
      </c>
      <c r="P1462">
        <v>-0.98136480000000004</v>
      </c>
      <c r="Q1462">
        <v>0.1816574</v>
      </c>
      <c r="R1462">
        <v>6.2640550000000003E-2</v>
      </c>
      <c r="S1462">
        <v>-3.2286990000000002</v>
      </c>
      <c r="T1462">
        <v>-1.077834</v>
      </c>
      <c r="U1462">
        <v>0.40600589999999998</v>
      </c>
      <c r="V1462">
        <v>3.3966679999999999E-2</v>
      </c>
      <c r="W1462">
        <v>0.19442889999999999</v>
      </c>
      <c r="X1462">
        <v>0.98032830000000004</v>
      </c>
      <c r="Y1462">
        <v>9.2049400000000003E-2</v>
      </c>
      <c r="Z1462">
        <v>6.4370549999999997E-3</v>
      </c>
      <c r="AA1462">
        <v>0.9957336</v>
      </c>
      <c r="AB1462">
        <v>36</v>
      </c>
      <c r="AC1462">
        <v>-0.51639999999997599</v>
      </c>
      <c r="AD1462">
        <v>-0.286927499999999</v>
      </c>
      <c r="AE1462">
        <v>9.8299999999994697E-2</v>
      </c>
      <c r="AF1462">
        <v>6.4080568736518406E-2</v>
      </c>
      <c r="AG1462">
        <v>-0.286927499999999</v>
      </c>
      <c r="AH1462">
        <v>0.399907186982977</v>
      </c>
      <c r="AI1462">
        <v>125.3155758292</v>
      </c>
      <c r="AJ1462">
        <v>80.896393904000504</v>
      </c>
      <c r="AK1462">
        <v>0.49634611688466301</v>
      </c>
      <c r="AL1462">
        <v>78.788636020969193</v>
      </c>
      <c r="AM1462">
        <v>88.015594180524005</v>
      </c>
      <c r="AN1462">
        <v>0.99999995414316001</v>
      </c>
    </row>
    <row r="1463" spans="1:40" x14ac:dyDescent="0.25">
      <c r="A1463" t="str">
        <f>"20190303162530728"</f>
        <v>20190303162530728</v>
      </c>
      <c r="B1463" t="str">
        <f>"1551601530714880"</f>
        <v>1551601530714880</v>
      </c>
      <c r="C1463" t="s">
        <v>40</v>
      </c>
      <c r="D1463">
        <v>4.7995970000000003</v>
      </c>
      <c r="E1463">
        <v>0.52965430000000002</v>
      </c>
      <c r="F1463" t="s">
        <v>42</v>
      </c>
      <c r="G1463">
        <v>-291.2217</v>
      </c>
      <c r="H1463">
        <v>0.84016159999999995</v>
      </c>
      <c r="I1463">
        <v>283.46249999999998</v>
      </c>
      <c r="J1463">
        <v>-290.74680000000001</v>
      </c>
      <c r="K1463">
        <v>1.1209519999999999</v>
      </c>
      <c r="L1463">
        <v>283.36779999999999</v>
      </c>
      <c r="M1463">
        <v>-0.99948579999999998</v>
      </c>
      <c r="N1463">
        <v>-1.324694E-2</v>
      </c>
      <c r="O1463">
        <v>2.9205149999999999E-2</v>
      </c>
      <c r="P1463">
        <v>-0.98115359999999996</v>
      </c>
      <c r="Q1463">
        <v>0.1828227</v>
      </c>
      <c r="R1463">
        <v>6.2559900000000002E-2</v>
      </c>
      <c r="S1463">
        <v>-3.2301329999999999</v>
      </c>
      <c r="T1463">
        <v>-1.0747500000000001</v>
      </c>
      <c r="U1463">
        <v>0.40371699999999999</v>
      </c>
      <c r="V1463">
        <v>3.3894809999999997E-2</v>
      </c>
      <c r="W1463">
        <v>0.19581979999999999</v>
      </c>
      <c r="X1463">
        <v>0.98005399999999998</v>
      </c>
      <c r="Y1463">
        <v>9.1360350000000007E-2</v>
      </c>
      <c r="Z1463">
        <v>6.3237069999999996E-3</v>
      </c>
      <c r="AA1463">
        <v>0.99579779999999996</v>
      </c>
      <c r="AB1463">
        <v>36</v>
      </c>
      <c r="AC1463">
        <v>-0.474899999999991</v>
      </c>
      <c r="AD1463">
        <v>-0.2807904</v>
      </c>
      <c r="AE1463">
        <v>9.4699999999988904E-2</v>
      </c>
      <c r="AF1463">
        <v>6.04606876201816E-2</v>
      </c>
      <c r="AG1463">
        <v>-0.2807904</v>
      </c>
      <c r="AH1463">
        <v>0.35732357479138799</v>
      </c>
      <c r="AI1463">
        <v>127.76861127853699</v>
      </c>
      <c r="AJ1463">
        <v>80.396269848097802</v>
      </c>
      <c r="AK1463">
        <v>0.45845270266556598</v>
      </c>
      <c r="AL1463">
        <v>78.707382545531402</v>
      </c>
      <c r="AM1463">
        <v>88.019235847861196</v>
      </c>
      <c r="AN1463">
        <v>1.0000000475664801</v>
      </c>
    </row>
    <row r="1464" spans="1:40" x14ac:dyDescent="0.25">
      <c r="A1464" t="str">
        <f>"20190303162530751"</f>
        <v>20190303162530751</v>
      </c>
      <c r="B1464" t="str">
        <f>"1551601530744160"</f>
        <v>1551601530744160</v>
      </c>
      <c r="C1464" t="s">
        <v>40</v>
      </c>
      <c r="D1464">
        <v>4.8301280000000002</v>
      </c>
      <c r="E1464">
        <v>0.52965810000000002</v>
      </c>
      <c r="F1464" t="s">
        <v>42</v>
      </c>
      <c r="G1464">
        <v>-291.55180000000001</v>
      </c>
      <c r="H1464">
        <v>0.85411689999999996</v>
      </c>
      <c r="I1464">
        <v>283.46820000000002</v>
      </c>
      <c r="J1464">
        <v>-291.13170000000002</v>
      </c>
      <c r="K1464">
        <v>1.120968</v>
      </c>
      <c r="L1464">
        <v>283.37909999999999</v>
      </c>
      <c r="M1464">
        <v>-0.99948300000000001</v>
      </c>
      <c r="N1464">
        <v>-1.3459189999999999E-2</v>
      </c>
      <c r="O1464">
        <v>2.9202280000000001E-2</v>
      </c>
      <c r="P1464">
        <v>-0.98103819999999997</v>
      </c>
      <c r="Q1464">
        <v>0.18340010000000001</v>
      </c>
      <c r="R1464">
        <v>6.2679949999999998E-2</v>
      </c>
      <c r="S1464">
        <v>-3.2316280000000002</v>
      </c>
      <c r="T1464">
        <v>-1.0711250000000001</v>
      </c>
      <c r="U1464">
        <v>0.40142820000000001</v>
      </c>
      <c r="V1464">
        <v>3.4017840000000001E-2</v>
      </c>
      <c r="W1464">
        <v>0.1966039</v>
      </c>
      <c r="X1464">
        <v>0.97989269999999995</v>
      </c>
      <c r="Y1464">
        <v>9.0669990000000006E-2</v>
      </c>
      <c r="Z1464">
        <v>6.2055749999999996E-3</v>
      </c>
      <c r="AA1464">
        <v>0.99586160000000001</v>
      </c>
      <c r="AB1464">
        <v>36</v>
      </c>
      <c r="AC1464">
        <v>-0.42009999999998998</v>
      </c>
      <c r="AD1464">
        <v>-0.26685110000000001</v>
      </c>
      <c r="AE1464">
        <v>8.9100000000030294E-2</v>
      </c>
      <c r="AF1464">
        <v>5.5401375665725297E-2</v>
      </c>
      <c r="AG1464">
        <v>-0.26685110000000001</v>
      </c>
      <c r="AH1464">
        <v>0.30482402783225299</v>
      </c>
      <c r="AI1464">
        <v>130.73886464194101</v>
      </c>
      <c r="AJ1464">
        <v>79.699006313161703</v>
      </c>
      <c r="AK1464">
        <v>0.40889669837349202</v>
      </c>
      <c r="AL1464">
        <v>78.661565841965995</v>
      </c>
      <c r="AM1464">
        <v>88.011724935937394</v>
      </c>
      <c r="AN1464">
        <v>1.00000000522338</v>
      </c>
    </row>
    <row r="1465" spans="1:40" x14ac:dyDescent="0.25">
      <c r="A1465" t="str">
        <f>"20190303162530774"</f>
        <v>20190303162530774</v>
      </c>
      <c r="B1465" t="str">
        <f>"1551601530764657"</f>
        <v>1551601530764657</v>
      </c>
      <c r="C1465" t="s">
        <v>40</v>
      </c>
      <c r="D1465">
        <v>4.8670229999999997</v>
      </c>
      <c r="E1465">
        <v>0.52964460000000002</v>
      </c>
      <c r="F1465" t="s">
        <v>42</v>
      </c>
      <c r="G1465">
        <v>-291.88330000000002</v>
      </c>
      <c r="H1465">
        <v>0.87207129999999999</v>
      </c>
      <c r="I1465">
        <v>283.47230000000002</v>
      </c>
      <c r="J1465">
        <v>-291.49549999999999</v>
      </c>
      <c r="K1465">
        <v>1.1209819999999999</v>
      </c>
      <c r="L1465">
        <v>283.3897</v>
      </c>
      <c r="M1465">
        <v>-0.99948049999999999</v>
      </c>
      <c r="N1465">
        <v>-1.363408E-2</v>
      </c>
      <c r="O1465">
        <v>2.9201999999999999E-2</v>
      </c>
      <c r="P1465">
        <v>-0.98097350000000005</v>
      </c>
      <c r="Q1465">
        <v>0.18342939999999999</v>
      </c>
      <c r="R1465">
        <v>6.3596529999999998E-2</v>
      </c>
      <c r="S1465">
        <v>-3.232513</v>
      </c>
      <c r="T1465">
        <v>-1.070565</v>
      </c>
      <c r="U1465">
        <v>0.40097050000000001</v>
      </c>
      <c r="V1465">
        <v>3.4933659999999998E-2</v>
      </c>
      <c r="W1465">
        <v>0.19680439999999999</v>
      </c>
      <c r="X1465">
        <v>0.97982020000000003</v>
      </c>
      <c r="Y1465">
        <v>9.0507779999999996E-2</v>
      </c>
      <c r="Z1465">
        <v>6.1877080000000001E-3</v>
      </c>
      <c r="AA1465">
        <v>0.9958766</v>
      </c>
      <c r="AB1465">
        <v>36</v>
      </c>
      <c r="AC1465">
        <v>-0.38780000000002701</v>
      </c>
      <c r="AD1465">
        <v>-0.24891069999999901</v>
      </c>
      <c r="AE1465">
        <v>8.2600000000013496E-2</v>
      </c>
      <c r="AF1465">
        <v>5.1100608776675001E-2</v>
      </c>
      <c r="AG1465">
        <v>-0.24891069999999901</v>
      </c>
      <c r="AH1465">
        <v>0.27978472249799702</v>
      </c>
      <c r="AI1465">
        <v>131.19155101500701</v>
      </c>
      <c r="AJ1465">
        <v>79.649436109333493</v>
      </c>
      <c r="AK1465">
        <v>0.37795145155842202</v>
      </c>
      <c r="AL1465">
        <v>78.649848818903607</v>
      </c>
      <c r="AM1465">
        <v>87.958090842296102</v>
      </c>
      <c r="AN1465">
        <v>0.99999997839419696</v>
      </c>
    </row>
    <row r="1466" spans="1:40" x14ac:dyDescent="0.25">
      <c r="A1466" t="str">
        <f>"20190303162530795"</f>
        <v>20190303162530795</v>
      </c>
      <c r="B1466" t="str">
        <f>"1551601530784177"</f>
        <v>1551601530784177</v>
      </c>
      <c r="C1466" t="s">
        <v>40</v>
      </c>
      <c r="D1466">
        <v>4.901103</v>
      </c>
      <c r="E1466">
        <v>0.52963780000000005</v>
      </c>
      <c r="F1466" t="s">
        <v>42</v>
      </c>
      <c r="G1466">
        <v>-292.21159999999998</v>
      </c>
      <c r="H1466">
        <v>0.88350869999999904</v>
      </c>
      <c r="I1466">
        <v>283.4796</v>
      </c>
      <c r="J1466">
        <v>-291.84809999999999</v>
      </c>
      <c r="K1466">
        <v>1.1209960000000001</v>
      </c>
      <c r="L1466">
        <v>283.39999999999998</v>
      </c>
      <c r="M1466">
        <v>-0.99947850000000005</v>
      </c>
      <c r="N1466">
        <v>-1.378192E-2</v>
      </c>
      <c r="O1466">
        <v>2.9202510000000001E-2</v>
      </c>
      <c r="P1466">
        <v>-0.98097710000000005</v>
      </c>
      <c r="Q1466">
        <v>0.18318180000000001</v>
      </c>
      <c r="R1466">
        <v>6.4253649999999995E-2</v>
      </c>
      <c r="S1466">
        <v>-3.2323909999999998</v>
      </c>
      <c r="T1466">
        <v>-1.071831</v>
      </c>
      <c r="U1466">
        <v>0.4038696</v>
      </c>
      <c r="V1466">
        <v>3.5588130000000003E-2</v>
      </c>
      <c r="W1466">
        <v>0.19670209999999999</v>
      </c>
      <c r="X1466">
        <v>0.97981719999999894</v>
      </c>
      <c r="Y1466">
        <v>9.1334700000000005E-2</v>
      </c>
      <c r="Z1466">
        <v>6.3433480000000004E-3</v>
      </c>
      <c r="AA1466">
        <v>0.99580000000000002</v>
      </c>
      <c r="AB1466">
        <v>36</v>
      </c>
      <c r="AC1466">
        <v>-0.363499999999987</v>
      </c>
      <c r="AD1466">
        <v>-0.23748730000000001</v>
      </c>
      <c r="AE1466">
        <v>7.9600000000027593E-2</v>
      </c>
      <c r="AF1466">
        <v>4.8993963596758797E-2</v>
      </c>
      <c r="AG1466">
        <v>-0.23748730000000001</v>
      </c>
      <c r="AH1466">
        <v>0.25983505067777501</v>
      </c>
      <c r="AI1466">
        <v>131.929080926784</v>
      </c>
      <c r="AJ1466">
        <v>79.321798743438904</v>
      </c>
      <c r="AK1466">
        <v>0.35540804674477</v>
      </c>
      <c r="AL1466">
        <v>78.655827146832493</v>
      </c>
      <c r="AM1466">
        <v>87.919863316379093</v>
      </c>
      <c r="AN1466">
        <v>0.99999998827857295</v>
      </c>
    </row>
    <row r="1467" spans="1:40" x14ac:dyDescent="0.25">
      <c r="A1467" t="str">
        <f>"20190303162530819"</f>
        <v>20190303162530819</v>
      </c>
      <c r="B1467" t="str">
        <f>"1551601530804672"</f>
        <v>1551601530804672</v>
      </c>
      <c r="C1467" t="s">
        <v>40</v>
      </c>
      <c r="D1467">
        <v>4.9180929999999998</v>
      </c>
      <c r="E1467">
        <v>0.52962609999999999</v>
      </c>
      <c r="F1467" t="s">
        <v>42</v>
      </c>
      <c r="G1467">
        <v>-292.53829999999999</v>
      </c>
      <c r="H1467">
        <v>0.89164009999999905</v>
      </c>
      <c r="I1467">
        <v>283.48719999999997</v>
      </c>
      <c r="J1467">
        <v>-292.21699999999998</v>
      </c>
      <c r="K1467">
        <v>1.1209990000000001</v>
      </c>
      <c r="L1467">
        <v>283.41079999999999</v>
      </c>
      <c r="M1467">
        <v>-0.9994767</v>
      </c>
      <c r="N1467">
        <v>-1.391658E-2</v>
      </c>
      <c r="O1467">
        <v>2.9203360000000001E-2</v>
      </c>
      <c r="P1467">
        <v>-0.98101260000000001</v>
      </c>
      <c r="Q1467">
        <v>0.18263789999999999</v>
      </c>
      <c r="R1467">
        <v>6.5255250000000001E-2</v>
      </c>
      <c r="S1467">
        <v>-3.2320250000000001</v>
      </c>
      <c r="T1467">
        <v>-1.073814</v>
      </c>
      <c r="U1467">
        <v>0.40686040000000001</v>
      </c>
      <c r="V1467">
        <v>3.6586229999999997E-2</v>
      </c>
      <c r="W1467">
        <v>0.1962911</v>
      </c>
      <c r="X1467">
        <v>0.97986289999999998</v>
      </c>
      <c r="Y1467">
        <v>9.2191519999999999E-2</v>
      </c>
      <c r="Z1467">
        <v>6.5071909999999998E-3</v>
      </c>
      <c r="AA1467">
        <v>0.99572000000000005</v>
      </c>
      <c r="AB1467">
        <v>36</v>
      </c>
      <c r="AC1467">
        <v>-0.32130000000000702</v>
      </c>
      <c r="AD1467">
        <v>-0.2293589</v>
      </c>
      <c r="AE1467">
        <v>7.6399999999978194E-2</v>
      </c>
      <c r="AF1467">
        <v>4.5188665102271298E-2</v>
      </c>
      <c r="AG1467">
        <v>-0.2293589</v>
      </c>
      <c r="AH1467">
        <v>0.218169619832218</v>
      </c>
      <c r="AI1467">
        <v>135.83101375632501</v>
      </c>
      <c r="AJ1467">
        <v>78.2980084052367</v>
      </c>
      <c r="AK1467">
        <v>0.319758508066118</v>
      </c>
      <c r="AL1467">
        <v>78.679844358480295</v>
      </c>
      <c r="AM1467">
        <v>87.861677142730002</v>
      </c>
      <c r="AN1467">
        <v>1.0000000254806101</v>
      </c>
    </row>
    <row r="1468" spans="1:40" x14ac:dyDescent="0.25">
      <c r="A1468" t="str">
        <f>"20190303162530839"</f>
        <v>20190303162530839</v>
      </c>
      <c r="B1468" t="str">
        <f>"1551601530833953"</f>
        <v>1551601530833953</v>
      </c>
      <c r="C1468" t="s">
        <v>40</v>
      </c>
      <c r="D1468">
        <v>4.9574280000000002</v>
      </c>
      <c r="E1468">
        <v>0.52959780000000001</v>
      </c>
      <c r="F1468" t="s">
        <v>42</v>
      </c>
      <c r="G1468">
        <v>-293.1506</v>
      </c>
      <c r="H1468">
        <v>0.80977129999999997</v>
      </c>
      <c r="I1468">
        <v>283.52910000000003</v>
      </c>
      <c r="J1468">
        <v>-292.5548</v>
      </c>
      <c r="K1468">
        <v>1.1210009999999999</v>
      </c>
      <c r="L1468">
        <v>283.42070000000001</v>
      </c>
      <c r="M1468">
        <v>-0.99947520000000001</v>
      </c>
      <c r="N1468">
        <v>-1.4022730000000001E-2</v>
      </c>
      <c r="O1468">
        <v>2.9203409999999999E-2</v>
      </c>
      <c r="P1468">
        <v>-0.98113870000000003</v>
      </c>
      <c r="Q1468">
        <v>0.18191550000000001</v>
      </c>
      <c r="R1468">
        <v>6.5374219999999997E-2</v>
      </c>
      <c r="S1468">
        <v>-3.2313540000000001</v>
      </c>
      <c r="T1468">
        <v>-1.0772280000000001</v>
      </c>
      <c r="U1468">
        <v>0.40933229999999998</v>
      </c>
      <c r="V1468">
        <v>3.6700459999999997E-2</v>
      </c>
      <c r="W1468">
        <v>0.19567480000000001</v>
      </c>
      <c r="X1468">
        <v>0.97998180000000001</v>
      </c>
      <c r="Y1468">
        <v>9.2901869999999998E-2</v>
      </c>
      <c r="Z1468">
        <v>6.6525990000000004E-3</v>
      </c>
      <c r="AA1468">
        <v>0.99565300000000001</v>
      </c>
      <c r="AB1468">
        <v>36</v>
      </c>
      <c r="AC1468">
        <v>-0.595799999999997</v>
      </c>
      <c r="AD1468">
        <v>-0.311229699999999</v>
      </c>
      <c r="AE1468">
        <v>0.108400000000017</v>
      </c>
      <c r="AF1468">
        <v>7.1948814254141097E-2</v>
      </c>
      <c r="AG1468">
        <v>-0.311229699999999</v>
      </c>
      <c r="AH1468">
        <v>0.47361567806944199</v>
      </c>
      <c r="AI1468">
        <v>123.01104459410701</v>
      </c>
      <c r="AJ1468">
        <v>81.3620181231895</v>
      </c>
      <c r="AK1468">
        <v>0.57127258690387395</v>
      </c>
      <c r="AL1468">
        <v>78.715853092187899</v>
      </c>
      <c r="AM1468">
        <v>87.855267076448399</v>
      </c>
      <c r="AN1468">
        <v>0.99999993972524404</v>
      </c>
    </row>
    <row r="1469" spans="1:40" x14ac:dyDescent="0.25">
      <c r="A1469" t="str">
        <f>"20190303162530862"</f>
        <v>20190303162530862</v>
      </c>
      <c r="B1469" t="str">
        <f>"1551601530854448"</f>
        <v>1551601530854448</v>
      </c>
      <c r="C1469" t="s">
        <v>40</v>
      </c>
      <c r="D1469">
        <v>4.9628240000000003</v>
      </c>
      <c r="E1469">
        <v>0.52957980000000004</v>
      </c>
      <c r="F1469" t="s">
        <v>42</v>
      </c>
      <c r="G1469">
        <v>-293.47410000000002</v>
      </c>
      <c r="H1469">
        <v>0.81304960000000004</v>
      </c>
      <c r="I1469">
        <v>283.5376</v>
      </c>
      <c r="J1469">
        <v>-292.92520000000002</v>
      </c>
      <c r="K1469">
        <v>1.121003</v>
      </c>
      <c r="L1469">
        <v>283.43150000000003</v>
      </c>
      <c r="M1469">
        <v>-0.99947379999999997</v>
      </c>
      <c r="N1469">
        <v>-1.41233E-2</v>
      </c>
      <c r="O1469">
        <v>2.92035E-2</v>
      </c>
      <c r="P1469">
        <v>-0.98122399999999999</v>
      </c>
      <c r="Q1469">
        <v>0.18138199999999999</v>
      </c>
      <c r="R1469">
        <v>6.5576289999999995E-2</v>
      </c>
      <c r="S1469">
        <v>-3.2310180000000002</v>
      </c>
      <c r="T1469">
        <v>-1.082276</v>
      </c>
      <c r="U1469">
        <v>0.40988160000000001</v>
      </c>
      <c r="V1469">
        <v>3.6899340000000003E-2</v>
      </c>
      <c r="W1469">
        <v>0.19524130000000001</v>
      </c>
      <c r="X1469">
        <v>0.98006090000000001</v>
      </c>
      <c r="Y1469">
        <v>9.303778E-2</v>
      </c>
      <c r="Z1469">
        <v>6.7087079999999999E-3</v>
      </c>
      <c r="AA1469">
        <v>0.99563999999999997</v>
      </c>
      <c r="AB1469">
        <v>36</v>
      </c>
      <c r="AC1469">
        <v>-0.54890000000000305</v>
      </c>
      <c r="AD1469">
        <v>-0.30795339999999899</v>
      </c>
      <c r="AE1469">
        <v>0.106099999999969</v>
      </c>
      <c r="AF1469">
        <v>6.9066708684066502E-2</v>
      </c>
      <c r="AG1469">
        <v>-0.30795339999999899</v>
      </c>
      <c r="AH1469">
        <v>0.423318752192334</v>
      </c>
      <c r="AI1469">
        <v>125.67761346284701</v>
      </c>
      <c r="AJ1469">
        <v>80.733536164469001</v>
      </c>
      <c r="AK1469">
        <v>0.52801919735714598</v>
      </c>
      <c r="AL1469">
        <v>78.741180529651302</v>
      </c>
      <c r="AM1469">
        <v>87.843829571390501</v>
      </c>
      <c r="AN1469">
        <v>1.00000004711346</v>
      </c>
    </row>
    <row r="1470" spans="1:40" x14ac:dyDescent="0.25">
      <c r="A1470" t="str">
        <f>"20190303162530883"</f>
        <v>20190303162530883</v>
      </c>
      <c r="B1470" t="str">
        <f>"1551601530873968"</f>
        <v>1551601530873968</v>
      </c>
      <c r="C1470" t="s">
        <v>40</v>
      </c>
      <c r="D1470">
        <v>4.9644760000000003</v>
      </c>
      <c r="E1470">
        <v>0.52955959999999902</v>
      </c>
      <c r="F1470" t="s">
        <v>42</v>
      </c>
      <c r="G1470">
        <v>-293.80149999999998</v>
      </c>
      <c r="H1470">
        <v>0.82660469999999897</v>
      </c>
      <c r="I1470">
        <v>283.5428</v>
      </c>
      <c r="J1470">
        <v>-293.26400000000001</v>
      </c>
      <c r="K1470">
        <v>1.1210119999999999</v>
      </c>
      <c r="L1470">
        <v>283.44139999999999</v>
      </c>
      <c r="M1470">
        <v>-0.99947249999999999</v>
      </c>
      <c r="N1470">
        <v>-1.4202909999999999E-2</v>
      </c>
      <c r="O1470">
        <v>2.920356E-2</v>
      </c>
      <c r="P1470">
        <v>-0.98125899999999999</v>
      </c>
      <c r="Q1470">
        <v>0.18116409999999999</v>
      </c>
      <c r="R1470">
        <v>6.5649570000000004E-2</v>
      </c>
      <c r="S1470">
        <v>-3.230591</v>
      </c>
      <c r="T1470">
        <v>-1.085272</v>
      </c>
      <c r="U1470">
        <v>0.40994259999999899</v>
      </c>
      <c r="V1470">
        <v>3.6970870000000003E-2</v>
      </c>
      <c r="W1470">
        <v>0.19510240000000001</v>
      </c>
      <c r="X1470">
        <v>0.98008580000000001</v>
      </c>
      <c r="Y1470">
        <v>9.3049519999999997E-2</v>
      </c>
      <c r="Z1470">
        <v>6.732292E-3</v>
      </c>
      <c r="AA1470">
        <v>0.99563869999999999</v>
      </c>
      <c r="AB1470">
        <v>36</v>
      </c>
      <c r="AC1470">
        <v>-0.53749999999996501</v>
      </c>
      <c r="AD1470">
        <v>-0.29440729999999998</v>
      </c>
      <c r="AE1470">
        <v>0.10140000000001199</v>
      </c>
      <c r="AF1470">
        <v>6.6417042263139506E-2</v>
      </c>
      <c r="AG1470">
        <v>-0.29440729999999998</v>
      </c>
      <c r="AH1470">
        <v>0.41888119284577502</v>
      </c>
      <c r="AI1470">
        <v>124.767229778729</v>
      </c>
      <c r="AJ1470">
        <v>80.990288956985296</v>
      </c>
      <c r="AK1470">
        <v>0.51628319313742299</v>
      </c>
      <c r="AL1470">
        <v>78.749294236583495</v>
      </c>
      <c r="AM1470">
        <v>87.839708588435599</v>
      </c>
      <c r="AN1470">
        <v>0.99999998353797803</v>
      </c>
    </row>
    <row r="1471" spans="1:40" x14ac:dyDescent="0.25">
      <c r="A1471" t="str">
        <f>"20190303162530906"</f>
        <v>20190303162530906</v>
      </c>
      <c r="B1471" t="str">
        <f>"1551601530894464"</f>
        <v>1551601530894464</v>
      </c>
      <c r="C1471" t="s">
        <v>40</v>
      </c>
      <c r="D1471">
        <v>4.9947780000000002</v>
      </c>
      <c r="E1471">
        <v>0.52954239999999997</v>
      </c>
      <c r="F1471" t="s">
        <v>42</v>
      </c>
      <c r="G1471">
        <v>-294.12490000000003</v>
      </c>
      <c r="H1471">
        <v>0.8312235</v>
      </c>
      <c r="I1471">
        <v>283.55090000000001</v>
      </c>
      <c r="J1471">
        <v>-293.6207</v>
      </c>
      <c r="K1471">
        <v>1.121019</v>
      </c>
      <c r="L1471">
        <v>283.45179999999999</v>
      </c>
      <c r="M1471">
        <v>-0.99947149999999996</v>
      </c>
      <c r="N1471">
        <v>-1.427544E-2</v>
      </c>
      <c r="O1471">
        <v>2.9203380000000001E-2</v>
      </c>
      <c r="P1471">
        <v>-0.981236</v>
      </c>
      <c r="Q1471">
        <v>0.18141379999999999</v>
      </c>
      <c r="R1471">
        <v>6.5309350000000002E-2</v>
      </c>
      <c r="S1471">
        <v>-3.2306210000000002</v>
      </c>
      <c r="T1471">
        <v>-1.0874509999999999</v>
      </c>
      <c r="U1471">
        <v>0.40985110000000002</v>
      </c>
      <c r="V1471">
        <v>3.66316E-2</v>
      </c>
      <c r="W1471">
        <v>0.19542280000000001</v>
      </c>
      <c r="X1471">
        <v>0.98003470000000004</v>
      </c>
      <c r="Y1471">
        <v>9.3007119999999999E-2</v>
      </c>
      <c r="Z1471">
        <v>6.741403E-3</v>
      </c>
      <c r="AA1471">
        <v>0.99564260000000004</v>
      </c>
      <c r="AB1471">
        <v>36</v>
      </c>
      <c r="AC1471">
        <v>-0.50420000000002496</v>
      </c>
      <c r="AD1471">
        <v>-0.28979549999999998</v>
      </c>
      <c r="AE1471">
        <v>9.9100000000021199E-2</v>
      </c>
      <c r="AF1471">
        <v>6.3981570401700494E-2</v>
      </c>
      <c r="AG1471">
        <v>-0.28979549999999998</v>
      </c>
      <c r="AH1471">
        <v>0.38456312738958498</v>
      </c>
      <c r="AI1471">
        <v>126.62536754073101</v>
      </c>
      <c r="AJ1471">
        <v>80.553955558938497</v>
      </c>
      <c r="AK1471">
        <v>0.48576112660337001</v>
      </c>
      <c r="AL1471">
        <v>78.730576316765806</v>
      </c>
      <c r="AM1471">
        <v>87.859402871881301</v>
      </c>
      <c r="AN1471">
        <v>0.99999997904124405</v>
      </c>
    </row>
    <row r="1472" spans="1:40" x14ac:dyDescent="0.25">
      <c r="A1472" t="str">
        <f>"20190303162530928"</f>
        <v>20190303162530928</v>
      </c>
      <c r="B1472" t="str">
        <f>"1551601530924598"</f>
        <v>1551601530924598</v>
      </c>
      <c r="C1472" t="s">
        <v>40</v>
      </c>
      <c r="D1472">
        <v>4.9784160000000002</v>
      </c>
      <c r="E1472">
        <v>0.52946150000000003</v>
      </c>
      <c r="F1472" t="s">
        <v>42</v>
      </c>
      <c r="G1472">
        <v>-294.45030000000003</v>
      </c>
      <c r="H1472">
        <v>0.84172579999999997</v>
      </c>
      <c r="I1472">
        <v>283.5566</v>
      </c>
      <c r="J1472">
        <v>-293.98289999999997</v>
      </c>
      <c r="K1472">
        <v>1.121027</v>
      </c>
      <c r="L1472">
        <v>283.4624</v>
      </c>
      <c r="M1472">
        <v>-0.99947079999999999</v>
      </c>
      <c r="N1472">
        <v>-1.4338460000000001E-2</v>
      </c>
      <c r="O1472">
        <v>2.9203380000000001E-2</v>
      </c>
      <c r="P1472">
        <v>-0.98137799999999997</v>
      </c>
      <c r="Q1472">
        <v>0.1808293</v>
      </c>
      <c r="R1472">
        <v>6.4794329999999997E-2</v>
      </c>
      <c r="S1472">
        <v>-3.231293</v>
      </c>
      <c r="T1472">
        <v>-1.08789</v>
      </c>
      <c r="U1472">
        <v>0.4086304</v>
      </c>
      <c r="V1472">
        <v>3.6112279999999997E-2</v>
      </c>
      <c r="W1472">
        <v>0.19490179999999999</v>
      </c>
      <c r="X1472">
        <v>0.98015770000000002</v>
      </c>
      <c r="Y1472">
        <v>9.2629290000000003E-2</v>
      </c>
      <c r="Z1472">
        <v>6.6829159999999997E-3</v>
      </c>
      <c r="AA1472">
        <v>0.99567819999999996</v>
      </c>
      <c r="AB1472">
        <v>36</v>
      </c>
      <c r="AC1472">
        <v>-0.46740000000005399</v>
      </c>
      <c r="AD1472">
        <v>-0.27930120000000003</v>
      </c>
      <c r="AE1472">
        <v>9.42000000000007E-2</v>
      </c>
      <c r="AF1472">
        <v>5.99405151603273E-2</v>
      </c>
      <c r="AG1472">
        <v>-0.27930120000000003</v>
      </c>
      <c r="AH1472">
        <v>0.34988935640258001</v>
      </c>
      <c r="AI1472">
        <v>128.195450123895</v>
      </c>
      <c r="AJ1472">
        <v>80.278867035665201</v>
      </c>
      <c r="AK1472">
        <v>0.45169080951790103</v>
      </c>
      <c r="AL1472">
        <v>78.761012494251403</v>
      </c>
      <c r="AM1472">
        <v>87.889986700726794</v>
      </c>
      <c r="AN1472">
        <v>0.99999996263966295</v>
      </c>
    </row>
    <row r="1473" spans="1:40" x14ac:dyDescent="0.25">
      <c r="A1473" t="str">
        <f>"20190303162530952"</f>
        <v>20190303162530952</v>
      </c>
      <c r="B1473" t="str">
        <f>"1551601530945095"</f>
        <v>1551601530945095</v>
      </c>
      <c r="C1473" t="s">
        <v>40</v>
      </c>
      <c r="D1473">
        <v>5.0132329999999996</v>
      </c>
      <c r="E1473">
        <v>0.5294063</v>
      </c>
      <c r="F1473" t="s">
        <v>42</v>
      </c>
      <c r="G1473">
        <v>-294.7756</v>
      </c>
      <c r="H1473">
        <v>0.85314920000000005</v>
      </c>
      <c r="I1473">
        <v>283.56229999999999</v>
      </c>
      <c r="J1473">
        <v>-294.36799999999999</v>
      </c>
      <c r="K1473">
        <v>1.1210329999999999</v>
      </c>
      <c r="L1473">
        <v>283.47359999999998</v>
      </c>
      <c r="M1473">
        <v>-0.99946979999999996</v>
      </c>
      <c r="N1473">
        <v>-1.43956E-2</v>
      </c>
      <c r="O1473">
        <v>2.920379E-2</v>
      </c>
      <c r="P1473">
        <v>-0.98142929999999995</v>
      </c>
      <c r="Q1473">
        <v>0.1807308</v>
      </c>
      <c r="R1473">
        <v>6.4289319999999997E-2</v>
      </c>
      <c r="S1473">
        <v>-3.2312319999999999</v>
      </c>
      <c r="T1473">
        <v>-1.091836</v>
      </c>
      <c r="U1473">
        <v>0.40664670000000003</v>
      </c>
      <c r="V1473">
        <v>3.5605440000000002E-2</v>
      </c>
      <c r="W1473">
        <v>0.19486010000000001</v>
      </c>
      <c r="X1473">
        <v>0.98018459999999996</v>
      </c>
      <c r="Y1473">
        <v>9.2035820000000004E-2</v>
      </c>
      <c r="Z1473">
        <v>6.6050800000000002E-3</v>
      </c>
      <c r="AA1473">
        <v>0.9957338</v>
      </c>
      <c r="AB1473">
        <v>36</v>
      </c>
      <c r="AC1473">
        <v>-0.40760000000000202</v>
      </c>
      <c r="AD1473">
        <v>-0.26788379999999901</v>
      </c>
      <c r="AE1473">
        <v>8.8700000000017099E-2</v>
      </c>
      <c r="AF1473">
        <v>5.4344996560252802E-2</v>
      </c>
      <c r="AG1473">
        <v>-0.26788379999999901</v>
      </c>
      <c r="AH1473">
        <v>0.29029567927993899</v>
      </c>
      <c r="AI1473">
        <v>132.20926125044801</v>
      </c>
      <c r="AJ1473">
        <v>79.396636833773698</v>
      </c>
      <c r="AK1473">
        <v>0.39873135111522801</v>
      </c>
      <c r="AL1473">
        <v>78.763449176860703</v>
      </c>
      <c r="AM1473">
        <v>87.919631816730003</v>
      </c>
      <c r="AN1473">
        <v>1.0000000280033801</v>
      </c>
    </row>
    <row r="1474" spans="1:40" x14ac:dyDescent="0.25">
      <c r="A1474" t="str">
        <f>"20190303162530975"</f>
        <v>20190303162530975</v>
      </c>
      <c r="B1474" t="str">
        <f>"1551601530964613"</f>
        <v>1551601530964613</v>
      </c>
      <c r="C1474" t="s">
        <v>40</v>
      </c>
      <c r="D1474">
        <v>5.0386550000000003</v>
      </c>
      <c r="E1474">
        <v>0.52934609999999904</v>
      </c>
      <c r="F1474" t="s">
        <v>42</v>
      </c>
      <c r="G1474">
        <v>-295.10379999999998</v>
      </c>
      <c r="H1474">
        <v>0.87214059999999904</v>
      </c>
      <c r="I1474">
        <v>283.56569999999999</v>
      </c>
      <c r="J1474">
        <v>-294.72289999999998</v>
      </c>
      <c r="K1474">
        <v>1.1210420000000001</v>
      </c>
      <c r="L1474">
        <v>283.48399999999998</v>
      </c>
      <c r="M1474">
        <v>-0.99946919999999995</v>
      </c>
      <c r="N1474">
        <v>-1.4440430000000001E-2</v>
      </c>
      <c r="O1474">
        <v>2.920381E-2</v>
      </c>
      <c r="P1474">
        <v>-0.98135110000000003</v>
      </c>
      <c r="Q1474">
        <v>0.18127289999999999</v>
      </c>
      <c r="R1474">
        <v>6.3957410000000006E-2</v>
      </c>
      <c r="S1474">
        <v>-3.231598</v>
      </c>
      <c r="T1474">
        <v>-1.093235</v>
      </c>
      <c r="U1474">
        <v>0.4045105</v>
      </c>
      <c r="V1474">
        <v>3.5275870000000001E-2</v>
      </c>
      <c r="W1474">
        <v>0.1954447</v>
      </c>
      <c r="X1474">
        <v>0.98008010000000001</v>
      </c>
      <c r="Y1474">
        <v>9.1400410000000001E-2</v>
      </c>
      <c r="Z1474">
        <v>6.5058499999999997E-3</v>
      </c>
      <c r="AA1474">
        <v>0.99579300000000004</v>
      </c>
      <c r="AB1474">
        <v>36</v>
      </c>
      <c r="AC1474">
        <v>-0.38089999999999602</v>
      </c>
      <c r="AD1474">
        <v>-0.24890139999999999</v>
      </c>
      <c r="AE1474">
        <v>8.1699999999955197E-2</v>
      </c>
      <c r="AF1474">
        <v>5.0091654352180201E-2</v>
      </c>
      <c r="AG1474">
        <v>-0.24890139999999999</v>
      </c>
      <c r="AH1474">
        <v>0.27206167783616902</v>
      </c>
      <c r="AI1474">
        <v>131.97922589167499</v>
      </c>
      <c r="AJ1474">
        <v>79.567610892996996</v>
      </c>
      <c r="AK1474">
        <v>0.372127178938504</v>
      </c>
      <c r="AL1474">
        <v>78.729297221941593</v>
      </c>
      <c r="AM1474">
        <v>87.938651795832698</v>
      </c>
      <c r="AN1474">
        <v>1.0000000100891699</v>
      </c>
    </row>
    <row r="1475" spans="1:40" x14ac:dyDescent="0.25">
      <c r="A1475" t="str">
        <f>"20190303162530995"</f>
        <v>20190303162530995</v>
      </c>
      <c r="B1475" t="str">
        <f>"1551601530984134"</f>
        <v>1551601530984134</v>
      </c>
      <c r="C1475" t="s">
        <v>40</v>
      </c>
      <c r="D1475">
        <v>5.0942780000000001</v>
      </c>
      <c r="E1475">
        <v>0.52928739999999996</v>
      </c>
      <c r="F1475" t="s">
        <v>42</v>
      </c>
      <c r="G1475">
        <v>-295.42809999999997</v>
      </c>
      <c r="H1475">
        <v>0.88278250000000003</v>
      </c>
      <c r="I1475">
        <v>283.57209999999998</v>
      </c>
      <c r="J1475">
        <v>-295.06110000000001</v>
      </c>
      <c r="K1475">
        <v>1.121054</v>
      </c>
      <c r="L1475">
        <v>283.4939</v>
      </c>
      <c r="M1475">
        <v>-0.99946860000000004</v>
      </c>
      <c r="N1475">
        <v>-1.4476940000000001E-2</v>
      </c>
      <c r="O1475">
        <v>2.920383E-2</v>
      </c>
      <c r="P1475">
        <v>-0.98128190000000004</v>
      </c>
      <c r="Q1475">
        <v>0.1816786</v>
      </c>
      <c r="R1475">
        <v>6.3865619999999998E-2</v>
      </c>
      <c r="S1475">
        <v>-3.2324519999999999</v>
      </c>
      <c r="T1475">
        <v>-1.092069</v>
      </c>
      <c r="U1475">
        <v>0.4027405</v>
      </c>
      <c r="V1475">
        <v>3.5185809999999998E-2</v>
      </c>
      <c r="W1475">
        <v>0.19588520000000001</v>
      </c>
      <c r="X1475">
        <v>0.97999539999999996</v>
      </c>
      <c r="Y1475">
        <v>9.0869430000000001E-2</v>
      </c>
      <c r="Z1475">
        <v>6.4109780000000003E-3</v>
      </c>
      <c r="AA1475">
        <v>0.99584220000000001</v>
      </c>
      <c r="AB1475">
        <v>36</v>
      </c>
      <c r="AC1475">
        <v>-0.36699999999996102</v>
      </c>
      <c r="AD1475">
        <v>-0.2382715</v>
      </c>
      <c r="AE1475">
        <v>7.8199999999981104E-2</v>
      </c>
      <c r="AF1475">
        <v>4.80668152967667E-2</v>
      </c>
      <c r="AG1475">
        <v>-0.2382715</v>
      </c>
      <c r="AH1475">
        <v>0.26305977245617901</v>
      </c>
      <c r="AI1475">
        <v>131.70158759205299</v>
      </c>
      <c r="AJ1475">
        <v>79.645032076224894</v>
      </c>
      <c r="AK1475">
        <v>0.35816779633255702</v>
      </c>
      <c r="AL1475">
        <v>78.703561065320898</v>
      </c>
      <c r="AM1475">
        <v>87.9437323830293</v>
      </c>
      <c r="AN1475">
        <v>1.00000001841277</v>
      </c>
    </row>
    <row r="1476" spans="1:40" x14ac:dyDescent="0.25">
      <c r="A1476" t="str">
        <f>"20190303162531018"</f>
        <v>20190303162531018</v>
      </c>
      <c r="B1476" t="str">
        <f>"1551601531014390"</f>
        <v>1551601531014390</v>
      </c>
      <c r="C1476" t="s">
        <v>40</v>
      </c>
      <c r="D1476">
        <v>5.1363880000000002</v>
      </c>
      <c r="E1476">
        <v>0.51965539999999999</v>
      </c>
      <c r="F1476" t="s">
        <v>42</v>
      </c>
      <c r="G1476">
        <v>-295.75009999999997</v>
      </c>
      <c r="H1476">
        <v>0.88848259999999901</v>
      </c>
      <c r="I1476">
        <v>283.5797</v>
      </c>
      <c r="J1476">
        <v>-295.41000000000003</v>
      </c>
      <c r="K1476">
        <v>1.1210560000000001</v>
      </c>
      <c r="L1476">
        <v>283.50409999999999</v>
      </c>
      <c r="M1476">
        <v>-0.99946829999999998</v>
      </c>
      <c r="N1476">
        <v>-1.450923E-2</v>
      </c>
      <c r="O1476">
        <v>2.9203590000000001E-2</v>
      </c>
      <c r="P1476">
        <v>-0.98131800000000002</v>
      </c>
      <c r="Q1476">
        <v>0.18164959999999999</v>
      </c>
      <c r="R1476">
        <v>6.3393210000000005E-2</v>
      </c>
      <c r="S1476">
        <v>-3.2330930000000002</v>
      </c>
      <c r="T1476">
        <v>-1.091375</v>
      </c>
      <c r="U1476">
        <v>0.40255740000000001</v>
      </c>
      <c r="V1476">
        <v>3.4712710000000001E-2</v>
      </c>
      <c r="W1476">
        <v>0.19588800000000001</v>
      </c>
      <c r="X1476">
        <v>0.98001170000000004</v>
      </c>
      <c r="Y1476">
        <v>9.079885E-2</v>
      </c>
      <c r="Z1476">
        <v>6.3972109999999999E-3</v>
      </c>
      <c r="AA1476">
        <v>0.99584870000000003</v>
      </c>
      <c r="AB1476">
        <v>36</v>
      </c>
      <c r="AC1476">
        <v>-0.340099999999949</v>
      </c>
      <c r="AD1476">
        <v>-0.23257340000000001</v>
      </c>
      <c r="AE1476">
        <v>7.5600000000008494E-2</v>
      </c>
      <c r="AF1476">
        <v>4.5402484367591797E-2</v>
      </c>
      <c r="AG1476">
        <v>-0.23257340000000001</v>
      </c>
      <c r="AH1476">
        <v>0.23669003842367101</v>
      </c>
      <c r="AI1476">
        <v>133.97997554421201</v>
      </c>
      <c r="AJ1476">
        <v>79.141281193748398</v>
      </c>
      <c r="AK1476">
        <v>0.33492379172478698</v>
      </c>
      <c r="AL1476">
        <v>78.703397330868199</v>
      </c>
      <c r="AM1476">
        <v>87.971390921344096</v>
      </c>
      <c r="AN1476">
        <v>1.00000000645821</v>
      </c>
    </row>
    <row r="1477" spans="1:40" x14ac:dyDescent="0.25">
      <c r="A1477" t="str">
        <f>"20190303162531040"</f>
        <v>20190303162531040</v>
      </c>
      <c r="B1477" t="str">
        <f>"1551601531034886"</f>
        <v>1551601531034886</v>
      </c>
      <c r="C1477" t="s">
        <v>40</v>
      </c>
      <c r="D1477">
        <v>5.3551589999999996</v>
      </c>
      <c r="E1477">
        <v>0.48724109999999998</v>
      </c>
      <c r="F1477" t="s">
        <v>42</v>
      </c>
      <c r="G1477">
        <v>-296.09530000000001</v>
      </c>
      <c r="H1477">
        <v>0.94319370000000002</v>
      </c>
      <c r="I1477">
        <v>283.57459999999998</v>
      </c>
      <c r="J1477">
        <v>-295.7688</v>
      </c>
      <c r="K1477">
        <v>1.121062</v>
      </c>
      <c r="L1477">
        <v>283.5145</v>
      </c>
      <c r="M1477">
        <v>-0.99946780000000002</v>
      </c>
      <c r="N1477">
        <v>-1.45369E-2</v>
      </c>
      <c r="O1477">
        <v>2.920356E-2</v>
      </c>
      <c r="P1477">
        <v>-0.98126389999999997</v>
      </c>
      <c r="Q1477">
        <v>0.1820657</v>
      </c>
      <c r="R1477">
        <v>6.3034209999999993E-2</v>
      </c>
      <c r="S1477">
        <v>-3.1891780000000001</v>
      </c>
      <c r="T1477">
        <v>-0.82775330000000003</v>
      </c>
      <c r="U1477">
        <v>0.32727050000000002</v>
      </c>
      <c r="V1477">
        <v>3.4355549999999999E-2</v>
      </c>
      <c r="W1477">
        <v>0.19633030000000001</v>
      </c>
      <c r="X1477">
        <v>0.97993580000000002</v>
      </c>
      <c r="Y1477">
        <v>7.1362720000000004E-2</v>
      </c>
      <c r="Z1477">
        <v>2.5994450000000001E-3</v>
      </c>
      <c r="AA1477">
        <v>0.99744710000000003</v>
      </c>
      <c r="AB1477">
        <v>36</v>
      </c>
      <c r="AC1477">
        <v>-0.32650000000001</v>
      </c>
      <c r="AD1477">
        <v>-0.17786829999999901</v>
      </c>
      <c r="AE1477">
        <v>6.0099999999977102E-2</v>
      </c>
      <c r="AF1477">
        <v>3.9266808145043797E-2</v>
      </c>
      <c r="AG1477">
        <v>-0.17786829999999901</v>
      </c>
      <c r="AH1477">
        <v>0.25493627666396301</v>
      </c>
      <c r="AI1477">
        <v>124.58880352535</v>
      </c>
      <c r="AJ1477">
        <v>81.243773330474895</v>
      </c>
      <c r="AK1477">
        <v>0.31332334660231498</v>
      </c>
      <c r="AL1477">
        <v>78.677553860546197</v>
      </c>
      <c r="AM1477">
        <v>87.992090781793493</v>
      </c>
      <c r="AN1477">
        <v>1.0000000313177599</v>
      </c>
    </row>
    <row r="1478" spans="1:40" x14ac:dyDescent="0.25">
      <c r="A1478" t="str">
        <f>"20190303162531073"</f>
        <v>20190303162531073</v>
      </c>
      <c r="B1478" t="str">
        <f>"1551601531064165"</f>
        <v>1551601531064165</v>
      </c>
      <c r="C1478" t="s">
        <v>40</v>
      </c>
      <c r="D1478">
        <v>5.1243720000000001</v>
      </c>
      <c r="E1478">
        <v>0.47529969999999999</v>
      </c>
      <c r="F1478" t="s">
        <v>42</v>
      </c>
      <c r="G1478">
        <v>-296.7724</v>
      </c>
      <c r="H1478">
        <v>1.0184519999999999</v>
      </c>
      <c r="I1478">
        <v>283.53899999999999</v>
      </c>
      <c r="J1478">
        <v>-296.31139999999999</v>
      </c>
      <c r="K1478">
        <v>1.1210709999999999</v>
      </c>
      <c r="L1478">
        <v>283.53039999999999</v>
      </c>
      <c r="M1478">
        <v>-0.99946729999999995</v>
      </c>
      <c r="N1478">
        <v>-1.457106E-2</v>
      </c>
      <c r="O1478">
        <v>2.9203300000000001E-2</v>
      </c>
      <c r="P1478">
        <v>-0.98134290000000002</v>
      </c>
      <c r="Q1478">
        <v>0.1815475</v>
      </c>
      <c r="R1478">
        <v>6.3299289999999994E-2</v>
      </c>
      <c r="S1478">
        <v>-3.1114809999999999</v>
      </c>
      <c r="T1478">
        <v>-0.31820500000000002</v>
      </c>
      <c r="U1478">
        <v>7.5317380000000003E-2</v>
      </c>
      <c r="V1478">
        <v>3.4618459999999997E-2</v>
      </c>
      <c r="W1478">
        <v>0.19584689999999999</v>
      </c>
      <c r="X1478">
        <v>0.98002330000000004</v>
      </c>
      <c r="Y1478">
        <v>-4.8681000000000002E-3</v>
      </c>
      <c r="Z1478">
        <v>-2.8369860000000001E-3</v>
      </c>
      <c r="AA1478">
        <v>0.99998410000000004</v>
      </c>
      <c r="AB1478">
        <v>36</v>
      </c>
      <c r="AC1478">
        <v>-0.46100000000001201</v>
      </c>
      <c r="AD1478">
        <v>-0.102618999999999</v>
      </c>
      <c r="AE1478">
        <v>8.6000000000012698E-3</v>
      </c>
      <c r="AF1478">
        <v>-4.63807714052828E-3</v>
      </c>
      <c r="AG1478">
        <v>-0.102618999999999</v>
      </c>
      <c r="AH1478">
        <v>0.43929453822849501</v>
      </c>
      <c r="AI1478">
        <v>103.147778855594</v>
      </c>
      <c r="AJ1478">
        <v>90.604907069185202</v>
      </c>
      <c r="AK1478">
        <v>0.45114505675885203</v>
      </c>
      <c r="AL1478">
        <v>78.705799282534201</v>
      </c>
      <c r="AM1478">
        <v>87.976918229992805</v>
      </c>
      <c r="AN1478">
        <v>1.00000005727763</v>
      </c>
    </row>
    <row r="1479" spans="1:40" x14ac:dyDescent="0.25">
      <c r="A1479" t="str">
        <f>"20190303162531095"</f>
        <v>20190303162531095</v>
      </c>
      <c r="B1479" t="str">
        <f>"1551601531084662"</f>
        <v>1551601531084662</v>
      </c>
      <c r="C1479" t="s">
        <v>40</v>
      </c>
      <c r="D1479">
        <v>5.1458159999999999</v>
      </c>
      <c r="E1479">
        <v>0.469725</v>
      </c>
      <c r="F1479" t="s">
        <v>51</v>
      </c>
      <c r="G1479">
        <v>-311.05439999999999</v>
      </c>
      <c r="H1479" s="1">
        <v>2.786962E-6</v>
      </c>
      <c r="I1479">
        <v>283.44540000000001</v>
      </c>
      <c r="J1479">
        <v>-296.64819999999997</v>
      </c>
      <c r="K1479">
        <v>1.121075</v>
      </c>
      <c r="L1479">
        <v>283.5403</v>
      </c>
      <c r="M1479">
        <v>-0.99946710000000005</v>
      </c>
      <c r="N1479">
        <v>-1.458808E-2</v>
      </c>
      <c r="O1479">
        <v>2.9203170000000001E-2</v>
      </c>
      <c r="P1479">
        <v>-0.98155369999999997</v>
      </c>
      <c r="Q1479">
        <v>0.1801961</v>
      </c>
      <c r="R1479">
        <v>6.3888360000000005E-2</v>
      </c>
      <c r="S1479">
        <v>-3.101807</v>
      </c>
      <c r="T1479">
        <v>-0.23586209999999999</v>
      </c>
      <c r="U1479">
        <v>-1.7883300000000001E-2</v>
      </c>
      <c r="V1479">
        <v>3.5201030000000001E-2</v>
      </c>
      <c r="W1479">
        <v>0.19451589999999999</v>
      </c>
      <c r="X1479">
        <v>0.98026749999999996</v>
      </c>
      <c r="Y1479">
        <v>-3.4793879999999999E-2</v>
      </c>
      <c r="Z1479">
        <v>-3.3668190000000001E-3</v>
      </c>
      <c r="AA1479">
        <v>0.99938879999999997</v>
      </c>
      <c r="AB1479">
        <v>36</v>
      </c>
      <c r="AC1479">
        <v>-14.4062</v>
      </c>
      <c r="AD1479">
        <v>-1.121072213038</v>
      </c>
      <c r="AE1479">
        <v>-9.4899999999995502E-2</v>
      </c>
      <c r="AF1479">
        <v>-0.51250748613346997</v>
      </c>
      <c r="AG1479">
        <v>-1.121072213038</v>
      </c>
      <c r="AH1479">
        <v>14.3106248443674</v>
      </c>
      <c r="AI1479">
        <v>94.476456524357005</v>
      </c>
      <c r="AJ1479">
        <v>92.051061488758194</v>
      </c>
      <c r="AK1479">
        <v>14.363615501203499</v>
      </c>
      <c r="AL1479">
        <v>78.783554330279202</v>
      </c>
      <c r="AM1479">
        <v>87.943414215908902</v>
      </c>
      <c r="AN1479">
        <v>0.99999995971105904</v>
      </c>
    </row>
    <row r="1480" spans="1:40" x14ac:dyDescent="0.25">
      <c r="A1480" t="str">
        <f>"20190303162531117"</f>
        <v>20190303162531117</v>
      </c>
      <c r="B1480" t="str">
        <f>"1551601531104182"</f>
        <v>1551601531104182</v>
      </c>
      <c r="C1480" t="s">
        <v>40</v>
      </c>
      <c r="D1480">
        <v>5.3005079999999998</v>
      </c>
      <c r="E1480">
        <v>0.46815859999999898</v>
      </c>
      <c r="F1480" t="s">
        <v>51</v>
      </c>
      <c r="G1480">
        <v>-312.08319999999998</v>
      </c>
      <c r="H1480" s="1">
        <v>3.261063E-6</v>
      </c>
      <c r="I1480">
        <v>283.24079999999998</v>
      </c>
      <c r="J1480">
        <v>-297.00560000000002</v>
      </c>
      <c r="K1480">
        <v>1.1210789999999999</v>
      </c>
      <c r="L1480">
        <v>283.55070000000001</v>
      </c>
      <c r="M1480">
        <v>-0.99946699999999999</v>
      </c>
      <c r="N1480">
        <v>-1.460322E-2</v>
      </c>
      <c r="O1480">
        <v>2.9202880000000001E-2</v>
      </c>
      <c r="P1480">
        <v>-0.98167199999999999</v>
      </c>
      <c r="Q1480">
        <v>0.17943339999999999</v>
      </c>
      <c r="R1480">
        <v>6.4217640000000006E-2</v>
      </c>
      <c r="S1480">
        <v>-3.1016240000000002</v>
      </c>
      <c r="T1480">
        <v>-0.22527620000000001</v>
      </c>
      <c r="U1480">
        <v>-6.0180659999999997E-2</v>
      </c>
      <c r="V1480">
        <v>3.5526960000000003E-2</v>
      </c>
      <c r="W1480">
        <v>0.19376940000000001</v>
      </c>
      <c r="X1480">
        <v>0.98040360000000004</v>
      </c>
      <c r="Y1480">
        <v>-4.838932E-2</v>
      </c>
      <c r="Z1480">
        <v>-3.8007380000000001E-3</v>
      </c>
      <c r="AA1480">
        <v>0.99882130000000002</v>
      </c>
      <c r="AB1480">
        <v>36</v>
      </c>
      <c r="AC1480">
        <v>-15.077599999999901</v>
      </c>
      <c r="AD1480">
        <v>-1.1210757389370001</v>
      </c>
      <c r="AE1480">
        <v>-0.30990000000002699</v>
      </c>
      <c r="AF1480">
        <v>-0.74600151430975503</v>
      </c>
      <c r="AG1480">
        <v>-1.1210757389370001</v>
      </c>
      <c r="AH1480">
        <v>14.9793392164427</v>
      </c>
      <c r="AI1480">
        <v>94.274842460303702</v>
      </c>
      <c r="AJ1480">
        <v>92.851090606108102</v>
      </c>
      <c r="AK1480">
        <v>15.0397450920234</v>
      </c>
      <c r="AL1480">
        <v>78.827155466309804</v>
      </c>
      <c r="AM1480">
        <v>87.924676538491198</v>
      </c>
      <c r="AN1480">
        <v>0.99999998207808005</v>
      </c>
    </row>
    <row r="1481" spans="1:40" x14ac:dyDescent="0.25">
      <c r="A1481" t="str">
        <f>"20190303162531142"</f>
        <v>20190303162531142</v>
      </c>
      <c r="B1481" t="str">
        <f>"1551601531134439"</f>
        <v>1551601531134439</v>
      </c>
      <c r="C1481" t="s">
        <v>40</v>
      </c>
      <c r="D1481">
        <v>5.0902190000000003</v>
      </c>
      <c r="E1481">
        <v>0.46681410000000001</v>
      </c>
      <c r="F1481" t="s">
        <v>51</v>
      </c>
      <c r="G1481">
        <v>-313.35239999999999</v>
      </c>
      <c r="H1481" s="1">
        <v>3.8296380000000003E-6</v>
      </c>
      <c r="I1481">
        <v>283.1748</v>
      </c>
      <c r="J1481">
        <v>-297.38639999999998</v>
      </c>
      <c r="K1481">
        <v>1.1210770000000001</v>
      </c>
      <c r="L1481">
        <v>283.56180000000001</v>
      </c>
      <c r="M1481">
        <v>-0.99946659999999998</v>
      </c>
      <c r="N1481">
        <v>-1.4616179999999999E-2</v>
      </c>
      <c r="O1481">
        <v>2.9202780000000001E-2</v>
      </c>
      <c r="P1481">
        <v>-0.9817285</v>
      </c>
      <c r="Q1481">
        <v>0.17912800000000001</v>
      </c>
      <c r="R1481">
        <v>6.420679E-2</v>
      </c>
      <c r="S1481">
        <v>-3.0994570000000001</v>
      </c>
      <c r="T1481">
        <v>-0.2125629</v>
      </c>
      <c r="U1481">
        <v>-7.1258539999999995E-2</v>
      </c>
      <c r="V1481">
        <v>3.5514570000000002E-2</v>
      </c>
      <c r="W1481">
        <v>0.19347790000000001</v>
      </c>
      <c r="X1481">
        <v>0.98046169999999999</v>
      </c>
      <c r="Y1481">
        <v>-5.1982390000000003E-2</v>
      </c>
      <c r="Z1481">
        <v>-3.734345E-3</v>
      </c>
      <c r="AA1481">
        <v>0.998641</v>
      </c>
      <c r="AB1481">
        <v>36</v>
      </c>
      <c r="AC1481">
        <v>-15.965999999999999</v>
      </c>
      <c r="AD1481">
        <v>-1.121073170362</v>
      </c>
      <c r="AE1481">
        <v>-0.38700000000000001</v>
      </c>
      <c r="AF1481">
        <v>-0.84895316930385401</v>
      </c>
      <c r="AG1481">
        <v>-1.121073170362</v>
      </c>
      <c r="AH1481">
        <v>15.8696896806512</v>
      </c>
      <c r="AI1481">
        <v>94.035048951686903</v>
      </c>
      <c r="AJ1481">
        <v>93.062133811926699</v>
      </c>
      <c r="AK1481">
        <v>15.9318729940062</v>
      </c>
      <c r="AL1481">
        <v>78.844180271991902</v>
      </c>
      <c r="AM1481">
        <v>87.925522502236603</v>
      </c>
      <c r="AN1481">
        <v>1.00000006381879</v>
      </c>
    </row>
    <row r="1482" spans="1:40" x14ac:dyDescent="0.25">
      <c r="A1482" t="str">
        <f>"20190303162531164"</f>
        <v>20190303162531164</v>
      </c>
      <c r="B1482" t="str">
        <f>"1551601531153959"</f>
        <v>1551601531153959</v>
      </c>
      <c r="C1482" t="s">
        <v>40</v>
      </c>
      <c r="D1482">
        <v>5.0094629999999896</v>
      </c>
      <c r="E1482">
        <v>0.4662483</v>
      </c>
      <c r="F1482" t="s">
        <v>51</v>
      </c>
      <c r="G1482">
        <v>-315.60430000000002</v>
      </c>
      <c r="H1482" s="1">
        <v>4.8365089999999998E-6</v>
      </c>
      <c r="I1482">
        <v>283.0806</v>
      </c>
      <c r="J1482">
        <v>-297.7398</v>
      </c>
      <c r="K1482">
        <v>1.1210800000000001</v>
      </c>
      <c r="L1482">
        <v>283.57220000000001</v>
      </c>
      <c r="M1482">
        <v>-0.99946650000000004</v>
      </c>
      <c r="N1482">
        <v>-1.462603E-2</v>
      </c>
      <c r="O1482">
        <v>2.9202530000000001E-2</v>
      </c>
      <c r="P1482">
        <v>-0.98177519999999996</v>
      </c>
      <c r="Q1482">
        <v>0.17892759999999999</v>
      </c>
      <c r="R1482">
        <v>6.4052650000000003E-2</v>
      </c>
      <c r="S1482">
        <v>-3.0959469999999998</v>
      </c>
      <c r="T1482">
        <v>-0.19051499999999999</v>
      </c>
      <c r="U1482">
        <v>-8.1787109999999996E-2</v>
      </c>
      <c r="V1482">
        <v>3.5359340000000003E-2</v>
      </c>
      <c r="W1482">
        <v>0.19328799999999999</v>
      </c>
      <c r="X1482">
        <v>0.98050470000000001</v>
      </c>
      <c r="Y1482">
        <v>-5.5430640000000003E-2</v>
      </c>
      <c r="Z1482">
        <v>-3.477782E-3</v>
      </c>
      <c r="AA1482">
        <v>0.99845649999999997</v>
      </c>
      <c r="AB1482">
        <v>35</v>
      </c>
      <c r="AC1482">
        <v>-17.8645</v>
      </c>
      <c r="AD1482">
        <v>-1.1210751634909999</v>
      </c>
      <c r="AE1482">
        <v>-0.49160000000000498</v>
      </c>
      <c r="AF1482">
        <v>-1.0091635144206801</v>
      </c>
      <c r="AG1482">
        <v>-1.1210751634909999</v>
      </c>
      <c r="AH1482">
        <v>17.772584517257499</v>
      </c>
      <c r="AI1482">
        <v>93.603583581576203</v>
      </c>
      <c r="AJ1482">
        <v>93.249881195119798</v>
      </c>
      <c r="AK1482">
        <v>17.8364789390758</v>
      </c>
      <c r="AL1482">
        <v>78.855269361156999</v>
      </c>
      <c r="AM1482">
        <v>87.934672428918702</v>
      </c>
      <c r="AN1482">
        <v>1.0000000002956599</v>
      </c>
    </row>
    <row r="1483" spans="1:40" x14ac:dyDescent="0.25">
      <c r="A1483" t="str">
        <f>"20190303162531186"</f>
        <v>20190303162531186</v>
      </c>
      <c r="B1483" t="str">
        <f>"1551601531174454"</f>
        <v>1551601531174454</v>
      </c>
      <c r="C1483" t="s">
        <v>40</v>
      </c>
      <c r="D1483">
        <v>5.2034219999999998</v>
      </c>
      <c r="E1483">
        <v>0.46611209999999997</v>
      </c>
      <c r="F1483" t="s">
        <v>51</v>
      </c>
      <c r="G1483">
        <v>-316.12979999999999</v>
      </c>
      <c r="H1483" s="1">
        <v>5.0717180000000002E-6</v>
      </c>
      <c r="I1483">
        <v>283.0557</v>
      </c>
      <c r="J1483">
        <v>-298.08069999999998</v>
      </c>
      <c r="K1483">
        <v>1.1210800000000001</v>
      </c>
      <c r="L1483">
        <v>283.5822</v>
      </c>
      <c r="M1483">
        <v>-0.99946650000000004</v>
      </c>
      <c r="N1483">
        <v>-1.4633810000000001E-2</v>
      </c>
      <c r="O1483">
        <v>2.9202470000000001E-2</v>
      </c>
      <c r="P1483">
        <v>-0.98183419999999999</v>
      </c>
      <c r="Q1483">
        <v>0.17844470000000001</v>
      </c>
      <c r="R1483">
        <v>6.4491779999999999E-2</v>
      </c>
      <c r="S1483">
        <v>-3.095764</v>
      </c>
      <c r="T1483">
        <v>-0.1887218</v>
      </c>
      <c r="U1483">
        <v>-8.6944579999999994E-2</v>
      </c>
      <c r="V1483">
        <v>3.5796460000000002E-2</v>
      </c>
      <c r="W1483">
        <v>0.1928135</v>
      </c>
      <c r="X1483">
        <v>0.98058219999999996</v>
      </c>
      <c r="Y1483">
        <v>-5.7093360000000003E-2</v>
      </c>
      <c r="Z1483">
        <v>-3.5078470000000001E-3</v>
      </c>
      <c r="AA1483">
        <v>0.99836270000000005</v>
      </c>
      <c r="AB1483">
        <v>35</v>
      </c>
      <c r="AC1483">
        <v>-18.049099999999999</v>
      </c>
      <c r="AD1483">
        <v>-1.1210749282819901</v>
      </c>
      <c r="AE1483">
        <v>-0.52649999999999797</v>
      </c>
      <c r="AF1483">
        <v>-1.04936512712886</v>
      </c>
      <c r="AG1483">
        <v>-1.1210749282819901</v>
      </c>
      <c r="AH1483">
        <v>17.956806157157899</v>
      </c>
      <c r="AI1483">
        <v>93.566370735519399</v>
      </c>
      <c r="AJ1483">
        <v>93.344463946724701</v>
      </c>
      <c r="AK1483">
        <v>18.022343452797699</v>
      </c>
      <c r="AL1483">
        <v>78.882976771289904</v>
      </c>
      <c r="AM1483">
        <v>87.909328016161993</v>
      </c>
      <c r="AN1483">
        <v>0.99999994164380901</v>
      </c>
    </row>
    <row r="1484" spans="1:40" x14ac:dyDescent="0.25">
      <c r="A1484" t="str">
        <f>"20190303162531208"</f>
        <v>20190303162531208</v>
      </c>
      <c r="B1484" t="str">
        <f>"1551601531204710"</f>
        <v>1551601531204710</v>
      </c>
      <c r="C1484" t="s">
        <v>40</v>
      </c>
      <c r="D1484">
        <v>5.2607670000000004</v>
      </c>
      <c r="E1484">
        <v>0.46574690000000002</v>
      </c>
      <c r="F1484" t="s">
        <v>51</v>
      </c>
      <c r="G1484">
        <v>-316.44810000000001</v>
      </c>
      <c r="H1484" s="1">
        <v>5.2121450000000002E-6</v>
      </c>
      <c r="I1484">
        <v>283.0641</v>
      </c>
      <c r="J1484">
        <v>-298.4325</v>
      </c>
      <c r="K1484">
        <v>1.121084</v>
      </c>
      <c r="L1484">
        <v>283.5924</v>
      </c>
      <c r="M1484">
        <v>-0.99946619999999997</v>
      </c>
      <c r="N1484">
        <v>-1.46402999999999E-2</v>
      </c>
      <c r="O1484">
        <v>2.920242E-2</v>
      </c>
      <c r="P1484">
        <v>-0.98189409999999999</v>
      </c>
      <c r="Q1484">
        <v>0.17787249999999999</v>
      </c>
      <c r="R1484">
        <v>6.5156099999999995E-2</v>
      </c>
      <c r="S1484">
        <v>-3.095612</v>
      </c>
      <c r="T1484">
        <v>-0.1889448</v>
      </c>
      <c r="U1484">
        <v>-8.7310789999999999E-2</v>
      </c>
      <c r="V1484">
        <v>3.6458770000000001E-2</v>
      </c>
      <c r="W1484">
        <v>0.19224920000000001</v>
      </c>
      <c r="X1484">
        <v>0.98066869999999995</v>
      </c>
      <c r="Y1484">
        <v>-5.721205E-2</v>
      </c>
      <c r="Z1484">
        <v>-3.5166490000000002E-3</v>
      </c>
      <c r="AA1484">
        <v>0.99835589999999996</v>
      </c>
      <c r="AB1484">
        <v>35</v>
      </c>
      <c r="AC1484">
        <v>-18.015599999999999</v>
      </c>
      <c r="AD1484">
        <v>-1.1210787878549999</v>
      </c>
      <c r="AE1484">
        <v>-0.52830000000000099</v>
      </c>
      <c r="AF1484">
        <v>-1.0501670788380999</v>
      </c>
      <c r="AG1484">
        <v>-1.1210787878549999</v>
      </c>
      <c r="AH1484">
        <v>17.923140660675699</v>
      </c>
      <c r="AI1484">
        <v>93.573032361667302</v>
      </c>
      <c r="AJ1484">
        <v>93.353286513137903</v>
      </c>
      <c r="AK1484">
        <v>17.9888476474848</v>
      </c>
      <c r="AL1484">
        <v>78.915926414116598</v>
      </c>
      <c r="AM1484">
        <v>87.870869103211305</v>
      </c>
      <c r="AN1484">
        <v>1.0000000479851201</v>
      </c>
    </row>
    <row r="1485" spans="1:40" x14ac:dyDescent="0.25">
      <c r="A1485" t="str">
        <f>"20190303162531230"</f>
        <v>20190303162531230</v>
      </c>
      <c r="B1485" t="str">
        <f>"1551601531224738"</f>
        <v>1551601531224738</v>
      </c>
      <c r="C1485" t="s">
        <v>40</v>
      </c>
      <c r="D1485">
        <v>5.0175589999999897</v>
      </c>
      <c r="E1485">
        <v>0.46557920000000003</v>
      </c>
      <c r="F1485" t="s">
        <v>51</v>
      </c>
      <c r="G1485">
        <v>-317.62799999999999</v>
      </c>
      <c r="H1485" s="1">
        <v>5.73690399999999E-6</v>
      </c>
      <c r="I1485">
        <v>283.04689999999999</v>
      </c>
      <c r="J1485">
        <v>-298.77859999999998</v>
      </c>
      <c r="K1485">
        <v>1.1210899999999999</v>
      </c>
      <c r="L1485">
        <v>283.60250000000002</v>
      </c>
      <c r="M1485">
        <v>-0.99946619999999997</v>
      </c>
      <c r="N1485">
        <v>-1.464533E-2</v>
      </c>
      <c r="O1485">
        <v>2.9202260000000001E-2</v>
      </c>
      <c r="P1485">
        <v>-0.98196819999999896</v>
      </c>
      <c r="Q1485">
        <v>0.1773824</v>
      </c>
      <c r="R1485">
        <v>6.5377729999999995E-2</v>
      </c>
      <c r="S1485">
        <v>-3.0939030000000001</v>
      </c>
      <c r="T1485">
        <v>-0.18069350000000001</v>
      </c>
      <c r="U1485">
        <v>-8.7921139999999995E-2</v>
      </c>
      <c r="V1485">
        <v>3.6678420000000003E-2</v>
      </c>
      <c r="W1485">
        <v>0.1917654</v>
      </c>
      <c r="X1485">
        <v>0.98075520000000005</v>
      </c>
      <c r="Y1485">
        <v>-5.743728E-2</v>
      </c>
      <c r="Z1485">
        <v>-3.3730019999999999E-3</v>
      </c>
      <c r="AA1485">
        <v>0.99834339999999999</v>
      </c>
      <c r="AB1485">
        <v>35</v>
      </c>
      <c r="AC1485">
        <v>-18.849399999999999</v>
      </c>
      <c r="AD1485">
        <v>-1.1210842630959901</v>
      </c>
      <c r="AE1485">
        <v>-0.55560000000002596</v>
      </c>
      <c r="AF1485">
        <v>-1.1019724257454799</v>
      </c>
      <c r="AG1485">
        <v>-1.1210842630959901</v>
      </c>
      <c r="AH1485">
        <v>18.758833444284001</v>
      </c>
      <c r="AI1485">
        <v>93.414228073291099</v>
      </c>
      <c r="AJ1485">
        <v>93.361930351089597</v>
      </c>
      <c r="AK1485">
        <v>18.824585130686199</v>
      </c>
      <c r="AL1485">
        <v>78.944171328823501</v>
      </c>
      <c r="AM1485">
        <v>87.858242562516693</v>
      </c>
      <c r="AN1485">
        <v>1.00000001872894</v>
      </c>
    </row>
    <row r="1486" spans="1:40" x14ac:dyDescent="0.25">
      <c r="A1486" t="str">
        <f>"20190303162531253"</f>
        <v>20190303162531253</v>
      </c>
      <c r="B1486" t="str">
        <f>"1551601531244258"</f>
        <v>1551601531244258</v>
      </c>
      <c r="C1486" t="s">
        <v>40</v>
      </c>
      <c r="D1486">
        <v>5.0087129999999904</v>
      </c>
      <c r="E1486">
        <v>0.46538069999999998</v>
      </c>
      <c r="F1486" t="s">
        <v>51</v>
      </c>
      <c r="G1486">
        <v>-318.41480000000001</v>
      </c>
      <c r="H1486" s="1">
        <v>6.086015E-6</v>
      </c>
      <c r="I1486">
        <v>283.04430000000002</v>
      </c>
      <c r="J1486">
        <v>-299.13690000000003</v>
      </c>
      <c r="K1486">
        <v>1.121097</v>
      </c>
      <c r="L1486">
        <v>283.613</v>
      </c>
      <c r="M1486">
        <v>-0.99946619999999997</v>
      </c>
      <c r="N1486">
        <v>-1.464932E-2</v>
      </c>
      <c r="O1486">
        <v>2.9202229999999999E-2</v>
      </c>
      <c r="P1486">
        <v>-0.98191859999999997</v>
      </c>
      <c r="Q1486">
        <v>0.17770910000000001</v>
      </c>
      <c r="R1486">
        <v>6.5231639999999994E-2</v>
      </c>
      <c r="S1486">
        <v>-3.0928650000000002</v>
      </c>
      <c r="T1486">
        <v>-0.1765805</v>
      </c>
      <c r="U1486">
        <v>-8.7921139999999995E-2</v>
      </c>
      <c r="V1486">
        <v>3.6533740000000002E-2</v>
      </c>
      <c r="W1486">
        <v>0.1920953</v>
      </c>
      <c r="X1486">
        <v>0.98069600000000001</v>
      </c>
      <c r="Y1486">
        <v>-5.7453259999999999E-2</v>
      </c>
      <c r="Z1486">
        <v>-3.2978550000000001E-3</v>
      </c>
      <c r="AA1486">
        <v>0.99834279999999997</v>
      </c>
      <c r="AB1486">
        <v>35</v>
      </c>
      <c r="AC1486">
        <v>-19.277899999999899</v>
      </c>
      <c r="AD1486">
        <v>-1.121090913985</v>
      </c>
      <c r="AE1486">
        <v>-0.568699999999978</v>
      </c>
      <c r="AF1486">
        <v>-1.1276651327354701</v>
      </c>
      <c r="AG1486">
        <v>-1.121090913985</v>
      </c>
      <c r="AH1486">
        <v>19.1882311102706</v>
      </c>
      <c r="AI1486">
        <v>93.338013603923798</v>
      </c>
      <c r="AJ1486">
        <v>93.363323252495704</v>
      </c>
      <c r="AK1486">
        <v>19.254004431031099</v>
      </c>
      <c r="AL1486">
        <v>78.924910962730493</v>
      </c>
      <c r="AM1486">
        <v>87.866554359277103</v>
      </c>
      <c r="AN1486">
        <v>0.99999998142823798</v>
      </c>
    </row>
    <row r="1487" spans="1:40" x14ac:dyDescent="0.25">
      <c r="A1487" t="str">
        <f>"20190303162531274"</f>
        <v>20190303162531274</v>
      </c>
      <c r="B1487" t="str">
        <f>"1551601531264754"</f>
        <v>1551601531264754</v>
      </c>
      <c r="C1487" t="s">
        <v>40</v>
      </c>
      <c r="D1487">
        <v>5.0067870000000001</v>
      </c>
      <c r="E1487">
        <v>0.4651342</v>
      </c>
      <c r="F1487" t="s">
        <v>51</v>
      </c>
      <c r="G1487">
        <v>-319.45069999999998</v>
      </c>
      <c r="H1487" s="1">
        <v>6.547077E-6</v>
      </c>
      <c r="I1487">
        <v>283.02510000000001</v>
      </c>
      <c r="J1487">
        <v>-299.4803</v>
      </c>
      <c r="K1487">
        <v>1.121097</v>
      </c>
      <c r="L1487">
        <v>283.62299999999999</v>
      </c>
      <c r="M1487">
        <v>-0.99946630000000003</v>
      </c>
      <c r="N1487">
        <v>-1.4652119999999999E-2</v>
      </c>
      <c r="O1487">
        <v>2.920186E-2</v>
      </c>
      <c r="P1487">
        <v>-0.9817553</v>
      </c>
      <c r="Q1487">
        <v>0.178784</v>
      </c>
      <c r="R1487">
        <v>6.4754119999999998E-2</v>
      </c>
      <c r="S1487">
        <v>-3.0920719999999999</v>
      </c>
      <c r="T1487">
        <v>-0.1706474</v>
      </c>
      <c r="U1487">
        <v>-8.9477539999999994E-2</v>
      </c>
      <c r="V1487">
        <v>3.6061620000000003E-2</v>
      </c>
      <c r="W1487">
        <v>0.1931696</v>
      </c>
      <c r="X1487">
        <v>0.98050250000000005</v>
      </c>
      <c r="Y1487">
        <v>-5.797049E-2</v>
      </c>
      <c r="Z1487">
        <v>-3.2058070000000002E-3</v>
      </c>
      <c r="AA1487">
        <v>0.99831309999999995</v>
      </c>
      <c r="AB1487">
        <v>35</v>
      </c>
      <c r="AC1487">
        <v>-19.970399999999898</v>
      </c>
      <c r="AD1487">
        <v>-1.1210904529229999</v>
      </c>
      <c r="AE1487">
        <v>-0.597899999999981</v>
      </c>
      <c r="AF1487">
        <v>-1.17717384348285</v>
      </c>
      <c r="AG1487">
        <v>-1.1210904529229999</v>
      </c>
      <c r="AH1487">
        <v>19.881819760467799</v>
      </c>
      <c r="AI1487">
        <v>93.221730350995102</v>
      </c>
      <c r="AJ1487">
        <v>93.388444508153398</v>
      </c>
      <c r="AK1487">
        <v>19.948166307937701</v>
      </c>
      <c r="AL1487">
        <v>78.862183976064998</v>
      </c>
      <c r="AM1487">
        <v>87.893684348653196</v>
      </c>
      <c r="AN1487">
        <v>1.00000004365371</v>
      </c>
    </row>
    <row r="1488" spans="1:40" x14ac:dyDescent="0.25">
      <c r="A1488" t="str">
        <f>"20190303162531296"</f>
        <v>20190303162531296</v>
      </c>
      <c r="B1488" t="str">
        <f>"1551601531284274"</f>
        <v>1551601531284274</v>
      </c>
      <c r="C1488" t="s">
        <v>40</v>
      </c>
      <c r="D1488">
        <v>4.8819900000000001</v>
      </c>
      <c r="E1488">
        <v>0.46462399999999998</v>
      </c>
      <c r="F1488" t="s">
        <v>48</v>
      </c>
      <c r="G1488">
        <v>-320.7389</v>
      </c>
      <c r="H1488" s="1">
        <v>-1.072219E-6</v>
      </c>
      <c r="I1488">
        <v>282.98320000000001</v>
      </c>
      <c r="J1488">
        <v>-299.82530000000003</v>
      </c>
      <c r="K1488">
        <v>1.1211040000000001</v>
      </c>
      <c r="L1488">
        <v>283.63310000000001</v>
      </c>
      <c r="M1488">
        <v>-0.99946619999999997</v>
      </c>
      <c r="N1488">
        <v>-1.465407E-2</v>
      </c>
      <c r="O1488">
        <v>2.9201660000000001E-2</v>
      </c>
      <c r="P1488">
        <v>-0.98173569999999999</v>
      </c>
      <c r="Q1488">
        <v>0.17896479999999901</v>
      </c>
      <c r="R1488">
        <v>6.4548339999999996E-2</v>
      </c>
      <c r="S1488">
        <v>-3.091583</v>
      </c>
      <c r="T1488">
        <v>-0.16303909999999999</v>
      </c>
      <c r="U1488">
        <v>-9.3048099999999995E-2</v>
      </c>
      <c r="V1488">
        <v>3.5856529999999998E-2</v>
      </c>
      <c r="W1488">
        <v>0.1933521</v>
      </c>
      <c r="X1488">
        <v>0.98047399999999996</v>
      </c>
      <c r="Y1488">
        <v>-5.913624E-2</v>
      </c>
      <c r="Z1488">
        <v>-3.1026280000000001E-3</v>
      </c>
      <c r="AA1488">
        <v>0.9982451</v>
      </c>
      <c r="AB1488">
        <v>35</v>
      </c>
      <c r="AC1488">
        <v>-20.913599999999899</v>
      </c>
      <c r="AD1488">
        <v>-1.1211050722189999</v>
      </c>
      <c r="AE1488">
        <v>-0.64990000000000203</v>
      </c>
      <c r="AF1488">
        <v>-1.25679204845742</v>
      </c>
      <c r="AG1488">
        <v>-1.1211050722189999</v>
      </c>
      <c r="AH1488">
        <v>20.8259102876283</v>
      </c>
      <c r="AI1488">
        <v>93.0758001260334</v>
      </c>
      <c r="AJ1488">
        <v>93.453469984499506</v>
      </c>
      <c r="AK1488">
        <v>20.893897246429699</v>
      </c>
      <c r="AL1488">
        <v>78.851526027811303</v>
      </c>
      <c r="AM1488">
        <v>87.905591886282807</v>
      </c>
      <c r="AN1488">
        <v>0.99999999499702497</v>
      </c>
    </row>
    <row r="1489" spans="1:40" x14ac:dyDescent="0.25">
      <c r="A1489" t="str">
        <f>"20190303162531319"</f>
        <v>20190303162531319</v>
      </c>
      <c r="B1489" t="str">
        <f>"1551601531314062"</f>
        <v>1551601531314062</v>
      </c>
      <c r="C1489" t="s">
        <v>40</v>
      </c>
      <c r="D1489">
        <v>4.8322180000000001</v>
      </c>
      <c r="E1489">
        <v>0.43663689999999999</v>
      </c>
      <c r="F1489" t="s">
        <v>48</v>
      </c>
      <c r="G1489">
        <v>-321.7921</v>
      </c>
      <c r="H1489" s="1">
        <v>-5.0972359999999896E-7</v>
      </c>
      <c r="I1489">
        <v>282.93729999999999</v>
      </c>
      <c r="J1489">
        <v>-300.1859</v>
      </c>
      <c r="K1489">
        <v>1.1211040000000001</v>
      </c>
      <c r="L1489">
        <v>283.64359999999999</v>
      </c>
      <c r="M1489">
        <v>-0.99946610000000002</v>
      </c>
      <c r="N1489">
        <v>-1.465528E-2</v>
      </c>
      <c r="O1489">
        <v>2.9201350000000001E-2</v>
      </c>
      <c r="P1489">
        <v>-0.98180279999999998</v>
      </c>
      <c r="Q1489">
        <v>0.17902779999999999</v>
      </c>
      <c r="R1489">
        <v>6.3342140000000005E-2</v>
      </c>
      <c r="S1489">
        <v>-3.090973</v>
      </c>
      <c r="T1489">
        <v>-0.15775220000000001</v>
      </c>
      <c r="U1489">
        <v>-9.7900390000000004E-2</v>
      </c>
      <c r="V1489">
        <v>3.4649260000000001E-2</v>
      </c>
      <c r="W1489">
        <v>0.19341710000000001</v>
      </c>
      <c r="X1489">
        <v>0.98050459999999995</v>
      </c>
      <c r="Y1489">
        <v>-6.0712519999999999E-2</v>
      </c>
      <c r="Z1489">
        <v>-3.0546029999999999E-3</v>
      </c>
      <c r="AA1489">
        <v>0.9981506</v>
      </c>
      <c r="AB1489">
        <v>35</v>
      </c>
      <c r="AC1489">
        <v>-21.606200000000001</v>
      </c>
      <c r="AD1489">
        <v>-1.1211045097236001</v>
      </c>
      <c r="AE1489">
        <v>-0.70629999999999804</v>
      </c>
      <c r="AF1489">
        <v>-1.33341050563265</v>
      </c>
      <c r="AG1489">
        <v>-1.1211045097236001</v>
      </c>
      <c r="AH1489">
        <v>21.518482956865601</v>
      </c>
      <c r="AI1489">
        <v>92.976691997703597</v>
      </c>
      <c r="AJ1489">
        <v>93.545846364854</v>
      </c>
      <c r="AK1489">
        <v>21.588885280698701</v>
      </c>
      <c r="AL1489">
        <v>78.847730296595003</v>
      </c>
      <c r="AM1489">
        <v>87.976112919922102</v>
      </c>
      <c r="AN1489">
        <v>1.0000000082060501</v>
      </c>
    </row>
    <row r="1490" spans="1:40" x14ac:dyDescent="0.25">
      <c r="A1490" t="str">
        <f>"20190303162531342"</f>
        <v>20190303162531342</v>
      </c>
      <c r="B1490" t="str">
        <f>"1551601531334558"</f>
        <v>1551601531334558</v>
      </c>
      <c r="C1490" t="s">
        <v>40</v>
      </c>
      <c r="D1490">
        <v>4.7901249999999997</v>
      </c>
      <c r="E1490">
        <v>0.43671949999999998</v>
      </c>
      <c r="F1490" t="s">
        <v>48</v>
      </c>
      <c r="G1490">
        <v>-333.19529999999997</v>
      </c>
      <c r="H1490" s="1">
        <v>3.5687050000000001E-7</v>
      </c>
      <c r="I1490">
        <v>280.19450000000001</v>
      </c>
      <c r="J1490">
        <v>-300.53910000000002</v>
      </c>
      <c r="K1490">
        <v>1.1211040000000001</v>
      </c>
      <c r="L1490">
        <v>283.65390000000002</v>
      </c>
      <c r="M1490">
        <v>-0.99946610000000002</v>
      </c>
      <c r="N1490">
        <v>-1.465578E-2</v>
      </c>
      <c r="O1490">
        <v>2.9201350000000001E-2</v>
      </c>
      <c r="P1490">
        <v>-0.98191019999999896</v>
      </c>
      <c r="Q1490">
        <v>0.17872089999999999</v>
      </c>
      <c r="R1490">
        <v>6.2539629999999999E-2</v>
      </c>
      <c r="S1490">
        <v>-3.0956419999999998</v>
      </c>
      <c r="T1490">
        <v>-0.1051377</v>
      </c>
      <c r="U1490">
        <v>-0.32345580000000002</v>
      </c>
      <c r="V1490">
        <v>3.384421E-2</v>
      </c>
      <c r="W1490">
        <v>0.19311159999999999</v>
      </c>
      <c r="X1490">
        <v>0.98059289999999999</v>
      </c>
      <c r="Y1490">
        <v>-0.1328096</v>
      </c>
      <c r="Z1490">
        <v>-3.7872790000000002E-3</v>
      </c>
      <c r="AA1490">
        <v>0.99113430000000002</v>
      </c>
      <c r="AB1490">
        <v>35</v>
      </c>
      <c r="AC1490">
        <v>-32.656199999999899</v>
      </c>
      <c r="AD1490">
        <v>-1.1211036431295001</v>
      </c>
      <c r="AE1490">
        <v>-3.4594000000000098</v>
      </c>
      <c r="AF1490">
        <v>-4.4064961899382498</v>
      </c>
      <c r="AG1490">
        <v>-1.1211036431295001</v>
      </c>
      <c r="AH1490">
        <v>32.503357968427999</v>
      </c>
      <c r="AI1490">
        <v>91.957565667231407</v>
      </c>
      <c r="AJ1490">
        <v>97.720546996616704</v>
      </c>
      <c r="AK1490">
        <v>32.819847063543001</v>
      </c>
      <c r="AL1490">
        <v>78.865570163676594</v>
      </c>
      <c r="AM1490">
        <v>88.023276562486799</v>
      </c>
      <c r="AN1490">
        <v>0.99999997806774599</v>
      </c>
    </row>
    <row r="1491" spans="1:40" x14ac:dyDescent="0.25">
      <c r="A1491" t="str">
        <f>"20190303162531364"</f>
        <v>20190303162531364</v>
      </c>
      <c r="B1491" t="str">
        <f>"1551601531354079"</f>
        <v>1551601531354079</v>
      </c>
      <c r="C1491" t="s">
        <v>40</v>
      </c>
      <c r="D1491">
        <v>4.7263909999999996</v>
      </c>
      <c r="E1491">
        <v>0.4367258</v>
      </c>
      <c r="F1491" t="s">
        <v>48</v>
      </c>
      <c r="G1491">
        <v>-334.05250000000001</v>
      </c>
      <c r="H1491" s="1">
        <v>8.1566079999999998E-7</v>
      </c>
      <c r="I1491">
        <v>280.13440000000003</v>
      </c>
      <c r="J1491">
        <v>-300.88589999999999</v>
      </c>
      <c r="K1491">
        <v>1.121111</v>
      </c>
      <c r="L1491">
        <v>283.66399999999999</v>
      </c>
      <c r="M1491">
        <v>-0.99946619999999997</v>
      </c>
      <c r="N1491">
        <v>-1.4655690000000001E-2</v>
      </c>
      <c r="O1491">
        <v>2.9201169999999999E-2</v>
      </c>
      <c r="P1491">
        <v>-0.98189020000000005</v>
      </c>
      <c r="Q1491">
        <v>0.17899970000000001</v>
      </c>
      <c r="R1491">
        <v>6.2054499999999999E-2</v>
      </c>
      <c r="S1491">
        <v>-3.0948180000000001</v>
      </c>
      <c r="T1491">
        <v>-0.1035291</v>
      </c>
      <c r="U1491">
        <v>-0.32501219999999997</v>
      </c>
      <c r="V1491">
        <v>3.3359769999999997E-2</v>
      </c>
      <c r="W1491">
        <v>0.19339039999999999</v>
      </c>
      <c r="X1491">
        <v>0.98055460000000005</v>
      </c>
      <c r="Y1491">
        <v>-0.13333229999999999</v>
      </c>
      <c r="Z1491">
        <v>-3.751112E-3</v>
      </c>
      <c r="AA1491">
        <v>0.99106430000000001</v>
      </c>
      <c r="AB1491">
        <v>35</v>
      </c>
      <c r="AC1491">
        <v>-33.166600000000003</v>
      </c>
      <c r="AD1491">
        <v>-1.1211101843392</v>
      </c>
      <c r="AE1491">
        <v>-3.5295999999999501</v>
      </c>
      <c r="AF1491">
        <v>-4.4916272947224698</v>
      </c>
      <c r="AG1491">
        <v>-1.1211101843392</v>
      </c>
      <c r="AH1491">
        <v>33.012076480955699</v>
      </c>
      <c r="AI1491">
        <v>91.927307851497204</v>
      </c>
      <c r="AJ1491">
        <v>97.748092940018495</v>
      </c>
      <c r="AK1491">
        <v>33.335098580694101</v>
      </c>
      <c r="AL1491">
        <v>78.849289692892796</v>
      </c>
      <c r="AM1491">
        <v>88.0514730155965</v>
      </c>
      <c r="AN1491">
        <v>1.0000000223238801</v>
      </c>
    </row>
    <row r="1492" spans="1:40" x14ac:dyDescent="0.25">
      <c r="A1492" t="str">
        <f>"20190303162531387"</f>
        <v>20190303162531387</v>
      </c>
      <c r="B1492" t="str">
        <f>"1551601531374575"</f>
        <v>1551601531374575</v>
      </c>
      <c r="C1492" t="s">
        <v>40</v>
      </c>
      <c r="D1492">
        <v>4.6834959999999999</v>
      </c>
      <c r="E1492">
        <v>0.43700640000000002</v>
      </c>
      <c r="F1492" t="s">
        <v>48</v>
      </c>
      <c r="G1492">
        <v>-332.8827</v>
      </c>
      <c r="H1492" s="1">
        <v>1.863588E-7</v>
      </c>
      <c r="I1492">
        <v>280.28960000000001</v>
      </c>
      <c r="J1492">
        <v>-301.23739999999998</v>
      </c>
      <c r="K1492">
        <v>1.1211199999999999</v>
      </c>
      <c r="L1492">
        <v>283.67430000000002</v>
      </c>
      <c r="M1492">
        <v>-0.99946619999999997</v>
      </c>
      <c r="N1492">
        <v>-1.4655100000000001E-2</v>
      </c>
      <c r="O1492">
        <v>2.9201000000000001E-2</v>
      </c>
      <c r="P1492">
        <v>-0.98173370000000004</v>
      </c>
      <c r="Q1492">
        <v>0.17981420000000001</v>
      </c>
      <c r="R1492">
        <v>6.2180249999999999E-2</v>
      </c>
      <c r="S1492">
        <v>-3.0957340000000002</v>
      </c>
      <c r="T1492">
        <v>-0.10846889999999899</v>
      </c>
      <c r="U1492">
        <v>-0.32647710000000002</v>
      </c>
      <c r="V1492">
        <v>3.3490390000000002E-2</v>
      </c>
      <c r="W1492">
        <v>0.1942016</v>
      </c>
      <c r="X1492">
        <v>0.98038979999999998</v>
      </c>
      <c r="Y1492">
        <v>-0.1337555</v>
      </c>
      <c r="Z1492">
        <v>-3.9130759999999997E-3</v>
      </c>
      <c r="AA1492">
        <v>0.99100659999999896</v>
      </c>
      <c r="AB1492">
        <v>35</v>
      </c>
      <c r="AC1492">
        <v>-31.645299999999999</v>
      </c>
      <c r="AD1492">
        <v>-1.1211198136411999</v>
      </c>
      <c r="AE1492">
        <v>-3.3847</v>
      </c>
      <c r="AF1492">
        <v>-4.3020913275545896</v>
      </c>
      <c r="AG1492">
        <v>-1.1211198136411999</v>
      </c>
      <c r="AH1492">
        <v>31.493873508638501</v>
      </c>
      <c r="AI1492">
        <v>92.020012259793504</v>
      </c>
      <c r="AJ1492">
        <v>97.778511382367498</v>
      </c>
      <c r="AK1492">
        <v>31.806115261145699</v>
      </c>
      <c r="AL1492">
        <v>78.801913088550705</v>
      </c>
      <c r="AM1492">
        <v>88.043520918124401</v>
      </c>
      <c r="AN1492">
        <v>1.00000001380447</v>
      </c>
    </row>
    <row r="1493" spans="1:40" x14ac:dyDescent="0.25">
      <c r="A1493" t="str">
        <f>"20190303162531408"</f>
        <v>20190303162531408</v>
      </c>
      <c r="B1493" t="str">
        <f>"1551601531404831"</f>
        <v>1551601531404831</v>
      </c>
      <c r="C1493" t="s">
        <v>40</v>
      </c>
      <c r="D1493">
        <v>4.6425859999999997</v>
      </c>
      <c r="E1493">
        <v>0.43766549999999999</v>
      </c>
      <c r="F1493" t="s">
        <v>48</v>
      </c>
      <c r="G1493">
        <v>-332.26100000000002</v>
      </c>
      <c r="H1493" s="1">
        <v>-1.5009369999999999E-7</v>
      </c>
      <c r="I1493">
        <v>280.41759999999999</v>
      </c>
      <c r="J1493">
        <v>-301.58069999999998</v>
      </c>
      <c r="K1493">
        <v>1.1211279999999999</v>
      </c>
      <c r="L1493">
        <v>283.68439999999998</v>
      </c>
      <c r="M1493">
        <v>-0.99946619999999997</v>
      </c>
      <c r="N1493">
        <v>-1.465408E-2</v>
      </c>
      <c r="O1493">
        <v>2.9200819999999999E-2</v>
      </c>
      <c r="P1493">
        <v>-0.9816336</v>
      </c>
      <c r="Q1493">
        <v>0.1799859</v>
      </c>
      <c r="R1493">
        <v>6.3252429999999998E-2</v>
      </c>
      <c r="S1493">
        <v>-3.0968930000000001</v>
      </c>
      <c r="T1493">
        <v>-0.1119146</v>
      </c>
      <c r="U1493">
        <v>-0.3251038</v>
      </c>
      <c r="V1493">
        <v>3.4565310000000002E-2</v>
      </c>
      <c r="W1493">
        <v>0.19437090000000001</v>
      </c>
      <c r="X1493">
        <v>0.98031889999999999</v>
      </c>
      <c r="Y1493">
        <v>-0.13327549999999999</v>
      </c>
      <c r="Z1493">
        <v>-4.0061949999999997E-3</v>
      </c>
      <c r="AA1493">
        <v>0.99107089999999998</v>
      </c>
      <c r="AB1493">
        <v>35</v>
      </c>
      <c r="AC1493">
        <v>-30.6802999999999</v>
      </c>
      <c r="AD1493">
        <v>-1.1211281500937</v>
      </c>
      <c r="AE1493">
        <v>-3.2667999999999799</v>
      </c>
      <c r="AF1493">
        <v>-4.1559053720448196</v>
      </c>
      <c r="AG1493">
        <v>-1.1211281500937</v>
      </c>
      <c r="AH1493">
        <v>30.531497740614299</v>
      </c>
      <c r="AI1493">
        <v>92.083779189291306</v>
      </c>
      <c r="AJ1493">
        <v>97.751383503138797</v>
      </c>
      <c r="AK1493">
        <v>30.833436916364999</v>
      </c>
      <c r="AL1493">
        <v>78.792024061802294</v>
      </c>
      <c r="AM1493">
        <v>87.980630297470896</v>
      </c>
      <c r="AN1493">
        <v>0.99999997655970696</v>
      </c>
    </row>
    <row r="1494" spans="1:40" x14ac:dyDescent="0.25">
      <c r="A1494" t="str">
        <f>"20190303162531432"</f>
        <v>20190303162531432</v>
      </c>
      <c r="B1494" t="str">
        <f>"1551601531424351"</f>
        <v>1551601531424351</v>
      </c>
      <c r="C1494" t="s">
        <v>40</v>
      </c>
      <c r="D1494">
        <v>4.6114040000000003</v>
      </c>
      <c r="E1494">
        <v>0.43792360000000002</v>
      </c>
      <c r="F1494" t="s">
        <v>48</v>
      </c>
      <c r="G1494">
        <v>-332.01119999999997</v>
      </c>
      <c r="H1494" s="1">
        <v>-2.897589E-7</v>
      </c>
      <c r="I1494">
        <v>280.572</v>
      </c>
      <c r="J1494">
        <v>-301.9436</v>
      </c>
      <c r="K1494">
        <v>1.121132</v>
      </c>
      <c r="L1494">
        <v>283.69499999999999</v>
      </c>
      <c r="M1494">
        <v>-0.99946630000000003</v>
      </c>
      <c r="N1494">
        <v>-1.46526E-2</v>
      </c>
      <c r="O1494">
        <v>2.920066E-2</v>
      </c>
      <c r="P1494">
        <v>-0.98170999999999997</v>
      </c>
      <c r="Q1494">
        <v>0.1798585</v>
      </c>
      <c r="R1494">
        <v>6.2421789999999998E-2</v>
      </c>
      <c r="S1494">
        <v>-3.0974729999999999</v>
      </c>
      <c r="T1494">
        <v>-0.1141181</v>
      </c>
      <c r="U1494">
        <v>-0.316803</v>
      </c>
      <c r="V1494">
        <v>3.373259E-2</v>
      </c>
      <c r="W1494">
        <v>0.1942432</v>
      </c>
      <c r="X1494">
        <v>0.9803733</v>
      </c>
      <c r="Y1494">
        <v>-0.13062579999999999</v>
      </c>
      <c r="Z1494">
        <v>-4.0055759999999899E-3</v>
      </c>
      <c r="AA1494">
        <v>0.99142370000000002</v>
      </c>
      <c r="AB1494">
        <v>35</v>
      </c>
      <c r="AC1494">
        <v>-30.067599999999899</v>
      </c>
      <c r="AD1494">
        <v>-1.1211322897589</v>
      </c>
      <c r="AE1494">
        <v>-3.12299999999999</v>
      </c>
      <c r="AF1494">
        <v>-3.9942618398121099</v>
      </c>
      <c r="AG1494">
        <v>-1.1211322897589</v>
      </c>
      <c r="AH1494">
        <v>29.9224142257209</v>
      </c>
      <c r="AI1494">
        <v>92.126904870200505</v>
      </c>
      <c r="AJ1494">
        <v>97.603309907566697</v>
      </c>
      <c r="AK1494">
        <v>30.208640127482401</v>
      </c>
      <c r="AL1494">
        <v>78.799483815120496</v>
      </c>
      <c r="AM1494">
        <v>88.029349783144696</v>
      </c>
      <c r="AN1494">
        <v>1.0000000578636099</v>
      </c>
    </row>
    <row r="1495" spans="1:40" x14ac:dyDescent="0.25">
      <c r="A1495" t="str">
        <f>"20190303162531454"</f>
        <v>20190303162531454</v>
      </c>
      <c r="B1495" t="str">
        <f>"1551601531444846"</f>
        <v>1551601531444846</v>
      </c>
      <c r="C1495" t="s">
        <v>40</v>
      </c>
      <c r="D1495">
        <v>4.6528390000000002</v>
      </c>
      <c r="E1495">
        <v>0.43820789999999998</v>
      </c>
      <c r="F1495" t="s">
        <v>48</v>
      </c>
      <c r="G1495">
        <v>-332.8476</v>
      </c>
      <c r="H1495" s="1">
        <v>1.576627E-7</v>
      </c>
      <c r="I1495">
        <v>280.51940000000002</v>
      </c>
      <c r="J1495">
        <v>-302.28899999999999</v>
      </c>
      <c r="K1495">
        <v>1.121129</v>
      </c>
      <c r="L1495">
        <v>283.70510000000002</v>
      </c>
      <c r="M1495">
        <v>-0.99946619999999997</v>
      </c>
      <c r="N1495">
        <v>-1.465088E-2</v>
      </c>
      <c r="O1495">
        <v>2.9200670000000001E-2</v>
      </c>
      <c r="P1495">
        <v>-0.9817941</v>
      </c>
      <c r="Q1495">
        <v>0.17953920000000001</v>
      </c>
      <c r="R1495">
        <v>6.2018459999999997E-2</v>
      </c>
      <c r="S1495">
        <v>-3.0967410000000002</v>
      </c>
      <c r="T1495">
        <v>-0.1123432</v>
      </c>
      <c r="U1495">
        <v>-0.31820680000000001</v>
      </c>
      <c r="V1495">
        <v>3.3327210000000003E-2</v>
      </c>
      <c r="W1495">
        <v>0.19392329999999999</v>
      </c>
      <c r="X1495">
        <v>0.9804505</v>
      </c>
      <c r="Y1495">
        <v>-0.13109749999999901</v>
      </c>
      <c r="Z1495">
        <v>-3.9642890000000002E-3</v>
      </c>
      <c r="AA1495">
        <v>0.99136159999999995</v>
      </c>
      <c r="AB1495">
        <v>35</v>
      </c>
      <c r="AC1495">
        <v>-30.558599999999998</v>
      </c>
      <c r="AD1495">
        <v>-1.1211288423373</v>
      </c>
      <c r="AE1495">
        <v>-3.18569999999999</v>
      </c>
      <c r="AF1495">
        <v>-4.07134749509048</v>
      </c>
      <c r="AG1495">
        <v>-1.1211288423373</v>
      </c>
      <c r="AH1495">
        <v>30.412037095016</v>
      </c>
      <c r="AI1495">
        <v>92.092580846901996</v>
      </c>
      <c r="AJ1495">
        <v>97.625015917789099</v>
      </c>
      <c r="AK1495">
        <v>30.703823875464298</v>
      </c>
      <c r="AL1495">
        <v>78.818168105890507</v>
      </c>
      <c r="AM1495">
        <v>88.053166839168199</v>
      </c>
      <c r="AN1495">
        <v>1.0000000660797499</v>
      </c>
    </row>
    <row r="1496" spans="1:40" x14ac:dyDescent="0.25">
      <c r="A1496" t="str">
        <f>"20190303162531477"</f>
        <v>20190303162531477</v>
      </c>
      <c r="B1496" t="str">
        <f>"1551601531464366"</f>
        <v>1551601531464366</v>
      </c>
      <c r="C1496" t="s">
        <v>40</v>
      </c>
      <c r="D1496">
        <v>4.656561</v>
      </c>
      <c r="E1496">
        <v>0.43849549999999998</v>
      </c>
      <c r="F1496" t="s">
        <v>48</v>
      </c>
      <c r="G1496">
        <v>-332.7903</v>
      </c>
      <c r="H1496" s="1">
        <v>1.2452899999999999E-7</v>
      </c>
      <c r="I1496">
        <v>280.5797</v>
      </c>
      <c r="J1496">
        <v>-302.63459999999998</v>
      </c>
      <c r="K1496">
        <v>1.12112099999999</v>
      </c>
      <c r="L1496">
        <v>283.71519999999998</v>
      </c>
      <c r="M1496">
        <v>-0.99946630000000003</v>
      </c>
      <c r="N1496">
        <v>-1.4648889999999999E-2</v>
      </c>
      <c r="O1496">
        <v>2.9200569999999999E-2</v>
      </c>
      <c r="P1496">
        <v>-0.98182930000000002</v>
      </c>
      <c r="Q1496">
        <v>0.17950820000000001</v>
      </c>
      <c r="R1496">
        <v>6.1548739999999998E-2</v>
      </c>
      <c r="S1496">
        <v>-3.096527</v>
      </c>
      <c r="T1496">
        <v>-0.1138183</v>
      </c>
      <c r="U1496">
        <v>-0.3172913</v>
      </c>
      <c r="V1496">
        <v>3.285677E-2</v>
      </c>
      <c r="W1496">
        <v>0.19389100000000001</v>
      </c>
      <c r="X1496">
        <v>0.98047269999999997</v>
      </c>
      <c r="Y1496">
        <v>-0.1308115</v>
      </c>
      <c r="Z1496">
        <v>-4.0021270000000003E-3</v>
      </c>
      <c r="AA1496">
        <v>0.99139920000000004</v>
      </c>
      <c r="AB1496">
        <v>35</v>
      </c>
      <c r="AC1496">
        <v>-30.1557</v>
      </c>
      <c r="AD1496">
        <v>-1.12112087547099</v>
      </c>
      <c r="AE1496">
        <v>-3.1354999999999702</v>
      </c>
      <c r="AF1496">
        <v>-4.00933833378246</v>
      </c>
      <c r="AG1496">
        <v>-1.12112087547099</v>
      </c>
      <c r="AH1496">
        <v>30.010233780417401</v>
      </c>
      <c r="AI1496">
        <v>92.120633920505398</v>
      </c>
      <c r="AJ1496">
        <v>97.609600631257194</v>
      </c>
      <c r="AK1496">
        <v>30.297620986596598</v>
      </c>
      <c r="AL1496">
        <v>78.820053831421603</v>
      </c>
      <c r="AM1496">
        <v>88.080670657381802</v>
      </c>
      <c r="AN1496">
        <v>1.0000000013305601</v>
      </c>
    </row>
    <row r="1497" spans="1:40" x14ac:dyDescent="0.25">
      <c r="A1497" t="str">
        <f>"20190303162531499"</f>
        <v>20190303162531499</v>
      </c>
      <c r="B1497" t="str">
        <f>"1551601531494623"</f>
        <v>1551601531494623</v>
      </c>
      <c r="C1497" t="s">
        <v>40</v>
      </c>
      <c r="D1497">
        <v>4.5657509999999997</v>
      </c>
      <c r="E1497">
        <v>0.43924289999999999</v>
      </c>
      <c r="F1497" t="s">
        <v>48</v>
      </c>
      <c r="G1497">
        <v>-332.93060000000003</v>
      </c>
      <c r="H1497" s="1">
        <v>1.975864E-7</v>
      </c>
      <c r="I1497">
        <v>280.61599999999999</v>
      </c>
      <c r="J1497">
        <v>-302.9785</v>
      </c>
      <c r="K1497">
        <v>1.121122</v>
      </c>
      <c r="L1497">
        <v>283.72519999999997</v>
      </c>
      <c r="M1497">
        <v>-0.99946639999999998</v>
      </c>
      <c r="N1497">
        <v>-1.464668E-2</v>
      </c>
      <c r="O1497">
        <v>2.9200400000000001E-2</v>
      </c>
      <c r="P1497">
        <v>-0.98198470000000004</v>
      </c>
      <c r="Q1497">
        <v>0.17880960000000001</v>
      </c>
      <c r="R1497">
        <v>6.1103629999999999E-2</v>
      </c>
      <c r="S1497">
        <v>-3.0963440000000002</v>
      </c>
      <c r="T1497">
        <v>-0.1145822</v>
      </c>
      <c r="U1497">
        <v>-0.31674190000000002</v>
      </c>
      <c r="V1497">
        <v>3.2407459999999999E-2</v>
      </c>
      <c r="W1497">
        <v>0.19319210000000001</v>
      </c>
      <c r="X1497">
        <v>0.98062559999999999</v>
      </c>
      <c r="Y1497">
        <v>-0.1306418</v>
      </c>
      <c r="Z1497">
        <v>-4.0211520000000001E-3</v>
      </c>
      <c r="AA1497">
        <v>0.99142149999999996</v>
      </c>
      <c r="AB1497">
        <v>35</v>
      </c>
      <c r="AC1497">
        <v>-29.952100000000002</v>
      </c>
      <c r="AD1497">
        <v>-1.1211218024136</v>
      </c>
      <c r="AE1497">
        <v>-3.10919999999998</v>
      </c>
      <c r="AF1497">
        <v>-3.97706825626967</v>
      </c>
      <c r="AG1497">
        <v>-1.1211218024136</v>
      </c>
      <c r="AH1497">
        <v>29.8072094625938</v>
      </c>
      <c r="AI1497">
        <v>92.135114835992496</v>
      </c>
      <c r="AJ1497">
        <v>97.599881742246495</v>
      </c>
      <c r="AK1497">
        <v>30.0922535207621</v>
      </c>
      <c r="AL1497">
        <v>78.860869569437895</v>
      </c>
      <c r="AM1497">
        <v>88.107192845578595</v>
      </c>
      <c r="AN1497">
        <v>0.99999999917071003</v>
      </c>
    </row>
    <row r="1498" spans="1:40" x14ac:dyDescent="0.25">
      <c r="A1498" t="str">
        <f>"20190303162531520"</f>
        <v>20190303162531520</v>
      </c>
      <c r="B1498" t="str">
        <f>"1551601531515119"</f>
        <v>1551601531515119</v>
      </c>
      <c r="C1498" t="s">
        <v>40</v>
      </c>
      <c r="D1498">
        <v>4.5765370000000001</v>
      </c>
      <c r="E1498">
        <v>0.43976159999999997</v>
      </c>
      <c r="F1498" t="s">
        <v>48</v>
      </c>
      <c r="G1498">
        <v>-333.96080000000001</v>
      </c>
      <c r="H1498" s="1">
        <v>7.4665180000000005E-7</v>
      </c>
      <c r="I1498">
        <v>280.59739999999999</v>
      </c>
      <c r="J1498">
        <v>-303.3186</v>
      </c>
      <c r="K1498">
        <v>1.1211249999999999</v>
      </c>
      <c r="L1498">
        <v>283.73509999999999</v>
      </c>
      <c r="M1498">
        <v>-0.99946639999999998</v>
      </c>
      <c r="N1498">
        <v>-1.4644280000000001E-2</v>
      </c>
      <c r="O1498">
        <v>2.9200239999999999E-2</v>
      </c>
      <c r="P1498">
        <v>-0.98203339999999995</v>
      </c>
      <c r="Q1498">
        <v>0.1787116</v>
      </c>
      <c r="R1498">
        <v>6.060227E-2</v>
      </c>
      <c r="S1498">
        <v>-3.0948790000000002</v>
      </c>
      <c r="T1498">
        <v>-0.1119906</v>
      </c>
      <c r="U1498">
        <v>-0.31243900000000002</v>
      </c>
      <c r="V1498">
        <v>3.1904910000000002E-2</v>
      </c>
      <c r="W1498">
        <v>0.1930924</v>
      </c>
      <c r="X1498">
        <v>0.98066169999999997</v>
      </c>
      <c r="Y1498">
        <v>-0.1293311</v>
      </c>
      <c r="Z1498">
        <v>-3.9106719999999996E-3</v>
      </c>
      <c r="AA1498">
        <v>0.99159379999999997</v>
      </c>
      <c r="AB1498">
        <v>35</v>
      </c>
      <c r="AC1498">
        <v>-30.642199999999999</v>
      </c>
      <c r="AD1498">
        <v>-1.1211242533482</v>
      </c>
      <c r="AE1498">
        <v>-3.1376999999999899</v>
      </c>
      <c r="AF1498">
        <v>-4.0258838727661299</v>
      </c>
      <c r="AG1498">
        <v>-1.1211242533482</v>
      </c>
      <c r="AH1498">
        <v>30.497098034664599</v>
      </c>
      <c r="AI1498">
        <v>92.087248730134803</v>
      </c>
      <c r="AJ1498">
        <v>97.520063229476705</v>
      </c>
      <c r="AK1498">
        <v>30.7820994911716</v>
      </c>
      <c r="AL1498">
        <v>78.866691412033504</v>
      </c>
      <c r="AM1498">
        <v>88.136592737363799</v>
      </c>
      <c r="AN1498">
        <v>0.99999998403337897</v>
      </c>
    </row>
    <row r="1499" spans="1:40" x14ac:dyDescent="0.25">
      <c r="A1499" t="str">
        <f>"20190303162531543"</f>
        <v>20190303162531543</v>
      </c>
      <c r="B1499" t="str">
        <f>"1551601531534638"</f>
        <v>1551601531534638</v>
      </c>
      <c r="C1499" t="s">
        <v>40</v>
      </c>
      <c r="D1499">
        <v>4.5535319999999997</v>
      </c>
      <c r="E1499">
        <v>0.4401388</v>
      </c>
      <c r="F1499" t="s">
        <v>48</v>
      </c>
      <c r="G1499">
        <v>-334.53280000000001</v>
      </c>
      <c r="H1499" s="1">
        <v>1.050616E-6</v>
      </c>
      <c r="I1499">
        <v>280.6071</v>
      </c>
      <c r="J1499">
        <v>-303.66730000000001</v>
      </c>
      <c r="K1499">
        <v>1.1211249999999999</v>
      </c>
      <c r="L1499">
        <v>283.74529999999999</v>
      </c>
      <c r="M1499">
        <v>-0.99946650000000004</v>
      </c>
      <c r="N1499">
        <v>-1.4641650000000001E-2</v>
      </c>
      <c r="O1499">
        <v>2.919942E-2</v>
      </c>
      <c r="P1499">
        <v>-0.98205830000000005</v>
      </c>
      <c r="Q1499">
        <v>0.178758</v>
      </c>
      <c r="R1499">
        <v>6.0063140000000001E-2</v>
      </c>
      <c r="S1499">
        <v>-3.0942989999999999</v>
      </c>
      <c r="T1499">
        <v>-0.11113820000000001</v>
      </c>
      <c r="U1499">
        <v>-0.31008909999999901</v>
      </c>
      <c r="V1499">
        <v>3.1366169999999999E-2</v>
      </c>
      <c r="W1499">
        <v>0.19313640000000001</v>
      </c>
      <c r="X1499">
        <v>0.9806705</v>
      </c>
      <c r="Y1499">
        <v>-0.12860559999999999</v>
      </c>
      <c r="Z1499">
        <v>-3.867171E-3</v>
      </c>
      <c r="AA1499">
        <v>0.99168829999999997</v>
      </c>
      <c r="AB1499">
        <v>35</v>
      </c>
      <c r="AC1499">
        <v>-30.865500000000001</v>
      </c>
      <c r="AD1499">
        <v>-1.121123949384</v>
      </c>
      <c r="AE1499">
        <v>-3.1381999999999799</v>
      </c>
      <c r="AF1499">
        <v>-4.0329463672433903</v>
      </c>
      <c r="AG1499">
        <v>-1.121123949384</v>
      </c>
      <c r="AH1499">
        <v>30.720576341635201</v>
      </c>
      <c r="AI1499">
        <v>92.072273344169503</v>
      </c>
      <c r="AJ1499">
        <v>97.478926750744407</v>
      </c>
      <c r="AK1499">
        <v>31.004441392696901</v>
      </c>
      <c r="AL1499">
        <v>78.864122974785701</v>
      </c>
      <c r="AM1499">
        <v>88.168052667112903</v>
      </c>
      <c r="AN1499">
        <v>1.00000006759783</v>
      </c>
    </row>
    <row r="1500" spans="1:40" x14ac:dyDescent="0.25">
      <c r="A1500" t="str">
        <f>"20190303162531563"</f>
        <v>20190303162531563</v>
      </c>
      <c r="B1500" t="str">
        <f>"1551601531554159"</f>
        <v>1551601531554159</v>
      </c>
      <c r="C1500" t="s">
        <v>40</v>
      </c>
      <c r="D1500">
        <v>4.585045</v>
      </c>
      <c r="E1500">
        <v>0.44047560000000002</v>
      </c>
      <c r="F1500" t="s">
        <v>48</v>
      </c>
      <c r="G1500">
        <v>-335.08100000000002</v>
      </c>
      <c r="H1500" s="1">
        <v>1.341853E-6</v>
      </c>
      <c r="I1500">
        <v>280.61810000000003</v>
      </c>
      <c r="J1500">
        <v>-303.9914</v>
      </c>
      <c r="K1500">
        <v>1.121132</v>
      </c>
      <c r="L1500">
        <v>283.75479999999999</v>
      </c>
      <c r="M1500">
        <v>-0.99946639999999998</v>
      </c>
      <c r="N1500">
        <v>-1.4639050000000001E-2</v>
      </c>
      <c r="O1500">
        <v>2.9195599999999901E-2</v>
      </c>
      <c r="P1500">
        <v>-0.98209959999999996</v>
      </c>
      <c r="Q1500">
        <v>0.17885210000000001</v>
      </c>
      <c r="R1500">
        <v>5.9096410000000002E-2</v>
      </c>
      <c r="S1500">
        <v>-3.0937809999999999</v>
      </c>
      <c r="T1500">
        <v>-0.1104139</v>
      </c>
      <c r="U1500">
        <v>-0.30798340000000002</v>
      </c>
      <c r="V1500">
        <v>3.040147E-2</v>
      </c>
      <c r="W1500">
        <v>0.19322810000000001</v>
      </c>
      <c r="X1500">
        <v>0.98068270000000002</v>
      </c>
      <c r="Y1500">
        <v>-0.12795200000000001</v>
      </c>
      <c r="Z1500">
        <v>-3.829369E-3</v>
      </c>
      <c r="AA1500">
        <v>0.99177289999999996</v>
      </c>
      <c r="AB1500">
        <v>35</v>
      </c>
      <c r="AC1500">
        <v>-31.089599999999901</v>
      </c>
      <c r="AD1500">
        <v>-1.121130658147</v>
      </c>
      <c r="AE1500">
        <v>-3.1366999999999599</v>
      </c>
      <c r="AF1500">
        <v>-4.0379414081575504</v>
      </c>
      <c r="AG1500">
        <v>-1.121130658147</v>
      </c>
      <c r="AH1500">
        <v>30.9449207820646</v>
      </c>
      <c r="AI1500">
        <v>92.057484088022505</v>
      </c>
      <c r="AJ1500">
        <v>97.434407140127902</v>
      </c>
      <c r="AK1500">
        <v>31.2273922538627</v>
      </c>
      <c r="AL1500">
        <v>78.858766788851696</v>
      </c>
      <c r="AM1500">
        <v>88.224381595235997</v>
      </c>
      <c r="AN1500">
        <v>0.99999995304352896</v>
      </c>
    </row>
    <row r="1501" spans="1:40" x14ac:dyDescent="0.25">
      <c r="A1501" t="str">
        <f>"20190303162531589"</f>
        <v>20190303162531589</v>
      </c>
      <c r="B1501" t="str">
        <f>"1551601531574655"</f>
        <v>1551601531574655</v>
      </c>
      <c r="C1501" t="s">
        <v>40</v>
      </c>
      <c r="D1501">
        <v>4.6190009999999999</v>
      </c>
      <c r="E1501">
        <v>0.45194859999999998</v>
      </c>
      <c r="F1501" t="s">
        <v>48</v>
      </c>
      <c r="G1501">
        <v>-335.71769999999998</v>
      </c>
      <c r="H1501" s="1">
        <v>1.6813070000000001E-6</v>
      </c>
      <c r="I1501">
        <v>280.60289999999998</v>
      </c>
      <c r="J1501">
        <v>-304.36720000000003</v>
      </c>
      <c r="K1501">
        <v>1.12114</v>
      </c>
      <c r="L1501">
        <v>283.76569999999998</v>
      </c>
      <c r="M1501">
        <v>-0.99946690000000005</v>
      </c>
      <c r="N1501">
        <v>-1.463589E-2</v>
      </c>
      <c r="O1501">
        <v>2.9185119999999998E-2</v>
      </c>
      <c r="P1501">
        <v>-0.98187170000000001</v>
      </c>
      <c r="Q1501">
        <v>0.1802676</v>
      </c>
      <c r="R1501">
        <v>5.8580739999999999E-2</v>
      </c>
      <c r="S1501">
        <v>-3.093048</v>
      </c>
      <c r="T1501">
        <v>-0.10930090000000001</v>
      </c>
      <c r="U1501">
        <v>-0.30728149999999999</v>
      </c>
      <c r="V1501">
        <v>2.9901179999999999E-2</v>
      </c>
      <c r="W1501">
        <v>0.19463710000000001</v>
      </c>
      <c r="X1501">
        <v>0.9804195</v>
      </c>
      <c r="Y1501">
        <v>-0.1277442</v>
      </c>
      <c r="Z1501">
        <v>-3.7912319999999998E-3</v>
      </c>
      <c r="AA1501">
        <v>0.99179989999999996</v>
      </c>
      <c r="AB1501">
        <v>35</v>
      </c>
      <c r="AC1501">
        <v>-31.350499999999901</v>
      </c>
      <c r="AD1501">
        <v>-1.121138318693</v>
      </c>
      <c r="AE1501">
        <v>-3.1627999999999998</v>
      </c>
      <c r="AF1501">
        <v>-4.0713641990535798</v>
      </c>
      <c r="AG1501">
        <v>-1.121138318693</v>
      </c>
      <c r="AH1501">
        <v>31.205320239044799</v>
      </c>
      <c r="AI1501">
        <v>92.040348136337997</v>
      </c>
      <c r="AJ1501">
        <v>97.433402968897099</v>
      </c>
      <c r="AK1501">
        <v>31.4897597449126</v>
      </c>
      <c r="AL1501">
        <v>78.776475669518604</v>
      </c>
      <c r="AM1501">
        <v>88.253114578222593</v>
      </c>
      <c r="AN1501">
        <v>1.0000000386210199</v>
      </c>
    </row>
    <row r="1502" spans="1:40" x14ac:dyDescent="0.25">
      <c r="A1502" t="str">
        <f>"20190303162531611"</f>
        <v>20190303162531611</v>
      </c>
      <c r="B1502" t="str">
        <f>"1551601531604911"</f>
        <v>1551601531604911</v>
      </c>
      <c r="C1502" t="s">
        <v>40</v>
      </c>
      <c r="D1502">
        <v>4.5716679999999998</v>
      </c>
      <c r="E1502">
        <v>0.45314650000000001</v>
      </c>
      <c r="F1502" t="s">
        <v>48</v>
      </c>
      <c r="G1502">
        <v>-353.75830000000002</v>
      </c>
      <c r="H1502" s="1">
        <v>4.6319200000000001E-7</v>
      </c>
      <c r="I1502">
        <v>280.29689999999999</v>
      </c>
      <c r="J1502">
        <v>-304.71140000000003</v>
      </c>
      <c r="K1502">
        <v>1.1211420000000001</v>
      </c>
      <c r="L1502">
        <v>283.7758</v>
      </c>
      <c r="M1502">
        <v>-0.99946740000000001</v>
      </c>
      <c r="N1502">
        <v>-1.4632849999999999E-2</v>
      </c>
      <c r="O1502">
        <v>2.9170939999999999E-2</v>
      </c>
      <c r="P1502">
        <v>-0.9817437</v>
      </c>
      <c r="Q1502">
        <v>0.18106559999999999</v>
      </c>
      <c r="R1502">
        <v>5.826344E-2</v>
      </c>
      <c r="S1502">
        <v>-3.0811769999999998</v>
      </c>
      <c r="T1502">
        <v>-6.9940329999999995E-2</v>
      </c>
      <c r="U1502">
        <v>-0.21640010000000001</v>
      </c>
      <c r="V1502">
        <v>2.9599440000000001E-2</v>
      </c>
      <c r="W1502">
        <v>0.1954302</v>
      </c>
      <c r="X1502">
        <v>0.9802708</v>
      </c>
      <c r="Y1502">
        <v>-9.9090129999999998E-2</v>
      </c>
      <c r="Z1502">
        <v>-2.0842650000000001E-3</v>
      </c>
      <c r="AA1502">
        <v>0.99507630000000002</v>
      </c>
      <c r="AB1502">
        <v>35</v>
      </c>
      <c r="AC1502">
        <v>-49.046900000000001</v>
      </c>
      <c r="AD1502">
        <v>-1.121141536808</v>
      </c>
      <c r="AE1502">
        <v>-3.4788999999999999</v>
      </c>
      <c r="AF1502">
        <v>-4.9057659670128002</v>
      </c>
      <c r="AG1502">
        <v>-1.121141536808</v>
      </c>
      <c r="AH1502">
        <v>48.8991068171865</v>
      </c>
      <c r="AI1502">
        <v>91.306869351899707</v>
      </c>
      <c r="AJ1502">
        <v>95.728986470607495</v>
      </c>
      <c r="AK1502">
        <v>49.157361051904203</v>
      </c>
      <c r="AL1502">
        <v>78.730143838892005</v>
      </c>
      <c r="AM1502">
        <v>88.270469903264598</v>
      </c>
      <c r="AN1502">
        <v>0.99999996562649596</v>
      </c>
    </row>
    <row r="1503" spans="1:40" x14ac:dyDescent="0.25">
      <c r="A1503" t="str">
        <f>"20190303162531632"</f>
        <v>20190303162531632</v>
      </c>
      <c r="B1503" t="str">
        <f>"1551601531624431"</f>
        <v>1551601531624431</v>
      </c>
      <c r="C1503" t="s">
        <v>40</v>
      </c>
      <c r="D1503">
        <v>4.5673349999999999</v>
      </c>
      <c r="E1503">
        <v>0.45384940000000001</v>
      </c>
      <c r="F1503" t="s">
        <v>48</v>
      </c>
      <c r="G1503">
        <v>-361.47340000000003</v>
      </c>
      <c r="H1503" s="1">
        <v>-7.5271299999999899E-7</v>
      </c>
      <c r="I1503">
        <v>279.96109999999999</v>
      </c>
      <c r="J1503">
        <v>-305.04750000000001</v>
      </c>
      <c r="K1503">
        <v>1.121148</v>
      </c>
      <c r="L1503">
        <v>283.78559999999999</v>
      </c>
      <c r="M1503">
        <v>-0.99946800000000002</v>
      </c>
      <c r="N1503">
        <v>-1.462979E-2</v>
      </c>
      <c r="O1503">
        <v>2.9153249999999999E-2</v>
      </c>
      <c r="P1503">
        <v>-0.98169119999999999</v>
      </c>
      <c r="Q1503">
        <v>0.18155760000000001</v>
      </c>
      <c r="R1503">
        <v>5.7614779999999997E-2</v>
      </c>
      <c r="S1503">
        <v>-3.079285</v>
      </c>
      <c r="T1503">
        <v>-6.0820939999999997E-2</v>
      </c>
      <c r="U1503">
        <v>-0.2069397</v>
      </c>
      <c r="V1503">
        <v>2.8968239999999999E-2</v>
      </c>
      <c r="W1503">
        <v>0.19591890000000001</v>
      </c>
      <c r="X1503">
        <v>0.98019210000000001</v>
      </c>
      <c r="Y1503">
        <v>-9.6081890000000003E-2</v>
      </c>
      <c r="Z1503">
        <v>-1.800725E-3</v>
      </c>
      <c r="AA1503">
        <v>0.99537180000000003</v>
      </c>
      <c r="AB1503">
        <v>35</v>
      </c>
      <c r="AC1503">
        <v>-56.425899999999999</v>
      </c>
      <c r="AD1503">
        <v>-1.121148752713</v>
      </c>
      <c r="AE1503">
        <v>-3.8245</v>
      </c>
      <c r="AF1503">
        <v>-5.4659002831351202</v>
      </c>
      <c r="AG1503">
        <v>-1.121148752713</v>
      </c>
      <c r="AH1503">
        <v>56.2682899798249</v>
      </c>
      <c r="AI1503">
        <v>91.136124160725103</v>
      </c>
      <c r="AJ1503">
        <v>95.548302704027193</v>
      </c>
      <c r="AK1503">
        <v>56.5442614036522</v>
      </c>
      <c r="AL1503">
        <v>78.701591417396202</v>
      </c>
      <c r="AM1503">
        <v>88.307194146393101</v>
      </c>
      <c r="AN1503">
        <v>0.99999996360415799</v>
      </c>
    </row>
    <row r="1504" spans="1:40" x14ac:dyDescent="0.25">
      <c r="A1504" t="str">
        <f>"20190303162531654"</f>
        <v>20190303162531654</v>
      </c>
      <c r="B1504" t="str">
        <f>"1551601531643951"</f>
        <v>1551601531643951</v>
      </c>
      <c r="C1504" t="s">
        <v>40</v>
      </c>
      <c r="D1504">
        <v>4.5643379999999896</v>
      </c>
      <c r="E1504">
        <v>0.45378679999999899</v>
      </c>
      <c r="F1504" t="s">
        <v>48</v>
      </c>
      <c r="G1504">
        <v>-368.26010000000002</v>
      </c>
      <c r="H1504">
        <v>1.363461E-2</v>
      </c>
      <c r="I1504">
        <v>279.61630000000002</v>
      </c>
      <c r="J1504">
        <v>-305.37799999999999</v>
      </c>
      <c r="K1504">
        <v>1.121164</v>
      </c>
      <c r="L1504">
        <v>283.79520000000002</v>
      </c>
      <c r="M1504">
        <v>-0.99946860000000004</v>
      </c>
      <c r="N1504">
        <v>-1.4626689999999999E-2</v>
      </c>
      <c r="O1504">
        <v>2.9132959999999999E-2</v>
      </c>
      <c r="P1504">
        <v>-0.98170449999999998</v>
      </c>
      <c r="Q1504">
        <v>0.18166599999999999</v>
      </c>
      <c r="R1504">
        <v>5.7043280000000002E-2</v>
      </c>
      <c r="S1504">
        <v>-3.0778500000000002</v>
      </c>
      <c r="T1504">
        <v>-5.3925399999999998E-2</v>
      </c>
      <c r="U1504">
        <v>-0.20300289999999999</v>
      </c>
      <c r="V1504">
        <v>2.8415340000000001E-2</v>
      </c>
      <c r="W1504">
        <v>0.19602359999999999</v>
      </c>
      <c r="X1504">
        <v>0.98018740000000004</v>
      </c>
      <c r="Y1504">
        <v>-9.4831299999999993E-2</v>
      </c>
      <c r="Z1504">
        <v>-1.608483E-3</v>
      </c>
      <c r="AA1504">
        <v>0.99549200000000004</v>
      </c>
      <c r="AB1504">
        <v>35</v>
      </c>
      <c r="AC1504">
        <v>-62.882100000000001</v>
      </c>
      <c r="AD1504">
        <v>-1.1075293900000001</v>
      </c>
      <c r="AE1504">
        <v>-4.1788999999999898</v>
      </c>
      <c r="AF1504">
        <v>-6.00740805908291</v>
      </c>
      <c r="AG1504">
        <v>-1.1075293900000001</v>
      </c>
      <c r="AH1504">
        <v>62.714277859012597</v>
      </c>
      <c r="AI1504">
        <v>91.007124897007998</v>
      </c>
      <c r="AJ1504">
        <v>95.471674651878203</v>
      </c>
      <c r="AK1504">
        <v>63.011080139253998</v>
      </c>
      <c r="AL1504">
        <v>78.695474474026099</v>
      </c>
      <c r="AM1504">
        <v>88.339477527927599</v>
      </c>
      <c r="AN1504">
        <v>1.0000000112115099</v>
      </c>
    </row>
    <row r="1505" spans="1:40" x14ac:dyDescent="0.25">
      <c r="A1505" t="str">
        <f>"20190303162531676"</f>
        <v>20190303162531676</v>
      </c>
      <c r="B1505" t="str">
        <f>"1551601531664447"</f>
        <v>1551601531664447</v>
      </c>
      <c r="C1505" t="s">
        <v>40</v>
      </c>
      <c r="D1505">
        <v>4.5771319999999998</v>
      </c>
      <c r="E1505">
        <v>0.45374700000000001</v>
      </c>
      <c r="F1505" t="s">
        <v>48</v>
      </c>
      <c r="G1505">
        <v>-368.00889999999998</v>
      </c>
      <c r="H1505">
        <v>3.0004800000000002E-2</v>
      </c>
      <c r="I1505">
        <v>279.61630000000002</v>
      </c>
      <c r="J1505">
        <v>-305.71710000000002</v>
      </c>
      <c r="K1505">
        <v>1.12117</v>
      </c>
      <c r="L1505">
        <v>283.80509999999998</v>
      </c>
      <c r="M1505">
        <v>-0.99946919999999995</v>
      </c>
      <c r="N1505">
        <v>-1.462342E-2</v>
      </c>
      <c r="O1505">
        <v>2.9110179999999999E-2</v>
      </c>
      <c r="P1505">
        <v>-0.98175520000000005</v>
      </c>
      <c r="Q1505">
        <v>0.18167800000000001</v>
      </c>
      <c r="R1505">
        <v>5.6124790000000001E-2</v>
      </c>
      <c r="S1505">
        <v>-3.0777589999999999</v>
      </c>
      <c r="T1505">
        <v>-5.362082E-2</v>
      </c>
      <c r="U1505">
        <v>-0.2053528</v>
      </c>
      <c r="V1505">
        <v>2.7517119999999999E-2</v>
      </c>
      <c r="W1505">
        <v>0.1960334</v>
      </c>
      <c r="X1505">
        <v>0.98021100000000005</v>
      </c>
      <c r="Y1505">
        <v>-9.5567289999999999E-2</v>
      </c>
      <c r="Z1505">
        <v>-1.6126210000000001E-3</v>
      </c>
      <c r="AA1505">
        <v>0.99542160000000002</v>
      </c>
      <c r="AB1505">
        <v>34</v>
      </c>
      <c r="AC1505">
        <v>-62.291799999999903</v>
      </c>
      <c r="AD1505">
        <v>-1.0911652000000001</v>
      </c>
      <c r="AE1505">
        <v>-4.1887999999999499</v>
      </c>
      <c r="AF1505">
        <v>-5.9987115453222097</v>
      </c>
      <c r="AG1505">
        <v>-1.0911652000000001</v>
      </c>
      <c r="AH1505">
        <v>62.124469093412102</v>
      </c>
      <c r="AI1505">
        <v>91.001592263219806</v>
      </c>
      <c r="AJ1505">
        <v>95.515356538037693</v>
      </c>
      <c r="AK1505">
        <v>62.422951242599702</v>
      </c>
      <c r="AL1505">
        <v>78.694901109254204</v>
      </c>
      <c r="AM1505">
        <v>88.391977979022897</v>
      </c>
      <c r="AN1505">
        <v>0.99999994516482504</v>
      </c>
    </row>
    <row r="1506" spans="1:40" x14ac:dyDescent="0.25">
      <c r="A1506" t="str">
        <f>"20190303162531699"</f>
        <v>20190303162531699</v>
      </c>
      <c r="B1506" t="str">
        <f>"1551601531694703"</f>
        <v>1551601531694703</v>
      </c>
      <c r="C1506" t="s">
        <v>40</v>
      </c>
      <c r="D1506">
        <v>4.5645129999999998</v>
      </c>
      <c r="E1506">
        <v>0.45370630000000001</v>
      </c>
      <c r="F1506" t="s">
        <v>48</v>
      </c>
      <c r="G1506">
        <v>-367.61509999999998</v>
      </c>
      <c r="H1506">
        <v>1.343808E-2</v>
      </c>
      <c r="I1506">
        <v>279.61630000000002</v>
      </c>
      <c r="J1506">
        <v>-306.06990000000002</v>
      </c>
      <c r="K1506">
        <v>1.1211789999999999</v>
      </c>
      <c r="L1506">
        <v>283.81529999999998</v>
      </c>
      <c r="M1506">
        <v>-0.99947019999999998</v>
      </c>
      <c r="N1506">
        <v>-1.4619989999999999E-2</v>
      </c>
      <c r="O1506">
        <v>2.9084789999999999E-2</v>
      </c>
      <c r="P1506">
        <v>-0.98169300000000004</v>
      </c>
      <c r="Q1506">
        <v>0.18251880000000001</v>
      </c>
      <c r="R1506">
        <v>5.4461089999999997E-2</v>
      </c>
      <c r="S1506">
        <v>-3.0778500000000002</v>
      </c>
      <c r="T1506">
        <v>-5.5081489999999997E-2</v>
      </c>
      <c r="U1506">
        <v>-0.20828250000000001</v>
      </c>
      <c r="V1506">
        <v>2.5880319999999998E-2</v>
      </c>
      <c r="W1506">
        <v>0.19686899999999999</v>
      </c>
      <c r="X1506">
        <v>0.98008819999999996</v>
      </c>
      <c r="Y1506">
        <v>-9.6481789999999998E-2</v>
      </c>
      <c r="Z1506">
        <v>-1.663746E-3</v>
      </c>
      <c r="AA1506">
        <v>0.99533340000000003</v>
      </c>
      <c r="AB1506">
        <v>34</v>
      </c>
      <c r="AC1506">
        <v>-61.545199999999902</v>
      </c>
      <c r="AD1506">
        <v>-1.1077409199999999</v>
      </c>
      <c r="AE1506">
        <v>-4.1989999999999501</v>
      </c>
      <c r="AF1506">
        <v>-5.9855133967963301</v>
      </c>
      <c r="AG1506">
        <v>-1.1077409199999999</v>
      </c>
      <c r="AH1506">
        <v>61.377226070134</v>
      </c>
      <c r="AI1506">
        <v>91.029085647738</v>
      </c>
      <c r="AJ1506">
        <v>95.5698780359062</v>
      </c>
      <c r="AK1506">
        <v>61.678337693499898</v>
      </c>
      <c r="AL1506">
        <v>78.646074328946099</v>
      </c>
      <c r="AM1506">
        <v>88.487392664028505</v>
      </c>
      <c r="AN1506">
        <v>1.0000000369517701</v>
      </c>
    </row>
    <row r="1507" spans="1:40" x14ac:dyDescent="0.25">
      <c r="A1507" t="str">
        <f>"20190303162531723"</f>
        <v>20190303162531723</v>
      </c>
      <c r="B1507" t="str">
        <f>"1551601531714223"</f>
        <v>1551601531714223</v>
      </c>
      <c r="C1507" t="s">
        <v>40</v>
      </c>
      <c r="D1507">
        <v>4.5510659999999996</v>
      </c>
      <c r="E1507">
        <v>0.45375650000000001</v>
      </c>
      <c r="F1507" t="s">
        <v>48</v>
      </c>
      <c r="G1507">
        <v>-366.79480000000001</v>
      </c>
      <c r="H1507">
        <v>6.111163E-2</v>
      </c>
      <c r="I1507">
        <v>279.60520000000002</v>
      </c>
      <c r="J1507">
        <v>-306.42649999999998</v>
      </c>
      <c r="K1507">
        <v>1.121181</v>
      </c>
      <c r="L1507">
        <v>283.82569999999998</v>
      </c>
      <c r="M1507">
        <v>-0.99947090000000005</v>
      </c>
      <c r="N1507">
        <v>-1.461646E-2</v>
      </c>
      <c r="O1507">
        <v>2.9058400000000002E-2</v>
      </c>
      <c r="P1507">
        <v>-0.98169700000000004</v>
      </c>
      <c r="Q1507">
        <v>0.18288409999999999</v>
      </c>
      <c r="R1507">
        <v>5.3146350000000002E-2</v>
      </c>
      <c r="S1507">
        <v>-3.077728</v>
      </c>
      <c r="T1507">
        <v>-5.3727509999999999E-2</v>
      </c>
      <c r="U1507">
        <v>-0.21337890000000001</v>
      </c>
      <c r="V1507">
        <v>2.4591479999999999E-2</v>
      </c>
      <c r="W1507">
        <v>0.1972303</v>
      </c>
      <c r="X1507">
        <v>0.98004869999999999</v>
      </c>
      <c r="Y1507">
        <v>-9.8099190000000003E-2</v>
      </c>
      <c r="Z1507">
        <v>-1.6556089999999999E-3</v>
      </c>
      <c r="AA1507">
        <v>0.99517520000000004</v>
      </c>
      <c r="AB1507">
        <v>34</v>
      </c>
      <c r="AC1507">
        <v>-60.368299999999998</v>
      </c>
      <c r="AD1507">
        <v>-1.0600693699999999</v>
      </c>
      <c r="AE1507">
        <v>-4.2204999999999497</v>
      </c>
      <c r="AF1507">
        <v>-5.9712785773897696</v>
      </c>
      <c r="AG1507">
        <v>-1.0600693699999999</v>
      </c>
      <c r="AH1507">
        <v>60.201674704377801</v>
      </c>
      <c r="AI1507">
        <v>91.003871202146101</v>
      </c>
      <c r="AJ1507">
        <v>95.664521068397093</v>
      </c>
      <c r="AK1507">
        <v>60.506376127890299</v>
      </c>
      <c r="AL1507">
        <v>78.624958870582105</v>
      </c>
      <c r="AM1507">
        <v>88.562630181859703</v>
      </c>
      <c r="AN1507">
        <v>0.99999999324918498</v>
      </c>
    </row>
    <row r="1508" spans="1:40" x14ac:dyDescent="0.25">
      <c r="A1508" t="str">
        <f>"20190303162531744"</f>
        <v>20190303162531744</v>
      </c>
      <c r="B1508" t="str">
        <f>"1551601531734719"</f>
        <v>1551601531734719</v>
      </c>
      <c r="C1508" t="s">
        <v>40</v>
      </c>
      <c r="D1508">
        <v>4.8166650000000004</v>
      </c>
      <c r="E1508">
        <v>0.45388590000000001</v>
      </c>
      <c r="F1508" t="s">
        <v>48</v>
      </c>
      <c r="G1508">
        <v>-367.9948</v>
      </c>
      <c r="H1508">
        <v>8.0000580000000002E-2</v>
      </c>
      <c r="I1508">
        <v>279.48099999999999</v>
      </c>
      <c r="J1508">
        <v>-306.7593</v>
      </c>
      <c r="K1508">
        <v>1.121189</v>
      </c>
      <c r="L1508">
        <v>283.83530000000002</v>
      </c>
      <c r="M1508">
        <v>-0.99947169999999996</v>
      </c>
      <c r="N1508">
        <v>-1.461312E-2</v>
      </c>
      <c r="O1508">
        <v>2.9034509999999999E-2</v>
      </c>
      <c r="P1508">
        <v>-0.98175270000000003</v>
      </c>
      <c r="Q1508">
        <v>0.1826458</v>
      </c>
      <c r="R1508">
        <v>5.2936270000000001E-2</v>
      </c>
      <c r="S1508">
        <v>-3.0773929999999998</v>
      </c>
      <c r="T1508">
        <v>-5.2041650000000002E-2</v>
      </c>
      <c r="U1508">
        <v>-0.2171631</v>
      </c>
      <c r="V1508">
        <v>2.4403000000000001E-2</v>
      </c>
      <c r="W1508">
        <v>0.19698959999999999</v>
      </c>
      <c r="X1508">
        <v>0.98010180000000002</v>
      </c>
      <c r="Y1508">
        <v>-9.9301609999999998E-2</v>
      </c>
      <c r="Z1508">
        <v>-1.631848E-3</v>
      </c>
      <c r="AA1508">
        <v>0.99505600000000005</v>
      </c>
      <c r="AB1508">
        <v>34</v>
      </c>
      <c r="AC1508">
        <v>-61.235500000000002</v>
      </c>
      <c r="AD1508">
        <v>-1.0411884199999999</v>
      </c>
      <c r="AE1508">
        <v>-4.3543000000000198</v>
      </c>
      <c r="AF1508">
        <v>-6.1288333307326797</v>
      </c>
      <c r="AG1508">
        <v>-1.0411884199999999</v>
      </c>
      <c r="AH1508">
        <v>61.065674312406898</v>
      </c>
      <c r="AI1508">
        <v>90.971933946738005</v>
      </c>
      <c r="AJ1508">
        <v>95.731276857437805</v>
      </c>
      <c r="AK1508">
        <v>61.381293979117103</v>
      </c>
      <c r="AL1508">
        <v>78.639025715492195</v>
      </c>
      <c r="AM1508">
        <v>88.573719497787806</v>
      </c>
      <c r="AN1508">
        <v>0.99999997364019899</v>
      </c>
    </row>
    <row r="1509" spans="1:40" x14ac:dyDescent="0.25">
      <c r="A1509" t="str">
        <f>"20190303162531765"</f>
        <v>20190303162531765</v>
      </c>
      <c r="B1509" t="str">
        <f>"1551601531754239"</f>
        <v>1551601531754239</v>
      </c>
      <c r="C1509" t="s">
        <v>40</v>
      </c>
      <c r="D1509">
        <v>4.5465720000000003</v>
      </c>
      <c r="E1509">
        <v>0.47976770000000002</v>
      </c>
      <c r="F1509" t="s">
        <v>48</v>
      </c>
      <c r="G1509">
        <v>-367.74439999999998</v>
      </c>
      <c r="H1509">
        <v>8.0000650000000006E-2</v>
      </c>
      <c r="I1509">
        <v>279.54109999999997</v>
      </c>
      <c r="J1509">
        <v>-307.0883</v>
      </c>
      <c r="K1509">
        <v>1.121189</v>
      </c>
      <c r="L1509">
        <v>283.84480000000002</v>
      </c>
      <c r="M1509">
        <v>-0.99947240000000004</v>
      </c>
      <c r="N1509">
        <v>-1.4609759999999999E-2</v>
      </c>
      <c r="O1509">
        <v>2.9010749999999998E-2</v>
      </c>
      <c r="P1509">
        <v>-0.98181739999999995</v>
      </c>
      <c r="Q1509">
        <v>0.1822445</v>
      </c>
      <c r="R1509">
        <v>5.311979E-2</v>
      </c>
      <c r="S1509">
        <v>-3.0772089999999999</v>
      </c>
      <c r="T1509">
        <v>-5.2536609999999997E-2</v>
      </c>
      <c r="U1509">
        <v>-0.2166748</v>
      </c>
      <c r="V1509">
        <v>2.460787E-2</v>
      </c>
      <c r="W1509">
        <v>0.19658610000000001</v>
      </c>
      <c r="X1509">
        <v>0.98017770000000004</v>
      </c>
      <c r="Y1509">
        <v>-9.9124660000000003E-2</v>
      </c>
      <c r="Z1509">
        <v>-1.6416359999999999E-3</v>
      </c>
      <c r="AA1509">
        <v>0.99507369999999995</v>
      </c>
      <c r="AB1509">
        <v>34</v>
      </c>
      <c r="AC1509">
        <v>-60.656099999999903</v>
      </c>
      <c r="AD1509">
        <v>-1.0411883500000001</v>
      </c>
      <c r="AE1509">
        <v>-4.30370000000004</v>
      </c>
      <c r="AF1509">
        <v>-6.0599781939705499</v>
      </c>
      <c r="AG1509">
        <v>-1.0411883500000001</v>
      </c>
      <c r="AH1509">
        <v>60.487963860004101</v>
      </c>
      <c r="AI1509">
        <v>90.981232361137998</v>
      </c>
      <c r="AJ1509">
        <v>95.721079777737799</v>
      </c>
      <c r="AK1509">
        <v>60.799680762490297</v>
      </c>
      <c r="AL1509">
        <v>78.662605748018194</v>
      </c>
      <c r="AM1509">
        <v>88.561861807136793</v>
      </c>
      <c r="AN1509">
        <v>0.999999982778218</v>
      </c>
    </row>
    <row r="1510" spans="1:40" x14ac:dyDescent="0.25">
      <c r="A1510" t="str">
        <f>"20190303162531791"</f>
        <v>20190303162531791</v>
      </c>
      <c r="B1510" t="str">
        <f>"1551601531774735"</f>
        <v>1551601531774735</v>
      </c>
      <c r="C1510" t="s">
        <v>40</v>
      </c>
      <c r="D1510">
        <v>4.5582310000000001</v>
      </c>
      <c r="E1510">
        <v>0.49498510000000001</v>
      </c>
      <c r="F1510" t="s">
        <v>48</v>
      </c>
      <c r="G1510">
        <v>-345.84440000000001</v>
      </c>
      <c r="H1510" s="1">
        <v>1.5733020000000001E-6</v>
      </c>
      <c r="I1510">
        <v>283.70859999999999</v>
      </c>
      <c r="J1510">
        <v>-307.47160000000002</v>
      </c>
      <c r="K1510">
        <v>1.121178</v>
      </c>
      <c r="L1510">
        <v>283.85590000000002</v>
      </c>
      <c r="M1510">
        <v>-0.99947319999999995</v>
      </c>
      <c r="N1510">
        <v>-1.46058E-2</v>
      </c>
      <c r="O1510">
        <v>2.898336E-2</v>
      </c>
      <c r="P1510">
        <v>-0.98199930000000002</v>
      </c>
      <c r="Q1510">
        <v>0.1810233</v>
      </c>
      <c r="R1510">
        <v>5.3926200000000001E-2</v>
      </c>
      <c r="S1510">
        <v>-3.0726619999999998</v>
      </c>
      <c r="T1510">
        <v>-8.8889960000000004E-2</v>
      </c>
      <c r="U1510">
        <v>-1.0803220000000001E-2</v>
      </c>
      <c r="V1510">
        <v>2.543548E-2</v>
      </c>
      <c r="W1510">
        <v>0.19536429999999999</v>
      </c>
      <c r="X1510">
        <v>0.98040090000000002</v>
      </c>
      <c r="Y1510">
        <v>-3.2477270000000003E-2</v>
      </c>
      <c r="Z1510">
        <v>-1.12181E-3</v>
      </c>
      <c r="AA1510">
        <v>0.99947180000000002</v>
      </c>
      <c r="AB1510">
        <v>34</v>
      </c>
      <c r="AC1510">
        <v>-38.372799999999899</v>
      </c>
      <c r="AD1510">
        <v>-1.121176426698</v>
      </c>
      <c r="AE1510">
        <v>-0.14730000000002899</v>
      </c>
      <c r="AF1510">
        <v>-1.25845509043</v>
      </c>
      <c r="AG1510">
        <v>-1.121176426698</v>
      </c>
      <c r="AH1510">
        <v>38.319693506238899</v>
      </c>
      <c r="AI1510">
        <v>91.675007447936906</v>
      </c>
      <c r="AJ1510">
        <v>91.880971725935197</v>
      </c>
      <c r="AK1510">
        <v>38.356741991552099</v>
      </c>
      <c r="AL1510">
        <v>78.733994794914295</v>
      </c>
      <c r="AM1510">
        <v>88.513854065772506</v>
      </c>
      <c r="AN1510">
        <v>1.0000000490390599</v>
      </c>
    </row>
    <row r="1511" spans="1:40" x14ac:dyDescent="0.25">
      <c r="A1511" t="str">
        <f>"20190303162531812"</f>
        <v>20190303162531812</v>
      </c>
      <c r="B1511" t="str">
        <f>"1551601531804015"</f>
        <v>1551601531804015</v>
      </c>
      <c r="C1511" t="s">
        <v>40</v>
      </c>
      <c r="D1511">
        <v>4.5472049999999999</v>
      </c>
      <c r="E1511">
        <v>0.50266120000000003</v>
      </c>
      <c r="F1511" t="s">
        <v>48</v>
      </c>
      <c r="G1511">
        <v>-349.91460000000001</v>
      </c>
      <c r="H1511" s="1">
        <v>3.7392510000000001E-6</v>
      </c>
      <c r="I1511">
        <v>285.42149999999998</v>
      </c>
      <c r="J1511">
        <v>-307.80410000000001</v>
      </c>
      <c r="K1511">
        <v>1.1211719999999901</v>
      </c>
      <c r="L1511">
        <v>283.86559999999997</v>
      </c>
      <c r="M1511">
        <v>-0.99947390000000003</v>
      </c>
      <c r="N1511">
        <v>-1.460235E-2</v>
      </c>
      <c r="O1511">
        <v>2.8959479999999999E-2</v>
      </c>
      <c r="P1511">
        <v>-0.98223850000000001</v>
      </c>
      <c r="Q1511">
        <v>0.1795757</v>
      </c>
      <c r="R1511">
        <v>5.4407539999999997E-2</v>
      </c>
      <c r="S1511">
        <v>-3.06366</v>
      </c>
      <c r="T1511">
        <v>-8.0929760000000003E-2</v>
      </c>
      <c r="U1511">
        <v>0.1130066</v>
      </c>
      <c r="V1511">
        <v>2.593316E-2</v>
      </c>
      <c r="W1511">
        <v>0.1939167</v>
      </c>
      <c r="X1511">
        <v>0.98067519999999997</v>
      </c>
      <c r="Y1511">
        <v>7.90046199999999E-3</v>
      </c>
      <c r="Z1511">
        <v>-1.795794E-4</v>
      </c>
      <c r="AA1511">
        <v>0.99996879999999999</v>
      </c>
      <c r="AB1511">
        <v>34</v>
      </c>
      <c r="AC1511">
        <v>-42.110500000000002</v>
      </c>
      <c r="AD1511">
        <v>-1.1211682607489999</v>
      </c>
      <c r="AE1511">
        <v>1.5559000000000001</v>
      </c>
      <c r="AF1511">
        <v>0.33538163471309501</v>
      </c>
      <c r="AG1511">
        <v>-1.1211682607489999</v>
      </c>
      <c r="AH1511">
        <v>42.108089302074298</v>
      </c>
      <c r="AI1511">
        <v>91.525146369249896</v>
      </c>
      <c r="AJ1511">
        <v>89.543661415405893</v>
      </c>
      <c r="AK1511">
        <v>42.124347873661797</v>
      </c>
      <c r="AL1511">
        <v>78.8185531848587</v>
      </c>
      <c r="AM1511">
        <v>88.485212625957701</v>
      </c>
      <c r="AN1511">
        <v>1.00000003161075</v>
      </c>
    </row>
    <row r="1512" spans="1:40" x14ac:dyDescent="0.25">
      <c r="A1512" t="str">
        <f>"20190303162531835"</f>
        <v>20190303162531835</v>
      </c>
      <c r="B1512" t="str">
        <f>"1551601531824513"</f>
        <v>1551601531824513</v>
      </c>
      <c r="C1512" t="s">
        <v>40</v>
      </c>
      <c r="D1512">
        <v>4.5836930000000002</v>
      </c>
      <c r="E1512">
        <v>0.50416549999999904</v>
      </c>
      <c r="F1512" t="s">
        <v>48</v>
      </c>
      <c r="G1512">
        <v>-346.58139999999997</v>
      </c>
      <c r="H1512" s="1">
        <v>1.9655169999999999E-6</v>
      </c>
      <c r="I1512">
        <v>286.08870000000002</v>
      </c>
      <c r="J1512">
        <v>-308.15539999999999</v>
      </c>
      <c r="K1512">
        <v>1.121167</v>
      </c>
      <c r="L1512">
        <v>283.87569999999999</v>
      </c>
      <c r="M1512">
        <v>-0.99947459999999999</v>
      </c>
      <c r="N1512">
        <v>-1.4598679999999999E-2</v>
      </c>
      <c r="O1512">
        <v>2.8934419999999999E-2</v>
      </c>
      <c r="P1512">
        <v>-0.98242969999999996</v>
      </c>
      <c r="Q1512">
        <v>0.1782397</v>
      </c>
      <c r="R1512">
        <v>5.5340689999999998E-2</v>
      </c>
      <c r="S1512">
        <v>-3.0606990000000001</v>
      </c>
      <c r="T1512">
        <v>-8.8494180000000006E-2</v>
      </c>
      <c r="U1512">
        <v>0.1754761</v>
      </c>
      <c r="V1512">
        <v>2.6885200000000001E-2</v>
      </c>
      <c r="W1512">
        <v>0.19258049999999999</v>
      </c>
      <c r="X1512">
        <v>0.98091280000000003</v>
      </c>
      <c r="Y1512">
        <v>2.830918E-2</v>
      </c>
      <c r="Z1512">
        <v>2.0242219999999999E-4</v>
      </c>
      <c r="AA1512">
        <v>0.99959920000000002</v>
      </c>
      <c r="AB1512">
        <v>34</v>
      </c>
      <c r="AC1512">
        <v>-38.425999999999902</v>
      </c>
      <c r="AD1512">
        <v>-1.121165034483</v>
      </c>
      <c r="AE1512">
        <v>2.2130000000000201</v>
      </c>
      <c r="AF1512">
        <v>1.09918795535881</v>
      </c>
      <c r="AG1512">
        <v>-1.121165034483</v>
      </c>
      <c r="AH1512">
        <v>38.441329384745899</v>
      </c>
      <c r="AI1512">
        <v>91.669910955421003</v>
      </c>
      <c r="AJ1512">
        <v>88.362135855361799</v>
      </c>
      <c r="AK1512">
        <v>38.473380798446598</v>
      </c>
      <c r="AL1512">
        <v>78.896582234690698</v>
      </c>
      <c r="AM1512">
        <v>88.430010355843393</v>
      </c>
      <c r="AN1512">
        <v>0.99999999208156398</v>
      </c>
    </row>
    <row r="1513" spans="1:40" x14ac:dyDescent="0.25">
      <c r="A1513" t="str">
        <f>"20190303162531855"</f>
        <v>20190303162531855</v>
      </c>
      <c r="B1513" t="str">
        <f>"1551601531844031"</f>
        <v>1551601531844031</v>
      </c>
      <c r="C1513" t="s">
        <v>40</v>
      </c>
      <c r="D1513">
        <v>4.5858679999999996</v>
      </c>
      <c r="E1513">
        <v>0.50513969999999997</v>
      </c>
      <c r="F1513" t="s">
        <v>48</v>
      </c>
      <c r="G1513">
        <v>-345.96210000000002</v>
      </c>
      <c r="H1513" s="1">
        <v>1.635944E-6</v>
      </c>
      <c r="I1513">
        <v>286.22710000000001</v>
      </c>
      <c r="J1513">
        <v>-308.4538</v>
      </c>
      <c r="K1513">
        <v>1.121165</v>
      </c>
      <c r="L1513">
        <v>283.8843</v>
      </c>
      <c r="M1513">
        <v>-0.99947540000000001</v>
      </c>
      <c r="N1513">
        <v>-1.4595510000000001E-2</v>
      </c>
      <c r="O1513">
        <v>2.891316E-2</v>
      </c>
      <c r="P1513">
        <v>-0.98270259999999998</v>
      </c>
      <c r="Q1513">
        <v>0.1763266</v>
      </c>
      <c r="R1513">
        <v>5.6612040000000002E-2</v>
      </c>
      <c r="S1513">
        <v>-3.059418</v>
      </c>
      <c r="T1513">
        <v>-9.072769E-2</v>
      </c>
      <c r="U1513">
        <v>0.1902771</v>
      </c>
      <c r="V1513">
        <v>2.816894E-2</v>
      </c>
      <c r="W1513">
        <v>0.1906697</v>
      </c>
      <c r="X1513">
        <v>0.98124999999999996</v>
      </c>
      <c r="Y1513">
        <v>3.3169089999999998E-2</v>
      </c>
      <c r="Z1513">
        <v>2.9920229999999998E-4</v>
      </c>
      <c r="AA1513">
        <v>0.9994497</v>
      </c>
      <c r="AB1513">
        <v>34</v>
      </c>
      <c r="AC1513">
        <v>-37.508299999999998</v>
      </c>
      <c r="AD1513">
        <v>-1.1211633640559999</v>
      </c>
      <c r="AE1513">
        <v>2.3428000000000102</v>
      </c>
      <c r="AF1513">
        <v>1.2561034230022801</v>
      </c>
      <c r="AG1513">
        <v>-1.1211633640559999</v>
      </c>
      <c r="AH1513">
        <v>37.526961275720403</v>
      </c>
      <c r="AI1513">
        <v>91.710314430181995</v>
      </c>
      <c r="AJ1513">
        <v>88.0829099197029</v>
      </c>
      <c r="AK1513">
        <v>37.564712506388197</v>
      </c>
      <c r="AL1513">
        <v>79.008130226813407</v>
      </c>
      <c r="AM1513">
        <v>88.355650203853003</v>
      </c>
      <c r="AN1513">
        <v>0.99999999308940601</v>
      </c>
    </row>
    <row r="1514" spans="1:40" x14ac:dyDescent="0.25">
      <c r="A1514" t="str">
        <f>"20190303162531878"</f>
        <v>20190303162531878</v>
      </c>
      <c r="B1514" t="str">
        <f>"1551601531864527"</f>
        <v>1551601531864527</v>
      </c>
      <c r="C1514" t="s">
        <v>40</v>
      </c>
      <c r="D1514">
        <v>4.6179059999999996</v>
      </c>
      <c r="E1514">
        <v>0.50579669999999999</v>
      </c>
      <c r="F1514" t="s">
        <v>48</v>
      </c>
      <c r="G1514">
        <v>-344.01979999999998</v>
      </c>
      <c r="H1514" s="1">
        <v>6.0233750000000002E-7</v>
      </c>
      <c r="I1514">
        <v>286.22719999999998</v>
      </c>
      <c r="J1514">
        <v>-308.7987</v>
      </c>
      <c r="K1514">
        <v>1.1211599999999999</v>
      </c>
      <c r="L1514">
        <v>283.89429999999999</v>
      </c>
      <c r="M1514">
        <v>-0.99947620000000004</v>
      </c>
      <c r="N1514">
        <v>-1.459184E-2</v>
      </c>
      <c r="O1514">
        <v>2.8888629999999998E-2</v>
      </c>
      <c r="P1514">
        <v>-0.982877</v>
      </c>
      <c r="Q1514">
        <v>0.1747601</v>
      </c>
      <c r="R1514">
        <v>5.8414389999999997E-2</v>
      </c>
      <c r="S1514">
        <v>-3.0585330000000002</v>
      </c>
      <c r="T1514">
        <v>-9.6415760000000003E-2</v>
      </c>
      <c r="U1514">
        <v>0.20147709999999999</v>
      </c>
      <c r="V1514">
        <v>2.998963E-2</v>
      </c>
      <c r="W1514">
        <v>0.18910279999999999</v>
      </c>
      <c r="X1514">
        <v>0.98149929999999996</v>
      </c>
      <c r="Y1514">
        <v>3.6852059999999999E-2</v>
      </c>
      <c r="Z1514">
        <v>3.6139659999999998E-4</v>
      </c>
      <c r="AA1514">
        <v>0.99932069999999995</v>
      </c>
      <c r="AB1514">
        <v>34</v>
      </c>
      <c r="AC1514">
        <v>-35.2210999999999</v>
      </c>
      <c r="AD1514">
        <v>-1.1211593976624901</v>
      </c>
      <c r="AE1514">
        <v>2.3328999999999902</v>
      </c>
      <c r="AF1514">
        <v>1.3130039074990301</v>
      </c>
      <c r="AG1514">
        <v>-1.1211593976624901</v>
      </c>
      <c r="AH1514">
        <v>35.238248123826601</v>
      </c>
      <c r="AI1514">
        <v>91.821076278396504</v>
      </c>
      <c r="AJ1514">
        <v>87.866102885171898</v>
      </c>
      <c r="AK1514">
        <v>35.280520241238598</v>
      </c>
      <c r="AL1514">
        <v>79.099571406820502</v>
      </c>
      <c r="AM1514">
        <v>88.249876696503904</v>
      </c>
      <c r="AN1514">
        <v>1.0000000613879301</v>
      </c>
    </row>
    <row r="1515" spans="1:40" x14ac:dyDescent="0.25">
      <c r="A1515" t="str">
        <f>"20190303162531900"</f>
        <v>20190303162531900</v>
      </c>
      <c r="B1515" t="str">
        <f>"1551601531894783"</f>
        <v>1551601531894783</v>
      </c>
      <c r="C1515" t="s">
        <v>40</v>
      </c>
      <c r="D1515">
        <v>4.6147099999999996</v>
      </c>
      <c r="E1515">
        <v>0.50615089999999996</v>
      </c>
      <c r="F1515" t="s">
        <v>48</v>
      </c>
      <c r="G1515">
        <v>-343.0899</v>
      </c>
      <c r="H1515" s="1">
        <v>1.075086E-7</v>
      </c>
      <c r="I1515">
        <v>286.27420000000001</v>
      </c>
      <c r="J1515">
        <v>-309.13929999999999</v>
      </c>
      <c r="K1515">
        <v>1.121159</v>
      </c>
      <c r="L1515">
        <v>283.90410000000003</v>
      </c>
      <c r="M1515">
        <v>-0.99947699999999995</v>
      </c>
      <c r="N1515">
        <v>-1.458632E-2</v>
      </c>
      <c r="O1515">
        <v>2.8864890000000001E-2</v>
      </c>
      <c r="P1515">
        <v>-0.98290449999999996</v>
      </c>
      <c r="Q1515">
        <v>0.17387469999999999</v>
      </c>
      <c r="R1515">
        <v>6.0553599999999902E-2</v>
      </c>
      <c r="S1515">
        <v>-3.0574340000000002</v>
      </c>
      <c r="T1515">
        <v>-9.9963670000000004E-2</v>
      </c>
      <c r="U1515">
        <v>0.21218870000000001</v>
      </c>
      <c r="V1515">
        <v>3.2150239999999997E-2</v>
      </c>
      <c r="W1515">
        <v>0.18821350000000001</v>
      </c>
      <c r="X1515">
        <v>0.98160179999999997</v>
      </c>
      <c r="Y1515">
        <v>4.038046E-2</v>
      </c>
      <c r="Z1515">
        <v>4.3275030000000002E-4</v>
      </c>
      <c r="AA1515">
        <v>0.99918430000000003</v>
      </c>
      <c r="AB1515">
        <v>34</v>
      </c>
      <c r="AC1515">
        <v>-33.950600000000001</v>
      </c>
      <c r="AD1515">
        <v>-1.1211588924914</v>
      </c>
      <c r="AE1515">
        <v>2.3700999999999701</v>
      </c>
      <c r="AF1515">
        <v>1.3875219241839201</v>
      </c>
      <c r="AG1515">
        <v>-1.1211588924914</v>
      </c>
      <c r="AH1515">
        <v>33.968006849005498</v>
      </c>
      <c r="AI1515">
        <v>91.888862489367</v>
      </c>
      <c r="AJ1515">
        <v>87.660887827012601</v>
      </c>
      <c r="AK1515">
        <v>34.014815943150197</v>
      </c>
      <c r="AL1515">
        <v>79.1514558660527</v>
      </c>
      <c r="AM1515">
        <v>88.124071499738704</v>
      </c>
      <c r="AN1515">
        <v>1.0000000266387701</v>
      </c>
    </row>
    <row r="1516" spans="1:40" x14ac:dyDescent="0.25">
      <c r="A1516" t="str">
        <f>"20190303162531923"</f>
        <v>20190303162531923</v>
      </c>
      <c r="B1516" t="str">
        <f>"1551601531914302"</f>
        <v>1551601531914302</v>
      </c>
      <c r="C1516" t="s">
        <v>40</v>
      </c>
      <c r="D1516">
        <v>4.6416050000000002</v>
      </c>
      <c r="E1516">
        <v>0.50635719999999995</v>
      </c>
      <c r="F1516" t="s">
        <v>48</v>
      </c>
      <c r="G1516">
        <v>-343.17509999999999</v>
      </c>
      <c r="H1516" s="1">
        <v>1.528665E-7</v>
      </c>
      <c r="I1516">
        <v>286.37279999999998</v>
      </c>
      <c r="J1516">
        <v>-309.48250000000002</v>
      </c>
      <c r="K1516">
        <v>1.1211549999999999</v>
      </c>
      <c r="L1516">
        <v>283.91410000000002</v>
      </c>
      <c r="M1516">
        <v>-0.99947779999999997</v>
      </c>
      <c r="N1516">
        <v>-1.457924E-2</v>
      </c>
      <c r="O1516">
        <v>2.8840859999999999E-2</v>
      </c>
      <c r="P1516">
        <v>-0.98261030000000005</v>
      </c>
      <c r="Q1516">
        <v>0.17444019999999999</v>
      </c>
      <c r="R1516">
        <v>6.3621150000000001E-2</v>
      </c>
      <c r="S1516">
        <v>-3.0563349999999998</v>
      </c>
      <c r="T1516">
        <v>-0.1006774</v>
      </c>
      <c r="U1516">
        <v>0.22167970000000001</v>
      </c>
      <c r="V1516">
        <v>3.5248639999999998E-2</v>
      </c>
      <c r="W1516">
        <v>0.18876889999999999</v>
      </c>
      <c r="X1516">
        <v>0.9813887</v>
      </c>
      <c r="Y1516">
        <v>4.3513639999999999E-2</v>
      </c>
      <c r="Z1516">
        <v>5.0515640000000001E-4</v>
      </c>
      <c r="AA1516">
        <v>0.99905270000000002</v>
      </c>
      <c r="AB1516">
        <v>34</v>
      </c>
      <c r="AC1516">
        <v>-33.692599999999899</v>
      </c>
      <c r="AD1516">
        <v>-1.1211548471335</v>
      </c>
      <c r="AE1516">
        <v>2.4586999999999599</v>
      </c>
      <c r="AF1516">
        <v>1.4842155080737001</v>
      </c>
      <c r="AG1516">
        <v>-1.1211548471335</v>
      </c>
      <c r="AH1516">
        <v>33.712368290323298</v>
      </c>
      <c r="AI1516">
        <v>91.902912250299593</v>
      </c>
      <c r="AJ1516">
        <v>87.479132750244503</v>
      </c>
      <c r="AK1516">
        <v>33.763644051080298</v>
      </c>
      <c r="AL1516">
        <v>79.119052366755795</v>
      </c>
      <c r="AM1516">
        <v>87.942985766939302</v>
      </c>
      <c r="AN1516">
        <v>0.99999997235837401</v>
      </c>
    </row>
    <row r="1517" spans="1:40" x14ac:dyDescent="0.25">
      <c r="A1517" t="str">
        <f>"20190303162531944"</f>
        <v>20190303162531944</v>
      </c>
      <c r="B1517" t="str">
        <f>"1551601531934799"</f>
        <v>1551601531934799</v>
      </c>
      <c r="C1517" t="s">
        <v>40</v>
      </c>
      <c r="D1517">
        <v>4.6781280000000001</v>
      </c>
      <c r="E1517">
        <v>0.50649440000000001</v>
      </c>
      <c r="F1517" t="s">
        <v>48</v>
      </c>
      <c r="G1517">
        <v>-344.75670000000002</v>
      </c>
      <c r="H1517" s="1">
        <v>9.9449570000000004E-7</v>
      </c>
      <c r="I1517">
        <v>286.59750000000003</v>
      </c>
      <c r="J1517">
        <v>-309.81049999999999</v>
      </c>
      <c r="K1517">
        <v>1.1211530000000001</v>
      </c>
      <c r="L1517">
        <v>283.92349999999999</v>
      </c>
      <c r="M1517">
        <v>-0.99947859999999999</v>
      </c>
      <c r="N1517">
        <v>-1.457219E-2</v>
      </c>
      <c r="O1517">
        <v>2.881767E-2</v>
      </c>
      <c r="P1517">
        <v>-0.98236040000000002</v>
      </c>
      <c r="Q1517">
        <v>0.17438779999999901</v>
      </c>
      <c r="R1517">
        <v>6.7508159999999998E-2</v>
      </c>
      <c r="S1517">
        <v>-3.055237</v>
      </c>
      <c r="T1517">
        <v>-9.7107529999999997E-2</v>
      </c>
      <c r="U1517">
        <v>0.23242189999999999</v>
      </c>
      <c r="V1517">
        <v>3.9164160000000003E-2</v>
      </c>
      <c r="W1517">
        <v>0.18870799999999999</v>
      </c>
      <c r="X1517">
        <v>0.98125200000000001</v>
      </c>
      <c r="Y1517">
        <v>4.705463E-2</v>
      </c>
      <c r="Z1517">
        <v>5.9541939999999995E-4</v>
      </c>
      <c r="AA1517">
        <v>0.99889209999999995</v>
      </c>
      <c r="AB1517">
        <v>34</v>
      </c>
      <c r="AC1517">
        <v>-34.946199999999997</v>
      </c>
      <c r="AD1517">
        <v>-1.1211520055043001</v>
      </c>
      <c r="AE1517">
        <v>2.6740000000000301</v>
      </c>
      <c r="AF1517">
        <v>1.6640116036560899</v>
      </c>
      <c r="AG1517">
        <v>-1.1211520055043001</v>
      </c>
      <c r="AH1517">
        <v>34.972962780586599</v>
      </c>
      <c r="AI1517">
        <v>91.8340674331413</v>
      </c>
      <c r="AJ1517">
        <v>87.275924425012803</v>
      </c>
      <c r="AK1517">
        <v>35.030473049744103</v>
      </c>
      <c r="AL1517">
        <v>79.122605999169295</v>
      </c>
      <c r="AM1517">
        <v>87.714398871042505</v>
      </c>
      <c r="AN1517">
        <v>1.0000000140982499</v>
      </c>
    </row>
    <row r="1518" spans="1:40" x14ac:dyDescent="0.25">
      <c r="A1518" t="str">
        <f>"20190303162531966"</f>
        <v>20190303162531966</v>
      </c>
      <c r="B1518" t="str">
        <f>"1551601531954318"</f>
        <v>1551601531954318</v>
      </c>
      <c r="C1518" t="s">
        <v>40</v>
      </c>
      <c r="D1518">
        <v>4.7052529999999999</v>
      </c>
      <c r="E1518">
        <v>0.50650479999999998</v>
      </c>
      <c r="F1518" t="s">
        <v>48</v>
      </c>
      <c r="G1518">
        <v>-345.39609999999999</v>
      </c>
      <c r="H1518" s="1">
        <v>1.3347290000000001E-6</v>
      </c>
      <c r="I1518">
        <v>286.7774</v>
      </c>
      <c r="J1518">
        <v>-310.13749999999999</v>
      </c>
      <c r="K1518">
        <v>1.1211469999999999</v>
      </c>
      <c r="L1518">
        <v>283.93290000000002</v>
      </c>
      <c r="M1518">
        <v>-0.99947940000000002</v>
      </c>
      <c r="N1518">
        <v>-1.456528E-2</v>
      </c>
      <c r="O1518">
        <v>2.8794480000000001E-2</v>
      </c>
      <c r="P1518">
        <v>-0.98234060000000001</v>
      </c>
      <c r="Q1518">
        <v>0.17334349999999901</v>
      </c>
      <c r="R1518">
        <v>7.0422280000000004E-2</v>
      </c>
      <c r="S1518">
        <v>-3.0541079999999998</v>
      </c>
      <c r="T1518">
        <v>-9.6222039999999995E-2</v>
      </c>
      <c r="U1518">
        <v>0.24493409999999999</v>
      </c>
      <c r="V1518">
        <v>4.2100600000000002E-2</v>
      </c>
      <c r="W1518">
        <v>0.18765799999999999</v>
      </c>
      <c r="X1518">
        <v>0.98133179999999998</v>
      </c>
      <c r="Y1518">
        <v>5.1170199999999999E-2</v>
      </c>
      <c r="Z1518">
        <v>6.916925E-4</v>
      </c>
      <c r="AA1518">
        <v>0.99868970000000001</v>
      </c>
      <c r="AB1518">
        <v>34</v>
      </c>
      <c r="AC1518">
        <v>-35.258600000000001</v>
      </c>
      <c r="AD1518">
        <v>-1.1211456652709999</v>
      </c>
      <c r="AE1518">
        <v>2.84449999999998</v>
      </c>
      <c r="AF1518">
        <v>1.8261252432544901</v>
      </c>
      <c r="AG1518">
        <v>-1.1211456652709999</v>
      </c>
      <c r="AH1518">
        <v>35.290440187627503</v>
      </c>
      <c r="AI1518">
        <v>91.8171939698735</v>
      </c>
      <c r="AJ1518">
        <v>87.037837071319402</v>
      </c>
      <c r="AK1518">
        <v>35.355436210621399</v>
      </c>
      <c r="AL1518">
        <v>79.183861274859694</v>
      </c>
      <c r="AM1518">
        <v>87.543431875030194</v>
      </c>
      <c r="AN1518">
        <v>1.00000004358779</v>
      </c>
    </row>
    <row r="1519" spans="1:40" x14ac:dyDescent="0.25">
      <c r="A1519" t="str">
        <f>"20190303162531990"</f>
        <v>20190303162531990</v>
      </c>
      <c r="B1519" t="str">
        <f>"1551601531984575"</f>
        <v>1551601531984575</v>
      </c>
      <c r="C1519" t="s">
        <v>40</v>
      </c>
      <c r="D1519">
        <v>4.6360849999999996</v>
      </c>
      <c r="E1519">
        <v>0.50631029999999999</v>
      </c>
      <c r="F1519" t="s">
        <v>48</v>
      </c>
      <c r="G1519">
        <v>-344.78910000000002</v>
      </c>
      <c r="H1519" s="1">
        <v>1.011747E-6</v>
      </c>
      <c r="I1519">
        <v>286.81740000000002</v>
      </c>
      <c r="J1519">
        <v>-310.4991</v>
      </c>
      <c r="K1519">
        <v>1.1211409999999999</v>
      </c>
      <c r="L1519">
        <v>283.94330000000002</v>
      </c>
      <c r="M1519">
        <v>-0.99948009999999998</v>
      </c>
      <c r="N1519">
        <v>-1.4557850000000001E-2</v>
      </c>
      <c r="O1519">
        <v>2.8769630000000001E-2</v>
      </c>
      <c r="P1519">
        <v>-0.98258610000000002</v>
      </c>
      <c r="Q1519">
        <v>0.17142249999999901</v>
      </c>
      <c r="R1519">
        <v>7.1686100000000003E-2</v>
      </c>
      <c r="S1519">
        <v>-3.053131</v>
      </c>
      <c r="T1519">
        <v>-9.8783369999999995E-2</v>
      </c>
      <c r="U1519">
        <v>0.2541504</v>
      </c>
      <c r="V1519">
        <v>4.3381650000000001E-2</v>
      </c>
      <c r="W1519">
        <v>0.18573319999999999</v>
      </c>
      <c r="X1519">
        <v>0.98164209999999996</v>
      </c>
      <c r="Y1519">
        <v>5.421136E-2</v>
      </c>
      <c r="Z1519">
        <v>7.6032719999999995E-4</v>
      </c>
      <c r="AA1519">
        <v>0.99852920000000001</v>
      </c>
      <c r="AB1519">
        <v>34</v>
      </c>
      <c r="AC1519">
        <v>-34.29</v>
      </c>
      <c r="AD1519">
        <v>-1.121139988253</v>
      </c>
      <c r="AE1519">
        <v>2.8740999999999901</v>
      </c>
      <c r="AF1519">
        <v>1.88429465711896</v>
      </c>
      <c r="AG1519">
        <v>-1.121139988253</v>
      </c>
      <c r="AH1519">
        <v>34.322063924640297</v>
      </c>
      <c r="AI1519">
        <v>91.868106531045498</v>
      </c>
      <c r="AJ1519">
        <v>86.857594014943203</v>
      </c>
      <c r="AK1519">
        <v>34.392028048302102</v>
      </c>
      <c r="AL1519">
        <v>79.296117460359994</v>
      </c>
      <c r="AM1519">
        <v>87.469577540019799</v>
      </c>
      <c r="AN1519">
        <v>1.00000000081568</v>
      </c>
    </row>
    <row r="1520" spans="1:40" x14ac:dyDescent="0.25">
      <c r="A1520" t="str">
        <f>"20190303162532012"</f>
        <v>20190303162532012</v>
      </c>
      <c r="B1520" t="str">
        <f>"1551601532004096"</f>
        <v>1551601532004096</v>
      </c>
      <c r="C1520" t="s">
        <v>40</v>
      </c>
      <c r="D1520">
        <v>4.6748770000000004</v>
      </c>
      <c r="E1520">
        <v>0.50635329999999901</v>
      </c>
      <c r="F1520" t="s">
        <v>48</v>
      </c>
      <c r="G1520">
        <v>-343.75650000000002</v>
      </c>
      <c r="H1520" s="1">
        <v>4.6223329999999998E-7</v>
      </c>
      <c r="I1520">
        <v>286.73540000000003</v>
      </c>
      <c r="J1520">
        <v>-310.84300000000002</v>
      </c>
      <c r="K1520">
        <v>1.1211370000000001</v>
      </c>
      <c r="L1520">
        <v>283.95319999999998</v>
      </c>
      <c r="M1520">
        <v>-0.9994807</v>
      </c>
      <c r="N1520">
        <v>-1.455101E-2</v>
      </c>
      <c r="O1520">
        <v>2.874939E-2</v>
      </c>
      <c r="P1520">
        <v>-0.98284519999999997</v>
      </c>
      <c r="Q1520">
        <v>0.17001050000000001</v>
      </c>
      <c r="R1520">
        <v>7.1494520000000006E-2</v>
      </c>
      <c r="S1520">
        <v>-3.0523989999999999</v>
      </c>
      <c r="T1520">
        <v>-0.1028993</v>
      </c>
      <c r="U1520">
        <v>0.25625609999999999</v>
      </c>
      <c r="V1520">
        <v>4.320326E-2</v>
      </c>
      <c r="W1520">
        <v>0.1843185</v>
      </c>
      <c r="X1520">
        <v>0.98191660000000003</v>
      </c>
      <c r="Y1520">
        <v>5.4932639999999998E-2</v>
      </c>
      <c r="Z1520">
        <v>7.7549550000000002E-4</v>
      </c>
      <c r="AA1520">
        <v>0.99848970000000004</v>
      </c>
      <c r="AB1520">
        <v>34</v>
      </c>
      <c r="AC1520">
        <v>-32.913499999999999</v>
      </c>
      <c r="AD1520">
        <v>-1.1211365377667</v>
      </c>
      <c r="AE1520">
        <v>2.78220000000004</v>
      </c>
      <c r="AF1520">
        <v>1.83259519677753</v>
      </c>
      <c r="AG1520">
        <v>-1.1211365377667</v>
      </c>
      <c r="AH1520">
        <v>32.941936149079801</v>
      </c>
      <c r="AI1520">
        <v>91.946229026645696</v>
      </c>
      <c r="AJ1520">
        <v>86.815856481047405</v>
      </c>
      <c r="AK1520">
        <v>33.0119146603407</v>
      </c>
      <c r="AL1520">
        <v>79.378598152542295</v>
      </c>
      <c r="AM1520">
        <v>87.480673046981096</v>
      </c>
      <c r="AN1520">
        <v>1.00000002023621</v>
      </c>
    </row>
    <row r="1521" spans="1:40" x14ac:dyDescent="0.25">
      <c r="A1521" t="str">
        <f>"20190303162532035"</f>
        <v>20190303162532035</v>
      </c>
      <c r="B1521" t="str">
        <f>"1551601532024591"</f>
        <v>1551601532024591</v>
      </c>
      <c r="C1521" t="s">
        <v>40</v>
      </c>
      <c r="D1521">
        <v>4.6651870000000004</v>
      </c>
      <c r="E1521">
        <v>0.50655269999999997</v>
      </c>
      <c r="F1521" t="s">
        <v>48</v>
      </c>
      <c r="G1521">
        <v>-343.2199</v>
      </c>
      <c r="H1521" s="1">
        <v>1.7668469999999999E-7</v>
      </c>
      <c r="I1521">
        <v>286.66809999999998</v>
      </c>
      <c r="J1521">
        <v>-311.17849999999999</v>
      </c>
      <c r="K1521">
        <v>1.1211329999999999</v>
      </c>
      <c r="L1521">
        <v>283.96280000000002</v>
      </c>
      <c r="M1521">
        <v>-0.99948139999999996</v>
      </c>
      <c r="N1521">
        <v>-1.454455E-2</v>
      </c>
      <c r="O1521">
        <v>2.873208E-2</v>
      </c>
      <c r="P1521">
        <v>-0.98309999999999997</v>
      </c>
      <c r="Q1521">
        <v>0.16895979999999999</v>
      </c>
      <c r="R1521">
        <v>7.0479330000000007E-2</v>
      </c>
      <c r="S1521">
        <v>-3.0520320000000001</v>
      </c>
      <c r="T1521">
        <v>-0.1056846</v>
      </c>
      <c r="U1521">
        <v>0.25592039999999999</v>
      </c>
      <c r="V1521">
        <v>4.2199439999999998E-2</v>
      </c>
      <c r="W1521">
        <v>0.18326480000000001</v>
      </c>
      <c r="X1521">
        <v>0.98215739999999996</v>
      </c>
      <c r="Y1521">
        <v>5.4849389999999998E-2</v>
      </c>
      <c r="Z1521">
        <v>7.7227289999999896E-4</v>
      </c>
      <c r="AA1521">
        <v>0.99849429999999995</v>
      </c>
      <c r="AB1521">
        <v>34</v>
      </c>
      <c r="AC1521">
        <v>-32.041400000000003</v>
      </c>
      <c r="AD1521">
        <v>-1.1211328233153</v>
      </c>
      <c r="AE1521">
        <v>2.7052999999999598</v>
      </c>
      <c r="AF1521">
        <v>1.7813040541788101</v>
      </c>
      <c r="AG1521">
        <v>-1.1211328233153</v>
      </c>
      <c r="AH1521">
        <v>32.066924031642301</v>
      </c>
      <c r="AI1521">
        <v>91.999295774049202</v>
      </c>
      <c r="AJ1521">
        <v>86.820511392693106</v>
      </c>
      <c r="AK1521">
        <v>32.1359238204235</v>
      </c>
      <c r="AL1521">
        <v>79.440016426162998</v>
      </c>
      <c r="AM1521">
        <v>87.539738940722103</v>
      </c>
      <c r="AN1521">
        <v>0.99999996901505595</v>
      </c>
    </row>
    <row r="1522" spans="1:40" x14ac:dyDescent="0.25">
      <c r="A1522" t="str">
        <f>"20190303162532056"</f>
        <v>20190303162532056</v>
      </c>
      <c r="B1522" t="str">
        <f>"1551601532044112"</f>
        <v>1551601532044112</v>
      </c>
      <c r="C1522" t="s">
        <v>40</v>
      </c>
      <c r="D1522">
        <v>4.6449069999999999</v>
      </c>
      <c r="E1522">
        <v>0.50668649999999904</v>
      </c>
      <c r="F1522" t="s">
        <v>48</v>
      </c>
      <c r="G1522">
        <v>-343.3426</v>
      </c>
      <c r="H1522" s="1">
        <v>2.4195649999999999E-7</v>
      </c>
      <c r="I1522">
        <v>286.64060000000001</v>
      </c>
      <c r="J1522">
        <v>-311.49759999999998</v>
      </c>
      <c r="K1522">
        <v>1.121124</v>
      </c>
      <c r="L1522">
        <v>283.97199999999998</v>
      </c>
      <c r="M1522">
        <v>-0.99948199999999998</v>
      </c>
      <c r="N1522">
        <v>-1.45387E-2</v>
      </c>
      <c r="O1522">
        <v>2.8717380000000001E-2</v>
      </c>
      <c r="P1522">
        <v>-0.98338789999999998</v>
      </c>
      <c r="Q1522">
        <v>0.1674464</v>
      </c>
      <c r="R1522">
        <v>7.0072430000000005E-2</v>
      </c>
      <c r="S1522">
        <v>-3.051666</v>
      </c>
      <c r="T1522">
        <v>-0.10637089999999901</v>
      </c>
      <c r="U1522">
        <v>0.25405879999999997</v>
      </c>
      <c r="V1522">
        <v>4.1799889999999999E-2</v>
      </c>
      <c r="W1522">
        <v>0.18174960000000001</v>
      </c>
      <c r="X1522">
        <v>0.982456</v>
      </c>
      <c r="Y1522">
        <v>5.4269289999999998E-2</v>
      </c>
      <c r="Z1522">
        <v>7.5762609999999999E-4</v>
      </c>
      <c r="AA1522">
        <v>0.99852600000000002</v>
      </c>
      <c r="AB1522">
        <v>34</v>
      </c>
      <c r="AC1522">
        <v>-31.844999999999999</v>
      </c>
      <c r="AD1522">
        <v>-1.1211237580435001</v>
      </c>
      <c r="AE1522">
        <v>2.6686000000000201</v>
      </c>
      <c r="AF1522">
        <v>1.7507428735420001</v>
      </c>
      <c r="AG1522">
        <v>-1.1211237580435001</v>
      </c>
      <c r="AH1522">
        <v>31.869282182203499</v>
      </c>
      <c r="AI1522">
        <v>92.011736301608394</v>
      </c>
      <c r="AJ1522">
        <v>86.855609994379805</v>
      </c>
      <c r="AK1522">
        <v>31.937018738433</v>
      </c>
      <c r="AL1522">
        <v>79.528314013608295</v>
      </c>
      <c r="AM1522">
        <v>87.563744595445499</v>
      </c>
      <c r="AN1522">
        <v>0.999999969920085</v>
      </c>
    </row>
    <row r="1523" spans="1:40" x14ac:dyDescent="0.25">
      <c r="A1523" t="str">
        <f>"20190303162532079"</f>
        <v>20190303162532079</v>
      </c>
      <c r="B1523" t="str">
        <f>"1551601532064607"</f>
        <v>1551601532064607</v>
      </c>
      <c r="C1523" t="s">
        <v>40</v>
      </c>
      <c r="D1523">
        <v>4.6473829999999996</v>
      </c>
      <c r="E1523">
        <v>0.50651179999999996</v>
      </c>
      <c r="F1523" t="s">
        <v>48</v>
      </c>
      <c r="G1523">
        <v>-342.4221</v>
      </c>
      <c r="H1523" s="1">
        <v>-2.4786279999999999E-7</v>
      </c>
      <c r="I1523">
        <v>286.53640000000001</v>
      </c>
      <c r="J1523">
        <v>-311.83370000000002</v>
      </c>
      <c r="K1523">
        <v>1.12112099999999</v>
      </c>
      <c r="L1523">
        <v>283.98160000000001</v>
      </c>
      <c r="M1523">
        <v>-0.99948230000000005</v>
      </c>
      <c r="N1523">
        <v>-1.4532639999999999E-2</v>
      </c>
      <c r="O1523">
        <v>2.870381E-2</v>
      </c>
      <c r="P1523">
        <v>-0.98370829999999998</v>
      </c>
      <c r="Q1523">
        <v>0.16534219999999999</v>
      </c>
      <c r="R1523">
        <v>7.0571439999999999E-2</v>
      </c>
      <c r="S1523">
        <v>-3.0515140000000001</v>
      </c>
      <c r="T1523">
        <v>-0.1106282</v>
      </c>
      <c r="U1523">
        <v>0.25305179999999999</v>
      </c>
      <c r="V1523">
        <v>4.2303739999999999E-2</v>
      </c>
      <c r="W1523">
        <v>0.1796442</v>
      </c>
      <c r="X1523">
        <v>0.98282159999999996</v>
      </c>
      <c r="Y1523">
        <v>5.395759E-2</v>
      </c>
      <c r="Z1523">
        <v>7.4748529999999998E-4</v>
      </c>
      <c r="AA1523">
        <v>0.99854299999999996</v>
      </c>
      <c r="AB1523">
        <v>34</v>
      </c>
      <c r="AC1523">
        <v>-30.588399999999901</v>
      </c>
      <c r="AD1523">
        <v>-1.1211212478628001</v>
      </c>
      <c r="AE1523">
        <v>2.5548000000000002</v>
      </c>
      <c r="AF1523">
        <v>1.6734183097349999</v>
      </c>
      <c r="AG1523">
        <v>-1.1211212478628001</v>
      </c>
      <c r="AH1523">
        <v>30.6083009081222</v>
      </c>
      <c r="AI1523">
        <v>92.094567567298</v>
      </c>
      <c r="AJ1523">
        <v>86.870638181480899</v>
      </c>
      <c r="AK1523">
        <v>30.6745061276286</v>
      </c>
      <c r="AL1523">
        <v>79.650963545052605</v>
      </c>
      <c r="AM1523">
        <v>87.535330382523895</v>
      </c>
      <c r="AN1523">
        <v>0.99999997121909301</v>
      </c>
    </row>
    <row r="1524" spans="1:40" x14ac:dyDescent="0.25">
      <c r="A1524" t="str">
        <f>"20190303162532101"</f>
        <v>20190303162532101</v>
      </c>
      <c r="B1524" t="str">
        <f>"1551601532094863"</f>
        <v>1551601532094863</v>
      </c>
      <c r="C1524" t="s">
        <v>40</v>
      </c>
      <c r="D1524">
        <v>4.6778309999999896</v>
      </c>
      <c r="E1524">
        <v>0.4953399</v>
      </c>
      <c r="F1524" t="s">
        <v>48</v>
      </c>
      <c r="G1524">
        <v>-339.97930000000002</v>
      </c>
      <c r="H1524" s="1">
        <v>-1.5478109999999999E-6</v>
      </c>
      <c r="I1524">
        <v>286.29860000000002</v>
      </c>
      <c r="J1524">
        <v>-312.18200000000002</v>
      </c>
      <c r="K1524">
        <v>1.121113</v>
      </c>
      <c r="L1524">
        <v>283.99160000000001</v>
      </c>
      <c r="M1524">
        <v>-0.99948289999999995</v>
      </c>
      <c r="N1524">
        <v>-1.4526819999999999E-2</v>
      </c>
      <c r="O1524">
        <v>2.8691600000000001E-2</v>
      </c>
      <c r="P1524">
        <v>-0.98405100000000001</v>
      </c>
      <c r="Q1524">
        <v>0.16316040000000001</v>
      </c>
      <c r="R1524">
        <v>7.0871030000000002E-2</v>
      </c>
      <c r="S1524">
        <v>-3.052063</v>
      </c>
      <c r="T1524">
        <v>-0.12157270000000001</v>
      </c>
      <c r="U1524">
        <v>0.25125120000000001</v>
      </c>
      <c r="V1524">
        <v>4.2605850000000001E-2</v>
      </c>
      <c r="W1524">
        <v>0.17746210000000001</v>
      </c>
      <c r="X1524">
        <v>0.983205</v>
      </c>
      <c r="Y1524">
        <v>5.336424E-2</v>
      </c>
      <c r="Z1524">
        <v>7.2524429999999902E-4</v>
      </c>
      <c r="AA1524">
        <v>0.99857490000000004</v>
      </c>
      <c r="AB1524">
        <v>34</v>
      </c>
      <c r="AC1524">
        <v>-27.7973</v>
      </c>
      <c r="AD1524">
        <v>-1.1211145478110001</v>
      </c>
      <c r="AE1524">
        <v>2.3070000000000102</v>
      </c>
      <c r="AF1524">
        <v>1.5059840219513601</v>
      </c>
      <c r="AG1524">
        <v>-1.1211145478110001</v>
      </c>
      <c r="AH1524">
        <v>27.8071291454247</v>
      </c>
      <c r="AI1524">
        <v>92.305398568896905</v>
      </c>
      <c r="AJ1524">
        <v>86.899992317162301</v>
      </c>
      <c r="AK1524">
        <v>27.8704380484774</v>
      </c>
      <c r="AL1524">
        <v>79.778031586976297</v>
      </c>
      <c r="AM1524">
        <v>87.518717749220897</v>
      </c>
      <c r="AN1524">
        <v>1.0000000637078099</v>
      </c>
    </row>
    <row r="1525" spans="1:40" x14ac:dyDescent="0.25">
      <c r="A1525" t="str">
        <f>"20190303162532124"</f>
        <v>20190303162532124</v>
      </c>
      <c r="B1525" t="str">
        <f>"1551601532114383"</f>
        <v>1551601532114383</v>
      </c>
      <c r="C1525" t="s">
        <v>40</v>
      </c>
      <c r="D1525">
        <v>4.6835809999999896</v>
      </c>
      <c r="E1525">
        <v>0.49766729999999998</v>
      </c>
      <c r="F1525" t="s">
        <v>48</v>
      </c>
      <c r="G1525">
        <v>-328.11619999999999</v>
      </c>
      <c r="H1525" s="1">
        <v>2.7731370000000001E-6</v>
      </c>
      <c r="I1525">
        <v>284.82510000000002</v>
      </c>
      <c r="J1525">
        <v>-312.50959999999998</v>
      </c>
      <c r="K1525">
        <v>1.1211040000000001</v>
      </c>
      <c r="L1525">
        <v>284.00110000000001</v>
      </c>
      <c r="M1525">
        <v>-0.99948329999999996</v>
      </c>
      <c r="N1525">
        <v>-1.4521549999999999E-2</v>
      </c>
      <c r="O1525">
        <v>2.868134E-2</v>
      </c>
      <c r="P1525">
        <v>-0.98437629999999998</v>
      </c>
      <c r="Q1525">
        <v>0.1611747</v>
      </c>
      <c r="R1525">
        <v>7.0897849999999998E-2</v>
      </c>
      <c r="S1525">
        <v>-3.0728759999999999</v>
      </c>
      <c r="T1525">
        <v>-0.21620300000000001</v>
      </c>
      <c r="U1525">
        <v>0.16073609999999999</v>
      </c>
      <c r="V1525">
        <v>4.2633820000000003E-2</v>
      </c>
      <c r="W1525">
        <v>0.17547579999999999</v>
      </c>
      <c r="X1525">
        <v>0.98356010000000005</v>
      </c>
      <c r="Y1525">
        <v>2.3544349999999999E-2</v>
      </c>
      <c r="Z1525">
        <v>-5.9956289999999997E-4</v>
      </c>
      <c r="AA1525">
        <v>0.99972260000000002</v>
      </c>
      <c r="AB1525">
        <v>34</v>
      </c>
      <c r="AC1525">
        <v>-15.6066</v>
      </c>
      <c r="AD1525">
        <v>-1.1211012268629901</v>
      </c>
      <c r="AE1525">
        <v>0.82400000000001195</v>
      </c>
      <c r="AF1525">
        <v>0.37407067414232498</v>
      </c>
      <c r="AG1525">
        <v>-1.1211012268629901</v>
      </c>
      <c r="AH1525">
        <v>15.5438266125946</v>
      </c>
      <c r="AI1525">
        <v>94.124134743652405</v>
      </c>
      <c r="AJ1525">
        <v>88.621411878908106</v>
      </c>
      <c r="AK1525">
        <v>15.588692780105999</v>
      </c>
      <c r="AL1525">
        <v>79.893651423979506</v>
      </c>
      <c r="AM1525">
        <v>87.517986165250804</v>
      </c>
      <c r="AN1525">
        <v>0.99999993465271897</v>
      </c>
    </row>
    <row r="1526" spans="1:40" x14ac:dyDescent="0.25">
      <c r="A1526" t="str">
        <f>"20190303162532145"</f>
        <v>20190303162532145</v>
      </c>
      <c r="B1526" t="str">
        <f>"1551601532133903"</f>
        <v>1551601532133903</v>
      </c>
      <c r="C1526" t="s">
        <v>40</v>
      </c>
      <c r="D1526">
        <v>4.686687</v>
      </c>
      <c r="E1526">
        <v>0.49826789999999999</v>
      </c>
      <c r="F1526" t="s">
        <v>42</v>
      </c>
      <c r="G1526">
        <v>-313.45580000000001</v>
      </c>
      <c r="H1526">
        <v>1.045642</v>
      </c>
      <c r="I1526">
        <v>284.0564</v>
      </c>
      <c r="J1526">
        <v>-312.82799999999997</v>
      </c>
      <c r="K1526">
        <v>1.121092</v>
      </c>
      <c r="L1526">
        <v>284.0102</v>
      </c>
      <c r="M1526">
        <v>-0.99948349999999997</v>
      </c>
      <c r="N1526">
        <v>-1.4516650000000001E-2</v>
      </c>
      <c r="O1526">
        <v>2.8672090000000001E-2</v>
      </c>
      <c r="P1526">
        <v>-0.98458820000000002</v>
      </c>
      <c r="Q1526">
        <v>0.15955420000000001</v>
      </c>
      <c r="R1526">
        <v>7.1613819999999995E-2</v>
      </c>
      <c r="S1526">
        <v>-3.074951</v>
      </c>
      <c r="T1526">
        <v>-0.2454981</v>
      </c>
      <c r="U1526">
        <v>0.17843629999999999</v>
      </c>
      <c r="V1526">
        <v>4.3352830000000002E-2</v>
      </c>
      <c r="W1526">
        <v>0.1738537</v>
      </c>
      <c r="X1526">
        <v>0.98381680000000005</v>
      </c>
      <c r="Y1526">
        <v>2.923193E-2</v>
      </c>
      <c r="Z1526">
        <v>-4.9053809999999895E-4</v>
      </c>
      <c r="AA1526">
        <v>0.99957249999999997</v>
      </c>
      <c r="AB1526">
        <v>34</v>
      </c>
      <c r="AC1526">
        <v>-0.627800000000036</v>
      </c>
      <c r="AD1526">
        <v>-7.5450000000000003E-2</v>
      </c>
      <c r="AE1526">
        <v>4.6199999999998902E-2</v>
      </c>
      <c r="AF1526">
        <v>2.7779689717475499E-2</v>
      </c>
      <c r="AG1526">
        <v>-7.5450000000000003E-2</v>
      </c>
      <c r="AH1526">
        <v>0.61996039258046398</v>
      </c>
      <c r="AI1526">
        <v>96.931961017461703</v>
      </c>
      <c r="AJ1526">
        <v>87.434360295577505</v>
      </c>
      <c r="AK1526">
        <v>0.62515222308596397</v>
      </c>
      <c r="AL1526">
        <v>79.988042928960596</v>
      </c>
      <c r="AM1526">
        <v>87.476838894634895</v>
      </c>
      <c r="AN1526">
        <v>1.0000000364174599</v>
      </c>
    </row>
    <row r="1527" spans="1:40" x14ac:dyDescent="0.25">
      <c r="A1527" t="str">
        <f>"20190303162532168"</f>
        <v>20190303162532168</v>
      </c>
      <c r="B1527" t="str">
        <f>"1551601532154399"</f>
        <v>1551601532154399</v>
      </c>
      <c r="C1527" t="s">
        <v>40</v>
      </c>
      <c r="D1527">
        <v>4.7871759999999997</v>
      </c>
      <c r="E1527">
        <v>0.49866100000000002</v>
      </c>
      <c r="F1527" t="s">
        <v>42</v>
      </c>
      <c r="G1527">
        <v>-313.75459999999998</v>
      </c>
      <c r="H1527">
        <v>1.0455319999999999</v>
      </c>
      <c r="I1527">
        <v>284.06599999999997</v>
      </c>
      <c r="J1527">
        <v>-313.17090000000002</v>
      </c>
      <c r="K1527">
        <v>1.121081</v>
      </c>
      <c r="L1527">
        <v>284.02</v>
      </c>
      <c r="M1527">
        <v>-0.99948389999999998</v>
      </c>
      <c r="N1527">
        <v>-1.4511599999999999E-2</v>
      </c>
      <c r="O1527">
        <v>2.866231E-2</v>
      </c>
      <c r="P1527">
        <v>-0.98480100000000004</v>
      </c>
      <c r="Q1527">
        <v>0.157168899999999</v>
      </c>
      <c r="R1527">
        <v>7.3927060000000003E-2</v>
      </c>
      <c r="S1527">
        <v>-3.0742189999999998</v>
      </c>
      <c r="T1527">
        <v>-0.2508512</v>
      </c>
      <c r="U1527">
        <v>0.1842346</v>
      </c>
      <c r="V1527">
        <v>4.5669019999999998E-2</v>
      </c>
      <c r="W1527">
        <v>0.1714677</v>
      </c>
      <c r="X1527">
        <v>0.98413070000000002</v>
      </c>
      <c r="Y1527">
        <v>3.112564E-2</v>
      </c>
      <c r="Z1527">
        <v>-4.237841E-4</v>
      </c>
      <c r="AA1527">
        <v>0.99951540000000005</v>
      </c>
      <c r="AB1527">
        <v>34</v>
      </c>
      <c r="AC1527">
        <v>-0.58369999999996403</v>
      </c>
      <c r="AD1527">
        <v>-7.5549000000000005E-2</v>
      </c>
      <c r="AE1527">
        <v>4.59999999999922E-2</v>
      </c>
      <c r="AF1527">
        <v>2.8770150965865601E-2</v>
      </c>
      <c r="AG1527">
        <v>-7.5549000000000005E-2</v>
      </c>
      <c r="AH1527">
        <v>0.57520217925935602</v>
      </c>
      <c r="AI1527">
        <v>97.4733534937412</v>
      </c>
      <c r="AJ1527">
        <v>87.136596987230007</v>
      </c>
      <c r="AK1527">
        <v>0.58085533484019103</v>
      </c>
      <c r="AL1527">
        <v>80.126835127579994</v>
      </c>
      <c r="AM1527">
        <v>87.343070141764599</v>
      </c>
      <c r="AN1527">
        <v>1.00000003310676</v>
      </c>
    </row>
    <row r="1528" spans="1:40" x14ac:dyDescent="0.25">
      <c r="A1528" t="str">
        <f>"20190303162532204"</f>
        <v>20190303162532204</v>
      </c>
      <c r="B1528" t="str">
        <f>"1551601532194416"</f>
        <v>1551601532194416</v>
      </c>
      <c r="C1528" t="s">
        <v>40</v>
      </c>
      <c r="D1528">
        <v>4.6747560000000004</v>
      </c>
      <c r="E1528">
        <v>0.49836279999999999</v>
      </c>
      <c r="F1528" t="s">
        <v>42</v>
      </c>
      <c r="G1528">
        <v>-314.05549999999999</v>
      </c>
      <c r="H1528">
        <v>1.0480119999999999</v>
      </c>
      <c r="I1528">
        <v>284.07549999999998</v>
      </c>
      <c r="J1528">
        <v>-313.68880000000001</v>
      </c>
      <c r="K1528">
        <v>1.1210519999999999</v>
      </c>
      <c r="L1528">
        <v>284.03489999999999</v>
      </c>
      <c r="M1528">
        <v>-0.9994845</v>
      </c>
      <c r="N1528">
        <v>-1.450428E-2</v>
      </c>
      <c r="O1528">
        <v>2.8646459999999999E-2</v>
      </c>
      <c r="P1528">
        <v>-0.98492869999999999</v>
      </c>
      <c r="Q1528">
        <v>0.15362509999999999</v>
      </c>
      <c r="R1528">
        <v>7.9468540000000004E-2</v>
      </c>
      <c r="S1528">
        <v>-3.0724490000000002</v>
      </c>
      <c r="T1528">
        <v>-0.25392150000000002</v>
      </c>
      <c r="U1528">
        <v>0.1914978</v>
      </c>
      <c r="V1528">
        <v>5.1220519999999999E-2</v>
      </c>
      <c r="W1528">
        <v>0.16792119999999999</v>
      </c>
      <c r="X1528">
        <v>0.98446889999999998</v>
      </c>
      <c r="Y1528">
        <v>3.3519359999999998E-2</v>
      </c>
      <c r="Z1528">
        <v>-3.205026E-4</v>
      </c>
      <c r="AA1528">
        <v>0.99943800000000005</v>
      </c>
      <c r="AB1528">
        <v>33</v>
      </c>
      <c r="AC1528">
        <v>-0.36669999999997999</v>
      </c>
      <c r="AD1528">
        <v>-7.3039999999999702E-2</v>
      </c>
      <c r="AE1528">
        <v>4.0599999999983503E-2</v>
      </c>
      <c r="AF1528">
        <v>2.89432032652761E-2</v>
      </c>
      <c r="AG1528">
        <v>-7.3039999999999702E-2</v>
      </c>
      <c r="AH1528">
        <v>0.353844425411251</v>
      </c>
      <c r="AI1528">
        <v>101.62533146212</v>
      </c>
      <c r="AJ1528">
        <v>85.323821351013507</v>
      </c>
      <c r="AK1528">
        <v>0.36246162280974398</v>
      </c>
      <c r="AL1528">
        <v>80.333025250144502</v>
      </c>
      <c r="AM1528">
        <v>87.021667374207794</v>
      </c>
      <c r="AN1528">
        <v>1.00000004307285</v>
      </c>
    </row>
    <row r="1529" spans="1:40" x14ac:dyDescent="0.25">
      <c r="A1529" t="str">
        <f>"20190303162532225"</f>
        <v>20190303162532225</v>
      </c>
      <c r="B1529" t="str">
        <f>"1551601532213934"</f>
        <v>1551601532213934</v>
      </c>
      <c r="C1529" t="s">
        <v>40</v>
      </c>
      <c r="D1529">
        <v>4.7141570000000002</v>
      </c>
      <c r="E1529">
        <v>0.49845459999999903</v>
      </c>
      <c r="F1529" t="s">
        <v>42</v>
      </c>
      <c r="G1529">
        <v>-314.64800000000002</v>
      </c>
      <c r="H1529">
        <v>1.044284</v>
      </c>
      <c r="I1529">
        <v>284.09829999999999</v>
      </c>
      <c r="J1529">
        <v>-314.02330000000001</v>
      </c>
      <c r="K1529">
        <v>1.1210370000000001</v>
      </c>
      <c r="L1529">
        <v>284.04450000000003</v>
      </c>
      <c r="M1529">
        <v>-0.99948479999999995</v>
      </c>
      <c r="N1529">
        <v>-1.449976E-2</v>
      </c>
      <c r="O1529">
        <v>2.8633180000000001E-2</v>
      </c>
      <c r="P1529">
        <v>-0.98527569999999998</v>
      </c>
      <c r="Q1529">
        <v>0.1495716</v>
      </c>
      <c r="R1529">
        <v>8.2827010000000006E-2</v>
      </c>
      <c r="S1529">
        <v>-3.0680239999999999</v>
      </c>
      <c r="T1529">
        <v>-0.24581939999999999</v>
      </c>
      <c r="U1529">
        <v>0.20132449999999999</v>
      </c>
      <c r="V1529">
        <v>5.4579959999999997E-2</v>
      </c>
      <c r="W1529">
        <v>0.16387019999999999</v>
      </c>
      <c r="X1529">
        <v>0.98497089999999998</v>
      </c>
      <c r="Y1529">
        <v>3.6800300000000001E-2</v>
      </c>
      <c r="Z1529">
        <v>-1.349946E-4</v>
      </c>
      <c r="AA1529">
        <v>0.99932270000000001</v>
      </c>
      <c r="AB1529">
        <v>33</v>
      </c>
      <c r="AC1529">
        <v>-0.62469999999996095</v>
      </c>
      <c r="AD1529">
        <v>-7.6753000000000002E-2</v>
      </c>
      <c r="AE1529">
        <v>5.3799999999966902E-2</v>
      </c>
      <c r="AF1529">
        <v>3.5359074722468999E-2</v>
      </c>
      <c r="AG1529">
        <v>-7.6753000000000002E-2</v>
      </c>
      <c r="AH1529">
        <v>0.61674293355503595</v>
      </c>
      <c r="AI1529">
        <v>97.082414346764494</v>
      </c>
      <c r="AJ1529">
        <v>86.718713260935004</v>
      </c>
      <c r="AK1529">
        <v>0.62250552870179499</v>
      </c>
      <c r="AL1529">
        <v>80.568392035885594</v>
      </c>
      <c r="AM1529">
        <v>86.828326126328705</v>
      </c>
      <c r="AN1529">
        <v>1.0000000441642201</v>
      </c>
    </row>
    <row r="1530" spans="1:40" x14ac:dyDescent="0.25">
      <c r="A1530" t="str">
        <f>"20190303162532245"</f>
        <v>20190303162532245</v>
      </c>
      <c r="B1530" t="str">
        <f>"1551601532234432"</f>
        <v>1551601532234432</v>
      </c>
      <c r="C1530" t="s">
        <v>40</v>
      </c>
      <c r="D1530">
        <v>4.7731560000000002</v>
      </c>
      <c r="E1530">
        <v>0.51103140000000002</v>
      </c>
      <c r="F1530" t="s">
        <v>42</v>
      </c>
      <c r="G1530">
        <v>-314.94529999999997</v>
      </c>
      <c r="H1530">
        <v>1.0438750000000001</v>
      </c>
      <c r="I1530">
        <v>284.10750000000002</v>
      </c>
      <c r="J1530">
        <v>-314.32240000000002</v>
      </c>
      <c r="K1530">
        <v>1.1210279999999999</v>
      </c>
      <c r="L1530">
        <v>284.05309999999997</v>
      </c>
      <c r="M1530">
        <v>-0.99948530000000002</v>
      </c>
      <c r="N1530">
        <v>-1.4495920000000001E-2</v>
      </c>
      <c r="O1530">
        <v>2.8616340000000001E-2</v>
      </c>
      <c r="P1530">
        <v>-0.9855003</v>
      </c>
      <c r="Q1530">
        <v>0.1471411</v>
      </c>
      <c r="R1530">
        <v>8.4490129999999997E-2</v>
      </c>
      <c r="S1530">
        <v>-3.0661930000000002</v>
      </c>
      <c r="T1530">
        <v>-0.25659890000000002</v>
      </c>
      <c r="U1530">
        <v>0.2095032</v>
      </c>
      <c r="V1530">
        <v>5.6251429999999998E-2</v>
      </c>
      <c r="W1530">
        <v>0.16144059999999999</v>
      </c>
      <c r="X1530">
        <v>0.98527799999999999</v>
      </c>
      <c r="Y1530">
        <v>3.9493840000000002E-2</v>
      </c>
      <c r="Z1530" s="1">
        <v>-3.8181900000000001E-5</v>
      </c>
      <c r="AA1530">
        <v>0.99921979999999999</v>
      </c>
      <c r="AB1530">
        <v>33</v>
      </c>
      <c r="AC1530">
        <v>-0.62289999999995804</v>
      </c>
      <c r="AD1530">
        <v>-7.7152999999999999E-2</v>
      </c>
      <c r="AE1530">
        <v>5.4400000000043698E-2</v>
      </c>
      <c r="AF1530">
        <v>3.6002570496418598E-2</v>
      </c>
      <c r="AG1530">
        <v>-7.7152999999999999E-2</v>
      </c>
      <c r="AH1530">
        <v>0.61484053985303899</v>
      </c>
      <c r="AI1530">
        <v>97.140247125775602</v>
      </c>
      <c r="AJ1530">
        <v>86.648818011976701</v>
      </c>
      <c r="AK1530">
        <v>0.620707386727535</v>
      </c>
      <c r="AL1530">
        <v>80.709476444267196</v>
      </c>
      <c r="AM1530">
        <v>86.732420070191395</v>
      </c>
      <c r="AN1530">
        <v>1.0000000139947001</v>
      </c>
    </row>
    <row r="1531" spans="1:40" x14ac:dyDescent="0.25">
      <c r="A1531" t="str">
        <f>"20190303162532268"</f>
        <v>20190303162532268</v>
      </c>
      <c r="B1531" t="str">
        <f>"1551601532253951"</f>
        <v>1551601532253951</v>
      </c>
      <c r="C1531" t="s">
        <v>40</v>
      </c>
      <c r="D1531">
        <v>4.7578290000000001</v>
      </c>
      <c r="E1531">
        <v>0.52648509999999904</v>
      </c>
      <c r="F1531" t="s">
        <v>42</v>
      </c>
      <c r="G1531">
        <v>-315.22379999999998</v>
      </c>
      <c r="H1531">
        <v>1.009838</v>
      </c>
      <c r="I1531">
        <v>284.1438</v>
      </c>
      <c r="J1531">
        <v>-314.66030000000001</v>
      </c>
      <c r="K1531">
        <v>1.1210420000000001</v>
      </c>
      <c r="L1531">
        <v>284.06270000000001</v>
      </c>
      <c r="M1531">
        <v>-0.9994864</v>
      </c>
      <c r="N1531">
        <v>-1.449173E-2</v>
      </c>
      <c r="O1531">
        <v>2.858405E-2</v>
      </c>
      <c r="P1531">
        <v>-0.98536760000000001</v>
      </c>
      <c r="Q1531">
        <v>0.1470881</v>
      </c>
      <c r="R1531">
        <v>8.6116929999999994E-2</v>
      </c>
      <c r="S1531">
        <v>-3.0743710000000002</v>
      </c>
      <c r="T1531">
        <v>-0.37936150000000002</v>
      </c>
      <c r="U1531">
        <v>0.3085022</v>
      </c>
      <c r="V1531">
        <v>5.7910169999999997E-2</v>
      </c>
      <c r="W1531">
        <v>0.16138359999999999</v>
      </c>
      <c r="X1531">
        <v>0.98519120000000004</v>
      </c>
      <c r="Y1531">
        <v>7.0931190000000005E-2</v>
      </c>
      <c r="Z1531">
        <v>1.7749160000000001E-3</v>
      </c>
      <c r="AA1531">
        <v>0.99747960000000002</v>
      </c>
      <c r="AB1531">
        <v>33</v>
      </c>
      <c r="AC1531">
        <v>-0.56349999999997602</v>
      </c>
      <c r="AD1531">
        <v>-0.111204</v>
      </c>
      <c r="AE1531">
        <v>8.1099999999992095E-2</v>
      </c>
      <c r="AF1531">
        <v>6.2570680767507506E-2</v>
      </c>
      <c r="AG1531">
        <v>-0.111204</v>
      </c>
      <c r="AH1531">
        <v>0.544801328770537</v>
      </c>
      <c r="AI1531">
        <v>101.463303101531</v>
      </c>
      <c r="AJ1531">
        <v>83.448260175157898</v>
      </c>
      <c r="AK1531">
        <v>0.559544374949701</v>
      </c>
      <c r="AL1531">
        <v>80.712785354225502</v>
      </c>
      <c r="AM1531">
        <v>86.635988208291096</v>
      </c>
      <c r="AN1531">
        <v>0.99999997734791402</v>
      </c>
    </row>
    <row r="1532" spans="1:40" x14ac:dyDescent="0.25">
      <c r="A1532" t="str">
        <f>"20190303162532301"</f>
        <v>20190303162532301</v>
      </c>
      <c r="B1532" t="str">
        <f>"1551601532293967"</f>
        <v>1551601532293967</v>
      </c>
      <c r="C1532" t="s">
        <v>40</v>
      </c>
      <c r="D1532">
        <v>4.7658360000000002</v>
      </c>
      <c r="E1532">
        <v>0.52649840000000003</v>
      </c>
      <c r="F1532" t="s">
        <v>42</v>
      </c>
      <c r="G1532">
        <v>-315.46159999999998</v>
      </c>
      <c r="H1532">
        <v>0.88715900000000003</v>
      </c>
      <c r="I1532">
        <v>284.16849999999999</v>
      </c>
      <c r="J1532">
        <v>-315.16050000000001</v>
      </c>
      <c r="K1532">
        <v>1.121073</v>
      </c>
      <c r="L1532">
        <v>284.077</v>
      </c>
      <c r="M1532">
        <v>-0.99948890000000001</v>
      </c>
      <c r="N1532">
        <v>-1.4485700000000001E-2</v>
      </c>
      <c r="O1532">
        <v>2.8499779999999999E-2</v>
      </c>
      <c r="P1532">
        <v>-0.98499789999999998</v>
      </c>
      <c r="Q1532">
        <v>0.14759910000000001</v>
      </c>
      <c r="R1532">
        <v>8.9408639999999998E-2</v>
      </c>
      <c r="S1532">
        <v>-3.145416</v>
      </c>
      <c r="T1532">
        <v>-0.91813520000000004</v>
      </c>
      <c r="U1532">
        <v>0.41381839999999998</v>
      </c>
      <c r="V1532">
        <v>6.1285569999999998E-2</v>
      </c>
      <c r="W1532">
        <v>0.16188759999999999</v>
      </c>
      <c r="X1532">
        <v>0.98490429999999995</v>
      </c>
      <c r="Y1532">
        <v>9.8913329999999994E-2</v>
      </c>
      <c r="Z1532">
        <v>7.1106859999999997E-3</v>
      </c>
      <c r="AA1532">
        <v>0.99507060000000003</v>
      </c>
      <c r="AB1532">
        <v>33</v>
      </c>
      <c r="AC1532">
        <v>-0.30109999999996201</v>
      </c>
      <c r="AD1532">
        <v>-0.23391400000000001</v>
      </c>
      <c r="AE1532">
        <v>9.1499999999996307E-2</v>
      </c>
      <c r="AF1532">
        <v>5.3385355002780799E-2</v>
      </c>
      <c r="AG1532">
        <v>-0.23391400000000001</v>
      </c>
      <c r="AH1532">
        <v>0.19554661462859901</v>
      </c>
      <c r="AI1532">
        <v>139.08877044546301</v>
      </c>
      <c r="AJ1532">
        <v>74.730030077890902</v>
      </c>
      <c r="AK1532">
        <v>0.30952259048004599</v>
      </c>
      <c r="AL1532">
        <v>80.683523697407793</v>
      </c>
      <c r="AM1532">
        <v>86.439366722845406</v>
      </c>
      <c r="AN1532">
        <v>0.99999999814123697</v>
      </c>
    </row>
    <row r="1533" spans="1:40" x14ac:dyDescent="0.25">
      <c r="A1533" t="str">
        <f>"20190303162532324"</f>
        <v>20190303162532324</v>
      </c>
      <c r="B1533" t="str">
        <f>"1551601532314463"</f>
        <v>1551601532314463</v>
      </c>
      <c r="C1533" t="s">
        <v>40</v>
      </c>
      <c r="D1533">
        <v>4.8036000000000003</v>
      </c>
      <c r="E1533">
        <v>0.52612919999999996</v>
      </c>
      <c r="F1533" t="s">
        <v>42</v>
      </c>
      <c r="G1533">
        <v>-316.0367</v>
      </c>
      <c r="H1533">
        <v>0.84292520000000004</v>
      </c>
      <c r="I1533">
        <v>284.1934</v>
      </c>
      <c r="J1533">
        <v>-315.48689999999999</v>
      </c>
      <c r="K1533">
        <v>1.121103</v>
      </c>
      <c r="L1533">
        <v>284.08620000000002</v>
      </c>
      <c r="M1533">
        <v>-0.99949129999999997</v>
      </c>
      <c r="N1533">
        <v>-1.448193E-2</v>
      </c>
      <c r="O1533">
        <v>2.8414249999999999E-2</v>
      </c>
      <c r="P1533">
        <v>-0.98490889999999998</v>
      </c>
      <c r="Q1533">
        <v>0.1476316</v>
      </c>
      <c r="R1533">
        <v>9.033004E-2</v>
      </c>
      <c r="S1533">
        <v>-3.1578979999999999</v>
      </c>
      <c r="T1533">
        <v>-1.0025539999999999</v>
      </c>
      <c r="U1533">
        <v>0.4187012</v>
      </c>
      <c r="V1533">
        <v>6.2286380000000002E-2</v>
      </c>
      <c r="W1533">
        <v>0.16191820000000001</v>
      </c>
      <c r="X1533">
        <v>0.9848365</v>
      </c>
      <c r="Y1533">
        <v>9.94279E-2</v>
      </c>
      <c r="Z1533">
        <v>7.7196019999999999E-3</v>
      </c>
      <c r="AA1533">
        <v>0.99501479999999998</v>
      </c>
      <c r="AB1533">
        <v>33</v>
      </c>
      <c r="AC1533">
        <v>-0.54980000000000395</v>
      </c>
      <c r="AD1533">
        <v>-0.27817779999999898</v>
      </c>
      <c r="AE1533">
        <v>0.10719999999997699</v>
      </c>
      <c r="AF1533">
        <v>7.3424784096360399E-2</v>
      </c>
      <c r="AG1533">
        <v>-0.27817779999999898</v>
      </c>
      <c r="AH1533">
        <v>0.44329758028045302</v>
      </c>
      <c r="AI1533">
        <v>121.761015806475</v>
      </c>
      <c r="AJ1533">
        <v>80.595301943696597</v>
      </c>
      <c r="AK1533">
        <v>0.52847595216333298</v>
      </c>
      <c r="AL1533">
        <v>80.681747156889998</v>
      </c>
      <c r="AM1533">
        <v>86.381125418910599</v>
      </c>
      <c r="AN1533">
        <v>1.0000000141784899</v>
      </c>
    </row>
    <row r="1534" spans="1:40" x14ac:dyDescent="0.25">
      <c r="A1534" t="str">
        <f>"20190303162532345"</f>
        <v>20190303162532345</v>
      </c>
      <c r="B1534" t="str">
        <f>"1551601532333983"</f>
        <v>1551601532333983</v>
      </c>
      <c r="C1534" t="s">
        <v>40</v>
      </c>
      <c r="D1534">
        <v>4.8372849999999996</v>
      </c>
      <c r="E1534">
        <v>0.52607320000000002</v>
      </c>
      <c r="F1534" t="s">
        <v>42</v>
      </c>
      <c r="G1534">
        <v>-316.33530000000002</v>
      </c>
      <c r="H1534">
        <v>0.8493832</v>
      </c>
      <c r="I1534">
        <v>284.19920000000002</v>
      </c>
      <c r="J1534">
        <v>-315.81040000000002</v>
      </c>
      <c r="K1534">
        <v>1.1211230000000001</v>
      </c>
      <c r="L1534">
        <v>284.09530000000001</v>
      </c>
      <c r="M1534">
        <v>-0.99949449999999995</v>
      </c>
      <c r="N1534">
        <v>-1.447827E-2</v>
      </c>
      <c r="O1534">
        <v>2.8309230000000001E-2</v>
      </c>
      <c r="P1534">
        <v>-0.98461650000000001</v>
      </c>
      <c r="Q1534">
        <v>0.15011160000000001</v>
      </c>
      <c r="R1534">
        <v>8.9427450000000006E-2</v>
      </c>
      <c r="S1534">
        <v>-3.1592099999999999</v>
      </c>
      <c r="T1534">
        <v>-1.011887</v>
      </c>
      <c r="U1534">
        <v>0.41903689999999999</v>
      </c>
      <c r="V1534">
        <v>6.1488420000000002E-2</v>
      </c>
      <c r="W1534">
        <v>0.16439279999999901</v>
      </c>
      <c r="X1534">
        <v>0.98447660000000003</v>
      </c>
      <c r="Y1534">
        <v>9.9510550000000003E-2</v>
      </c>
      <c r="Z1534">
        <v>7.8198030000000002E-3</v>
      </c>
      <c r="AA1534">
        <v>0.99500580000000005</v>
      </c>
      <c r="AB1534">
        <v>33</v>
      </c>
      <c r="AC1534">
        <v>-0.52490000000000203</v>
      </c>
      <c r="AD1534">
        <v>-0.27173979999999898</v>
      </c>
      <c r="AE1534">
        <v>0.10390000000001</v>
      </c>
      <c r="AF1534">
        <v>7.0750320819416998E-2</v>
      </c>
      <c r="AG1534">
        <v>-0.27173979999999898</v>
      </c>
      <c r="AH1534">
        <v>0.41945190262057902</v>
      </c>
      <c r="AI1534">
        <v>122.571304723213</v>
      </c>
      <c r="AJ1534">
        <v>80.425852139628404</v>
      </c>
      <c r="AK1534">
        <v>0.50476531716443596</v>
      </c>
      <c r="AL1534">
        <v>80.538037161668498</v>
      </c>
      <c r="AM1534">
        <v>86.426063819973805</v>
      </c>
      <c r="AN1534">
        <v>0.99999999721674804</v>
      </c>
    </row>
    <row r="1535" spans="1:40" x14ac:dyDescent="0.25">
      <c r="A1535" t="str">
        <f>"20190303162532369"</f>
        <v>20190303162532369</v>
      </c>
      <c r="B1535" t="str">
        <f>"1551601532364240"</f>
        <v>1551601532364240</v>
      </c>
      <c r="C1535" t="s">
        <v>40</v>
      </c>
      <c r="D1535">
        <v>4.8866069999999997</v>
      </c>
      <c r="E1535">
        <v>0.52600119999999995</v>
      </c>
      <c r="F1535" t="s">
        <v>42</v>
      </c>
      <c r="G1535">
        <v>-316.63459999999998</v>
      </c>
      <c r="H1535">
        <v>0.85824419999999901</v>
      </c>
      <c r="I1535">
        <v>284.20420000000001</v>
      </c>
      <c r="J1535">
        <v>-316.14890000000003</v>
      </c>
      <c r="K1535">
        <v>1.1211420000000001</v>
      </c>
      <c r="L1535">
        <v>284.10480000000001</v>
      </c>
      <c r="M1535">
        <v>-0.99949809999999994</v>
      </c>
      <c r="N1535">
        <v>-1.447448E-2</v>
      </c>
      <c r="O1535">
        <v>2.8178379999999999E-2</v>
      </c>
      <c r="P1535">
        <v>-0.98453959999999996</v>
      </c>
      <c r="Q1535">
        <v>0.15222639999999901</v>
      </c>
      <c r="R1535">
        <v>8.6656189999999994E-2</v>
      </c>
      <c r="S1535">
        <v>-3.1626889999999999</v>
      </c>
      <c r="T1535">
        <v>-1.0086949999999999</v>
      </c>
      <c r="U1535">
        <v>0.41763309999999998</v>
      </c>
      <c r="V1535">
        <v>5.8842529999999997E-2</v>
      </c>
      <c r="W1535">
        <v>0.16650279999999901</v>
      </c>
      <c r="X1535">
        <v>0.98428369999999998</v>
      </c>
      <c r="Y1535">
        <v>9.9109020000000006E-2</v>
      </c>
      <c r="Z1535">
        <v>7.7660239999999998E-3</v>
      </c>
      <c r="AA1535">
        <v>0.99504630000000005</v>
      </c>
      <c r="AB1535">
        <v>33</v>
      </c>
      <c r="AC1535">
        <v>-0.485699999999951</v>
      </c>
      <c r="AD1535">
        <v>-0.26289780000000001</v>
      </c>
      <c r="AE1535">
        <v>9.9400000000002806E-2</v>
      </c>
      <c r="AF1535">
        <v>6.6869104952169606E-2</v>
      </c>
      <c r="AG1535">
        <v>-0.26289780000000001</v>
      </c>
      <c r="AH1535">
        <v>0.38113289067006101</v>
      </c>
      <c r="AI1535">
        <v>124.19228291569399</v>
      </c>
      <c r="AJ1535">
        <v>80.048835809219895</v>
      </c>
      <c r="AK1535">
        <v>0.467813008361739</v>
      </c>
      <c r="AL1535">
        <v>80.415453824565105</v>
      </c>
      <c r="AM1535">
        <v>86.578810727687397</v>
      </c>
      <c r="AN1535">
        <v>1.0000000139151599</v>
      </c>
    </row>
    <row r="1536" spans="1:40" x14ac:dyDescent="0.25">
      <c r="A1536" t="str">
        <f>"20190303162532392"</f>
        <v>20190303162532392</v>
      </c>
      <c r="B1536" t="str">
        <f>"1551601532384736"</f>
        <v>1551601532384736</v>
      </c>
      <c r="C1536" t="s">
        <v>40</v>
      </c>
      <c r="D1536">
        <v>4.8964030000000003</v>
      </c>
      <c r="E1536">
        <v>0.52632619999999997</v>
      </c>
      <c r="F1536" t="s">
        <v>42</v>
      </c>
      <c r="G1536">
        <v>-316.93579999999997</v>
      </c>
      <c r="H1536">
        <v>0.87238289999999996</v>
      </c>
      <c r="I1536">
        <v>284.20749999999998</v>
      </c>
      <c r="J1536">
        <v>-316.49979999999999</v>
      </c>
      <c r="K1536">
        <v>1.121159</v>
      </c>
      <c r="L1536">
        <v>284.11450000000002</v>
      </c>
      <c r="M1536">
        <v>-0.99950249999999996</v>
      </c>
      <c r="N1536">
        <v>-1.447059E-2</v>
      </c>
      <c r="O1536">
        <v>2.8025410000000001E-2</v>
      </c>
      <c r="P1536">
        <v>-0.98449509999999996</v>
      </c>
      <c r="Q1536">
        <v>0.15440789999999999</v>
      </c>
      <c r="R1536">
        <v>8.3234009999999997E-2</v>
      </c>
      <c r="S1536">
        <v>-3.1655880000000001</v>
      </c>
      <c r="T1536">
        <v>-1.0006900000000001</v>
      </c>
      <c r="U1536">
        <v>0.41195680000000001</v>
      </c>
      <c r="V1536">
        <v>5.5568020000000003E-2</v>
      </c>
      <c r="W1536">
        <v>0.16867939999999901</v>
      </c>
      <c r="X1536">
        <v>0.98410339999999996</v>
      </c>
      <c r="Y1536">
        <v>9.7523429999999994E-2</v>
      </c>
      <c r="Z1536">
        <v>7.4996280000000004E-3</v>
      </c>
      <c r="AA1536">
        <v>0.99520500000000001</v>
      </c>
      <c r="AB1536">
        <v>33</v>
      </c>
      <c r="AC1536">
        <v>-0.43599999999997802</v>
      </c>
      <c r="AD1536">
        <v>-0.2487761</v>
      </c>
      <c r="AE1536">
        <v>9.2999999999960795E-2</v>
      </c>
      <c r="AF1536">
        <v>6.1570074087838801E-2</v>
      </c>
      <c r="AG1536">
        <v>-0.2487761</v>
      </c>
      <c r="AH1536">
        <v>0.33432571836472402</v>
      </c>
      <c r="AI1536">
        <v>126.196911921892</v>
      </c>
      <c r="AJ1536">
        <v>79.565216900271906</v>
      </c>
      <c r="AK1536">
        <v>0.42125302125264402</v>
      </c>
      <c r="AL1536">
        <v>80.288954768898193</v>
      </c>
      <c r="AM1536">
        <v>86.768189441999397</v>
      </c>
      <c r="AN1536">
        <v>1.00000002336131</v>
      </c>
    </row>
    <row r="1537" spans="1:40" x14ac:dyDescent="0.25">
      <c r="A1537" t="str">
        <f>"20190303162532414"</f>
        <v>20190303162532414</v>
      </c>
      <c r="B1537" t="str">
        <f>"1551601532404255"</f>
        <v>1551601532404255</v>
      </c>
      <c r="C1537" t="s">
        <v>40</v>
      </c>
      <c r="D1537">
        <v>4.8611529999999998</v>
      </c>
      <c r="E1537">
        <v>0.52703029999999995</v>
      </c>
      <c r="F1537" t="s">
        <v>42</v>
      </c>
      <c r="G1537">
        <v>-317.238</v>
      </c>
      <c r="H1537">
        <v>0.890165599999999</v>
      </c>
      <c r="I1537">
        <v>284.20920000000001</v>
      </c>
      <c r="J1537">
        <v>-316.81529999999998</v>
      </c>
      <c r="K1537">
        <v>1.121176</v>
      </c>
      <c r="L1537">
        <v>284.1232</v>
      </c>
      <c r="M1537">
        <v>-0.99950669999999997</v>
      </c>
      <c r="N1537">
        <v>-1.446712E-2</v>
      </c>
      <c r="O1537">
        <v>2.787806E-2</v>
      </c>
      <c r="P1537">
        <v>-0.98438800000000004</v>
      </c>
      <c r="Q1537">
        <v>0.15678310000000001</v>
      </c>
      <c r="R1537">
        <v>7.9995330000000003E-2</v>
      </c>
      <c r="S1537">
        <v>-3.1684570000000001</v>
      </c>
      <c r="T1537">
        <v>-0.99148080000000005</v>
      </c>
      <c r="U1537">
        <v>0.40579219999999999</v>
      </c>
      <c r="V1537">
        <v>5.2474600000000003E-2</v>
      </c>
      <c r="W1537">
        <v>0.17104820000000001</v>
      </c>
      <c r="X1537">
        <v>0.98386430000000002</v>
      </c>
      <c r="Y1537">
        <v>9.5796930000000002E-2</v>
      </c>
      <c r="Z1537">
        <v>7.2054509999999999E-3</v>
      </c>
      <c r="AA1537">
        <v>0.9953748</v>
      </c>
      <c r="AB1537">
        <v>33</v>
      </c>
      <c r="AC1537">
        <v>-0.42270000000002</v>
      </c>
      <c r="AD1537">
        <v>-0.2310104</v>
      </c>
      <c r="AE1537">
        <v>8.6000000000012705E-2</v>
      </c>
      <c r="AF1537">
        <v>5.7647735267034303E-2</v>
      </c>
      <c r="AG1537">
        <v>-0.2310104</v>
      </c>
      <c r="AH1537">
        <v>0.330224158668107</v>
      </c>
      <c r="AI1537">
        <v>124.572062170348</v>
      </c>
      <c r="AJ1537">
        <v>80.0975764872951</v>
      </c>
      <c r="AK1537">
        <v>0.40710816898907498</v>
      </c>
      <c r="AL1537">
        <v>80.151230953251897</v>
      </c>
      <c r="AM1537">
        <v>86.947010790772495</v>
      </c>
      <c r="AN1537">
        <v>1.0000000155914399</v>
      </c>
    </row>
    <row r="1538" spans="1:40" x14ac:dyDescent="0.25">
      <c r="A1538" t="str">
        <f>"20190303162532435"</f>
        <v>20190303162532435</v>
      </c>
      <c r="B1538" t="str">
        <f>"1551601532424751"</f>
        <v>1551601532424751</v>
      </c>
      <c r="C1538" t="s">
        <v>40</v>
      </c>
      <c r="D1538">
        <v>4.8725139999999998</v>
      </c>
      <c r="E1538">
        <v>0.52749899999999905</v>
      </c>
      <c r="F1538" t="s">
        <v>42</v>
      </c>
      <c r="G1538">
        <v>-317.53559999999999</v>
      </c>
      <c r="H1538">
        <v>0.89720330000000004</v>
      </c>
      <c r="I1538">
        <v>284.21480000000003</v>
      </c>
      <c r="J1538">
        <v>-317.13310000000001</v>
      </c>
      <c r="K1538">
        <v>1.121197</v>
      </c>
      <c r="L1538">
        <v>284.13200000000001</v>
      </c>
      <c r="M1538">
        <v>-0.99951100000000004</v>
      </c>
      <c r="N1538">
        <v>-1.446359E-2</v>
      </c>
      <c r="O1538">
        <v>2.772457E-2</v>
      </c>
      <c r="P1538">
        <v>-0.98421860000000005</v>
      </c>
      <c r="Q1538">
        <v>0.15831819999999999</v>
      </c>
      <c r="R1538">
        <v>7.9052239999999996E-2</v>
      </c>
      <c r="S1538">
        <v>-3.1719360000000001</v>
      </c>
      <c r="T1538">
        <v>-0.98624500000000004</v>
      </c>
      <c r="U1538">
        <v>0.40219120000000003</v>
      </c>
      <c r="V1538">
        <v>5.1685300000000003E-2</v>
      </c>
      <c r="W1538">
        <v>0.17257719999999999</v>
      </c>
      <c r="X1538">
        <v>0.98363900000000004</v>
      </c>
      <c r="Y1538">
        <v>9.4784240000000006E-2</v>
      </c>
      <c r="Z1538">
        <v>7.0518339999999999E-3</v>
      </c>
      <c r="AA1538">
        <v>0.99547280000000005</v>
      </c>
      <c r="AB1538">
        <v>33</v>
      </c>
      <c r="AC1538">
        <v>-0.40249999999997499</v>
      </c>
      <c r="AD1538">
        <v>-0.22399369999999899</v>
      </c>
      <c r="AE1538">
        <v>8.2800000000020094E-2</v>
      </c>
      <c r="AF1538">
        <v>5.5205048984856002E-2</v>
      </c>
      <c r="AG1538">
        <v>-0.22399369999999899</v>
      </c>
      <c r="AH1538">
        <v>0.31195222305120901</v>
      </c>
      <c r="AI1538">
        <v>125.26231306119701</v>
      </c>
      <c r="AJ1538">
        <v>79.964474871478004</v>
      </c>
      <c r="AK1538">
        <v>0.38798835619088001</v>
      </c>
      <c r="AL1538">
        <v>80.062302866585298</v>
      </c>
      <c r="AM1538">
        <v>86.992160077010297</v>
      </c>
      <c r="AN1538">
        <v>0.99999997125846396</v>
      </c>
    </row>
    <row r="1539" spans="1:40" x14ac:dyDescent="0.25">
      <c r="A1539" t="str">
        <f>"20190303162532457"</f>
        <v>20190303162532457</v>
      </c>
      <c r="B1539" t="str">
        <f>"1551601532454032"</f>
        <v>1551601532454032</v>
      </c>
      <c r="C1539" t="s">
        <v>40</v>
      </c>
      <c r="D1539">
        <v>4.9206580000000004</v>
      </c>
      <c r="E1539">
        <v>0.52807399999999904</v>
      </c>
      <c r="F1539" t="s">
        <v>42</v>
      </c>
      <c r="G1539">
        <v>-317.8329</v>
      </c>
      <c r="H1539">
        <v>0.90399280000000004</v>
      </c>
      <c r="I1539">
        <v>284.22089999999997</v>
      </c>
      <c r="J1539">
        <v>-317.46370000000002</v>
      </c>
      <c r="K1539">
        <v>1.121211</v>
      </c>
      <c r="L1539">
        <v>284.14100000000002</v>
      </c>
      <c r="M1539">
        <v>-0.99951570000000001</v>
      </c>
      <c r="N1539">
        <v>-1.4459909999999999E-2</v>
      </c>
      <c r="O1539">
        <v>2.7562929999999999E-2</v>
      </c>
      <c r="P1539">
        <v>-0.98400670000000001</v>
      </c>
      <c r="Q1539">
        <v>0.15962190000000001</v>
      </c>
      <c r="R1539">
        <v>7.9069440000000005E-2</v>
      </c>
      <c r="S1539">
        <v>-3.174255</v>
      </c>
      <c r="T1539">
        <v>-0.98509469999999999</v>
      </c>
      <c r="U1539">
        <v>0.40255740000000001</v>
      </c>
      <c r="V1539">
        <v>5.1865500000000002E-2</v>
      </c>
      <c r="W1539">
        <v>0.173874799999999</v>
      </c>
      <c r="X1539">
        <v>0.98340099999999997</v>
      </c>
      <c r="Y1539">
        <v>9.4964179999999995E-2</v>
      </c>
      <c r="Z1539">
        <v>7.1157379999999999E-3</v>
      </c>
      <c r="AA1539">
        <v>0.99545530000000004</v>
      </c>
      <c r="AB1539">
        <v>33</v>
      </c>
      <c r="AC1539">
        <v>-0.36919999999997699</v>
      </c>
      <c r="AD1539">
        <v>-0.217218199999999</v>
      </c>
      <c r="AE1539">
        <v>7.9900000000009103E-2</v>
      </c>
      <c r="AF1539">
        <v>5.2373992305106497E-2</v>
      </c>
      <c r="AG1539">
        <v>-0.217218199999999</v>
      </c>
      <c r="AH1539">
        <v>0.27900460186588699</v>
      </c>
      <c r="AI1539">
        <v>127.422568787298</v>
      </c>
      <c r="AJ1539">
        <v>79.368317319182594</v>
      </c>
      <c r="AK1539">
        <v>0.35744978576515801</v>
      </c>
      <c r="AL1539">
        <v>79.986814937262693</v>
      </c>
      <c r="AM1539">
        <v>86.980963515386506</v>
      </c>
      <c r="AN1539">
        <v>1.0000000014831401</v>
      </c>
    </row>
    <row r="1540" spans="1:40" x14ac:dyDescent="0.25">
      <c r="A1540" t="str">
        <f>"20190303162532482"</f>
        <v>20190303162532482</v>
      </c>
      <c r="B1540" t="str">
        <f>"1551601532474528"</f>
        <v>1551601532474528</v>
      </c>
      <c r="C1540" t="s">
        <v>40</v>
      </c>
      <c r="D1540">
        <v>4.9185499999999998</v>
      </c>
      <c r="E1540">
        <v>0.52845200000000003</v>
      </c>
      <c r="F1540" t="s">
        <v>42</v>
      </c>
      <c r="G1540">
        <v>-318.13139999999999</v>
      </c>
      <c r="H1540">
        <v>0.9142555</v>
      </c>
      <c r="I1540">
        <v>284.22699999999998</v>
      </c>
      <c r="J1540">
        <v>-317.81200000000001</v>
      </c>
      <c r="K1540">
        <v>1.1212249999999999</v>
      </c>
      <c r="L1540">
        <v>284.15039999999999</v>
      </c>
      <c r="M1540">
        <v>-0.99952019999999997</v>
      </c>
      <c r="N1540">
        <v>-1.445608E-2</v>
      </c>
      <c r="O1540">
        <v>2.7392799999999998E-2</v>
      </c>
      <c r="P1540">
        <v>-0.98350070000000001</v>
      </c>
      <c r="Q1540">
        <v>0.16258410000000001</v>
      </c>
      <c r="R1540">
        <v>7.9326770000000005E-2</v>
      </c>
      <c r="S1540">
        <v>-3.175751</v>
      </c>
      <c r="T1540">
        <v>-0.98439849999999995</v>
      </c>
      <c r="U1540">
        <v>0.40728760000000003</v>
      </c>
      <c r="V1540">
        <v>5.230216E-2</v>
      </c>
      <c r="W1540">
        <v>0.17682619999999999</v>
      </c>
      <c r="X1540">
        <v>0.98285140000000004</v>
      </c>
      <c r="Y1540">
        <v>9.6462610000000004E-2</v>
      </c>
      <c r="Z1540">
        <v>7.3942629999999999E-3</v>
      </c>
      <c r="AA1540">
        <v>0.99530909999999995</v>
      </c>
      <c r="AB1540">
        <v>33</v>
      </c>
      <c r="AC1540">
        <v>-0.31939999999997298</v>
      </c>
      <c r="AD1540">
        <v>-0.206969499999999</v>
      </c>
      <c r="AE1540">
        <v>7.6600000000041704E-2</v>
      </c>
      <c r="AF1540">
        <v>4.85455755110447E-2</v>
      </c>
      <c r="AG1540">
        <v>-0.206969499999999</v>
      </c>
      <c r="AH1540">
        <v>0.23003926788562201</v>
      </c>
      <c r="AI1540">
        <v>131.35826789180101</v>
      </c>
      <c r="AJ1540">
        <v>78.083617861268905</v>
      </c>
      <c r="AK1540">
        <v>0.313226933071378</v>
      </c>
      <c r="AL1540">
        <v>79.815050249597903</v>
      </c>
      <c r="AM1540">
        <v>86.953894414500596</v>
      </c>
      <c r="AN1540">
        <v>0.99999994771453105</v>
      </c>
    </row>
    <row r="1541" spans="1:40" x14ac:dyDescent="0.25">
      <c r="A1541" t="str">
        <f>"20190303162532503"</f>
        <v>20190303162532503</v>
      </c>
      <c r="B1541" t="str">
        <f>"1551601532494048"</f>
        <v>1551601532494048</v>
      </c>
      <c r="C1541" t="s">
        <v>40</v>
      </c>
      <c r="D1541">
        <v>4.9067699999999999</v>
      </c>
      <c r="E1541">
        <v>0.5285898</v>
      </c>
      <c r="F1541" t="s">
        <v>42</v>
      </c>
      <c r="G1541">
        <v>-318.6918</v>
      </c>
      <c r="H1541">
        <v>0.85070809999999997</v>
      </c>
      <c r="I1541">
        <v>284.26499999999999</v>
      </c>
      <c r="J1541">
        <v>-318.1352</v>
      </c>
      <c r="K1541">
        <v>1.1212439999999999</v>
      </c>
      <c r="L1541">
        <v>284.15910000000002</v>
      </c>
      <c r="M1541">
        <v>-0.99952470000000004</v>
      </c>
      <c r="N1541">
        <v>-1.445255E-2</v>
      </c>
      <c r="O1541">
        <v>2.723569E-2</v>
      </c>
      <c r="P1541">
        <v>-0.98298620000000003</v>
      </c>
      <c r="Q1541">
        <v>0.16539489999999901</v>
      </c>
      <c r="R1541">
        <v>7.9895419999999995E-2</v>
      </c>
      <c r="S1541">
        <v>-3.1785580000000002</v>
      </c>
      <c r="T1541">
        <v>-0.97729560000000004</v>
      </c>
      <c r="U1541">
        <v>0.41314699999999999</v>
      </c>
      <c r="V1541">
        <v>5.303795E-2</v>
      </c>
      <c r="W1541">
        <v>0.17962639999999999</v>
      </c>
      <c r="X1541">
        <v>0.98230410000000001</v>
      </c>
      <c r="Y1541">
        <v>9.8273840000000001E-2</v>
      </c>
      <c r="Z1541">
        <v>7.6739399999999998E-3</v>
      </c>
      <c r="AA1541">
        <v>0.99512979999999995</v>
      </c>
      <c r="AB1541">
        <v>33</v>
      </c>
      <c r="AC1541">
        <v>-0.55660000000000298</v>
      </c>
      <c r="AD1541">
        <v>-0.2705359</v>
      </c>
      <c r="AE1541">
        <v>0.105899999999962</v>
      </c>
      <c r="AF1541">
        <v>7.3860194991591299E-2</v>
      </c>
      <c r="AG1541">
        <v>-0.2705359</v>
      </c>
      <c r="AH1541">
        <v>0.45544104988925899</v>
      </c>
      <c r="AI1541">
        <v>120.38514888976999</v>
      </c>
      <c r="AJ1541">
        <v>80.788374095329402</v>
      </c>
      <c r="AK1541">
        <v>0.53485657097696404</v>
      </c>
      <c r="AL1541">
        <v>79.652000641128794</v>
      </c>
      <c r="AM1541">
        <v>86.909406362572994</v>
      </c>
      <c r="AN1541">
        <v>1.00000000629698</v>
      </c>
    </row>
    <row r="1542" spans="1:40" x14ac:dyDescent="0.25">
      <c r="A1542" t="str">
        <f>"20190303162532524"</f>
        <v>20190303162532524</v>
      </c>
      <c r="B1542" t="str">
        <f>"1551601532514543"</f>
        <v>1551601532514543</v>
      </c>
      <c r="C1542" t="s">
        <v>40</v>
      </c>
      <c r="D1542">
        <v>4.9198269999999997</v>
      </c>
      <c r="E1542">
        <v>0.52895819999999905</v>
      </c>
      <c r="F1542" t="s">
        <v>42</v>
      </c>
      <c r="G1542">
        <v>-318.98849999999999</v>
      </c>
      <c r="H1542">
        <v>0.85996269999999997</v>
      </c>
      <c r="I1542">
        <v>284.27170000000001</v>
      </c>
      <c r="J1542">
        <v>-318.43990000000002</v>
      </c>
      <c r="K1542">
        <v>1.1212629999999999</v>
      </c>
      <c r="L1542">
        <v>284.16719999999998</v>
      </c>
      <c r="M1542">
        <v>-0.99952859999999999</v>
      </c>
      <c r="N1542">
        <v>-1.4449200000000001E-2</v>
      </c>
      <c r="O1542">
        <v>2.7088899999999999E-2</v>
      </c>
      <c r="P1542">
        <v>-0.98247870000000004</v>
      </c>
      <c r="Q1542">
        <v>0.168745799999999</v>
      </c>
      <c r="R1542">
        <v>7.91245E-2</v>
      </c>
      <c r="S1542">
        <v>-3.1817929999999999</v>
      </c>
      <c r="T1542">
        <v>-0.97419149999999999</v>
      </c>
      <c r="U1542">
        <v>0.41912840000000001</v>
      </c>
      <c r="V1542">
        <v>5.2424209999999999E-2</v>
      </c>
      <c r="W1542">
        <v>0.18296570000000001</v>
      </c>
      <c r="X1542">
        <v>0.98172060000000005</v>
      </c>
      <c r="Y1542">
        <v>0.1000678</v>
      </c>
      <c r="Z1542">
        <v>7.9690730000000001E-3</v>
      </c>
      <c r="AA1542">
        <v>0.99494870000000002</v>
      </c>
      <c r="AB1542">
        <v>33</v>
      </c>
      <c r="AC1542">
        <v>-0.54859999999996401</v>
      </c>
      <c r="AD1542">
        <v>-0.26130029999999899</v>
      </c>
      <c r="AE1542">
        <v>0.10450000000003</v>
      </c>
      <c r="AF1542">
        <v>7.3506859819196094E-2</v>
      </c>
      <c r="AG1542">
        <v>-0.26130029999999899</v>
      </c>
      <c r="AH1542">
        <v>0.45222726885354703</v>
      </c>
      <c r="AI1542">
        <v>119.697083867142</v>
      </c>
      <c r="AJ1542">
        <v>80.767653836049703</v>
      </c>
      <c r="AK1542">
        <v>0.52743777634457201</v>
      </c>
      <c r="AL1542">
        <v>79.457449108458704</v>
      </c>
      <c r="AM1542">
        <v>86.943289411673305</v>
      </c>
      <c r="AN1542">
        <v>1.0000000408174801</v>
      </c>
    </row>
    <row r="1543" spans="1:40" x14ac:dyDescent="0.25">
      <c r="A1543" t="str">
        <f>"20190303162532681"</f>
        <v>20190303162532681</v>
      </c>
      <c r="B1543" t="str">
        <f>"1551601532674608"</f>
        <v>1551601532674608</v>
      </c>
      <c r="C1543" t="s">
        <v>40</v>
      </c>
      <c r="D1543">
        <v>4.9119890000000002</v>
      </c>
      <c r="E1543">
        <v>0.52895819999999905</v>
      </c>
      <c r="F1543" t="s">
        <v>42</v>
      </c>
      <c r="G1543">
        <v>-321.31979999999999</v>
      </c>
      <c r="H1543">
        <v>0.85834319999999897</v>
      </c>
      <c r="I1543">
        <v>284.3304</v>
      </c>
      <c r="J1543">
        <v>-320.72919999999999</v>
      </c>
      <c r="K1543">
        <v>1.1214029999999999</v>
      </c>
      <c r="L1543">
        <v>284.22660000000002</v>
      </c>
      <c r="M1543">
        <v>-0.99956290000000003</v>
      </c>
      <c r="N1543">
        <v>-1.442543E-2</v>
      </c>
      <c r="O1543">
        <v>2.5809530000000001E-2</v>
      </c>
      <c r="P1543">
        <v>-0.98146619999999996</v>
      </c>
      <c r="Q1543">
        <v>0.1828919</v>
      </c>
      <c r="R1543">
        <v>5.7226619999999999E-2</v>
      </c>
      <c r="S1543">
        <v>-3.202515</v>
      </c>
      <c r="T1543">
        <v>-0.91796800000000001</v>
      </c>
      <c r="U1543">
        <v>0.39086910000000002</v>
      </c>
      <c r="V1543">
        <v>3.1789449999999997E-2</v>
      </c>
      <c r="W1543">
        <v>0.19706109999999999</v>
      </c>
      <c r="X1543">
        <v>0.97987570000000002</v>
      </c>
      <c r="Y1543">
        <v>9.2547219999999999E-2</v>
      </c>
      <c r="Z1543">
        <v>6.7813450000000003E-3</v>
      </c>
      <c r="AA1543">
        <v>0.99568520000000005</v>
      </c>
      <c r="AB1543">
        <v>33</v>
      </c>
      <c r="AC1543">
        <v>-0.59059999999999402</v>
      </c>
      <c r="AD1543">
        <v>-0.26305980000000001</v>
      </c>
      <c r="AE1543">
        <v>0.10379999999997799</v>
      </c>
      <c r="AF1543">
        <v>7.4234542463087097E-2</v>
      </c>
      <c r="AG1543">
        <v>-0.26305980000000001</v>
      </c>
      <c r="AH1543">
        <v>0.49736614224418702</v>
      </c>
      <c r="AI1543">
        <v>117.614565614676</v>
      </c>
      <c r="AJ1543">
        <v>81.510967108407598</v>
      </c>
      <c r="AK1543">
        <v>0.56752471763052703</v>
      </c>
      <c r="AL1543">
        <v>78.634847658477398</v>
      </c>
      <c r="AM1543">
        <v>88.141843184687602</v>
      </c>
      <c r="AN1543">
        <v>1.0000000168575001</v>
      </c>
    </row>
    <row r="1544" spans="1:40" x14ac:dyDescent="0.25">
      <c r="A1544" t="str">
        <f>"20190303162532703"</f>
        <v>20190303162532703</v>
      </c>
      <c r="B1544" t="str">
        <f>"1551601532694128"</f>
        <v>1551601532694128</v>
      </c>
      <c r="C1544" t="s">
        <v>40</v>
      </c>
      <c r="D1544">
        <v>4.9224699999999997</v>
      </c>
      <c r="E1544">
        <v>0.4491465</v>
      </c>
      <c r="F1544" t="s">
        <v>42</v>
      </c>
      <c r="G1544">
        <v>-321.61410000000001</v>
      </c>
      <c r="H1544">
        <v>0.86900829999999996</v>
      </c>
      <c r="I1544">
        <v>284.33179999999999</v>
      </c>
      <c r="J1544">
        <v>-321.04730000000001</v>
      </c>
      <c r="K1544">
        <v>1.121427</v>
      </c>
      <c r="L1544">
        <v>284.23450000000003</v>
      </c>
      <c r="M1544">
        <v>-0.99956940000000005</v>
      </c>
      <c r="N1544">
        <v>-1.4422310000000001E-2</v>
      </c>
      <c r="O1544">
        <v>2.5558939999999999E-2</v>
      </c>
      <c r="P1544">
        <v>-0.98152379999999995</v>
      </c>
      <c r="Q1544">
        <v>0.18359490000000001</v>
      </c>
      <c r="R1544">
        <v>5.3891550000000003E-2</v>
      </c>
      <c r="S1544">
        <v>-3.2048030000000001</v>
      </c>
      <c r="T1544">
        <v>-0.91414450000000003</v>
      </c>
      <c r="U1544">
        <v>0.38031009999999998</v>
      </c>
      <c r="V1544">
        <v>2.8690940000000002E-2</v>
      </c>
      <c r="W1544">
        <v>0.19776089999999999</v>
      </c>
      <c r="X1544">
        <v>0.97983030000000004</v>
      </c>
      <c r="Y1544">
        <v>8.9614990000000005E-2</v>
      </c>
      <c r="Z1544">
        <v>6.3910340000000003E-3</v>
      </c>
      <c r="AA1544">
        <v>0.99595599999999995</v>
      </c>
      <c r="AB1544">
        <v>32</v>
      </c>
      <c r="AC1544">
        <v>-0.56679999999999997</v>
      </c>
      <c r="AD1544">
        <v>-0.252418699999999</v>
      </c>
      <c r="AE1544">
        <v>9.7299999999961501E-2</v>
      </c>
      <c r="AF1544">
        <v>6.9408344509092598E-2</v>
      </c>
      <c r="AG1544">
        <v>-0.252418699999999</v>
      </c>
      <c r="AH1544">
        <v>0.47717412106516699</v>
      </c>
      <c r="AI1544">
        <v>117.631056623348</v>
      </c>
      <c r="AJ1544">
        <v>81.723966114426503</v>
      </c>
      <c r="AK1544">
        <v>0.54426818776362196</v>
      </c>
      <c r="AL1544">
        <v>78.593946759943194</v>
      </c>
      <c r="AM1544">
        <v>88.3227705949365</v>
      </c>
      <c r="AN1544">
        <v>0.99999998020249103</v>
      </c>
    </row>
    <row r="1545" spans="1:40" x14ac:dyDescent="0.25">
      <c r="A1545" t="str">
        <f>"20190303162532725"</f>
        <v>20190303162532725</v>
      </c>
      <c r="B1545" t="str">
        <f>"1551601532714624"</f>
        <v>1551601532714624</v>
      </c>
      <c r="C1545" t="s">
        <v>40</v>
      </c>
      <c r="D1545">
        <v>4.9897989999999997</v>
      </c>
      <c r="E1545">
        <v>0.44780950000000003</v>
      </c>
      <c r="F1545" t="s">
        <v>49</v>
      </c>
      <c r="G1545">
        <v>-512.82529999999997</v>
      </c>
      <c r="H1545">
        <v>0.52985700000000002</v>
      </c>
      <c r="I1545">
        <v>268.53230000000002</v>
      </c>
      <c r="J1545">
        <v>-321.36509999999998</v>
      </c>
      <c r="K1545">
        <v>1.121445</v>
      </c>
      <c r="L1545">
        <v>284.2423</v>
      </c>
      <c r="M1545">
        <v>-0.99957640000000003</v>
      </c>
      <c r="N1545">
        <v>-1.4419049999999999E-2</v>
      </c>
      <c r="O1545">
        <v>2.5281229999999998E-2</v>
      </c>
      <c r="P1545">
        <v>-0.98169150000000005</v>
      </c>
      <c r="Q1545">
        <v>0.1833736</v>
      </c>
      <c r="R1545">
        <v>5.1537640000000003E-2</v>
      </c>
      <c r="S1545">
        <v>-3.0720209999999999</v>
      </c>
      <c r="T1545">
        <v>-9.4748739999999994E-3</v>
      </c>
      <c r="U1545">
        <v>-0.25152590000000002</v>
      </c>
      <c r="V1545">
        <v>2.6597269999999999E-2</v>
      </c>
      <c r="W1545">
        <v>0.19753789999999999</v>
      </c>
      <c r="X1545">
        <v>0.97993439999999998</v>
      </c>
      <c r="Y1545">
        <v>-0.1067722</v>
      </c>
      <c r="Z1545">
        <v>-6.4947170000000001E-4</v>
      </c>
      <c r="AA1545">
        <v>0.99428329999999998</v>
      </c>
      <c r="AB1545">
        <v>32</v>
      </c>
      <c r="AC1545">
        <v>-191.46019999999999</v>
      </c>
      <c r="AD1545">
        <v>-0.591588</v>
      </c>
      <c r="AE1545">
        <v>-15.7099999999999</v>
      </c>
      <c r="AF1545">
        <v>-20.545635396347301</v>
      </c>
      <c r="AG1545">
        <v>-0.591588</v>
      </c>
      <c r="AH1545">
        <v>190.99997174720599</v>
      </c>
      <c r="AI1545">
        <v>90.176444903224905</v>
      </c>
      <c r="AJ1545">
        <v>96.139629526390394</v>
      </c>
      <c r="AK1545">
        <v>192.102738964427</v>
      </c>
      <c r="AL1545">
        <v>78.606981449267096</v>
      </c>
      <c r="AM1545">
        <v>88.445266060504593</v>
      </c>
      <c r="AN1545">
        <v>1.00000003250561</v>
      </c>
    </row>
    <row r="1546" spans="1:40" x14ac:dyDescent="0.25">
      <c r="A1546" t="str">
        <f>"20190303162532747"</f>
        <v>20190303162532747</v>
      </c>
      <c r="B1546" t="str">
        <f>"1551601532744880"</f>
        <v>1551601532744880</v>
      </c>
      <c r="C1546" t="s">
        <v>40</v>
      </c>
      <c r="D1546">
        <v>5.0160939999999998</v>
      </c>
      <c r="E1546">
        <v>0.44726949999999999</v>
      </c>
      <c r="F1546" t="s">
        <v>48</v>
      </c>
      <c r="G1546">
        <v>-378.98820000000001</v>
      </c>
      <c r="H1546">
        <v>8.0000290000000002E-2</v>
      </c>
      <c r="I1546">
        <v>279.19479999999999</v>
      </c>
      <c r="J1546">
        <v>-321.68860000000001</v>
      </c>
      <c r="K1546">
        <v>1.121467</v>
      </c>
      <c r="L1546">
        <v>284.25009999999997</v>
      </c>
      <c r="M1546">
        <v>-0.99958440000000004</v>
      </c>
      <c r="N1546">
        <v>-1.4415600000000001E-2</v>
      </c>
      <c r="O1546">
        <v>2.4964710000000001E-2</v>
      </c>
      <c r="P1546">
        <v>-0.98187429999999998</v>
      </c>
      <c r="Q1546">
        <v>0.18279780000000001</v>
      </c>
      <c r="R1546">
        <v>5.0080239999999998E-2</v>
      </c>
      <c r="S1546">
        <v>-3.080505</v>
      </c>
      <c r="T1546">
        <v>-5.567515E-2</v>
      </c>
      <c r="U1546">
        <v>-0.26983639999999998</v>
      </c>
      <c r="V1546">
        <v>2.5436050000000002E-2</v>
      </c>
      <c r="W1546">
        <v>0.1969611</v>
      </c>
      <c r="X1546">
        <v>0.98008130000000004</v>
      </c>
      <c r="Y1546">
        <v>-0.112072699999999</v>
      </c>
      <c r="Z1546">
        <v>-1.9114990000000001E-3</v>
      </c>
      <c r="AA1546">
        <v>0.99369819999999998</v>
      </c>
      <c r="AB1546">
        <v>32</v>
      </c>
      <c r="AC1546">
        <v>-57.299599999999998</v>
      </c>
      <c r="AD1546">
        <v>-1.0414667099999999</v>
      </c>
      <c r="AE1546">
        <v>-5.0552999999999804</v>
      </c>
      <c r="AF1546">
        <v>-6.48221571617868</v>
      </c>
      <c r="AG1546">
        <v>-1.0414667099999999</v>
      </c>
      <c r="AH1546">
        <v>57.136790757376403</v>
      </c>
      <c r="AI1546">
        <v>91.037594389175098</v>
      </c>
      <c r="AJ1546">
        <v>96.472578088970806</v>
      </c>
      <c r="AK1546">
        <v>57.512751903828502</v>
      </c>
      <c r="AL1546">
        <v>78.640691707149301</v>
      </c>
      <c r="AM1546">
        <v>88.513336357965599</v>
      </c>
      <c r="AN1546">
        <v>1.0000000110812499</v>
      </c>
    </row>
    <row r="1547" spans="1:40" x14ac:dyDescent="0.25">
      <c r="A1547" t="str">
        <f>"20190303162532771"</f>
        <v>20190303162532771</v>
      </c>
      <c r="B1547" t="str">
        <f>"1551601532764400"</f>
        <v>1551601532764400</v>
      </c>
      <c r="C1547" t="s">
        <v>40</v>
      </c>
      <c r="D1547">
        <v>5.0347049999999998</v>
      </c>
      <c r="E1547">
        <v>0.4473433</v>
      </c>
      <c r="F1547" t="s">
        <v>48</v>
      </c>
      <c r="G1547">
        <v>-365.41340000000002</v>
      </c>
      <c r="H1547" s="1">
        <v>1.3439420000000001E-6</v>
      </c>
      <c r="I1547">
        <v>280.29969999999997</v>
      </c>
      <c r="J1547">
        <v>-322.02510000000001</v>
      </c>
      <c r="K1547">
        <v>1.121494</v>
      </c>
      <c r="L1547">
        <v>284.25810000000001</v>
      </c>
      <c r="M1547">
        <v>-0.99959370000000003</v>
      </c>
      <c r="N1547">
        <v>-1.441215E-2</v>
      </c>
      <c r="O1547">
        <v>2.4595510000000001E-2</v>
      </c>
      <c r="P1547">
        <v>-0.98205229999999999</v>
      </c>
      <c r="Q1547">
        <v>0.1819808</v>
      </c>
      <c r="R1547">
        <v>4.956472E-2</v>
      </c>
      <c r="S1547">
        <v>-3.0842900000000002</v>
      </c>
      <c r="T1547">
        <v>-7.910681E-2</v>
      </c>
      <c r="U1547">
        <v>-0.27865600000000001</v>
      </c>
      <c r="V1547">
        <v>2.5266050000000002E-2</v>
      </c>
      <c r="W1547">
        <v>0.19614519999999999</v>
      </c>
      <c r="X1547">
        <v>0.98024929999999999</v>
      </c>
      <c r="Y1547">
        <v>-0.11439149999999999</v>
      </c>
      <c r="Z1547">
        <v>-2.5658949999999999E-3</v>
      </c>
      <c r="AA1547">
        <v>0.99343250000000005</v>
      </c>
      <c r="AB1547">
        <v>32</v>
      </c>
      <c r="AC1547">
        <v>-43.388300000000001</v>
      </c>
      <c r="AD1547">
        <v>-1.1214926560580001</v>
      </c>
      <c r="AE1547">
        <v>-3.9584000000000401</v>
      </c>
      <c r="AF1547">
        <v>-5.0211433920699502</v>
      </c>
      <c r="AG1547">
        <v>-1.1214926560580001</v>
      </c>
      <c r="AH1547">
        <v>43.249146036082102</v>
      </c>
      <c r="AI1547">
        <v>91.475496496400197</v>
      </c>
      <c r="AJ1547">
        <v>96.622283545215097</v>
      </c>
      <c r="AK1547">
        <v>43.554084304364302</v>
      </c>
      <c r="AL1547">
        <v>78.688369264423599</v>
      </c>
      <c r="AM1547">
        <v>88.523520930035403</v>
      </c>
      <c r="AN1547">
        <v>1.0000000014580599</v>
      </c>
    </row>
    <row r="1548" spans="1:40" x14ac:dyDescent="0.25">
      <c r="A1548" t="str">
        <f>"20190303162532794"</f>
        <v>20190303162532794</v>
      </c>
      <c r="B1548" t="str">
        <f>"1551601532783920"</f>
        <v>1551601532783920</v>
      </c>
      <c r="C1548" t="s">
        <v>40</v>
      </c>
      <c r="D1548">
        <v>5.0699430000000003</v>
      </c>
      <c r="E1548">
        <v>0.4475498</v>
      </c>
      <c r="F1548" t="s">
        <v>48</v>
      </c>
      <c r="G1548">
        <v>-359.92180000000002</v>
      </c>
      <c r="H1548" s="1">
        <v>3.7430999999999998E-6</v>
      </c>
      <c r="I1548">
        <v>280.82260000000002</v>
      </c>
      <c r="J1548">
        <v>-322.35300000000001</v>
      </c>
      <c r="K1548">
        <v>1.121521</v>
      </c>
      <c r="L1548">
        <v>284.26580000000001</v>
      </c>
      <c r="M1548">
        <v>-0.99960349999999998</v>
      </c>
      <c r="N1548">
        <v>-1.4408900000000001E-2</v>
      </c>
      <c r="O1548">
        <v>2.4194469999999999E-2</v>
      </c>
      <c r="P1548">
        <v>-0.98230640000000002</v>
      </c>
      <c r="Q1548">
        <v>0.1806209</v>
      </c>
      <c r="R1548">
        <v>4.9501360000000001E-2</v>
      </c>
      <c r="S1548">
        <v>-3.0859070000000002</v>
      </c>
      <c r="T1548">
        <v>-9.1322420000000001E-2</v>
      </c>
      <c r="U1548">
        <v>-0.27975460000000002</v>
      </c>
      <c r="V1548">
        <v>2.5576080000000001E-2</v>
      </c>
      <c r="W1548">
        <v>0.19478809999999999</v>
      </c>
      <c r="X1548">
        <v>0.98051180000000004</v>
      </c>
      <c r="Y1548">
        <v>-0.1142803</v>
      </c>
      <c r="Z1548">
        <v>-2.8791709999999998E-3</v>
      </c>
      <c r="AA1548">
        <v>0.99344440000000001</v>
      </c>
      <c r="AB1548">
        <v>32</v>
      </c>
      <c r="AC1548">
        <v>-37.568800000000003</v>
      </c>
      <c r="AD1548">
        <v>-1.1215172569</v>
      </c>
      <c r="AE1548">
        <v>-3.4431999999999898</v>
      </c>
      <c r="AF1548">
        <v>-4.34740140372545</v>
      </c>
      <c r="AG1548">
        <v>-1.1215172569</v>
      </c>
      <c r="AH1548">
        <v>37.441396736525498</v>
      </c>
      <c r="AI1548">
        <v>91.704277901481802</v>
      </c>
      <c r="AJ1548">
        <v>96.623078719414096</v>
      </c>
      <c r="AK1548">
        <v>37.709625952859</v>
      </c>
      <c r="AL1548">
        <v>78.767654346730197</v>
      </c>
      <c r="AM1548">
        <v>88.505811735689093</v>
      </c>
      <c r="AN1548">
        <v>0.99999996485450704</v>
      </c>
    </row>
    <row r="1549" spans="1:40" x14ac:dyDescent="0.25">
      <c r="A1549" t="str">
        <f>"20190303162532838"</f>
        <v>20190303162532838</v>
      </c>
      <c r="B1549" t="str">
        <f>"1551601532823936"</f>
        <v>1551601532823936</v>
      </c>
      <c r="C1549" t="s">
        <v>40</v>
      </c>
      <c r="D1549">
        <v>5.0517250000000002</v>
      </c>
      <c r="E1549">
        <v>0.44775470000000001</v>
      </c>
      <c r="F1549" t="s">
        <v>48</v>
      </c>
      <c r="G1549">
        <v>-359.92039999999997</v>
      </c>
      <c r="H1549" s="1">
        <v>3.7423679999999999E-6</v>
      </c>
      <c r="I1549">
        <v>280.88499999999999</v>
      </c>
      <c r="J1549">
        <v>-322.9837</v>
      </c>
      <c r="K1549">
        <v>1.121567</v>
      </c>
      <c r="L1549">
        <v>284.27999999999997</v>
      </c>
      <c r="M1549">
        <v>-0.99962479999999998</v>
      </c>
      <c r="N1549">
        <v>-1.4402740000000001E-2</v>
      </c>
      <c r="O1549">
        <v>2.3299340000000002E-2</v>
      </c>
      <c r="P1549">
        <v>-0.98282190000000003</v>
      </c>
      <c r="Q1549">
        <v>0.1776624</v>
      </c>
      <c r="R1549">
        <v>4.9973379999999998E-2</v>
      </c>
      <c r="S1549">
        <v>-3.0849609999999998</v>
      </c>
      <c r="T1549">
        <v>-9.2096689999999995E-2</v>
      </c>
      <c r="U1549">
        <v>-0.27761839999999999</v>
      </c>
      <c r="V1549">
        <v>2.6886500000000001E-2</v>
      </c>
      <c r="W1549">
        <v>0.19183649999999999</v>
      </c>
      <c r="X1549">
        <v>0.98105850000000006</v>
      </c>
      <c r="Y1549">
        <v>-0.1127355</v>
      </c>
      <c r="Z1549">
        <v>-2.8521340000000001E-3</v>
      </c>
      <c r="AA1549">
        <v>0.99362090000000003</v>
      </c>
      <c r="AB1549">
        <v>32</v>
      </c>
      <c r="AC1549">
        <v>-36.936699999999902</v>
      </c>
      <c r="AD1549">
        <v>-1.121563257632</v>
      </c>
      <c r="AE1549">
        <v>-3.39499999999998</v>
      </c>
      <c r="AF1549">
        <v>-4.2508816869009101</v>
      </c>
      <c r="AG1549">
        <v>-1.121563257632</v>
      </c>
      <c r="AH1549">
        <v>36.8139032772864</v>
      </c>
      <c r="AI1549">
        <v>91.733508034653099</v>
      </c>
      <c r="AJ1549">
        <v>96.586742214941907</v>
      </c>
      <c r="AK1549">
        <v>37.075482111043399</v>
      </c>
      <c r="AL1549">
        <v>78.9400198043773</v>
      </c>
      <c r="AM1549">
        <v>88.430167537516596</v>
      </c>
      <c r="AN1549">
        <v>0.99999995351837301</v>
      </c>
    </row>
    <row r="1550" spans="1:40" x14ac:dyDescent="0.25">
      <c r="A1550" t="str">
        <f>"20190303162532862"</f>
        <v>20190303162532862</v>
      </c>
      <c r="B1550" t="str">
        <f>"1551601532854191"</f>
        <v>1551601532854191</v>
      </c>
      <c r="C1550" t="s">
        <v>40</v>
      </c>
      <c r="D1550">
        <v>5.1204729999999996</v>
      </c>
      <c r="E1550">
        <v>0.4477759</v>
      </c>
      <c r="F1550" t="s">
        <v>48</v>
      </c>
      <c r="G1550">
        <v>-355.96120000000002</v>
      </c>
      <c r="H1550" s="1">
        <v>1.6354769999999901E-6</v>
      </c>
      <c r="I1550">
        <v>281.35379999999998</v>
      </c>
      <c r="J1550">
        <v>-323.32799999999997</v>
      </c>
      <c r="K1550">
        <v>1.1216029999999999</v>
      </c>
      <c r="L1550">
        <v>284.28739999999999</v>
      </c>
      <c r="M1550">
        <v>-0.99963780000000002</v>
      </c>
      <c r="N1550">
        <v>-1.43991E-2</v>
      </c>
      <c r="O1550">
        <v>2.2739820000000001E-2</v>
      </c>
      <c r="P1550">
        <v>-0.98284309999999997</v>
      </c>
      <c r="Q1550">
        <v>0.17754420000000001</v>
      </c>
      <c r="R1550">
        <v>4.99782E-2</v>
      </c>
      <c r="S1550">
        <v>-3.0853579999999998</v>
      </c>
      <c r="T1550">
        <v>-0.104933</v>
      </c>
      <c r="U1550">
        <v>-0.27377319999999999</v>
      </c>
      <c r="V1550">
        <v>2.7424879999999999E-2</v>
      </c>
      <c r="W1550">
        <v>0.19171759999999999</v>
      </c>
      <c r="X1550">
        <v>0.98106689999999996</v>
      </c>
      <c r="Y1550">
        <v>-0.11092100000000001</v>
      </c>
      <c r="Z1550">
        <v>-3.1275819999999998E-3</v>
      </c>
      <c r="AA1550">
        <v>0.99382429999999999</v>
      </c>
      <c r="AB1550">
        <v>32</v>
      </c>
      <c r="AC1550">
        <v>-32.633200000000002</v>
      </c>
      <c r="AD1550">
        <v>-1.1216013645230001</v>
      </c>
      <c r="AE1550">
        <v>-2.93360000000001</v>
      </c>
      <c r="AF1550">
        <v>-3.6706898364575302</v>
      </c>
      <c r="AG1550">
        <v>-1.1216013645230001</v>
      </c>
      <c r="AH1550">
        <v>32.519935787269098</v>
      </c>
      <c r="AI1550">
        <v>91.962873820949099</v>
      </c>
      <c r="AJ1550">
        <v>96.440006856529806</v>
      </c>
      <c r="AK1550">
        <v>32.7456589047232</v>
      </c>
      <c r="AL1550">
        <v>78.946961771052401</v>
      </c>
      <c r="AM1550">
        <v>88.398762844145907</v>
      </c>
      <c r="AN1550">
        <v>1.0000000122341901</v>
      </c>
    </row>
    <row r="1551" spans="1:40" x14ac:dyDescent="0.25">
      <c r="A1551" t="str">
        <f>"20190303162532883"</f>
        <v>20190303162532883</v>
      </c>
      <c r="B1551" t="str">
        <f>"1551601532874688"</f>
        <v>1551601532874688</v>
      </c>
      <c r="C1551" t="s">
        <v>40</v>
      </c>
      <c r="D1551">
        <v>5.1833339999999897</v>
      </c>
      <c r="E1551">
        <v>0.44807089999999999</v>
      </c>
      <c r="F1551" t="s">
        <v>48</v>
      </c>
      <c r="G1551">
        <v>-356.83530000000002</v>
      </c>
      <c r="H1551" s="1">
        <v>2.1006139999999998E-6</v>
      </c>
      <c r="I1551">
        <v>281.31950000000001</v>
      </c>
      <c r="J1551">
        <v>-323.63470000000001</v>
      </c>
      <c r="K1551">
        <v>1.121634</v>
      </c>
      <c r="L1551">
        <v>284.29390000000001</v>
      </c>
      <c r="M1551">
        <v>-0.99964980000000003</v>
      </c>
      <c r="N1551">
        <v>-1.4396050000000001E-2</v>
      </c>
      <c r="O1551">
        <v>2.221018E-2</v>
      </c>
      <c r="P1551">
        <v>-0.9828654</v>
      </c>
      <c r="Q1551">
        <v>0.1775226</v>
      </c>
      <c r="R1551">
        <v>4.9612469999999999E-2</v>
      </c>
      <c r="S1551">
        <v>-3.0849609999999998</v>
      </c>
      <c r="T1551">
        <v>-0.10326390000000001</v>
      </c>
      <c r="U1551">
        <v>-0.27325440000000001</v>
      </c>
      <c r="V1551">
        <v>2.7566730000000001E-2</v>
      </c>
      <c r="W1551">
        <v>0.19169520000000001</v>
      </c>
      <c r="X1551">
        <v>0.98106729999999998</v>
      </c>
      <c r="Y1551">
        <v>-0.1102431</v>
      </c>
      <c r="Z1551">
        <v>-3.059328E-3</v>
      </c>
      <c r="AA1551">
        <v>0.99389989999999995</v>
      </c>
      <c r="AB1551">
        <v>32</v>
      </c>
      <c r="AC1551">
        <v>-33.200600000000001</v>
      </c>
      <c r="AD1551">
        <v>-1.1216318993859999</v>
      </c>
      <c r="AE1551">
        <v>-2.9744000000000002</v>
      </c>
      <c r="AF1551">
        <v>-3.7069366341788399</v>
      </c>
      <c r="AG1551">
        <v>-1.1216318993859999</v>
      </c>
      <c r="AH1551">
        <v>33.088875276891002</v>
      </c>
      <c r="AI1551">
        <v>91.929382796026701</v>
      </c>
      <c r="AJ1551">
        <v>96.392175678982895</v>
      </c>
      <c r="AK1551">
        <v>33.314758057311302</v>
      </c>
      <c r="AL1551">
        <v>78.9482694339533</v>
      </c>
      <c r="AM1551">
        <v>88.3904857491478</v>
      </c>
      <c r="AN1551">
        <v>1.0000000107176099</v>
      </c>
    </row>
    <row r="1552" spans="1:40" x14ac:dyDescent="0.25">
      <c r="A1552" t="str">
        <f>"20190303162532903"</f>
        <v>20190303162532903</v>
      </c>
      <c r="B1552" t="str">
        <f>"1551601532894208"</f>
        <v>1551601532894208</v>
      </c>
      <c r="C1552" t="s">
        <v>40</v>
      </c>
      <c r="D1552">
        <v>5.1874789999999997</v>
      </c>
      <c r="E1552">
        <v>0.44842169999999998</v>
      </c>
      <c r="F1552" t="s">
        <v>48</v>
      </c>
      <c r="G1552">
        <v>-357.625</v>
      </c>
      <c r="H1552" s="1">
        <v>2.5208559999999999E-6</v>
      </c>
      <c r="I1552">
        <v>281.30099999999999</v>
      </c>
      <c r="J1552">
        <v>-323.93189999999998</v>
      </c>
      <c r="K1552">
        <v>1.1216569999999999</v>
      </c>
      <c r="L1552">
        <v>284.29989999999998</v>
      </c>
      <c r="M1552">
        <v>-0.99966149999999998</v>
      </c>
      <c r="N1552">
        <v>-1.439293E-2</v>
      </c>
      <c r="O1552">
        <v>2.167463E-2</v>
      </c>
      <c r="P1552">
        <v>-0.98281010000000002</v>
      </c>
      <c r="Q1552">
        <v>0.17789170000000001</v>
      </c>
      <c r="R1552">
        <v>4.9384339999999999E-2</v>
      </c>
      <c r="S1552">
        <v>-3.0843509999999998</v>
      </c>
      <c r="T1552">
        <v>-0.1017791</v>
      </c>
      <c r="U1552">
        <v>-0.27157589999999998</v>
      </c>
      <c r="V1552">
        <v>2.785634E-2</v>
      </c>
      <c r="W1552">
        <v>0.1920616</v>
      </c>
      <c r="X1552">
        <v>0.98098739999999995</v>
      </c>
      <c r="Y1552">
        <v>-0.1091944</v>
      </c>
      <c r="Z1552">
        <v>-2.9878539999999999E-3</v>
      </c>
      <c r="AA1552">
        <v>0.99401589999999995</v>
      </c>
      <c r="AB1552">
        <v>32</v>
      </c>
      <c r="AC1552">
        <v>-33.693100000000001</v>
      </c>
      <c r="AD1552">
        <v>-1.121654479144</v>
      </c>
      <c r="AE1552">
        <v>-2.9988999999999901</v>
      </c>
      <c r="AF1552">
        <v>-3.7244612751491202</v>
      </c>
      <c r="AG1552">
        <v>-1.121654479144</v>
      </c>
      <c r="AH1552">
        <v>33.5832503402941</v>
      </c>
      <c r="AI1552">
        <v>91.901275612373794</v>
      </c>
      <c r="AJ1552">
        <v>96.328376029801404</v>
      </c>
      <c r="AK1552">
        <v>33.807756861104103</v>
      </c>
      <c r="AL1552">
        <v>78.926878185824194</v>
      </c>
      <c r="AM1552">
        <v>88.373453183404706</v>
      </c>
      <c r="AN1552">
        <v>0.99999995641575601</v>
      </c>
    </row>
    <row r="1553" spans="1:40" x14ac:dyDescent="0.25">
      <c r="A1553" t="str">
        <f>"20190303162532927"</f>
        <v>20190303162532927</v>
      </c>
      <c r="B1553" t="str">
        <f>"1551601532914375"</f>
        <v>1551601532914375</v>
      </c>
      <c r="C1553" t="s">
        <v>40</v>
      </c>
      <c r="D1553">
        <v>5.1518819999999996</v>
      </c>
      <c r="E1553">
        <v>0.44853929999999997</v>
      </c>
      <c r="F1553" t="s">
        <v>48</v>
      </c>
      <c r="G1553">
        <v>-359.38470000000001</v>
      </c>
      <c r="H1553" s="1">
        <v>3.4572609999999999E-6</v>
      </c>
      <c r="I1553">
        <v>281.20350000000002</v>
      </c>
      <c r="J1553">
        <v>-324.2561</v>
      </c>
      <c r="K1553">
        <v>1.121672</v>
      </c>
      <c r="L1553">
        <v>284.30630000000002</v>
      </c>
      <c r="M1553">
        <v>-0.99967459999999997</v>
      </c>
      <c r="N1553">
        <v>-1.438947E-2</v>
      </c>
      <c r="O1553">
        <v>2.1071980000000001E-2</v>
      </c>
      <c r="P1553">
        <v>-0.98284769999999999</v>
      </c>
      <c r="Q1553">
        <v>0.17766689999999999</v>
      </c>
      <c r="R1553">
        <v>4.9449890000000003E-2</v>
      </c>
      <c r="S1553">
        <v>-3.083618</v>
      </c>
      <c r="T1553">
        <v>-9.7559569999999998E-2</v>
      </c>
      <c r="U1553">
        <v>-0.26931759999999999</v>
      </c>
      <c r="V1553">
        <v>2.8506E-2</v>
      </c>
      <c r="W1553">
        <v>0.19183600000000001</v>
      </c>
      <c r="X1553">
        <v>0.98101289999999997</v>
      </c>
      <c r="Y1553">
        <v>-0.1079006</v>
      </c>
      <c r="Z1553">
        <v>-2.8441260000000002E-3</v>
      </c>
      <c r="AA1553">
        <v>0.99415759999999997</v>
      </c>
      <c r="AB1553">
        <v>32</v>
      </c>
      <c r="AC1553">
        <v>-35.128599999999999</v>
      </c>
      <c r="AD1553">
        <v>-1.1216685427390001</v>
      </c>
      <c r="AE1553">
        <v>-3.1027999999999998</v>
      </c>
      <c r="AF1553">
        <v>-3.8385333034734899</v>
      </c>
      <c r="AG1553">
        <v>-1.1216685427390001</v>
      </c>
      <c r="AH1553">
        <v>35.019981446390403</v>
      </c>
      <c r="AI1553">
        <v>91.823606998900999</v>
      </c>
      <c r="AJ1553">
        <v>96.255208252167407</v>
      </c>
      <c r="AK1553">
        <v>35.247575501687599</v>
      </c>
      <c r="AL1553">
        <v>78.940049251228103</v>
      </c>
      <c r="AM1553">
        <v>88.335583519784805</v>
      </c>
      <c r="AN1553">
        <v>0.99999997644920402</v>
      </c>
    </row>
    <row r="1554" spans="1:40" x14ac:dyDescent="0.25">
      <c r="A1554" t="str">
        <f>"20190303162532949"</f>
        <v>20190303162532949</v>
      </c>
      <c r="B1554" t="str">
        <f>"1551601532934857"</f>
        <v>1551601532934857</v>
      </c>
      <c r="C1554" t="s">
        <v>40</v>
      </c>
      <c r="D1554">
        <v>5.9562939999999998</v>
      </c>
      <c r="E1554">
        <v>0.44847979999999998</v>
      </c>
      <c r="F1554" t="s">
        <v>48</v>
      </c>
      <c r="G1554">
        <v>-359.23200000000003</v>
      </c>
      <c r="H1554" s="1">
        <v>3.376011E-6</v>
      </c>
      <c r="I1554">
        <v>281.26580000000001</v>
      </c>
      <c r="J1554">
        <v>-324.5804</v>
      </c>
      <c r="K1554">
        <v>1.1216839999999999</v>
      </c>
      <c r="L1554">
        <v>284.3125</v>
      </c>
      <c r="M1554">
        <v>-0.99968729999999995</v>
      </c>
      <c r="N1554">
        <v>-1.438597E-2</v>
      </c>
      <c r="O1554">
        <v>2.0456390000000001E-2</v>
      </c>
      <c r="P1554">
        <v>-0.98288109999999995</v>
      </c>
      <c r="Q1554">
        <v>0.177692299999999</v>
      </c>
      <c r="R1554">
        <v>4.8686510000000002E-2</v>
      </c>
      <c r="S1554">
        <v>-3.08371</v>
      </c>
      <c r="T1554">
        <v>-9.8893880000000003E-2</v>
      </c>
      <c r="U1554">
        <v>-0.26806639999999998</v>
      </c>
      <c r="V1554">
        <v>2.8341870000000002E-2</v>
      </c>
      <c r="W1554">
        <v>0.1918589</v>
      </c>
      <c r="X1554">
        <v>0.98101320000000003</v>
      </c>
      <c r="Y1554">
        <v>-0.1068844</v>
      </c>
      <c r="Z1554">
        <v>-2.8418919999999999E-3</v>
      </c>
      <c r="AA1554">
        <v>0.99426740000000002</v>
      </c>
      <c r="AB1554">
        <v>32</v>
      </c>
      <c r="AC1554">
        <v>-34.651599999999902</v>
      </c>
      <c r="AD1554">
        <v>-1.121680623989</v>
      </c>
      <c r="AE1554">
        <v>-3.04669999999998</v>
      </c>
      <c r="AF1554">
        <v>-3.7510819444418102</v>
      </c>
      <c r="AG1554">
        <v>-1.121680623989</v>
      </c>
      <c r="AH1554">
        <v>34.546095758033402</v>
      </c>
      <c r="AI1554">
        <v>91.8488296942392</v>
      </c>
      <c r="AJ1554">
        <v>96.197008422536797</v>
      </c>
      <c r="AK1554">
        <v>34.767247738343698</v>
      </c>
      <c r="AL1554">
        <v>78.9387125952654</v>
      </c>
      <c r="AM1554">
        <v>88.345161950891196</v>
      </c>
      <c r="AN1554">
        <v>0.99999999883927304</v>
      </c>
    </row>
    <row r="1555" spans="1:40" x14ac:dyDescent="0.25">
      <c r="A1555" t="str">
        <f>"20190303162532971"</f>
        <v>20190303162532971</v>
      </c>
      <c r="B1555" t="str">
        <f>"1551601532964137"</f>
        <v>1551601532964137</v>
      </c>
      <c r="C1555" t="s">
        <v>40</v>
      </c>
      <c r="D1555">
        <v>5.0588379999999997</v>
      </c>
      <c r="E1555">
        <v>0.44857200000000003</v>
      </c>
      <c r="F1555" t="s">
        <v>48</v>
      </c>
      <c r="G1555">
        <v>-359.91820000000001</v>
      </c>
      <c r="H1555" s="1">
        <v>3.7411800000000002E-6</v>
      </c>
      <c r="I1555">
        <v>281.20319999999998</v>
      </c>
      <c r="J1555">
        <v>-324.9008</v>
      </c>
      <c r="K1555">
        <v>1.121691</v>
      </c>
      <c r="L1555">
        <v>284.3184</v>
      </c>
      <c r="M1555">
        <v>-0.99969960000000002</v>
      </c>
      <c r="N1555">
        <v>-1.438239E-2</v>
      </c>
      <c r="O1555">
        <v>1.9841999999999999E-2</v>
      </c>
      <c r="P1555">
        <v>-0.98287519999999995</v>
      </c>
      <c r="Q1555">
        <v>0.177888299999999</v>
      </c>
      <c r="R1555">
        <v>4.8082760000000002E-2</v>
      </c>
      <c r="S1555">
        <v>-3.083405</v>
      </c>
      <c r="T1555">
        <v>-9.7872500000000001E-2</v>
      </c>
      <c r="U1555">
        <v>-0.27130130000000002</v>
      </c>
      <c r="V1555">
        <v>2.8338809999999999E-2</v>
      </c>
      <c r="W1555">
        <v>0.19205130000000001</v>
      </c>
      <c r="X1555">
        <v>0.98097559999999995</v>
      </c>
      <c r="Y1555">
        <v>-0.10731830000000001</v>
      </c>
      <c r="Z1555">
        <v>-2.8168780000000001E-3</v>
      </c>
      <c r="AA1555">
        <v>0.99422069999999996</v>
      </c>
      <c r="AB1555">
        <v>32</v>
      </c>
      <c r="AC1555">
        <v>-35.017400000000002</v>
      </c>
      <c r="AD1555">
        <v>-1.12168725882</v>
      </c>
      <c r="AE1555">
        <v>-3.11520000000001</v>
      </c>
      <c r="AF1555">
        <v>-3.80559961459632</v>
      </c>
      <c r="AG1555">
        <v>-1.12168725882</v>
      </c>
      <c r="AH1555">
        <v>34.913144488564797</v>
      </c>
      <c r="AI1555">
        <v>91.829334125791902</v>
      </c>
      <c r="AJ1555">
        <v>96.220790009571999</v>
      </c>
      <c r="AK1555">
        <v>35.137848949709699</v>
      </c>
      <c r="AL1555">
        <v>78.927479554757895</v>
      </c>
      <c r="AM1555">
        <v>88.345277133740595</v>
      </c>
      <c r="AN1555">
        <v>0.999999958889632</v>
      </c>
    </row>
    <row r="1556" spans="1:40" x14ac:dyDescent="0.25">
      <c r="A1556" t="str">
        <f>"20190303162532994"</f>
        <v>20190303162532994</v>
      </c>
      <c r="B1556" t="str">
        <f>"1551601532984633"</f>
        <v>1551601532984633</v>
      </c>
      <c r="C1556" t="s">
        <v>40</v>
      </c>
      <c r="D1556">
        <v>5.1079809999999997</v>
      </c>
      <c r="E1556">
        <v>0.44867180000000001</v>
      </c>
      <c r="F1556" t="s">
        <v>48</v>
      </c>
      <c r="G1556">
        <v>-358.89569999999998</v>
      </c>
      <c r="H1556" s="1">
        <v>3.1970480000000001E-6</v>
      </c>
      <c r="I1556">
        <v>281.31270000000001</v>
      </c>
      <c r="J1556">
        <v>-325.2158</v>
      </c>
      <c r="K1556">
        <v>1.1216900000000001</v>
      </c>
      <c r="L1556">
        <v>284.32400000000001</v>
      </c>
      <c r="M1556">
        <v>-0.99971180000000004</v>
      </c>
      <c r="N1556">
        <v>-1.437546E-2</v>
      </c>
      <c r="O1556">
        <v>1.923538E-2</v>
      </c>
      <c r="P1556">
        <v>-0.98290259999999996</v>
      </c>
      <c r="Q1556">
        <v>0.17790590000000001</v>
      </c>
      <c r="R1556">
        <v>4.7458760000000003E-2</v>
      </c>
      <c r="S1556">
        <v>-3.0840450000000001</v>
      </c>
      <c r="T1556">
        <v>-0.10176060000000001</v>
      </c>
      <c r="U1556">
        <v>-0.27267459999999999</v>
      </c>
      <c r="V1556">
        <v>2.8308670000000001E-2</v>
      </c>
      <c r="W1556">
        <v>0.19206200000000001</v>
      </c>
      <c r="X1556">
        <v>0.98097440000000002</v>
      </c>
      <c r="Y1556">
        <v>-0.1071308</v>
      </c>
      <c r="Z1556">
        <v>-2.892862E-3</v>
      </c>
      <c r="AA1556">
        <v>0.99424069999999998</v>
      </c>
      <c r="AB1556">
        <v>32</v>
      </c>
      <c r="AC1556">
        <v>-33.679899999999897</v>
      </c>
      <c r="AD1556">
        <v>-1.121686802952</v>
      </c>
      <c r="AE1556">
        <v>-3.0112999999999999</v>
      </c>
      <c r="AF1556">
        <v>-3.6546337642592501</v>
      </c>
      <c r="AG1556">
        <v>-1.121686802952</v>
      </c>
      <c r="AH1556">
        <v>33.578788372092497</v>
      </c>
      <c r="AI1556">
        <v>91.902008803402296</v>
      </c>
      <c r="AJ1556">
        <v>96.211484182062193</v>
      </c>
      <c r="AK1556">
        <v>33.795703244237302</v>
      </c>
      <c r="AL1556">
        <v>78.926855131376101</v>
      </c>
      <c r="AM1556">
        <v>88.347034031573202</v>
      </c>
      <c r="AN1556">
        <v>0.99999998304826399</v>
      </c>
    </row>
    <row r="1557" spans="1:40" x14ac:dyDescent="0.25">
      <c r="A1557" t="str">
        <f>"20190303162533017"</f>
        <v>20190303162533017</v>
      </c>
      <c r="B1557" t="str">
        <f>"1551601533004153"</f>
        <v>1551601533004153</v>
      </c>
      <c r="C1557" t="s">
        <v>40</v>
      </c>
      <c r="D1557">
        <v>5.0000859999999996</v>
      </c>
      <c r="E1557">
        <v>0.44884429999999997</v>
      </c>
      <c r="F1557" t="s">
        <v>48</v>
      </c>
      <c r="G1557">
        <v>-358.84899999999999</v>
      </c>
      <c r="H1557" s="1">
        <v>3.1722299999999999E-6</v>
      </c>
      <c r="I1557">
        <v>281.33600000000001</v>
      </c>
      <c r="J1557">
        <v>-325.54899999999998</v>
      </c>
      <c r="K1557">
        <v>1.121685</v>
      </c>
      <c r="L1557">
        <v>284.3297</v>
      </c>
      <c r="M1557">
        <v>-0.9997241</v>
      </c>
      <c r="N1557">
        <v>-1.4363249999999999E-2</v>
      </c>
      <c r="O1557">
        <v>1.859355E-2</v>
      </c>
      <c r="P1557">
        <v>-0.98296669999999997</v>
      </c>
      <c r="Q1557">
        <v>0.17772789999999999</v>
      </c>
      <c r="R1557">
        <v>4.6795160000000002E-2</v>
      </c>
      <c r="S1557">
        <v>-3.0840450000000001</v>
      </c>
      <c r="T1557">
        <v>-0.1028545</v>
      </c>
      <c r="U1557">
        <v>-0.27398679999999997</v>
      </c>
      <c r="V1557">
        <v>2.8273900000000001E-2</v>
      </c>
      <c r="W1557">
        <v>0.19187299999999999</v>
      </c>
      <c r="X1557">
        <v>0.98101240000000001</v>
      </c>
      <c r="Y1557">
        <v>-0.1069109</v>
      </c>
      <c r="Z1557">
        <v>-2.900765E-3</v>
      </c>
      <c r="AA1557">
        <v>0.99426440000000005</v>
      </c>
      <c r="AB1557">
        <v>32</v>
      </c>
      <c r="AC1557">
        <v>-33.299999999999898</v>
      </c>
      <c r="AD1557">
        <v>-1.12168182777</v>
      </c>
      <c r="AE1557">
        <v>-2.9936999999999898</v>
      </c>
      <c r="AF1557">
        <v>-3.6083500709903298</v>
      </c>
      <c r="AG1557">
        <v>-1.12168182777</v>
      </c>
      <c r="AH1557">
        <v>33.2012040617089</v>
      </c>
      <c r="AI1557">
        <v>91.923647207476904</v>
      </c>
      <c r="AJ1557">
        <v>96.202635272177105</v>
      </c>
      <c r="AK1557">
        <v>33.415539970271404</v>
      </c>
      <c r="AL1557">
        <v>78.9378893911435</v>
      </c>
      <c r="AM1557">
        <v>88.349127069989606</v>
      </c>
      <c r="AN1557">
        <v>0.99999999525198502</v>
      </c>
    </row>
    <row r="1558" spans="1:40" x14ac:dyDescent="0.25">
      <c r="A1558" t="str">
        <f>"20190303162533041"</f>
        <v>20190303162533041</v>
      </c>
      <c r="B1558" t="str">
        <f>"1551601533024649"</f>
        <v>1551601533024649</v>
      </c>
      <c r="C1558" t="s">
        <v>40</v>
      </c>
      <c r="D1558">
        <v>4.9330429999999996</v>
      </c>
      <c r="E1558">
        <v>0.4486019</v>
      </c>
      <c r="F1558" t="s">
        <v>48</v>
      </c>
      <c r="G1558">
        <v>-358.12830000000002</v>
      </c>
      <c r="H1558" s="1">
        <v>2.7887020000000001E-6</v>
      </c>
      <c r="I1558">
        <v>281.42009999999999</v>
      </c>
      <c r="J1558">
        <v>-325.87700000000001</v>
      </c>
      <c r="K1558">
        <v>1.121685</v>
      </c>
      <c r="L1558">
        <v>284.33510000000001</v>
      </c>
      <c r="M1558">
        <v>-0.9997357</v>
      </c>
      <c r="N1558">
        <v>-1.4349809999999999E-2</v>
      </c>
      <c r="O1558">
        <v>1.796327E-2</v>
      </c>
      <c r="P1558">
        <v>-0.98281070000000004</v>
      </c>
      <c r="Q1558">
        <v>0.17869660000000001</v>
      </c>
      <c r="R1558">
        <v>4.6373930000000001E-2</v>
      </c>
      <c r="S1558">
        <v>-3.0842589999999999</v>
      </c>
      <c r="T1558">
        <v>-0.1061888</v>
      </c>
      <c r="U1558">
        <v>-0.27545170000000002</v>
      </c>
      <c r="V1558">
        <v>2.8473140000000001E-2</v>
      </c>
      <c r="W1558">
        <v>0.1928262</v>
      </c>
      <c r="X1558">
        <v>0.98081969999999996</v>
      </c>
      <c r="Y1558">
        <v>-0.10674169999999999</v>
      </c>
      <c r="Z1558">
        <v>-2.9610359999999998E-3</v>
      </c>
      <c r="AA1558">
        <v>0.99428240000000001</v>
      </c>
      <c r="AB1558">
        <v>32</v>
      </c>
      <c r="AC1558">
        <v>-32.251300000000001</v>
      </c>
      <c r="AD1558">
        <v>-1.1216822112980001</v>
      </c>
      <c r="AE1558">
        <v>-2.91500000000002</v>
      </c>
      <c r="AF1558">
        <v>-3.4897409889218398</v>
      </c>
      <c r="AG1558">
        <v>-1.1216822112980001</v>
      </c>
      <c r="AH1558">
        <v>32.155146773277202</v>
      </c>
      <c r="AI1558">
        <v>91.986210418813002</v>
      </c>
      <c r="AJ1558">
        <v>96.193966848300803</v>
      </c>
      <c r="AK1558">
        <v>32.363404134359897</v>
      </c>
      <c r="AL1558">
        <v>78.882235557395603</v>
      </c>
      <c r="AM1558">
        <v>88.337173789467698</v>
      </c>
      <c r="AN1558">
        <v>0.99999997350799397</v>
      </c>
    </row>
    <row r="1559" spans="1:40" x14ac:dyDescent="0.25">
      <c r="A1559" t="str">
        <f>"20190303162533061"</f>
        <v>20190303162533061</v>
      </c>
      <c r="B1559" t="str">
        <f>"1551601533054905"</f>
        <v>1551601533054905</v>
      </c>
      <c r="C1559" t="s">
        <v>40</v>
      </c>
      <c r="D1559">
        <v>4.7887259999999996</v>
      </c>
      <c r="E1559">
        <v>0.44851920000000001</v>
      </c>
      <c r="F1559" t="s">
        <v>48</v>
      </c>
      <c r="G1559">
        <v>-359.3021</v>
      </c>
      <c r="H1559" s="1">
        <v>3.4132990000000002E-6</v>
      </c>
      <c r="I1559">
        <v>281.31180000000001</v>
      </c>
      <c r="J1559">
        <v>-326.18900000000002</v>
      </c>
      <c r="K1559">
        <v>1.121691</v>
      </c>
      <c r="L1559">
        <v>284.34010000000001</v>
      </c>
      <c r="M1559">
        <v>-0.99974640000000004</v>
      </c>
      <c r="N1559">
        <v>-1.4337300000000001E-2</v>
      </c>
      <c r="O1559">
        <v>1.736424E-2</v>
      </c>
      <c r="P1559">
        <v>-0.98268820000000001</v>
      </c>
      <c r="Q1559">
        <v>0.17943999999999999</v>
      </c>
      <c r="R1559">
        <v>4.6100469999999998E-2</v>
      </c>
      <c r="S1559">
        <v>-3.0844420000000001</v>
      </c>
      <c r="T1559">
        <v>-0.103508</v>
      </c>
      <c r="U1559">
        <v>-0.27899170000000001</v>
      </c>
      <c r="V1559">
        <v>2.8790099999999999E-2</v>
      </c>
      <c r="W1559">
        <v>0.19355600000000001</v>
      </c>
      <c r="X1559">
        <v>0.9806667</v>
      </c>
      <c r="Y1559">
        <v>-0.1072765</v>
      </c>
      <c r="Z1559">
        <v>-2.899839E-3</v>
      </c>
      <c r="AA1559">
        <v>0.99422500000000003</v>
      </c>
      <c r="AB1559">
        <v>32</v>
      </c>
      <c r="AC1559">
        <v>-33.113099999999903</v>
      </c>
      <c r="AD1559">
        <v>-1.1216875867010001</v>
      </c>
      <c r="AE1559">
        <v>-3.0283000000000002</v>
      </c>
      <c r="AF1559">
        <v>-3.5987909886699501</v>
      </c>
      <c r="AG1559">
        <v>-1.1216875867010001</v>
      </c>
      <c r="AH1559">
        <v>33.017943888332503</v>
      </c>
      <c r="AI1559">
        <v>91.934260681509201</v>
      </c>
      <c r="AJ1559">
        <v>96.220398783949605</v>
      </c>
      <c r="AK1559">
        <v>33.2324254040442</v>
      </c>
      <c r="AL1559">
        <v>78.839618372124093</v>
      </c>
      <c r="AM1559">
        <v>88.318411785348701</v>
      </c>
      <c r="AN1559">
        <v>0.99999998574144899</v>
      </c>
    </row>
    <row r="1560" spans="1:40" x14ac:dyDescent="0.25">
      <c r="A1560" t="str">
        <f>"20190303162533083"</f>
        <v>20190303162533083</v>
      </c>
      <c r="B1560" t="str">
        <f>"1551601533074425"</f>
        <v>1551601533074425</v>
      </c>
      <c r="C1560" t="s">
        <v>40</v>
      </c>
      <c r="D1560">
        <v>4.7773700000000003</v>
      </c>
      <c r="E1560">
        <v>0.44866260000000002</v>
      </c>
      <c r="F1560" t="s">
        <v>48</v>
      </c>
      <c r="G1560">
        <v>-358.80070000000001</v>
      </c>
      <c r="H1560" s="1">
        <v>3.1465190000000002E-6</v>
      </c>
      <c r="I1560">
        <v>281.37959999999998</v>
      </c>
      <c r="J1560">
        <v>-326.48140000000001</v>
      </c>
      <c r="K1560">
        <v>1.121699</v>
      </c>
      <c r="L1560">
        <v>284.34460000000001</v>
      </c>
      <c r="M1560">
        <v>-0.99975630000000004</v>
      </c>
      <c r="N1560">
        <v>-1.432602E-2</v>
      </c>
      <c r="O1560">
        <v>1.6803599999999998E-2</v>
      </c>
      <c r="P1560">
        <v>-0.98257110000000003</v>
      </c>
      <c r="Q1560">
        <v>0.18021860000000001</v>
      </c>
      <c r="R1560">
        <v>4.5559210000000003E-2</v>
      </c>
      <c r="S1560">
        <v>-3.085388</v>
      </c>
      <c r="T1560">
        <v>-0.10612249999999999</v>
      </c>
      <c r="U1560">
        <v>-0.28009030000000001</v>
      </c>
      <c r="V1560">
        <v>2.8801440000000001E-2</v>
      </c>
      <c r="W1560">
        <v>0.19432089999999999</v>
      </c>
      <c r="X1560">
        <v>0.98051509999999997</v>
      </c>
      <c r="Y1560">
        <v>-0.1070391</v>
      </c>
      <c r="Z1560">
        <v>-2.9416799999999999E-3</v>
      </c>
      <c r="AA1560">
        <v>0.99425050000000004</v>
      </c>
      <c r="AB1560">
        <v>32</v>
      </c>
      <c r="AC1560">
        <v>-32.319299999999998</v>
      </c>
      <c r="AD1560">
        <v>-1.121695853481</v>
      </c>
      <c r="AE1560">
        <v>-2.9650000000000301</v>
      </c>
      <c r="AF1560">
        <v>-3.5035325702878</v>
      </c>
      <c r="AG1560">
        <v>-1.121695853481</v>
      </c>
      <c r="AH1560">
        <v>32.226413629841502</v>
      </c>
      <c r="AI1560">
        <v>91.981805662186403</v>
      </c>
      <c r="AJ1560">
        <v>96.2046102974425</v>
      </c>
      <c r="AK1560">
        <v>32.4357006630105</v>
      </c>
      <c r="AL1560">
        <v>78.794944781246102</v>
      </c>
      <c r="AM1560">
        <v>88.317489865215805</v>
      </c>
      <c r="AN1560">
        <v>0.99999999822544605</v>
      </c>
    </row>
    <row r="1561" spans="1:40" x14ac:dyDescent="0.25">
      <c r="A1561" t="str">
        <f>"20190303162533105"</f>
        <v>20190303162533105</v>
      </c>
      <c r="B1561" t="str">
        <f>"1551601533094921"</f>
        <v>1551601533094921</v>
      </c>
      <c r="C1561" t="s">
        <v>40</v>
      </c>
      <c r="D1561">
        <v>4.6575530000000001</v>
      </c>
      <c r="E1561">
        <v>0.44884689999999999</v>
      </c>
      <c r="F1561" t="s">
        <v>48</v>
      </c>
      <c r="G1561">
        <v>-358.99430000000001</v>
      </c>
      <c r="H1561" s="1">
        <v>3.2495150000000002E-6</v>
      </c>
      <c r="I1561">
        <v>281.39150000000001</v>
      </c>
      <c r="J1561">
        <v>-326.7944</v>
      </c>
      <c r="K1561">
        <v>1.121704</v>
      </c>
      <c r="L1561">
        <v>284.3492</v>
      </c>
      <c r="M1561">
        <v>-0.9997663</v>
      </c>
      <c r="N1561">
        <v>-1.431443E-2</v>
      </c>
      <c r="O1561">
        <v>1.6203510000000001E-2</v>
      </c>
      <c r="P1561">
        <v>-0.98245439999999995</v>
      </c>
      <c r="Q1561">
        <v>0.18094540000000001</v>
      </c>
      <c r="R1561">
        <v>4.5194089999999999E-2</v>
      </c>
      <c r="S1561">
        <v>-3.085693</v>
      </c>
      <c r="T1561">
        <v>-0.1064565</v>
      </c>
      <c r="U1561">
        <v>-0.28027340000000001</v>
      </c>
      <c r="V1561">
        <v>2.9027600000000001E-2</v>
      </c>
      <c r="W1561">
        <v>0.1950346</v>
      </c>
      <c r="X1561">
        <v>0.98036670000000004</v>
      </c>
      <c r="Y1561">
        <v>-0.106492</v>
      </c>
      <c r="Z1561">
        <v>-2.9231719999999999E-3</v>
      </c>
      <c r="AA1561">
        <v>0.9943092</v>
      </c>
      <c r="AB1561">
        <v>32</v>
      </c>
      <c r="AC1561">
        <v>-32.1999</v>
      </c>
      <c r="AD1561">
        <v>-1.1217007504850001</v>
      </c>
      <c r="AE1561">
        <v>-2.95769999999998</v>
      </c>
      <c r="AF1561">
        <v>-3.4749348496091002</v>
      </c>
      <c r="AG1561">
        <v>-1.1217007504850001</v>
      </c>
      <c r="AH1561">
        <v>32.109102866949698</v>
      </c>
      <c r="AI1561">
        <v>91.989154212015407</v>
      </c>
      <c r="AJ1561">
        <v>96.176666638039904</v>
      </c>
      <c r="AK1561">
        <v>32.316062131748403</v>
      </c>
      <c r="AL1561">
        <v>78.753254955921406</v>
      </c>
      <c r="AM1561">
        <v>88.304029297460502</v>
      </c>
      <c r="AN1561">
        <v>0.99999998161390402</v>
      </c>
    </row>
    <row r="1562" spans="1:40" x14ac:dyDescent="0.25">
      <c r="A1562" t="str">
        <f>"20190303162533129"</f>
        <v>20190303162533129</v>
      </c>
      <c r="B1562" t="str">
        <f>"1551601533124707"</f>
        <v>1551601533124707</v>
      </c>
      <c r="C1562" t="s">
        <v>40</v>
      </c>
      <c r="D1562">
        <v>4.5678179999999999</v>
      </c>
      <c r="E1562">
        <v>0.44901200000000002</v>
      </c>
      <c r="F1562" t="s">
        <v>48</v>
      </c>
      <c r="G1562">
        <v>-359.9359</v>
      </c>
      <c r="H1562" s="1">
        <v>3.7506039999999998E-6</v>
      </c>
      <c r="I1562">
        <v>281.34160000000003</v>
      </c>
      <c r="J1562">
        <v>-327.14060000000001</v>
      </c>
      <c r="K1562">
        <v>1.121712</v>
      </c>
      <c r="L1562">
        <v>284.35410000000002</v>
      </c>
      <c r="M1562">
        <v>-0.99977709999999997</v>
      </c>
      <c r="N1562">
        <v>-1.4302260000000001E-2</v>
      </c>
      <c r="O1562">
        <v>1.554037E-2</v>
      </c>
      <c r="P1562">
        <v>-0.98233700000000002</v>
      </c>
      <c r="Q1562">
        <v>0.18168780000000001</v>
      </c>
      <c r="R1562">
        <v>4.4764569999999997E-2</v>
      </c>
      <c r="S1562">
        <v>-3.085693</v>
      </c>
      <c r="T1562">
        <v>-0.1044378</v>
      </c>
      <c r="U1562">
        <v>-0.28002929999999998</v>
      </c>
      <c r="V1562">
        <v>2.92515E-2</v>
      </c>
      <c r="W1562">
        <v>0.1957632</v>
      </c>
      <c r="X1562">
        <v>0.98021480000000005</v>
      </c>
      <c r="Y1562">
        <v>-0.1057583</v>
      </c>
      <c r="Z1562">
        <v>-2.8468230000000001E-3</v>
      </c>
      <c r="AA1562">
        <v>0.99438780000000004</v>
      </c>
      <c r="AB1562">
        <v>32</v>
      </c>
      <c r="AC1562">
        <v>-32.795299999999997</v>
      </c>
      <c r="AD1562">
        <v>-1.121708249396</v>
      </c>
      <c r="AE1562">
        <v>-3.0124999999999802</v>
      </c>
      <c r="AF1562">
        <v>-3.5177584144368601</v>
      </c>
      <c r="AG1562">
        <v>-1.121708249396</v>
      </c>
      <c r="AH1562">
        <v>32.706576516908299</v>
      </c>
      <c r="AI1562">
        <v>91.952997346263103</v>
      </c>
      <c r="AJ1562">
        <v>96.138853052115806</v>
      </c>
      <c r="AK1562">
        <v>32.914328203921798</v>
      </c>
      <c r="AL1562">
        <v>78.710688574059105</v>
      </c>
      <c r="AM1562">
        <v>88.290690725747496</v>
      </c>
      <c r="AN1562">
        <v>0.99999996743276398</v>
      </c>
    </row>
    <row r="1563" spans="1:40" x14ac:dyDescent="0.25">
      <c r="A1563" t="str">
        <f>"20190303162533150"</f>
        <v>20190303162533150</v>
      </c>
      <c r="B1563" t="str">
        <f>"1551601533144226"</f>
        <v>1551601533144226</v>
      </c>
      <c r="C1563" t="s">
        <v>40</v>
      </c>
      <c r="D1563">
        <v>4.4764549999999996</v>
      </c>
      <c r="E1563">
        <v>0.44918059999999999</v>
      </c>
      <c r="F1563" t="s">
        <v>48</v>
      </c>
      <c r="G1563">
        <v>-361.09320000000002</v>
      </c>
      <c r="H1563" s="1">
        <v>-9.5505129999999992E-7</v>
      </c>
      <c r="I1563">
        <v>281.26069999999999</v>
      </c>
      <c r="J1563">
        <v>-327.4391</v>
      </c>
      <c r="K1563">
        <v>1.121715</v>
      </c>
      <c r="L1563">
        <v>284.35820000000001</v>
      </c>
      <c r="M1563">
        <v>-0.99978599999999995</v>
      </c>
      <c r="N1563">
        <v>-1.429245E-2</v>
      </c>
      <c r="O1563">
        <v>1.4968230000000001E-2</v>
      </c>
      <c r="P1563">
        <v>-0.98222019999999999</v>
      </c>
      <c r="Q1563">
        <v>0.18222920000000001</v>
      </c>
      <c r="R1563">
        <v>4.5124810000000001E-2</v>
      </c>
      <c r="S1563">
        <v>-3.0856020000000002</v>
      </c>
      <c r="T1563">
        <v>-0.1019409</v>
      </c>
      <c r="U1563">
        <v>-0.28112789999999999</v>
      </c>
      <c r="V1563">
        <v>3.017572E-2</v>
      </c>
      <c r="W1563">
        <v>0.1962943</v>
      </c>
      <c r="X1563">
        <v>0.98008059999999997</v>
      </c>
      <c r="Y1563">
        <v>-0.105547</v>
      </c>
      <c r="Z1563">
        <v>-2.7755779999999999E-3</v>
      </c>
      <c r="AA1563">
        <v>0.99441049999999997</v>
      </c>
      <c r="AB1563">
        <v>32</v>
      </c>
      <c r="AC1563">
        <v>-33.6541</v>
      </c>
      <c r="AD1563">
        <v>-1.1217159550513001</v>
      </c>
      <c r="AE1563">
        <v>-3.0975000000000201</v>
      </c>
      <c r="AF1563">
        <v>-3.5969841312655699</v>
      </c>
      <c r="AG1563">
        <v>-1.1217159550513001</v>
      </c>
      <c r="AH1563">
        <v>33.566982542805498</v>
      </c>
      <c r="AI1563">
        <v>91.903067535212799</v>
      </c>
      <c r="AJ1563">
        <v>96.1163839796302</v>
      </c>
      <c r="AK1563">
        <v>33.777786466158602</v>
      </c>
      <c r="AL1563">
        <v>78.679657132405296</v>
      </c>
      <c r="AM1563">
        <v>88.236476279862501</v>
      </c>
      <c r="AN1563">
        <v>1.00000000439318</v>
      </c>
    </row>
    <row r="1564" spans="1:40" x14ac:dyDescent="0.25">
      <c r="A1564" t="str">
        <f>"20190303162533173"</f>
        <v>20190303162533173</v>
      </c>
      <c r="B1564" t="str">
        <f>"1551601533164723"</f>
        <v>1551601533164723</v>
      </c>
      <c r="C1564" t="s">
        <v>40</v>
      </c>
      <c r="D1564">
        <v>4.647494</v>
      </c>
      <c r="E1564">
        <v>0.4494378</v>
      </c>
      <c r="F1564" t="s">
        <v>48</v>
      </c>
      <c r="G1564">
        <v>-361.97070000000002</v>
      </c>
      <c r="H1564" s="1">
        <v>-4.8805529999999999E-7</v>
      </c>
      <c r="I1564">
        <v>281.23399999999998</v>
      </c>
      <c r="J1564">
        <v>-327.76650000000001</v>
      </c>
      <c r="K1564">
        <v>1.1217140000000001</v>
      </c>
      <c r="L1564">
        <v>284.36239999999998</v>
      </c>
      <c r="M1564">
        <v>-0.99979530000000005</v>
      </c>
      <c r="N1564">
        <v>-1.428252E-2</v>
      </c>
      <c r="O1564">
        <v>1.434114E-2</v>
      </c>
      <c r="P1564">
        <v>-0.98221060000000004</v>
      </c>
      <c r="Q1564">
        <v>0.18230370000000001</v>
      </c>
      <c r="R1564">
        <v>4.503339E-2</v>
      </c>
      <c r="S1564">
        <v>-3.0857239999999999</v>
      </c>
      <c r="T1564">
        <v>-0.1002358</v>
      </c>
      <c r="U1564">
        <v>-0.2791748</v>
      </c>
      <c r="V1564">
        <v>3.0701180000000002E-2</v>
      </c>
      <c r="W1564">
        <v>0.19635929999999999</v>
      </c>
      <c r="X1564">
        <v>0.98005120000000001</v>
      </c>
      <c r="Y1564">
        <v>-0.1042989</v>
      </c>
      <c r="Z1564">
        <v>-2.697259E-3</v>
      </c>
      <c r="AA1564">
        <v>0.99454240000000005</v>
      </c>
      <c r="AB1564">
        <v>32</v>
      </c>
      <c r="AC1564">
        <v>-34.2042</v>
      </c>
      <c r="AD1564">
        <v>-1.1217144880552901</v>
      </c>
      <c r="AE1564">
        <v>-3.1283999999999401</v>
      </c>
      <c r="AF1564">
        <v>-3.61479997384256</v>
      </c>
      <c r="AG1564">
        <v>-1.1217144880552901</v>
      </c>
      <c r="AH1564">
        <v>34.119421724964397</v>
      </c>
      <c r="AI1564">
        <v>91.872513075070103</v>
      </c>
      <c r="AJ1564">
        <v>96.047671380340802</v>
      </c>
      <c r="AK1564">
        <v>34.328704622947498</v>
      </c>
      <c r="AL1564">
        <v>78.675858317951807</v>
      </c>
      <c r="AM1564">
        <v>88.205733557906498</v>
      </c>
      <c r="AN1564">
        <v>0.99999994588565899</v>
      </c>
    </row>
    <row r="1565" spans="1:40" x14ac:dyDescent="0.25">
      <c r="A1565" t="str">
        <f>"20190303162533194"</f>
        <v>20190303162533194</v>
      </c>
      <c r="B1565" t="str">
        <f>"1551601533184242"</f>
        <v>1551601533184242</v>
      </c>
      <c r="C1565" t="s">
        <v>40</v>
      </c>
      <c r="D1565">
        <v>4.4167800000000002</v>
      </c>
      <c r="E1565">
        <v>0.4960483</v>
      </c>
      <c r="F1565" t="s">
        <v>48</v>
      </c>
      <c r="G1565">
        <v>-363.19209999999998</v>
      </c>
      <c r="H1565" s="1">
        <v>1.6187940000000001E-7</v>
      </c>
      <c r="I1565">
        <v>281.17599999999999</v>
      </c>
      <c r="J1565">
        <v>-328.05590000000001</v>
      </c>
      <c r="K1565">
        <v>1.1217079999999999</v>
      </c>
      <c r="L1565">
        <v>284.36599999999999</v>
      </c>
      <c r="M1565">
        <v>-0.9998032</v>
      </c>
      <c r="N1565">
        <v>-1.427435E-2</v>
      </c>
      <c r="O1565">
        <v>1.3786690000000001E-2</v>
      </c>
      <c r="P1565">
        <v>-0.98213859999999997</v>
      </c>
      <c r="Q1565">
        <v>0.18267420000000001</v>
      </c>
      <c r="R1565">
        <v>4.5101450000000001E-2</v>
      </c>
      <c r="S1565">
        <v>-3.0851440000000001</v>
      </c>
      <c r="T1565">
        <v>-9.7687960000000004E-2</v>
      </c>
      <c r="U1565">
        <v>-0.27749629999999997</v>
      </c>
      <c r="V1565">
        <v>3.1315200000000001E-2</v>
      </c>
      <c r="W1565">
        <v>0.19672120000000001</v>
      </c>
      <c r="X1565">
        <v>0.97995920000000003</v>
      </c>
      <c r="Y1565">
        <v>-0.1032318</v>
      </c>
      <c r="Z1565">
        <v>-2.6084910000000001E-3</v>
      </c>
      <c r="AA1565">
        <v>0.99465389999999998</v>
      </c>
      <c r="AB1565">
        <v>32</v>
      </c>
      <c r="AC1565">
        <v>-35.136199999999903</v>
      </c>
      <c r="AD1565">
        <v>-1.1217078381205901</v>
      </c>
      <c r="AE1565">
        <v>-3.1899999999999902</v>
      </c>
      <c r="AF1565">
        <v>-3.6704476926633398</v>
      </c>
      <c r="AG1565">
        <v>-1.1217078381205901</v>
      </c>
      <c r="AH1565">
        <v>35.053442309068103</v>
      </c>
      <c r="AI1565">
        <v>91.822876559575903</v>
      </c>
      <c r="AJ1565">
        <v>95.977660696749595</v>
      </c>
      <c r="AK1565">
        <v>35.262930003813402</v>
      </c>
      <c r="AL1565">
        <v>78.654710583381402</v>
      </c>
      <c r="AM1565">
        <v>88.169700905779905</v>
      </c>
      <c r="AN1565">
        <v>0.99999995297255895</v>
      </c>
    </row>
    <row r="1566" spans="1:40" x14ac:dyDescent="0.25">
      <c r="A1566" t="str">
        <f>"20190303162533217"</f>
        <v>20190303162533217</v>
      </c>
      <c r="B1566" t="str">
        <f>"1551601533204739"</f>
        <v>1551601533204739</v>
      </c>
      <c r="C1566" t="s">
        <v>40</v>
      </c>
      <c r="D1566">
        <v>4.3742099999999997</v>
      </c>
      <c r="E1566">
        <v>0.50486560000000003</v>
      </c>
      <c r="F1566" t="s">
        <v>51</v>
      </c>
      <c r="G1566">
        <v>-416.7534</v>
      </c>
      <c r="H1566" s="1">
        <v>3.1851779999999998E-6</v>
      </c>
      <c r="I1566">
        <v>287.11579999999998</v>
      </c>
      <c r="J1566">
        <v>-328.37799999999999</v>
      </c>
      <c r="K1566">
        <v>1.1217109999999999</v>
      </c>
      <c r="L1566">
        <v>284.3698</v>
      </c>
      <c r="M1566">
        <v>-0.99981169999999997</v>
      </c>
      <c r="N1566">
        <v>-1.426591E-2</v>
      </c>
      <c r="O1566">
        <v>1.3169419999999999E-2</v>
      </c>
      <c r="P1566">
        <v>-0.98192349999999995</v>
      </c>
      <c r="Q1566">
        <v>0.18377470000000001</v>
      </c>
      <c r="R1566">
        <v>4.531313E-2</v>
      </c>
      <c r="S1566">
        <v>-3.057404</v>
      </c>
      <c r="T1566">
        <v>-3.866518E-2</v>
      </c>
      <c r="U1566">
        <v>9.47876E-2</v>
      </c>
      <c r="V1566">
        <v>3.2135480000000001E-2</v>
      </c>
      <c r="W1566">
        <v>0.19781090000000001</v>
      </c>
      <c r="X1566">
        <v>0.97971330000000001</v>
      </c>
      <c r="Y1566">
        <v>1.7817619999999999E-2</v>
      </c>
      <c r="Z1566">
        <v>2.6113880000000001E-4</v>
      </c>
      <c r="AA1566">
        <v>0.99984119999999999</v>
      </c>
      <c r="AB1566">
        <v>32</v>
      </c>
      <c r="AC1566">
        <v>-88.3753999999999</v>
      </c>
      <c r="AD1566">
        <v>-1.1217078148219899</v>
      </c>
      <c r="AE1566">
        <v>2.74599999999998</v>
      </c>
      <c r="AF1566">
        <v>1.5815362909752</v>
      </c>
      <c r="AG1566">
        <v>-1.1217078148219899</v>
      </c>
      <c r="AH1566">
        <v>88.389675498121306</v>
      </c>
      <c r="AI1566">
        <v>90.726955831269393</v>
      </c>
      <c r="AJ1566">
        <v>88.974929076740395</v>
      </c>
      <c r="AK1566">
        <v>88.410939482196994</v>
      </c>
      <c r="AL1566">
        <v>78.591024416544897</v>
      </c>
      <c r="AM1566">
        <v>88.121320311197195</v>
      </c>
      <c r="AN1566">
        <v>0.99999999571526499</v>
      </c>
    </row>
    <row r="1567" spans="1:40" x14ac:dyDescent="0.25">
      <c r="A1567" t="str">
        <f>"20190303162533241"</f>
        <v>20190303162533241</v>
      </c>
      <c r="B1567" t="str">
        <f>"1551601533225235"</f>
        <v>1551601533225235</v>
      </c>
      <c r="C1567" t="s">
        <v>40</v>
      </c>
      <c r="D1567">
        <v>4.3109710000000003</v>
      </c>
      <c r="E1567">
        <v>0.50620129999999997</v>
      </c>
      <c r="F1567" t="s">
        <v>51</v>
      </c>
      <c r="G1567">
        <v>-426.17070000000001</v>
      </c>
      <c r="H1567" s="1">
        <v>2.4143119999999998E-6</v>
      </c>
      <c r="I1567">
        <v>289.66890000000001</v>
      </c>
      <c r="J1567">
        <v>-328.71010000000001</v>
      </c>
      <c r="K1567">
        <v>1.12171</v>
      </c>
      <c r="L1567">
        <v>284.37349999999998</v>
      </c>
      <c r="M1567">
        <v>-0.99982000000000004</v>
      </c>
      <c r="N1567">
        <v>-1.425157E-2</v>
      </c>
      <c r="O1567">
        <v>1.2532110000000001E-2</v>
      </c>
      <c r="P1567">
        <v>-0.9818557</v>
      </c>
      <c r="Q1567">
        <v>0.18403720000000001</v>
      </c>
      <c r="R1567">
        <v>4.5715840000000001E-2</v>
      </c>
      <c r="S1567">
        <v>-3.054138</v>
      </c>
      <c r="T1567">
        <v>-3.5031800000000002E-2</v>
      </c>
      <c r="U1567">
        <v>0.165496799999999</v>
      </c>
      <c r="V1567">
        <v>3.3165559999999997E-2</v>
      </c>
      <c r="W1567">
        <v>0.1980586</v>
      </c>
      <c r="X1567">
        <v>0.97962890000000002</v>
      </c>
      <c r="Y1567">
        <v>4.158299E-2</v>
      </c>
      <c r="Z1567">
        <v>5.6974580000000003E-4</v>
      </c>
      <c r="AA1567">
        <v>0.99913490000000005</v>
      </c>
      <c r="AB1567">
        <v>32</v>
      </c>
      <c r="AC1567">
        <v>-97.460599999999999</v>
      </c>
      <c r="AD1567">
        <v>-1.1217075856880001</v>
      </c>
      <c r="AE1567">
        <v>5.2954000000000203</v>
      </c>
      <c r="AF1567">
        <v>4.0729352377866404</v>
      </c>
      <c r="AG1567">
        <v>-1.1217075856880001</v>
      </c>
      <c r="AH1567">
        <v>97.506435965566595</v>
      </c>
      <c r="AI1567">
        <v>90.658523582549506</v>
      </c>
      <c r="AJ1567">
        <v>87.608092073661297</v>
      </c>
      <c r="AK1567">
        <v>97.597910244359895</v>
      </c>
      <c r="AL1567">
        <v>78.576545527121098</v>
      </c>
      <c r="AM1567">
        <v>88.0609789012275</v>
      </c>
      <c r="AN1567">
        <v>0.99999997255964101</v>
      </c>
    </row>
    <row r="1568" spans="1:40" x14ac:dyDescent="0.25">
      <c r="A1568" t="str">
        <f>"20190303162533263"</f>
        <v>20190303162533263</v>
      </c>
      <c r="B1568" t="str">
        <f>"1551601533254515"</f>
        <v>1551601533254515</v>
      </c>
      <c r="C1568" t="s">
        <v>40</v>
      </c>
      <c r="D1568">
        <v>4.3097240000000001</v>
      </c>
      <c r="E1568">
        <v>0.507189</v>
      </c>
      <c r="F1568" t="s">
        <v>51</v>
      </c>
      <c r="G1568">
        <v>-403.9563</v>
      </c>
      <c r="H1568" s="1">
        <v>5.7976810000000001E-6</v>
      </c>
      <c r="I1568">
        <v>288.73059999999998</v>
      </c>
      <c r="J1568">
        <v>-329.02659999999997</v>
      </c>
      <c r="K1568">
        <v>1.1217079999999999</v>
      </c>
      <c r="L1568">
        <v>284.3768</v>
      </c>
      <c r="M1568">
        <v>-0.99982769999999999</v>
      </c>
      <c r="N1568">
        <v>-1.422883E-2</v>
      </c>
      <c r="O1568">
        <v>1.1924779999999999E-2</v>
      </c>
      <c r="P1568">
        <v>-0.98178810000000005</v>
      </c>
      <c r="Q1568">
        <v>0.18434739999999999</v>
      </c>
      <c r="R1568">
        <v>4.5915320000000003E-2</v>
      </c>
      <c r="S1568">
        <v>-3.0557249999999998</v>
      </c>
      <c r="T1568">
        <v>-4.5552130000000003E-2</v>
      </c>
      <c r="U1568">
        <v>0.17694089999999901</v>
      </c>
      <c r="V1568">
        <v>3.396238E-2</v>
      </c>
      <c r="W1568">
        <v>0.19834650000000001</v>
      </c>
      <c r="X1568">
        <v>0.97954339999999995</v>
      </c>
      <c r="Y1568">
        <v>4.5887799999999999E-2</v>
      </c>
      <c r="Z1568">
        <v>6.6048509999999997E-4</v>
      </c>
      <c r="AA1568">
        <v>0.99894640000000001</v>
      </c>
      <c r="AB1568">
        <v>31</v>
      </c>
      <c r="AC1568">
        <v>-74.929699999999997</v>
      </c>
      <c r="AD1568">
        <v>-1.121702202319</v>
      </c>
      <c r="AE1568">
        <v>4.3537999999999704</v>
      </c>
      <c r="AF1568">
        <v>3.45910717086179</v>
      </c>
      <c r="AG1568">
        <v>-1.121702202319</v>
      </c>
      <c r="AH1568">
        <v>74.959552461715006</v>
      </c>
      <c r="AI1568">
        <v>90.856404530400098</v>
      </c>
      <c r="AJ1568">
        <v>87.357885253516102</v>
      </c>
      <c r="AK1568">
        <v>75.047705784459495</v>
      </c>
      <c r="AL1568">
        <v>78.559716802843496</v>
      </c>
      <c r="AM1568">
        <v>88.014256580416998</v>
      </c>
      <c r="AN1568">
        <v>1.0000000249005301</v>
      </c>
    </row>
    <row r="1569" spans="1:40" x14ac:dyDescent="0.25">
      <c r="A1569" t="str">
        <f>"20190303162533284"</f>
        <v>20190303162533284</v>
      </c>
      <c r="B1569" t="str">
        <f>"1551601533274035"</f>
        <v>1551601533274035</v>
      </c>
      <c r="C1569" t="s">
        <v>40</v>
      </c>
      <c r="D1569">
        <v>4.2920489999999996</v>
      </c>
      <c r="E1569">
        <v>0.50776449999999995</v>
      </c>
      <c r="F1569" t="s">
        <v>48</v>
      </c>
      <c r="G1569">
        <v>-392.85070000000002</v>
      </c>
      <c r="H1569" s="1">
        <v>-1.977554E-8</v>
      </c>
      <c r="I1569">
        <v>288.2276</v>
      </c>
      <c r="J1569">
        <v>-329.32339999999999</v>
      </c>
      <c r="K1569">
        <v>1.12171</v>
      </c>
      <c r="L1569">
        <v>284.37970000000001</v>
      </c>
      <c r="M1569">
        <v>-0.99983469999999997</v>
      </c>
      <c r="N1569">
        <v>-1.420333E-2</v>
      </c>
      <c r="O1569">
        <v>1.135471E-2</v>
      </c>
      <c r="P1569">
        <v>-0.98173270000000001</v>
      </c>
      <c r="Q1569">
        <v>0.18458620000000001</v>
      </c>
      <c r="R1569">
        <v>4.6140889999999997E-2</v>
      </c>
      <c r="S1569">
        <v>-3.0570979999999999</v>
      </c>
      <c r="T1569">
        <v>-5.3728459999999999E-2</v>
      </c>
      <c r="U1569">
        <v>0.18444820000000001</v>
      </c>
      <c r="V1569">
        <v>3.4748580000000001E-2</v>
      </c>
      <c r="W1569">
        <v>0.1985605</v>
      </c>
      <c r="X1569">
        <v>0.97947249999999997</v>
      </c>
      <c r="Y1569">
        <v>4.8872209999999999E-2</v>
      </c>
      <c r="Z1569">
        <v>7.3830469999999998E-4</v>
      </c>
      <c r="AA1569">
        <v>0.99880469999999999</v>
      </c>
      <c r="AB1569">
        <v>31</v>
      </c>
      <c r="AC1569">
        <v>-63.527299999999997</v>
      </c>
      <c r="AD1569">
        <v>-1.1217100197755401</v>
      </c>
      <c r="AE1569">
        <v>3.8478999999999801</v>
      </c>
      <c r="AF1569">
        <v>3.1252742638890498</v>
      </c>
      <c r="AG1569">
        <v>-1.1217100197755401</v>
      </c>
      <c r="AH1569">
        <v>63.547160013693102</v>
      </c>
      <c r="AI1569">
        <v>91.010037532557604</v>
      </c>
      <c r="AJ1569">
        <v>87.184439628687699</v>
      </c>
      <c r="AK1569">
        <v>63.633851984607297</v>
      </c>
      <c r="AL1569">
        <v>78.547207057787304</v>
      </c>
      <c r="AM1569">
        <v>87.968179468037405</v>
      </c>
      <c r="AN1569">
        <v>1.00000005711425</v>
      </c>
    </row>
    <row r="1570" spans="1:40" x14ac:dyDescent="0.25">
      <c r="A1570" t="str">
        <f>"20190303162533307"</f>
        <v>20190303162533307</v>
      </c>
      <c r="B1570" t="str">
        <f>"1551601533294532"</f>
        <v>1551601533294532</v>
      </c>
      <c r="C1570" t="s">
        <v>40</v>
      </c>
      <c r="D1570">
        <v>4.2607200000000001</v>
      </c>
      <c r="E1570">
        <v>0.50798599999999905</v>
      </c>
      <c r="F1570" t="s">
        <v>48</v>
      </c>
      <c r="G1570">
        <v>-389.03899999999999</v>
      </c>
      <c r="H1570" s="1">
        <v>3.273321E-6</v>
      </c>
      <c r="I1570">
        <v>288.06950000000001</v>
      </c>
      <c r="J1570">
        <v>-329.63279999999997</v>
      </c>
      <c r="K1570">
        <v>1.1217060000000001</v>
      </c>
      <c r="L1570">
        <v>284.38249999999999</v>
      </c>
      <c r="M1570">
        <v>-0.9998418</v>
      </c>
      <c r="N1570">
        <v>-1.417246E-2</v>
      </c>
      <c r="O1570">
        <v>1.0758149999999999E-2</v>
      </c>
      <c r="P1570">
        <v>-0.98160369999999997</v>
      </c>
      <c r="Q1570">
        <v>0.18529290000000001</v>
      </c>
      <c r="R1570">
        <v>4.6054230000000002E-2</v>
      </c>
      <c r="S1570">
        <v>-3.057709</v>
      </c>
      <c r="T1570">
        <v>-5.7436470000000003E-2</v>
      </c>
      <c r="U1570">
        <v>0.1889343</v>
      </c>
      <c r="V1570">
        <v>3.52482E-2</v>
      </c>
      <c r="W1570">
        <v>0.1992353</v>
      </c>
      <c r="X1570">
        <v>0.97931749999999995</v>
      </c>
      <c r="Y1570">
        <v>5.0913960000000001E-2</v>
      </c>
      <c r="Z1570">
        <v>7.8938649999999995E-4</v>
      </c>
      <c r="AA1570">
        <v>0.99870270000000005</v>
      </c>
      <c r="AB1570">
        <v>31</v>
      </c>
      <c r="AC1570">
        <v>-59.406199999999998</v>
      </c>
      <c r="AD1570">
        <v>-1.1217027266789901</v>
      </c>
      <c r="AE1570">
        <v>3.68700000000001</v>
      </c>
      <c r="AF1570">
        <v>3.0465396497723298</v>
      </c>
      <c r="AG1570">
        <v>-1.1217027266789901</v>
      </c>
      <c r="AH1570">
        <v>59.421326723268997</v>
      </c>
      <c r="AI1570">
        <v>91.0800318685977</v>
      </c>
      <c r="AJ1570">
        <v>87.065007316964795</v>
      </c>
      <c r="AK1570">
        <v>59.509946146826302</v>
      </c>
      <c r="AL1570">
        <v>78.507754424574699</v>
      </c>
      <c r="AM1570">
        <v>87.938664758982696</v>
      </c>
      <c r="AN1570">
        <v>0.999999953087789</v>
      </c>
    </row>
    <row r="1571" spans="1:40" x14ac:dyDescent="0.25">
      <c r="A1571" t="str">
        <f>"20190303162533329"</f>
        <v>20190303162533329</v>
      </c>
      <c r="B1571" t="str">
        <f>"1551601533324787"</f>
        <v>1551601533324787</v>
      </c>
      <c r="C1571" t="s">
        <v>40</v>
      </c>
      <c r="D1571">
        <v>4.2773070000000004</v>
      </c>
      <c r="E1571">
        <v>0.50828209999999996</v>
      </c>
      <c r="F1571" t="s">
        <v>48</v>
      </c>
      <c r="G1571">
        <v>-391.40649999999999</v>
      </c>
      <c r="H1571" s="1">
        <v>-7.8830230000000002E-7</v>
      </c>
      <c r="I1571">
        <v>288.21539999999999</v>
      </c>
      <c r="J1571">
        <v>-329.96010000000001</v>
      </c>
      <c r="K1571">
        <v>1.1217060000000001</v>
      </c>
      <c r="L1571">
        <v>284.3854</v>
      </c>
      <c r="M1571">
        <v>-0.99984890000000004</v>
      </c>
      <c r="N1571">
        <v>-1.4135719999999999E-2</v>
      </c>
      <c r="O1571">
        <v>1.0124009999999999E-2</v>
      </c>
      <c r="P1571">
        <v>-0.98142410000000002</v>
      </c>
      <c r="Q1571">
        <v>0.1862347</v>
      </c>
      <c r="R1571">
        <v>4.6080580000000003E-2</v>
      </c>
      <c r="S1571">
        <v>-3.0577999999999999</v>
      </c>
      <c r="T1571">
        <v>-5.5524469999999999E-2</v>
      </c>
      <c r="U1571">
        <v>0.1897278</v>
      </c>
      <c r="V1571">
        <v>3.5897350000000001E-2</v>
      </c>
      <c r="W1571">
        <v>0.20013900000000001</v>
      </c>
      <c r="X1571">
        <v>0.97910969999999997</v>
      </c>
      <c r="Y1571">
        <v>5.180423E-2</v>
      </c>
      <c r="Z1571">
        <v>7.9578050000000001E-4</v>
      </c>
      <c r="AA1571">
        <v>0.99865689999999996</v>
      </c>
      <c r="AB1571">
        <v>31</v>
      </c>
      <c r="AC1571">
        <v>-61.446399999999898</v>
      </c>
      <c r="AD1571">
        <v>-1.1217067883023</v>
      </c>
      <c r="AE1571">
        <v>3.8299999999999801</v>
      </c>
      <c r="AF1571">
        <v>3.20659313906864</v>
      </c>
      <c r="AG1571">
        <v>-1.1217067883023</v>
      </c>
      <c r="AH1571">
        <v>61.461626513126397</v>
      </c>
      <c r="AI1571">
        <v>91.044142060238201</v>
      </c>
      <c r="AJ1571">
        <v>87.013456367234696</v>
      </c>
      <c r="AK1571">
        <v>61.555438421941901</v>
      </c>
      <c r="AL1571">
        <v>78.454912765993797</v>
      </c>
      <c r="AM1571">
        <v>87.900290612451599</v>
      </c>
      <c r="AN1571">
        <v>1.0000000218460501</v>
      </c>
    </row>
    <row r="1572" spans="1:40" x14ac:dyDescent="0.25">
      <c r="A1572" t="str">
        <f>"20190303162533351"</f>
        <v>20190303162533351</v>
      </c>
      <c r="B1572" t="str">
        <f>"1551601533344306"</f>
        <v>1551601533344306</v>
      </c>
      <c r="C1572" t="s">
        <v>40</v>
      </c>
      <c r="D1572">
        <v>4.2894990000000002</v>
      </c>
      <c r="E1572">
        <v>0.50847209999999998</v>
      </c>
      <c r="F1572" t="s">
        <v>48</v>
      </c>
      <c r="G1572">
        <v>-394.22370000000001</v>
      </c>
      <c r="H1572" s="1">
        <v>7.1086219999999898E-7</v>
      </c>
      <c r="I1572">
        <v>288.4194</v>
      </c>
      <c r="J1572">
        <v>-330.26409999999998</v>
      </c>
      <c r="K1572">
        <v>1.121707</v>
      </c>
      <c r="L1572">
        <v>284.38780000000003</v>
      </c>
      <c r="M1572">
        <v>-0.9998553</v>
      </c>
      <c r="N1572">
        <v>-1.4097999999999999E-2</v>
      </c>
      <c r="O1572">
        <v>9.5326660000000004E-3</v>
      </c>
      <c r="P1572">
        <v>-0.98131250000000003</v>
      </c>
      <c r="Q1572">
        <v>0.1867153</v>
      </c>
      <c r="R1572">
        <v>4.6512919999999999E-2</v>
      </c>
      <c r="S1572">
        <v>-3.0578919999999998</v>
      </c>
      <c r="T1572">
        <v>-5.3374770000000002E-2</v>
      </c>
      <c r="U1572">
        <v>0.1919556</v>
      </c>
      <c r="V1572">
        <v>3.6910159999999997E-2</v>
      </c>
      <c r="W1572">
        <v>0.20058229999999999</v>
      </c>
      <c r="X1572">
        <v>0.97898130000000005</v>
      </c>
      <c r="Y1572">
        <v>5.3118239999999997E-2</v>
      </c>
      <c r="Z1572">
        <v>8.0603649999999897E-4</v>
      </c>
      <c r="AA1572">
        <v>0.99858789999999997</v>
      </c>
      <c r="AB1572">
        <v>31</v>
      </c>
      <c r="AC1572">
        <v>-63.959600000000002</v>
      </c>
      <c r="AD1572">
        <v>-1.1217062891378</v>
      </c>
      <c r="AE1572">
        <v>4.0315999999999601</v>
      </c>
      <c r="AF1572">
        <v>3.4206028333151499</v>
      </c>
      <c r="AG1572">
        <v>-1.1217062891378</v>
      </c>
      <c r="AH1572">
        <v>63.9755297976983</v>
      </c>
      <c r="AI1572">
        <v>91.003052441936802</v>
      </c>
      <c r="AJ1572">
        <v>86.939460024146598</v>
      </c>
      <c r="AK1572">
        <v>64.076728705814602</v>
      </c>
      <c r="AL1572">
        <v>78.428987618720598</v>
      </c>
      <c r="AM1572">
        <v>87.840821688140394</v>
      </c>
      <c r="AN1572">
        <v>1.0000000023671001</v>
      </c>
    </row>
    <row r="1573" spans="1:40" x14ac:dyDescent="0.25">
      <c r="A1573" t="str">
        <f>"20190303162533373"</f>
        <v>20190303162533373</v>
      </c>
      <c r="B1573" t="str">
        <f>"1551601533364803"</f>
        <v>1551601533364803</v>
      </c>
      <c r="C1573" t="s">
        <v>40</v>
      </c>
      <c r="D1573">
        <v>4.2793720000000004</v>
      </c>
      <c r="E1573">
        <v>0.50850649999999997</v>
      </c>
      <c r="F1573" t="s">
        <v>48</v>
      </c>
      <c r="G1573">
        <v>-394.65769999999998</v>
      </c>
      <c r="H1573" s="1">
        <v>9.4180529999999998E-7</v>
      </c>
      <c r="I1573">
        <v>288.4819</v>
      </c>
      <c r="J1573">
        <v>-330.56990000000002</v>
      </c>
      <c r="K1573">
        <v>1.1217109999999999</v>
      </c>
      <c r="L1573">
        <v>284.39010000000002</v>
      </c>
      <c r="M1573">
        <v>-0.99986129999999995</v>
      </c>
      <c r="N1573">
        <v>-1.405647E-2</v>
      </c>
      <c r="O1573">
        <v>8.9361159999999992E-3</v>
      </c>
      <c r="P1573">
        <v>-0.98116449999999999</v>
      </c>
      <c r="Q1573">
        <v>0.18728929999999999</v>
      </c>
      <c r="R1573">
        <v>4.7318029999999997E-2</v>
      </c>
      <c r="S1573">
        <v>-3.058014</v>
      </c>
      <c r="T1573">
        <v>-5.3269150000000001E-2</v>
      </c>
      <c r="U1573">
        <v>0.1944275</v>
      </c>
      <c r="V1573">
        <v>3.8301130000000003E-2</v>
      </c>
      <c r="W1573">
        <v>0.2011153</v>
      </c>
      <c r="X1573">
        <v>0.97881850000000004</v>
      </c>
      <c r="Y1573">
        <v>5.4515170000000002E-2</v>
      </c>
      <c r="Z1573">
        <v>8.2791910000000002E-4</v>
      </c>
      <c r="AA1573">
        <v>0.99851259999999997</v>
      </c>
      <c r="AB1573">
        <v>31</v>
      </c>
      <c r="AC1573">
        <v>-64.087799999999902</v>
      </c>
      <c r="AD1573">
        <v>-1.1217100581946999</v>
      </c>
      <c r="AE1573">
        <v>4.0917999999999699</v>
      </c>
      <c r="AF1573">
        <v>3.5178107182742901</v>
      </c>
      <c r="AG1573">
        <v>-1.1217100581946999</v>
      </c>
      <c r="AH1573">
        <v>64.102251349838596</v>
      </c>
      <c r="AI1573">
        <v>91.000997044723604</v>
      </c>
      <c r="AJ1573">
        <v>86.858866384385095</v>
      </c>
      <c r="AK1573">
        <v>64.208502971352203</v>
      </c>
      <c r="AL1573">
        <v>78.397813664917294</v>
      </c>
      <c r="AM1573">
        <v>87.759161589311603</v>
      </c>
      <c r="AN1573">
        <v>0.99999999819780805</v>
      </c>
    </row>
    <row r="1574" spans="1:40" x14ac:dyDescent="0.25">
      <c r="A1574" t="str">
        <f>"20190303162533396"</f>
        <v>20190303162533396</v>
      </c>
      <c r="B1574" t="str">
        <f>"1551601533384323"</f>
        <v>1551601533384323</v>
      </c>
      <c r="C1574" t="s">
        <v>40</v>
      </c>
      <c r="D1574">
        <v>4.2437360000000002</v>
      </c>
      <c r="E1574">
        <v>0.50858239999999999</v>
      </c>
      <c r="F1574" t="s">
        <v>48</v>
      </c>
      <c r="G1574">
        <v>-397.08690000000001</v>
      </c>
      <c r="H1574" s="1">
        <v>2.2344830000000001E-6</v>
      </c>
      <c r="I1574">
        <v>288.65640000000002</v>
      </c>
      <c r="J1574">
        <v>-330.8775</v>
      </c>
      <c r="K1574">
        <v>1.121704</v>
      </c>
      <c r="L1574">
        <v>284.3922</v>
      </c>
      <c r="M1574">
        <v>-0.99986710000000001</v>
      </c>
      <c r="N1574">
        <v>-1.401236E-2</v>
      </c>
      <c r="O1574">
        <v>8.3345309999999992E-3</v>
      </c>
      <c r="P1574">
        <v>-0.98114769999999896</v>
      </c>
      <c r="Q1574">
        <v>0.1872047</v>
      </c>
      <c r="R1574">
        <v>4.7998010000000001E-2</v>
      </c>
      <c r="S1574">
        <v>-3.0579830000000001</v>
      </c>
      <c r="T1574">
        <v>-5.1568269999999999E-2</v>
      </c>
      <c r="U1574">
        <v>0.19613649999999999</v>
      </c>
      <c r="V1574">
        <v>3.9571839999999997E-2</v>
      </c>
      <c r="W1574">
        <v>0.20098820000000001</v>
      </c>
      <c r="X1574">
        <v>0.97879400000000005</v>
      </c>
      <c r="Y1574">
        <v>5.5672729999999997E-2</v>
      </c>
      <c r="Z1574">
        <v>8.3572179999999896E-4</v>
      </c>
      <c r="AA1574">
        <v>0.99844869999999997</v>
      </c>
      <c r="AB1574">
        <v>31</v>
      </c>
      <c r="AC1574">
        <v>-66.209400000000002</v>
      </c>
      <c r="AD1574">
        <v>-1.1217017655169901</v>
      </c>
      <c r="AE1574">
        <v>4.2642000000000104</v>
      </c>
      <c r="AF1574">
        <v>3.7111126203230098</v>
      </c>
      <c r="AG1574">
        <v>-1.1217017655169901</v>
      </c>
      <c r="AH1574">
        <v>66.2237143471894</v>
      </c>
      <c r="AI1574">
        <v>90.968867186971195</v>
      </c>
      <c r="AJ1574">
        <v>86.792554892208599</v>
      </c>
      <c r="AK1574">
        <v>66.337100582325903</v>
      </c>
      <c r="AL1574">
        <v>78.405247082716102</v>
      </c>
      <c r="AM1574">
        <v>87.6848393888679</v>
      </c>
      <c r="AN1574">
        <v>0.99999994074811105</v>
      </c>
    </row>
    <row r="1575" spans="1:40" x14ac:dyDescent="0.25">
      <c r="A1575" t="str">
        <f>"20190303162533419"</f>
        <v>20190303162533419</v>
      </c>
      <c r="B1575" t="str">
        <f>"1551601533404819"</f>
        <v>1551601533404819</v>
      </c>
      <c r="C1575" t="s">
        <v>40</v>
      </c>
      <c r="D1575">
        <v>4.2258319999999996</v>
      </c>
      <c r="E1575">
        <v>0.50867680000000004</v>
      </c>
      <c r="F1575" t="s">
        <v>48</v>
      </c>
      <c r="G1575">
        <v>-395.67160000000001</v>
      </c>
      <c r="H1575" s="1">
        <v>1.4813589999999901E-6</v>
      </c>
      <c r="I1575">
        <v>288.58609999999999</v>
      </c>
      <c r="J1575">
        <v>-331.2038</v>
      </c>
      <c r="K1575">
        <v>1.1216980000000001</v>
      </c>
      <c r="L1575">
        <v>284.39420000000001</v>
      </c>
      <c r="M1575">
        <v>-0.99987280000000001</v>
      </c>
      <c r="N1575">
        <v>-1.396679E-2</v>
      </c>
      <c r="O1575">
        <v>7.6955359999999898E-3</v>
      </c>
      <c r="P1575">
        <v>-0.98121510000000001</v>
      </c>
      <c r="Q1575">
        <v>0.1866178</v>
      </c>
      <c r="R1575">
        <v>4.8896309999999998E-2</v>
      </c>
      <c r="S1575">
        <v>-3.0580750000000001</v>
      </c>
      <c r="T1575">
        <v>-5.2940729999999998E-2</v>
      </c>
      <c r="U1575">
        <v>0.197937</v>
      </c>
      <c r="V1575">
        <v>4.1097740000000001E-2</v>
      </c>
      <c r="W1575">
        <v>0.2003595</v>
      </c>
      <c r="X1575">
        <v>0.97886010000000001</v>
      </c>
      <c r="Y1575">
        <v>5.6893399999999997E-2</v>
      </c>
      <c r="Z1575">
        <v>8.6402500000000004E-4</v>
      </c>
      <c r="AA1575">
        <v>0.99837989999999999</v>
      </c>
      <c r="AB1575">
        <v>31</v>
      </c>
      <c r="AC1575">
        <v>-64.467799999999997</v>
      </c>
      <c r="AD1575">
        <v>-1.121696518641</v>
      </c>
      <c r="AE1575">
        <v>4.1918999999999702</v>
      </c>
      <c r="AF1575">
        <v>3.69449940328145</v>
      </c>
      <c r="AG1575">
        <v>-1.121696518641</v>
      </c>
      <c r="AH1575">
        <v>64.478714843688394</v>
      </c>
      <c r="AI1575">
        <v>90.995007217015697</v>
      </c>
      <c r="AJ1575">
        <v>86.720653826416694</v>
      </c>
      <c r="AK1575">
        <v>64.594211790333503</v>
      </c>
      <c r="AL1575">
        <v>78.442017890567996</v>
      </c>
      <c r="AM1575">
        <v>87.5958312119715</v>
      </c>
      <c r="AN1575">
        <v>1.0000000244226801</v>
      </c>
    </row>
    <row r="1576" spans="1:40" x14ac:dyDescent="0.25">
      <c r="A1576" t="str">
        <f>"20190303162533441"</f>
        <v>20190303162533441</v>
      </c>
      <c r="B1576" t="str">
        <f>"1551601533436052"</f>
        <v>1551601533436052</v>
      </c>
      <c r="C1576" t="s">
        <v>40</v>
      </c>
      <c r="D1576">
        <v>4.2088049999999999</v>
      </c>
      <c r="E1576">
        <v>0.50879259999999904</v>
      </c>
      <c r="F1576" t="s">
        <v>48</v>
      </c>
      <c r="G1576">
        <v>-393.2337</v>
      </c>
      <c r="H1576" s="1">
        <v>1.8403879999999999E-7</v>
      </c>
      <c r="I1576">
        <v>288.47379999999998</v>
      </c>
      <c r="J1576">
        <v>-331.5231</v>
      </c>
      <c r="K1576">
        <v>1.1216950000000001</v>
      </c>
      <c r="L1576">
        <v>284.39600000000002</v>
      </c>
      <c r="M1576">
        <v>-0.99987820000000005</v>
      </c>
      <c r="N1576">
        <v>-1.3919529999999999E-2</v>
      </c>
      <c r="O1576">
        <v>7.0687809999999997E-3</v>
      </c>
      <c r="P1576">
        <v>-0.9812265</v>
      </c>
      <c r="Q1576">
        <v>0.18638099999999999</v>
      </c>
      <c r="R1576">
        <v>4.9564530000000002E-2</v>
      </c>
      <c r="S1576">
        <v>-3.057922</v>
      </c>
      <c r="T1576">
        <v>-5.5296900000000003E-2</v>
      </c>
      <c r="U1576">
        <v>0.20111080000000001</v>
      </c>
      <c r="V1576">
        <v>4.2381820000000001E-2</v>
      </c>
      <c r="W1576">
        <v>0.2000778</v>
      </c>
      <c r="X1576">
        <v>0.97886289999999998</v>
      </c>
      <c r="Y1576">
        <v>5.8552680000000003E-2</v>
      </c>
      <c r="Z1576">
        <v>9.0745330000000001E-4</v>
      </c>
      <c r="AA1576">
        <v>0.9982839</v>
      </c>
      <c r="AB1576">
        <v>31</v>
      </c>
      <c r="AC1576">
        <v>-61.710599999999999</v>
      </c>
      <c r="AD1576">
        <v>-1.1216948159611999</v>
      </c>
      <c r="AE1576">
        <v>4.0778000000000203</v>
      </c>
      <c r="AF1576">
        <v>3.6402396689257599</v>
      </c>
      <c r="AG1576">
        <v>-1.1216948159611999</v>
      </c>
      <c r="AH1576">
        <v>61.717583418052499</v>
      </c>
      <c r="AI1576">
        <v>91.0394094567298</v>
      </c>
      <c r="AJ1576">
        <v>86.624478855846903</v>
      </c>
      <c r="AK1576">
        <v>61.835019584953997</v>
      </c>
      <c r="AL1576">
        <v>78.458490941503399</v>
      </c>
      <c r="AM1576">
        <v>87.520813454865007</v>
      </c>
      <c r="AN1576">
        <v>0.99999996085788001</v>
      </c>
    </row>
    <row r="1577" spans="1:40" x14ac:dyDescent="0.25">
      <c r="A1577" t="str">
        <f>"20190303162533465"</f>
        <v>20190303162533465</v>
      </c>
      <c r="B1577" t="str">
        <f>"1551601533454595"</f>
        <v>1551601533454595</v>
      </c>
      <c r="C1577" t="s">
        <v>40</v>
      </c>
      <c r="D1577">
        <v>4.2234030000000002</v>
      </c>
      <c r="E1577">
        <v>0.50895879999999905</v>
      </c>
      <c r="F1577" t="s">
        <v>48</v>
      </c>
      <c r="G1577">
        <v>-393.88529999999997</v>
      </c>
      <c r="H1577" s="1">
        <v>5.3078549999999999E-7</v>
      </c>
      <c r="I1577">
        <v>288.56020000000001</v>
      </c>
      <c r="J1577">
        <v>-331.8426</v>
      </c>
      <c r="K1577">
        <v>1.1216900000000001</v>
      </c>
      <c r="L1577">
        <v>284.39760000000001</v>
      </c>
      <c r="M1577">
        <v>-0.99988310000000002</v>
      </c>
      <c r="N1577">
        <v>-1.3871E-2</v>
      </c>
      <c r="O1577">
        <v>6.4416739999999997E-3</v>
      </c>
      <c r="P1577">
        <v>-0.98117849999999995</v>
      </c>
      <c r="Q1577">
        <v>0.18643219999999999</v>
      </c>
      <c r="R1577">
        <v>5.0319160000000002E-2</v>
      </c>
      <c r="S1577">
        <v>-3.0575559999999999</v>
      </c>
      <c r="T1577">
        <v>-5.4995540000000002E-2</v>
      </c>
      <c r="U1577">
        <v>0.2041626</v>
      </c>
      <c r="V1577">
        <v>4.375275E-2</v>
      </c>
      <c r="W1577">
        <v>0.20008200000000001</v>
      </c>
      <c r="X1577">
        <v>0.97880180000000006</v>
      </c>
      <c r="Y1577">
        <v>6.0178259999999997E-2</v>
      </c>
      <c r="Z1577">
        <v>9.3201220000000003E-4</v>
      </c>
      <c r="AA1577">
        <v>0.99818720000000005</v>
      </c>
      <c r="AB1577">
        <v>31</v>
      </c>
      <c r="AC1577">
        <v>-62.042699999999897</v>
      </c>
      <c r="AD1577">
        <v>-1.1216894692145001</v>
      </c>
      <c r="AE1577">
        <v>4.1625999999999896</v>
      </c>
      <c r="AF1577">
        <v>3.7615923298182001</v>
      </c>
      <c r="AG1577">
        <v>-1.1216894692145001</v>
      </c>
      <c r="AH1577">
        <v>62.048038956613603</v>
      </c>
      <c r="AI1577">
        <v>91.033768933295605</v>
      </c>
      <c r="AJ1577">
        <v>86.530753997617197</v>
      </c>
      <c r="AK1577">
        <v>62.172074941106303</v>
      </c>
      <c r="AL1577">
        <v>78.458246221116397</v>
      </c>
      <c r="AM1577">
        <v>87.440564314040003</v>
      </c>
      <c r="AN1577">
        <v>1.0000000367699</v>
      </c>
    </row>
    <row r="1578" spans="1:40" x14ac:dyDescent="0.25">
      <c r="A1578" t="str">
        <f>"20190303162533485"</f>
        <v>20190303162533485</v>
      </c>
      <c r="B1578" t="str">
        <f>"1551601533474115"</f>
        <v>1551601533474115</v>
      </c>
      <c r="C1578" t="s">
        <v>40</v>
      </c>
      <c r="D1578">
        <v>4.2257449999999999</v>
      </c>
      <c r="E1578">
        <v>0.50904119999999997</v>
      </c>
      <c r="F1578" t="s">
        <v>48</v>
      </c>
      <c r="G1578">
        <v>-394.48579999999998</v>
      </c>
      <c r="H1578" s="1">
        <v>8.5032309999999998E-7</v>
      </c>
      <c r="I1578">
        <v>288.64269999999999</v>
      </c>
      <c r="J1578">
        <v>-332.13389999999998</v>
      </c>
      <c r="K1578">
        <v>1.121677</v>
      </c>
      <c r="L1578">
        <v>284.39890000000003</v>
      </c>
      <c r="M1578">
        <v>-0.99988719999999998</v>
      </c>
      <c r="N1578">
        <v>-1.3824639999999999E-2</v>
      </c>
      <c r="O1578">
        <v>5.8706280000000001E-3</v>
      </c>
      <c r="P1578">
        <v>-0.98129180000000005</v>
      </c>
      <c r="Q1578">
        <v>0.18567990000000001</v>
      </c>
      <c r="R1578">
        <v>5.0884699999999998E-2</v>
      </c>
      <c r="S1578">
        <v>-3.057312</v>
      </c>
      <c r="T1578">
        <v>-5.474424E-2</v>
      </c>
      <c r="U1578">
        <v>0.2071838</v>
      </c>
      <c r="V1578">
        <v>4.4878939999999999E-2</v>
      </c>
      <c r="W1578">
        <v>0.1992872</v>
      </c>
      <c r="X1578">
        <v>0.97891289999999997</v>
      </c>
      <c r="Y1578">
        <v>6.1735230000000002E-2</v>
      </c>
      <c r="Z1578">
        <v>9.5543020000000002E-4</v>
      </c>
      <c r="AA1578">
        <v>0.99809210000000004</v>
      </c>
      <c r="AB1578">
        <v>31</v>
      </c>
      <c r="AC1578">
        <v>-62.351900000000001</v>
      </c>
      <c r="AD1578">
        <v>-1.1216761496768901</v>
      </c>
      <c r="AE1578">
        <v>4.2437999999999603</v>
      </c>
      <c r="AF1578">
        <v>3.8763983646542499</v>
      </c>
      <c r="AG1578">
        <v>-1.1216761496768901</v>
      </c>
      <c r="AH1578">
        <v>62.355654982847398</v>
      </c>
      <c r="AI1578">
        <v>91.028560981404993</v>
      </c>
      <c r="AJ1578">
        <v>86.442731353818402</v>
      </c>
      <c r="AK1578">
        <v>62.486097093722698</v>
      </c>
      <c r="AL1578">
        <v>78.504720310811294</v>
      </c>
      <c r="AM1578">
        <v>87.375073317154701</v>
      </c>
      <c r="AN1578">
        <v>0.99999998656288602</v>
      </c>
    </row>
    <row r="1579" spans="1:40" x14ac:dyDescent="0.25">
      <c r="A1579" t="str">
        <f>"20190303162533507"</f>
        <v>20190303162533507</v>
      </c>
      <c r="B1579" t="str">
        <f>"1551601533494612"</f>
        <v>1551601533494612</v>
      </c>
      <c r="C1579" t="s">
        <v>40</v>
      </c>
      <c r="D1579">
        <v>4.2013339999999904</v>
      </c>
      <c r="E1579">
        <v>0.50871840000000002</v>
      </c>
      <c r="F1579" t="s">
        <v>48</v>
      </c>
      <c r="G1579">
        <v>-392.20749999999998</v>
      </c>
      <c r="H1579" s="1">
        <v>-3.6208080000000001E-7</v>
      </c>
      <c r="I1579">
        <v>288.50659999999999</v>
      </c>
      <c r="J1579">
        <v>-332.43630000000002</v>
      </c>
      <c r="K1579">
        <v>1.1216699999999999</v>
      </c>
      <c r="L1579">
        <v>284.39999999999998</v>
      </c>
      <c r="M1579">
        <v>-0.99989119999999998</v>
      </c>
      <c r="N1579">
        <v>-1.3777380000000001E-2</v>
      </c>
      <c r="O1579">
        <v>5.2782489999999996E-3</v>
      </c>
      <c r="P1579">
        <v>-0.98136889999999999</v>
      </c>
      <c r="Q1579">
        <v>0.1850231</v>
      </c>
      <c r="R1579">
        <v>5.1786199999999998E-2</v>
      </c>
      <c r="S1579">
        <v>-3.057159</v>
      </c>
      <c r="T1579">
        <v>-5.708241E-2</v>
      </c>
      <c r="U1579">
        <v>0.20904539999999999</v>
      </c>
      <c r="V1579">
        <v>4.6362750000000001E-2</v>
      </c>
      <c r="W1579">
        <v>0.1985867</v>
      </c>
      <c r="X1579">
        <v>0.97898609999999997</v>
      </c>
      <c r="Y1579">
        <v>6.2933310000000006E-2</v>
      </c>
      <c r="Z1579">
        <v>9.9513529999999996E-4</v>
      </c>
      <c r="AA1579">
        <v>0.9980173</v>
      </c>
      <c r="AB1579">
        <v>31</v>
      </c>
      <c r="AC1579">
        <v>-59.771199999999901</v>
      </c>
      <c r="AD1579">
        <v>-1.1216703620808</v>
      </c>
      <c r="AE1579">
        <v>4.10660000000001</v>
      </c>
      <c r="AF1579">
        <v>3.7896972451520101</v>
      </c>
      <c r="AG1579">
        <v>-1.1216703620808</v>
      </c>
      <c r="AH1579">
        <v>59.7710945302914</v>
      </c>
      <c r="AI1579">
        <v>91.072938219520907</v>
      </c>
      <c r="AJ1579">
        <v>86.372102605912104</v>
      </c>
      <c r="AK1579">
        <v>59.901616764158497</v>
      </c>
      <c r="AL1579">
        <v>78.545674546693604</v>
      </c>
      <c r="AM1579">
        <v>87.288616583544396</v>
      </c>
      <c r="AN1579">
        <v>0.99999998299883097</v>
      </c>
    </row>
    <row r="1580" spans="1:40" x14ac:dyDescent="0.25">
      <c r="A1580" t="str">
        <f>"20190303162533531"</f>
        <v>20190303162533531</v>
      </c>
      <c r="B1580" t="str">
        <f>"1551601533524868"</f>
        <v>1551601533524868</v>
      </c>
      <c r="C1580" t="s">
        <v>40</v>
      </c>
      <c r="D1580">
        <v>4.1883720000000002</v>
      </c>
      <c r="E1580">
        <v>0.49162440000000002</v>
      </c>
      <c r="F1580" t="s">
        <v>48</v>
      </c>
      <c r="G1580">
        <v>-390.52800000000002</v>
      </c>
      <c r="H1580" s="1">
        <v>-1.255797E-6</v>
      </c>
      <c r="I1580">
        <v>288.35610000000003</v>
      </c>
      <c r="J1580">
        <v>-332.7647</v>
      </c>
      <c r="K1580">
        <v>1.1216619999999999</v>
      </c>
      <c r="L1580">
        <v>284.40109999999999</v>
      </c>
      <c r="M1580">
        <v>-0.99989510000000004</v>
      </c>
      <c r="N1580">
        <v>-1.3729699999999999E-2</v>
      </c>
      <c r="O1580">
        <v>4.6359330000000001E-3</v>
      </c>
      <c r="P1580">
        <v>-0.98143599999999998</v>
      </c>
      <c r="Q1580">
        <v>0.18477099999999999</v>
      </c>
      <c r="R1580">
        <v>5.1415040000000002E-2</v>
      </c>
      <c r="S1580">
        <v>-3.0570979999999999</v>
      </c>
      <c r="T1580">
        <v>-5.902839E-2</v>
      </c>
      <c r="U1580">
        <v>0.20819090000000001</v>
      </c>
      <c r="V1580">
        <v>4.6622619999999997E-2</v>
      </c>
      <c r="W1580">
        <v>0.19828860000000001</v>
      </c>
      <c r="X1580">
        <v>0.97903419999999997</v>
      </c>
      <c r="Y1580">
        <v>6.3297000000000006E-2</v>
      </c>
      <c r="Z1580">
        <v>1.0196249999999999E-3</v>
      </c>
      <c r="AA1580">
        <v>0.99799420000000005</v>
      </c>
      <c r="AB1580">
        <v>31</v>
      </c>
      <c r="AC1580">
        <v>-57.763300000000001</v>
      </c>
      <c r="AD1580">
        <v>-1.1216632557969901</v>
      </c>
      <c r="AE1580">
        <v>3.95500000000004</v>
      </c>
      <c r="AF1580">
        <v>3.6857621853782701</v>
      </c>
      <c r="AG1580">
        <v>-1.1216632557969901</v>
      </c>
      <c r="AH1580">
        <v>57.759338361332297</v>
      </c>
      <c r="AI1580">
        <v>91.110263644801904</v>
      </c>
      <c r="AJ1580">
        <v>86.3487692136313</v>
      </c>
      <c r="AK1580">
        <v>57.887685558203501</v>
      </c>
      <c r="AL1580">
        <v>78.563101179977593</v>
      </c>
      <c r="AM1580">
        <v>87.273575506383096</v>
      </c>
      <c r="AN1580">
        <v>1.00000000117763</v>
      </c>
    </row>
    <row r="1581" spans="1:40" x14ac:dyDescent="0.25">
      <c r="A1581" t="str">
        <f>"20190303162533552"</f>
        <v>20190303162533552</v>
      </c>
      <c r="B1581" t="str">
        <f>"1551601533544387"</f>
        <v>1551601533544387</v>
      </c>
      <c r="C1581" t="s">
        <v>40</v>
      </c>
      <c r="D1581">
        <v>4.1699609999999998</v>
      </c>
      <c r="E1581">
        <v>0.49279240000000002</v>
      </c>
      <c r="F1581" t="s">
        <v>48</v>
      </c>
      <c r="G1581">
        <v>-440.25510000000003</v>
      </c>
      <c r="H1581" s="1">
        <v>-1.5013299999999999E-6</v>
      </c>
      <c r="I1581">
        <v>286.91039999999998</v>
      </c>
      <c r="J1581">
        <v>-333.06380000000001</v>
      </c>
      <c r="K1581">
        <v>1.1216600000000001</v>
      </c>
      <c r="L1581">
        <v>284.40179999999998</v>
      </c>
      <c r="M1581">
        <v>-0.99989819999999996</v>
      </c>
      <c r="N1581">
        <v>-1.368665E-2</v>
      </c>
      <c r="O1581">
        <v>4.0497329999999998E-3</v>
      </c>
      <c r="P1581">
        <v>-0.98150570000000004</v>
      </c>
      <c r="Q1581">
        <v>0.18458150000000001</v>
      </c>
      <c r="R1581">
        <v>5.076112E-2</v>
      </c>
      <c r="S1581">
        <v>-3.059021</v>
      </c>
      <c r="T1581">
        <v>-3.1920909999999997E-2</v>
      </c>
      <c r="U1581">
        <v>7.1411130000000003E-2</v>
      </c>
      <c r="V1581">
        <v>4.6544759999999998E-2</v>
      </c>
      <c r="W1581">
        <v>0.19805719999999999</v>
      </c>
      <c r="X1581">
        <v>0.97908470000000003</v>
      </c>
      <c r="Y1581">
        <v>1.9286480000000002E-2</v>
      </c>
      <c r="Z1581">
        <v>2.45799E-4</v>
      </c>
      <c r="AA1581">
        <v>0.99981399999999998</v>
      </c>
      <c r="AB1581">
        <v>31</v>
      </c>
      <c r="AC1581">
        <v>-107.1913</v>
      </c>
      <c r="AD1581">
        <v>-1.12166150133</v>
      </c>
      <c r="AE1581">
        <v>2.5085999999999999</v>
      </c>
      <c r="AF1581">
        <v>2.0742156481334102</v>
      </c>
      <c r="AG1581">
        <v>-1.12166150133</v>
      </c>
      <c r="AH1581">
        <v>107.188850460512</v>
      </c>
      <c r="AI1581">
        <v>90.599428915987801</v>
      </c>
      <c r="AJ1581">
        <v>88.891405486033094</v>
      </c>
      <c r="AK1581">
        <v>107.214785165688</v>
      </c>
      <c r="AL1581">
        <v>78.576627210741506</v>
      </c>
      <c r="AM1581">
        <v>87.278261975522696</v>
      </c>
      <c r="AN1581">
        <v>0.999999959464693</v>
      </c>
    </row>
    <row r="1582" spans="1:40" x14ac:dyDescent="0.25">
      <c r="A1582" t="str">
        <f>"20190303162533573"</f>
        <v>20190303162533573</v>
      </c>
      <c r="B1582" t="str">
        <f>"1551601533564882"</f>
        <v>1551601533564882</v>
      </c>
      <c r="C1582" t="s">
        <v>40</v>
      </c>
      <c r="D1582">
        <v>4.1940549999999996</v>
      </c>
      <c r="E1582">
        <v>0.49320160000000002</v>
      </c>
      <c r="F1582" t="s">
        <v>51</v>
      </c>
      <c r="G1582">
        <v>-431.50200000000001</v>
      </c>
      <c r="H1582" s="1">
        <v>2.6801599999999902E-6</v>
      </c>
      <c r="I1582">
        <v>286.9375</v>
      </c>
      <c r="J1582">
        <v>-333.36099999999999</v>
      </c>
      <c r="K1582">
        <v>1.1216459999999999</v>
      </c>
      <c r="L1582">
        <v>284.4024</v>
      </c>
      <c r="M1582">
        <v>-0.99990109999999999</v>
      </c>
      <c r="N1582">
        <v>-1.3642990000000001E-2</v>
      </c>
      <c r="O1582">
        <v>3.466574E-3</v>
      </c>
      <c r="P1582">
        <v>-0.98161109999999896</v>
      </c>
      <c r="Q1582">
        <v>0.1843919</v>
      </c>
      <c r="R1582">
        <v>4.9390660000000003E-2</v>
      </c>
      <c r="S1582">
        <v>-3.059021</v>
      </c>
      <c r="T1582">
        <v>-3.4856079999999998E-2</v>
      </c>
      <c r="U1582">
        <v>7.8796389999999994E-2</v>
      </c>
      <c r="V1582">
        <v>4.5747110000000001E-2</v>
      </c>
      <c r="W1582">
        <v>0.1978249</v>
      </c>
      <c r="X1582">
        <v>0.97916930000000002</v>
      </c>
      <c r="Y1582">
        <v>2.2281080000000002E-2</v>
      </c>
      <c r="Z1582">
        <v>2.8674739999999998E-4</v>
      </c>
      <c r="AA1582">
        <v>0.99975170000000002</v>
      </c>
      <c r="AB1582">
        <v>31</v>
      </c>
      <c r="AC1582">
        <v>-98.140999999999906</v>
      </c>
      <c r="AD1582">
        <v>-1.12164331984</v>
      </c>
      <c r="AE1582">
        <v>2.5350999999999999</v>
      </c>
      <c r="AF1582">
        <v>2.19455365951467</v>
      </c>
      <c r="AG1582">
        <v>-1.12164331984</v>
      </c>
      <c r="AH1582">
        <v>98.136389134452102</v>
      </c>
      <c r="AI1582">
        <v>90.654666125587099</v>
      </c>
      <c r="AJ1582">
        <v>88.718949101832493</v>
      </c>
      <c r="AK1582">
        <v>98.167331744577993</v>
      </c>
      <c r="AL1582">
        <v>78.5902061959425</v>
      </c>
      <c r="AM1582">
        <v>87.325067578067902</v>
      </c>
      <c r="AN1582">
        <v>1.00000000359792</v>
      </c>
    </row>
    <row r="1583" spans="1:40" x14ac:dyDescent="0.25">
      <c r="A1583" t="str">
        <f>"20190303162533596"</f>
        <v>20190303162533596</v>
      </c>
      <c r="B1583" t="str">
        <f>"1551601533584403"</f>
        <v>1551601533584403</v>
      </c>
      <c r="C1583" t="s">
        <v>40</v>
      </c>
      <c r="D1583">
        <v>4.1700080000000002</v>
      </c>
      <c r="E1583">
        <v>0.49365819999999999</v>
      </c>
      <c r="F1583" t="s">
        <v>51</v>
      </c>
      <c r="G1583">
        <v>-432.58800000000002</v>
      </c>
      <c r="H1583" s="1">
        <v>3.162322E-6</v>
      </c>
      <c r="I1583">
        <v>286.93079999999998</v>
      </c>
      <c r="J1583">
        <v>-333.66910000000001</v>
      </c>
      <c r="K1583">
        <v>1.121645</v>
      </c>
      <c r="L1583">
        <v>284.40280000000001</v>
      </c>
      <c r="M1583">
        <v>-0.9999034</v>
      </c>
      <c r="N1583">
        <v>-1.359983E-2</v>
      </c>
      <c r="O1583">
        <v>2.862664E-3</v>
      </c>
      <c r="P1583">
        <v>-0.98174980000000001</v>
      </c>
      <c r="Q1583">
        <v>0.18391650000000001</v>
      </c>
      <c r="R1583">
        <v>4.8396139999999997E-2</v>
      </c>
      <c r="S1583">
        <v>-3.0588069999999998</v>
      </c>
      <c r="T1583">
        <v>-3.4576179999999998E-2</v>
      </c>
      <c r="U1583">
        <v>7.794189E-2</v>
      </c>
      <c r="V1583">
        <v>4.5346230000000001E-2</v>
      </c>
      <c r="W1583">
        <v>0.19730790000000001</v>
      </c>
      <c r="X1583">
        <v>0.9792923</v>
      </c>
      <c r="Y1583">
        <v>2.260759E-2</v>
      </c>
      <c r="Z1583">
        <v>2.8809920000000001E-4</v>
      </c>
      <c r="AA1583">
        <v>0.99974439999999998</v>
      </c>
      <c r="AB1583">
        <v>31</v>
      </c>
      <c r="AC1583">
        <v>-98.918899999999994</v>
      </c>
      <c r="AD1583">
        <v>-1.121641837678</v>
      </c>
      <c r="AE1583">
        <v>2.5279999999999601</v>
      </c>
      <c r="AF1583">
        <v>2.2445034751818902</v>
      </c>
      <c r="AG1583">
        <v>-1.121641837678</v>
      </c>
      <c r="AH1583">
        <v>98.913022850389297</v>
      </c>
      <c r="AI1583">
        <v>90.649520661552501</v>
      </c>
      <c r="AJ1583">
        <v>88.700085118710106</v>
      </c>
      <c r="AK1583">
        <v>98.944843047345103</v>
      </c>
      <c r="AL1583">
        <v>78.620424233187805</v>
      </c>
      <c r="AM1583">
        <v>87.348806856813297</v>
      </c>
      <c r="AN1583">
        <v>1.0000000484084499</v>
      </c>
    </row>
    <row r="1584" spans="1:40" x14ac:dyDescent="0.25">
      <c r="A1584" t="str">
        <f>"20190303162533632"</f>
        <v>20190303162533632</v>
      </c>
      <c r="B1584" t="str">
        <f>"1551601533625395"</f>
        <v>1551601533625395</v>
      </c>
      <c r="C1584" t="s">
        <v>40</v>
      </c>
      <c r="D1584">
        <v>4.0812799999999996</v>
      </c>
      <c r="E1584">
        <v>0.49437619999999999</v>
      </c>
      <c r="F1584" t="s">
        <v>51</v>
      </c>
      <c r="G1584">
        <v>-432.09890000000001</v>
      </c>
      <c r="H1584" s="1">
        <v>2.9455789999999999E-6</v>
      </c>
      <c r="I1584">
        <v>286.9289</v>
      </c>
      <c r="J1584">
        <v>-334.16609999999997</v>
      </c>
      <c r="K1584">
        <v>1.121645</v>
      </c>
      <c r="L1584">
        <v>284.40300000000002</v>
      </c>
      <c r="M1584">
        <v>-0.99990670000000004</v>
      </c>
      <c r="N1584">
        <v>-1.353828E-2</v>
      </c>
      <c r="O1584">
        <v>1.8887730000000001E-3</v>
      </c>
      <c r="P1584">
        <v>-0.98196850000000002</v>
      </c>
      <c r="Q1584">
        <v>0.18329190000000001</v>
      </c>
      <c r="R1584">
        <v>4.628355E-2</v>
      </c>
      <c r="S1584">
        <v>-3.0584410000000002</v>
      </c>
      <c r="T1584">
        <v>-3.4852029999999999E-2</v>
      </c>
      <c r="U1584">
        <v>7.8491210000000006E-2</v>
      </c>
      <c r="V1584">
        <v>4.419091E-2</v>
      </c>
      <c r="W1584">
        <v>0.19662399999999999</v>
      </c>
      <c r="X1584">
        <v>0.97948259999999998</v>
      </c>
      <c r="Y1584">
        <v>2.3763610000000001E-2</v>
      </c>
      <c r="Z1584">
        <v>3.0032429999999997E-4</v>
      </c>
      <c r="AA1584">
        <v>0.99971750000000004</v>
      </c>
      <c r="AB1584">
        <v>31</v>
      </c>
      <c r="AC1584">
        <v>-97.9328</v>
      </c>
      <c r="AD1584">
        <v>-1.121642054421</v>
      </c>
      <c r="AE1584">
        <v>2.5258999999999698</v>
      </c>
      <c r="AF1584">
        <v>2.34059891088121</v>
      </c>
      <c r="AG1584">
        <v>-1.121642054421</v>
      </c>
      <c r="AH1584">
        <v>97.924559821650007</v>
      </c>
      <c r="AI1584">
        <v>90.656058074624994</v>
      </c>
      <c r="AJ1584">
        <v>88.630773430057999</v>
      </c>
      <c r="AK1584">
        <v>97.958950078202506</v>
      </c>
      <c r="AL1584">
        <v>78.660391196544197</v>
      </c>
      <c r="AM1584">
        <v>87.416761874295503</v>
      </c>
      <c r="AN1584">
        <v>0.99999999880269397</v>
      </c>
    </row>
    <row r="1585" spans="1:40" x14ac:dyDescent="0.25">
      <c r="A1585" t="str">
        <f>"20190303162533654"</f>
        <v>20190303162533654</v>
      </c>
      <c r="B1585" t="str">
        <f>"1551601533644915"</f>
        <v>1551601533644915</v>
      </c>
      <c r="C1585" t="s">
        <v>40</v>
      </c>
      <c r="D1585">
        <v>4.1283329999999996</v>
      </c>
      <c r="E1585">
        <v>0.49490640000000002</v>
      </c>
      <c r="F1585" t="s">
        <v>51</v>
      </c>
      <c r="G1585">
        <v>-439.6157</v>
      </c>
      <c r="H1585" s="1">
        <v>6.2677220000000003E-6</v>
      </c>
      <c r="I1585">
        <v>287.0575</v>
      </c>
      <c r="J1585">
        <v>-334.471</v>
      </c>
      <c r="K1585">
        <v>1.1216489999999999</v>
      </c>
      <c r="L1585">
        <v>284.40300000000002</v>
      </c>
      <c r="M1585">
        <v>-0.99990800000000002</v>
      </c>
      <c r="N1585">
        <v>-1.3505100000000001E-2</v>
      </c>
      <c r="O1585">
        <v>1.2912310000000001E-3</v>
      </c>
      <c r="P1585">
        <v>-0.98211839999999995</v>
      </c>
      <c r="Q1585">
        <v>0.18304529999999999</v>
      </c>
      <c r="R1585">
        <v>4.4018679999999998E-2</v>
      </c>
      <c r="S1585">
        <v>-3.0575260000000002</v>
      </c>
      <c r="T1585">
        <v>-3.2522080000000002E-2</v>
      </c>
      <c r="U1585">
        <v>7.6965329999999998E-2</v>
      </c>
      <c r="V1585">
        <v>4.2513479999999999E-2</v>
      </c>
      <c r="W1585">
        <v>0.1963444</v>
      </c>
      <c r="X1585">
        <v>0.97961290000000001</v>
      </c>
      <c r="Y1585">
        <v>2.3870430000000002E-2</v>
      </c>
      <c r="Z1585">
        <v>2.9186210000000003E-4</v>
      </c>
      <c r="AA1585">
        <v>0.99971500000000002</v>
      </c>
      <c r="AB1585">
        <v>31</v>
      </c>
      <c r="AC1585">
        <v>-105.1447</v>
      </c>
      <c r="AD1585">
        <v>-1.1216427322779901</v>
      </c>
      <c r="AE1585">
        <v>2.6544999999999801</v>
      </c>
      <c r="AF1585">
        <v>2.5184329022815</v>
      </c>
      <c r="AG1585">
        <v>-1.1216427322779901</v>
      </c>
      <c r="AH1585">
        <v>105.13608356973199</v>
      </c>
      <c r="AI1585">
        <v>90.611060702845407</v>
      </c>
      <c r="AJ1585">
        <v>88.627797591779299</v>
      </c>
      <c r="AK1585">
        <v>105.17222378120501</v>
      </c>
      <c r="AL1585">
        <v>78.676729326345495</v>
      </c>
      <c r="AM1585">
        <v>87.515023052690296</v>
      </c>
      <c r="AN1585">
        <v>0.99999997661973905</v>
      </c>
    </row>
    <row r="1586" spans="1:40" x14ac:dyDescent="0.25">
      <c r="A1586" t="str">
        <f>"20190303162533674"</f>
        <v>20190303162533674</v>
      </c>
      <c r="B1586" t="str">
        <f>"1551601533664435"</f>
        <v>1551601533664435</v>
      </c>
      <c r="C1586" t="s">
        <v>40</v>
      </c>
      <c r="D1586">
        <v>4.097906</v>
      </c>
      <c r="E1586">
        <v>0.49530669999999999</v>
      </c>
      <c r="F1586" t="s">
        <v>48</v>
      </c>
      <c r="G1586">
        <v>-441.12740000000002</v>
      </c>
      <c r="H1586" s="1">
        <v>-1.040752E-6</v>
      </c>
      <c r="I1586">
        <v>286.9932</v>
      </c>
      <c r="J1586">
        <v>-334.75240000000002</v>
      </c>
      <c r="K1586">
        <v>1.1216539999999999</v>
      </c>
      <c r="L1586">
        <v>284.40269999999998</v>
      </c>
      <c r="M1586">
        <v>-0.99990900000000005</v>
      </c>
      <c r="N1586">
        <v>-1.347755E-2</v>
      </c>
      <c r="O1586">
        <v>7.3900379999999996E-4</v>
      </c>
      <c r="P1586">
        <v>-0.98223289999999996</v>
      </c>
      <c r="Q1586">
        <v>0.18315670000000001</v>
      </c>
      <c r="R1586">
        <v>4.0896179999999997E-2</v>
      </c>
      <c r="S1586">
        <v>-3.057312</v>
      </c>
      <c r="T1586">
        <v>-3.2152180000000002E-2</v>
      </c>
      <c r="U1586">
        <v>7.4249270000000006E-2</v>
      </c>
      <c r="V1586">
        <v>3.9934030000000002E-2</v>
      </c>
      <c r="W1586">
        <v>0.19642709999999999</v>
      </c>
      <c r="X1586">
        <v>0.97970489999999999</v>
      </c>
      <c r="Y1586">
        <v>2.353682E-2</v>
      </c>
      <c r="Z1586">
        <v>2.8457930000000002E-4</v>
      </c>
      <c r="AA1586">
        <v>0.99972300000000003</v>
      </c>
      <c r="AB1586">
        <v>31</v>
      </c>
      <c r="AC1586">
        <v>-106.375</v>
      </c>
      <c r="AD1586">
        <v>-1.1216550407520001</v>
      </c>
      <c r="AE1586">
        <v>2.59050000000002</v>
      </c>
      <c r="AF1586">
        <v>2.51160154786028</v>
      </c>
      <c r="AG1586">
        <v>-1.1216550407520001</v>
      </c>
      <c r="AH1586">
        <v>106.365066502989</v>
      </c>
      <c r="AI1586">
        <v>90.604012321402493</v>
      </c>
      <c r="AJ1586">
        <v>88.647324385847298</v>
      </c>
      <c r="AK1586">
        <v>106.400627933067</v>
      </c>
      <c r="AL1586">
        <v>78.671897264232399</v>
      </c>
      <c r="AM1586">
        <v>87.665842587831705</v>
      </c>
      <c r="AN1586">
        <v>1.0000000117252299</v>
      </c>
    </row>
    <row r="1587" spans="1:40" x14ac:dyDescent="0.25">
      <c r="A1587" t="str">
        <f>"20190303162533698"</f>
        <v>20190303162533698</v>
      </c>
      <c r="B1587" t="str">
        <f>"1551601533684931"</f>
        <v>1551601533684931</v>
      </c>
      <c r="C1587" t="s">
        <v>40</v>
      </c>
      <c r="D1587">
        <v>4.0931730000000002</v>
      </c>
      <c r="E1587">
        <v>0.49554880000000001</v>
      </c>
      <c r="F1587" t="s">
        <v>48</v>
      </c>
      <c r="G1587">
        <v>-451.0369</v>
      </c>
      <c r="H1587" s="1">
        <v>-1.08889E-6</v>
      </c>
      <c r="I1587">
        <v>286.99270000000001</v>
      </c>
      <c r="J1587">
        <v>-335.0652</v>
      </c>
      <c r="K1587">
        <v>1.1216649999999999</v>
      </c>
      <c r="L1587">
        <v>284.40230000000003</v>
      </c>
      <c r="M1587">
        <v>-0.99990959999999995</v>
      </c>
      <c r="N1587">
        <v>-1.345004E-2</v>
      </c>
      <c r="O1587">
        <v>1.2538490000000001E-4</v>
      </c>
      <c r="P1587">
        <v>-0.98226740000000001</v>
      </c>
      <c r="Q1587">
        <v>0.18363090000000001</v>
      </c>
      <c r="R1587">
        <v>3.7826369999999998E-2</v>
      </c>
      <c r="S1587">
        <v>-3.0568849999999999</v>
      </c>
      <c r="T1587">
        <v>-2.9486060000000001E-2</v>
      </c>
      <c r="U1587">
        <v>6.8084720000000001E-2</v>
      </c>
      <c r="V1587">
        <v>3.7466909999999999E-2</v>
      </c>
      <c r="W1587">
        <v>0.19687080000000001</v>
      </c>
      <c r="X1587">
        <v>0.97971330000000001</v>
      </c>
      <c r="Y1587">
        <v>2.2139229999999999E-2</v>
      </c>
      <c r="Z1587">
        <v>2.5615680000000001E-4</v>
      </c>
      <c r="AA1587">
        <v>0.99975480000000005</v>
      </c>
      <c r="AB1587">
        <v>31</v>
      </c>
      <c r="AC1587">
        <v>-115.9717</v>
      </c>
      <c r="AD1587">
        <v>-1.1216660888900001</v>
      </c>
      <c r="AE1587">
        <v>2.5903999999999798</v>
      </c>
      <c r="AF1587">
        <v>2.5756167477692999</v>
      </c>
      <c r="AG1587">
        <v>-1.1216660888900001</v>
      </c>
      <c r="AH1587">
        <v>115.96118167148499</v>
      </c>
      <c r="AI1587">
        <v>90.554055096595704</v>
      </c>
      <c r="AJ1587">
        <v>88.727611195963107</v>
      </c>
      <c r="AK1587">
        <v>115.99520503492199</v>
      </c>
      <c r="AL1587">
        <v>78.645968893614906</v>
      </c>
      <c r="AM1587">
        <v>87.809920297047697</v>
      </c>
      <c r="AN1587">
        <v>1.00000001571723</v>
      </c>
    </row>
    <row r="1588" spans="1:40" x14ac:dyDescent="0.25">
      <c r="A1588" t="str">
        <f>"20190303162533721"</f>
        <v>20190303162533721</v>
      </c>
      <c r="B1588" t="str">
        <f>"1551601533714211"</f>
        <v>1551601533714211</v>
      </c>
      <c r="C1588" t="s">
        <v>40</v>
      </c>
      <c r="D1588">
        <v>4.1096949999999897</v>
      </c>
      <c r="E1588">
        <v>0.49599690000000002</v>
      </c>
      <c r="F1588" t="s">
        <v>46</v>
      </c>
      <c r="G1588">
        <v>-470.00599999999997</v>
      </c>
      <c r="H1588" s="1">
        <v>6.8301930000000003E-6</v>
      </c>
      <c r="I1588">
        <v>287.11849999999998</v>
      </c>
      <c r="J1588">
        <v>-335.38959999999997</v>
      </c>
      <c r="K1588">
        <v>1.12168</v>
      </c>
      <c r="L1588">
        <v>284.40159999999997</v>
      </c>
      <c r="M1588">
        <v>-0.99990979999999996</v>
      </c>
      <c r="N1588">
        <v>-1.342493E-2</v>
      </c>
      <c r="O1588">
        <v>-5.106062E-4</v>
      </c>
      <c r="P1588">
        <v>-0.98206289999999996</v>
      </c>
      <c r="Q1588">
        <v>0.18511649999999999</v>
      </c>
      <c r="R1588">
        <v>3.5838790000000002E-2</v>
      </c>
      <c r="S1588">
        <v>-3.0565190000000002</v>
      </c>
      <c r="T1588">
        <v>-2.5406479999999999E-2</v>
      </c>
      <c r="U1588">
        <v>6.1523439999999999E-2</v>
      </c>
      <c r="V1588">
        <v>3.610269E-2</v>
      </c>
      <c r="W1588">
        <v>0.19832730000000001</v>
      </c>
      <c r="X1588">
        <v>0.97947070000000003</v>
      </c>
      <c r="Y1588">
        <v>2.0633200000000001E-2</v>
      </c>
      <c r="Z1588">
        <v>2.2165919999999999E-4</v>
      </c>
      <c r="AA1588">
        <v>0.99978710000000004</v>
      </c>
      <c r="AB1588">
        <v>31</v>
      </c>
      <c r="AC1588">
        <v>-134.6164</v>
      </c>
      <c r="AD1588">
        <v>-1.1216731698069999</v>
      </c>
      <c r="AE1588">
        <v>2.7168999999999999</v>
      </c>
      <c r="AF1588">
        <v>2.7854484955099799</v>
      </c>
      <c r="AG1588">
        <v>-1.1216731698069999</v>
      </c>
      <c r="AH1588">
        <v>134.60565341683099</v>
      </c>
      <c r="AI1588">
        <v>90.477334307557101</v>
      </c>
      <c r="AJ1588">
        <v>88.814524766933403</v>
      </c>
      <c r="AK1588">
        <v>134.639142918369</v>
      </c>
      <c r="AL1588">
        <v>78.560838741398996</v>
      </c>
      <c r="AM1588">
        <v>87.889068299930997</v>
      </c>
      <c r="AN1588">
        <v>0.999999987154508</v>
      </c>
    </row>
    <row r="1589" spans="1:40" x14ac:dyDescent="0.25">
      <c r="A1589" t="str">
        <f>"20190303162533742"</f>
        <v>20190303162533742</v>
      </c>
      <c r="B1589" t="str">
        <f>"1551601533734707"</f>
        <v>1551601533734707</v>
      </c>
      <c r="C1589" t="s">
        <v>40</v>
      </c>
      <c r="D1589">
        <v>4.1371979999999997</v>
      </c>
      <c r="E1589">
        <v>0.4961604</v>
      </c>
      <c r="F1589" t="s">
        <v>46</v>
      </c>
      <c r="G1589">
        <v>-499.98500000000001</v>
      </c>
      <c r="H1589">
        <v>7.7221209999999998E-2</v>
      </c>
      <c r="I1589">
        <v>287.62619999999998</v>
      </c>
      <c r="J1589">
        <v>-335.69619999999998</v>
      </c>
      <c r="K1589">
        <v>1.121685</v>
      </c>
      <c r="L1589">
        <v>284.4008</v>
      </c>
      <c r="M1589">
        <v>-0.99990959999999995</v>
      </c>
      <c r="N1589">
        <v>-1.3404030000000001E-2</v>
      </c>
      <c r="O1589">
        <v>-1.112062E-3</v>
      </c>
      <c r="P1589">
        <v>-0.981769</v>
      </c>
      <c r="Q1589">
        <v>0.1869352</v>
      </c>
      <c r="R1589">
        <v>3.4418219999999999E-2</v>
      </c>
      <c r="S1589">
        <v>-3.0562740000000002</v>
      </c>
      <c r="T1589">
        <v>-1.9393919999999999E-2</v>
      </c>
      <c r="U1589">
        <v>5.9875490000000003E-2</v>
      </c>
      <c r="V1589">
        <v>3.5270599999999999E-2</v>
      </c>
      <c r="W1589">
        <v>0.20011979999999999</v>
      </c>
      <c r="X1589">
        <v>0.97913640000000002</v>
      </c>
      <c r="Y1589">
        <v>2.0697859999999998E-2</v>
      </c>
      <c r="Z1589">
        <v>1.96555E-4</v>
      </c>
      <c r="AA1589">
        <v>0.99978579999999995</v>
      </c>
      <c r="AB1589">
        <v>31</v>
      </c>
      <c r="AC1589">
        <v>-164.28880000000001</v>
      </c>
      <c r="AD1589">
        <v>-1.04446379</v>
      </c>
      <c r="AE1589">
        <v>3.2253999999999698</v>
      </c>
      <c r="AF1589">
        <v>3.4079760520111702</v>
      </c>
      <c r="AG1589">
        <v>-1.04446379</v>
      </c>
      <c r="AH1589">
        <v>164.27847403974999</v>
      </c>
      <c r="AI1589">
        <v>90.364196761813005</v>
      </c>
      <c r="AJ1589">
        <v>88.811562855290305</v>
      </c>
      <c r="AK1589">
        <v>164.31713921015199</v>
      </c>
      <c r="AL1589">
        <v>78.456035534417097</v>
      </c>
      <c r="AM1589">
        <v>87.936974750332496</v>
      </c>
      <c r="AN1589">
        <v>1.00000001969067</v>
      </c>
    </row>
    <row r="1590" spans="1:40" x14ac:dyDescent="0.25">
      <c r="A1590" t="str">
        <f>"20190303162533763"</f>
        <v>20190303162533763</v>
      </c>
      <c r="B1590" t="str">
        <f>"1551601533754227"</f>
        <v>1551601533754227</v>
      </c>
      <c r="C1590" t="s">
        <v>40</v>
      </c>
      <c r="D1590">
        <v>4.0884049999999998</v>
      </c>
      <c r="E1590">
        <v>0.49638120000000002</v>
      </c>
      <c r="F1590" t="s">
        <v>52</v>
      </c>
      <c r="G1590">
        <v>-633.76750000000004</v>
      </c>
      <c r="H1590">
        <v>-0.1</v>
      </c>
      <c r="I1590">
        <v>289.97570000000002</v>
      </c>
      <c r="J1590">
        <v>-335.98880000000003</v>
      </c>
      <c r="K1590">
        <v>1.1216900000000001</v>
      </c>
      <c r="L1590">
        <v>284.39980000000003</v>
      </c>
      <c r="M1590">
        <v>-0.9999091</v>
      </c>
      <c r="N1590">
        <v>-1.338635E-2</v>
      </c>
      <c r="O1590">
        <v>-1.6863620000000001E-3</v>
      </c>
      <c r="P1590">
        <v>-0.98156969999999999</v>
      </c>
      <c r="Q1590">
        <v>0.18813250000000001</v>
      </c>
      <c r="R1590">
        <v>3.3581420000000001E-2</v>
      </c>
      <c r="S1590">
        <v>-3.0560909999999999</v>
      </c>
      <c r="T1590">
        <v>-1.25258E-2</v>
      </c>
      <c r="U1590">
        <v>5.7159420000000002E-2</v>
      </c>
      <c r="V1590">
        <v>3.4996480000000003E-2</v>
      </c>
      <c r="W1590">
        <v>0.20129610000000001</v>
      </c>
      <c r="X1590">
        <v>0.97890509999999997</v>
      </c>
      <c r="Y1590">
        <v>2.038556E-2</v>
      </c>
      <c r="Z1590">
        <v>1.6257500000000001E-4</v>
      </c>
      <c r="AA1590">
        <v>0.99979220000000002</v>
      </c>
      <c r="AB1590">
        <v>31</v>
      </c>
      <c r="AC1590">
        <v>-297.77870000000001</v>
      </c>
      <c r="AD1590">
        <v>-1.2216899999999999</v>
      </c>
      <c r="AE1590">
        <v>5.5758999999999901</v>
      </c>
      <c r="AF1590">
        <v>6.0779974219884103</v>
      </c>
      <c r="AG1590">
        <v>-1.2216899999999999</v>
      </c>
      <c r="AH1590">
        <v>297.763862488825</v>
      </c>
      <c r="AI1590">
        <v>90.235027547883803</v>
      </c>
      <c r="AJ1590">
        <v>88.830632960338406</v>
      </c>
      <c r="AK1590">
        <v>297.82839418595</v>
      </c>
      <c r="AL1590">
        <v>78.387238734795602</v>
      </c>
      <c r="AM1590">
        <v>87.952511443658693</v>
      </c>
      <c r="AN1590">
        <v>1.0000000341468001</v>
      </c>
    </row>
    <row r="1591" spans="1:40" x14ac:dyDescent="0.25">
      <c r="A1591" t="str">
        <f>"20190303162533785"</f>
        <v>20190303162533785</v>
      </c>
      <c r="B1591" t="str">
        <f>"1551601533774724"</f>
        <v>1551601533774724</v>
      </c>
      <c r="C1591" t="s">
        <v>40</v>
      </c>
      <c r="D1591">
        <v>4.08047</v>
      </c>
      <c r="E1591">
        <v>0.49663249999999998</v>
      </c>
      <c r="F1591" t="s">
        <v>52</v>
      </c>
      <c r="G1591">
        <v>-778.25630000000001</v>
      </c>
      <c r="H1591">
        <v>-0.1</v>
      </c>
      <c r="I1591">
        <v>292.5394</v>
      </c>
      <c r="J1591">
        <v>-336.28269999999998</v>
      </c>
      <c r="K1591">
        <v>1.121691</v>
      </c>
      <c r="L1591">
        <v>284.39859999999999</v>
      </c>
      <c r="M1591">
        <v>-0.99990809999999997</v>
      </c>
      <c r="N1591">
        <v>-1.3370409999999999E-2</v>
      </c>
      <c r="O1591">
        <v>-2.2624670000000002E-3</v>
      </c>
      <c r="P1591">
        <v>-0.98163239999999996</v>
      </c>
      <c r="Q1591">
        <v>0.18791250000000001</v>
      </c>
      <c r="R1591">
        <v>3.2967000000000003E-2</v>
      </c>
      <c r="S1591">
        <v>-3.056</v>
      </c>
      <c r="T1591">
        <v>-8.4416869999999998E-3</v>
      </c>
      <c r="U1591">
        <v>5.6243899999999999E-2</v>
      </c>
      <c r="V1591">
        <v>3.4948229999999997E-2</v>
      </c>
      <c r="W1591">
        <v>0.20106160000000001</v>
      </c>
      <c r="X1591">
        <v>0.97895500000000002</v>
      </c>
      <c r="Y1591">
        <v>2.0662949999999999E-2</v>
      </c>
      <c r="Z1591">
        <v>1.426922E-4</v>
      </c>
      <c r="AA1591">
        <v>0.99978650000000002</v>
      </c>
      <c r="AB1591">
        <v>31</v>
      </c>
      <c r="AC1591">
        <v>-441.97359999999998</v>
      </c>
      <c r="AD1591">
        <v>-1.2216910000000001</v>
      </c>
      <c r="AE1591">
        <v>8.1408000000000094</v>
      </c>
      <c r="AF1591">
        <v>9.1407493721533601</v>
      </c>
      <c r="AG1591">
        <v>-1.2216910000000001</v>
      </c>
      <c r="AH1591">
        <v>441.95067303819798</v>
      </c>
      <c r="AI1591">
        <v>90.158349330363805</v>
      </c>
      <c r="AJ1591">
        <v>88.815135415328797</v>
      </c>
      <c r="AK1591">
        <v>442.04687899237598</v>
      </c>
      <c r="AL1591">
        <v>78.400954851510406</v>
      </c>
      <c r="AM1591">
        <v>87.955436072938397</v>
      </c>
      <c r="AN1591">
        <v>1.0000000188998399</v>
      </c>
    </row>
    <row r="1592" spans="1:40" x14ac:dyDescent="0.25">
      <c r="A1592" t="str">
        <f>"20190303162533810"</f>
        <v>20190303162533810</v>
      </c>
      <c r="B1592" t="str">
        <f>"1551601533804982"</f>
        <v>1551601533804982</v>
      </c>
      <c r="C1592" t="s">
        <v>40</v>
      </c>
      <c r="D1592">
        <v>4.0831609999999996</v>
      </c>
      <c r="E1592">
        <v>0.49720979999999998</v>
      </c>
      <c r="F1592" t="s">
        <v>52</v>
      </c>
      <c r="G1592">
        <v>-783.9973</v>
      </c>
      <c r="H1592">
        <v>-0.1</v>
      </c>
      <c r="I1592">
        <v>292.68810000000002</v>
      </c>
      <c r="J1592">
        <v>-336.62869999999998</v>
      </c>
      <c r="K1592">
        <v>1.1216839999999999</v>
      </c>
      <c r="L1592">
        <v>284.39710000000002</v>
      </c>
      <c r="M1592">
        <v>-0.99990670000000004</v>
      </c>
      <c r="N1592">
        <v>-1.3353820000000001E-2</v>
      </c>
      <c r="O1592">
        <v>-2.9412029999999999E-3</v>
      </c>
      <c r="P1592">
        <v>-0.98172479999999995</v>
      </c>
      <c r="Q1592">
        <v>0.18749099999999999</v>
      </c>
      <c r="R1592">
        <v>3.2615539999999998E-2</v>
      </c>
      <c r="S1592">
        <v>-3.055847</v>
      </c>
      <c r="T1592">
        <v>-8.3385709999999995E-3</v>
      </c>
      <c r="U1592">
        <v>5.6579589999999999E-2</v>
      </c>
      <c r="V1592">
        <v>3.5264259999999999E-2</v>
      </c>
      <c r="W1592">
        <v>0.20062530000000001</v>
      </c>
      <c r="X1592">
        <v>0.97903320000000005</v>
      </c>
      <c r="Y1592">
        <v>2.1452260000000001E-2</v>
      </c>
      <c r="Z1592">
        <v>1.412715E-4</v>
      </c>
      <c r="AA1592">
        <v>0.99976989999999999</v>
      </c>
      <c r="AB1592">
        <v>31</v>
      </c>
      <c r="AC1592">
        <v>-447.36860000000001</v>
      </c>
      <c r="AD1592">
        <v>-1.221684</v>
      </c>
      <c r="AE1592">
        <v>8.2909999999999897</v>
      </c>
      <c r="AF1592">
        <v>9.6068114663895994</v>
      </c>
      <c r="AG1592">
        <v>-1.221684</v>
      </c>
      <c r="AH1592">
        <v>447.33894211235003</v>
      </c>
      <c r="AI1592">
        <v>90.156438487598294</v>
      </c>
      <c r="AJ1592">
        <v>88.769735642007504</v>
      </c>
      <c r="AK1592">
        <v>447.44375341325599</v>
      </c>
      <c r="AL1592">
        <v>78.426473254916601</v>
      </c>
      <c r="AM1592">
        <v>87.937128028354294</v>
      </c>
      <c r="AN1592">
        <v>1.00000004286783</v>
      </c>
    </row>
    <row r="1593" spans="1:40" x14ac:dyDescent="0.25">
      <c r="A1593" t="str">
        <f>"20190303162533832"</f>
        <v>20190303162533832</v>
      </c>
      <c r="B1593" t="str">
        <f>"1551601533824500"</f>
        <v>1551601533824500</v>
      </c>
      <c r="C1593" t="s">
        <v>40</v>
      </c>
      <c r="D1593">
        <v>4.0736030000000003</v>
      </c>
      <c r="E1593">
        <v>0.49755159999999998</v>
      </c>
      <c r="F1593" t="s">
        <v>52</v>
      </c>
      <c r="G1593">
        <v>-825.94259999999997</v>
      </c>
      <c r="H1593">
        <v>-0.1</v>
      </c>
      <c r="I1593">
        <v>294.08390000000003</v>
      </c>
      <c r="J1593">
        <v>-336.93669999999997</v>
      </c>
      <c r="K1593">
        <v>1.12168</v>
      </c>
      <c r="L1593">
        <v>284.39550000000003</v>
      </c>
      <c r="M1593">
        <v>-0.99990469999999998</v>
      </c>
      <c r="N1593">
        <v>-1.3340909999999999E-2</v>
      </c>
      <c r="O1593">
        <v>-3.544869E-3</v>
      </c>
      <c r="P1593">
        <v>-0.98172150000000002</v>
      </c>
      <c r="Q1593">
        <v>0.18758900000000001</v>
      </c>
      <c r="R1593">
        <v>3.2145630000000001E-2</v>
      </c>
      <c r="S1593">
        <v>-3.0553279999999998</v>
      </c>
      <c r="T1593">
        <v>-7.6283219999999999E-3</v>
      </c>
      <c r="U1593">
        <v>6.0485839999999999E-2</v>
      </c>
      <c r="V1593">
        <v>3.5387000000000002E-2</v>
      </c>
      <c r="W1593">
        <v>0.20071030000000001</v>
      </c>
      <c r="X1593">
        <v>0.97901130000000003</v>
      </c>
      <c r="Y1593">
        <v>2.3336659999999999E-2</v>
      </c>
      <c r="Z1593">
        <v>1.463801E-4</v>
      </c>
      <c r="AA1593">
        <v>0.9997277</v>
      </c>
      <c r="AB1593">
        <v>31</v>
      </c>
      <c r="AC1593">
        <v>-489.0059</v>
      </c>
      <c r="AD1593">
        <v>-1.2216799999999901</v>
      </c>
      <c r="AE1593">
        <v>9.6883999999999997</v>
      </c>
      <c r="AF1593">
        <v>11.4218840308891</v>
      </c>
      <c r="AG1593">
        <v>-1.2216799999999901</v>
      </c>
      <c r="AH1593">
        <v>488.96542916493098</v>
      </c>
      <c r="AI1593">
        <v>90.143114152532902</v>
      </c>
      <c r="AJ1593">
        <v>88.6618547683087</v>
      </c>
      <c r="AK1593">
        <v>489.10034027312003</v>
      </c>
      <c r="AL1593">
        <v>78.421501432251901</v>
      </c>
      <c r="AM1593">
        <v>87.929908012015503</v>
      </c>
      <c r="AN1593">
        <v>0.99999999491139002</v>
      </c>
    </row>
    <row r="1594" spans="1:40" x14ac:dyDescent="0.25">
      <c r="A1594" t="str">
        <f>"20190303162533854"</f>
        <v>20190303162533854</v>
      </c>
      <c r="B1594" t="str">
        <f>"1551601533844019"</f>
        <v>1551601533844019</v>
      </c>
      <c r="C1594" t="s">
        <v>40</v>
      </c>
      <c r="D1594">
        <v>4.0641679999999996</v>
      </c>
      <c r="E1594">
        <v>0.50333909999999904</v>
      </c>
      <c r="F1594" t="s">
        <v>52</v>
      </c>
      <c r="G1594">
        <v>-888.6875</v>
      </c>
      <c r="H1594">
        <v>-0.1</v>
      </c>
      <c r="I1594">
        <v>295.58940000000001</v>
      </c>
      <c r="J1594">
        <v>-337.23039999999997</v>
      </c>
      <c r="K1594">
        <v>1.121683</v>
      </c>
      <c r="L1594">
        <v>284.39389999999997</v>
      </c>
      <c r="M1594">
        <v>-0.99990270000000003</v>
      </c>
      <c r="N1594">
        <v>-1.332993E-2</v>
      </c>
      <c r="O1594">
        <v>-4.1208920000000001E-3</v>
      </c>
      <c r="P1594">
        <v>-0.98166100000000001</v>
      </c>
      <c r="Q1594">
        <v>0.18795210000000001</v>
      </c>
      <c r="R1594">
        <v>3.1874130000000001E-2</v>
      </c>
      <c r="S1594">
        <v>-3.0550839999999999</v>
      </c>
      <c r="T1594">
        <v>-6.7645309999999998E-3</v>
      </c>
      <c r="U1594">
        <v>6.19812E-2</v>
      </c>
      <c r="V1594">
        <v>3.5680740000000002E-2</v>
      </c>
      <c r="W1594">
        <v>0.20106160000000001</v>
      </c>
      <c r="X1594">
        <v>0.97892860000000004</v>
      </c>
      <c r="Y1594">
        <v>2.4403279999999999E-2</v>
      </c>
      <c r="Z1594">
        <v>1.4388190000000001E-4</v>
      </c>
      <c r="AA1594">
        <v>0.99970219999999999</v>
      </c>
      <c r="AB1594">
        <v>31</v>
      </c>
      <c r="AC1594">
        <v>-551.45709999999997</v>
      </c>
      <c r="AD1594">
        <v>-1.2216830000000001</v>
      </c>
      <c r="AE1594">
        <v>11.195499999999999</v>
      </c>
      <c r="AF1594">
        <v>13.4680358370611</v>
      </c>
      <c r="AG1594">
        <v>-1.2216830000000001</v>
      </c>
      <c r="AH1594">
        <v>551.403572145314</v>
      </c>
      <c r="AI1594">
        <v>90.126905770513005</v>
      </c>
      <c r="AJ1594">
        <v>88.600828408080304</v>
      </c>
      <c r="AK1594">
        <v>551.56937902069296</v>
      </c>
      <c r="AL1594">
        <v>78.400955135516398</v>
      </c>
      <c r="AM1594">
        <v>87.9125635767695</v>
      </c>
      <c r="AN1594">
        <v>1.00000004304973</v>
      </c>
    </row>
    <row r="1595" spans="1:40" x14ac:dyDescent="0.25">
      <c r="A1595" t="str">
        <f>"20190303162533876"</f>
        <v>20190303162533876</v>
      </c>
      <c r="B1595" t="str">
        <f>"1551601533864515"</f>
        <v>1551601533864515</v>
      </c>
      <c r="C1595" t="s">
        <v>40</v>
      </c>
      <c r="D1595">
        <v>4.076492</v>
      </c>
      <c r="E1595">
        <v>0.50360720000000003</v>
      </c>
      <c r="F1595" t="s">
        <v>53</v>
      </c>
      <c r="G1595">
        <v>0</v>
      </c>
      <c r="H1595">
        <v>0</v>
      </c>
      <c r="I1595">
        <v>0</v>
      </c>
      <c r="J1595">
        <v>-337.53680000000003</v>
      </c>
      <c r="K1595">
        <v>1.121688</v>
      </c>
      <c r="L1595">
        <v>284.39190000000002</v>
      </c>
      <c r="M1595">
        <v>-0.99990029999999996</v>
      </c>
      <c r="N1595">
        <v>-1.331967E-2</v>
      </c>
      <c r="O1595">
        <v>-4.7223090000000001E-3</v>
      </c>
      <c r="P1595">
        <v>-0.98160610000000004</v>
      </c>
      <c r="Q1595">
        <v>0.18831300000000001</v>
      </c>
      <c r="R1595">
        <v>3.143758E-2</v>
      </c>
      <c r="S1595">
        <v>-3.0528559999999998</v>
      </c>
      <c r="T1595">
        <v>-1.4849900000000001E-3</v>
      </c>
      <c r="U1595">
        <v>0.1072998</v>
      </c>
      <c r="V1595">
        <v>3.583422E-2</v>
      </c>
      <c r="W1595">
        <v>0.20141149999999999</v>
      </c>
      <c r="X1595">
        <v>0.97885100000000003</v>
      </c>
      <c r="Y1595">
        <v>3.9844560000000001E-2</v>
      </c>
      <c r="Z1595">
        <v>2.145545E-4</v>
      </c>
      <c r="AA1595">
        <v>0.99920589999999998</v>
      </c>
      <c r="AB1595">
        <v>31</v>
      </c>
      <c r="AC1595">
        <v>-3.0528559999999998</v>
      </c>
      <c r="AD1595">
        <v>-1.4849900000000001E-3</v>
      </c>
      <c r="AE1595">
        <v>0.1072998</v>
      </c>
      <c r="AF1595">
        <v>0.12171638065856601</v>
      </c>
      <c r="AG1595">
        <v>-1.4849900000000001E-3</v>
      </c>
      <c r="AH1595">
        <v>3.0523144851253998</v>
      </c>
      <c r="AI1595">
        <v>90.027852990180904</v>
      </c>
      <c r="AJ1595">
        <v>87.7164404346575</v>
      </c>
      <c r="AK1595">
        <v>3.0547407089018699</v>
      </c>
      <c r="AL1595">
        <v>78.380487933456294</v>
      </c>
      <c r="AM1595">
        <v>87.903426456997593</v>
      </c>
      <c r="AN1595">
        <v>0.999999981928129</v>
      </c>
    </row>
    <row r="1596" spans="1:40" x14ac:dyDescent="0.25">
      <c r="A1596" t="str">
        <f>"20190303162533898"</f>
        <v>20190303162533898</v>
      </c>
      <c r="B1596" t="str">
        <f>"1551601533894772"</f>
        <v>1551601533894772</v>
      </c>
      <c r="C1596" t="s">
        <v>40</v>
      </c>
      <c r="D1596">
        <v>4.0666359999999999</v>
      </c>
      <c r="E1596">
        <v>0.50282929999999904</v>
      </c>
      <c r="F1596" t="s">
        <v>53</v>
      </c>
      <c r="G1596">
        <v>0</v>
      </c>
      <c r="H1596">
        <v>0</v>
      </c>
      <c r="I1596">
        <v>0</v>
      </c>
      <c r="J1596">
        <v>-337.84519999999998</v>
      </c>
      <c r="K1596">
        <v>1.121683</v>
      </c>
      <c r="L1596">
        <v>284.38979999999998</v>
      </c>
      <c r="M1596">
        <v>-0.99989729999999999</v>
      </c>
      <c r="N1596">
        <v>-1.331543E-2</v>
      </c>
      <c r="O1596">
        <v>-5.3268650000000001E-3</v>
      </c>
      <c r="P1596">
        <v>-0.98150099999999996</v>
      </c>
      <c r="Q1596">
        <v>0.18889449999999999</v>
      </c>
      <c r="R1596">
        <v>3.1223569999999999E-2</v>
      </c>
      <c r="S1596">
        <v>-3.051453</v>
      </c>
      <c r="T1596">
        <v>6.8619249999999996E-3</v>
      </c>
      <c r="U1596">
        <v>0.1081848</v>
      </c>
      <c r="V1596">
        <v>3.621282E-2</v>
      </c>
      <c r="W1596">
        <v>0.20198730000000001</v>
      </c>
      <c r="X1596">
        <v>0.97871839999999999</v>
      </c>
      <c r="Y1596">
        <v>4.075463E-2</v>
      </c>
      <c r="Z1596">
        <v>1.4273580000000001E-4</v>
      </c>
      <c r="AA1596">
        <v>0.99916919999999998</v>
      </c>
      <c r="AB1596">
        <v>31</v>
      </c>
      <c r="AC1596">
        <v>-3.051453</v>
      </c>
      <c r="AD1596">
        <v>6.8619249999999996E-3</v>
      </c>
      <c r="AE1596">
        <v>0.1081848</v>
      </c>
      <c r="AF1596">
        <v>0.124438753371368</v>
      </c>
      <c r="AG1596">
        <v>6.8619249999999996E-3</v>
      </c>
      <c r="AH1596">
        <v>3.0508179538450699</v>
      </c>
      <c r="AI1596">
        <v>89.871237143092898</v>
      </c>
      <c r="AJ1596">
        <v>87.664277110425502</v>
      </c>
      <c r="AK1596">
        <v>3.053362454223</v>
      </c>
      <c r="AL1596">
        <v>78.346804631687803</v>
      </c>
      <c r="AM1596">
        <v>87.881008781192904</v>
      </c>
      <c r="AN1596">
        <v>0.99999997209610003</v>
      </c>
    </row>
    <row r="1597" spans="1:40" x14ac:dyDescent="0.25">
      <c r="A1597" t="str">
        <f>"20190303162533921"</f>
        <v>20190303162533921</v>
      </c>
      <c r="B1597" t="str">
        <f>"1551601533915267"</f>
        <v>1551601533915267</v>
      </c>
      <c r="C1597" t="s">
        <v>40</v>
      </c>
      <c r="D1597">
        <v>4.0327310000000001</v>
      </c>
      <c r="E1597">
        <v>0.50249869999999996</v>
      </c>
      <c r="F1597" t="s">
        <v>53</v>
      </c>
      <c r="G1597">
        <v>0</v>
      </c>
      <c r="H1597">
        <v>0</v>
      </c>
      <c r="I1597">
        <v>0</v>
      </c>
      <c r="J1597">
        <v>-338.15460000000002</v>
      </c>
      <c r="K1597">
        <v>1.12168</v>
      </c>
      <c r="L1597">
        <v>284.38740000000001</v>
      </c>
      <c r="M1597">
        <v>-0.99989380000000005</v>
      </c>
      <c r="N1597">
        <v>-1.331654E-2</v>
      </c>
      <c r="O1597">
        <v>-5.9340720000000003E-3</v>
      </c>
      <c r="P1597">
        <v>-0.98150029999999999</v>
      </c>
      <c r="Q1597">
        <v>0.18888550000000001</v>
      </c>
      <c r="R1597">
        <v>3.1301179999999998E-2</v>
      </c>
      <c r="S1597">
        <v>-3.0524290000000001</v>
      </c>
      <c r="T1597">
        <v>4.6759840000000002E-3</v>
      </c>
      <c r="U1597">
        <v>0.1010437</v>
      </c>
      <c r="V1597">
        <v>3.688694E-2</v>
      </c>
      <c r="W1597">
        <v>0.2019803</v>
      </c>
      <c r="X1597">
        <v>0.97869470000000003</v>
      </c>
      <c r="Y1597">
        <v>3.9015050000000003E-2</v>
      </c>
      <c r="Z1597">
        <v>1.4189000000000001E-4</v>
      </c>
      <c r="AA1597">
        <v>0.99923859999999998</v>
      </c>
      <c r="AB1597">
        <v>31</v>
      </c>
      <c r="AC1597">
        <v>-3.0524290000000001</v>
      </c>
      <c r="AD1597">
        <v>4.6759840000000002E-3</v>
      </c>
      <c r="AE1597">
        <v>0.1010437</v>
      </c>
      <c r="AF1597">
        <v>0.11915657960929101</v>
      </c>
      <c r="AG1597">
        <v>4.6759840000000002E-3</v>
      </c>
      <c r="AH1597">
        <v>3.0517684396735398</v>
      </c>
      <c r="AI1597">
        <v>89.912277108353905</v>
      </c>
      <c r="AJ1597">
        <v>87.764016820326802</v>
      </c>
      <c r="AK1597">
        <v>3.0540973731493999</v>
      </c>
      <c r="AL1597">
        <v>78.347214494448096</v>
      </c>
      <c r="AM1597">
        <v>87.841547435475306</v>
      </c>
      <c r="AN1597">
        <v>1.00000000186937</v>
      </c>
    </row>
    <row r="1598" spans="1:40" x14ac:dyDescent="0.25">
      <c r="A1598" t="str">
        <f>"20190303162533942"</f>
        <v>20190303162533942</v>
      </c>
      <c r="B1598" t="str">
        <f>"1551601533934787"</f>
        <v>1551601533934787</v>
      </c>
      <c r="C1598" t="s">
        <v>40</v>
      </c>
      <c r="D1598">
        <v>4.0931850000000001</v>
      </c>
      <c r="E1598">
        <v>0.50278469999999997</v>
      </c>
      <c r="F1598" t="s">
        <v>53</v>
      </c>
      <c r="G1598">
        <v>0</v>
      </c>
      <c r="H1598">
        <v>0</v>
      </c>
      <c r="I1598">
        <v>0</v>
      </c>
      <c r="J1598">
        <v>-338.45490000000001</v>
      </c>
      <c r="K1598">
        <v>1.121677</v>
      </c>
      <c r="L1598">
        <v>284.38499999999999</v>
      </c>
      <c r="M1598">
        <v>-0.99988999999999995</v>
      </c>
      <c r="N1598">
        <v>-1.332007E-2</v>
      </c>
      <c r="O1598">
        <v>-6.5242499999999997E-3</v>
      </c>
      <c r="P1598">
        <v>-0.98144719999999996</v>
      </c>
      <c r="Q1598">
        <v>0.1892104</v>
      </c>
      <c r="R1598">
        <v>3.0999990000000002E-2</v>
      </c>
      <c r="S1598">
        <v>-3.0525820000000001</v>
      </c>
      <c r="T1598">
        <v>4.1136740000000003E-3</v>
      </c>
      <c r="U1598">
        <v>9.8968509999999996E-2</v>
      </c>
      <c r="V1598">
        <v>3.716502E-2</v>
      </c>
      <c r="W1598">
        <v>0.20230770000000001</v>
      </c>
      <c r="X1598">
        <v>0.9786165</v>
      </c>
      <c r="Y1598">
        <v>3.8924550000000002E-2</v>
      </c>
      <c r="Z1598">
        <v>1.3742459999999999E-4</v>
      </c>
      <c r="AA1598">
        <v>0.99924210000000002</v>
      </c>
      <c r="AB1598">
        <v>31</v>
      </c>
      <c r="AC1598">
        <v>-3.0525820000000001</v>
      </c>
      <c r="AD1598">
        <v>4.1136740000000003E-3</v>
      </c>
      <c r="AE1598">
        <v>9.8968509999999996E-2</v>
      </c>
      <c r="AF1598">
        <v>0.118883762694717</v>
      </c>
      <c r="AG1598">
        <v>4.1136740000000003E-3</v>
      </c>
      <c r="AH1598">
        <v>3.0518657308485402</v>
      </c>
      <c r="AI1598">
        <v>89.9228283903674</v>
      </c>
      <c r="AJ1598">
        <v>87.769202120665099</v>
      </c>
      <c r="AK1598">
        <v>3.0541831494646701</v>
      </c>
      <c r="AL1598">
        <v>78.328059811950496</v>
      </c>
      <c r="AM1598">
        <v>87.825117438088895</v>
      </c>
      <c r="AN1598">
        <v>0.99999994913156798</v>
      </c>
    </row>
    <row r="1599" spans="1:40" x14ac:dyDescent="0.25">
      <c r="A1599" t="str">
        <f>"20190303162533965"</f>
        <v>20190303162533965</v>
      </c>
      <c r="B1599" t="str">
        <f>"1551601533954308"</f>
        <v>1551601533954308</v>
      </c>
      <c r="C1599" t="s">
        <v>40</v>
      </c>
      <c r="D1599">
        <v>4.0926729999999996</v>
      </c>
      <c r="E1599">
        <v>0.50331910000000002</v>
      </c>
      <c r="F1599" t="s">
        <v>53</v>
      </c>
      <c r="G1599">
        <v>0</v>
      </c>
      <c r="H1599">
        <v>0</v>
      </c>
      <c r="I1599">
        <v>0</v>
      </c>
      <c r="J1599">
        <v>-338.75319999999999</v>
      </c>
      <c r="K1599">
        <v>1.1216820000000001</v>
      </c>
      <c r="L1599">
        <v>284.38240000000002</v>
      </c>
      <c r="M1599">
        <v>-0.99988600000000005</v>
      </c>
      <c r="N1599">
        <v>-1.332885E-2</v>
      </c>
      <c r="O1599">
        <v>-7.110417E-3</v>
      </c>
      <c r="P1599">
        <v>-0.98136350000000006</v>
      </c>
      <c r="Q1599">
        <v>0.18972449999999999</v>
      </c>
      <c r="R1599">
        <v>3.0503579999999999E-2</v>
      </c>
      <c r="S1599">
        <v>-3.0530400000000002</v>
      </c>
      <c r="T1599">
        <v>2.9171710000000001E-3</v>
      </c>
      <c r="U1599">
        <v>9.9639889999999995E-2</v>
      </c>
      <c r="V1599">
        <v>3.7243180000000001E-2</v>
      </c>
      <c r="W1599">
        <v>0.2028288</v>
      </c>
      <c r="X1599">
        <v>0.97850570000000003</v>
      </c>
      <c r="Y1599">
        <v>3.9724870000000002E-2</v>
      </c>
      <c r="Z1599">
        <v>1.4430899999999999E-4</v>
      </c>
      <c r="AA1599">
        <v>0.99921070000000001</v>
      </c>
      <c r="AB1599">
        <v>31</v>
      </c>
      <c r="AC1599">
        <v>-3.0530400000000002</v>
      </c>
      <c r="AD1599">
        <v>2.9171710000000001E-3</v>
      </c>
      <c r="AE1599">
        <v>9.9639889999999995E-2</v>
      </c>
      <c r="AF1599">
        <v>0.121347573675953</v>
      </c>
      <c r="AG1599">
        <v>2.9171710000000001E-3</v>
      </c>
      <c r="AH1599">
        <v>3.0522514797919502</v>
      </c>
      <c r="AI1599">
        <v>89.945283145486698</v>
      </c>
      <c r="AJ1599">
        <v>87.723305501720603</v>
      </c>
      <c r="AK1599">
        <v>3.0546641123723899</v>
      </c>
      <c r="AL1599">
        <v>78.297571381283007</v>
      </c>
      <c r="AM1599">
        <v>87.820301401590797</v>
      </c>
      <c r="AN1599">
        <v>0.99999999074922097</v>
      </c>
    </row>
    <row r="1600" spans="1:40" x14ac:dyDescent="0.25">
      <c r="A1600" t="str">
        <f>"20190303162533988"</f>
        <v>20190303162533988</v>
      </c>
      <c r="B1600" t="str">
        <f>"1551601533974804"</f>
        <v>1551601533974804</v>
      </c>
      <c r="C1600" t="s">
        <v>40</v>
      </c>
      <c r="D1600">
        <v>4.0359639999999999</v>
      </c>
      <c r="E1600">
        <v>0.51884149999999996</v>
      </c>
      <c r="F1600" t="s">
        <v>53</v>
      </c>
      <c r="G1600">
        <v>0</v>
      </c>
      <c r="H1600">
        <v>0</v>
      </c>
      <c r="I1600">
        <v>0</v>
      </c>
      <c r="J1600">
        <v>-339.06880000000001</v>
      </c>
      <c r="K1600">
        <v>1.121683</v>
      </c>
      <c r="L1600">
        <v>284.37950000000001</v>
      </c>
      <c r="M1600">
        <v>-0.99988120000000003</v>
      </c>
      <c r="N1600">
        <v>-1.3341199999999999E-2</v>
      </c>
      <c r="O1600">
        <v>-7.7305859999999898E-3</v>
      </c>
      <c r="P1600">
        <v>-0.98131679999999999</v>
      </c>
      <c r="Q1600">
        <v>0.19012599999999999</v>
      </c>
      <c r="R1600">
        <v>2.948957E-2</v>
      </c>
      <c r="S1600">
        <v>-3.0529790000000001</v>
      </c>
      <c r="T1600">
        <v>4.2613740000000001E-3</v>
      </c>
      <c r="U1600">
        <v>0.10162350000000001</v>
      </c>
      <c r="V1600">
        <v>3.6837559999999998E-2</v>
      </c>
      <c r="W1600">
        <v>0.20324059999999999</v>
      </c>
      <c r="X1600">
        <v>0.97843559999999996</v>
      </c>
      <c r="Y1600">
        <v>4.0993750000000002E-2</v>
      </c>
      <c r="Z1600">
        <v>1.31042E-4</v>
      </c>
      <c r="AA1600">
        <v>0.99915940000000003</v>
      </c>
      <c r="AB1600">
        <v>31</v>
      </c>
      <c r="AC1600">
        <v>-3.0529790000000001</v>
      </c>
      <c r="AD1600">
        <v>4.2613740000000001E-3</v>
      </c>
      <c r="AE1600">
        <v>0.10162350000000001</v>
      </c>
      <c r="AF1600">
        <v>0.12522363453892699</v>
      </c>
      <c r="AG1600">
        <v>4.2613740000000001E-3</v>
      </c>
      <c r="AH1600">
        <v>3.0520961375807598</v>
      </c>
      <c r="AI1600">
        <v>89.920070229830699</v>
      </c>
      <c r="AJ1600">
        <v>87.650544548985906</v>
      </c>
      <c r="AK1600">
        <v>3.0546669132641702</v>
      </c>
      <c r="AL1600">
        <v>78.273475025858104</v>
      </c>
      <c r="AM1600">
        <v>87.843863918646406</v>
      </c>
      <c r="AN1600">
        <v>0.99999998533123602</v>
      </c>
    </row>
    <row r="1601" spans="1:40" x14ac:dyDescent="0.25">
      <c r="A1601" t="str">
        <f>"20190303162534010"</f>
        <v>20190303162534010</v>
      </c>
      <c r="B1601" t="str">
        <f>"1551601534005059"</f>
        <v>1551601534005059</v>
      </c>
      <c r="C1601" t="s">
        <v>40</v>
      </c>
      <c r="D1601">
        <v>4.0354080000000003</v>
      </c>
      <c r="E1601">
        <v>0.51798080000000002</v>
      </c>
      <c r="F1601" t="s">
        <v>48</v>
      </c>
      <c r="G1601">
        <v>-449.23669999999998</v>
      </c>
      <c r="H1601">
        <v>8.0000929999999998E-2</v>
      </c>
      <c r="I1601">
        <v>292.3399</v>
      </c>
      <c r="J1601">
        <v>-339.3818</v>
      </c>
      <c r="K1601">
        <v>1.121691</v>
      </c>
      <c r="L1601">
        <v>284.37639999999999</v>
      </c>
      <c r="M1601">
        <v>-0.99987610000000005</v>
      </c>
      <c r="N1601">
        <v>-1.33538999999999E-2</v>
      </c>
      <c r="O1601">
        <v>-8.3452849999999992E-3</v>
      </c>
      <c r="P1601">
        <v>-0.98128559999999998</v>
      </c>
      <c r="Q1601">
        <v>0.19035160000000001</v>
      </c>
      <c r="R1601">
        <v>2.906839E-2</v>
      </c>
      <c r="S1601">
        <v>-3.0560909999999999</v>
      </c>
      <c r="T1601">
        <v>-2.889657E-2</v>
      </c>
      <c r="U1601">
        <v>0.2208252</v>
      </c>
      <c r="V1601">
        <v>3.7019160000000002E-2</v>
      </c>
      <c r="W1601">
        <v>0.20347870000000001</v>
      </c>
      <c r="X1601">
        <v>0.9783792</v>
      </c>
      <c r="Y1601">
        <v>8.0382620000000002E-2</v>
      </c>
      <c r="Z1601">
        <v>8.844972E-4</v>
      </c>
      <c r="AA1601">
        <v>0.99676370000000003</v>
      </c>
      <c r="AB1601">
        <v>31</v>
      </c>
      <c r="AC1601">
        <v>-109.8549</v>
      </c>
      <c r="AD1601">
        <v>-1.04169007</v>
      </c>
      <c r="AE1601">
        <v>7.9635000000000096</v>
      </c>
      <c r="AF1601">
        <v>8.8792805408125002</v>
      </c>
      <c r="AG1601">
        <v>-1.04169007</v>
      </c>
      <c r="AH1601">
        <v>109.77479135975599</v>
      </c>
      <c r="AI1601">
        <v>90.541912920605498</v>
      </c>
      <c r="AJ1601">
        <v>85.375622003335096</v>
      </c>
      <c r="AK1601">
        <v>110.138238406116</v>
      </c>
      <c r="AL1601">
        <v>78.259541084845296</v>
      </c>
      <c r="AM1601">
        <v>87.833120024423195</v>
      </c>
      <c r="AN1601">
        <v>0.99999992927671499</v>
      </c>
    </row>
    <row r="1602" spans="1:40" x14ac:dyDescent="0.25">
      <c r="A1602" t="str">
        <f>"20190303162534032"</f>
        <v>20190303162534032</v>
      </c>
      <c r="B1602" t="str">
        <f>"1551601534024579"</f>
        <v>1551601534024579</v>
      </c>
      <c r="C1602" t="s">
        <v>40</v>
      </c>
      <c r="D1602">
        <v>4.087097</v>
      </c>
      <c r="E1602">
        <v>0.51811579999999902</v>
      </c>
      <c r="F1602" t="s">
        <v>50</v>
      </c>
      <c r="G1602">
        <v>-475.84960000000001</v>
      </c>
      <c r="H1602">
        <v>0.110204</v>
      </c>
      <c r="I1602">
        <v>293.89490000000001</v>
      </c>
      <c r="J1602">
        <v>-339.68430000000001</v>
      </c>
      <c r="K1602">
        <v>1.1216900000000001</v>
      </c>
      <c r="L1602">
        <v>284.3732</v>
      </c>
      <c r="M1602">
        <v>-0.9998707</v>
      </c>
      <c r="N1602">
        <v>-1.336564E-2</v>
      </c>
      <c r="O1602">
        <v>-8.9391269999999998E-3</v>
      </c>
      <c r="P1602">
        <v>-0.98128439999999995</v>
      </c>
      <c r="Q1602">
        <v>0.19039510000000001</v>
      </c>
      <c r="R1602">
        <v>2.882525E-2</v>
      </c>
      <c r="S1602">
        <v>-3.0552980000000001</v>
      </c>
      <c r="T1602">
        <v>-2.264559E-2</v>
      </c>
      <c r="U1602">
        <v>0.21310419999999999</v>
      </c>
      <c r="V1602">
        <v>3.7358469999999998E-2</v>
      </c>
      <c r="W1602">
        <v>0.2035333</v>
      </c>
      <c r="X1602">
        <v>0.97835499999999997</v>
      </c>
      <c r="Y1602">
        <v>7.8489329999999996E-2</v>
      </c>
      <c r="Z1602">
        <v>7.6257959999999998E-4</v>
      </c>
      <c r="AA1602">
        <v>0.99691470000000004</v>
      </c>
      <c r="AB1602">
        <v>31</v>
      </c>
      <c r="AC1602">
        <v>-136.1653</v>
      </c>
      <c r="AD1602">
        <v>-1.0114860000000001</v>
      </c>
      <c r="AE1602">
        <v>9.5217000000000098</v>
      </c>
      <c r="AF1602">
        <v>10.7380375117467</v>
      </c>
      <c r="AG1602">
        <v>-1.0114860000000001</v>
      </c>
      <c r="AH1602">
        <v>136.06726353553901</v>
      </c>
      <c r="AI1602">
        <v>90.424592899783093</v>
      </c>
      <c r="AJ1602">
        <v>85.487733521544897</v>
      </c>
      <c r="AK1602">
        <v>136.49406126122099</v>
      </c>
      <c r="AL1602">
        <v>78.256346508049802</v>
      </c>
      <c r="AM1602">
        <v>87.813224005254895</v>
      </c>
      <c r="AN1602">
        <v>0.99999998275731505</v>
      </c>
    </row>
    <row r="1603" spans="1:40" x14ac:dyDescent="0.25">
      <c r="A1603" t="str">
        <f>"20190303162534054"</f>
        <v>20190303162534054</v>
      </c>
      <c r="B1603" t="str">
        <f>"1551601534044099"</f>
        <v>1551601534044099</v>
      </c>
      <c r="C1603" t="s">
        <v>40</v>
      </c>
      <c r="D1603">
        <v>4.037738</v>
      </c>
      <c r="E1603">
        <v>0.51801160000000002</v>
      </c>
      <c r="F1603" t="s">
        <v>48</v>
      </c>
      <c r="G1603">
        <v>-449.39260000000002</v>
      </c>
      <c r="H1603">
        <v>8.0000989999999994E-2</v>
      </c>
      <c r="I1603">
        <v>292.0308</v>
      </c>
      <c r="J1603">
        <v>-339.98079999999999</v>
      </c>
      <c r="K1603">
        <v>1.1216839999999999</v>
      </c>
      <c r="L1603">
        <v>284.36989999999997</v>
      </c>
      <c r="M1603">
        <v>-0.99986520000000001</v>
      </c>
      <c r="N1603">
        <v>-1.337641E-2</v>
      </c>
      <c r="O1603">
        <v>-9.5210409999999992E-3</v>
      </c>
      <c r="P1603">
        <v>-0.98135039999999996</v>
      </c>
      <c r="Q1603">
        <v>0.19004760000000001</v>
      </c>
      <c r="R1603">
        <v>2.8869820000000001E-2</v>
      </c>
      <c r="S1603">
        <v>-3.0565799999999999</v>
      </c>
      <c r="T1603">
        <v>-2.902246E-2</v>
      </c>
      <c r="U1603">
        <v>0.21334839999999999</v>
      </c>
      <c r="V1603">
        <v>3.7974979999999998E-2</v>
      </c>
      <c r="W1603">
        <v>0.20319809999999999</v>
      </c>
      <c r="X1603">
        <v>0.97840090000000002</v>
      </c>
      <c r="Y1603">
        <v>7.9117300000000002E-2</v>
      </c>
      <c r="Z1603">
        <v>8.6809289999999998E-4</v>
      </c>
      <c r="AA1603">
        <v>0.99686490000000005</v>
      </c>
      <c r="AB1603">
        <v>31</v>
      </c>
      <c r="AC1603">
        <v>-109.4118</v>
      </c>
      <c r="AD1603">
        <v>-1.0416830100000001</v>
      </c>
      <c r="AE1603">
        <v>7.6609000000000202</v>
      </c>
      <c r="AF1603">
        <v>8.7015752385129197</v>
      </c>
      <c r="AG1603">
        <v>-1.0416830100000001</v>
      </c>
      <c r="AH1603">
        <v>109.324032321506</v>
      </c>
      <c r="AI1603">
        <v>90.544199534982695</v>
      </c>
      <c r="AJ1603">
        <v>85.449173741308996</v>
      </c>
      <c r="AK1603">
        <v>109.67473071842301</v>
      </c>
      <c r="AL1603">
        <v>78.275961500417793</v>
      </c>
      <c r="AM1603">
        <v>87.777276707597494</v>
      </c>
      <c r="AN1603">
        <v>0.99999994403520798</v>
      </c>
    </row>
    <row r="1604" spans="1:40" x14ac:dyDescent="0.25">
      <c r="A1604" t="str">
        <f>"20190303162534077"</f>
        <v>20190303162534077</v>
      </c>
      <c r="B1604" t="str">
        <f>"1551601534064595"</f>
        <v>1551601534064595</v>
      </c>
      <c r="C1604" t="s">
        <v>40</v>
      </c>
      <c r="D1604">
        <v>4.072336</v>
      </c>
      <c r="E1604">
        <v>0.51821209999999995</v>
      </c>
      <c r="F1604" t="s">
        <v>48</v>
      </c>
      <c r="G1604">
        <v>-447.44990000000001</v>
      </c>
      <c r="H1604">
        <v>8.0000420000000003E-2</v>
      </c>
      <c r="I1604">
        <v>291.82839999999999</v>
      </c>
      <c r="J1604">
        <v>-340.29450000000003</v>
      </c>
      <c r="K1604">
        <v>1.1216790000000001</v>
      </c>
      <c r="L1604">
        <v>284.36630000000002</v>
      </c>
      <c r="M1604">
        <v>-0.99985900000000005</v>
      </c>
      <c r="N1604">
        <v>-1.3386830000000001E-2</v>
      </c>
      <c r="O1604">
        <v>-1.01374E-2</v>
      </c>
      <c r="P1604">
        <v>-0.98150040000000005</v>
      </c>
      <c r="Q1604">
        <v>0.189274</v>
      </c>
      <c r="R1604">
        <v>2.884948E-2</v>
      </c>
      <c r="S1604">
        <v>-3.056549</v>
      </c>
      <c r="T1604">
        <v>-2.962673E-2</v>
      </c>
      <c r="U1604">
        <v>0.2121277</v>
      </c>
      <c r="V1604">
        <v>3.8561869999999998E-2</v>
      </c>
      <c r="W1604">
        <v>0.20243700000000001</v>
      </c>
      <c r="X1604">
        <v>0.97853579999999996</v>
      </c>
      <c r="Y1604">
        <v>7.9336019999999993E-2</v>
      </c>
      <c r="Z1604">
        <v>8.78352E-4</v>
      </c>
      <c r="AA1604">
        <v>0.99684759999999994</v>
      </c>
      <c r="AB1604">
        <v>31</v>
      </c>
      <c r="AC1604">
        <v>-107.1554</v>
      </c>
      <c r="AD1604">
        <v>-1.0416785799999999</v>
      </c>
      <c r="AE1604">
        <v>7.4620999999999604</v>
      </c>
      <c r="AF1604">
        <v>8.5472871612403107</v>
      </c>
      <c r="AG1604">
        <v>-1.0416785799999999</v>
      </c>
      <c r="AH1604">
        <v>107.064170875843</v>
      </c>
      <c r="AI1604">
        <v>90.555672656128706</v>
      </c>
      <c r="AJ1604">
        <v>85.435568754423898</v>
      </c>
      <c r="AK1604">
        <v>107.409859405049</v>
      </c>
      <c r="AL1604">
        <v>78.320495948985794</v>
      </c>
      <c r="AM1604">
        <v>87.743271386579195</v>
      </c>
      <c r="AN1604">
        <v>1.0000000343342601</v>
      </c>
    </row>
    <row r="1605" spans="1:40" x14ac:dyDescent="0.25">
      <c r="A1605" t="str">
        <f>"20190303162534100"</f>
        <v>20190303162534100</v>
      </c>
      <c r="B1605" t="str">
        <f>"1551601534094852"</f>
        <v>1551601534094852</v>
      </c>
      <c r="C1605" t="s">
        <v>40</v>
      </c>
      <c r="D1605">
        <v>4.0449619999999999</v>
      </c>
      <c r="E1605">
        <v>0.51833629999999997</v>
      </c>
      <c r="F1605" t="s">
        <v>51</v>
      </c>
      <c r="G1605">
        <v>-435.8245</v>
      </c>
      <c r="H1605">
        <v>8.0000119999999994E-2</v>
      </c>
      <c r="I1605">
        <v>291.02539999999999</v>
      </c>
      <c r="J1605">
        <v>-340.5976</v>
      </c>
      <c r="K1605">
        <v>1.121677</v>
      </c>
      <c r="L1605">
        <v>284.36250000000001</v>
      </c>
      <c r="M1605">
        <v>-0.99985290000000004</v>
      </c>
      <c r="N1605">
        <v>-1.3395779999999999E-2</v>
      </c>
      <c r="O1605">
        <v>-1.073241E-2</v>
      </c>
      <c r="P1605">
        <v>-0.98167499999999996</v>
      </c>
      <c r="Q1605">
        <v>0.18847349999999999</v>
      </c>
      <c r="R1605">
        <v>2.8147459999999999E-2</v>
      </c>
      <c r="S1605">
        <v>-3.056702</v>
      </c>
      <c r="T1605">
        <v>-3.333092E-2</v>
      </c>
      <c r="U1605">
        <v>0.2130737</v>
      </c>
      <c r="V1605">
        <v>3.8446550000000003E-2</v>
      </c>
      <c r="W1605">
        <v>0.2016473</v>
      </c>
      <c r="X1605">
        <v>0.97870330000000005</v>
      </c>
      <c r="Y1605">
        <v>8.0231070000000002E-2</v>
      </c>
      <c r="Z1605">
        <v>9.4827639999999999E-4</v>
      </c>
      <c r="AA1605">
        <v>0.99677590000000005</v>
      </c>
      <c r="AB1605">
        <v>31</v>
      </c>
      <c r="AC1605">
        <v>-95.226900000000001</v>
      </c>
      <c r="AD1605">
        <v>-1.04167688</v>
      </c>
      <c r="AE1605">
        <v>6.6628999999999703</v>
      </c>
      <c r="AF1605">
        <v>7.6837068532238</v>
      </c>
      <c r="AG1605">
        <v>-1.04167688</v>
      </c>
      <c r="AH1605">
        <v>95.138570386219897</v>
      </c>
      <c r="AI1605">
        <v>90.625273474183999</v>
      </c>
      <c r="AJ1605">
        <v>85.382624465610107</v>
      </c>
      <c r="AK1605">
        <v>95.454030909450495</v>
      </c>
      <c r="AL1605">
        <v>78.366694325538802</v>
      </c>
      <c r="AM1605">
        <v>87.750397907523904</v>
      </c>
      <c r="AN1605">
        <v>0.99999996011754</v>
      </c>
    </row>
    <row r="1606" spans="1:40" x14ac:dyDescent="0.25">
      <c r="A1606" t="str">
        <f>"20190303162534123"</f>
        <v>20190303162534123</v>
      </c>
      <c r="B1606" t="str">
        <f>"1551601534114371"</f>
        <v>1551601534114371</v>
      </c>
      <c r="C1606" t="s">
        <v>40</v>
      </c>
      <c r="D1606">
        <v>4.0675230000000004</v>
      </c>
      <c r="E1606">
        <v>0.51843809999999901</v>
      </c>
      <c r="F1606" t="s">
        <v>51</v>
      </c>
      <c r="G1606">
        <v>-430.89</v>
      </c>
      <c r="H1606">
        <v>4.1644899999999999E-2</v>
      </c>
      <c r="I1606">
        <v>290.61099999999999</v>
      </c>
      <c r="J1606">
        <v>-340.90789999999998</v>
      </c>
      <c r="K1606">
        <v>1.1216740000000001</v>
      </c>
      <c r="L1606">
        <v>284.35849999999999</v>
      </c>
      <c r="M1606">
        <v>-0.99984600000000001</v>
      </c>
      <c r="N1606">
        <v>-1.340391E-2</v>
      </c>
      <c r="O1606">
        <v>-1.134195E-2</v>
      </c>
      <c r="P1606">
        <v>-0.98182190000000003</v>
      </c>
      <c r="Q1606">
        <v>0.1877607</v>
      </c>
      <c r="R1606">
        <v>2.7782589999999999E-2</v>
      </c>
      <c r="S1606">
        <v>-3.0569459999999999</v>
      </c>
      <c r="T1606">
        <v>-3.656566E-2</v>
      </c>
      <c r="U1606">
        <v>0.21154790000000001</v>
      </c>
      <c r="V1606">
        <v>3.8682670000000002E-2</v>
      </c>
      <c r="W1606">
        <v>0.20094429999999999</v>
      </c>
      <c r="X1606">
        <v>0.9788386</v>
      </c>
      <c r="Y1606">
        <v>8.0336539999999998E-2</v>
      </c>
      <c r="Z1606">
        <v>1.0026729999999999E-3</v>
      </c>
      <c r="AA1606">
        <v>0.99676730000000002</v>
      </c>
      <c r="AB1606">
        <v>31</v>
      </c>
      <c r="AC1606">
        <v>-89.982100000000003</v>
      </c>
      <c r="AD1606">
        <v>-1.0800291</v>
      </c>
      <c r="AE1606">
        <v>6.2524999999999897</v>
      </c>
      <c r="AF1606">
        <v>7.2717191921606901</v>
      </c>
      <c r="AG1606">
        <v>-1.0800291</v>
      </c>
      <c r="AH1606">
        <v>89.892501091903895</v>
      </c>
      <c r="AI1606">
        <v>90.686115981627907</v>
      </c>
      <c r="AJ1606">
        <v>85.375214045566594</v>
      </c>
      <c r="AK1606">
        <v>90.192605658249093</v>
      </c>
      <c r="AL1606">
        <v>78.407815246482301</v>
      </c>
      <c r="AM1606">
        <v>87.736908805419901</v>
      </c>
      <c r="AN1606">
        <v>0.99999998275538904</v>
      </c>
    </row>
    <row r="1607" spans="1:40" x14ac:dyDescent="0.25">
      <c r="A1607" t="str">
        <f>"20190303162534143"</f>
        <v>20190303162534143</v>
      </c>
      <c r="B1607" t="str">
        <f>"1551601534134868"</f>
        <v>1551601534134868</v>
      </c>
      <c r="C1607" t="s">
        <v>40</v>
      </c>
      <c r="D1607">
        <v>4.0823349999999996</v>
      </c>
      <c r="E1607">
        <v>0.51865000000000006</v>
      </c>
      <c r="F1607" t="s">
        <v>51</v>
      </c>
      <c r="G1607">
        <v>-430.91520000000003</v>
      </c>
      <c r="H1607">
        <v>9.1518829999999995E-3</v>
      </c>
      <c r="I1607">
        <v>290.58580000000001</v>
      </c>
      <c r="J1607">
        <v>-341.19690000000003</v>
      </c>
      <c r="K1607">
        <v>1.121678</v>
      </c>
      <c r="L1607">
        <v>284.3546</v>
      </c>
      <c r="M1607">
        <v>-0.99983920000000004</v>
      </c>
      <c r="N1607">
        <v>-1.341031E-2</v>
      </c>
      <c r="O1607">
        <v>-1.1910230000000001E-2</v>
      </c>
      <c r="P1607">
        <v>-0.98187530000000001</v>
      </c>
      <c r="Q1607">
        <v>0.1875183</v>
      </c>
      <c r="R1607">
        <v>2.7529519999999998E-2</v>
      </c>
      <c r="S1607">
        <v>-3.0567929999999999</v>
      </c>
      <c r="T1607">
        <v>-3.7783030000000002E-2</v>
      </c>
      <c r="U1607">
        <v>0.2114868</v>
      </c>
      <c r="V1607">
        <v>3.898857E-2</v>
      </c>
      <c r="W1607">
        <v>0.20070940000000001</v>
      </c>
      <c r="X1607">
        <v>0.97887469999999999</v>
      </c>
      <c r="Y1607">
        <v>8.0886E-2</v>
      </c>
      <c r="Z1607">
        <v>1.0298639999999999E-3</v>
      </c>
      <c r="AA1607">
        <v>0.99672280000000002</v>
      </c>
      <c r="AB1607">
        <v>31</v>
      </c>
      <c r="AC1607">
        <v>-89.718299999999999</v>
      </c>
      <c r="AD1607">
        <v>-1.112526117</v>
      </c>
      <c r="AE1607">
        <v>6.2312000000000003</v>
      </c>
      <c r="AF1607">
        <v>7.2983027301761201</v>
      </c>
      <c r="AG1607">
        <v>-1.112526117</v>
      </c>
      <c r="AH1607">
        <v>89.623998599496005</v>
      </c>
      <c r="AI1607">
        <v>90.708844819366803</v>
      </c>
      <c r="AJ1607">
        <v>85.344536069373802</v>
      </c>
      <c r="AK1607">
        <v>89.9275489606203</v>
      </c>
      <c r="AL1607">
        <v>78.421554423601705</v>
      </c>
      <c r="AM1607">
        <v>87.719115289797998</v>
      </c>
      <c r="AN1607">
        <v>1.00000002506954</v>
      </c>
    </row>
    <row r="1608" spans="1:40" x14ac:dyDescent="0.25">
      <c r="A1608" t="str">
        <f>"20190303162534166"</f>
        <v>20190303162534166</v>
      </c>
      <c r="B1608" t="str">
        <f>"1551601534154388"</f>
        <v>1551601534154388</v>
      </c>
      <c r="C1608" t="s">
        <v>40</v>
      </c>
      <c r="D1608">
        <v>4.0778569999999998</v>
      </c>
      <c r="E1608">
        <v>0.51875890000000002</v>
      </c>
      <c r="F1608" t="s">
        <v>51</v>
      </c>
      <c r="G1608">
        <v>-429.9701</v>
      </c>
      <c r="H1608" s="1">
        <v>1.608264E-6</v>
      </c>
      <c r="I1608">
        <v>290.51859999999999</v>
      </c>
      <c r="J1608">
        <v>-341.49919999999997</v>
      </c>
      <c r="K1608">
        <v>1.1216839999999999</v>
      </c>
      <c r="L1608">
        <v>284.35039999999998</v>
      </c>
      <c r="M1608">
        <v>-0.9998319</v>
      </c>
      <c r="N1608">
        <v>-1.341586E-2</v>
      </c>
      <c r="O1608">
        <v>-1.2504370000000001E-2</v>
      </c>
      <c r="P1608">
        <v>-0.98179819999999995</v>
      </c>
      <c r="Q1608">
        <v>0.18795709999999999</v>
      </c>
      <c r="R1608">
        <v>2.7288690000000001E-2</v>
      </c>
      <c r="S1608">
        <v>-3.0568240000000002</v>
      </c>
      <c r="T1608">
        <v>-3.8623930000000001E-2</v>
      </c>
      <c r="U1608">
        <v>0.21224979999999999</v>
      </c>
      <c r="V1608">
        <v>3.9329919999999997E-2</v>
      </c>
      <c r="W1608">
        <v>0.2011522</v>
      </c>
      <c r="X1608">
        <v>0.97877009999999998</v>
      </c>
      <c r="Y1608">
        <v>8.172459E-2</v>
      </c>
      <c r="Z1608">
        <v>1.054864E-3</v>
      </c>
      <c r="AA1608">
        <v>0.99665440000000005</v>
      </c>
      <c r="AB1608">
        <v>30</v>
      </c>
      <c r="AC1608">
        <v>-88.4709</v>
      </c>
      <c r="AD1608">
        <v>-1.1216823917359999</v>
      </c>
      <c r="AE1608">
        <v>6.1682000000000103</v>
      </c>
      <c r="AF1608">
        <v>7.2729265737436704</v>
      </c>
      <c r="AG1608">
        <v>-1.1216823917359999</v>
      </c>
      <c r="AH1608">
        <v>88.372708671849594</v>
      </c>
      <c r="AI1608">
        <v>90.724745322846204</v>
      </c>
      <c r="AJ1608">
        <v>85.295255531844404</v>
      </c>
      <c r="AK1608">
        <v>88.678572780207702</v>
      </c>
      <c r="AL1608">
        <v>78.395655121703598</v>
      </c>
      <c r="AM1608">
        <v>87.698921593103194</v>
      </c>
      <c r="AN1608">
        <v>0.99999997941302798</v>
      </c>
    </row>
    <row r="1609" spans="1:40" x14ac:dyDescent="0.25">
      <c r="A1609" t="str">
        <f>"20190303162534189"</f>
        <v>20190303162534189</v>
      </c>
      <c r="B1609" t="str">
        <f>"1551601534174884"</f>
        <v>1551601534174884</v>
      </c>
      <c r="C1609" t="s">
        <v>40</v>
      </c>
      <c r="D1609">
        <v>4.0854990000000004</v>
      </c>
      <c r="E1609">
        <v>0.51890320000000001</v>
      </c>
      <c r="F1609" t="s">
        <v>51</v>
      </c>
      <c r="G1609">
        <v>-430.97199999999998</v>
      </c>
      <c r="H1609">
        <v>7.2413430000000001E-2</v>
      </c>
      <c r="I1609">
        <v>290.5607</v>
      </c>
      <c r="J1609">
        <v>-341.81459999999998</v>
      </c>
      <c r="K1609">
        <v>1.1216839999999999</v>
      </c>
      <c r="L1609">
        <v>284.34570000000002</v>
      </c>
      <c r="M1609">
        <v>-0.99982400000000005</v>
      </c>
      <c r="N1609">
        <v>-1.342077E-2</v>
      </c>
      <c r="O1609">
        <v>-1.3124729999999999E-2</v>
      </c>
      <c r="P1609">
        <v>-0.98163880000000003</v>
      </c>
      <c r="Q1609">
        <v>0.1887732</v>
      </c>
      <c r="R1609">
        <v>2.7393279999999999E-2</v>
      </c>
      <c r="S1609">
        <v>-3.0565799999999999</v>
      </c>
      <c r="T1609">
        <v>-3.584528E-2</v>
      </c>
      <c r="U1609">
        <v>0.21215819999999999</v>
      </c>
      <c r="V1609">
        <v>4.0040800000000001E-2</v>
      </c>
      <c r="W1609">
        <v>0.2019714</v>
      </c>
      <c r="X1609">
        <v>0.97857249999999996</v>
      </c>
      <c r="Y1609">
        <v>8.2320030000000002E-2</v>
      </c>
      <c r="Z1609">
        <v>1.013042E-3</v>
      </c>
      <c r="AA1609">
        <v>0.99660550000000003</v>
      </c>
      <c r="AB1609">
        <v>30</v>
      </c>
      <c r="AC1609">
        <v>-89.157399999999996</v>
      </c>
      <c r="AD1609">
        <v>-1.04927057</v>
      </c>
      <c r="AE1609">
        <v>6.2149999999999697</v>
      </c>
      <c r="AF1609">
        <v>7.3837188253775601</v>
      </c>
      <c r="AG1609">
        <v>-1.04927057</v>
      </c>
      <c r="AH1609">
        <v>89.055866812789404</v>
      </c>
      <c r="AI1609">
        <v>90.672728790804697</v>
      </c>
      <c r="AJ1609">
        <v>85.260385165894604</v>
      </c>
      <c r="AK1609">
        <v>89.367598637305804</v>
      </c>
      <c r="AL1609">
        <v>78.347734248277703</v>
      </c>
      <c r="AM1609">
        <v>87.656903501787198</v>
      </c>
      <c r="AN1609">
        <v>0.99999992491942202</v>
      </c>
    </row>
    <row r="1610" spans="1:40" x14ac:dyDescent="0.25">
      <c r="A1610" t="str">
        <f>"20190303162534210"</f>
        <v>20190303162534210</v>
      </c>
      <c r="B1610" t="str">
        <f>"1551601534204163"</f>
        <v>1551601534204163</v>
      </c>
      <c r="C1610" t="s">
        <v>40</v>
      </c>
      <c r="D1610">
        <v>4.0925039999999999</v>
      </c>
      <c r="E1610">
        <v>0.51908719999999997</v>
      </c>
      <c r="F1610" t="s">
        <v>48</v>
      </c>
      <c r="G1610">
        <v>-439.98379999999997</v>
      </c>
      <c r="H1610">
        <v>7.9999719999999996E-2</v>
      </c>
      <c r="I1610">
        <v>291.1816</v>
      </c>
      <c r="J1610">
        <v>-342.1157</v>
      </c>
      <c r="K1610">
        <v>1.121683</v>
      </c>
      <c r="L1610">
        <v>284.34120000000001</v>
      </c>
      <c r="M1610">
        <v>-0.99981580000000003</v>
      </c>
      <c r="N1610">
        <v>-1.342463E-2</v>
      </c>
      <c r="O1610">
        <v>-1.371707E-2</v>
      </c>
      <c r="P1610">
        <v>-0.9813674</v>
      </c>
      <c r="Q1610">
        <v>0.1900995</v>
      </c>
      <c r="R1610">
        <v>2.7934069999999998E-2</v>
      </c>
      <c r="S1610">
        <v>-3.0564269999999998</v>
      </c>
      <c r="T1610">
        <v>-3.2432080000000002E-2</v>
      </c>
      <c r="U1610">
        <v>0.21282960000000001</v>
      </c>
      <c r="V1610">
        <v>4.1157810000000003E-2</v>
      </c>
      <c r="W1610">
        <v>0.20329849999999999</v>
      </c>
      <c r="X1610">
        <v>0.97825139999999999</v>
      </c>
      <c r="Y1610">
        <v>8.3133239999999997E-2</v>
      </c>
      <c r="Z1610">
        <v>9.6074539999999996E-4</v>
      </c>
      <c r="AA1610">
        <v>0.99653800000000003</v>
      </c>
      <c r="AB1610">
        <v>30</v>
      </c>
      <c r="AC1610">
        <v>-97.868099999999899</v>
      </c>
      <c r="AD1610">
        <v>-1.04168328</v>
      </c>
      <c r="AE1610">
        <v>6.8403999999999803</v>
      </c>
      <c r="AF1610">
        <v>8.1814185102416896</v>
      </c>
      <c r="AG1610">
        <v>-1.04168328</v>
      </c>
      <c r="AH1610">
        <v>97.754031220010404</v>
      </c>
      <c r="AI1610">
        <v>90.608403331255701</v>
      </c>
      <c r="AJ1610">
        <v>85.215841054618807</v>
      </c>
      <c r="AK1610">
        <v>98.101331961693205</v>
      </c>
      <c r="AL1610">
        <v>78.270087319161505</v>
      </c>
      <c r="AM1610">
        <v>87.590824949215801</v>
      </c>
      <c r="AN1610">
        <v>1.0000000235141</v>
      </c>
    </row>
    <row r="1611" spans="1:40" x14ac:dyDescent="0.25">
      <c r="A1611" t="str">
        <f>"20190303162534233"</f>
        <v>20190303162534233</v>
      </c>
      <c r="B1611" t="str">
        <f>"1551601534224660"</f>
        <v>1551601534224660</v>
      </c>
      <c r="C1611" t="s">
        <v>40</v>
      </c>
      <c r="D1611">
        <v>4.0944820000000002</v>
      </c>
      <c r="E1611">
        <v>0.51921439999999996</v>
      </c>
      <c r="F1611" t="s">
        <v>48</v>
      </c>
      <c r="G1611">
        <v>-454.56909999999999</v>
      </c>
      <c r="H1611">
        <v>8.0001020000000006E-2</v>
      </c>
      <c r="I1611">
        <v>292.27640000000002</v>
      </c>
      <c r="J1611">
        <v>-342.41300000000001</v>
      </c>
      <c r="K1611">
        <v>1.1216889999999999</v>
      </c>
      <c r="L1611">
        <v>284.3365</v>
      </c>
      <c r="M1611">
        <v>-0.99980769999999997</v>
      </c>
      <c r="N1611">
        <v>-1.3427649999999999E-2</v>
      </c>
      <c r="O1611">
        <v>-1.4299859999999999E-2</v>
      </c>
      <c r="P1611">
        <v>-0.98101450000000001</v>
      </c>
      <c r="Q1611">
        <v>0.1919343</v>
      </c>
      <c r="R1611">
        <v>2.7782080000000001E-2</v>
      </c>
      <c r="S1611">
        <v>-3.056305</v>
      </c>
      <c r="T1611">
        <v>-2.831125E-2</v>
      </c>
      <c r="U1611">
        <v>0.21566769999999999</v>
      </c>
      <c r="V1611">
        <v>4.1571160000000003E-2</v>
      </c>
      <c r="W1611">
        <v>0.2051316</v>
      </c>
      <c r="X1611">
        <v>0.97785120000000003</v>
      </c>
      <c r="Y1611">
        <v>8.4639309999999995E-2</v>
      </c>
      <c r="Z1611">
        <v>9.0107869999999995E-4</v>
      </c>
      <c r="AA1611">
        <v>0.9964113</v>
      </c>
      <c r="AB1611">
        <v>30</v>
      </c>
      <c r="AC1611">
        <v>-112.156099999999</v>
      </c>
      <c r="AD1611">
        <v>-1.0416879799999901</v>
      </c>
      <c r="AE1611">
        <v>7.9399000000000202</v>
      </c>
      <c r="AF1611">
        <v>9.5422299200380198</v>
      </c>
      <c r="AG1611">
        <v>-1.0416879799999901</v>
      </c>
      <c r="AH1611">
        <v>112.021465260298</v>
      </c>
      <c r="AI1611">
        <v>90.530855935322705</v>
      </c>
      <c r="AJ1611">
        <v>85.131175339741404</v>
      </c>
      <c r="AK1611">
        <v>112.43197029652499</v>
      </c>
      <c r="AL1611">
        <v>78.162797730534393</v>
      </c>
      <c r="AM1611">
        <v>87.565663736573399</v>
      </c>
      <c r="AN1611">
        <v>1.0000000520018699</v>
      </c>
    </row>
    <row r="1612" spans="1:40" x14ac:dyDescent="0.25">
      <c r="A1612" t="str">
        <f>"20190303162534256"</f>
        <v>20190303162534256</v>
      </c>
      <c r="B1612" t="str">
        <f>"1551601534244181"</f>
        <v>1551601534244181</v>
      </c>
      <c r="C1612" t="s">
        <v>40</v>
      </c>
      <c r="D1612">
        <v>4.1274920000000002</v>
      </c>
      <c r="E1612">
        <v>0.51940359999999997</v>
      </c>
      <c r="F1612" t="s">
        <v>50</v>
      </c>
      <c r="G1612">
        <v>-475.84960000000001</v>
      </c>
      <c r="H1612">
        <v>0.12508159999999999</v>
      </c>
      <c r="I1612">
        <v>293.7439</v>
      </c>
      <c r="J1612">
        <v>-342.72829999999999</v>
      </c>
      <c r="K1612">
        <v>1.121694</v>
      </c>
      <c r="L1612">
        <v>284.3313</v>
      </c>
      <c r="M1612">
        <v>-0.99979870000000004</v>
      </c>
      <c r="N1612">
        <v>-1.343013E-2</v>
      </c>
      <c r="O1612">
        <v>-1.4910349999999999E-2</v>
      </c>
      <c r="P1612">
        <v>-0.9807205</v>
      </c>
      <c r="Q1612">
        <v>0.1933126</v>
      </c>
      <c r="R1612">
        <v>2.8594950000000001E-2</v>
      </c>
      <c r="S1612">
        <v>-3.0564580000000001</v>
      </c>
      <c r="T1612">
        <v>-2.2827980000000001E-2</v>
      </c>
      <c r="U1612">
        <v>0.2154846</v>
      </c>
      <c r="V1612">
        <v>4.2979139999999999E-2</v>
      </c>
      <c r="W1612">
        <v>0.20650859999999999</v>
      </c>
      <c r="X1612">
        <v>0.97750040000000005</v>
      </c>
      <c r="Y1612">
        <v>8.5186929999999994E-2</v>
      </c>
      <c r="Z1612">
        <v>8.0175869999999998E-4</v>
      </c>
      <c r="AA1612">
        <v>0.99636469999999999</v>
      </c>
      <c r="AB1612">
        <v>30</v>
      </c>
      <c r="AC1612">
        <v>-133.12129999999999</v>
      </c>
      <c r="AD1612">
        <v>-0.99661239999999995</v>
      </c>
      <c r="AE1612">
        <v>9.4125999999999905</v>
      </c>
      <c r="AF1612">
        <v>11.3959819931569</v>
      </c>
      <c r="AG1612">
        <v>-0.99661239999999995</v>
      </c>
      <c r="AH1612">
        <v>132.95872607870601</v>
      </c>
      <c r="AI1612">
        <v>90.427892424190901</v>
      </c>
      <c r="AJ1612">
        <v>85.101112987218599</v>
      </c>
      <c r="AK1612">
        <v>133.44993249281401</v>
      </c>
      <c r="AL1612">
        <v>78.082174915522501</v>
      </c>
      <c r="AM1612">
        <v>87.482417091831707</v>
      </c>
      <c r="AN1612">
        <v>1.00000002017462</v>
      </c>
    </row>
    <row r="1613" spans="1:40" x14ac:dyDescent="0.25">
      <c r="A1613" t="str">
        <f>"20190303162534280"</f>
        <v>20190303162534280</v>
      </c>
      <c r="B1613" t="str">
        <f>"1551601534265653"</f>
        <v>1551601534265653</v>
      </c>
      <c r="C1613" t="s">
        <v>40</v>
      </c>
      <c r="D1613">
        <v>4.133235</v>
      </c>
      <c r="E1613">
        <v>0.51953839999999996</v>
      </c>
      <c r="F1613" t="s">
        <v>50</v>
      </c>
      <c r="G1613">
        <v>-476.09660000000002</v>
      </c>
      <c r="H1613">
        <v>0.283035799999999</v>
      </c>
      <c r="I1613">
        <v>293.86329999999998</v>
      </c>
      <c r="J1613">
        <v>-343.03640000000001</v>
      </c>
      <c r="K1613">
        <v>1.1216889999999999</v>
      </c>
      <c r="L1613">
        <v>284.32600000000002</v>
      </c>
      <c r="M1613">
        <v>-0.99978999999999996</v>
      </c>
      <c r="N1613">
        <v>-1.3431830000000001E-2</v>
      </c>
      <c r="O1613">
        <v>-1.548649E-2</v>
      </c>
      <c r="P1613">
        <v>-0.98044849999999995</v>
      </c>
      <c r="Q1613">
        <v>0.194498</v>
      </c>
      <c r="R1613">
        <v>2.986018E-2</v>
      </c>
      <c r="S1613">
        <v>-3.0563959999999999</v>
      </c>
      <c r="T1613">
        <v>-1.921952E-2</v>
      </c>
      <c r="U1613">
        <v>0.21844479999999999</v>
      </c>
      <c r="V1613">
        <v>4.4809769999999999E-2</v>
      </c>
      <c r="W1613">
        <v>0.20769209999999999</v>
      </c>
      <c r="X1613">
        <v>0.97716740000000002</v>
      </c>
      <c r="Y1613">
        <v>8.6723679999999997E-2</v>
      </c>
      <c r="Z1613">
        <v>7.4507019999999998E-4</v>
      </c>
      <c r="AA1613">
        <v>0.99623220000000001</v>
      </c>
      <c r="AB1613">
        <v>30</v>
      </c>
      <c r="AC1613">
        <v>-133.06020000000001</v>
      </c>
      <c r="AD1613">
        <v>-0.83865319999999899</v>
      </c>
      <c r="AE1613">
        <v>9.5373000000000108</v>
      </c>
      <c r="AF1613">
        <v>11.5965187988366</v>
      </c>
      <c r="AG1613">
        <v>-0.83865319999999899</v>
      </c>
      <c r="AH1613">
        <v>132.891275379864</v>
      </c>
      <c r="AI1613">
        <v>90.360209834807307</v>
      </c>
      <c r="AJ1613">
        <v>85.012819864925206</v>
      </c>
      <c r="AK1613">
        <v>133.398926755535</v>
      </c>
      <c r="AL1613">
        <v>78.012862714669893</v>
      </c>
      <c r="AM1613">
        <v>87.374438252904795</v>
      </c>
      <c r="AN1613">
        <v>1.00000002575631</v>
      </c>
    </row>
    <row r="1614" spans="1:40" x14ac:dyDescent="0.25">
      <c r="A1614" t="str">
        <f>"20190303162534300"</f>
        <v>20190303162534300</v>
      </c>
      <c r="B1614" t="str">
        <f>"1551601534294932"</f>
        <v>1551601534294932</v>
      </c>
      <c r="C1614" t="s">
        <v>40</v>
      </c>
      <c r="D1614">
        <v>4.1324489999999896</v>
      </c>
      <c r="E1614">
        <v>0.51969900000000002</v>
      </c>
      <c r="F1614" t="s">
        <v>50</v>
      </c>
      <c r="G1614">
        <v>-476.12529999999998</v>
      </c>
      <c r="H1614">
        <v>0.41116760000000002</v>
      </c>
      <c r="I1614">
        <v>294.02449999999999</v>
      </c>
      <c r="J1614">
        <v>-343.32819999999998</v>
      </c>
      <c r="K1614">
        <v>1.121669</v>
      </c>
      <c r="L1614">
        <v>284.32100000000003</v>
      </c>
      <c r="M1614">
        <v>-0.99978199999999995</v>
      </c>
      <c r="N1614">
        <v>-1.343282E-2</v>
      </c>
      <c r="O1614">
        <v>-1.5996759999999999E-2</v>
      </c>
      <c r="P1614">
        <v>-0.98019319999999999</v>
      </c>
      <c r="Q1614">
        <v>0.19566829999999999</v>
      </c>
      <c r="R1614">
        <v>3.058379E-2</v>
      </c>
      <c r="S1614">
        <v>-3.0562740000000002</v>
      </c>
      <c r="T1614">
        <v>-1.6316529999999999E-2</v>
      </c>
      <c r="U1614">
        <v>0.22271730000000001</v>
      </c>
      <c r="V1614">
        <v>4.6039530000000002E-2</v>
      </c>
      <c r="W1614">
        <v>0.2088585</v>
      </c>
      <c r="X1614">
        <v>0.97686150000000005</v>
      </c>
      <c r="Y1614">
        <v>8.8621060000000001E-2</v>
      </c>
      <c r="Z1614">
        <v>7.0300419999999998E-4</v>
      </c>
      <c r="AA1614">
        <v>0.99606510000000004</v>
      </c>
      <c r="AB1614">
        <v>30</v>
      </c>
      <c r="AC1614">
        <v>-132.7971</v>
      </c>
      <c r="AD1614">
        <v>-0.71050139999999995</v>
      </c>
      <c r="AE1614">
        <v>9.7035000000000196</v>
      </c>
      <c r="AF1614">
        <v>11.8264360244783</v>
      </c>
      <c r="AG1614">
        <v>-0.71050139999999995</v>
      </c>
      <c r="AH1614">
        <v>132.621089990467</v>
      </c>
      <c r="AI1614">
        <v>90.305739045441996</v>
      </c>
      <c r="AJ1614">
        <v>84.904149392669794</v>
      </c>
      <c r="AK1614">
        <v>133.14925051062099</v>
      </c>
      <c r="AL1614">
        <v>77.944533575774599</v>
      </c>
      <c r="AM1614">
        <v>87.301643843409096</v>
      </c>
      <c r="AN1614">
        <v>0.99999995076355896</v>
      </c>
    </row>
    <row r="1615" spans="1:40" x14ac:dyDescent="0.25">
      <c r="A1615" t="str">
        <f>"20190303162534323"</f>
        <v>20190303162534323</v>
      </c>
      <c r="B1615" t="str">
        <f>"1551601534314452"</f>
        <v>1551601534314452</v>
      </c>
      <c r="C1615" t="s">
        <v>40</v>
      </c>
      <c r="D1615">
        <v>4.1623070000000002</v>
      </c>
      <c r="E1615">
        <v>0.51981480000000002</v>
      </c>
      <c r="F1615" t="s">
        <v>54</v>
      </c>
      <c r="G1615">
        <v>-510.95370000000003</v>
      </c>
      <c r="H1615">
        <v>0.29317870000000001</v>
      </c>
      <c r="I1615">
        <v>296.68709999999999</v>
      </c>
      <c r="J1615">
        <v>-343.63490000000002</v>
      </c>
      <c r="K1615">
        <v>1.1216330000000001</v>
      </c>
      <c r="L1615">
        <v>284.31540000000001</v>
      </c>
      <c r="M1615">
        <v>-0.99977369999999999</v>
      </c>
      <c r="N1615">
        <v>-1.3433280000000001E-2</v>
      </c>
      <c r="O1615">
        <v>-1.6498200000000001E-2</v>
      </c>
      <c r="P1615">
        <v>-0.98013539999999999</v>
      </c>
      <c r="Q1615">
        <v>0.1958771</v>
      </c>
      <c r="R1615">
        <v>3.109547E-2</v>
      </c>
      <c r="S1615">
        <v>-3.05661</v>
      </c>
      <c r="T1615">
        <v>-1.510572E-2</v>
      </c>
      <c r="U1615">
        <v>0.22549440000000001</v>
      </c>
      <c r="V1615">
        <v>4.7056899999999999E-2</v>
      </c>
      <c r="W1615">
        <v>0.2090641</v>
      </c>
      <c r="X1615">
        <v>0.97676909999999895</v>
      </c>
      <c r="Y1615">
        <v>9.0013040000000002E-2</v>
      </c>
      <c r="Z1615">
        <v>6.8768699999999998E-4</v>
      </c>
      <c r="AA1615">
        <v>0.9959403</v>
      </c>
      <c r="AB1615">
        <v>30</v>
      </c>
      <c r="AC1615">
        <v>-167.31880000000001</v>
      </c>
      <c r="AD1615">
        <v>-0.82845429999999998</v>
      </c>
      <c r="AE1615">
        <v>12.371699999999899</v>
      </c>
      <c r="AF1615">
        <v>15.1303549298002</v>
      </c>
      <c r="AG1615">
        <v>-0.82845429999999998</v>
      </c>
      <c r="AH1615">
        <v>167.087819816934</v>
      </c>
      <c r="AI1615">
        <v>90.282923838259094</v>
      </c>
      <c r="AJ1615">
        <v>84.825789469683301</v>
      </c>
      <c r="AK1615">
        <v>167.77351849444199</v>
      </c>
      <c r="AL1615">
        <v>77.932488388545593</v>
      </c>
      <c r="AM1615">
        <v>87.241846823741</v>
      </c>
      <c r="AN1615">
        <v>1.0000000122306101</v>
      </c>
    </row>
    <row r="1616" spans="1:40" x14ac:dyDescent="0.25">
      <c r="A1616" t="str">
        <f>"20190303162534344"</f>
        <v>20190303162534344</v>
      </c>
      <c r="B1616" t="str">
        <f>"1551601534334947"</f>
        <v>1551601534334947</v>
      </c>
      <c r="C1616" t="s">
        <v>40</v>
      </c>
      <c r="D1616">
        <v>4.1524470000000004</v>
      </c>
      <c r="E1616">
        <v>0.51990259999999999</v>
      </c>
      <c r="F1616" t="s">
        <v>54</v>
      </c>
      <c r="G1616">
        <v>-510.95370000000003</v>
      </c>
      <c r="H1616">
        <v>0.23227139999999999</v>
      </c>
      <c r="I1616">
        <v>296.78840000000002</v>
      </c>
      <c r="J1616">
        <v>-343.9221</v>
      </c>
      <c r="K1616">
        <v>1.121605</v>
      </c>
      <c r="L1616">
        <v>284.31020000000001</v>
      </c>
      <c r="M1616">
        <v>-0.9997665</v>
      </c>
      <c r="N1616">
        <v>-1.3433560000000001E-2</v>
      </c>
      <c r="O1616">
        <v>-1.6925320000000001E-2</v>
      </c>
      <c r="P1616">
        <v>-0.98028669999999996</v>
      </c>
      <c r="Q1616">
        <v>0.1950759</v>
      </c>
      <c r="R1616">
        <v>3.1361319999999998E-2</v>
      </c>
      <c r="S1616">
        <v>-3.0568240000000002</v>
      </c>
      <c r="T1616">
        <v>-1.624656E-2</v>
      </c>
      <c r="U1616">
        <v>0.22787479999999999</v>
      </c>
      <c r="V1616">
        <v>4.7761329999999998E-2</v>
      </c>
      <c r="W1616">
        <v>0.2082611</v>
      </c>
      <c r="X1616">
        <v>0.97690639999999995</v>
      </c>
      <c r="Y1616">
        <v>9.1204250000000001E-2</v>
      </c>
      <c r="Z1616">
        <v>7.1832519999999998E-4</v>
      </c>
      <c r="AA1616">
        <v>0.99583200000000005</v>
      </c>
      <c r="AB1616">
        <v>30</v>
      </c>
      <c r="AC1616">
        <v>-167.0316</v>
      </c>
      <c r="AD1616">
        <v>-0.88933359999999995</v>
      </c>
      <c r="AE1616">
        <v>12.478199999999999</v>
      </c>
      <c r="AF1616">
        <v>15.303299264003501</v>
      </c>
      <c r="AG1616">
        <v>-0.88933359999999995</v>
      </c>
      <c r="AH1616">
        <v>166.79175082665299</v>
      </c>
      <c r="AI1616">
        <v>90.304220404418899</v>
      </c>
      <c r="AJ1616">
        <v>84.757735922683295</v>
      </c>
      <c r="AK1616">
        <v>167.49468656180099</v>
      </c>
      <c r="AL1616">
        <v>77.979531962803193</v>
      </c>
      <c r="AM1616">
        <v>87.201015970262802</v>
      </c>
      <c r="AN1616">
        <v>0.99999997238876903</v>
      </c>
    </row>
    <row r="1617" spans="1:40" x14ac:dyDescent="0.25">
      <c r="A1617" t="str">
        <f>"20190303162534368"</f>
        <v>20190303162534368</v>
      </c>
      <c r="B1617" t="str">
        <f>"1551601534354468"</f>
        <v>1551601534354468</v>
      </c>
      <c r="C1617" t="s">
        <v>40</v>
      </c>
      <c r="D1617">
        <v>4.1320399999999999</v>
      </c>
      <c r="E1617">
        <v>0.51995959999999997</v>
      </c>
      <c r="F1617" t="s">
        <v>46</v>
      </c>
      <c r="G1617">
        <v>-499.9751</v>
      </c>
      <c r="H1617">
        <v>6.7352140000000005E-2</v>
      </c>
      <c r="I1617">
        <v>296.00020000000001</v>
      </c>
      <c r="J1617">
        <v>-344.2328</v>
      </c>
      <c r="K1617">
        <v>1.121559</v>
      </c>
      <c r="L1617">
        <v>284.30450000000002</v>
      </c>
      <c r="M1617">
        <v>-0.99975979999999998</v>
      </c>
      <c r="N1617">
        <v>-1.343339E-2</v>
      </c>
      <c r="O1617">
        <v>-1.732616E-2</v>
      </c>
      <c r="P1617">
        <v>-0.98051900000000003</v>
      </c>
      <c r="Q1617">
        <v>0.19387760000000001</v>
      </c>
      <c r="R1617">
        <v>3.1530660000000002E-2</v>
      </c>
      <c r="S1617">
        <v>-3.0570369999999998</v>
      </c>
      <c r="T1617">
        <v>-2.0652529999999999E-2</v>
      </c>
      <c r="U1617">
        <v>0.22900390000000001</v>
      </c>
      <c r="V1617">
        <v>4.835014E-2</v>
      </c>
      <c r="W1617">
        <v>0.20706140000000001</v>
      </c>
      <c r="X1617">
        <v>0.97713240000000001</v>
      </c>
      <c r="Y1617">
        <v>9.1962569999999993E-2</v>
      </c>
      <c r="Z1617">
        <v>8.1328949999999998E-4</v>
      </c>
      <c r="AA1617">
        <v>0.99576209999999998</v>
      </c>
      <c r="AB1617">
        <v>30</v>
      </c>
      <c r="AC1617">
        <v>-155.7423</v>
      </c>
      <c r="AD1617">
        <v>-1.0542068600000001</v>
      </c>
      <c r="AE1617">
        <v>11.695699999999899</v>
      </c>
      <c r="AF1617">
        <v>14.391947432279601</v>
      </c>
      <c r="AG1617">
        <v>-1.0542068600000001</v>
      </c>
      <c r="AH1617">
        <v>155.509172412992</v>
      </c>
      <c r="AI1617">
        <v>90.386753202665901</v>
      </c>
      <c r="AJ1617">
        <v>84.712494231239802</v>
      </c>
      <c r="AK1617">
        <v>156.177278141127</v>
      </c>
      <c r="AL1617">
        <v>78.049801183728903</v>
      </c>
      <c r="AM1617">
        <v>87.167219771669707</v>
      </c>
      <c r="AN1617">
        <v>0.99999994326886799</v>
      </c>
    </row>
    <row r="1618" spans="1:40" x14ac:dyDescent="0.25">
      <c r="A1618" t="str">
        <f>"20190303162534391"</f>
        <v>20190303162534391</v>
      </c>
      <c r="B1618" t="str">
        <f>"1551601534384724"</f>
        <v>1551601534384724</v>
      </c>
      <c r="C1618" t="s">
        <v>40</v>
      </c>
      <c r="D1618">
        <v>4.1509150000000004</v>
      </c>
      <c r="E1618">
        <v>0.52006350000000001</v>
      </c>
      <c r="F1618" t="s">
        <v>48</v>
      </c>
      <c r="G1618">
        <v>-468.73950000000002</v>
      </c>
      <c r="H1618">
        <v>8.0000719999999997E-2</v>
      </c>
      <c r="I1618">
        <v>293.66669999999999</v>
      </c>
      <c r="J1618">
        <v>-344.55759999999998</v>
      </c>
      <c r="K1618">
        <v>1.12151</v>
      </c>
      <c r="L1618">
        <v>284.29840000000002</v>
      </c>
      <c r="M1618">
        <v>-0.99975369999999997</v>
      </c>
      <c r="N1618">
        <v>-1.343287E-2</v>
      </c>
      <c r="O1618">
        <v>-1.7672520000000001E-2</v>
      </c>
      <c r="P1618">
        <v>-0.98068699999999998</v>
      </c>
      <c r="Q1618">
        <v>0.19309899999999999</v>
      </c>
      <c r="R1618">
        <v>3.1081640000000001E-2</v>
      </c>
      <c r="S1618">
        <v>-3.0572810000000001</v>
      </c>
      <c r="T1618">
        <v>-2.557564E-2</v>
      </c>
      <c r="U1618">
        <v>0.22988890000000001</v>
      </c>
      <c r="V1618">
        <v>4.8269960000000001E-2</v>
      </c>
      <c r="W1618">
        <v>0.20627809999999999</v>
      </c>
      <c r="X1618">
        <v>0.97730209999999995</v>
      </c>
      <c r="Y1618">
        <v>9.2586219999999997E-2</v>
      </c>
      <c r="Z1618">
        <v>9.2009969999999998E-4</v>
      </c>
      <c r="AA1618">
        <v>0.99570420000000004</v>
      </c>
      <c r="AB1618">
        <v>30</v>
      </c>
      <c r="AC1618">
        <v>-124.1819</v>
      </c>
      <c r="AD1618">
        <v>-1.0415092800000001</v>
      </c>
      <c r="AE1618">
        <v>9.3682999999999694</v>
      </c>
      <c r="AF1618">
        <v>11.5608329727193</v>
      </c>
      <c r="AG1618">
        <v>-1.0415092800000001</v>
      </c>
      <c r="AH1618">
        <v>123.98825435461799</v>
      </c>
      <c r="AI1618">
        <v>90.479198440765003</v>
      </c>
      <c r="AJ1618">
        <v>84.673065561497097</v>
      </c>
      <c r="AK1618">
        <v>124.53041724217</v>
      </c>
      <c r="AL1618">
        <v>78.095672188401906</v>
      </c>
      <c r="AM1618">
        <v>87.172400071031106</v>
      </c>
      <c r="AN1618">
        <v>1.0000000191212099</v>
      </c>
    </row>
    <row r="1619" spans="1:40" x14ac:dyDescent="0.25">
      <c r="A1619" t="str">
        <f>"20190303162534413"</f>
        <v>20190303162534413</v>
      </c>
      <c r="B1619" t="str">
        <f>"1551601534404244"</f>
        <v>1551601534404244</v>
      </c>
      <c r="C1619" t="s">
        <v>40</v>
      </c>
      <c r="D1619">
        <v>4.1585900000000002</v>
      </c>
      <c r="E1619">
        <v>0.52014199999999999</v>
      </c>
      <c r="F1619" t="s">
        <v>48</v>
      </c>
      <c r="G1619">
        <v>-450.4436</v>
      </c>
      <c r="H1619">
        <v>7.9999810000000005E-2</v>
      </c>
      <c r="I1619">
        <v>292.2423</v>
      </c>
      <c r="J1619">
        <v>-344.84120000000001</v>
      </c>
      <c r="K1619">
        <v>1.121472</v>
      </c>
      <c r="L1619">
        <v>284.29309999999998</v>
      </c>
      <c r="M1619">
        <v>-0.99974940000000001</v>
      </c>
      <c r="N1619">
        <v>-1.343217E-2</v>
      </c>
      <c r="O1619">
        <v>-1.791562E-2</v>
      </c>
      <c r="P1619">
        <v>-0.98061569999999998</v>
      </c>
      <c r="Q1619">
        <v>0.19362960000000001</v>
      </c>
      <c r="R1619">
        <v>3.0013379999999999E-2</v>
      </c>
      <c r="S1619">
        <v>-3.0577390000000002</v>
      </c>
      <c r="T1619">
        <v>-3.007638E-2</v>
      </c>
      <c r="U1619">
        <v>0.22940060000000001</v>
      </c>
      <c r="V1619">
        <v>4.7461950000000003E-2</v>
      </c>
      <c r="W1619">
        <v>0.2068015</v>
      </c>
      <c r="X1619">
        <v>0.97723099999999996</v>
      </c>
      <c r="Y1619">
        <v>9.2657039999999996E-2</v>
      </c>
      <c r="Z1619">
        <v>1.0139750000000001E-3</v>
      </c>
      <c r="AA1619">
        <v>0.99569759999999996</v>
      </c>
      <c r="AB1619">
        <v>30</v>
      </c>
      <c r="AC1619">
        <v>-105.6024</v>
      </c>
      <c r="AD1619">
        <v>-1.0414721899999999</v>
      </c>
      <c r="AE1619">
        <v>7.94920000000001</v>
      </c>
      <c r="AF1619">
        <v>9.8390752814273501</v>
      </c>
      <c r="AG1619">
        <v>-1.0414721899999999</v>
      </c>
      <c r="AH1619">
        <v>105.432823399692</v>
      </c>
      <c r="AI1619">
        <v>90.563504737538096</v>
      </c>
      <c r="AJ1619">
        <v>84.668553102623505</v>
      </c>
      <c r="AK1619">
        <v>105.896044858846</v>
      </c>
      <c r="AL1619">
        <v>78.065022030901702</v>
      </c>
      <c r="AM1619">
        <v>87.219455516045699</v>
      </c>
      <c r="AN1619">
        <v>0.99999996223052501</v>
      </c>
    </row>
    <row r="1620" spans="1:40" x14ac:dyDescent="0.25">
      <c r="A1620" t="str">
        <f>"20190303162534434"</f>
        <v>20190303162534434</v>
      </c>
      <c r="B1620" t="str">
        <f>"1551601534424740"</f>
        <v>1551601534424740</v>
      </c>
      <c r="C1620" t="s">
        <v>40</v>
      </c>
      <c r="D1620">
        <v>4.2757940000000003</v>
      </c>
      <c r="E1620">
        <v>0.51955810000000002</v>
      </c>
      <c r="F1620" t="s">
        <v>48</v>
      </c>
      <c r="G1620">
        <v>-452.03809999999999</v>
      </c>
      <c r="H1620">
        <v>8.0000280000000007E-2</v>
      </c>
      <c r="I1620">
        <v>292.23989999999998</v>
      </c>
      <c r="J1620">
        <v>-345.13459999999998</v>
      </c>
      <c r="K1620">
        <v>1.1214299999999999</v>
      </c>
      <c r="L1620">
        <v>284.2876</v>
      </c>
      <c r="M1620">
        <v>-0.99974569999999996</v>
      </c>
      <c r="N1620">
        <v>-1.343112E-2</v>
      </c>
      <c r="O1620">
        <v>-1.8112690000000001E-2</v>
      </c>
      <c r="P1620">
        <v>-0.98055110000000001</v>
      </c>
      <c r="Q1620">
        <v>0.19406190000000001</v>
      </c>
      <c r="R1620">
        <v>2.931868E-2</v>
      </c>
      <c r="S1620">
        <v>-3.0582280000000002</v>
      </c>
      <c r="T1620">
        <v>-2.9712200000000001E-2</v>
      </c>
      <c r="U1620">
        <v>0.2267151</v>
      </c>
      <c r="V1620">
        <v>4.6982709999999997E-2</v>
      </c>
      <c r="W1620">
        <v>0.2072261</v>
      </c>
      <c r="X1620">
        <v>0.97716429999999999</v>
      </c>
      <c r="Y1620">
        <v>9.1972139999999994E-2</v>
      </c>
      <c r="Z1620">
        <v>9.9753660000000003E-4</v>
      </c>
      <c r="AA1620">
        <v>0.99576109999999896</v>
      </c>
      <c r="AB1620">
        <v>30</v>
      </c>
      <c r="AC1620">
        <v>-106.90349999999999</v>
      </c>
      <c r="AD1620">
        <v>-1.04142972</v>
      </c>
      <c r="AE1620">
        <v>7.9522999999999797</v>
      </c>
      <c r="AF1620">
        <v>9.8865468103865997</v>
      </c>
      <c r="AG1620">
        <v>-1.04142972</v>
      </c>
      <c r="AH1620">
        <v>106.73183562101001</v>
      </c>
      <c r="AI1620">
        <v>90.556659622255594</v>
      </c>
      <c r="AJ1620">
        <v>84.707806041777104</v>
      </c>
      <c r="AK1620">
        <v>107.19381100943301</v>
      </c>
      <c r="AL1620">
        <v>78.040156655169497</v>
      </c>
      <c r="AM1620">
        <v>87.247300660239603</v>
      </c>
      <c r="AN1620">
        <v>1.0000000503773201</v>
      </c>
    </row>
    <row r="1621" spans="1:40" x14ac:dyDescent="0.25">
      <c r="A1621" t="str">
        <f>"20190303162534458"</f>
        <v>20190303162534458</v>
      </c>
      <c r="B1621" t="str">
        <f>"1551601534444260"</f>
        <v>1551601534444260</v>
      </c>
      <c r="C1621" t="s">
        <v>40</v>
      </c>
      <c r="D1621">
        <v>4.2508319999999999</v>
      </c>
      <c r="E1621">
        <v>0.48045860000000001</v>
      </c>
      <c r="F1621" t="s">
        <v>48</v>
      </c>
      <c r="G1621">
        <v>-449.92099999999999</v>
      </c>
      <c r="H1621">
        <v>8.0001149999999993E-2</v>
      </c>
      <c r="I1621">
        <v>291.82389999999998</v>
      </c>
      <c r="J1621">
        <v>-345.45530000000002</v>
      </c>
      <c r="K1621">
        <v>1.1213869999999999</v>
      </c>
      <c r="L1621">
        <v>284.28149999999999</v>
      </c>
      <c r="M1621">
        <v>-0.99974289999999999</v>
      </c>
      <c r="N1621">
        <v>-1.342992E-2</v>
      </c>
      <c r="O1621">
        <v>-1.8270290000000002E-2</v>
      </c>
      <c r="P1621">
        <v>-0.98051100000000002</v>
      </c>
      <c r="Q1621">
        <v>0.19425890000000001</v>
      </c>
      <c r="R1621">
        <v>2.9366179999999999E-2</v>
      </c>
      <c r="S1621">
        <v>-3.058929</v>
      </c>
      <c r="T1621">
        <v>-3.040147E-2</v>
      </c>
      <c r="U1621">
        <v>0.22000120000000001</v>
      </c>
      <c r="V1621">
        <v>4.7208409999999999E-2</v>
      </c>
      <c r="W1621">
        <v>0.20741589999999999</v>
      </c>
      <c r="X1621">
        <v>0.97711309999999996</v>
      </c>
      <c r="Y1621">
        <v>8.993806E-2</v>
      </c>
      <c r="Z1621">
        <v>9.8744270000000007E-4</v>
      </c>
      <c r="AA1621">
        <v>0.99594689999999997</v>
      </c>
      <c r="AB1621">
        <v>30</v>
      </c>
      <c r="AC1621">
        <v>-104.465699999999</v>
      </c>
      <c r="AD1621">
        <v>-1.0413858499999999</v>
      </c>
      <c r="AE1621">
        <v>7.5423999999999802</v>
      </c>
      <c r="AF1621">
        <v>9.4489974543589703</v>
      </c>
      <c r="AG1621">
        <v>-1.0413858499999999</v>
      </c>
      <c r="AH1621">
        <v>104.30013458271399</v>
      </c>
      <c r="AI1621">
        <v>90.569718336779104</v>
      </c>
      <c r="AJ1621">
        <v>84.8234600765783</v>
      </c>
      <c r="AK1621">
        <v>104.732450135349</v>
      </c>
      <c r="AL1621">
        <v>78.0290397798329</v>
      </c>
      <c r="AM1621">
        <v>87.233952761489903</v>
      </c>
      <c r="AN1621">
        <v>0.999999999869573</v>
      </c>
    </row>
    <row r="1622" spans="1:40" x14ac:dyDescent="0.25">
      <c r="A1622" t="str">
        <f>"20190303162534480"</f>
        <v>20190303162534480</v>
      </c>
      <c r="B1622" t="str">
        <f>"1551601534474516"</f>
        <v>1551601534474516</v>
      </c>
      <c r="C1622" t="s">
        <v>40</v>
      </c>
      <c r="D1622">
        <v>4.287795</v>
      </c>
      <c r="E1622">
        <v>0.47644029999999998</v>
      </c>
      <c r="F1622" t="s">
        <v>51</v>
      </c>
      <c r="G1622">
        <v>-416.3021</v>
      </c>
      <c r="H1622" s="1">
        <v>3.5408029999999999E-6</v>
      </c>
      <c r="I1622">
        <v>282.13220000000001</v>
      </c>
      <c r="J1622">
        <v>-345.7484</v>
      </c>
      <c r="K1622">
        <v>1.121346</v>
      </c>
      <c r="L1622">
        <v>284.27600000000001</v>
      </c>
      <c r="M1622">
        <v>-0.99974149999999995</v>
      </c>
      <c r="N1622">
        <v>-1.342873E-2</v>
      </c>
      <c r="O1622">
        <v>-1.8356839999999999E-2</v>
      </c>
      <c r="P1622">
        <v>-0.98035220000000001</v>
      </c>
      <c r="Q1622">
        <v>0.19508420000000001</v>
      </c>
      <c r="R1622">
        <v>2.9190509999999999E-2</v>
      </c>
      <c r="S1622">
        <v>-3.0720519999999998</v>
      </c>
      <c r="T1622">
        <v>-4.8625349999999998E-2</v>
      </c>
      <c r="U1622">
        <v>-9.3200679999999994E-2</v>
      </c>
      <c r="V1622">
        <v>4.713548E-2</v>
      </c>
      <c r="W1622">
        <v>0.2082331</v>
      </c>
      <c r="X1622">
        <v>0.9769428</v>
      </c>
      <c r="Y1622">
        <v>-1.196642E-2</v>
      </c>
      <c r="Z1622">
        <v>-1.3110309999999999E-4</v>
      </c>
      <c r="AA1622">
        <v>0.99992840000000005</v>
      </c>
      <c r="AB1622">
        <v>30</v>
      </c>
      <c r="AC1622">
        <v>-70.553699999999907</v>
      </c>
      <c r="AD1622">
        <v>-1.121342459197</v>
      </c>
      <c r="AE1622">
        <v>-2.1438000000000001</v>
      </c>
      <c r="AF1622">
        <v>-0.84796516762255902</v>
      </c>
      <c r="AG1622">
        <v>-1.121342459197</v>
      </c>
      <c r="AH1622">
        <v>70.563358416787906</v>
      </c>
      <c r="AI1622">
        <v>90.910361226133105</v>
      </c>
      <c r="AJ1622">
        <v>90.688494536803802</v>
      </c>
      <c r="AK1622">
        <v>70.577361844237103</v>
      </c>
      <c r="AL1622">
        <v>77.98117261422</v>
      </c>
      <c r="AM1622">
        <v>87.237738587587401</v>
      </c>
      <c r="AN1622">
        <v>1.00000000594114</v>
      </c>
    </row>
    <row r="1623" spans="1:40" x14ac:dyDescent="0.25">
      <c r="A1623" t="str">
        <f>"20190303162534502"</f>
        <v>20190303162534502</v>
      </c>
      <c r="B1623" t="str">
        <f>"1551601534494038"</f>
        <v>1551601534494038</v>
      </c>
      <c r="C1623" t="s">
        <v>40</v>
      </c>
      <c r="D1623">
        <v>4.266775</v>
      </c>
      <c r="E1623">
        <v>0.47732069999999999</v>
      </c>
      <c r="F1623" t="s">
        <v>51</v>
      </c>
      <c r="G1623">
        <v>-405.5</v>
      </c>
      <c r="H1623" s="1">
        <v>6.5422330000000001E-6</v>
      </c>
      <c r="I1623">
        <v>281.81420000000003</v>
      </c>
      <c r="J1623">
        <v>-346.05720000000002</v>
      </c>
      <c r="K1623">
        <v>1.1213089999999999</v>
      </c>
      <c r="L1623">
        <v>284.27030000000002</v>
      </c>
      <c r="M1623">
        <v>-0.99974050000000003</v>
      </c>
      <c r="N1623">
        <v>-1.342732E-2</v>
      </c>
      <c r="O1623">
        <v>-1.84035E-2</v>
      </c>
      <c r="P1623">
        <v>-0.9803212</v>
      </c>
      <c r="Q1623">
        <v>0.1952895</v>
      </c>
      <c r="R1623">
        <v>2.8849440000000001E-2</v>
      </c>
      <c r="S1623">
        <v>-3.0754090000000001</v>
      </c>
      <c r="T1623">
        <v>-5.7715179999999998E-2</v>
      </c>
      <c r="U1623">
        <v>-0.12670899999999999</v>
      </c>
      <c r="V1623">
        <v>4.6859480000000002E-2</v>
      </c>
      <c r="W1623">
        <v>0.20843229999999999</v>
      </c>
      <c r="X1623">
        <v>0.97691360000000005</v>
      </c>
      <c r="Y1623">
        <v>-2.2762640000000001E-2</v>
      </c>
      <c r="Z1623">
        <v>-2.6829080000000002E-4</v>
      </c>
      <c r="AA1623">
        <v>0.99974079999999999</v>
      </c>
      <c r="AB1623">
        <v>30</v>
      </c>
      <c r="AC1623">
        <v>-59.442799999999899</v>
      </c>
      <c r="AD1623">
        <v>-1.1213024577670001</v>
      </c>
      <c r="AE1623">
        <v>-2.45609999999999</v>
      </c>
      <c r="AF1623">
        <v>-1.36114627428753</v>
      </c>
      <c r="AG1623">
        <v>-1.1213024577670001</v>
      </c>
      <c r="AH1623">
        <v>59.456815258925701</v>
      </c>
      <c r="AI1623">
        <v>91.080136235071905</v>
      </c>
      <c r="AJ1623">
        <v>91.311444558765999</v>
      </c>
      <c r="AK1623">
        <v>59.482963267777897</v>
      </c>
      <c r="AL1623">
        <v>77.969503273585403</v>
      </c>
      <c r="AM1623">
        <v>87.253806116488207</v>
      </c>
      <c r="AN1623">
        <v>1.0000000082070599</v>
      </c>
    </row>
    <row r="1624" spans="1:40" x14ac:dyDescent="0.25">
      <c r="A1624" t="str">
        <f>"20190303162534524"</f>
        <v>20190303162534524</v>
      </c>
      <c r="B1624" t="str">
        <f>"1551601534514532"</f>
        <v>1551601534514532</v>
      </c>
      <c r="C1624" t="s">
        <v>40</v>
      </c>
      <c r="D1624">
        <v>4.2792620000000001</v>
      </c>
      <c r="E1624">
        <v>0.47752040000000001</v>
      </c>
      <c r="F1624" t="s">
        <v>48</v>
      </c>
      <c r="G1624">
        <v>-399.47710000000001</v>
      </c>
      <c r="H1624" s="1">
        <v>3.5064640000000001E-6</v>
      </c>
      <c r="I1624">
        <v>282.16820000000001</v>
      </c>
      <c r="J1624">
        <v>-346.351</v>
      </c>
      <c r="K1624">
        <v>1.1212740000000001</v>
      </c>
      <c r="L1624">
        <v>284.26479999999998</v>
      </c>
      <c r="M1624">
        <v>-0.99974039999999997</v>
      </c>
      <c r="N1624">
        <v>-1.3425869999999999E-2</v>
      </c>
      <c r="O1624">
        <v>-1.8418589999999999E-2</v>
      </c>
      <c r="P1624">
        <v>-0.98040459999999996</v>
      </c>
      <c r="Q1624">
        <v>0.19486290000000001</v>
      </c>
      <c r="R1624">
        <v>2.8906399999999999E-2</v>
      </c>
      <c r="S1624">
        <v>-3.07666</v>
      </c>
      <c r="T1624">
        <v>-6.4580319999999997E-2</v>
      </c>
      <c r="U1624">
        <v>-0.1210632</v>
      </c>
      <c r="V1624">
        <v>4.6948810000000001E-2</v>
      </c>
      <c r="W1624">
        <v>0.2080013</v>
      </c>
      <c r="X1624">
        <v>0.97700120000000001</v>
      </c>
      <c r="Y1624">
        <v>-2.0898799999999999E-2</v>
      </c>
      <c r="Z1624">
        <v>-2.2046030000000001E-4</v>
      </c>
      <c r="AA1624">
        <v>0.99978149999999999</v>
      </c>
      <c r="AB1624">
        <v>30</v>
      </c>
      <c r="AC1624">
        <v>-53.126100000000001</v>
      </c>
      <c r="AD1624">
        <v>-1.1212704935359901</v>
      </c>
      <c r="AE1624">
        <v>-2.0965999999999601</v>
      </c>
      <c r="AF1624">
        <v>-1.1171515306920401</v>
      </c>
      <c r="AG1624">
        <v>-1.1212704935359901</v>
      </c>
      <c r="AH1624">
        <v>53.132074933385901</v>
      </c>
      <c r="AI1624">
        <v>91.208692539097399</v>
      </c>
      <c r="AJ1624">
        <v>91.204519829614398</v>
      </c>
      <c r="AK1624">
        <v>53.155645624798296</v>
      </c>
      <c r="AL1624">
        <v>77.994751484441807</v>
      </c>
      <c r="AM1624">
        <v>87.248825299407798</v>
      </c>
      <c r="AN1624">
        <v>1.00000003818177</v>
      </c>
    </row>
    <row r="1625" spans="1:40" x14ac:dyDescent="0.25">
      <c r="A1625" t="str">
        <f>"20190303162534546"</f>
        <v>20190303162534546</v>
      </c>
      <c r="B1625" t="str">
        <f>"1551601534534754"</f>
        <v>1551601534534754</v>
      </c>
      <c r="C1625" t="s">
        <v>40</v>
      </c>
      <c r="D1625">
        <v>4.2922770000000003</v>
      </c>
      <c r="E1625">
        <v>0.47788589999999997</v>
      </c>
      <c r="F1625" t="s">
        <v>48</v>
      </c>
      <c r="G1625">
        <v>-398.32749999999999</v>
      </c>
      <c r="H1625" s="1">
        <v>2.8946729999999999E-6</v>
      </c>
      <c r="I1625">
        <v>282.25049999999999</v>
      </c>
      <c r="J1625">
        <v>-346.63229999999999</v>
      </c>
      <c r="K1625">
        <v>1.1212359999999999</v>
      </c>
      <c r="L1625">
        <v>284.25959999999998</v>
      </c>
      <c r="M1625">
        <v>-0.99974050000000003</v>
      </c>
      <c r="N1625">
        <v>-1.34244E-2</v>
      </c>
      <c r="O1625">
        <v>-1.8400110000000001E-2</v>
      </c>
      <c r="P1625">
        <v>-0.98070500000000005</v>
      </c>
      <c r="Q1625">
        <v>0.19340080000000001</v>
      </c>
      <c r="R1625">
        <v>2.8531689999999998E-2</v>
      </c>
      <c r="S1625">
        <v>-3.07666</v>
      </c>
      <c r="T1625">
        <v>-6.6371799999999995E-2</v>
      </c>
      <c r="U1625">
        <v>-0.119232199999999</v>
      </c>
      <c r="V1625">
        <v>4.6576109999999997E-2</v>
      </c>
      <c r="W1625">
        <v>0.2065389</v>
      </c>
      <c r="X1625">
        <v>0.97732920000000001</v>
      </c>
      <c r="Y1625">
        <v>-2.032312E-2</v>
      </c>
      <c r="Z1625">
        <v>-2.058583E-4</v>
      </c>
      <c r="AA1625">
        <v>0.9997935</v>
      </c>
      <c r="AB1625">
        <v>30</v>
      </c>
      <c r="AC1625">
        <v>-51.6952</v>
      </c>
      <c r="AD1625">
        <v>-1.1212331053269999</v>
      </c>
      <c r="AE1625">
        <v>-2.0090999999999801</v>
      </c>
      <c r="AF1625">
        <v>-1.0569801630515501</v>
      </c>
      <c r="AG1625">
        <v>-1.1212331053269999</v>
      </c>
      <c r="AH1625">
        <v>51.699133666387802</v>
      </c>
      <c r="AI1625">
        <v>91.242156979244299</v>
      </c>
      <c r="AJ1625">
        <v>91.171239482640203</v>
      </c>
      <c r="AK1625">
        <v>51.722091920151499</v>
      </c>
      <c r="AL1625">
        <v>78.080400457282394</v>
      </c>
      <c r="AM1625">
        <v>87.271546774263598</v>
      </c>
      <c r="AN1625">
        <v>1.0000000082042899</v>
      </c>
    </row>
    <row r="1626" spans="1:40" x14ac:dyDescent="0.25">
      <c r="A1626" t="str">
        <f>"20190303162534569"</f>
        <v>20190303162534569</v>
      </c>
      <c r="B1626" t="str">
        <f>"1551601534564035"</f>
        <v>1551601534564035</v>
      </c>
      <c r="C1626" t="s">
        <v>40</v>
      </c>
      <c r="D1626">
        <v>4.333189</v>
      </c>
      <c r="E1626">
        <v>0.47825119999999999</v>
      </c>
      <c r="F1626" t="s">
        <v>48</v>
      </c>
      <c r="G1626">
        <v>-392.65949999999998</v>
      </c>
      <c r="H1626" s="1">
        <v>-1.21557999999999E-7</v>
      </c>
      <c r="I1626">
        <v>282.50450000000001</v>
      </c>
      <c r="J1626">
        <v>-346.94479999999999</v>
      </c>
      <c r="K1626">
        <v>1.1211850000000001</v>
      </c>
      <c r="L1626">
        <v>284.25389999999999</v>
      </c>
      <c r="M1626">
        <v>-0.99974209999999997</v>
      </c>
      <c r="N1626">
        <v>-1.3422709999999999E-2</v>
      </c>
      <c r="O1626">
        <v>-1.8325080000000001E-2</v>
      </c>
      <c r="P1626">
        <v>-0.98097020000000001</v>
      </c>
      <c r="Q1626">
        <v>0.19215869999999999</v>
      </c>
      <c r="R1626">
        <v>2.779858E-2</v>
      </c>
      <c r="S1626">
        <v>-3.0771790000000001</v>
      </c>
      <c r="T1626">
        <v>-7.4961070000000005E-2</v>
      </c>
      <c r="U1626">
        <v>-0.1173401</v>
      </c>
      <c r="V1626">
        <v>4.5793849999999997E-2</v>
      </c>
      <c r="W1626">
        <v>0.20529439999999999</v>
      </c>
      <c r="X1626">
        <v>0.97762830000000001</v>
      </c>
      <c r="Y1626">
        <v>-1.9776849999999999E-2</v>
      </c>
      <c r="Z1626">
        <v>-1.7336669999999999E-4</v>
      </c>
      <c r="AA1626">
        <v>0.99980440000000004</v>
      </c>
      <c r="AB1626">
        <v>30</v>
      </c>
      <c r="AC1626">
        <v>-45.714699999999901</v>
      </c>
      <c r="AD1626">
        <v>-1.121185121558</v>
      </c>
      <c r="AE1626">
        <v>-1.7493999999999801</v>
      </c>
      <c r="AF1626">
        <v>-0.91075825284176604</v>
      </c>
      <c r="AG1626">
        <v>-1.121185121558</v>
      </c>
      <c r="AH1626">
        <v>45.7116272622984</v>
      </c>
      <c r="AI1626">
        <v>91.404753302286096</v>
      </c>
      <c r="AJ1626">
        <v>91.141409831897207</v>
      </c>
      <c r="AK1626">
        <v>45.734444389750998</v>
      </c>
      <c r="AL1626">
        <v>78.15326627844</v>
      </c>
      <c r="AM1626">
        <v>87.318124021647904</v>
      </c>
      <c r="AN1626">
        <v>0.999999980165036</v>
      </c>
    </row>
    <row r="1627" spans="1:40" x14ac:dyDescent="0.25">
      <c r="A1627" t="str">
        <f>"20190303162534592"</f>
        <v>20190303162534592</v>
      </c>
      <c r="B1627" t="str">
        <f>"1551601534584530"</f>
        <v>1551601534584530</v>
      </c>
      <c r="C1627" t="s">
        <v>40</v>
      </c>
      <c r="D1627">
        <v>4.3589209999999996</v>
      </c>
      <c r="E1627">
        <v>0.47852149999999999</v>
      </c>
      <c r="F1627" t="s">
        <v>48</v>
      </c>
      <c r="G1627">
        <v>-389.8734</v>
      </c>
      <c r="H1627" s="1">
        <v>3.7173700000000002E-6</v>
      </c>
      <c r="I1627">
        <v>282.62759999999997</v>
      </c>
      <c r="J1627">
        <v>-347.2525</v>
      </c>
      <c r="K1627">
        <v>1.121122</v>
      </c>
      <c r="L1627">
        <v>284.2484</v>
      </c>
      <c r="M1627">
        <v>-0.99974450000000004</v>
      </c>
      <c r="N1627">
        <v>-1.342105E-2</v>
      </c>
      <c r="O1627">
        <v>-1.818647E-2</v>
      </c>
      <c r="P1627">
        <v>-0.9813212</v>
      </c>
      <c r="Q1627">
        <v>0.19041140000000001</v>
      </c>
      <c r="R1627">
        <v>2.7427670000000001E-2</v>
      </c>
      <c r="S1627">
        <v>-3.0772089999999999</v>
      </c>
      <c r="T1627">
        <v>-8.0368399999999895E-2</v>
      </c>
      <c r="U1627">
        <v>-0.1165771</v>
      </c>
      <c r="V1627">
        <v>4.5318070000000002E-2</v>
      </c>
      <c r="W1627">
        <v>0.20354539999999999</v>
      </c>
      <c r="X1627">
        <v>0.97801610000000005</v>
      </c>
      <c r="Y1627">
        <v>-1.9666880000000001E-2</v>
      </c>
      <c r="Z1627">
        <v>-1.5809559999999901E-4</v>
      </c>
      <c r="AA1627">
        <v>0.99980659999999999</v>
      </c>
      <c r="AB1627">
        <v>30</v>
      </c>
      <c r="AC1627">
        <v>-42.620899999999999</v>
      </c>
      <c r="AD1627">
        <v>-1.1211182826299999</v>
      </c>
      <c r="AE1627">
        <v>-1.62080000000003</v>
      </c>
      <c r="AF1627">
        <v>-0.84475466836103696</v>
      </c>
      <c r="AG1627">
        <v>-1.1211182826299999</v>
      </c>
      <c r="AH1627">
        <v>42.613886110909</v>
      </c>
      <c r="AI1627">
        <v>91.5067370976886</v>
      </c>
      <c r="AJ1627">
        <v>91.135651852206394</v>
      </c>
      <c r="AK1627">
        <v>42.637000435383399</v>
      </c>
      <c r="AL1627">
        <v>78.255638309011402</v>
      </c>
      <c r="AM1627">
        <v>87.3469984759802</v>
      </c>
      <c r="AN1627">
        <v>0.99999997459444701</v>
      </c>
    </row>
    <row r="1628" spans="1:40" x14ac:dyDescent="0.25">
      <c r="A1628" t="str">
        <f>"20190303162534613"</f>
        <v>20190303162534613</v>
      </c>
      <c r="B1628" t="str">
        <f>"1551601534604050"</f>
        <v>1551601534604050</v>
      </c>
      <c r="C1628" t="s">
        <v>40</v>
      </c>
      <c r="D1628">
        <v>4.3668610000000001</v>
      </c>
      <c r="E1628">
        <v>0.47872569999999998</v>
      </c>
      <c r="F1628" t="s">
        <v>48</v>
      </c>
      <c r="G1628">
        <v>-386.99720000000002</v>
      </c>
      <c r="H1628" s="1">
        <v>2.1867880000000001E-6</v>
      </c>
      <c r="I1628">
        <v>282.76190000000003</v>
      </c>
      <c r="J1628">
        <v>-347.54739999999998</v>
      </c>
      <c r="K1628">
        <v>1.1210690000000001</v>
      </c>
      <c r="L1628">
        <v>284.2432</v>
      </c>
      <c r="M1628">
        <v>-0.99974810000000003</v>
      </c>
      <c r="N1628">
        <v>-1.3419459999999999E-2</v>
      </c>
      <c r="O1628">
        <v>-1.7992959999999999E-2</v>
      </c>
      <c r="P1628">
        <v>-0.98160670000000005</v>
      </c>
      <c r="Q1628">
        <v>0.1889624</v>
      </c>
      <c r="R1628">
        <v>2.723683E-2</v>
      </c>
      <c r="S1628">
        <v>-3.0771480000000002</v>
      </c>
      <c r="T1628">
        <v>-8.6800340000000004E-2</v>
      </c>
      <c r="U1628">
        <v>-0.1150818</v>
      </c>
      <c r="V1628">
        <v>4.4968769999999998E-2</v>
      </c>
      <c r="W1628">
        <v>0.2020933</v>
      </c>
      <c r="X1628">
        <v>0.97833340000000002</v>
      </c>
      <c r="Y1628">
        <v>-1.937525E-2</v>
      </c>
      <c r="Z1628">
        <v>-1.3739359999999999E-4</v>
      </c>
      <c r="AA1628">
        <v>0.99981220000000004</v>
      </c>
      <c r="AB1628">
        <v>30</v>
      </c>
      <c r="AC1628">
        <v>-39.449800000000003</v>
      </c>
      <c r="AD1628">
        <v>-1.1210668132120001</v>
      </c>
      <c r="AE1628">
        <v>-1.4812999999999701</v>
      </c>
      <c r="AF1628">
        <v>-0.77055620013250203</v>
      </c>
      <c r="AG1628">
        <v>-1.1210668132120001</v>
      </c>
      <c r="AH1628">
        <v>39.438264014941502</v>
      </c>
      <c r="AI1628">
        <v>91.627933165513795</v>
      </c>
      <c r="AJ1628">
        <v>91.119319081932005</v>
      </c>
      <c r="AK1628">
        <v>39.461718363110798</v>
      </c>
      <c r="AL1628">
        <v>78.340604512499596</v>
      </c>
      <c r="AM1628">
        <v>87.368270865264904</v>
      </c>
      <c r="AN1628">
        <v>1.0000000668678699</v>
      </c>
    </row>
    <row r="1629" spans="1:40" x14ac:dyDescent="0.25">
      <c r="A1629" t="str">
        <f>"20190303162534635"</f>
        <v>20190303162534635</v>
      </c>
      <c r="B1629" t="str">
        <f>"1551601534624547"</f>
        <v>1551601534624547</v>
      </c>
      <c r="C1629" t="s">
        <v>40</v>
      </c>
      <c r="D1629">
        <v>4.3912839999999997</v>
      </c>
      <c r="E1629">
        <v>0.47881190000000001</v>
      </c>
      <c r="F1629" t="s">
        <v>48</v>
      </c>
      <c r="G1629">
        <v>-385.73989999999998</v>
      </c>
      <c r="H1629" s="1">
        <v>1.5176910000000001E-6</v>
      </c>
      <c r="I1629">
        <v>282.8381</v>
      </c>
      <c r="J1629">
        <v>-347.83120000000002</v>
      </c>
      <c r="K1629">
        <v>1.1210180000000001</v>
      </c>
      <c r="L1629">
        <v>284.23829999999998</v>
      </c>
      <c r="M1629">
        <v>-0.99975250000000004</v>
      </c>
      <c r="N1629">
        <v>-1.341788E-2</v>
      </c>
      <c r="O1629">
        <v>-1.7753270000000002E-2</v>
      </c>
      <c r="P1629">
        <v>-0.98182740000000002</v>
      </c>
      <c r="Q1629">
        <v>0.1877712</v>
      </c>
      <c r="R1629">
        <v>2.7520220000000001E-2</v>
      </c>
      <c r="S1629">
        <v>-3.0766909999999998</v>
      </c>
      <c r="T1629">
        <v>-9.031045E-2</v>
      </c>
      <c r="U1629">
        <v>-0.1131897</v>
      </c>
      <c r="V1629">
        <v>4.5045160000000001E-2</v>
      </c>
      <c r="W1629">
        <v>0.2008981</v>
      </c>
      <c r="X1629">
        <v>0.97857590000000005</v>
      </c>
      <c r="Y1629">
        <v>-1.9006240000000001E-2</v>
      </c>
      <c r="Z1629">
        <v>-1.2377239999999999E-4</v>
      </c>
      <c r="AA1629">
        <v>0.99981929999999997</v>
      </c>
      <c r="AB1629">
        <v>30</v>
      </c>
      <c r="AC1629">
        <v>-37.908699999999897</v>
      </c>
      <c r="AD1629">
        <v>-1.1210164823090001</v>
      </c>
      <c r="AE1629">
        <v>-1.4001999999999799</v>
      </c>
      <c r="AF1629">
        <v>-0.72628115450692898</v>
      </c>
      <c r="AG1629">
        <v>-1.1210164823090001</v>
      </c>
      <c r="AH1629">
        <v>37.894492264415597</v>
      </c>
      <c r="AI1629">
        <v>91.694151304243505</v>
      </c>
      <c r="AJ1629">
        <v>91.097989399058704</v>
      </c>
      <c r="AK1629">
        <v>37.918026138590797</v>
      </c>
      <c r="AL1629">
        <v>78.410517060769493</v>
      </c>
      <c r="AM1629">
        <v>87.364458909054406</v>
      </c>
      <c r="AN1629">
        <v>0.99999995254192098</v>
      </c>
    </row>
    <row r="1630" spans="1:40" x14ac:dyDescent="0.25">
      <c r="A1630" t="str">
        <f>"20190303162534661"</f>
        <v>20190303162534661</v>
      </c>
      <c r="B1630" t="str">
        <f>"1551601534654802"</f>
        <v>1551601534654802</v>
      </c>
      <c r="C1630" t="s">
        <v>40</v>
      </c>
      <c r="D1630">
        <v>4.4333419999999997</v>
      </c>
      <c r="E1630">
        <v>0.4789369</v>
      </c>
      <c r="F1630" t="s">
        <v>48</v>
      </c>
      <c r="G1630">
        <v>-384.96890000000002</v>
      </c>
      <c r="H1630" s="1">
        <v>1.1074260000000001E-6</v>
      </c>
      <c r="I1630">
        <v>282.90249999999997</v>
      </c>
      <c r="J1630">
        <v>-348.178</v>
      </c>
      <c r="K1630">
        <v>1.1209720000000001</v>
      </c>
      <c r="L1630">
        <v>284.23250000000002</v>
      </c>
      <c r="M1630">
        <v>-0.99975879999999995</v>
      </c>
      <c r="N1630">
        <v>-1.341592E-2</v>
      </c>
      <c r="O1630">
        <v>-1.739185E-2</v>
      </c>
      <c r="P1630">
        <v>-0.98179930000000004</v>
      </c>
      <c r="Q1630">
        <v>0.18779219999999999</v>
      </c>
      <c r="R1630">
        <v>2.8357589999999998E-2</v>
      </c>
      <c r="S1630">
        <v>-3.076416</v>
      </c>
      <c r="T1630">
        <v>-9.2862840000000002E-2</v>
      </c>
      <c r="U1630">
        <v>-0.1106567</v>
      </c>
      <c r="V1630">
        <v>4.5552530000000001E-2</v>
      </c>
      <c r="W1630">
        <v>0.2009107</v>
      </c>
      <c r="X1630">
        <v>0.97854989999999997</v>
      </c>
      <c r="Y1630">
        <v>-1.8548760000000001E-2</v>
      </c>
      <c r="Z1630">
        <v>-1.12938E-4</v>
      </c>
      <c r="AA1630">
        <v>0.99982789999999999</v>
      </c>
      <c r="AB1630">
        <v>30</v>
      </c>
      <c r="AC1630">
        <v>-36.790899999999901</v>
      </c>
      <c r="AD1630">
        <v>-1.1209708925739901</v>
      </c>
      <c r="AE1630">
        <v>-1.33000000000004</v>
      </c>
      <c r="AF1630">
        <v>-0.68924041982182904</v>
      </c>
      <c r="AG1630">
        <v>-1.1209708925739901</v>
      </c>
      <c r="AH1630">
        <v>36.774373001883703</v>
      </c>
      <c r="AI1630">
        <v>91.745665443903903</v>
      </c>
      <c r="AJ1630">
        <v>91.07373534397</v>
      </c>
      <c r="AK1630">
        <v>36.797909421324299</v>
      </c>
      <c r="AL1630">
        <v>78.409780954554094</v>
      </c>
      <c r="AM1630">
        <v>87.334745121029499</v>
      </c>
      <c r="AN1630">
        <v>1.00000002457695</v>
      </c>
    </row>
    <row r="1631" spans="1:40" x14ac:dyDescent="0.25">
      <c r="A1631" t="str">
        <f>"20190303162534681"</f>
        <v>20190303162534681</v>
      </c>
      <c r="B1631" t="str">
        <f>"1551601534674322"</f>
        <v>1551601534674322</v>
      </c>
      <c r="C1631" t="s">
        <v>40</v>
      </c>
      <c r="D1631">
        <v>4.4592850000000004</v>
      </c>
      <c r="E1631">
        <v>0.47906399999999999</v>
      </c>
      <c r="F1631" t="s">
        <v>48</v>
      </c>
      <c r="G1631">
        <v>-385.54579999999999</v>
      </c>
      <c r="H1631" s="1">
        <v>1.4144139999999999E-6</v>
      </c>
      <c r="I1631">
        <v>282.9332</v>
      </c>
      <c r="J1631">
        <v>-348.44080000000002</v>
      </c>
      <c r="K1631">
        <v>1.1209389999999999</v>
      </c>
      <c r="L1631">
        <v>284.22829999999999</v>
      </c>
      <c r="M1631">
        <v>-0.99976419999999999</v>
      </c>
      <c r="N1631">
        <v>-1.341438E-2</v>
      </c>
      <c r="O1631">
        <v>-1.7077869999999998E-2</v>
      </c>
      <c r="P1631">
        <v>-0.9815876</v>
      </c>
      <c r="Q1631">
        <v>0.18877479999999999</v>
      </c>
      <c r="R1631">
        <v>2.915075E-2</v>
      </c>
      <c r="S1631">
        <v>-3.076355</v>
      </c>
      <c r="T1631">
        <v>-9.2285510000000001E-2</v>
      </c>
      <c r="U1631">
        <v>-0.10696410000000001</v>
      </c>
      <c r="V1631">
        <v>4.6049149999999997E-2</v>
      </c>
      <c r="W1631">
        <v>0.20188500000000001</v>
      </c>
      <c r="X1631">
        <v>0.97832609999999998</v>
      </c>
      <c r="Y1631">
        <v>-1.7665460000000001E-2</v>
      </c>
      <c r="Z1631">
        <v>-1.004387E-4</v>
      </c>
      <c r="AA1631">
        <v>0.99984399999999996</v>
      </c>
      <c r="AB1631">
        <v>30</v>
      </c>
      <c r="AC1631">
        <v>-37.104999999999897</v>
      </c>
      <c r="AD1631">
        <v>-1.120937585586</v>
      </c>
      <c r="AE1631">
        <v>-1.2950999999999899</v>
      </c>
      <c r="AF1631">
        <v>-0.66057758792681798</v>
      </c>
      <c r="AG1631">
        <v>-1.120937585586</v>
      </c>
      <c r="AH1631">
        <v>37.0879006678595</v>
      </c>
      <c r="AI1631">
        <v>91.730895270861296</v>
      </c>
      <c r="AJ1631">
        <v>91.020394943388297</v>
      </c>
      <c r="AK1631">
        <v>37.110715969507602</v>
      </c>
      <c r="AL1631">
        <v>78.3527898202356</v>
      </c>
      <c r="AM1631">
        <v>87.305115300746294</v>
      </c>
      <c r="AN1631">
        <v>1.00000001769096</v>
      </c>
    </row>
    <row r="1632" spans="1:40" x14ac:dyDescent="0.25">
      <c r="A1632" t="str">
        <f>"20190303162534713"</f>
        <v>20190303162534713</v>
      </c>
      <c r="B1632" t="str">
        <f>"1551601534704579"</f>
        <v>1551601534704579</v>
      </c>
      <c r="C1632" t="s">
        <v>40</v>
      </c>
      <c r="D1632">
        <v>4.4551999999999996</v>
      </c>
      <c r="E1632">
        <v>0.47912900000000003</v>
      </c>
      <c r="F1632" t="s">
        <v>48</v>
      </c>
      <c r="G1632">
        <v>-387.22899999999998</v>
      </c>
      <c r="H1632" s="1">
        <v>2.3101440000000001E-6</v>
      </c>
      <c r="I1632">
        <v>282.9178</v>
      </c>
      <c r="J1632">
        <v>-348.87830000000002</v>
      </c>
      <c r="K1632">
        <v>1.1209150000000001</v>
      </c>
      <c r="L1632">
        <v>284.22140000000002</v>
      </c>
      <c r="M1632">
        <v>-0.99977389999999999</v>
      </c>
      <c r="N1632">
        <v>-1.341148E-2</v>
      </c>
      <c r="O1632">
        <v>-1.6504459999999999E-2</v>
      </c>
      <c r="P1632">
        <v>-0.98132160000000002</v>
      </c>
      <c r="Q1632">
        <v>0.1901775</v>
      </c>
      <c r="R1632">
        <v>2.8990829999999999E-2</v>
      </c>
      <c r="S1632">
        <v>-3.0764469999999999</v>
      </c>
      <c r="T1632">
        <v>-8.8905810000000002E-2</v>
      </c>
      <c r="U1632">
        <v>-0.1039429</v>
      </c>
      <c r="V1632">
        <v>4.5339249999999998E-2</v>
      </c>
      <c r="W1632">
        <v>0.20327890000000001</v>
      </c>
      <c r="X1632">
        <v>0.97807060000000001</v>
      </c>
      <c r="Y1632">
        <v>-1.7257700000000001E-2</v>
      </c>
      <c r="Z1632">
        <v>-1.096592E-4</v>
      </c>
      <c r="AA1632">
        <v>0.99985100000000005</v>
      </c>
      <c r="AB1632">
        <v>30</v>
      </c>
      <c r="AC1632">
        <v>-38.350700000000003</v>
      </c>
      <c r="AD1632">
        <v>-1.12091268985599</v>
      </c>
      <c r="AE1632">
        <v>-1.3036000000000101</v>
      </c>
      <c r="AF1632">
        <v>-0.66983635499060501</v>
      </c>
      <c r="AG1632">
        <v>-1.12091268985599</v>
      </c>
      <c r="AH1632">
        <v>38.334282370528101</v>
      </c>
      <c r="AI1632">
        <v>91.674623182968901</v>
      </c>
      <c r="AJ1632">
        <v>91.001059324507494</v>
      </c>
      <c r="AK1632">
        <v>38.356516146075201</v>
      </c>
      <c r="AL1632">
        <v>78.271234327442897</v>
      </c>
      <c r="AM1632">
        <v>87.345908021264705</v>
      </c>
      <c r="AN1632">
        <v>1.0000000286800601</v>
      </c>
    </row>
    <row r="1633" spans="1:40" x14ac:dyDescent="0.25">
      <c r="A1633" t="str">
        <f>"20190303162534736"</f>
        <v>20190303162534736</v>
      </c>
      <c r="B1633" t="str">
        <f>"1551601534724099"</f>
        <v>1551601534724099</v>
      </c>
      <c r="C1633" t="s">
        <v>40</v>
      </c>
      <c r="D1633">
        <v>4.5117159999999998</v>
      </c>
      <c r="E1633">
        <v>0.4791087</v>
      </c>
      <c r="F1633" t="s">
        <v>48</v>
      </c>
      <c r="G1633">
        <v>-390.39670000000001</v>
      </c>
      <c r="H1633" s="1">
        <v>-1.3256949999999999E-6</v>
      </c>
      <c r="I1633">
        <v>282.8177</v>
      </c>
      <c r="J1633">
        <v>-349.18189999999998</v>
      </c>
      <c r="K1633">
        <v>1.1208990000000001</v>
      </c>
      <c r="L1633">
        <v>284.21690000000001</v>
      </c>
      <c r="M1633">
        <v>-0.99978080000000003</v>
      </c>
      <c r="N1633">
        <v>-1.340942E-2</v>
      </c>
      <c r="O1633">
        <v>-1.608712E-2</v>
      </c>
      <c r="P1633">
        <v>-0.98142220000000002</v>
      </c>
      <c r="Q1633">
        <v>0.1897056</v>
      </c>
      <c r="R1633">
        <v>2.868333E-2</v>
      </c>
      <c r="S1633">
        <v>-3.076263</v>
      </c>
      <c r="T1633">
        <v>-8.3053109999999999E-2</v>
      </c>
      <c r="U1633">
        <v>-0.1040039</v>
      </c>
      <c r="V1633">
        <v>4.46311E-2</v>
      </c>
      <c r="W1633">
        <v>0.2028054</v>
      </c>
      <c r="X1633">
        <v>0.9782014</v>
      </c>
      <c r="Y1633">
        <v>-1.7697299999999999E-2</v>
      </c>
      <c r="Z1633">
        <v>-1.3910610000000001E-4</v>
      </c>
      <c r="AA1633">
        <v>0.99984340000000005</v>
      </c>
      <c r="AB1633">
        <v>30</v>
      </c>
      <c r="AC1633">
        <v>-41.214799999999997</v>
      </c>
      <c r="AD1633">
        <v>-1.1209003256950001</v>
      </c>
      <c r="AE1633">
        <v>-1.3992</v>
      </c>
      <c r="AF1633">
        <v>-0.73538862994380505</v>
      </c>
      <c r="AG1633">
        <v>-1.1209003256950001</v>
      </c>
      <c r="AH1633">
        <v>41.201536987700301</v>
      </c>
      <c r="AI1633">
        <v>91.558116649802898</v>
      </c>
      <c r="AJ1633">
        <v>91.022539313606003</v>
      </c>
      <c r="AK1633">
        <v>41.2233412537852</v>
      </c>
      <c r="AL1633">
        <v>78.298940338046705</v>
      </c>
      <c r="AM1633">
        <v>87.387653040298105</v>
      </c>
      <c r="AN1633">
        <v>0.99999997215916403</v>
      </c>
    </row>
    <row r="1634" spans="1:40" x14ac:dyDescent="0.25">
      <c r="A1634" t="str">
        <f>"20190303162534759"</f>
        <v>20190303162534759</v>
      </c>
      <c r="B1634" t="str">
        <f>"1551601534754354"</f>
        <v>1551601534754354</v>
      </c>
      <c r="C1634" t="s">
        <v>40</v>
      </c>
      <c r="D1634">
        <v>4.4826889999999997</v>
      </c>
      <c r="E1634">
        <v>0.47915279999999999</v>
      </c>
      <c r="F1634" t="s">
        <v>48</v>
      </c>
      <c r="G1634">
        <v>-390.21050000000002</v>
      </c>
      <c r="H1634" s="1">
        <v>-1.424756E-6</v>
      </c>
      <c r="I1634">
        <v>282.81420000000003</v>
      </c>
      <c r="J1634">
        <v>-349.47800000000001</v>
      </c>
      <c r="K1634">
        <v>1.120886</v>
      </c>
      <c r="L1634">
        <v>284.21249999999998</v>
      </c>
      <c r="M1634">
        <v>-0.99978730000000005</v>
      </c>
      <c r="N1634">
        <v>-1.340768E-2</v>
      </c>
      <c r="O1634">
        <v>-1.5672120000000001E-2</v>
      </c>
      <c r="P1634">
        <v>-0.98144430000000005</v>
      </c>
      <c r="Q1634">
        <v>0.18952050000000001</v>
      </c>
      <c r="R1634">
        <v>2.9140019999999999E-2</v>
      </c>
      <c r="S1634">
        <v>-3.076111</v>
      </c>
      <c r="T1634">
        <v>-8.4039210000000003E-2</v>
      </c>
      <c r="U1634">
        <v>-0.1051636</v>
      </c>
      <c r="V1634">
        <v>4.4685900000000001E-2</v>
      </c>
      <c r="W1634">
        <v>0.2026182</v>
      </c>
      <c r="X1634">
        <v>0.97823769999999999</v>
      </c>
      <c r="Y1634">
        <v>-1.8489889999999998E-2</v>
      </c>
      <c r="Z1634">
        <v>-1.5864089999999999E-4</v>
      </c>
      <c r="AA1634">
        <v>0.99982910000000003</v>
      </c>
      <c r="AB1634">
        <v>30</v>
      </c>
      <c r="AC1634">
        <v>-40.732500000000002</v>
      </c>
      <c r="AD1634">
        <v>-1.1208874247559999</v>
      </c>
      <c r="AE1634">
        <v>-1.3982999999999399</v>
      </c>
      <c r="AF1634">
        <v>-0.75913205182738397</v>
      </c>
      <c r="AG1634">
        <v>-1.1208874247559999</v>
      </c>
      <c r="AH1634">
        <v>40.718614765433102</v>
      </c>
      <c r="AI1634">
        <v>91.576545640193402</v>
      </c>
      <c r="AJ1634">
        <v>91.0680624745454</v>
      </c>
      <c r="AK1634">
        <v>40.741112632166001</v>
      </c>
      <c r="AL1634">
        <v>78.309893620058006</v>
      </c>
      <c r="AM1634">
        <v>87.384546860889401</v>
      </c>
      <c r="AN1634">
        <v>0.99999998116566902</v>
      </c>
    </row>
    <row r="1635" spans="1:40" x14ac:dyDescent="0.25">
      <c r="A1635" t="str">
        <f>"20190303162534780"</f>
        <v>20190303162534780</v>
      </c>
      <c r="B1635" t="str">
        <f>"1551601534774851"</f>
        <v>1551601534774851</v>
      </c>
      <c r="C1635" t="s">
        <v>40</v>
      </c>
      <c r="D1635">
        <v>4.5165550000000003</v>
      </c>
      <c r="E1635">
        <v>0.47903859999999898</v>
      </c>
      <c r="F1635" t="s">
        <v>48</v>
      </c>
      <c r="G1635">
        <v>-390.12389999999999</v>
      </c>
      <c r="H1635" s="1">
        <v>-1.470831E-6</v>
      </c>
      <c r="I1635">
        <v>282.84480000000002</v>
      </c>
      <c r="J1635">
        <v>-349.78129999999999</v>
      </c>
      <c r="K1635">
        <v>1.120876</v>
      </c>
      <c r="L1635">
        <v>284.20830000000001</v>
      </c>
      <c r="M1635">
        <v>-0.99979410000000002</v>
      </c>
      <c r="N1635">
        <v>-1.340598E-2</v>
      </c>
      <c r="O1635">
        <v>-1.5245959999999999E-2</v>
      </c>
      <c r="P1635">
        <v>-0.98143659999999999</v>
      </c>
      <c r="Q1635">
        <v>0.18956419999999999</v>
      </c>
      <c r="R1635">
        <v>2.9120589999999998E-2</v>
      </c>
      <c r="S1635">
        <v>-3.0761720000000001</v>
      </c>
      <c r="T1635">
        <v>-8.4831240000000002E-2</v>
      </c>
      <c r="U1635">
        <v>-0.1035156</v>
      </c>
      <c r="V1635">
        <v>4.425192E-2</v>
      </c>
      <c r="W1635">
        <v>0.2026597</v>
      </c>
      <c r="X1635">
        <v>0.97824880000000003</v>
      </c>
      <c r="Y1635">
        <v>-1.8380299999999999E-2</v>
      </c>
      <c r="Z1635">
        <v>-1.607333E-4</v>
      </c>
      <c r="AA1635">
        <v>0.99983109999999997</v>
      </c>
      <c r="AB1635">
        <v>30</v>
      </c>
      <c r="AC1635">
        <v>-40.342599999999997</v>
      </c>
      <c r="AD1635">
        <v>-1.1208774708310001</v>
      </c>
      <c r="AE1635">
        <v>-1.36349999999998</v>
      </c>
      <c r="AF1635">
        <v>-0.74764819003532801</v>
      </c>
      <c r="AG1635">
        <v>-1.1208774708310001</v>
      </c>
      <c r="AH1635">
        <v>40.327604687501399</v>
      </c>
      <c r="AI1635">
        <v>91.591812696918794</v>
      </c>
      <c r="AJ1635">
        <v>91.062105705909104</v>
      </c>
      <c r="AK1635">
        <v>40.350105872873101</v>
      </c>
      <c r="AL1635">
        <v>78.307465106730305</v>
      </c>
      <c r="AM1635">
        <v>87.409942177169398</v>
      </c>
      <c r="AN1635">
        <v>0.999999950564607</v>
      </c>
    </row>
    <row r="1636" spans="1:40" x14ac:dyDescent="0.25">
      <c r="A1636" t="str">
        <f>"20190303162534803"</f>
        <v>20190303162534803</v>
      </c>
      <c r="B1636" t="str">
        <f>"1551601534794371"</f>
        <v>1551601534794371</v>
      </c>
      <c r="C1636" t="s">
        <v>40</v>
      </c>
      <c r="D1636">
        <v>4.4962330000000001</v>
      </c>
      <c r="E1636">
        <v>0.47900680000000001</v>
      </c>
      <c r="F1636" t="s">
        <v>48</v>
      </c>
      <c r="G1636">
        <v>-390.64609999999999</v>
      </c>
      <c r="H1636" s="1">
        <v>-1.1929489999999999E-6</v>
      </c>
      <c r="I1636">
        <v>282.82580000000002</v>
      </c>
      <c r="J1636">
        <v>-350.0729</v>
      </c>
      <c r="K1636">
        <v>1.120878</v>
      </c>
      <c r="L1636">
        <v>284.20429999999999</v>
      </c>
      <c r="M1636">
        <v>-0.99980009999999997</v>
      </c>
      <c r="N1636">
        <v>-1.3404249999999999E-2</v>
      </c>
      <c r="O1636">
        <v>-1.483631E-2</v>
      </c>
      <c r="P1636">
        <v>-0.98144070000000005</v>
      </c>
      <c r="Q1636">
        <v>0.1895162</v>
      </c>
      <c r="R1636">
        <v>2.9290199999999999E-2</v>
      </c>
      <c r="S1636">
        <v>-3.0761409999999998</v>
      </c>
      <c r="T1636">
        <v>-8.4375140000000001E-2</v>
      </c>
      <c r="U1636">
        <v>-0.1040649</v>
      </c>
      <c r="V1636">
        <v>4.4021640000000001E-2</v>
      </c>
      <c r="W1636">
        <v>0.20261019999999999</v>
      </c>
      <c r="X1636">
        <v>0.97826950000000001</v>
      </c>
      <c r="Y1636">
        <v>-1.896832E-2</v>
      </c>
      <c r="Z1636">
        <v>-1.7932899999999999E-4</v>
      </c>
      <c r="AA1636">
        <v>0.99982009999999999</v>
      </c>
      <c r="AB1636">
        <v>30</v>
      </c>
      <c r="AC1636">
        <v>-40.5731999999999</v>
      </c>
      <c r="AD1636">
        <v>-1.1208791929490001</v>
      </c>
      <c r="AE1636">
        <v>-1.3784999999999701</v>
      </c>
      <c r="AF1636">
        <v>-0.77574623238736495</v>
      </c>
      <c r="AG1636">
        <v>-1.1208791929490001</v>
      </c>
      <c r="AH1636">
        <v>40.558268803020702</v>
      </c>
      <c r="AI1636">
        <v>91.582749251500601</v>
      </c>
      <c r="AJ1636">
        <v>91.095746134173297</v>
      </c>
      <c r="AK1636">
        <v>40.581169533175498</v>
      </c>
      <c r="AL1636">
        <v>78.310361992544699</v>
      </c>
      <c r="AM1636">
        <v>87.423456664175404</v>
      </c>
      <c r="AN1636">
        <v>1.0000000062812799</v>
      </c>
    </row>
    <row r="1637" spans="1:40" x14ac:dyDescent="0.25">
      <c r="A1637" t="str">
        <f>"20190303162534826"</f>
        <v>20190303162534826</v>
      </c>
      <c r="B1637" t="str">
        <f>"1551601534814866"</f>
        <v>1551601534814866</v>
      </c>
      <c r="C1637" t="s">
        <v>40</v>
      </c>
      <c r="D1637">
        <v>4.4724510000000004</v>
      </c>
      <c r="E1637">
        <v>0.47890319999999997</v>
      </c>
      <c r="F1637" t="s">
        <v>48</v>
      </c>
      <c r="G1637">
        <v>-391.23020000000002</v>
      </c>
      <c r="H1637" s="1">
        <v>-8.821181E-7</v>
      </c>
      <c r="I1637">
        <v>282.8261</v>
      </c>
      <c r="J1637">
        <v>-350.3648</v>
      </c>
      <c r="K1637">
        <v>1.1208769999999999</v>
      </c>
      <c r="L1637">
        <v>284.20030000000003</v>
      </c>
      <c r="M1637">
        <v>-0.99980619999999998</v>
      </c>
      <c r="N1637">
        <v>-1.3402509999999999E-2</v>
      </c>
      <c r="O1637">
        <v>-1.4426929999999999E-2</v>
      </c>
      <c r="P1637">
        <v>-0.98134120000000002</v>
      </c>
      <c r="Q1637">
        <v>0.1899923</v>
      </c>
      <c r="R1637">
        <v>2.9542949999999998E-2</v>
      </c>
      <c r="S1637">
        <v>-3.0759889999999999</v>
      </c>
      <c r="T1637">
        <v>-8.3771470000000001E-2</v>
      </c>
      <c r="U1637">
        <v>-0.1029968</v>
      </c>
      <c r="V1637">
        <v>4.387245E-2</v>
      </c>
      <c r="W1637">
        <v>0.20308319999999999</v>
      </c>
      <c r="X1637">
        <v>0.97817810000000005</v>
      </c>
      <c r="Y1637">
        <v>-1.9032609999999998E-2</v>
      </c>
      <c r="Z1637">
        <v>-1.8728970000000001E-4</v>
      </c>
      <c r="AA1637">
        <v>0.99981889999999995</v>
      </c>
      <c r="AB1637">
        <v>30</v>
      </c>
      <c r="AC1637">
        <v>-40.865400000000001</v>
      </c>
      <c r="AD1637">
        <v>-1.1208778821181</v>
      </c>
      <c r="AE1637">
        <v>-1.3742000000000301</v>
      </c>
      <c r="AF1637">
        <v>-0.78385274727960397</v>
      </c>
      <c r="AG1637">
        <v>-1.1208778821181</v>
      </c>
      <c r="AH1637">
        <v>40.850275553121499</v>
      </c>
      <c r="AI1637">
        <v>91.571437411827603</v>
      </c>
      <c r="AJ1637">
        <v>91.099281283090406</v>
      </c>
      <c r="AK1637">
        <v>40.873167299855702</v>
      </c>
      <c r="AL1637">
        <v>78.282685479659804</v>
      </c>
      <c r="AM1637">
        <v>87.431937287062098</v>
      </c>
      <c r="AN1637">
        <v>0.999999986655426</v>
      </c>
    </row>
    <row r="1638" spans="1:40" x14ac:dyDescent="0.25">
      <c r="A1638" t="str">
        <f>"20190303162534851"</f>
        <v>20190303162534851</v>
      </c>
      <c r="B1638" t="str">
        <f>"1551601534844655"</f>
        <v>1551601534844655</v>
      </c>
      <c r="C1638" t="s">
        <v>40</v>
      </c>
      <c r="D1638">
        <v>4.4988449999999904</v>
      </c>
      <c r="E1638">
        <v>0.47883629999999999</v>
      </c>
      <c r="F1638" t="s">
        <v>48</v>
      </c>
      <c r="G1638">
        <v>-392.4649</v>
      </c>
      <c r="H1638" s="1">
        <v>-2.2510409999999999E-7</v>
      </c>
      <c r="I1638">
        <v>282.7878</v>
      </c>
      <c r="J1638">
        <v>-350.70710000000003</v>
      </c>
      <c r="K1638">
        <v>1.1208769999999999</v>
      </c>
      <c r="L1638">
        <v>284.19600000000003</v>
      </c>
      <c r="M1638">
        <v>-0.9998129</v>
      </c>
      <c r="N1638">
        <v>-1.3400499999999999E-2</v>
      </c>
      <c r="O1638">
        <v>-1.3947950000000001E-2</v>
      </c>
      <c r="P1638">
        <v>-0.98145530000000003</v>
      </c>
      <c r="Q1638">
        <v>0.18937180000000001</v>
      </c>
      <c r="R1638">
        <v>2.9735930000000001E-2</v>
      </c>
      <c r="S1638">
        <v>-3.07605</v>
      </c>
      <c r="T1638">
        <v>-8.1897020000000001E-2</v>
      </c>
      <c r="U1638">
        <v>-0.10321039999999999</v>
      </c>
      <c r="V1638">
        <v>4.3596700000000002E-2</v>
      </c>
      <c r="W1638">
        <v>0.2024627</v>
      </c>
      <c r="X1638">
        <v>0.97831900000000005</v>
      </c>
      <c r="Y1638">
        <v>-1.9580219999999999E-2</v>
      </c>
      <c r="Z1638">
        <v>-2.0751720000000001E-4</v>
      </c>
      <c r="AA1638">
        <v>0.99980829999999998</v>
      </c>
      <c r="AB1638">
        <v>30</v>
      </c>
      <c r="AC1638">
        <v>-41.757799999999897</v>
      </c>
      <c r="AD1638">
        <v>-1.1208772251040999</v>
      </c>
      <c r="AE1638">
        <v>-1.4081999999999599</v>
      </c>
      <c r="AF1638">
        <v>-0.82498123417415403</v>
      </c>
      <c r="AG1638">
        <v>-1.1208772251040999</v>
      </c>
      <c r="AH1638">
        <v>41.743338061633899</v>
      </c>
      <c r="AI1638">
        <v>91.537816091663302</v>
      </c>
      <c r="AJ1638">
        <v>91.132199591775702</v>
      </c>
      <c r="AK1638">
        <v>41.766532443073899</v>
      </c>
      <c r="AL1638">
        <v>78.318991210872497</v>
      </c>
      <c r="AM1638">
        <v>87.448423889065793</v>
      </c>
      <c r="AN1638">
        <v>0.99999994145158799</v>
      </c>
    </row>
    <row r="1639" spans="1:40" x14ac:dyDescent="0.25">
      <c r="A1639" t="str">
        <f>"20190303162534871"</f>
        <v>20190303162534871</v>
      </c>
      <c r="B1639" t="str">
        <f>"1551601534864173"</f>
        <v>1551601534864173</v>
      </c>
      <c r="C1639" t="s">
        <v>40</v>
      </c>
      <c r="D1639">
        <v>4.4725460000000004</v>
      </c>
      <c r="E1639">
        <v>0.47882360000000002</v>
      </c>
      <c r="F1639" t="s">
        <v>48</v>
      </c>
      <c r="G1639">
        <v>-391.96460000000002</v>
      </c>
      <c r="H1639" s="1">
        <v>-4.9134830000000004E-7</v>
      </c>
      <c r="I1639">
        <v>282.8039</v>
      </c>
      <c r="J1639">
        <v>-350.97160000000002</v>
      </c>
      <c r="K1639">
        <v>1.1208800000000001</v>
      </c>
      <c r="L1639">
        <v>284.1927</v>
      </c>
      <c r="M1639">
        <v>-0.99981810000000004</v>
      </c>
      <c r="N1639">
        <v>-1.339893E-2</v>
      </c>
      <c r="O1639">
        <v>-1.357913E-2</v>
      </c>
      <c r="P1639">
        <v>-0.98150979999999999</v>
      </c>
      <c r="Q1639">
        <v>0.18899869999999999</v>
      </c>
      <c r="R1639">
        <v>3.0304609999999999E-2</v>
      </c>
      <c r="S1639">
        <v>-3.075958</v>
      </c>
      <c r="T1639">
        <v>-8.3567260000000004E-2</v>
      </c>
      <c r="U1639">
        <v>-0.1037903</v>
      </c>
      <c r="V1639">
        <v>4.3803540000000002E-2</v>
      </c>
      <c r="W1639">
        <v>0.20208909999999999</v>
      </c>
      <c r="X1639">
        <v>0.97838709999999995</v>
      </c>
      <c r="Y1639">
        <v>-2.013769E-2</v>
      </c>
      <c r="Z1639">
        <v>-2.216005E-4</v>
      </c>
      <c r="AA1639">
        <v>0.99979720000000005</v>
      </c>
      <c r="AB1639">
        <v>30</v>
      </c>
      <c r="AC1639">
        <v>-40.993000000000002</v>
      </c>
      <c r="AD1639">
        <v>-1.1208804913482999</v>
      </c>
      <c r="AE1639">
        <v>-1.3888</v>
      </c>
      <c r="AF1639">
        <v>-0.83135187284812595</v>
      </c>
      <c r="AG1639">
        <v>-1.1208804913482999</v>
      </c>
      <c r="AH1639">
        <v>40.977478379087501</v>
      </c>
      <c r="AI1639">
        <v>91.566531444618406</v>
      </c>
      <c r="AJ1639">
        <v>91.162258435645299</v>
      </c>
      <c r="AK1639">
        <v>41.001234778003401</v>
      </c>
      <c r="AL1639">
        <v>78.340849859081402</v>
      </c>
      <c r="AM1639">
        <v>87.436512519380699</v>
      </c>
      <c r="AN1639">
        <v>1.0000000359508701</v>
      </c>
    </row>
    <row r="1640" spans="1:40" x14ac:dyDescent="0.25">
      <c r="A1640" t="str">
        <f>"20190303162534894"</f>
        <v>20190303162534894</v>
      </c>
      <c r="B1640" t="str">
        <f>"1551601534884670"</f>
        <v>1551601534884670</v>
      </c>
      <c r="C1640" t="s">
        <v>40</v>
      </c>
      <c r="D1640">
        <v>4.5120239999999896</v>
      </c>
      <c r="E1640">
        <v>0.47882449999999999</v>
      </c>
      <c r="F1640" t="s">
        <v>48</v>
      </c>
      <c r="G1640">
        <v>-391.95100000000002</v>
      </c>
      <c r="H1640" s="1">
        <v>-4.9857310000000002E-7</v>
      </c>
      <c r="I1640">
        <v>282.83109999999999</v>
      </c>
      <c r="J1640">
        <v>-351.27910000000003</v>
      </c>
      <c r="K1640">
        <v>1.120878</v>
      </c>
      <c r="L1640">
        <v>284.18900000000002</v>
      </c>
      <c r="M1640">
        <v>-0.99982389999999999</v>
      </c>
      <c r="N1640">
        <v>-1.339331E-2</v>
      </c>
      <c r="O1640">
        <v>-1.3150810000000001E-2</v>
      </c>
      <c r="P1640">
        <v>-0.98152870000000003</v>
      </c>
      <c r="Q1640">
        <v>0.1888331</v>
      </c>
      <c r="R1640">
        <v>3.0724709999999999E-2</v>
      </c>
      <c r="S1640">
        <v>-3.0758670000000001</v>
      </c>
      <c r="T1640">
        <v>-8.4132079999999998E-2</v>
      </c>
      <c r="U1640">
        <v>-0.1022034</v>
      </c>
      <c r="V1640">
        <v>4.3803019999999998E-2</v>
      </c>
      <c r="W1640">
        <v>0.2019186</v>
      </c>
      <c r="X1640">
        <v>0.97842229999999997</v>
      </c>
      <c r="Y1640">
        <v>-2.0051679999999999E-2</v>
      </c>
      <c r="Z1640">
        <v>-2.2504029999999999E-4</v>
      </c>
      <c r="AA1640">
        <v>0.99979890000000005</v>
      </c>
      <c r="AB1640">
        <v>30</v>
      </c>
      <c r="AC1640">
        <v>-40.671899999999901</v>
      </c>
      <c r="AD1640">
        <v>-1.1208784985731</v>
      </c>
      <c r="AE1640">
        <v>-1.3579000000000201</v>
      </c>
      <c r="AF1640">
        <v>-0.82224238874212197</v>
      </c>
      <c r="AG1640">
        <v>-1.1208784985731</v>
      </c>
      <c r="AH1640">
        <v>40.655397905054599</v>
      </c>
      <c r="AI1640">
        <v>91.578934791574795</v>
      </c>
      <c r="AJ1640">
        <v>91.158630814636496</v>
      </c>
      <c r="AK1640">
        <v>40.679157193490703</v>
      </c>
      <c r="AL1640">
        <v>78.350824126921594</v>
      </c>
      <c r="AM1640">
        <v>87.436635011072696</v>
      </c>
      <c r="AN1640">
        <v>1.0000000113621801</v>
      </c>
    </row>
    <row r="1641" spans="1:40" x14ac:dyDescent="0.25">
      <c r="A1641" t="str">
        <f>"20190303162534914"</f>
        <v>20190303162534914</v>
      </c>
      <c r="B1641" t="str">
        <f>"1551601534904191"</f>
        <v>1551601534904191</v>
      </c>
      <c r="C1641" t="s">
        <v>40</v>
      </c>
      <c r="D1641">
        <v>4.487914</v>
      </c>
      <c r="E1641">
        <v>0.47878910000000002</v>
      </c>
      <c r="F1641" t="s">
        <v>48</v>
      </c>
      <c r="G1641">
        <v>-392.31479999999999</v>
      </c>
      <c r="H1641" s="1">
        <v>-3.0499339999999998E-7</v>
      </c>
      <c r="I1641">
        <v>282.83969999999999</v>
      </c>
      <c r="J1641">
        <v>-351.55509999999998</v>
      </c>
      <c r="K1641">
        <v>1.1208720000000001</v>
      </c>
      <c r="L1641">
        <v>284.18579999999997</v>
      </c>
      <c r="M1641">
        <v>-0.99982910000000003</v>
      </c>
      <c r="N1641">
        <v>-1.337963E-2</v>
      </c>
      <c r="O1641">
        <v>-1.276714E-2</v>
      </c>
      <c r="P1641">
        <v>-0.98150210000000004</v>
      </c>
      <c r="Q1641">
        <v>0.1888079</v>
      </c>
      <c r="R1641">
        <v>3.1712230000000001E-2</v>
      </c>
      <c r="S1641">
        <v>-3.0757140000000001</v>
      </c>
      <c r="T1641">
        <v>-8.401227E-2</v>
      </c>
      <c r="U1641">
        <v>-0.1011353</v>
      </c>
      <c r="V1641">
        <v>4.4413279999999999E-2</v>
      </c>
      <c r="W1641">
        <v>0.2018789</v>
      </c>
      <c r="X1641">
        <v>0.97840300000000002</v>
      </c>
      <c r="Y1641">
        <v>-2.0090130000000001E-2</v>
      </c>
      <c r="Z1641">
        <v>-2.3096299999999999E-4</v>
      </c>
      <c r="AA1641">
        <v>0.99979810000000002</v>
      </c>
      <c r="AB1641">
        <v>30</v>
      </c>
      <c r="AC1641">
        <v>-40.759700000000002</v>
      </c>
      <c r="AD1641">
        <v>-1.12087230499339</v>
      </c>
      <c r="AE1641">
        <v>-1.3460999999999701</v>
      </c>
      <c r="AF1641">
        <v>-0.82493579512759396</v>
      </c>
      <c r="AG1641">
        <v>-1.12087230499339</v>
      </c>
      <c r="AH1641">
        <v>40.742787644825597</v>
      </c>
      <c r="AI1641">
        <v>91.575540396973295</v>
      </c>
      <c r="AJ1641">
        <v>91.159932464705506</v>
      </c>
      <c r="AK1641">
        <v>40.766550244796797</v>
      </c>
      <c r="AL1641">
        <v>78.353146818159402</v>
      </c>
      <c r="AM1641">
        <v>87.400919860973403</v>
      </c>
      <c r="AN1641">
        <v>1.00000003005728</v>
      </c>
    </row>
    <row r="1642" spans="1:40" x14ac:dyDescent="0.25">
      <c r="A1642" t="str">
        <f>"20190303162534936"</f>
        <v>20190303162534936</v>
      </c>
      <c r="B1642" t="str">
        <f>"1551601534924686"</f>
        <v>1551601534924686</v>
      </c>
      <c r="C1642" t="s">
        <v>40</v>
      </c>
      <c r="D1642">
        <v>4.5635729999999999</v>
      </c>
      <c r="E1642">
        <v>0.47876950000000001</v>
      </c>
      <c r="F1642" t="s">
        <v>48</v>
      </c>
      <c r="G1642">
        <v>-392.79719999999998</v>
      </c>
      <c r="H1642" s="1">
        <v>-4.8239369999999998E-8</v>
      </c>
      <c r="I1642">
        <v>282.8587</v>
      </c>
      <c r="J1642">
        <v>-351.84609999999998</v>
      </c>
      <c r="K1642">
        <v>1.120865</v>
      </c>
      <c r="L1642">
        <v>284.18259999999998</v>
      </c>
      <c r="M1642">
        <v>-0.99983440000000001</v>
      </c>
      <c r="N1642">
        <v>-1.335945E-2</v>
      </c>
      <c r="O1642">
        <v>-1.2364450000000001E-2</v>
      </c>
      <c r="P1642">
        <v>-0.98149790000000003</v>
      </c>
      <c r="Q1642">
        <v>0.18866479999999999</v>
      </c>
      <c r="R1642">
        <v>3.2671190000000003E-2</v>
      </c>
      <c r="S1642">
        <v>-3.075745</v>
      </c>
      <c r="T1642">
        <v>-8.3592059999999996E-2</v>
      </c>
      <c r="U1642">
        <v>-9.8968509999999996E-2</v>
      </c>
      <c r="V1642">
        <v>4.4977089999999997E-2</v>
      </c>
      <c r="W1642">
        <v>0.20171549999999999</v>
      </c>
      <c r="X1642">
        <v>0.97841089999999997</v>
      </c>
      <c r="Y1642">
        <v>-1.978912E-2</v>
      </c>
      <c r="Z1642">
        <v>-2.303315E-4</v>
      </c>
      <c r="AA1642">
        <v>0.99980409999999997</v>
      </c>
      <c r="AB1642">
        <v>30</v>
      </c>
      <c r="AC1642">
        <v>-40.951099999999997</v>
      </c>
      <c r="AD1642">
        <v>-1.1208650482393701</v>
      </c>
      <c r="AE1642">
        <v>-1.3238999999999801</v>
      </c>
      <c r="AF1642">
        <v>-0.81680452704401896</v>
      </c>
      <c r="AG1642">
        <v>-1.1208650482393701</v>
      </c>
      <c r="AH1642">
        <v>40.933705838996801</v>
      </c>
      <c r="AI1642">
        <v>91.568194706447798</v>
      </c>
      <c r="AJ1642">
        <v>91.143146977575995</v>
      </c>
      <c r="AK1642">
        <v>40.957194506036203</v>
      </c>
      <c r="AL1642">
        <v>78.362705070961596</v>
      </c>
      <c r="AM1642">
        <v>87.3679928393951</v>
      </c>
      <c r="AN1642">
        <v>0.999999985401964</v>
      </c>
    </row>
    <row r="1643" spans="1:40" x14ac:dyDescent="0.25">
      <c r="A1643" t="str">
        <f>"20190303162534960"</f>
        <v>20190303162534960</v>
      </c>
      <c r="B1643" t="str">
        <f>"1551601534954473"</f>
        <v>1551601534954473</v>
      </c>
      <c r="C1643" t="s">
        <v>40</v>
      </c>
      <c r="D1643">
        <v>4.5363600000000002</v>
      </c>
      <c r="E1643">
        <v>0.45062150000000001</v>
      </c>
      <c r="F1643" t="s">
        <v>48</v>
      </c>
      <c r="G1643">
        <v>-393.00139999999999</v>
      </c>
      <c r="H1643" s="1">
        <v>6.0400790000000005E-8</v>
      </c>
      <c r="I1643">
        <v>282.8972</v>
      </c>
      <c r="J1643">
        <v>-352.15609999999998</v>
      </c>
      <c r="K1643">
        <v>1.1208629999999999</v>
      </c>
      <c r="L1643">
        <v>284.17919999999998</v>
      </c>
      <c r="M1643">
        <v>-0.9998399</v>
      </c>
      <c r="N1643">
        <v>-1.333647E-2</v>
      </c>
      <c r="O1643">
        <v>-1.193779E-2</v>
      </c>
      <c r="P1643">
        <v>-0.98150210000000004</v>
      </c>
      <c r="Q1643">
        <v>0.188531</v>
      </c>
      <c r="R1643">
        <v>3.3319479999999999E-2</v>
      </c>
      <c r="S1643">
        <v>-3.0759280000000002</v>
      </c>
      <c r="T1643">
        <v>-8.3772899999999997E-2</v>
      </c>
      <c r="U1643">
        <v>-9.6069340000000003E-2</v>
      </c>
      <c r="V1643">
        <v>4.5206879999999998E-2</v>
      </c>
      <c r="W1643">
        <v>0.20155899999999999</v>
      </c>
      <c r="X1643">
        <v>0.97843259999999999</v>
      </c>
      <c r="Y1643">
        <v>-1.9272669999999999E-2</v>
      </c>
      <c r="Z1643">
        <v>-2.251264E-4</v>
      </c>
      <c r="AA1643">
        <v>0.99981419999999999</v>
      </c>
      <c r="AB1643">
        <v>30</v>
      </c>
      <c r="AC1643">
        <v>-40.845300000000002</v>
      </c>
      <c r="AD1643">
        <v>-1.12086293959921</v>
      </c>
      <c r="AE1643">
        <v>-1.28199999999998</v>
      </c>
      <c r="AF1643">
        <v>-0.79366561920195</v>
      </c>
      <c r="AG1643">
        <v>-1.12086293959921</v>
      </c>
      <c r="AH1643">
        <v>40.826980247237699</v>
      </c>
      <c r="AI1643">
        <v>91.572305026984395</v>
      </c>
      <c r="AJ1643">
        <v>91.113674416518407</v>
      </c>
      <c r="AK1643">
        <v>40.8500741119623</v>
      </c>
      <c r="AL1643">
        <v>78.371860337007504</v>
      </c>
      <c r="AM1643">
        <v>87.354623437460006</v>
      </c>
      <c r="AN1643">
        <v>1.00000002261154</v>
      </c>
    </row>
    <row r="1644" spans="1:40" x14ac:dyDescent="0.25">
      <c r="A1644" t="str">
        <f>"20190303162534983"</f>
        <v>20190303162534983</v>
      </c>
      <c r="B1644" t="str">
        <f>"1551601534974968"</f>
        <v>1551601534974968</v>
      </c>
      <c r="C1644" t="s">
        <v>40</v>
      </c>
      <c r="D1644">
        <v>4.5192759999999996</v>
      </c>
      <c r="E1644">
        <v>0.44967360000000001</v>
      </c>
      <c r="F1644" t="s">
        <v>48</v>
      </c>
      <c r="G1644">
        <v>-396.38670000000002</v>
      </c>
      <c r="H1644">
        <v>3.2053230000000002E-2</v>
      </c>
      <c r="I1644">
        <v>279.61630000000002</v>
      </c>
      <c r="J1644">
        <v>-352.46359999999999</v>
      </c>
      <c r="K1644">
        <v>1.1208579999999999</v>
      </c>
      <c r="L1644">
        <v>284.17599999999999</v>
      </c>
      <c r="M1644">
        <v>-0.99984530000000005</v>
      </c>
      <c r="N1644">
        <v>-1.330288E-2</v>
      </c>
      <c r="O1644">
        <v>-1.151309E-2</v>
      </c>
      <c r="P1644">
        <v>-0.98150360000000003</v>
      </c>
      <c r="Q1644">
        <v>0.18832650000000001</v>
      </c>
      <c r="R1644">
        <v>3.4405409999999997E-2</v>
      </c>
      <c r="S1644">
        <v>-3.081909</v>
      </c>
      <c r="T1644">
        <v>-7.5866219999999998E-2</v>
      </c>
      <c r="U1644">
        <v>-0.3179321</v>
      </c>
      <c r="V1644">
        <v>4.5875989999999998E-2</v>
      </c>
      <c r="W1644">
        <v>0.2013218</v>
      </c>
      <c r="X1644">
        <v>0.9784503</v>
      </c>
      <c r="Y1644">
        <v>-9.1114580000000001E-2</v>
      </c>
      <c r="Z1644">
        <v>-1.596344E-3</v>
      </c>
      <c r="AA1644">
        <v>0.99583909999999998</v>
      </c>
      <c r="AB1644">
        <v>30</v>
      </c>
      <c r="AC1644">
        <v>-43.923099999999998</v>
      </c>
      <c r="AD1644">
        <v>-1.0888047700000001</v>
      </c>
      <c r="AE1644">
        <v>-4.5596999999999603</v>
      </c>
      <c r="AF1644">
        <v>-4.0511995454093102</v>
      </c>
      <c r="AG1644">
        <v>-1.0888047700000001</v>
      </c>
      <c r="AH1644">
        <v>43.945972837784304</v>
      </c>
      <c r="AI1644">
        <v>91.413278980283195</v>
      </c>
      <c r="AJ1644">
        <v>95.266977282644504</v>
      </c>
      <c r="AK1644">
        <v>44.145738664600202</v>
      </c>
      <c r="AL1644">
        <v>78.385735427839904</v>
      </c>
      <c r="AM1644">
        <v>87.315574395006706</v>
      </c>
      <c r="AN1644">
        <v>1.0000000315919</v>
      </c>
    </row>
    <row r="1645" spans="1:40" x14ac:dyDescent="0.25">
      <c r="A1645" t="str">
        <f>"20190303162535003"</f>
        <v>20190303162535003</v>
      </c>
      <c r="B1645" t="str">
        <f>"1551601534994489"</f>
        <v>1551601534994489</v>
      </c>
      <c r="C1645" t="s">
        <v>40</v>
      </c>
      <c r="D1645">
        <v>4.5319629999999904</v>
      </c>
      <c r="E1645">
        <v>0.44949</v>
      </c>
      <c r="F1645" t="s">
        <v>48</v>
      </c>
      <c r="G1645">
        <v>-397.56119999999999</v>
      </c>
      <c r="H1645">
        <v>8.0000710000000003E-2</v>
      </c>
      <c r="I1645">
        <v>279.46769999999998</v>
      </c>
      <c r="J1645">
        <v>-352.73430000000002</v>
      </c>
      <c r="K1645">
        <v>1.1208499999999999</v>
      </c>
      <c r="L1645">
        <v>284.17329999999998</v>
      </c>
      <c r="M1645">
        <v>-0.99985000000000002</v>
      </c>
      <c r="N1645">
        <v>-1.326418E-2</v>
      </c>
      <c r="O1645">
        <v>-1.113843E-2</v>
      </c>
      <c r="P1645">
        <v>-0.98144980000000004</v>
      </c>
      <c r="Q1645">
        <v>0.1884825</v>
      </c>
      <c r="R1645">
        <v>3.5082960000000003E-2</v>
      </c>
      <c r="S1645">
        <v>-3.0814509999999999</v>
      </c>
      <c r="T1645">
        <v>-7.1120260000000005E-2</v>
      </c>
      <c r="U1645">
        <v>-0.32171630000000001</v>
      </c>
      <c r="V1645">
        <v>4.6185749999999998E-2</v>
      </c>
      <c r="W1645">
        <v>0.2014386</v>
      </c>
      <c r="X1645">
        <v>0.9784117</v>
      </c>
      <c r="Y1645">
        <v>-9.2716049999999994E-2</v>
      </c>
      <c r="Z1645">
        <v>-1.5746899999999999E-3</v>
      </c>
      <c r="AA1645">
        <v>0.9956914</v>
      </c>
      <c r="AB1645">
        <v>30</v>
      </c>
      <c r="AC1645">
        <v>-44.826899999999902</v>
      </c>
      <c r="AD1645">
        <v>-1.0408492899999999</v>
      </c>
      <c r="AE1645">
        <v>-4.7055999999999996</v>
      </c>
      <c r="AF1645">
        <v>-4.2037211544529303</v>
      </c>
      <c r="AG1645">
        <v>-1.0408492899999999</v>
      </c>
      <c r="AH1645">
        <v>44.8526182162623</v>
      </c>
      <c r="AI1645">
        <v>91.323568215251896</v>
      </c>
      <c r="AJ1645">
        <v>95.354290540013693</v>
      </c>
      <c r="AK1645">
        <v>45.061202820638002</v>
      </c>
      <c r="AL1645">
        <v>78.3789034573511</v>
      </c>
      <c r="AM1645">
        <v>87.297369163339894</v>
      </c>
      <c r="AN1645">
        <v>1.0000000438849499</v>
      </c>
    </row>
    <row r="1646" spans="1:40" x14ac:dyDescent="0.25">
      <c r="A1646" t="str">
        <f>"20190303162535025"</f>
        <v>20190303162535025</v>
      </c>
      <c r="B1646" t="str">
        <f>"1551601535014008"</f>
        <v>1551601535014008</v>
      </c>
      <c r="C1646" t="s">
        <v>40</v>
      </c>
      <c r="D1646">
        <v>4.5020119999999997</v>
      </c>
      <c r="E1646">
        <v>0.44972139999999999</v>
      </c>
      <c r="F1646" t="s">
        <v>48</v>
      </c>
      <c r="G1646">
        <v>-397.3252</v>
      </c>
      <c r="H1646">
        <v>8.0000769999999999E-2</v>
      </c>
      <c r="I1646">
        <v>279.52800000000002</v>
      </c>
      <c r="J1646">
        <v>-353.02640000000002</v>
      </c>
      <c r="K1646">
        <v>1.120843</v>
      </c>
      <c r="L1646">
        <v>284.17059999999998</v>
      </c>
      <c r="M1646">
        <v>-0.9998553</v>
      </c>
      <c r="N1646">
        <v>-1.320028E-2</v>
      </c>
      <c r="O1646">
        <v>-1.073283E-2</v>
      </c>
      <c r="P1646">
        <v>-0.98134299999999997</v>
      </c>
      <c r="Q1646">
        <v>0.18896009999999999</v>
      </c>
      <c r="R1646">
        <v>3.5500179999999999E-2</v>
      </c>
      <c r="S1646">
        <v>-3.082001</v>
      </c>
      <c r="T1646">
        <v>-7.1940539999999997E-2</v>
      </c>
      <c r="U1646">
        <v>-0.32107540000000001</v>
      </c>
      <c r="V1646">
        <v>4.620523E-2</v>
      </c>
      <c r="W1646">
        <v>0.20185239999999999</v>
      </c>
      <c r="X1646">
        <v>0.97832549999999996</v>
      </c>
      <c r="Y1646">
        <v>-9.2896110000000004E-2</v>
      </c>
      <c r="Z1646">
        <v>-1.5875990000000001E-3</v>
      </c>
      <c r="AA1646">
        <v>0.99567459999999997</v>
      </c>
      <c r="AB1646">
        <v>30</v>
      </c>
      <c r="AC1646">
        <v>-44.2987999999999</v>
      </c>
      <c r="AD1646">
        <v>-1.04084223</v>
      </c>
      <c r="AE1646">
        <v>-4.6425999999999501</v>
      </c>
      <c r="AF1646">
        <v>-4.1645655329568996</v>
      </c>
      <c r="AG1646">
        <v>-1.04084223</v>
      </c>
      <c r="AH1646">
        <v>44.321878101761897</v>
      </c>
      <c r="AI1646">
        <v>91.339372943668096</v>
      </c>
      <c r="AJ1646">
        <v>95.367856998287607</v>
      </c>
      <c r="AK1646">
        <v>44.529269442620297</v>
      </c>
      <c r="AL1646">
        <v>78.354697298295207</v>
      </c>
      <c r="AM1646">
        <v>87.295993077257094</v>
      </c>
      <c r="AN1646">
        <v>1.0000000493076799</v>
      </c>
    </row>
    <row r="1647" spans="1:40" x14ac:dyDescent="0.25">
      <c r="A1647" t="str">
        <f>"20190303162535048"</f>
        <v>20190303162535048</v>
      </c>
      <c r="B1647" t="str">
        <f>"1551601535034505"</f>
        <v>1551601535034505</v>
      </c>
      <c r="C1647" t="s">
        <v>40</v>
      </c>
      <c r="D1647">
        <v>4.537261</v>
      </c>
      <c r="E1647">
        <v>0.44977590000000001</v>
      </c>
      <c r="F1647" t="s">
        <v>48</v>
      </c>
      <c r="G1647">
        <v>-399.51670000000001</v>
      </c>
      <c r="H1647">
        <v>8.0000130000000003E-2</v>
      </c>
      <c r="I1647">
        <v>279.37720000000002</v>
      </c>
      <c r="J1647">
        <v>-353.32479999999998</v>
      </c>
      <c r="K1647">
        <v>1.1208209999999901</v>
      </c>
      <c r="L1647">
        <v>284.16789999999997</v>
      </c>
      <c r="M1647">
        <v>-0.99986109999999995</v>
      </c>
      <c r="N1647">
        <v>-1.309812E-2</v>
      </c>
      <c r="O1647">
        <v>-1.0317639999999999E-2</v>
      </c>
      <c r="P1647">
        <v>-0.9811086</v>
      </c>
      <c r="Q1647">
        <v>0.19009670000000001</v>
      </c>
      <c r="R1647">
        <v>3.5909379999999998E-2</v>
      </c>
      <c r="S1647">
        <v>-3.0818180000000002</v>
      </c>
      <c r="T1647">
        <v>-6.8996909999999995E-2</v>
      </c>
      <c r="U1647">
        <v>-0.317749</v>
      </c>
      <c r="V1647">
        <v>4.6204589999999997E-2</v>
      </c>
      <c r="W1647">
        <v>0.20288619999999999</v>
      </c>
      <c r="X1647">
        <v>0.97811159999999997</v>
      </c>
      <c r="Y1647">
        <v>-9.2255199999999996E-2</v>
      </c>
      <c r="Z1647">
        <v>-1.5402720000000001E-3</v>
      </c>
      <c r="AA1647">
        <v>0.99573420000000001</v>
      </c>
      <c r="AB1647">
        <v>30</v>
      </c>
      <c r="AC1647">
        <v>-46.191899999999997</v>
      </c>
      <c r="AD1647">
        <v>-1.0408208699999999</v>
      </c>
      <c r="AE1647">
        <v>-4.7906999999999504</v>
      </c>
      <c r="AF1647">
        <v>-4.3116469353899403</v>
      </c>
      <c r="AG1647">
        <v>-1.0408208699999999</v>
      </c>
      <c r="AH1647">
        <v>46.215659121363203</v>
      </c>
      <c r="AI1647">
        <v>91.284561417956297</v>
      </c>
      <c r="AJ1647">
        <v>95.329928675571196</v>
      </c>
      <c r="AK1647">
        <v>46.428016922984398</v>
      </c>
      <c r="AL1647">
        <v>78.294212741604596</v>
      </c>
      <c r="AM1647">
        <v>87.295440031246898</v>
      </c>
      <c r="AN1647">
        <v>0.99999998817103397</v>
      </c>
    </row>
    <row r="1648" spans="1:40" x14ac:dyDescent="0.25">
      <c r="A1648" t="str">
        <f>"20190303162535071"</f>
        <v>20190303162535071</v>
      </c>
      <c r="B1648" t="str">
        <f>"1551601535064760"</f>
        <v>1551601535064760</v>
      </c>
      <c r="C1648" t="s">
        <v>40</v>
      </c>
      <c r="D1648">
        <v>4.6148800000000003</v>
      </c>
      <c r="E1648">
        <v>0.4496154</v>
      </c>
      <c r="F1648" t="s">
        <v>51</v>
      </c>
      <c r="G1648">
        <v>-404.67009999999999</v>
      </c>
      <c r="H1648">
        <v>8.0001100000000006E-2</v>
      </c>
      <c r="I1648">
        <v>278.9033</v>
      </c>
      <c r="J1648">
        <v>-353.6284</v>
      </c>
      <c r="K1648">
        <v>1.1208049999999901</v>
      </c>
      <c r="L1648">
        <v>284.16520000000003</v>
      </c>
      <c r="M1648">
        <v>-0.99986730000000001</v>
      </c>
      <c r="N1648">
        <v>-1.294974E-2</v>
      </c>
      <c r="O1648">
        <v>-9.891436E-3</v>
      </c>
      <c r="P1648">
        <v>-0.98086220000000002</v>
      </c>
      <c r="Q1648">
        <v>0.1913716</v>
      </c>
      <c r="R1648">
        <v>3.5867580000000003E-2</v>
      </c>
      <c r="S1648">
        <v>-3.0814210000000002</v>
      </c>
      <c r="T1648">
        <v>-6.2463520000000002E-2</v>
      </c>
      <c r="U1648">
        <v>-0.31594850000000002</v>
      </c>
      <c r="V1648">
        <v>4.5739090000000003E-2</v>
      </c>
      <c r="W1648">
        <v>0.2040141</v>
      </c>
      <c r="X1648">
        <v>0.97789879999999996</v>
      </c>
      <c r="Y1648">
        <v>-9.2122419999999997E-2</v>
      </c>
      <c r="Z1648">
        <v>-1.4571740000000001E-3</v>
      </c>
      <c r="AA1648">
        <v>0.99574660000000004</v>
      </c>
      <c r="AB1648">
        <v>30</v>
      </c>
      <c r="AC1648">
        <v>-51.041699999999899</v>
      </c>
      <c r="AD1648">
        <v>-1.04080389999999</v>
      </c>
      <c r="AE1648">
        <v>-5.2619000000000202</v>
      </c>
      <c r="AF1648">
        <v>-4.7547682726243101</v>
      </c>
      <c r="AG1648">
        <v>-1.04080389999999</v>
      </c>
      <c r="AH1648">
        <v>51.070242803399204</v>
      </c>
      <c r="AI1648">
        <v>91.162491759695499</v>
      </c>
      <c r="AJ1648">
        <v>95.319048145706901</v>
      </c>
      <c r="AK1648">
        <v>51.301664632668199</v>
      </c>
      <c r="AL1648">
        <v>78.228207792913906</v>
      </c>
      <c r="AM1648">
        <v>87.322066196943197</v>
      </c>
      <c r="AN1648">
        <v>0.999999940197137</v>
      </c>
    </row>
    <row r="1649" spans="1:40" x14ac:dyDescent="0.25">
      <c r="A1649" t="str">
        <f>"20190303162535095"</f>
        <v>20190303162535095</v>
      </c>
      <c r="B1649" t="str">
        <f>"1551601535084280"</f>
        <v>1551601535084280</v>
      </c>
      <c r="C1649" t="s">
        <v>40</v>
      </c>
      <c r="D1649">
        <v>4.5716010000000002</v>
      </c>
      <c r="E1649">
        <v>0.44936779999999998</v>
      </c>
      <c r="F1649" t="s">
        <v>51</v>
      </c>
      <c r="G1649">
        <v>-408.916</v>
      </c>
      <c r="H1649">
        <v>8.0001080000000002E-2</v>
      </c>
      <c r="I1649">
        <v>278.47559999999999</v>
      </c>
      <c r="J1649">
        <v>-353.93040000000002</v>
      </c>
      <c r="K1649">
        <v>1.1207879999999999</v>
      </c>
      <c r="L1649">
        <v>284.16269999999997</v>
      </c>
      <c r="M1649">
        <v>-0.99987389999999998</v>
      </c>
      <c r="N1649">
        <v>-1.275484E-2</v>
      </c>
      <c r="O1649">
        <v>-9.4645000000000007E-3</v>
      </c>
      <c r="P1649">
        <v>-0.98075619999999997</v>
      </c>
      <c r="Q1649">
        <v>0.19185530000000001</v>
      </c>
      <c r="R1649">
        <v>3.6178120000000001E-2</v>
      </c>
      <c r="S1649">
        <v>-3.0814509999999999</v>
      </c>
      <c r="T1649">
        <v>-5.8009150000000002E-2</v>
      </c>
      <c r="U1649">
        <v>-0.31710820000000001</v>
      </c>
      <c r="V1649">
        <v>4.5625260000000001E-2</v>
      </c>
      <c r="W1649">
        <v>0.2043073</v>
      </c>
      <c r="X1649">
        <v>0.97784300000000002</v>
      </c>
      <c r="Y1649">
        <v>-9.2920669999999997E-2</v>
      </c>
      <c r="Z1649">
        <v>-1.4092690000000001E-3</v>
      </c>
      <c r="AA1649">
        <v>0.99567249999999996</v>
      </c>
      <c r="AB1649">
        <v>30</v>
      </c>
      <c r="AC1649">
        <v>-54.985599999999899</v>
      </c>
      <c r="AD1649">
        <v>-1.0407869199999999</v>
      </c>
      <c r="AE1649">
        <v>-5.6870999999999796</v>
      </c>
      <c r="AF1649">
        <v>-5.1645609217822104</v>
      </c>
      <c r="AG1649">
        <v>-1.0407869199999999</v>
      </c>
      <c r="AH1649">
        <v>55.017463599089403</v>
      </c>
      <c r="AI1649">
        <v>91.079014959208493</v>
      </c>
      <c r="AJ1649">
        <v>95.362714485589606</v>
      </c>
      <c r="AK1649">
        <v>55.269134494804298</v>
      </c>
      <c r="AL1649">
        <v>78.211048355469799</v>
      </c>
      <c r="AM1649">
        <v>87.328568840166895</v>
      </c>
      <c r="AN1649">
        <v>1.00000003491617</v>
      </c>
    </row>
    <row r="1650" spans="1:40" x14ac:dyDescent="0.25">
      <c r="A1650" t="str">
        <f>"20190303162535116"</f>
        <v>20190303162535116</v>
      </c>
      <c r="B1650" t="str">
        <f>"1551601535104777"</f>
        <v>1551601535104777</v>
      </c>
      <c r="C1650" t="s">
        <v>40</v>
      </c>
      <c r="D1650">
        <v>4.5470300000000003</v>
      </c>
      <c r="E1650">
        <v>0.44921349999999999</v>
      </c>
      <c r="F1650" t="s">
        <v>51</v>
      </c>
      <c r="G1650">
        <v>-416.9907</v>
      </c>
      <c r="H1650" s="1">
        <v>4.5841599999999998E-6</v>
      </c>
      <c r="I1650">
        <v>277.63249999999999</v>
      </c>
      <c r="J1650">
        <v>-354.22289999999998</v>
      </c>
      <c r="K1650">
        <v>1.120749</v>
      </c>
      <c r="L1650">
        <v>284.16039999999998</v>
      </c>
      <c r="M1650">
        <v>-0.99988089999999996</v>
      </c>
      <c r="N1650">
        <v>-1.25133E-2</v>
      </c>
      <c r="O1650">
        <v>-9.0521560000000004E-3</v>
      </c>
      <c r="P1650">
        <v>-0.9805315</v>
      </c>
      <c r="Q1650">
        <v>0.19293840000000001</v>
      </c>
      <c r="R1650">
        <v>3.6514379999999999E-2</v>
      </c>
      <c r="S1650">
        <v>-3.0813899999999999</v>
      </c>
      <c r="T1650">
        <v>-5.4766179999999998E-2</v>
      </c>
      <c r="U1650">
        <v>-0.31909179999999998</v>
      </c>
      <c r="V1650">
        <v>4.5552889999999999E-2</v>
      </c>
      <c r="W1650">
        <v>0.2051521</v>
      </c>
      <c r="X1650">
        <v>0.97766940000000002</v>
      </c>
      <c r="Y1650">
        <v>-9.3969750000000005E-2</v>
      </c>
      <c r="Z1650">
        <v>-1.3749470000000001E-3</v>
      </c>
      <c r="AA1650">
        <v>0.99557410000000002</v>
      </c>
      <c r="AB1650">
        <v>30</v>
      </c>
      <c r="AC1650">
        <v>-62.767800000000001</v>
      </c>
      <c r="AD1650">
        <v>-1.12074441584</v>
      </c>
      <c r="AE1650">
        <v>-6.5278999999999803</v>
      </c>
      <c r="AF1650">
        <v>-5.9575251621719003</v>
      </c>
      <c r="AG1650">
        <v>-1.12074441584</v>
      </c>
      <c r="AH1650">
        <v>62.804515292356101</v>
      </c>
      <c r="AI1650">
        <v>91.0177649609995</v>
      </c>
      <c r="AJ1650">
        <v>95.418762226295698</v>
      </c>
      <c r="AK1650">
        <v>63.096397006575103</v>
      </c>
      <c r="AL1650">
        <v>78.161596452694397</v>
      </c>
      <c r="AM1650">
        <v>87.332327176653706</v>
      </c>
      <c r="AN1650">
        <v>0.99999995280905996</v>
      </c>
    </row>
    <row r="1651" spans="1:40" x14ac:dyDescent="0.25">
      <c r="A1651" t="str">
        <f>"20190303162535137"</f>
        <v>20190303162535137</v>
      </c>
      <c r="B1651" t="str">
        <f>"1551601535124296"</f>
        <v>1551601535124296</v>
      </c>
      <c r="C1651" t="s">
        <v>40</v>
      </c>
      <c r="D1651">
        <v>4.629251</v>
      </c>
      <c r="E1651">
        <v>0.44884770000000002</v>
      </c>
      <c r="F1651" t="s">
        <v>51</v>
      </c>
      <c r="G1651">
        <v>-421.9717</v>
      </c>
      <c r="H1651" s="1">
        <v>4.8405420000000004E-6</v>
      </c>
      <c r="I1651">
        <v>277.13290000000001</v>
      </c>
      <c r="J1651">
        <v>-354.5127</v>
      </c>
      <c r="K1651">
        <v>1.1207</v>
      </c>
      <c r="L1651">
        <v>284.15820000000002</v>
      </c>
      <c r="M1651">
        <v>-0.999888</v>
      </c>
      <c r="N1651">
        <v>-1.2216319999999999E-2</v>
      </c>
      <c r="O1651">
        <v>-8.6476829999999998E-3</v>
      </c>
      <c r="P1651">
        <v>-0.98045040000000006</v>
      </c>
      <c r="Q1651">
        <v>0.19329689999999999</v>
      </c>
      <c r="R1651">
        <v>3.6786270000000003E-2</v>
      </c>
      <c r="S1651">
        <v>-3.081512</v>
      </c>
      <c r="T1651">
        <v>-5.0976399999999998E-2</v>
      </c>
      <c r="U1651">
        <v>-0.31964110000000001</v>
      </c>
      <c r="V1651">
        <v>4.5426689999999999E-2</v>
      </c>
      <c r="W1651">
        <v>0.20522019999999999</v>
      </c>
      <c r="X1651">
        <v>0.977661</v>
      </c>
      <c r="Y1651">
        <v>-9.4546790000000006E-2</v>
      </c>
      <c r="Z1651">
        <v>-1.3217529999999999E-3</v>
      </c>
      <c r="AA1651">
        <v>0.9955195</v>
      </c>
      <c r="AB1651">
        <v>30</v>
      </c>
      <c r="AC1651">
        <v>-67.459000000000003</v>
      </c>
      <c r="AD1651">
        <v>-1.1206951594579999</v>
      </c>
      <c r="AE1651">
        <v>-7.0253000000000103</v>
      </c>
      <c r="AF1651">
        <v>-6.4398714203692302</v>
      </c>
      <c r="AG1651">
        <v>-1.1206951594579999</v>
      </c>
      <c r="AH1651">
        <v>67.498805102507603</v>
      </c>
      <c r="AI1651">
        <v>90.946905967857603</v>
      </c>
      <c r="AJ1651">
        <v>95.449933288740795</v>
      </c>
      <c r="AK1651">
        <v>67.814575069210704</v>
      </c>
      <c r="AL1651">
        <v>78.157610025472096</v>
      </c>
      <c r="AM1651">
        <v>87.339684257293797</v>
      </c>
      <c r="AN1651">
        <v>0.99999997278669694</v>
      </c>
    </row>
    <row r="1652" spans="1:40" x14ac:dyDescent="0.25">
      <c r="A1652" t="str">
        <f>"20190303162535162"</f>
        <v>20190303162535162</v>
      </c>
      <c r="B1652" t="str">
        <f>"1551601535154553"</f>
        <v>1551601535154553</v>
      </c>
      <c r="C1652" t="s">
        <v>40</v>
      </c>
      <c r="D1652">
        <v>4.631875</v>
      </c>
      <c r="E1652">
        <v>0.44839659999999898</v>
      </c>
      <c r="F1652" t="s">
        <v>51</v>
      </c>
      <c r="G1652">
        <v>-421.35320000000002</v>
      </c>
      <c r="H1652" s="1">
        <v>4.9576020000000002E-6</v>
      </c>
      <c r="I1652">
        <v>277.18970000000002</v>
      </c>
      <c r="J1652">
        <v>-354.82670000000002</v>
      </c>
      <c r="K1652">
        <v>1.1206290000000001</v>
      </c>
      <c r="L1652">
        <v>284.15589999999997</v>
      </c>
      <c r="M1652">
        <v>-0.99989609999999995</v>
      </c>
      <c r="N1652">
        <v>-1.1847369999999999E-2</v>
      </c>
      <c r="O1652">
        <v>-8.2155089999999993E-3</v>
      </c>
      <c r="P1652">
        <v>-0.98045640000000001</v>
      </c>
      <c r="Q1652">
        <v>0.19317110000000001</v>
      </c>
      <c r="R1652">
        <v>3.7285249999999999E-2</v>
      </c>
      <c r="S1652">
        <v>-3.0820620000000001</v>
      </c>
      <c r="T1652">
        <v>-5.1676029999999998E-2</v>
      </c>
      <c r="U1652">
        <v>-0.32131959999999998</v>
      </c>
      <c r="V1652">
        <v>4.5502620000000001E-2</v>
      </c>
      <c r="W1652">
        <v>0.204733</v>
      </c>
      <c r="X1652">
        <v>0.97775970000000001</v>
      </c>
      <c r="Y1652">
        <v>-9.5494809999999999E-2</v>
      </c>
      <c r="Z1652">
        <v>-1.3253780000000001E-3</v>
      </c>
      <c r="AA1652">
        <v>0.99542900000000001</v>
      </c>
      <c r="AB1652">
        <v>30</v>
      </c>
      <c r="AC1652">
        <v>-66.526499999999999</v>
      </c>
      <c r="AD1652">
        <v>-1.1206240423980001</v>
      </c>
      <c r="AE1652">
        <v>-6.96619999999995</v>
      </c>
      <c r="AF1652">
        <v>-6.4175762553879601</v>
      </c>
      <c r="AG1652">
        <v>-1.1206240423980001</v>
      </c>
      <c r="AH1652">
        <v>66.562807334147706</v>
      </c>
      <c r="AI1652">
        <v>90.960066006310697</v>
      </c>
      <c r="AJ1652">
        <v>95.507084616391495</v>
      </c>
      <c r="AK1652">
        <v>66.880852293021704</v>
      </c>
      <c r="AL1652">
        <v>78.186131149858994</v>
      </c>
      <c r="AM1652">
        <v>87.335512591687404</v>
      </c>
      <c r="AN1652">
        <v>1.0000000603299699</v>
      </c>
    </row>
    <row r="1653" spans="1:40" x14ac:dyDescent="0.25">
      <c r="A1653" t="str">
        <f>"20190303162535182"</f>
        <v>20190303162535182</v>
      </c>
      <c r="B1653" t="str">
        <f>"1551601535174072"</f>
        <v>1551601535174072</v>
      </c>
      <c r="C1653" t="s">
        <v>40</v>
      </c>
      <c r="D1653">
        <v>4.6108669999999998</v>
      </c>
      <c r="E1653">
        <v>0.4481232</v>
      </c>
      <c r="F1653" t="s">
        <v>51</v>
      </c>
      <c r="G1653">
        <v>-418.70769999999999</v>
      </c>
      <c r="H1653" s="1">
        <v>4.9509689999999999E-6</v>
      </c>
      <c r="I1653">
        <v>277.45650000000001</v>
      </c>
      <c r="J1653">
        <v>-355.11369999999999</v>
      </c>
      <c r="K1653">
        <v>1.1205639999999999</v>
      </c>
      <c r="L1653">
        <v>284.15390000000002</v>
      </c>
      <c r="M1653">
        <v>-0.9999034</v>
      </c>
      <c r="N1653">
        <v>-1.149682E-2</v>
      </c>
      <c r="O1653">
        <v>-7.8227069999999999E-3</v>
      </c>
      <c r="P1653">
        <v>-0.98045519999999997</v>
      </c>
      <c r="Q1653">
        <v>0.19290679999999999</v>
      </c>
      <c r="R1653">
        <v>3.8661630000000002E-2</v>
      </c>
      <c r="S1653">
        <v>-3.0827939999999998</v>
      </c>
      <c r="T1653">
        <v>-5.4079530000000001E-2</v>
      </c>
      <c r="U1653">
        <v>-0.32330320000000001</v>
      </c>
      <c r="V1653">
        <v>4.649499E-2</v>
      </c>
      <c r="W1653">
        <v>0.20412530000000001</v>
      </c>
      <c r="X1653">
        <v>0.97784000000000004</v>
      </c>
      <c r="Y1653">
        <v>-9.6493449999999995E-2</v>
      </c>
      <c r="Z1653">
        <v>-1.353145E-3</v>
      </c>
      <c r="AA1653">
        <v>0.99533269999999996</v>
      </c>
      <c r="AB1653">
        <v>30</v>
      </c>
      <c r="AC1653">
        <v>-63.594000000000001</v>
      </c>
      <c r="AD1653">
        <v>-1.12055904903099</v>
      </c>
      <c r="AE1653">
        <v>-6.6974000000000098</v>
      </c>
      <c r="AF1653">
        <v>-6.1977817879183199</v>
      </c>
      <c r="AG1653">
        <v>-1.12055904903099</v>
      </c>
      <c r="AH1653">
        <v>63.624911432363703</v>
      </c>
      <c r="AI1653">
        <v>91.004234017382899</v>
      </c>
      <c r="AJ1653">
        <v>95.563699592110495</v>
      </c>
      <c r="AK1653">
        <v>63.935885904937201</v>
      </c>
      <c r="AL1653">
        <v>78.221700186168306</v>
      </c>
      <c r="AM1653">
        <v>87.277712323243804</v>
      </c>
      <c r="AN1653">
        <v>0.99999999389759497</v>
      </c>
    </row>
    <row r="1654" spans="1:40" x14ac:dyDescent="0.25">
      <c r="A1654" t="str">
        <f>"20190303162535204"</f>
        <v>20190303162535204</v>
      </c>
      <c r="B1654" t="str">
        <f>"1551601535194569"</f>
        <v>1551601535194569</v>
      </c>
      <c r="C1654" t="s">
        <v>40</v>
      </c>
      <c r="D1654">
        <v>4.5996670000000002</v>
      </c>
      <c r="E1654">
        <v>0.4478975</v>
      </c>
      <c r="F1654" t="s">
        <v>51</v>
      </c>
      <c r="G1654">
        <v>-416.84410000000003</v>
      </c>
      <c r="H1654" s="1">
        <v>4.5287490000000002E-6</v>
      </c>
      <c r="I1654">
        <v>277.71570000000003</v>
      </c>
      <c r="J1654">
        <v>-355.40159999999997</v>
      </c>
      <c r="K1654">
        <v>1.120511</v>
      </c>
      <c r="L1654">
        <v>284.15210000000002</v>
      </c>
      <c r="M1654">
        <v>-0.99991039999999998</v>
      </c>
      <c r="N1654">
        <v>-1.1152749999999999E-2</v>
      </c>
      <c r="O1654">
        <v>-7.4297640000000002E-3</v>
      </c>
      <c r="P1654">
        <v>-0.98038999999999998</v>
      </c>
      <c r="Q1654">
        <v>0.19294819999999999</v>
      </c>
      <c r="R1654">
        <v>4.0083609999999999E-2</v>
      </c>
      <c r="S1654">
        <v>-3.0834959999999998</v>
      </c>
      <c r="T1654">
        <v>-5.5973050000000003E-2</v>
      </c>
      <c r="U1654">
        <v>-0.3215942</v>
      </c>
      <c r="V1654">
        <v>4.7532379999999999E-2</v>
      </c>
      <c r="W1654">
        <v>0.20382829999999999</v>
      </c>
      <c r="X1654">
        <v>0.97785200000000005</v>
      </c>
      <c r="Y1654">
        <v>-9.6314410000000003E-2</v>
      </c>
      <c r="Z1654">
        <v>-1.3585299999999999E-3</v>
      </c>
      <c r="AA1654">
        <v>0.99535010000000002</v>
      </c>
      <c r="AB1654">
        <v>30</v>
      </c>
      <c r="AC1654">
        <v>-61.442500000000003</v>
      </c>
      <c r="AD1654">
        <v>-1.120506471251</v>
      </c>
      <c r="AE1654">
        <v>-6.4363999999999901</v>
      </c>
      <c r="AF1654">
        <v>-5.9777242793620102</v>
      </c>
      <c r="AG1654">
        <v>-1.120506471251</v>
      </c>
      <c r="AH1654">
        <v>61.468406785011297</v>
      </c>
      <c r="AI1654">
        <v>91.039425621463494</v>
      </c>
      <c r="AJ1654">
        <v>95.554475392535494</v>
      </c>
      <c r="AK1654">
        <v>61.768549885842503</v>
      </c>
      <c r="AL1654">
        <v>78.239081583291494</v>
      </c>
      <c r="AM1654">
        <v>87.217101547793007</v>
      </c>
      <c r="AN1654">
        <v>0.99999991846667302</v>
      </c>
    </row>
    <row r="1655" spans="1:40" x14ac:dyDescent="0.25">
      <c r="A1655" t="str">
        <f>"20190303162535227"</f>
        <v>20190303162535227</v>
      </c>
      <c r="B1655" t="str">
        <f>"1551601535214089"</f>
        <v>1551601535214089</v>
      </c>
      <c r="C1655" t="s">
        <v>40</v>
      </c>
      <c r="D1655">
        <v>4.5148830000000002</v>
      </c>
      <c r="E1655">
        <v>0.44792140000000003</v>
      </c>
      <c r="F1655" t="s">
        <v>51</v>
      </c>
      <c r="G1655">
        <v>-415.70940000000002</v>
      </c>
      <c r="H1655" s="1">
        <v>4.2607249999999998E-6</v>
      </c>
      <c r="I1655">
        <v>277.90460000000002</v>
      </c>
      <c r="J1655">
        <v>-355.71359999999999</v>
      </c>
      <c r="K1655">
        <v>1.120465</v>
      </c>
      <c r="L1655">
        <v>284.15019999999998</v>
      </c>
      <c r="M1655">
        <v>-0.99991730000000001</v>
      </c>
      <c r="N1655">
        <v>-1.079112E-2</v>
      </c>
      <c r="O1655">
        <v>-7.006651E-3</v>
      </c>
      <c r="P1655">
        <v>-0.98041400000000001</v>
      </c>
      <c r="Q1655">
        <v>0.19258069999999999</v>
      </c>
      <c r="R1655">
        <v>4.124601E-2</v>
      </c>
      <c r="S1655">
        <v>-3.0843509999999998</v>
      </c>
      <c r="T1655">
        <v>-5.7306650000000001E-2</v>
      </c>
      <c r="U1655">
        <v>-0.319519</v>
      </c>
      <c r="V1655">
        <v>4.8280249999999997E-2</v>
      </c>
      <c r="W1655">
        <v>0.2031066</v>
      </c>
      <c r="X1655">
        <v>0.97796559999999999</v>
      </c>
      <c r="Y1655">
        <v>-9.6044089999999999E-2</v>
      </c>
      <c r="Z1655">
        <v>-1.355066E-3</v>
      </c>
      <c r="AA1655">
        <v>0.99537620000000004</v>
      </c>
      <c r="AB1655">
        <v>30</v>
      </c>
      <c r="AC1655">
        <v>-59.995800000000003</v>
      </c>
      <c r="AD1655">
        <v>-1.1204607392749999</v>
      </c>
      <c r="AE1655">
        <v>-6.2455999999999596</v>
      </c>
      <c r="AF1655">
        <v>-5.8230434057682601</v>
      </c>
      <c r="AG1655">
        <v>-1.1204607392749999</v>
      </c>
      <c r="AH1655">
        <v>60.0173819562849</v>
      </c>
      <c r="AI1655">
        <v>91.064529551304503</v>
      </c>
      <c r="AJ1655">
        <v>95.541641312327002</v>
      </c>
      <c r="AK1655">
        <v>60.309612862795802</v>
      </c>
      <c r="AL1655">
        <v>78.281316310771601</v>
      </c>
      <c r="AM1655">
        <v>87.173713952082295</v>
      </c>
      <c r="AN1655">
        <v>0.99999999414349094</v>
      </c>
    </row>
    <row r="1656" spans="1:40" x14ac:dyDescent="0.25">
      <c r="A1656" t="str">
        <f>"20190303162535250"</f>
        <v>20190303162535250</v>
      </c>
      <c r="B1656" t="str">
        <f>"1551601535244345"</f>
        <v>1551601535244345</v>
      </c>
      <c r="C1656" t="s">
        <v>40</v>
      </c>
      <c r="D1656">
        <v>4.5047969999999999</v>
      </c>
      <c r="E1656">
        <v>0.44858700000000001</v>
      </c>
      <c r="F1656" t="s">
        <v>51</v>
      </c>
      <c r="G1656">
        <v>-414.68220000000002</v>
      </c>
      <c r="H1656" s="1">
        <v>4.0075869999999998E-6</v>
      </c>
      <c r="I1656">
        <v>278.10520000000002</v>
      </c>
      <c r="J1656">
        <v>-356.01749999999998</v>
      </c>
      <c r="K1656">
        <v>1.1204259999999999</v>
      </c>
      <c r="L1656">
        <v>284.14850000000001</v>
      </c>
      <c r="M1656">
        <v>-0.99992360000000002</v>
      </c>
      <c r="N1656">
        <v>-1.045271E-2</v>
      </c>
      <c r="O1656">
        <v>-6.5997159999999899E-3</v>
      </c>
      <c r="P1656">
        <v>-0.98046080000000002</v>
      </c>
      <c r="Q1656">
        <v>0.19200429999999999</v>
      </c>
      <c r="R1656">
        <v>4.2791429999999998E-2</v>
      </c>
      <c r="S1656">
        <v>-3.0847470000000001</v>
      </c>
      <c r="T1656">
        <v>-5.8613180000000001E-2</v>
      </c>
      <c r="U1656">
        <v>-0.31622309999999998</v>
      </c>
      <c r="V1656">
        <v>4.9425829999999997E-2</v>
      </c>
      <c r="W1656">
        <v>0.2021993</v>
      </c>
      <c r="X1656">
        <v>0.97809639999999998</v>
      </c>
      <c r="Y1656">
        <v>-9.5383270000000006E-2</v>
      </c>
      <c r="Z1656">
        <v>-1.34739E-3</v>
      </c>
      <c r="AA1656">
        <v>0.99543970000000004</v>
      </c>
      <c r="AB1656">
        <v>30</v>
      </c>
      <c r="AC1656">
        <v>-58.664700000000003</v>
      </c>
      <c r="AD1656">
        <v>-1.1204219924129999</v>
      </c>
      <c r="AE1656">
        <v>-6.0432999999999799</v>
      </c>
      <c r="AF1656">
        <v>-5.6539361794160197</v>
      </c>
      <c r="AG1656">
        <v>-1.1204219924129999</v>
      </c>
      <c r="AH1656">
        <v>58.682128236842701</v>
      </c>
      <c r="AI1656">
        <v>91.088778745628503</v>
      </c>
      <c r="AJ1656">
        <v>95.503376135803606</v>
      </c>
      <c r="AK1656">
        <v>58.9645191124904</v>
      </c>
      <c r="AL1656">
        <v>78.334402564447899</v>
      </c>
      <c r="AM1656">
        <v>87.107151519910303</v>
      </c>
      <c r="AN1656">
        <v>1.0000000186423099</v>
      </c>
    </row>
    <row r="1657" spans="1:40" x14ac:dyDescent="0.25">
      <c r="A1657" t="str">
        <f>"20190303162535272"</f>
        <v>20190303162535272</v>
      </c>
      <c r="B1657" t="str">
        <f>"1551601535264840"</f>
        <v>1551601535264840</v>
      </c>
      <c r="C1657" t="s">
        <v>40</v>
      </c>
      <c r="D1657">
        <v>4.4993169999999996</v>
      </c>
      <c r="E1657">
        <v>0.4824407</v>
      </c>
      <c r="F1657" t="s">
        <v>51</v>
      </c>
      <c r="G1657">
        <v>-404.60169999999999</v>
      </c>
      <c r="H1657">
        <v>8.0001080000000002E-2</v>
      </c>
      <c r="I1657">
        <v>279.31970000000001</v>
      </c>
      <c r="J1657">
        <v>-356.32569999999998</v>
      </c>
      <c r="K1657">
        <v>1.120398</v>
      </c>
      <c r="L1657">
        <v>284.14690000000002</v>
      </c>
      <c r="M1657">
        <v>-0.99992950000000003</v>
      </c>
      <c r="N1657">
        <v>-1.0134819999999999E-2</v>
      </c>
      <c r="O1657">
        <v>-6.1965379999999997E-3</v>
      </c>
      <c r="P1657">
        <v>-0.98046029999999995</v>
      </c>
      <c r="Q1657">
        <v>0.19166459999999999</v>
      </c>
      <c r="R1657">
        <v>4.4297900000000001E-2</v>
      </c>
      <c r="S1657">
        <v>-3.0861209999999999</v>
      </c>
      <c r="T1657">
        <v>-6.6088910000000001E-2</v>
      </c>
      <c r="U1657">
        <v>-0.30673220000000001</v>
      </c>
      <c r="V1657">
        <v>5.0534580000000003E-2</v>
      </c>
      <c r="W1657">
        <v>0.20154830000000001</v>
      </c>
      <c r="X1657">
        <v>0.97817410000000005</v>
      </c>
      <c r="Y1657">
        <v>-9.2704490000000001E-2</v>
      </c>
      <c r="Z1657">
        <v>-1.391396E-3</v>
      </c>
      <c r="AA1657">
        <v>0.99569269999999999</v>
      </c>
      <c r="AB1657">
        <v>30</v>
      </c>
      <c r="AC1657">
        <v>-48.276000000000003</v>
      </c>
      <c r="AD1657">
        <v>-1.0403969200000001</v>
      </c>
      <c r="AE1657">
        <v>-4.8272000000000004</v>
      </c>
      <c r="AF1657">
        <v>-4.5258666853525096</v>
      </c>
      <c r="AG1657">
        <v>-1.0403969200000001</v>
      </c>
      <c r="AH1657">
        <v>48.2827837580341</v>
      </c>
      <c r="AI1657">
        <v>91.229031819757793</v>
      </c>
      <c r="AJ1657">
        <v>95.355067140566405</v>
      </c>
      <c r="AK1657">
        <v>48.505598670976198</v>
      </c>
      <c r="AL1657">
        <v>78.372486162769903</v>
      </c>
      <c r="AM1657">
        <v>87.042605876750599</v>
      </c>
      <c r="AN1657">
        <v>1.0000000154597299</v>
      </c>
    </row>
    <row r="1658" spans="1:40" x14ac:dyDescent="0.25">
      <c r="A1658" t="str">
        <f>"20190303162535296"</f>
        <v>20190303162535296</v>
      </c>
      <c r="B1658" t="str">
        <f>"1551601535284360"</f>
        <v>1551601535284360</v>
      </c>
      <c r="C1658" t="s">
        <v>40</v>
      </c>
      <c r="D1658">
        <v>4.4858140000000004</v>
      </c>
      <c r="E1658">
        <v>0.49551820000000002</v>
      </c>
      <c r="F1658" t="s">
        <v>42</v>
      </c>
      <c r="G1658">
        <v>-357.11579999999998</v>
      </c>
      <c r="H1658">
        <v>1.0279320000000001</v>
      </c>
      <c r="I1658">
        <v>284.13600000000002</v>
      </c>
      <c r="J1658">
        <v>-356.62630000000001</v>
      </c>
      <c r="K1658">
        <v>1.120379</v>
      </c>
      <c r="L1658">
        <v>284.1454</v>
      </c>
      <c r="M1658">
        <v>-0.99993460000000001</v>
      </c>
      <c r="N1658">
        <v>-9.8552610000000006E-3</v>
      </c>
      <c r="O1658">
        <v>-5.8139840000000003E-3</v>
      </c>
      <c r="P1658">
        <v>-0.98030019999999995</v>
      </c>
      <c r="Q1658">
        <v>0.19216659999999999</v>
      </c>
      <c r="R1658">
        <v>4.5647430000000003E-2</v>
      </c>
      <c r="S1658">
        <v>-3.1334529999999998</v>
      </c>
      <c r="T1658">
        <v>-0.36680010000000002</v>
      </c>
      <c r="U1658">
        <v>-4.4189449999999998E-2</v>
      </c>
      <c r="V1658">
        <v>5.1505540000000002E-2</v>
      </c>
      <c r="W1658">
        <v>0.20177529999999999</v>
      </c>
      <c r="X1658">
        <v>0.97807659999999996</v>
      </c>
      <c r="Y1658">
        <v>-8.2592719999999998E-3</v>
      </c>
      <c r="Z1658" s="1">
        <v>9.8507389999999997E-5</v>
      </c>
      <c r="AA1658">
        <v>0.99996589999999996</v>
      </c>
      <c r="AB1658">
        <v>30</v>
      </c>
      <c r="AC1658">
        <v>-0.48949999999996402</v>
      </c>
      <c r="AD1658">
        <v>-9.2446999999999904E-2</v>
      </c>
      <c r="AE1658">
        <v>-9.4000000000278305E-3</v>
      </c>
      <c r="AF1658">
        <v>-6.3281286499172699E-3</v>
      </c>
      <c r="AG1658">
        <v>-9.2446999999999904E-2</v>
      </c>
      <c r="AH1658">
        <v>0.472692539675381</v>
      </c>
      <c r="AI1658">
        <v>101.064995043686</v>
      </c>
      <c r="AJ1658">
        <v>90.766996250605004</v>
      </c>
      <c r="AK1658">
        <v>0.48168945399081697</v>
      </c>
      <c r="AL1658">
        <v>78.359206599178293</v>
      </c>
      <c r="AM1658">
        <v>86.985587057111005</v>
      </c>
      <c r="AN1658">
        <v>0.99999996390417001</v>
      </c>
    </row>
    <row r="1659" spans="1:40" x14ac:dyDescent="0.25">
      <c r="A1659" t="str">
        <f>"20190303162535317"</f>
        <v>20190303162535317</v>
      </c>
      <c r="B1659" t="str">
        <f>"1551601535314617"</f>
        <v>1551601535314617</v>
      </c>
      <c r="C1659" t="s">
        <v>40</v>
      </c>
      <c r="D1659">
        <v>4.4232230000000001</v>
      </c>
      <c r="E1659">
        <v>0.51562140000000001</v>
      </c>
      <c r="F1659" t="s">
        <v>42</v>
      </c>
      <c r="G1659">
        <v>-357.37139999999999</v>
      </c>
      <c r="H1659">
        <v>0.99745609999999996</v>
      </c>
      <c r="I1659">
        <v>284.1592</v>
      </c>
      <c r="J1659">
        <v>-356.92910000000001</v>
      </c>
      <c r="K1659">
        <v>1.1203689999999999</v>
      </c>
      <c r="L1659">
        <v>284.14400000000001</v>
      </c>
      <c r="M1659">
        <v>-0.99993909999999997</v>
      </c>
      <c r="N1659">
        <v>-9.6035389999999995E-3</v>
      </c>
      <c r="O1659">
        <v>-5.4393439999999996E-3</v>
      </c>
      <c r="P1659">
        <v>-0.98015490000000005</v>
      </c>
      <c r="Q1659">
        <v>0.19260469999999999</v>
      </c>
      <c r="R1659">
        <v>4.6903269999999997E-2</v>
      </c>
      <c r="S1659">
        <v>-3.1597599999999999</v>
      </c>
      <c r="T1659">
        <v>-0.52134939999999996</v>
      </c>
      <c r="U1659">
        <v>5.7617189999999999E-2</v>
      </c>
      <c r="V1659">
        <v>5.2390249999999999E-2</v>
      </c>
      <c r="W1659">
        <v>0.2019658</v>
      </c>
      <c r="X1659">
        <v>0.97799029999999998</v>
      </c>
      <c r="Y1659">
        <v>2.3271739999999999E-2</v>
      </c>
      <c r="Z1659">
        <v>2.8588620000000002E-3</v>
      </c>
      <c r="AA1659">
        <v>0.99972510000000003</v>
      </c>
      <c r="AB1659">
        <v>30</v>
      </c>
      <c r="AC1659">
        <v>-0.44229999999998798</v>
      </c>
      <c r="AD1659">
        <v>-0.12291290000000001</v>
      </c>
      <c r="AE1659">
        <v>1.51999999999929E-2</v>
      </c>
      <c r="AF1659">
        <v>1.6344949063426501E-2</v>
      </c>
      <c r="AG1659">
        <v>-0.12291290000000001</v>
      </c>
      <c r="AH1659">
        <v>0.41054370691026298</v>
      </c>
      <c r="AI1659">
        <v>106.65473971503</v>
      </c>
      <c r="AJ1659">
        <v>87.720091069772394</v>
      </c>
      <c r="AK1659">
        <v>0.428859969721954</v>
      </c>
      <c r="AL1659">
        <v>78.348062445118202</v>
      </c>
      <c r="AM1659">
        <v>86.933636445565796</v>
      </c>
      <c r="AN1659">
        <v>0.99999997477939595</v>
      </c>
    </row>
    <row r="1660" spans="1:40" x14ac:dyDescent="0.25">
      <c r="A1660" t="str">
        <f>"20190303162535340"</f>
        <v>20190303162535340</v>
      </c>
      <c r="B1660" t="str">
        <f>"1551601535334138"</f>
        <v>1551601535334138</v>
      </c>
      <c r="C1660" t="s">
        <v>40</v>
      </c>
      <c r="D1660">
        <v>4.4353490000000004</v>
      </c>
      <c r="E1660">
        <v>0.51543629999999996</v>
      </c>
      <c r="F1660" t="s">
        <v>42</v>
      </c>
      <c r="G1660">
        <v>-357.59899999999999</v>
      </c>
      <c r="H1660">
        <v>0.90594600000000003</v>
      </c>
      <c r="I1660">
        <v>284.18560000000002</v>
      </c>
      <c r="J1660">
        <v>-357.22989999999999</v>
      </c>
      <c r="K1660">
        <v>1.120368</v>
      </c>
      <c r="L1660">
        <v>284.14269999999999</v>
      </c>
      <c r="M1660">
        <v>-0.99994309999999997</v>
      </c>
      <c r="N1660">
        <v>-9.3937090000000001E-3</v>
      </c>
      <c r="O1660">
        <v>-5.0793280000000001E-3</v>
      </c>
      <c r="P1660">
        <v>-0.98017069999999995</v>
      </c>
      <c r="Q1660">
        <v>0.19230230000000001</v>
      </c>
      <c r="R1660">
        <v>4.7804979999999997E-2</v>
      </c>
      <c r="S1660">
        <v>-3.25589</v>
      </c>
      <c r="T1660">
        <v>-1.042192</v>
      </c>
      <c r="U1660">
        <v>0.2018433</v>
      </c>
      <c r="V1660">
        <v>5.293581E-2</v>
      </c>
      <c r="W1660">
        <v>0.2014591</v>
      </c>
      <c r="X1660">
        <v>0.97806539999999997</v>
      </c>
      <c r="Y1660">
        <v>6.344793E-2</v>
      </c>
      <c r="Z1660">
        <v>1.174233E-2</v>
      </c>
      <c r="AA1660">
        <v>0.99791600000000003</v>
      </c>
      <c r="AB1660">
        <v>30</v>
      </c>
      <c r="AC1660">
        <v>-0.36910000000000298</v>
      </c>
      <c r="AD1660">
        <v>-0.214422</v>
      </c>
      <c r="AE1660">
        <v>4.2900000000031399E-2</v>
      </c>
      <c r="AF1660">
        <v>3.3589540418563102E-2</v>
      </c>
      <c r="AG1660">
        <v>-0.214422</v>
      </c>
      <c r="AH1660">
        <v>0.27673056511836103</v>
      </c>
      <c r="AI1660">
        <v>127.56729478955199</v>
      </c>
      <c r="AJ1660">
        <v>83.079296779120995</v>
      </c>
      <c r="AK1660">
        <v>0.35168857954198302</v>
      </c>
      <c r="AL1660">
        <v>78.377703178130602</v>
      </c>
      <c r="AM1660">
        <v>86.902004533612597</v>
      </c>
      <c r="AN1660">
        <v>0.99999994781516099</v>
      </c>
    </row>
    <row r="1661" spans="1:40" x14ac:dyDescent="0.25">
      <c r="A1661" t="str">
        <f>"20190303162535362"</f>
        <v>20190303162535362</v>
      </c>
      <c r="B1661" t="str">
        <f>"1551601535354633"</f>
        <v>1551601535354633</v>
      </c>
      <c r="C1661" t="s">
        <v>40</v>
      </c>
      <c r="D1661">
        <v>4.44137</v>
      </c>
      <c r="E1661">
        <v>0.51639029999999997</v>
      </c>
      <c r="F1661" t="s">
        <v>42</v>
      </c>
      <c r="G1661">
        <v>-358.11680000000001</v>
      </c>
      <c r="H1661">
        <v>0.84066189999999996</v>
      </c>
      <c r="I1661">
        <v>284.19850000000002</v>
      </c>
      <c r="J1661">
        <v>-357.54050000000001</v>
      </c>
      <c r="K1661">
        <v>1.120377</v>
      </c>
      <c r="L1661">
        <v>284.14150000000001</v>
      </c>
      <c r="M1661">
        <v>-0.99994640000000001</v>
      </c>
      <c r="N1661">
        <v>-9.2182529999999992E-3</v>
      </c>
      <c r="O1661">
        <v>-4.7177920000000002E-3</v>
      </c>
      <c r="P1661">
        <v>-0.98018119999999997</v>
      </c>
      <c r="Q1661">
        <v>0.1922692</v>
      </c>
      <c r="R1661">
        <v>4.7722979999999998E-2</v>
      </c>
      <c r="S1661">
        <v>-3.2519840000000002</v>
      </c>
      <c r="T1661">
        <v>-1.025671</v>
      </c>
      <c r="U1661">
        <v>0.20428470000000001</v>
      </c>
      <c r="V1661">
        <v>5.2496950000000001E-2</v>
      </c>
      <c r="W1661">
        <v>0.2012554</v>
      </c>
      <c r="X1661">
        <v>0.97813110000000003</v>
      </c>
      <c r="Y1661">
        <v>6.3996709999999998E-2</v>
      </c>
      <c r="Z1661">
        <v>1.15554E-2</v>
      </c>
      <c r="AA1661">
        <v>0.99788319999999997</v>
      </c>
      <c r="AB1661">
        <v>30</v>
      </c>
      <c r="AC1661">
        <v>-0.57630000000000303</v>
      </c>
      <c r="AD1661">
        <v>-0.279715099999999</v>
      </c>
      <c r="AE1661">
        <v>5.7000000000016302E-2</v>
      </c>
      <c r="AF1661">
        <v>4.8421757248164499E-2</v>
      </c>
      <c r="AG1661">
        <v>-0.279715099999999</v>
      </c>
      <c r="AH1661">
        <v>0.467061276641832</v>
      </c>
      <c r="AI1661">
        <v>120.78184949496</v>
      </c>
      <c r="AJ1661">
        <v>84.081105989084705</v>
      </c>
      <c r="AK1661">
        <v>0.54656329906179002</v>
      </c>
      <c r="AL1661">
        <v>78.389619666449207</v>
      </c>
      <c r="AM1661">
        <v>86.927844772538293</v>
      </c>
      <c r="AN1661">
        <v>1.00000005728783</v>
      </c>
    </row>
    <row r="1662" spans="1:40" x14ac:dyDescent="0.25">
      <c r="A1662" t="str">
        <f>"20190303162535383"</f>
        <v>20190303162535383</v>
      </c>
      <c r="B1662" t="str">
        <f>"1551601535374153"</f>
        <v>1551601535374153</v>
      </c>
      <c r="C1662" t="s">
        <v>40</v>
      </c>
      <c r="D1662">
        <v>4.3932549999999999</v>
      </c>
      <c r="E1662">
        <v>0.51670300000000002</v>
      </c>
      <c r="F1662" t="s">
        <v>42</v>
      </c>
      <c r="G1662">
        <v>-358.39569999999998</v>
      </c>
      <c r="H1662">
        <v>0.85531849999999998</v>
      </c>
      <c r="I1662">
        <v>284.19810000000001</v>
      </c>
      <c r="J1662">
        <v>-357.8304</v>
      </c>
      <c r="K1662">
        <v>1.120382</v>
      </c>
      <c r="L1662">
        <v>284.14049999999997</v>
      </c>
      <c r="M1662">
        <v>-0.99994919999999998</v>
      </c>
      <c r="N1662">
        <v>-9.0823009999999992E-3</v>
      </c>
      <c r="O1662">
        <v>-4.3868120000000003E-3</v>
      </c>
      <c r="P1662">
        <v>-0.98014089999999998</v>
      </c>
      <c r="Q1662">
        <v>0.19255659999999999</v>
      </c>
      <c r="R1662">
        <v>4.7391290000000003E-2</v>
      </c>
      <c r="S1662">
        <v>-3.2477109999999998</v>
      </c>
      <c r="T1662">
        <v>-1.0065759999999999</v>
      </c>
      <c r="U1662">
        <v>0.2133179</v>
      </c>
      <c r="V1662">
        <v>5.1839540000000003E-2</v>
      </c>
      <c r="W1662">
        <v>0.20141049999999999</v>
      </c>
      <c r="X1662">
        <v>0.97813419999999895</v>
      </c>
      <c r="Y1662">
        <v>6.6520510000000005E-2</v>
      </c>
      <c r="Z1662">
        <v>1.165979E-2</v>
      </c>
      <c r="AA1662">
        <v>0.99771690000000002</v>
      </c>
      <c r="AB1662">
        <v>30</v>
      </c>
      <c r="AC1662">
        <v>-0.56529999999997904</v>
      </c>
      <c r="AD1662">
        <v>-0.26506350000000001</v>
      </c>
      <c r="AE1662">
        <v>5.7600000000036199E-2</v>
      </c>
      <c r="AF1662">
        <v>4.93425415647442E-2</v>
      </c>
      <c r="AG1662">
        <v>-0.26506350000000001</v>
      </c>
      <c r="AH1662">
        <v>0.46406249146932799</v>
      </c>
      <c r="AI1662">
        <v>119.59566507467299</v>
      </c>
      <c r="AJ1662">
        <v>83.930694427038901</v>
      </c>
      <c r="AK1662">
        <v>0.53670042055977396</v>
      </c>
      <c r="AL1662">
        <v>78.380546880211099</v>
      </c>
      <c r="AM1662">
        <v>86.966254104030497</v>
      </c>
      <c r="AN1662">
        <v>1.0000000203136501</v>
      </c>
    </row>
    <row r="1663" spans="1:40" x14ac:dyDescent="0.25">
      <c r="A1663" t="str">
        <f>"20190303162535406"</f>
        <v>20190303162535406</v>
      </c>
      <c r="B1663" t="str">
        <f>"1551601535394649"</f>
        <v>1551601535394649</v>
      </c>
      <c r="C1663" t="s">
        <v>40</v>
      </c>
      <c r="D1663">
        <v>4.4281220000000001</v>
      </c>
      <c r="E1663">
        <v>0.5165402</v>
      </c>
      <c r="F1663" t="s">
        <v>42</v>
      </c>
      <c r="G1663">
        <v>-358.67239999999998</v>
      </c>
      <c r="H1663">
        <v>0.86311229999999906</v>
      </c>
      <c r="I1663">
        <v>284.19670000000002</v>
      </c>
      <c r="J1663">
        <v>-358.13600000000002</v>
      </c>
      <c r="K1663">
        <v>1.120398</v>
      </c>
      <c r="L1663">
        <v>284.1395</v>
      </c>
      <c r="M1663">
        <v>-0.9999517</v>
      </c>
      <c r="N1663">
        <v>-8.9692709999999991E-3</v>
      </c>
      <c r="O1663">
        <v>-4.0423300000000002E-3</v>
      </c>
      <c r="P1663">
        <v>-0.98009990000000002</v>
      </c>
      <c r="Q1663">
        <v>0.1928909</v>
      </c>
      <c r="R1663">
        <v>4.6878209999999997E-2</v>
      </c>
      <c r="S1663">
        <v>-3.2451479999999999</v>
      </c>
      <c r="T1663">
        <v>-0.99158570000000001</v>
      </c>
      <c r="U1663">
        <v>0.2157898</v>
      </c>
      <c r="V1663">
        <v>5.0988199999999997E-2</v>
      </c>
      <c r="W1663">
        <v>0.2016347</v>
      </c>
      <c r="X1663">
        <v>0.97813269999999997</v>
      </c>
      <c r="Y1663">
        <v>6.7067550000000004E-2</v>
      </c>
      <c r="Z1663">
        <v>1.148658E-2</v>
      </c>
      <c r="AA1663">
        <v>0.99768230000000002</v>
      </c>
      <c r="AB1663">
        <v>31</v>
      </c>
      <c r="AC1663">
        <v>-0.53640000000001398</v>
      </c>
      <c r="AD1663">
        <v>-0.25728570000000001</v>
      </c>
      <c r="AE1663">
        <v>5.7200000000023003E-2</v>
      </c>
      <c r="AF1663">
        <v>4.8365699549513697E-2</v>
      </c>
      <c r="AG1663">
        <v>-0.25728570000000001</v>
      </c>
      <c r="AH1663">
        <v>0.43680093977282197</v>
      </c>
      <c r="AI1663">
        <v>120.34661704219199</v>
      </c>
      <c r="AJ1663">
        <v>83.681543297160999</v>
      </c>
      <c r="AK1663">
        <v>0.50924476757628501</v>
      </c>
      <c r="AL1663">
        <v>78.367431435499796</v>
      </c>
      <c r="AM1663">
        <v>87.015980737128899</v>
      </c>
      <c r="AN1663">
        <v>0.99999996379630895</v>
      </c>
    </row>
    <row r="1664" spans="1:40" x14ac:dyDescent="0.25">
      <c r="A1664" t="str">
        <f>"20190303162535428"</f>
        <v>20190303162535428</v>
      </c>
      <c r="B1664" t="str">
        <f>"1551601535424905"</f>
        <v>1551601535424905</v>
      </c>
      <c r="C1664" t="s">
        <v>40</v>
      </c>
      <c r="D1664">
        <v>4.4411060000000004</v>
      </c>
      <c r="E1664">
        <v>0.51648720000000004</v>
      </c>
      <c r="F1664" t="s">
        <v>42</v>
      </c>
      <c r="G1664">
        <v>-358.95089999999999</v>
      </c>
      <c r="H1664">
        <v>0.87400789999999995</v>
      </c>
      <c r="I1664">
        <v>284.1936</v>
      </c>
      <c r="J1664">
        <v>-358.44560000000001</v>
      </c>
      <c r="K1664">
        <v>1.1204179999999999</v>
      </c>
      <c r="L1664">
        <v>284.1386</v>
      </c>
      <c r="M1664">
        <v>-0.99995369999999995</v>
      </c>
      <c r="N1664">
        <v>-8.8886250000000007E-3</v>
      </c>
      <c r="O1664">
        <v>-3.6958270000000001E-3</v>
      </c>
      <c r="P1664">
        <v>-0.98012330000000003</v>
      </c>
      <c r="Q1664">
        <v>0.19291749999999999</v>
      </c>
      <c r="R1664">
        <v>4.6269669999999999E-2</v>
      </c>
      <c r="S1664">
        <v>-3.2436829999999999</v>
      </c>
      <c r="T1664">
        <v>-0.98065519999999995</v>
      </c>
      <c r="U1664">
        <v>0.21426390000000001</v>
      </c>
      <c r="V1664">
        <v>5.0039729999999998E-2</v>
      </c>
      <c r="W1664">
        <v>0.20158380000000001</v>
      </c>
      <c r="X1664">
        <v>0.97819219999999896</v>
      </c>
      <c r="Y1664">
        <v>6.6397830000000005E-2</v>
      </c>
      <c r="Z1664">
        <v>1.116928E-2</v>
      </c>
      <c r="AA1664">
        <v>0.99773069999999997</v>
      </c>
      <c r="AB1664">
        <v>31</v>
      </c>
      <c r="AC1664">
        <v>-0.50529999999997699</v>
      </c>
      <c r="AD1664">
        <v>-0.24641009999999999</v>
      </c>
      <c r="AE1664">
        <v>5.50000000000068E-2</v>
      </c>
      <c r="AF1664">
        <v>4.6045599361833403E-2</v>
      </c>
      <c r="AG1664">
        <v>-0.24641009999999999</v>
      </c>
      <c r="AH1664">
        <v>0.40897604577847102</v>
      </c>
      <c r="AI1664">
        <v>120.90989480661</v>
      </c>
      <c r="AJ1664">
        <v>83.576261376297396</v>
      </c>
      <c r="AK1664">
        <v>0.47968691937887398</v>
      </c>
      <c r="AL1664">
        <v>78.370409258089197</v>
      </c>
      <c r="AM1664">
        <v>87.071569015224</v>
      </c>
      <c r="AN1664">
        <v>0.99999999157087605</v>
      </c>
    </row>
    <row r="1665" spans="1:40" x14ac:dyDescent="0.25">
      <c r="A1665" t="str">
        <f>"20190303162535452"</f>
        <v>20190303162535452</v>
      </c>
      <c r="B1665" t="str">
        <f>"1551601535444425"</f>
        <v>1551601535444425</v>
      </c>
      <c r="C1665" t="s">
        <v>40</v>
      </c>
      <c r="D1665">
        <v>4.5124129999999996</v>
      </c>
      <c r="E1665">
        <v>0.51668249999999905</v>
      </c>
      <c r="F1665" t="s">
        <v>42</v>
      </c>
      <c r="G1665">
        <v>-359.2303</v>
      </c>
      <c r="H1665">
        <v>0.88583400000000001</v>
      </c>
      <c r="I1665">
        <v>284.19009999999997</v>
      </c>
      <c r="J1665">
        <v>-358.76679999999999</v>
      </c>
      <c r="K1665">
        <v>1.1204400000000001</v>
      </c>
      <c r="L1665">
        <v>284.13780000000003</v>
      </c>
      <c r="M1665">
        <v>-0.9999555</v>
      </c>
      <c r="N1665">
        <v>-8.8418149999999994E-3</v>
      </c>
      <c r="O1665">
        <v>-3.3371780000000001E-3</v>
      </c>
      <c r="P1665">
        <v>-0.98018300000000003</v>
      </c>
      <c r="Q1665">
        <v>0.19275339999999999</v>
      </c>
      <c r="R1665">
        <v>4.5691849999999999E-2</v>
      </c>
      <c r="S1665">
        <v>-3.2414860000000001</v>
      </c>
      <c r="T1665">
        <v>-0.96896990000000005</v>
      </c>
      <c r="U1665">
        <v>0.21282960000000001</v>
      </c>
      <c r="V1665">
        <v>4.9110920000000002E-2</v>
      </c>
      <c r="W1665">
        <v>0.201375</v>
      </c>
      <c r="X1665">
        <v>0.97828230000000005</v>
      </c>
      <c r="Y1665">
        <v>6.5757990000000002E-2</v>
      </c>
      <c r="Z1665">
        <v>1.08523E-2</v>
      </c>
      <c r="AA1665">
        <v>0.99777660000000001</v>
      </c>
      <c r="AB1665">
        <v>31</v>
      </c>
      <c r="AC1665">
        <v>-0.46350000000001002</v>
      </c>
      <c r="AD1665">
        <v>-0.23460599999999901</v>
      </c>
      <c r="AE1665">
        <v>5.2299999999945598E-2</v>
      </c>
      <c r="AF1665">
        <v>4.2974830032661102E-2</v>
      </c>
      <c r="AG1665">
        <v>-0.23460599999999901</v>
      </c>
      <c r="AH1665">
        <v>0.36977710840962702</v>
      </c>
      <c r="AI1665">
        <v>122.219569930558</v>
      </c>
      <c r="AJ1665">
        <v>83.370926449692703</v>
      </c>
      <c r="AK1665">
        <v>0.44002490969957703</v>
      </c>
      <c r="AL1665">
        <v>78.382623374333605</v>
      </c>
      <c r="AM1665">
        <v>87.126097210312295</v>
      </c>
      <c r="AN1665">
        <v>1.00000001579076</v>
      </c>
    </row>
    <row r="1666" spans="1:40" x14ac:dyDescent="0.25">
      <c r="A1666" t="str">
        <f>"20190303162535473"</f>
        <v>20190303162535473</v>
      </c>
      <c r="B1666" t="str">
        <f>"1551601535464920"</f>
        <v>1551601535464920</v>
      </c>
      <c r="C1666" t="s">
        <v>40</v>
      </c>
      <c r="D1666">
        <v>4.4736180000000001</v>
      </c>
      <c r="E1666">
        <v>0.53034349999999997</v>
      </c>
      <c r="F1666" t="s">
        <v>42</v>
      </c>
      <c r="G1666">
        <v>-359.51119999999997</v>
      </c>
      <c r="H1666">
        <v>0.89899409999999902</v>
      </c>
      <c r="I1666">
        <v>284.18729999999999</v>
      </c>
      <c r="J1666">
        <v>-359.06529999999998</v>
      </c>
      <c r="K1666">
        <v>1.1204719999999999</v>
      </c>
      <c r="L1666">
        <v>284.13709999999998</v>
      </c>
      <c r="M1666">
        <v>-0.99995659999999997</v>
      </c>
      <c r="N1666">
        <v>-8.8341649999999997E-3</v>
      </c>
      <c r="O1666">
        <v>-3.0038389999999999E-3</v>
      </c>
      <c r="P1666">
        <v>-0.98024800000000001</v>
      </c>
      <c r="Q1666">
        <v>0.1924942</v>
      </c>
      <c r="R1666">
        <v>4.5387440000000001E-2</v>
      </c>
      <c r="S1666">
        <v>-3.2402340000000001</v>
      </c>
      <c r="T1666">
        <v>-0.96385100000000001</v>
      </c>
      <c r="U1666">
        <v>0.2138062</v>
      </c>
      <c r="V1666">
        <v>4.8480049999999997E-2</v>
      </c>
      <c r="W1666">
        <v>0.20110929999999999</v>
      </c>
      <c r="X1666">
        <v>0.97836840000000003</v>
      </c>
      <c r="Y1666">
        <v>6.5791440000000007E-2</v>
      </c>
      <c r="Z1666">
        <v>1.0713139999999999E-2</v>
      </c>
      <c r="AA1666">
        <v>0.99777590000000005</v>
      </c>
      <c r="AB1666">
        <v>31</v>
      </c>
      <c r="AC1666">
        <v>-0.44589999999999402</v>
      </c>
      <c r="AD1666">
        <v>-0.22147790000000001</v>
      </c>
      <c r="AE1666">
        <v>5.0200000000018001E-2</v>
      </c>
      <c r="AF1666">
        <v>4.1442858187882202E-2</v>
      </c>
      <c r="AG1666">
        <v>-0.22147790000000001</v>
      </c>
      <c r="AH1666">
        <v>0.358426676368925</v>
      </c>
      <c r="AI1666">
        <v>121.542742401195</v>
      </c>
      <c r="AJ1666">
        <v>83.404499345083394</v>
      </c>
      <c r="AK1666">
        <v>0.42336704290256799</v>
      </c>
      <c r="AL1666">
        <v>78.398164583674102</v>
      </c>
      <c r="AM1666">
        <v>87.1632034033276</v>
      </c>
      <c r="AN1666">
        <v>0.999999995956526</v>
      </c>
    </row>
    <row r="1667" spans="1:40" x14ac:dyDescent="0.25">
      <c r="A1667" t="str">
        <f>"20190303162535497"</f>
        <v>20190303162535497</v>
      </c>
      <c r="B1667" t="str">
        <f>"1551601535484442"</f>
        <v>1551601535484442</v>
      </c>
      <c r="C1667" t="s">
        <v>40</v>
      </c>
      <c r="D1667">
        <v>4.4712269999999998</v>
      </c>
      <c r="E1667">
        <v>0.53158680000000003</v>
      </c>
      <c r="F1667" t="s">
        <v>42</v>
      </c>
      <c r="G1667">
        <v>-359.78579999999999</v>
      </c>
      <c r="H1667">
        <v>0.89713410000000005</v>
      </c>
      <c r="I1667">
        <v>284.20859999999999</v>
      </c>
      <c r="J1667">
        <v>-359.37439999999998</v>
      </c>
      <c r="K1667">
        <v>1.120495</v>
      </c>
      <c r="L1667">
        <v>284.13650000000001</v>
      </c>
      <c r="M1667">
        <v>-0.99995719999999999</v>
      </c>
      <c r="N1667">
        <v>-8.8586040000000008E-3</v>
      </c>
      <c r="O1667">
        <v>-2.658348E-3</v>
      </c>
      <c r="P1667">
        <v>-0.98027629999999999</v>
      </c>
      <c r="Q1667">
        <v>0.19230920000000001</v>
      </c>
      <c r="R1667">
        <v>4.5558580000000001E-2</v>
      </c>
      <c r="S1667">
        <v>-3.2428889999999999</v>
      </c>
      <c r="T1667">
        <v>-1.005166</v>
      </c>
      <c r="U1667">
        <v>0.32119750000000002</v>
      </c>
      <c r="V1667">
        <v>4.831299E-2</v>
      </c>
      <c r="W1667">
        <v>0.2009486</v>
      </c>
      <c r="X1667">
        <v>0.97840970000000005</v>
      </c>
      <c r="Y1667">
        <v>9.6472390000000005E-2</v>
      </c>
      <c r="Z1667">
        <v>1.579384E-2</v>
      </c>
      <c r="AA1667">
        <v>0.99521029999999999</v>
      </c>
      <c r="AB1667">
        <v>31</v>
      </c>
      <c r="AC1667">
        <v>-0.41140000000001398</v>
      </c>
      <c r="AD1667">
        <v>-0.2233609</v>
      </c>
      <c r="AE1667">
        <v>7.2099999999977599E-2</v>
      </c>
      <c r="AF1667">
        <v>5.6916120875097502E-2</v>
      </c>
      <c r="AG1667">
        <v>-0.2233609</v>
      </c>
      <c r="AH1667">
        <v>0.31975956327329302</v>
      </c>
      <c r="AI1667">
        <v>124.517011302108</v>
      </c>
      <c r="AJ1667">
        <v>79.907247984634694</v>
      </c>
      <c r="AK1667">
        <v>0.39417726313044199</v>
      </c>
      <c r="AL1667">
        <v>78.407564099424505</v>
      </c>
      <c r="AM1667">
        <v>87.173082126598004</v>
      </c>
      <c r="AN1667">
        <v>1.00000001294939</v>
      </c>
    </row>
    <row r="1668" spans="1:40" x14ac:dyDescent="0.25">
      <c r="A1668" t="str">
        <f>"20190303162535521"</f>
        <v>20190303162535521</v>
      </c>
      <c r="B1668" t="str">
        <f>"1551601535504937"</f>
        <v>1551601535504937</v>
      </c>
      <c r="C1668" t="s">
        <v>40</v>
      </c>
      <c r="D1668">
        <v>4.4748780000000004</v>
      </c>
      <c r="E1668">
        <v>0.53208909999999998</v>
      </c>
      <c r="F1668" t="s">
        <v>42</v>
      </c>
      <c r="G1668">
        <v>-360.0659</v>
      </c>
      <c r="H1668">
        <v>0.90673459999999995</v>
      </c>
      <c r="I1668">
        <v>284.2079</v>
      </c>
      <c r="J1668">
        <v>-359.69970000000001</v>
      </c>
      <c r="K1668">
        <v>1.120522</v>
      </c>
      <c r="L1668">
        <v>284.13600000000002</v>
      </c>
      <c r="M1668">
        <v>-0.9999576</v>
      </c>
      <c r="N1668">
        <v>-8.926069E-3</v>
      </c>
      <c r="O1668">
        <v>-2.294553E-3</v>
      </c>
      <c r="P1668">
        <v>-0.98045610000000005</v>
      </c>
      <c r="Q1668">
        <v>0.191362</v>
      </c>
      <c r="R1668">
        <v>4.5680400000000003E-2</v>
      </c>
      <c r="S1668">
        <v>-3.2414860000000001</v>
      </c>
      <c r="T1668">
        <v>-1.0020389999999999</v>
      </c>
      <c r="U1668">
        <v>0.33300780000000002</v>
      </c>
      <c r="V1668">
        <v>4.807844E-2</v>
      </c>
      <c r="W1668">
        <v>0.20006940000000001</v>
      </c>
      <c r="X1668">
        <v>0.97860139999999995</v>
      </c>
      <c r="Y1668">
        <v>9.9632600000000002E-2</v>
      </c>
      <c r="Z1668">
        <v>1.6139150000000001E-2</v>
      </c>
      <c r="AA1668">
        <v>0.99489340000000004</v>
      </c>
      <c r="AB1668">
        <v>31</v>
      </c>
      <c r="AC1668">
        <v>-0.36619999999999198</v>
      </c>
      <c r="AD1668">
        <v>-0.21378739999999999</v>
      </c>
      <c r="AE1668">
        <v>7.1900000000027803E-2</v>
      </c>
      <c r="AF1668">
        <v>5.47671253724277E-2</v>
      </c>
      <c r="AG1668">
        <v>-0.21378739999999999</v>
      </c>
      <c r="AH1668">
        <v>0.275592557074476</v>
      </c>
      <c r="AI1668">
        <v>127.266014901994</v>
      </c>
      <c r="AJ1668">
        <v>78.760328246337707</v>
      </c>
      <c r="AK1668">
        <v>0.35306620899651098</v>
      </c>
      <c r="AL1668">
        <v>78.458982623544998</v>
      </c>
      <c r="AM1668">
        <v>87.187334353638406</v>
      </c>
      <c r="AN1668">
        <v>1.00000000064557</v>
      </c>
    </row>
    <row r="1669" spans="1:40" x14ac:dyDescent="0.25">
      <c r="A1669" t="str">
        <f>"20190303162535542"</f>
        <v>20190303162535542</v>
      </c>
      <c r="B1669" t="str">
        <f>"1551601535535193"</f>
        <v>1551601535535193</v>
      </c>
      <c r="C1669" t="s">
        <v>40</v>
      </c>
      <c r="D1669">
        <v>4.481535</v>
      </c>
      <c r="E1669">
        <v>0.53232460000000004</v>
      </c>
      <c r="F1669" t="s">
        <v>42</v>
      </c>
      <c r="G1669">
        <v>-360.59390000000002</v>
      </c>
      <c r="H1669">
        <v>0.84385089999999996</v>
      </c>
      <c r="I1669">
        <v>284.22969999999998</v>
      </c>
      <c r="J1669">
        <v>-360.00670000000002</v>
      </c>
      <c r="K1669">
        <v>1.12053799999999</v>
      </c>
      <c r="L1669">
        <v>284.13569999999999</v>
      </c>
      <c r="M1669">
        <v>-0.9999576</v>
      </c>
      <c r="N1669">
        <v>-9.0229100000000003E-3</v>
      </c>
      <c r="O1669">
        <v>-1.9506720000000001E-3</v>
      </c>
      <c r="P1669">
        <v>-0.98065270000000004</v>
      </c>
      <c r="Q1669">
        <v>0.19015660000000001</v>
      </c>
      <c r="R1669">
        <v>4.6485680000000001E-2</v>
      </c>
      <c r="S1669">
        <v>-3.2397459999999998</v>
      </c>
      <c r="T1669">
        <v>-1.0023679999999999</v>
      </c>
      <c r="U1669">
        <v>0.33776859999999997</v>
      </c>
      <c r="V1669">
        <v>4.8546619999999999E-2</v>
      </c>
      <c r="W1669">
        <v>0.1989601</v>
      </c>
      <c r="X1669">
        <v>0.97880440000000002</v>
      </c>
      <c r="Y1669">
        <v>0.1007446</v>
      </c>
      <c r="Z1669">
        <v>1.622792E-2</v>
      </c>
      <c r="AA1669">
        <v>0.99477990000000005</v>
      </c>
      <c r="AB1669">
        <v>31</v>
      </c>
      <c r="AC1669">
        <v>-0.58719999999999495</v>
      </c>
      <c r="AD1669">
        <v>-0.27668709999999902</v>
      </c>
      <c r="AE1669">
        <v>9.3999999999994005E-2</v>
      </c>
      <c r="AF1669">
        <v>7.8213654678634295E-2</v>
      </c>
      <c r="AG1669">
        <v>-0.27668709999999902</v>
      </c>
      <c r="AH1669">
        <v>0.48255276432993599</v>
      </c>
      <c r="AI1669">
        <v>119.509672038313</v>
      </c>
      <c r="AJ1669">
        <v>80.793386595432807</v>
      </c>
      <c r="AK1669">
        <v>0.56172083586694599</v>
      </c>
      <c r="AL1669">
        <v>78.523844599960597</v>
      </c>
      <c r="AM1669">
        <v>87.160577742023406</v>
      </c>
      <c r="AN1669">
        <v>0.99999997458239598</v>
      </c>
    </row>
    <row r="1670" spans="1:40" x14ac:dyDescent="0.25">
      <c r="A1670" t="str">
        <f>"20190303162535563"</f>
        <v>20190303162535563</v>
      </c>
      <c r="B1670" t="str">
        <f>"1551601535554714"</f>
        <v>1551601535554714</v>
      </c>
      <c r="C1670" t="s">
        <v>40</v>
      </c>
      <c r="D1670">
        <v>4.4910990000000002</v>
      </c>
      <c r="E1670">
        <v>0.53242500000000004</v>
      </c>
      <c r="F1670" t="s">
        <v>42</v>
      </c>
      <c r="G1670">
        <v>-360.8741</v>
      </c>
      <c r="H1670">
        <v>0.85228630000000005</v>
      </c>
      <c r="I1670">
        <v>284.2278</v>
      </c>
      <c r="J1670">
        <v>-360.30110000000002</v>
      </c>
      <c r="K1670">
        <v>1.12056</v>
      </c>
      <c r="L1670">
        <v>284.1354</v>
      </c>
      <c r="M1670">
        <v>-0.99995699999999998</v>
      </c>
      <c r="N1670">
        <v>-9.1305640000000007E-3</v>
      </c>
      <c r="O1670">
        <v>-1.6209060000000001E-3</v>
      </c>
      <c r="P1670">
        <v>-0.98087690000000005</v>
      </c>
      <c r="Q1670">
        <v>0.18878049999999999</v>
      </c>
      <c r="R1670">
        <v>4.7358299999999999E-2</v>
      </c>
      <c r="S1670">
        <v>-3.2370000000000001</v>
      </c>
      <c r="T1670">
        <v>-1.0011159999999999</v>
      </c>
      <c r="U1670">
        <v>0.34338380000000002</v>
      </c>
      <c r="V1670">
        <v>4.9095859999999998E-2</v>
      </c>
      <c r="W1670">
        <v>0.19769120000000001</v>
      </c>
      <c r="X1670">
        <v>0.97903410000000002</v>
      </c>
      <c r="Y1670">
        <v>0.1021605</v>
      </c>
      <c r="Z1670">
        <v>1.634942E-2</v>
      </c>
      <c r="AA1670">
        <v>0.99463360000000001</v>
      </c>
      <c r="AB1670">
        <v>31</v>
      </c>
      <c r="AC1670">
        <v>-0.57299999999997897</v>
      </c>
      <c r="AD1670">
        <v>-0.268273699999999</v>
      </c>
      <c r="AE1670">
        <v>9.2399999999997803E-2</v>
      </c>
      <c r="AF1670">
        <v>7.6899336929773798E-2</v>
      </c>
      <c r="AG1670">
        <v>-0.268273699999999</v>
      </c>
      <c r="AH1670">
        <v>0.47200642476270799</v>
      </c>
      <c r="AI1670">
        <v>119.29122959575</v>
      </c>
      <c r="AJ1670">
        <v>80.746664250014007</v>
      </c>
      <c r="AK1670">
        <v>0.54833780751394801</v>
      </c>
      <c r="AL1670">
        <v>78.598020836970804</v>
      </c>
      <c r="AM1670">
        <v>87.129179525284599</v>
      </c>
      <c r="AN1670">
        <v>0.99999999149469398</v>
      </c>
    </row>
    <row r="1671" spans="1:40" x14ac:dyDescent="0.25">
      <c r="A1671" t="str">
        <f>"20190303162535583"</f>
        <v>20190303162535583</v>
      </c>
      <c r="B1671" t="str">
        <f>"1551601535574232"</f>
        <v>1551601535574232</v>
      </c>
      <c r="C1671" t="s">
        <v>40</v>
      </c>
      <c r="D1671">
        <v>4.4968659999999998</v>
      </c>
      <c r="E1671">
        <v>0.53257860000000001</v>
      </c>
      <c r="F1671" t="s">
        <v>42</v>
      </c>
      <c r="G1671">
        <v>-361.15280000000001</v>
      </c>
      <c r="H1671">
        <v>0.85624959999999894</v>
      </c>
      <c r="I1671">
        <v>284.2276</v>
      </c>
      <c r="J1671">
        <v>-360.59230000000002</v>
      </c>
      <c r="K1671">
        <v>1.1205909999999999</v>
      </c>
      <c r="L1671">
        <v>284.13529999999997</v>
      </c>
      <c r="M1671">
        <v>-0.99995630000000002</v>
      </c>
      <c r="N1671">
        <v>-9.2677850000000006E-3</v>
      </c>
      <c r="O1671">
        <v>-1.2956790000000001E-3</v>
      </c>
      <c r="P1671">
        <v>-0.98116680000000001</v>
      </c>
      <c r="Q1671">
        <v>0.18704989999999999</v>
      </c>
      <c r="R1671">
        <v>4.8212100000000001E-2</v>
      </c>
      <c r="S1671">
        <v>-3.2348629999999998</v>
      </c>
      <c r="T1671">
        <v>-1.003914</v>
      </c>
      <c r="U1671">
        <v>0.34857179999999999</v>
      </c>
      <c r="V1671">
        <v>4.9630390000000003E-2</v>
      </c>
      <c r="W1671">
        <v>0.19609750000000001</v>
      </c>
      <c r="X1671">
        <v>0.97932759999999996</v>
      </c>
      <c r="Y1671">
        <v>0.1034036</v>
      </c>
      <c r="Z1671">
        <v>1.6506110000000001E-2</v>
      </c>
      <c r="AA1671">
        <v>0.99450249999999996</v>
      </c>
      <c r="AB1671">
        <v>31</v>
      </c>
      <c r="AC1671">
        <v>-0.56049999999999001</v>
      </c>
      <c r="AD1671">
        <v>-0.264341399999999</v>
      </c>
      <c r="AE1671">
        <v>9.2300000000022905E-2</v>
      </c>
      <c r="AF1671">
        <v>7.6467184220819107E-2</v>
      </c>
      <c r="AG1671">
        <v>-0.264341399999999</v>
      </c>
      <c r="AH1671">
        <v>0.460630274077723</v>
      </c>
      <c r="AI1671">
        <v>119.515128651368</v>
      </c>
      <c r="AJ1671">
        <v>80.574536901815307</v>
      </c>
      <c r="AK1671">
        <v>0.53656672969309105</v>
      </c>
      <c r="AL1671">
        <v>78.6911561157074</v>
      </c>
      <c r="AM1671">
        <v>87.098844915083404</v>
      </c>
      <c r="AN1671">
        <v>0.99999997661978002</v>
      </c>
    </row>
    <row r="1672" spans="1:40" x14ac:dyDescent="0.25">
      <c r="A1672" t="str">
        <f>"20190303162535607"</f>
        <v>20190303162535607</v>
      </c>
      <c r="B1672" t="str">
        <f>"1551601535594729"</f>
        <v>1551601535594729</v>
      </c>
      <c r="C1672" t="s">
        <v>40</v>
      </c>
      <c r="D1672">
        <v>4.5020610000000003</v>
      </c>
      <c r="E1672">
        <v>0.5325666</v>
      </c>
      <c r="F1672" t="s">
        <v>42</v>
      </c>
      <c r="G1672">
        <v>-361.43130000000002</v>
      </c>
      <c r="H1672">
        <v>0.85942229999999997</v>
      </c>
      <c r="I1672">
        <v>284.22710000000001</v>
      </c>
      <c r="J1672">
        <v>-360.90800000000002</v>
      </c>
      <c r="K1672">
        <v>1.1206320000000001</v>
      </c>
      <c r="L1672">
        <v>284.13529999999997</v>
      </c>
      <c r="M1672">
        <v>-0.99995460000000003</v>
      </c>
      <c r="N1672">
        <v>-9.4765419999999993E-3</v>
      </c>
      <c r="O1672">
        <v>-9.3999640000000005E-4</v>
      </c>
      <c r="P1672">
        <v>-0.98129750000000004</v>
      </c>
      <c r="Q1672">
        <v>0.18626899999999999</v>
      </c>
      <c r="R1672">
        <v>4.8570269999999999E-2</v>
      </c>
      <c r="S1672">
        <v>-3.2320250000000001</v>
      </c>
      <c r="T1672">
        <v>-1.0060559999999901</v>
      </c>
      <c r="U1672">
        <v>0.35305789999999998</v>
      </c>
      <c r="V1672">
        <v>4.9640879999999998E-2</v>
      </c>
      <c r="W1672">
        <v>0.1955219</v>
      </c>
      <c r="X1672">
        <v>0.97944219999999904</v>
      </c>
      <c r="Y1672">
        <v>0.1044412</v>
      </c>
      <c r="Z1672">
        <v>1.6619769999999999E-2</v>
      </c>
      <c r="AA1672">
        <v>0.99439219999999895</v>
      </c>
      <c r="AB1672">
        <v>31</v>
      </c>
      <c r="AC1672">
        <v>-0.52330000000000598</v>
      </c>
      <c r="AD1672">
        <v>-0.26120969999999999</v>
      </c>
      <c r="AE1672">
        <v>9.1800000000034701E-2</v>
      </c>
      <c r="AF1672">
        <v>7.4325803321020595E-2</v>
      </c>
      <c r="AG1672">
        <v>-0.26120969999999999</v>
      </c>
      <c r="AH1672">
        <v>0.42136167344812903</v>
      </c>
      <c r="AI1672">
        <v>121.403775388055</v>
      </c>
      <c r="AJ1672">
        <v>79.996258461668106</v>
      </c>
      <c r="AK1672">
        <v>0.50129880536902605</v>
      </c>
      <c r="AL1672">
        <v>78.724787161933804</v>
      </c>
      <c r="AM1672">
        <v>87.098571709966293</v>
      </c>
      <c r="AN1672">
        <v>1.0000000267438101</v>
      </c>
    </row>
    <row r="1673" spans="1:40" x14ac:dyDescent="0.25">
      <c r="A1673" t="str">
        <f>"20190303162535630"</f>
        <v>20190303162535630</v>
      </c>
      <c r="B1673" t="str">
        <f>"1551601535624986"</f>
        <v>1551601535624986</v>
      </c>
      <c r="C1673" t="s">
        <v>40</v>
      </c>
      <c r="D1673">
        <v>4.5240349999999996</v>
      </c>
      <c r="E1673">
        <v>0.53260399999999997</v>
      </c>
      <c r="F1673" t="s">
        <v>42</v>
      </c>
      <c r="G1673">
        <v>-361.71249999999998</v>
      </c>
      <c r="H1673">
        <v>0.86976469999999995</v>
      </c>
      <c r="I1673">
        <v>284.22379999999998</v>
      </c>
      <c r="J1673">
        <v>-361.23439999999999</v>
      </c>
      <c r="K1673">
        <v>1.12069</v>
      </c>
      <c r="L1673">
        <v>284.13529999999997</v>
      </c>
      <c r="M1673">
        <v>-0.99995199999999995</v>
      </c>
      <c r="N1673">
        <v>-9.7906420000000004E-3</v>
      </c>
      <c r="O1673">
        <v>-5.7750870000000004E-4</v>
      </c>
      <c r="P1673">
        <v>-0.9813518</v>
      </c>
      <c r="Q1673">
        <v>0.18594949999999999</v>
      </c>
      <c r="R1673">
        <v>4.8699949999999999E-2</v>
      </c>
      <c r="S1673">
        <v>-3.2308650000000001</v>
      </c>
      <c r="T1673">
        <v>-1.007366</v>
      </c>
      <c r="U1673">
        <v>0.35409550000000001</v>
      </c>
      <c r="V1673">
        <v>4.9417490000000001E-2</v>
      </c>
      <c r="W1673">
        <v>0.1955102</v>
      </c>
      <c r="X1673">
        <v>0.97945579999999999</v>
      </c>
      <c r="Y1673">
        <v>0.1044303</v>
      </c>
      <c r="Z1673">
        <v>1.6553330000000002E-2</v>
      </c>
      <c r="AA1673">
        <v>0.99439440000000001</v>
      </c>
      <c r="AB1673">
        <v>31</v>
      </c>
      <c r="AC1673">
        <v>-0.47809999999998298</v>
      </c>
      <c r="AD1673">
        <v>-0.25092529999999902</v>
      </c>
      <c r="AE1673">
        <v>8.8500000000010404E-2</v>
      </c>
      <c r="AF1673">
        <v>7.0105047248749802E-2</v>
      </c>
      <c r="AG1673">
        <v>-0.25092529999999902</v>
      </c>
      <c r="AH1673">
        <v>0.377507372711195</v>
      </c>
      <c r="AI1673">
        <v>123.16528248584601</v>
      </c>
      <c r="AJ1673">
        <v>79.479724024799907</v>
      </c>
      <c r="AK1673">
        <v>0.458682940909239</v>
      </c>
      <c r="AL1673">
        <v>78.725470356602898</v>
      </c>
      <c r="AM1673">
        <v>87.111646368503997</v>
      </c>
      <c r="AN1673">
        <v>0.99999999538778905</v>
      </c>
    </row>
    <row r="1674" spans="1:40" x14ac:dyDescent="0.25">
      <c r="A1674" t="str">
        <f>"20190303162535652"</f>
        <v>20190303162535652</v>
      </c>
      <c r="B1674" t="str">
        <f>"1551601535644505"</f>
        <v>1551601535644505</v>
      </c>
      <c r="C1674" t="s">
        <v>40</v>
      </c>
      <c r="D1674">
        <v>4.5342419999999999</v>
      </c>
      <c r="E1674">
        <v>0.53263930000000004</v>
      </c>
      <c r="F1674" t="s">
        <v>42</v>
      </c>
      <c r="G1674">
        <v>-361.99509999999998</v>
      </c>
      <c r="H1674">
        <v>0.88446530000000001</v>
      </c>
      <c r="I1674">
        <v>284.21910000000003</v>
      </c>
      <c r="J1674">
        <v>-361.53789999999998</v>
      </c>
      <c r="K1674">
        <v>1.1207670000000001</v>
      </c>
      <c r="L1674">
        <v>284.13549999999998</v>
      </c>
      <c r="M1674">
        <v>-0.99994830000000001</v>
      </c>
      <c r="N1674">
        <v>-1.0172280000000001E-2</v>
      </c>
      <c r="O1674">
        <v>-2.4799179999999998E-4</v>
      </c>
      <c r="P1674">
        <v>-0.981294</v>
      </c>
      <c r="Q1674">
        <v>0.18638879999999999</v>
      </c>
      <c r="R1674">
        <v>4.8181380000000003E-2</v>
      </c>
      <c r="S1674">
        <v>-3.2294010000000002</v>
      </c>
      <c r="T1674">
        <v>-1.0028950000000001</v>
      </c>
      <c r="U1674">
        <v>0.35513309999999998</v>
      </c>
      <c r="V1674">
        <v>4.8576149999999998E-2</v>
      </c>
      <c r="W1674">
        <v>0.19632379999999999</v>
      </c>
      <c r="X1674">
        <v>0.97933510000000001</v>
      </c>
      <c r="Y1674">
        <v>0.1045109</v>
      </c>
      <c r="Z1674">
        <v>1.642832E-2</v>
      </c>
      <c r="AA1674">
        <v>0.99438800000000005</v>
      </c>
      <c r="AB1674">
        <v>31</v>
      </c>
      <c r="AC1674">
        <v>-0.4572</v>
      </c>
      <c r="AD1674">
        <v>-0.2363017</v>
      </c>
      <c r="AE1674">
        <v>8.3600000000046706E-2</v>
      </c>
      <c r="AF1674">
        <v>6.6519088608974999E-2</v>
      </c>
      <c r="AG1674">
        <v>-0.2363017</v>
      </c>
      <c r="AH1674">
        <v>0.36327699774337802</v>
      </c>
      <c r="AI1674">
        <v>122.612516778017</v>
      </c>
      <c r="AJ1674">
        <v>79.623608459224499</v>
      </c>
      <c r="AK1674">
        <v>0.438444363245441</v>
      </c>
      <c r="AL1674">
        <v>78.677932827401605</v>
      </c>
      <c r="AM1674">
        <v>87.160390495552903</v>
      </c>
      <c r="AN1674">
        <v>0.99999995744363501</v>
      </c>
    </row>
    <row r="1675" spans="1:40" x14ac:dyDescent="0.25">
      <c r="A1675" t="str">
        <f>"20190303162535674"</f>
        <v>20190303162535674</v>
      </c>
      <c r="B1675" t="str">
        <f>"1551601535665001"</f>
        <v>1551601535665001</v>
      </c>
      <c r="C1675" t="s">
        <v>40</v>
      </c>
      <c r="D1675">
        <v>4.5657059999999996</v>
      </c>
      <c r="E1675">
        <v>0.5326419</v>
      </c>
      <c r="F1675" t="s">
        <v>42</v>
      </c>
      <c r="G1675">
        <v>-362.27499999999998</v>
      </c>
      <c r="H1675">
        <v>0.89282430000000002</v>
      </c>
      <c r="I1675">
        <v>284.2165</v>
      </c>
      <c r="J1675">
        <v>-361.84019999999998</v>
      </c>
      <c r="K1675">
        <v>1.120838</v>
      </c>
      <c r="L1675">
        <v>284.13580000000002</v>
      </c>
      <c r="M1675">
        <v>-0.99994400000000006</v>
      </c>
      <c r="N1675">
        <v>-1.058429E-2</v>
      </c>
      <c r="O1675" s="1">
        <v>8.6656249999999996E-5</v>
      </c>
      <c r="P1675">
        <v>-0.98110439999999999</v>
      </c>
      <c r="Q1675">
        <v>0.187308</v>
      </c>
      <c r="R1675">
        <v>4.847812E-2</v>
      </c>
      <c r="S1675">
        <v>-3.2295229999999999</v>
      </c>
      <c r="T1675">
        <v>-0.99868009999999996</v>
      </c>
      <c r="U1675">
        <v>0.35324100000000003</v>
      </c>
      <c r="V1675">
        <v>4.8542729999999999E-2</v>
      </c>
      <c r="W1675">
        <v>0.1976454</v>
      </c>
      <c r="X1675">
        <v>0.97907100000000002</v>
      </c>
      <c r="Y1675">
        <v>0.1036863</v>
      </c>
      <c r="Z1675">
        <v>1.6160219999999999E-2</v>
      </c>
      <c r="AA1675">
        <v>0.9944788</v>
      </c>
      <c r="AB1675">
        <v>31</v>
      </c>
      <c r="AC1675">
        <v>-0.43479999999999502</v>
      </c>
      <c r="AD1675">
        <v>-0.22801370000000001</v>
      </c>
      <c r="AE1675">
        <v>8.06999999999789E-2</v>
      </c>
      <c r="AF1675">
        <v>6.3721943958971905E-2</v>
      </c>
      <c r="AG1675">
        <v>-0.22801370000000001</v>
      </c>
      <c r="AH1675">
        <v>0.34349057851398102</v>
      </c>
      <c r="AI1675">
        <v>123.13158400762499</v>
      </c>
      <c r="AJ1675">
        <v>79.490368234562396</v>
      </c>
      <c r="AK1675">
        <v>0.417176834277108</v>
      </c>
      <c r="AL1675">
        <v>78.6006986164425</v>
      </c>
      <c r="AM1675">
        <v>87.161576735635904</v>
      </c>
      <c r="AN1675">
        <v>1.0000000619089999</v>
      </c>
    </row>
    <row r="1676" spans="1:40" x14ac:dyDescent="0.25">
      <c r="A1676" t="str">
        <f>"20190303162535696"</f>
        <v>20190303162535696</v>
      </c>
      <c r="B1676" t="str">
        <f>"1551601535684522"</f>
        <v>1551601535684522</v>
      </c>
      <c r="C1676" t="s">
        <v>40</v>
      </c>
      <c r="D1676">
        <v>4.5865280000000004</v>
      </c>
      <c r="E1676">
        <v>0.53261569999999903</v>
      </c>
      <c r="F1676" t="s">
        <v>42</v>
      </c>
      <c r="G1676">
        <v>-362.55439999999999</v>
      </c>
      <c r="H1676">
        <v>0.90096580000000004</v>
      </c>
      <c r="I1676">
        <v>284.214</v>
      </c>
      <c r="J1676">
        <v>-362.14389999999997</v>
      </c>
      <c r="K1676">
        <v>1.1208990000000001</v>
      </c>
      <c r="L1676">
        <v>284.13619999999997</v>
      </c>
      <c r="M1676">
        <v>-0.99993969999999999</v>
      </c>
      <c r="N1676">
        <v>-1.0986630000000001E-2</v>
      </c>
      <c r="O1676">
        <v>4.2888520000000001E-4</v>
      </c>
      <c r="P1676">
        <v>-0.98111349999999997</v>
      </c>
      <c r="Q1676">
        <v>0.18726899999999999</v>
      </c>
      <c r="R1676">
        <v>4.8444939999999999E-2</v>
      </c>
      <c r="S1676">
        <v>-3.2301639999999998</v>
      </c>
      <c r="T1676">
        <v>-0.99449489999999996</v>
      </c>
      <c r="U1676">
        <v>0.35308840000000002</v>
      </c>
      <c r="V1676">
        <v>4.8170820000000003E-2</v>
      </c>
      <c r="W1676">
        <v>0.1980016</v>
      </c>
      <c r="X1676">
        <v>0.97901729999999998</v>
      </c>
      <c r="Y1676">
        <v>0.1033443</v>
      </c>
      <c r="Z1676">
        <v>1.5963930000000001E-2</v>
      </c>
      <c r="AA1676">
        <v>0.99451750000000005</v>
      </c>
      <c r="AB1676">
        <v>31</v>
      </c>
      <c r="AC1676">
        <v>-0.41050000000001302</v>
      </c>
      <c r="AD1676">
        <v>-0.219933199999999</v>
      </c>
      <c r="AE1676">
        <v>7.7800000000024697E-2</v>
      </c>
      <c r="AF1676">
        <v>6.07816226676966E-2</v>
      </c>
      <c r="AG1676">
        <v>-0.219933199999999</v>
      </c>
      <c r="AH1676">
        <v>0.32145864939410401</v>
      </c>
      <c r="AI1676">
        <v>123.911399871366</v>
      </c>
      <c r="AJ1676">
        <v>79.292878922024002</v>
      </c>
      <c r="AK1676">
        <v>0.39420893113505101</v>
      </c>
      <c r="AL1676">
        <v>78.579877313284797</v>
      </c>
      <c r="AM1676">
        <v>87.183133901809995</v>
      </c>
      <c r="AN1676">
        <v>0.99999996760066001</v>
      </c>
    </row>
    <row r="1677" spans="1:40" x14ac:dyDescent="0.25">
      <c r="A1677" t="str">
        <f>"20190303162535720"</f>
        <v>20190303162535720</v>
      </c>
      <c r="B1677" t="str">
        <f>"1551601535714777"</f>
        <v>1551601535714777</v>
      </c>
      <c r="C1677" t="s">
        <v>40</v>
      </c>
      <c r="D1677">
        <v>4.621556</v>
      </c>
      <c r="E1677">
        <v>0.53257500000000002</v>
      </c>
      <c r="F1677" t="s">
        <v>42</v>
      </c>
      <c r="G1677">
        <v>-362.83350000000002</v>
      </c>
      <c r="H1677">
        <v>0.9087037</v>
      </c>
      <c r="I1677">
        <v>284.21129999999999</v>
      </c>
      <c r="J1677">
        <v>-362.46710000000002</v>
      </c>
      <c r="K1677">
        <v>1.120946</v>
      </c>
      <c r="L1677">
        <v>284.13670000000002</v>
      </c>
      <c r="M1677">
        <v>-0.99993489999999996</v>
      </c>
      <c r="N1677">
        <v>-1.1385940000000001E-2</v>
      </c>
      <c r="O1677">
        <v>7.9200210000000002E-4</v>
      </c>
      <c r="P1677">
        <v>-0.98124160000000005</v>
      </c>
      <c r="Q1677">
        <v>0.1865532</v>
      </c>
      <c r="R1677">
        <v>4.8607480000000002E-2</v>
      </c>
      <c r="S1677">
        <v>-3.2301639999999998</v>
      </c>
      <c r="T1677">
        <v>-0.99388379999999998</v>
      </c>
      <c r="U1677">
        <v>0.35009770000000001</v>
      </c>
      <c r="V1677">
        <v>4.7975230000000001E-2</v>
      </c>
      <c r="W1677">
        <v>0.19767860000000001</v>
      </c>
      <c r="X1677">
        <v>0.97909219999999997</v>
      </c>
      <c r="Y1677">
        <v>0.1021444</v>
      </c>
      <c r="Z1677">
        <v>1.568512E-2</v>
      </c>
      <c r="AA1677">
        <v>0.99464589999999997</v>
      </c>
      <c r="AB1677">
        <v>31</v>
      </c>
      <c r="AC1677">
        <v>-0.36639999999999801</v>
      </c>
      <c r="AD1677">
        <v>-0.212242299999999</v>
      </c>
      <c r="AE1677">
        <v>7.4599999999975297E-2</v>
      </c>
      <c r="AF1677">
        <v>5.6202009568253102E-2</v>
      </c>
      <c r="AG1677">
        <v>-0.212242299999999</v>
      </c>
      <c r="AH1677">
        <v>0.27716047507477198</v>
      </c>
      <c r="AI1677">
        <v>126.888214730442</v>
      </c>
      <c r="AJ1677">
        <v>78.537111161363399</v>
      </c>
      <c r="AK1677">
        <v>0.353586465708847</v>
      </c>
      <c r="AL1677">
        <v>78.598757324560196</v>
      </c>
      <c r="AM1677">
        <v>87.194767304371197</v>
      </c>
      <c r="AN1677">
        <v>0.99999999384617599</v>
      </c>
    </row>
    <row r="1678" spans="1:40" x14ac:dyDescent="0.25">
      <c r="A1678" t="str">
        <f>"20190303162535742"</f>
        <v>20190303162535742</v>
      </c>
      <c r="B1678" t="str">
        <f>"1551601535734296"</f>
        <v>1551601535734296</v>
      </c>
      <c r="C1678" t="s">
        <v>40</v>
      </c>
      <c r="D1678">
        <v>4.6536730000000004</v>
      </c>
      <c r="E1678">
        <v>0.53245050000000005</v>
      </c>
      <c r="F1678" t="s">
        <v>42</v>
      </c>
      <c r="G1678">
        <v>-363.35899999999998</v>
      </c>
      <c r="H1678">
        <v>0.84595480000000001</v>
      </c>
      <c r="I1678">
        <v>284.23410000000001</v>
      </c>
      <c r="J1678">
        <v>-362.7792</v>
      </c>
      <c r="K1678">
        <v>1.1209739999999999</v>
      </c>
      <c r="L1678">
        <v>284.13729999999998</v>
      </c>
      <c r="M1678">
        <v>-0.99993050000000006</v>
      </c>
      <c r="N1678">
        <v>-1.174007E-2</v>
      </c>
      <c r="O1678">
        <v>1.1363160000000001E-3</v>
      </c>
      <c r="P1678">
        <v>-0.98153259999999998</v>
      </c>
      <c r="Q1678">
        <v>0.1850213</v>
      </c>
      <c r="R1678">
        <v>4.8590679999999997E-2</v>
      </c>
      <c r="S1678">
        <v>-3.2292480000000001</v>
      </c>
      <c r="T1678">
        <v>-0.99556909999999998</v>
      </c>
      <c r="U1678">
        <v>0.35122680000000001</v>
      </c>
      <c r="V1678">
        <v>4.7619389999999998E-2</v>
      </c>
      <c r="W1678">
        <v>0.1964977</v>
      </c>
      <c r="X1678">
        <v>0.97934719999999997</v>
      </c>
      <c r="Y1678">
        <v>0.1021657</v>
      </c>
      <c r="Z1678">
        <v>1.56361E-2</v>
      </c>
      <c r="AA1678">
        <v>0.99464450000000004</v>
      </c>
      <c r="AB1678">
        <v>31</v>
      </c>
      <c r="AC1678">
        <v>-0.57980000000003395</v>
      </c>
      <c r="AD1678">
        <v>-0.27501919999999902</v>
      </c>
      <c r="AE1678">
        <v>9.6800000000030195E-2</v>
      </c>
      <c r="AF1678">
        <v>7.8875779980997096E-2</v>
      </c>
      <c r="AG1678">
        <v>-0.27501919999999902</v>
      </c>
      <c r="AH1678">
        <v>0.47576785738280503</v>
      </c>
      <c r="AI1678">
        <v>119.69479390177</v>
      </c>
      <c r="AJ1678">
        <v>80.586764298432001</v>
      </c>
      <c r="AK1678">
        <v>0.55516844574856306</v>
      </c>
      <c r="AL1678">
        <v>78.667771019245805</v>
      </c>
      <c r="AM1678">
        <v>87.216265169395101</v>
      </c>
      <c r="AN1678">
        <v>0.99999994527854896</v>
      </c>
    </row>
    <row r="1679" spans="1:40" x14ac:dyDescent="0.25">
      <c r="A1679" t="str">
        <f>"20190303162535774"</f>
        <v>20190303162535774</v>
      </c>
      <c r="B1679" t="str">
        <f>"1551601535764553"</f>
        <v>1551601535764553</v>
      </c>
      <c r="C1679" t="s">
        <v>40</v>
      </c>
      <c r="D1679">
        <v>4.6546349999999999</v>
      </c>
      <c r="E1679">
        <v>0.5322808</v>
      </c>
      <c r="F1679" t="s">
        <v>42</v>
      </c>
      <c r="G1679">
        <v>-363.63729999999998</v>
      </c>
      <c r="H1679">
        <v>0.85462079999999996</v>
      </c>
      <c r="I1679">
        <v>284.23099999999999</v>
      </c>
      <c r="J1679">
        <v>-363.21949999999998</v>
      </c>
      <c r="K1679">
        <v>1.1209739999999999</v>
      </c>
      <c r="L1679">
        <v>284.13839999999999</v>
      </c>
      <c r="M1679">
        <v>-0.99992449999999999</v>
      </c>
      <c r="N1679">
        <v>-1.218577E-2</v>
      </c>
      <c r="O1679">
        <v>1.6168420000000001E-3</v>
      </c>
      <c r="P1679">
        <v>-0.98176479999999999</v>
      </c>
      <c r="Q1679">
        <v>0.1835118</v>
      </c>
      <c r="R1679">
        <v>4.9612129999999997E-2</v>
      </c>
      <c r="S1679">
        <v>-3.2279659999999999</v>
      </c>
      <c r="T1679">
        <v>-1.0019940000000001</v>
      </c>
      <c r="U1679">
        <v>0.35137940000000001</v>
      </c>
      <c r="V1679">
        <v>4.8168519999999999E-2</v>
      </c>
      <c r="W1679">
        <v>0.1954274</v>
      </c>
      <c r="X1679">
        <v>0.97953460000000003</v>
      </c>
      <c r="Y1679">
        <v>0.1017468</v>
      </c>
      <c r="Z1679">
        <v>1.55528E-2</v>
      </c>
      <c r="AA1679">
        <v>0.99468869999999998</v>
      </c>
      <c r="AB1679">
        <v>31</v>
      </c>
      <c r="AC1679">
        <v>-0.41779999999999901</v>
      </c>
      <c r="AD1679">
        <v>-0.26635319999999901</v>
      </c>
      <c r="AE1679">
        <v>9.2600000000004401E-2</v>
      </c>
      <c r="AF1679">
        <v>6.6256832925865206E-2</v>
      </c>
      <c r="AG1679">
        <v>-0.26635319999999901</v>
      </c>
      <c r="AH1679">
        <v>0.30124771798750699</v>
      </c>
      <c r="AI1679">
        <v>130.81149910173099</v>
      </c>
      <c r="AJ1679">
        <v>77.595786203820893</v>
      </c>
      <c r="AK1679">
        <v>0.40753427175182</v>
      </c>
      <c r="AL1679">
        <v>78.730308427923504</v>
      </c>
      <c r="AM1679">
        <v>87.184753326143607</v>
      </c>
      <c r="AN1679">
        <v>1.0000000537934499</v>
      </c>
    </row>
    <row r="1680" spans="1:40" x14ac:dyDescent="0.25">
      <c r="A1680" t="str">
        <f>"20190303162535796"</f>
        <v>20190303162535796</v>
      </c>
      <c r="B1680" t="str">
        <f>"1551601535785050"</f>
        <v>1551601535785050</v>
      </c>
      <c r="C1680" t="s">
        <v>40</v>
      </c>
      <c r="D1680">
        <v>4.6898169999999997</v>
      </c>
      <c r="E1680">
        <v>0.53211129999999995</v>
      </c>
      <c r="F1680" t="s">
        <v>42</v>
      </c>
      <c r="G1680">
        <v>-363.92939999999999</v>
      </c>
      <c r="H1680">
        <v>0.8988334</v>
      </c>
      <c r="I1680">
        <v>284.2165</v>
      </c>
      <c r="J1680">
        <v>-363.52300000000002</v>
      </c>
      <c r="K1680">
        <v>1.1209709999999999</v>
      </c>
      <c r="L1680">
        <v>284.13920000000002</v>
      </c>
      <c r="M1680">
        <v>-0.99992049999999999</v>
      </c>
      <c r="N1680">
        <v>-1.245491E-2</v>
      </c>
      <c r="O1680">
        <v>1.9492260000000001E-3</v>
      </c>
      <c r="P1680">
        <v>-0.98176039999999998</v>
      </c>
      <c r="Q1680">
        <v>0.1833622</v>
      </c>
      <c r="R1680">
        <v>5.024497E-2</v>
      </c>
      <c r="S1680">
        <v>-3.2266240000000002</v>
      </c>
      <c r="T1680">
        <v>-1.0096339999999999</v>
      </c>
      <c r="U1680">
        <v>0.3528442</v>
      </c>
      <c r="V1680">
        <v>4.8474660000000003E-2</v>
      </c>
      <c r="W1680">
        <v>0.19554150000000001</v>
      </c>
      <c r="X1680">
        <v>0.9794967</v>
      </c>
      <c r="Y1680">
        <v>0.1018376</v>
      </c>
      <c r="Z1680">
        <v>1.559875E-2</v>
      </c>
      <c r="AA1680">
        <v>0.99467870000000003</v>
      </c>
      <c r="AB1680">
        <v>31</v>
      </c>
      <c r="AC1680">
        <v>-0.40639999999996201</v>
      </c>
      <c r="AD1680">
        <v>-0.22213759999999899</v>
      </c>
      <c r="AE1680">
        <v>7.7299999999979704E-2</v>
      </c>
      <c r="AF1680">
        <v>5.9384739131417098E-2</v>
      </c>
      <c r="AG1680">
        <v>-0.22213759999999899</v>
      </c>
      <c r="AH1680">
        <v>0.31556149139081402</v>
      </c>
      <c r="AI1680">
        <v>124.675508796798</v>
      </c>
      <c r="AJ1680">
        <v>79.342294497786696</v>
      </c>
      <c r="AK1680">
        <v>0.39044937626312198</v>
      </c>
      <c r="AL1680">
        <v>78.7236420767113</v>
      </c>
      <c r="AM1680">
        <v>87.166780350515594</v>
      </c>
      <c r="AN1680">
        <v>1.00000002809762</v>
      </c>
    </row>
    <row r="1681" spans="1:40" x14ac:dyDescent="0.25">
      <c r="A1681" t="str">
        <f>"20190303162535821"</f>
        <v>20190303162535821</v>
      </c>
      <c r="B1681" t="str">
        <f>"1551601535814329"</f>
        <v>1551601535814329</v>
      </c>
      <c r="C1681" t="s">
        <v>40</v>
      </c>
      <c r="D1681">
        <v>4.7245599999999897</v>
      </c>
      <c r="E1681">
        <v>0.52525119999999903</v>
      </c>
      <c r="F1681" t="s">
        <v>42</v>
      </c>
      <c r="G1681">
        <v>-364.20690000000002</v>
      </c>
      <c r="H1681">
        <v>0.9065801</v>
      </c>
      <c r="I1681">
        <v>284.21409999999997</v>
      </c>
      <c r="J1681">
        <v>-363.85079999999999</v>
      </c>
      <c r="K1681">
        <v>1.120973</v>
      </c>
      <c r="L1681">
        <v>284.14030000000002</v>
      </c>
      <c r="M1681">
        <v>-0.99991660000000004</v>
      </c>
      <c r="N1681">
        <v>-1.2710279999999999E-2</v>
      </c>
      <c r="O1681">
        <v>2.3109630000000001E-3</v>
      </c>
      <c r="P1681">
        <v>-0.98171330000000001</v>
      </c>
      <c r="Q1681">
        <v>0.1835862</v>
      </c>
      <c r="R1681">
        <v>5.0352550000000003E-2</v>
      </c>
      <c r="S1681">
        <v>-3.2265320000000002</v>
      </c>
      <c r="T1681">
        <v>-1.01142</v>
      </c>
      <c r="U1681">
        <v>0.35357670000000002</v>
      </c>
      <c r="V1681">
        <v>4.822692E-2</v>
      </c>
      <c r="W1681">
        <v>0.19601569999999999</v>
      </c>
      <c r="X1681">
        <v>0.97941409999999995</v>
      </c>
      <c r="Y1681">
        <v>0.1017053</v>
      </c>
      <c r="Z1681">
        <v>1.5511099999999899E-2</v>
      </c>
      <c r="AA1681">
        <v>0.99469359999999996</v>
      </c>
      <c r="AB1681">
        <v>31</v>
      </c>
      <c r="AC1681">
        <v>-0.35610000000002601</v>
      </c>
      <c r="AD1681">
        <v>-0.2143929</v>
      </c>
      <c r="AE1681">
        <v>7.3799999999948795E-2</v>
      </c>
      <c r="AF1681">
        <v>5.4155306228179503E-2</v>
      </c>
      <c r="AG1681">
        <v>-0.2143929</v>
      </c>
      <c r="AH1681">
        <v>0.26438387619178999</v>
      </c>
      <c r="AI1681">
        <v>128.46434510578001</v>
      </c>
      <c r="AJ1681">
        <v>78.4238977337222</v>
      </c>
      <c r="AK1681">
        <v>0.34466787891138501</v>
      </c>
      <c r="AL1681">
        <v>78.695935763867396</v>
      </c>
      <c r="AM1681">
        <v>87.180999366208098</v>
      </c>
      <c r="AN1681">
        <v>0.999999984868993</v>
      </c>
    </row>
    <row r="1682" spans="1:40" x14ac:dyDescent="0.25">
      <c r="A1682" t="str">
        <f>"20190303162535842"</f>
        <v>20190303162535842</v>
      </c>
      <c r="B1682" t="str">
        <f>"1551601535834825"</f>
        <v>1551601535834825</v>
      </c>
      <c r="C1682" t="s">
        <v>40</v>
      </c>
      <c r="D1682">
        <v>4.7219179999999996</v>
      </c>
      <c r="E1682">
        <v>0.52347460000000001</v>
      </c>
      <c r="F1682" t="s">
        <v>42</v>
      </c>
      <c r="G1682">
        <v>-364.75779999999997</v>
      </c>
      <c r="H1682">
        <v>0.91353090000000003</v>
      </c>
      <c r="I1682">
        <v>284.22879999999998</v>
      </c>
      <c r="J1682">
        <v>-364.14800000000002</v>
      </c>
      <c r="K1682">
        <v>1.120962</v>
      </c>
      <c r="L1682">
        <v>284.1413</v>
      </c>
      <c r="M1682">
        <v>-0.99991319999999995</v>
      </c>
      <c r="N1682">
        <v>-1.2912959999999999E-2</v>
      </c>
      <c r="O1682">
        <v>2.6400270000000001E-3</v>
      </c>
      <c r="P1682">
        <v>-0.98149209999999998</v>
      </c>
      <c r="Q1682">
        <v>0.18468029999999999</v>
      </c>
      <c r="R1682">
        <v>5.0662499999999999E-2</v>
      </c>
      <c r="S1682">
        <v>-3.1758419999999998</v>
      </c>
      <c r="T1682">
        <v>-0.72646869999999997</v>
      </c>
      <c r="U1682">
        <v>0.3097839</v>
      </c>
      <c r="V1682">
        <v>4.8214559999999997E-2</v>
      </c>
      <c r="W1682">
        <v>0.1973056</v>
      </c>
      <c r="X1682">
        <v>0.97915569999999996</v>
      </c>
      <c r="Y1682">
        <v>9.2023099999999997E-2</v>
      </c>
      <c r="Z1682">
        <v>1.04095E-2</v>
      </c>
      <c r="AA1682">
        <v>0.99570239999999999</v>
      </c>
      <c r="AB1682">
        <v>31</v>
      </c>
      <c r="AC1682">
        <v>-0.60979999999995005</v>
      </c>
      <c r="AD1682">
        <v>-0.20743109999999901</v>
      </c>
      <c r="AE1682">
        <v>8.7499999999977193E-2</v>
      </c>
      <c r="AF1682">
        <v>7.7143442107382096E-2</v>
      </c>
      <c r="AG1682">
        <v>-0.20743109999999901</v>
      </c>
      <c r="AH1682">
        <v>0.54790905018846003</v>
      </c>
      <c r="AI1682">
        <v>110.55047725143901</v>
      </c>
      <c r="AJ1682">
        <v>81.985659736847396</v>
      </c>
      <c r="AK1682">
        <v>0.59091716778733505</v>
      </c>
      <c r="AL1682">
        <v>78.620558261682703</v>
      </c>
      <c r="AM1682">
        <v>87.180978131729105</v>
      </c>
      <c r="AN1682">
        <v>1.0000000142149199</v>
      </c>
    </row>
    <row r="1683" spans="1:40" x14ac:dyDescent="0.25">
      <c r="A1683" t="str">
        <f>"20190303162535864"</f>
        <v>20190303162535864</v>
      </c>
      <c r="B1683" t="str">
        <f>"1551601535854345"</f>
        <v>1551601535854345</v>
      </c>
      <c r="C1683" t="s">
        <v>40</v>
      </c>
      <c r="D1683">
        <v>4.9074609999999996</v>
      </c>
      <c r="E1683">
        <v>0.49893470000000001</v>
      </c>
      <c r="F1683" t="s">
        <v>42</v>
      </c>
      <c r="G1683">
        <v>-365.04629999999997</v>
      </c>
      <c r="H1683">
        <v>0.94569119999999995</v>
      </c>
      <c r="I1683">
        <v>284.22739999999999</v>
      </c>
      <c r="J1683">
        <v>-364.44409999999999</v>
      </c>
      <c r="K1683">
        <v>1.120951</v>
      </c>
      <c r="L1683">
        <v>284.14249999999998</v>
      </c>
      <c r="M1683">
        <v>-0.99990990000000002</v>
      </c>
      <c r="N1683">
        <v>-1.3090620000000001E-2</v>
      </c>
      <c r="O1683">
        <v>2.967857E-3</v>
      </c>
      <c r="P1683">
        <v>-0.98132370000000002</v>
      </c>
      <c r="Q1683">
        <v>0.18539120000000001</v>
      </c>
      <c r="R1683">
        <v>5.1323889999999997E-2</v>
      </c>
      <c r="S1683">
        <v>-3.1569210000000001</v>
      </c>
      <c r="T1683">
        <v>-0.61609709999999995</v>
      </c>
      <c r="U1683">
        <v>0.30075069999999998</v>
      </c>
      <c r="V1683">
        <v>4.8554569999999998E-2</v>
      </c>
      <c r="W1683">
        <v>0.19818810000000001</v>
      </c>
      <c r="X1683">
        <v>0.97896059999999996</v>
      </c>
      <c r="Y1683">
        <v>9.0129780000000007E-2</v>
      </c>
      <c r="Z1683">
        <v>8.7564840000000001E-3</v>
      </c>
      <c r="AA1683">
        <v>0.99589150000000004</v>
      </c>
      <c r="AB1683">
        <v>31</v>
      </c>
      <c r="AC1683">
        <v>-0.60219999999998197</v>
      </c>
      <c r="AD1683">
        <v>-0.17525979999999899</v>
      </c>
      <c r="AE1683">
        <v>8.4900000000004597E-2</v>
      </c>
      <c r="AF1683">
        <v>7.6739105137056202E-2</v>
      </c>
      <c r="AG1683">
        <v>-0.17525979999999899</v>
      </c>
      <c r="AH1683">
        <v>0.55625295574445699</v>
      </c>
      <c r="AI1683">
        <v>107.333978142756</v>
      </c>
      <c r="AJ1683">
        <v>82.145215026426499</v>
      </c>
      <c r="AK1683">
        <v>0.588236549806047</v>
      </c>
      <c r="AL1683">
        <v>78.5689755537812</v>
      </c>
      <c r="AM1683">
        <v>87.1605659011624</v>
      </c>
      <c r="AN1683">
        <v>0.99999996280092596</v>
      </c>
    </row>
    <row r="1684" spans="1:40" x14ac:dyDescent="0.25">
      <c r="A1684" t="str">
        <f>"20190303162535886"</f>
        <v>20190303162535886</v>
      </c>
      <c r="B1684" t="str">
        <f>"1551601535874841"</f>
        <v>1551601535874841</v>
      </c>
      <c r="C1684" t="s">
        <v>40</v>
      </c>
      <c r="D1684">
        <v>4.9583120000000003</v>
      </c>
      <c r="E1684">
        <v>0.49255789999999999</v>
      </c>
      <c r="F1684" t="s">
        <v>51</v>
      </c>
      <c r="G1684">
        <v>-425.56389999999999</v>
      </c>
      <c r="H1684" s="1">
        <v>2.8005219999999999E-6</v>
      </c>
      <c r="I1684">
        <v>286.64249999999998</v>
      </c>
      <c r="J1684">
        <v>-364.74180000000001</v>
      </c>
      <c r="K1684">
        <v>1.1209420000000001</v>
      </c>
      <c r="L1684">
        <v>284.14370000000002</v>
      </c>
      <c r="M1684">
        <v>-0.99990690000000004</v>
      </c>
      <c r="N1684">
        <v>-1.3247200000000001E-2</v>
      </c>
      <c r="O1684">
        <v>3.2974160000000001E-3</v>
      </c>
      <c r="P1684">
        <v>-0.9813347</v>
      </c>
      <c r="Q1684">
        <v>0.1851911</v>
      </c>
      <c r="R1684">
        <v>5.1835810000000003E-2</v>
      </c>
      <c r="S1684">
        <v>-3.061188</v>
      </c>
      <c r="T1684">
        <v>-5.6142690000000002E-2</v>
      </c>
      <c r="U1684">
        <v>0.12521360000000001</v>
      </c>
      <c r="V1684">
        <v>4.874237E-2</v>
      </c>
      <c r="W1684">
        <v>0.19814180000000001</v>
      </c>
      <c r="X1684">
        <v>0.97896070000000002</v>
      </c>
      <c r="Y1684">
        <v>3.7563439999999997E-2</v>
      </c>
      <c r="Z1684">
        <v>5.7646420000000002E-4</v>
      </c>
      <c r="AA1684">
        <v>0.99929409999999996</v>
      </c>
      <c r="AB1684">
        <v>31</v>
      </c>
      <c r="AC1684">
        <v>-60.822099999999899</v>
      </c>
      <c r="AD1684">
        <v>-1.120939199478</v>
      </c>
      <c r="AE1684">
        <v>2.4987999999999602</v>
      </c>
      <c r="AF1684">
        <v>2.29743403839981</v>
      </c>
      <c r="AG1684">
        <v>-1.120939199478</v>
      </c>
      <c r="AH1684">
        <v>60.809390022596403</v>
      </c>
      <c r="AI1684">
        <v>91.055298192154495</v>
      </c>
      <c r="AJ1684">
        <v>87.836342435572305</v>
      </c>
      <c r="AK1684">
        <v>60.863097380678703</v>
      </c>
      <c r="AL1684">
        <v>78.571682705121603</v>
      </c>
      <c r="AM1684">
        <v>87.149601868359895</v>
      </c>
      <c r="AN1684">
        <v>1.0000000218424701</v>
      </c>
    </row>
    <row r="1685" spans="1:40" x14ac:dyDescent="0.25">
      <c r="A1685" t="str">
        <f>"20190303162535910"</f>
        <v>20190303162535910</v>
      </c>
      <c r="B1685" t="str">
        <f>"1551601535905097"</f>
        <v>1551601535905097</v>
      </c>
      <c r="C1685" t="s">
        <v>40</v>
      </c>
      <c r="D1685">
        <v>4.9498660000000001</v>
      </c>
      <c r="E1685">
        <v>0.49044470000000001</v>
      </c>
      <c r="F1685" t="s">
        <v>53</v>
      </c>
      <c r="G1685">
        <v>0</v>
      </c>
      <c r="H1685">
        <v>0</v>
      </c>
      <c r="I1685">
        <v>0</v>
      </c>
      <c r="J1685">
        <v>-365.06760000000003</v>
      </c>
      <c r="K1685">
        <v>1.1209439999999999</v>
      </c>
      <c r="L1685">
        <v>284.14519999999999</v>
      </c>
      <c r="M1685">
        <v>-0.9999036</v>
      </c>
      <c r="N1685">
        <v>-1.339572E-2</v>
      </c>
      <c r="O1685">
        <v>3.6574120000000001E-3</v>
      </c>
      <c r="P1685">
        <v>-0.98144160000000003</v>
      </c>
      <c r="Q1685">
        <v>0.18459059999999999</v>
      </c>
      <c r="R1685">
        <v>5.19528E-2</v>
      </c>
      <c r="S1685">
        <v>-3.0502929999999999</v>
      </c>
      <c r="T1685">
        <v>1.38768E-2</v>
      </c>
      <c r="U1685">
        <v>7.8338619999999998E-2</v>
      </c>
      <c r="V1685">
        <v>4.8504930000000002E-2</v>
      </c>
      <c r="W1685">
        <v>0.19768839999999999</v>
      </c>
      <c r="X1685">
        <v>0.97906409999999999</v>
      </c>
      <c r="Y1685">
        <v>2.201819E-2</v>
      </c>
      <c r="Z1685">
        <v>1.630519E-4</v>
      </c>
      <c r="AA1685">
        <v>0.99975749999999997</v>
      </c>
      <c r="AB1685">
        <v>30</v>
      </c>
      <c r="AC1685">
        <v>-3.0502929999999999</v>
      </c>
      <c r="AD1685">
        <v>1.38768E-2</v>
      </c>
      <c r="AE1685">
        <v>7.8338619999999998E-2</v>
      </c>
      <c r="AF1685">
        <v>6.7179527345401099E-2</v>
      </c>
      <c r="AG1685">
        <v>1.38768E-2</v>
      </c>
      <c r="AH1685">
        <v>3.0504960444376401</v>
      </c>
      <c r="AI1685">
        <v>89.739424720494299</v>
      </c>
      <c r="AJ1685">
        <v>88.738408031875906</v>
      </c>
      <c r="AK1685">
        <v>3.0512672402794001</v>
      </c>
      <c r="AL1685">
        <v>78.598184267657402</v>
      </c>
      <c r="AM1685">
        <v>87.163763436713595</v>
      </c>
      <c r="AN1685">
        <v>0.99999997181883704</v>
      </c>
    </row>
    <row r="1686" spans="1:40" x14ac:dyDescent="0.25">
      <c r="A1686" t="str">
        <f>"20190303162535932"</f>
        <v>20190303162535932</v>
      </c>
      <c r="B1686" t="str">
        <f>"1551601535924617"</f>
        <v>1551601535924617</v>
      </c>
      <c r="C1686" t="s">
        <v>40</v>
      </c>
      <c r="D1686">
        <v>5.0064380000000002</v>
      </c>
      <c r="E1686">
        <v>0.48965649999999999</v>
      </c>
      <c r="F1686" t="s">
        <v>53</v>
      </c>
      <c r="G1686">
        <v>0</v>
      </c>
      <c r="H1686">
        <v>0</v>
      </c>
      <c r="I1686">
        <v>0</v>
      </c>
      <c r="J1686">
        <v>-365.36939999999998</v>
      </c>
      <c r="K1686">
        <v>1.1209519999999999</v>
      </c>
      <c r="L1686">
        <v>284.14659999999998</v>
      </c>
      <c r="M1686">
        <v>-0.99990089999999998</v>
      </c>
      <c r="N1686">
        <v>-1.351463E-2</v>
      </c>
      <c r="O1686">
        <v>3.9908269999999997E-3</v>
      </c>
      <c r="P1686">
        <v>-0.98132739999999996</v>
      </c>
      <c r="Q1686">
        <v>0.1851188</v>
      </c>
      <c r="R1686">
        <v>5.2228820000000002E-2</v>
      </c>
      <c r="S1686">
        <v>-3.0467219999999999</v>
      </c>
      <c r="T1686">
        <v>3.5624620000000003E-2</v>
      </c>
      <c r="U1686">
        <v>6.2957760000000001E-2</v>
      </c>
      <c r="V1686">
        <v>4.8453860000000001E-2</v>
      </c>
      <c r="W1686">
        <v>0.19833249999999999</v>
      </c>
      <c r="X1686">
        <v>0.97893640000000004</v>
      </c>
      <c r="Y1686">
        <v>1.6670629999999999E-2</v>
      </c>
      <c r="Z1686">
        <v>1.158007E-4</v>
      </c>
      <c r="AA1686">
        <v>0.999861</v>
      </c>
      <c r="AB1686">
        <v>30</v>
      </c>
      <c r="AC1686">
        <v>-3.0467219999999999</v>
      </c>
      <c r="AD1686">
        <v>3.5624620000000003E-2</v>
      </c>
      <c r="AE1686">
        <v>6.2957760000000001E-2</v>
      </c>
      <c r="AF1686">
        <v>5.0790268789935603E-2</v>
      </c>
      <c r="AG1686">
        <v>3.5624620000000003E-2</v>
      </c>
      <c r="AH1686">
        <v>3.04653266297115</v>
      </c>
      <c r="AI1686">
        <v>89.330135595397394</v>
      </c>
      <c r="AJ1686">
        <v>89.044881902868198</v>
      </c>
      <c r="AK1686">
        <v>3.0471642606699101</v>
      </c>
      <c r="AL1686">
        <v>78.560535101409698</v>
      </c>
      <c r="AM1686">
        <v>87.166375803477294</v>
      </c>
      <c r="AN1686">
        <v>1.00000001617505</v>
      </c>
    </row>
    <row r="1687" spans="1:40" x14ac:dyDescent="0.25">
      <c r="A1687" t="str">
        <f>"20190303162535954"</f>
        <v>20190303162535954</v>
      </c>
      <c r="B1687" t="str">
        <f>"1551601535945113"</f>
        <v>1551601535945113</v>
      </c>
      <c r="C1687" t="s">
        <v>40</v>
      </c>
      <c r="D1687">
        <v>5.0064029999999997</v>
      </c>
      <c r="E1687">
        <v>0.48900890000000002</v>
      </c>
      <c r="F1687" t="s">
        <v>53</v>
      </c>
      <c r="G1687">
        <v>0</v>
      </c>
      <c r="H1687">
        <v>0</v>
      </c>
      <c r="I1687">
        <v>0</v>
      </c>
      <c r="J1687">
        <v>-365.68189999999998</v>
      </c>
      <c r="K1687">
        <v>1.120965</v>
      </c>
      <c r="L1687">
        <v>284.14830000000001</v>
      </c>
      <c r="M1687">
        <v>-0.99989799999999995</v>
      </c>
      <c r="N1687">
        <v>-1.362122E-2</v>
      </c>
      <c r="O1687">
        <v>4.3362920000000003E-3</v>
      </c>
      <c r="P1687">
        <v>-0.98118729999999998</v>
      </c>
      <c r="Q1687">
        <v>0.18583430000000001</v>
      </c>
      <c r="R1687">
        <v>5.232121E-2</v>
      </c>
      <c r="S1687">
        <v>-3.0459290000000001</v>
      </c>
      <c r="T1687">
        <v>4.2710419999999999E-2</v>
      </c>
      <c r="U1687">
        <v>5.7983399999999997E-2</v>
      </c>
      <c r="V1687">
        <v>4.8208099999999997E-2</v>
      </c>
      <c r="W1687">
        <v>0.1991503</v>
      </c>
      <c r="X1687">
        <v>0.9787825</v>
      </c>
      <c r="Y1687">
        <v>1.469844E-2</v>
      </c>
      <c r="Z1687">
        <v>1.169346E-4</v>
      </c>
      <c r="AA1687">
        <v>0.99989189999999994</v>
      </c>
      <c r="AB1687">
        <v>30</v>
      </c>
      <c r="AC1687">
        <v>-3.0459290000000001</v>
      </c>
      <c r="AD1687">
        <v>4.2710419999999999E-2</v>
      </c>
      <c r="AE1687">
        <v>5.7983399999999997E-2</v>
      </c>
      <c r="AF1687">
        <v>4.4764795580404998E-2</v>
      </c>
      <c r="AG1687">
        <v>4.2710419999999999E-2</v>
      </c>
      <c r="AH1687">
        <v>3.0455532134868899</v>
      </c>
      <c r="AI1687">
        <v>89.196631290832201</v>
      </c>
      <c r="AJ1687">
        <v>89.157903672463306</v>
      </c>
      <c r="AK1687">
        <v>3.04618161689028</v>
      </c>
      <c r="AL1687">
        <v>78.512724967331394</v>
      </c>
      <c r="AM1687">
        <v>87.1802822405987</v>
      </c>
      <c r="AN1687">
        <v>1.00000002260097</v>
      </c>
    </row>
    <row r="1688" spans="1:40" x14ac:dyDescent="0.25">
      <c r="A1688" t="str">
        <f>"20190303162535975"</f>
        <v>20190303162535975</v>
      </c>
      <c r="B1688" t="str">
        <f>"1551601535964634"</f>
        <v>1551601535964634</v>
      </c>
      <c r="C1688" t="s">
        <v>40</v>
      </c>
      <c r="D1688">
        <v>8.7615099999999995</v>
      </c>
      <c r="E1688">
        <v>0.48859429999999998</v>
      </c>
      <c r="F1688" t="s">
        <v>53</v>
      </c>
      <c r="G1688">
        <v>0</v>
      </c>
      <c r="H1688">
        <v>0</v>
      </c>
      <c r="I1688">
        <v>0</v>
      </c>
      <c r="J1688">
        <v>-365.95760000000001</v>
      </c>
      <c r="K1688">
        <v>1.120984</v>
      </c>
      <c r="L1688">
        <v>284.14980000000003</v>
      </c>
      <c r="M1688">
        <v>-0.99989539999999999</v>
      </c>
      <c r="N1688">
        <v>-1.3702529999999999E-2</v>
      </c>
      <c r="O1688">
        <v>4.6413890000000001E-3</v>
      </c>
      <c r="P1688">
        <v>-0.98086079999999998</v>
      </c>
      <c r="Q1688">
        <v>0.18745590000000001</v>
      </c>
      <c r="R1688">
        <v>5.2653760000000001E-2</v>
      </c>
      <c r="S1688">
        <v>-3.045715</v>
      </c>
      <c r="T1688">
        <v>4.7399400000000001E-2</v>
      </c>
      <c r="U1688">
        <v>5.2795410000000001E-2</v>
      </c>
      <c r="V1688">
        <v>4.8243260000000003E-2</v>
      </c>
      <c r="W1688">
        <v>0.20084769999999999</v>
      </c>
      <c r="X1688">
        <v>0.97843380000000002</v>
      </c>
      <c r="Y1688">
        <v>1.2692210000000001E-2</v>
      </c>
      <c r="Z1688">
        <v>1.2403219999999901E-4</v>
      </c>
      <c r="AA1688">
        <v>0.99991940000000001</v>
      </c>
      <c r="AB1688">
        <v>30</v>
      </c>
      <c r="AC1688">
        <v>-3.045715</v>
      </c>
      <c r="AD1688">
        <v>4.7399400000000001E-2</v>
      </c>
      <c r="AE1688">
        <v>5.2795410000000001E-2</v>
      </c>
      <c r="AF1688">
        <v>3.8647809077153199E-2</v>
      </c>
      <c r="AG1688">
        <v>4.7399400000000001E-2</v>
      </c>
      <c r="AH1688">
        <v>3.04518994293724</v>
      </c>
      <c r="AI1688">
        <v>89.108315839699003</v>
      </c>
      <c r="AJ1688">
        <v>89.272873774705403</v>
      </c>
      <c r="AK1688">
        <v>3.0458040227225598</v>
      </c>
      <c r="AL1688">
        <v>78.413464891048903</v>
      </c>
      <c r="AM1688">
        <v>87.177225022635199</v>
      </c>
      <c r="AN1688">
        <v>0.99999995585657797</v>
      </c>
    </row>
    <row r="1689" spans="1:40" x14ac:dyDescent="0.25">
      <c r="A1689" t="str">
        <f>"20190303162535997"</f>
        <v>20190303162535997</v>
      </c>
      <c r="B1689" t="str">
        <f>"1551601535984153"</f>
        <v>1551601535984153</v>
      </c>
      <c r="C1689" t="s">
        <v>40</v>
      </c>
      <c r="D1689">
        <v>5.0032040000000002</v>
      </c>
      <c r="E1689">
        <v>0.48797200000000002</v>
      </c>
      <c r="F1689" t="s">
        <v>53</v>
      </c>
      <c r="G1689">
        <v>0</v>
      </c>
      <c r="H1689">
        <v>0</v>
      </c>
      <c r="I1689">
        <v>0</v>
      </c>
      <c r="J1689">
        <v>-366.26519999999999</v>
      </c>
      <c r="K1689">
        <v>1.120992</v>
      </c>
      <c r="L1689">
        <v>284.15159999999997</v>
      </c>
      <c r="M1689">
        <v>-0.99989320000000004</v>
      </c>
      <c r="N1689">
        <v>-1.374622E-2</v>
      </c>
      <c r="O1689">
        <v>4.983332E-3</v>
      </c>
      <c r="P1689">
        <v>-0.98041199999999995</v>
      </c>
      <c r="Q1689">
        <v>0.1897789</v>
      </c>
      <c r="R1689">
        <v>5.2693789999999997E-2</v>
      </c>
      <c r="S1689">
        <v>-3.0455019999999999</v>
      </c>
      <c r="T1689">
        <v>5.3809290000000003E-2</v>
      </c>
      <c r="U1689">
        <v>5.0659179999999998E-2</v>
      </c>
      <c r="V1689">
        <v>4.7951710000000002E-2</v>
      </c>
      <c r="W1689">
        <v>0.20320740000000001</v>
      </c>
      <c r="X1689">
        <v>0.97796079999999996</v>
      </c>
      <c r="Y1689">
        <v>1.1650529999999999E-2</v>
      </c>
      <c r="Z1689">
        <v>1.3370330000000001E-4</v>
      </c>
      <c r="AA1689">
        <v>0.99993209999999999</v>
      </c>
      <c r="AB1689">
        <v>30</v>
      </c>
      <c r="AC1689">
        <v>-3.0455019999999999</v>
      </c>
      <c r="AD1689">
        <v>5.3809290000000003E-2</v>
      </c>
      <c r="AE1689">
        <v>5.0659179999999998E-2</v>
      </c>
      <c r="AF1689">
        <v>3.5469301202378498E-2</v>
      </c>
      <c r="AG1689">
        <v>5.3809290000000003E-2</v>
      </c>
      <c r="AH1689">
        <v>3.0447664185581198</v>
      </c>
      <c r="AI1689">
        <v>88.987602076812806</v>
      </c>
      <c r="AJ1689">
        <v>89.332576276612897</v>
      </c>
      <c r="AK1689">
        <v>3.0454484160131998</v>
      </c>
      <c r="AL1689">
        <v>78.275417605916402</v>
      </c>
      <c r="AM1689">
        <v>87.192901791187097</v>
      </c>
      <c r="AN1689">
        <v>0.99999997012166097</v>
      </c>
    </row>
    <row r="1690" spans="1:40" x14ac:dyDescent="0.25">
      <c r="A1690" t="str">
        <f>"20190303162536023"</f>
        <v>20190303162536023</v>
      </c>
      <c r="B1690" t="str">
        <f>"1551601536014409"</f>
        <v>1551601536014409</v>
      </c>
      <c r="C1690" t="s">
        <v>40</v>
      </c>
      <c r="D1690">
        <v>5.056324</v>
      </c>
      <c r="E1690">
        <v>0.48759380000000002</v>
      </c>
      <c r="F1690" t="s">
        <v>53</v>
      </c>
      <c r="G1690">
        <v>0</v>
      </c>
      <c r="H1690">
        <v>0</v>
      </c>
      <c r="I1690">
        <v>0</v>
      </c>
      <c r="J1690">
        <v>-366.6044</v>
      </c>
      <c r="K1690">
        <v>1.120968</v>
      </c>
      <c r="L1690">
        <v>284.15370000000001</v>
      </c>
      <c r="M1690">
        <v>-0.99989229999999996</v>
      </c>
      <c r="N1690">
        <v>-1.366529E-2</v>
      </c>
      <c r="O1690">
        <v>5.3679660000000001E-3</v>
      </c>
      <c r="P1690">
        <v>-0.97982590000000003</v>
      </c>
      <c r="Q1690">
        <v>0.19281200000000001</v>
      </c>
      <c r="R1690">
        <v>5.2583610000000003E-2</v>
      </c>
      <c r="S1690">
        <v>-3.0454409999999998</v>
      </c>
      <c r="T1690">
        <v>6.1948540000000003E-2</v>
      </c>
      <c r="U1690">
        <v>4.6478270000000002E-2</v>
      </c>
      <c r="V1690">
        <v>4.747241E-2</v>
      </c>
      <c r="W1690">
        <v>0.206153</v>
      </c>
      <c r="X1690">
        <v>0.97736749999999994</v>
      </c>
      <c r="Y1690">
        <v>9.8941859999999993E-3</v>
      </c>
      <c r="Z1690">
        <v>1.4951339999999999E-4</v>
      </c>
      <c r="AA1690">
        <v>0.99995109999999998</v>
      </c>
      <c r="AB1690">
        <v>30</v>
      </c>
      <c r="AC1690">
        <v>-3.0454409999999998</v>
      </c>
      <c r="AD1690">
        <v>6.1948540000000003E-2</v>
      </c>
      <c r="AE1690">
        <v>4.6478270000000002E-2</v>
      </c>
      <c r="AF1690">
        <v>3.0115793053193701E-2</v>
      </c>
      <c r="AG1690">
        <v>6.1948540000000003E-2</v>
      </c>
      <c r="AH1690">
        <v>3.04438724045239</v>
      </c>
      <c r="AI1690">
        <v>88.834337991806507</v>
      </c>
      <c r="AJ1690">
        <v>89.433235189310594</v>
      </c>
      <c r="AK1690">
        <v>3.0451663751638698</v>
      </c>
      <c r="AL1690">
        <v>78.102996613986406</v>
      </c>
      <c r="AM1690">
        <v>87.219231491025994</v>
      </c>
      <c r="AN1690">
        <v>0.99999995958822796</v>
      </c>
    </row>
    <row r="1691" spans="1:40" x14ac:dyDescent="0.25">
      <c r="A1691" t="str">
        <f>"20190303162536042"</f>
        <v>20190303162536042</v>
      </c>
      <c r="B1691" t="str">
        <f>"1551601536034909"</f>
        <v>1551601536034909</v>
      </c>
      <c r="C1691" t="s">
        <v>40</v>
      </c>
      <c r="D1691">
        <v>5.1185159999999996</v>
      </c>
      <c r="E1691">
        <v>0.4874039</v>
      </c>
      <c r="F1691" t="s">
        <v>53</v>
      </c>
      <c r="G1691">
        <v>0</v>
      </c>
      <c r="H1691">
        <v>0</v>
      </c>
      <c r="I1691">
        <v>0</v>
      </c>
      <c r="J1691">
        <v>-366.87819999999999</v>
      </c>
      <c r="K1691">
        <v>1.1209359999999999</v>
      </c>
      <c r="L1691">
        <v>284.15550000000002</v>
      </c>
      <c r="M1691">
        <v>-0.99989260000000002</v>
      </c>
      <c r="N1691">
        <v>-1.352157E-2</v>
      </c>
      <c r="O1691">
        <v>5.6705260000000004E-3</v>
      </c>
      <c r="P1691">
        <v>-0.97930159999999999</v>
      </c>
      <c r="Q1691">
        <v>0.19534270000000001</v>
      </c>
      <c r="R1691">
        <v>5.3008140000000002E-2</v>
      </c>
      <c r="S1691">
        <v>-3.0450439999999999</v>
      </c>
      <c r="T1691">
        <v>7.3117020000000005E-2</v>
      </c>
      <c r="U1691">
        <v>4.3334959999999999E-2</v>
      </c>
      <c r="V1691">
        <v>4.7606509999999998E-2</v>
      </c>
      <c r="W1691">
        <v>0.20853579999999999</v>
      </c>
      <c r="X1691">
        <v>0.97685540000000004</v>
      </c>
      <c r="Y1691">
        <v>8.5620850000000005E-3</v>
      </c>
      <c r="Z1691">
        <v>1.6790899999999999E-4</v>
      </c>
      <c r="AA1691">
        <v>0.9999633</v>
      </c>
      <c r="AB1691">
        <v>30</v>
      </c>
      <c r="AC1691">
        <v>-3.0450439999999999</v>
      </c>
      <c r="AD1691">
        <v>7.3117020000000005E-2</v>
      </c>
      <c r="AE1691">
        <v>4.3334959999999999E-2</v>
      </c>
      <c r="AF1691">
        <v>2.60506680802782E-2</v>
      </c>
      <c r="AG1691">
        <v>7.3117020000000005E-2</v>
      </c>
      <c r="AH1691">
        <v>3.0434863699939698</v>
      </c>
      <c r="AI1691">
        <v>88.623835595653802</v>
      </c>
      <c r="AJ1691">
        <v>89.509589758861196</v>
      </c>
      <c r="AK1691">
        <v>3.0444759845103402</v>
      </c>
      <c r="AL1691">
        <v>77.963440019310497</v>
      </c>
      <c r="AM1691">
        <v>87.209929188273307</v>
      </c>
      <c r="AN1691">
        <v>1.0000000160925899</v>
      </c>
    </row>
    <row r="1692" spans="1:40" x14ac:dyDescent="0.25">
      <c r="A1692" t="str">
        <f>"20190303162536064"</f>
        <v>20190303162536064</v>
      </c>
      <c r="B1692" t="str">
        <f>"1551601536054429"</f>
        <v>1551601536054429</v>
      </c>
      <c r="C1692" t="s">
        <v>40</v>
      </c>
      <c r="D1692">
        <v>4.8788390000000001</v>
      </c>
      <c r="E1692">
        <v>0.48747689999999999</v>
      </c>
      <c r="F1692" t="s">
        <v>53</v>
      </c>
      <c r="G1692">
        <v>0</v>
      </c>
      <c r="H1692">
        <v>0</v>
      </c>
      <c r="I1692">
        <v>0</v>
      </c>
      <c r="J1692">
        <v>-367.1662</v>
      </c>
      <c r="K1692">
        <v>1.120897</v>
      </c>
      <c r="L1692">
        <v>284.15750000000003</v>
      </c>
      <c r="M1692">
        <v>-0.99989320000000004</v>
      </c>
      <c r="N1692">
        <v>-1.3333009999999999E-2</v>
      </c>
      <c r="O1692">
        <v>5.9925760000000003E-3</v>
      </c>
      <c r="P1692">
        <v>-0.97894910000000002</v>
      </c>
      <c r="Q1692">
        <v>0.19701179999999999</v>
      </c>
      <c r="R1692">
        <v>5.3340640000000002E-2</v>
      </c>
      <c r="S1692">
        <v>-3.044861</v>
      </c>
      <c r="T1692">
        <v>8.1330299999999994E-2</v>
      </c>
      <c r="U1692">
        <v>4.2907710000000002E-2</v>
      </c>
      <c r="V1692">
        <v>4.762504E-2</v>
      </c>
      <c r="W1692">
        <v>0.21001619999999999</v>
      </c>
      <c r="X1692">
        <v>0.97653730000000005</v>
      </c>
      <c r="Y1692">
        <v>8.1010390000000009E-3</v>
      </c>
      <c r="Z1692">
        <v>1.8575340000000001E-4</v>
      </c>
      <c r="AA1692">
        <v>0.99996719999999895</v>
      </c>
      <c r="AB1692">
        <v>30</v>
      </c>
      <c r="AC1692">
        <v>-3.044861</v>
      </c>
      <c r="AD1692">
        <v>8.1330299999999994E-2</v>
      </c>
      <c r="AE1692">
        <v>4.2907710000000002E-2</v>
      </c>
      <c r="AF1692">
        <v>2.4641180243553499E-2</v>
      </c>
      <c r="AG1692">
        <v>8.1330299999999994E-2</v>
      </c>
      <c r="AH1692">
        <v>3.0428929161700702</v>
      </c>
      <c r="AI1692">
        <v>88.469015762594495</v>
      </c>
      <c r="AJ1692">
        <v>89.536032055973195</v>
      </c>
      <c r="AK1692">
        <v>3.04407935256949</v>
      </c>
      <c r="AL1692">
        <v>77.876698681614798</v>
      </c>
      <c r="AM1692">
        <v>87.207937158835506</v>
      </c>
      <c r="AN1692">
        <v>1.00000002349436</v>
      </c>
    </row>
    <row r="1693" spans="1:40" x14ac:dyDescent="0.25">
      <c r="A1693" t="str">
        <f>"20190303162536087"</f>
        <v>20190303162536087</v>
      </c>
      <c r="B1693" t="str">
        <f>"1551601536074924"</f>
        <v>1551601536074924</v>
      </c>
      <c r="C1693" t="s">
        <v>40</v>
      </c>
      <c r="D1693">
        <v>4.9250949999999998</v>
      </c>
      <c r="E1693">
        <v>0.49461929999999998</v>
      </c>
      <c r="F1693" t="s">
        <v>53</v>
      </c>
      <c r="G1693">
        <v>0</v>
      </c>
      <c r="H1693">
        <v>0</v>
      </c>
      <c r="I1693">
        <v>0</v>
      </c>
      <c r="J1693">
        <v>-367.4796</v>
      </c>
      <c r="K1693">
        <v>1.120854</v>
      </c>
      <c r="L1693">
        <v>284.15969999999999</v>
      </c>
      <c r="M1693">
        <v>-0.99989410000000001</v>
      </c>
      <c r="N1693">
        <v>-1.3093520000000001E-2</v>
      </c>
      <c r="O1693">
        <v>6.348383E-3</v>
      </c>
      <c r="P1693">
        <v>-0.97880339999999999</v>
      </c>
      <c r="Q1693">
        <v>0.19779649999999999</v>
      </c>
      <c r="R1693">
        <v>5.3110329999999997E-2</v>
      </c>
      <c r="S1693">
        <v>-3.045715</v>
      </c>
      <c r="T1693">
        <v>8.1655259999999993E-2</v>
      </c>
      <c r="U1693">
        <v>4.4158940000000001E-2</v>
      </c>
      <c r="V1693">
        <v>4.7044450000000002E-2</v>
      </c>
      <c r="W1693">
        <v>0.21056630000000001</v>
      </c>
      <c r="X1693">
        <v>0.97644690000000001</v>
      </c>
      <c r="Y1693">
        <v>8.1521879999999994E-3</v>
      </c>
      <c r="Z1693">
        <v>1.9738429999999999E-4</v>
      </c>
      <c r="AA1693">
        <v>0.99996669999999999</v>
      </c>
      <c r="AB1693">
        <v>30</v>
      </c>
      <c r="AC1693">
        <v>-3.045715</v>
      </c>
      <c r="AD1693">
        <v>8.1655259999999993E-2</v>
      </c>
      <c r="AE1693">
        <v>4.4158940000000001E-2</v>
      </c>
      <c r="AF1693">
        <v>2.4803202524584601E-2</v>
      </c>
      <c r="AG1693">
        <v>8.1655259999999993E-2</v>
      </c>
      <c r="AH1693">
        <v>3.04374668327804</v>
      </c>
      <c r="AI1693">
        <v>88.463333136970107</v>
      </c>
      <c r="AJ1693">
        <v>89.533112470946705</v>
      </c>
      <c r="AK1693">
        <v>3.0449427995131901</v>
      </c>
      <c r="AL1693">
        <v>77.844458428378104</v>
      </c>
      <c r="AM1693">
        <v>87.241666963519805</v>
      </c>
      <c r="AN1693">
        <v>0.99999994774555001</v>
      </c>
    </row>
    <row r="1694" spans="1:40" x14ac:dyDescent="0.25">
      <c r="A1694" t="str">
        <f>"20190303162536111"</f>
        <v>20190303162536111</v>
      </c>
      <c r="B1694" t="str">
        <f>"1551601536094445"</f>
        <v>1551601536094445</v>
      </c>
      <c r="C1694" t="s">
        <v>40</v>
      </c>
      <c r="D1694">
        <v>4.8585149999999997</v>
      </c>
      <c r="E1694">
        <v>0.49440269999999997</v>
      </c>
      <c r="F1694" t="s">
        <v>46</v>
      </c>
      <c r="G1694">
        <v>-493.93270000000001</v>
      </c>
      <c r="H1694" s="1">
        <v>3.5767559999999998E-6</v>
      </c>
      <c r="I1694">
        <v>288.15949999999998</v>
      </c>
      <c r="J1694">
        <v>-367.79</v>
      </c>
      <c r="K1694">
        <v>1.1208149999999999</v>
      </c>
      <c r="L1694">
        <v>284.16210000000001</v>
      </c>
      <c r="M1694">
        <v>-0.99989519999999998</v>
      </c>
      <c r="N1694">
        <v>-1.2842030000000001E-2</v>
      </c>
      <c r="O1694">
        <v>6.7024110000000001E-3</v>
      </c>
      <c r="P1694">
        <v>-0.97878569999999998</v>
      </c>
      <c r="Q1694">
        <v>0.1979418</v>
      </c>
      <c r="R1694">
        <v>5.2896690000000003E-2</v>
      </c>
      <c r="S1694">
        <v>-3.0652159999999999</v>
      </c>
      <c r="T1694">
        <v>-2.7169349999999998E-2</v>
      </c>
      <c r="U1694">
        <v>9.6954349999999995E-2</v>
      </c>
      <c r="V1694">
        <v>4.648178E-2</v>
      </c>
      <c r="W1694">
        <v>0.21046699999999999</v>
      </c>
      <c r="X1694">
        <v>0.97649529999999995</v>
      </c>
      <c r="Y1694">
        <v>2.491204E-2</v>
      </c>
      <c r="Z1694">
        <v>2.9705969999999998E-4</v>
      </c>
      <c r="AA1694">
        <v>0.99968959999999996</v>
      </c>
      <c r="AB1694">
        <v>30</v>
      </c>
      <c r="AC1694">
        <v>-126.1427</v>
      </c>
      <c r="AD1694">
        <v>-1.1208114232439901</v>
      </c>
      <c r="AE1694">
        <v>3.9973999999999701</v>
      </c>
      <c r="AF1694">
        <v>3.1515318023904899</v>
      </c>
      <c r="AG1694">
        <v>-1.1208114232439901</v>
      </c>
      <c r="AH1694">
        <v>126.156710792781</v>
      </c>
      <c r="AI1694">
        <v>90.5088595567737</v>
      </c>
      <c r="AJ1694">
        <v>88.568986758943296</v>
      </c>
      <c r="AK1694">
        <v>126.20104614860099</v>
      </c>
      <c r="AL1694">
        <v>77.8502788731587</v>
      </c>
      <c r="AM1694">
        <v>87.274742543006596</v>
      </c>
      <c r="AN1694">
        <v>0.99999999244152904</v>
      </c>
    </row>
    <row r="1695" spans="1:40" x14ac:dyDescent="0.25">
      <c r="A1695" t="str">
        <f>"20190303162536134"</f>
        <v>20190303162536134</v>
      </c>
      <c r="B1695" t="str">
        <f>"1551601536124701"</f>
        <v>1551601536124701</v>
      </c>
      <c r="C1695" t="s">
        <v>40</v>
      </c>
      <c r="D1695">
        <v>4.8951330000000004</v>
      </c>
      <c r="E1695">
        <v>0.49419370000000001</v>
      </c>
      <c r="F1695" t="s">
        <v>46</v>
      </c>
      <c r="G1695">
        <v>-475.81270000000001</v>
      </c>
      <c r="H1695" s="1">
        <v>4.2881520000000002E-6</v>
      </c>
      <c r="I1695">
        <v>287.49590000000001</v>
      </c>
      <c r="J1695">
        <v>-368.10860000000002</v>
      </c>
      <c r="K1695">
        <v>1.120781</v>
      </c>
      <c r="L1695">
        <v>284.16460000000001</v>
      </c>
      <c r="M1695">
        <v>-0.9998958</v>
      </c>
      <c r="N1695">
        <v>-1.259447E-2</v>
      </c>
      <c r="O1695">
        <v>7.062029E-3</v>
      </c>
      <c r="P1695">
        <v>-0.97888609999999998</v>
      </c>
      <c r="Q1695">
        <v>0.1973519</v>
      </c>
      <c r="R1695">
        <v>5.323754E-2</v>
      </c>
      <c r="S1695">
        <v>-3.066376</v>
      </c>
      <c r="T1695">
        <v>-3.181577E-2</v>
      </c>
      <c r="U1695">
        <v>9.4635010000000006E-2</v>
      </c>
      <c r="V1695">
        <v>4.646803E-2</v>
      </c>
      <c r="W1695">
        <v>0.20963670000000001</v>
      </c>
      <c r="X1695">
        <v>0.97667459999999995</v>
      </c>
      <c r="Y1695">
        <v>2.3784670000000001E-2</v>
      </c>
      <c r="Z1695">
        <v>2.8886329999999998E-4</v>
      </c>
      <c r="AA1695">
        <v>0.99971710000000003</v>
      </c>
      <c r="AB1695">
        <v>30</v>
      </c>
      <c r="AC1695">
        <v>-107.704099999999</v>
      </c>
      <c r="AD1695">
        <v>-1.1207767118480001</v>
      </c>
      <c r="AE1695">
        <v>3.3312999999999899</v>
      </c>
      <c r="AF1695">
        <v>2.5702690875109702</v>
      </c>
      <c r="AG1695">
        <v>-1.1207767118480001</v>
      </c>
      <c r="AH1695">
        <v>107.713288688359</v>
      </c>
      <c r="AI1695">
        <v>90.595982039891098</v>
      </c>
      <c r="AJ1695">
        <v>88.633059753479401</v>
      </c>
      <c r="AK1695">
        <v>107.749779506419</v>
      </c>
      <c r="AL1695">
        <v>77.898937809496303</v>
      </c>
      <c r="AM1695">
        <v>87.276046907152903</v>
      </c>
      <c r="AN1695">
        <v>1.00000004904206</v>
      </c>
    </row>
    <row r="1696" spans="1:40" x14ac:dyDescent="0.25">
      <c r="A1696" t="str">
        <f>"20190303162536154"</f>
        <v>20190303162536154</v>
      </c>
      <c r="B1696" t="str">
        <f>"1551601536144220"</f>
        <v>1551601536144220</v>
      </c>
      <c r="C1696" t="s">
        <v>40</v>
      </c>
      <c r="D1696">
        <v>4.8593679999999999</v>
      </c>
      <c r="E1696">
        <v>0.49419000000000002</v>
      </c>
      <c r="F1696" t="s">
        <v>48</v>
      </c>
      <c r="G1696">
        <v>-463.39519999999999</v>
      </c>
      <c r="H1696" s="1">
        <v>1.620835E-7</v>
      </c>
      <c r="I1696">
        <v>287.08499999999998</v>
      </c>
      <c r="J1696">
        <v>-368.39420000000001</v>
      </c>
      <c r="K1696">
        <v>1.1207560000000001</v>
      </c>
      <c r="L1696">
        <v>284.1669</v>
      </c>
      <c r="M1696">
        <v>-0.99989600000000001</v>
      </c>
      <c r="N1696">
        <v>-1.239153E-2</v>
      </c>
      <c r="O1696">
        <v>7.3778719999999997E-3</v>
      </c>
      <c r="P1696">
        <v>-0.97901709999999997</v>
      </c>
      <c r="Q1696">
        <v>0.19658919999999999</v>
      </c>
      <c r="R1696">
        <v>5.3647479999999997E-2</v>
      </c>
      <c r="S1696">
        <v>-3.0668639999999998</v>
      </c>
      <c r="T1696">
        <v>-3.6073090000000002E-2</v>
      </c>
      <c r="U1696">
        <v>9.3994140000000004E-2</v>
      </c>
      <c r="V1696">
        <v>4.6566799999999998E-2</v>
      </c>
      <c r="W1696">
        <v>0.208678</v>
      </c>
      <c r="X1696">
        <v>0.9768751</v>
      </c>
      <c r="Y1696">
        <v>2.3254799999999999E-2</v>
      </c>
      <c r="Z1696">
        <v>2.8551269999999999E-4</v>
      </c>
      <c r="AA1696">
        <v>0.99972950000000005</v>
      </c>
      <c r="AB1696">
        <v>30</v>
      </c>
      <c r="AC1696">
        <v>-95.000999999999905</v>
      </c>
      <c r="AD1696">
        <v>-1.1207558379164999</v>
      </c>
      <c r="AE1696">
        <v>2.9180999999999799</v>
      </c>
      <c r="AF1696">
        <v>2.21675329904616</v>
      </c>
      <c r="AG1696">
        <v>-1.1207558379164999</v>
      </c>
      <c r="AH1696">
        <v>95.006734761221395</v>
      </c>
      <c r="AI1696">
        <v>90.675679794025996</v>
      </c>
      <c r="AJ1696">
        <v>88.663383522284207</v>
      </c>
      <c r="AK1696">
        <v>95.039201063698698</v>
      </c>
      <c r="AL1696">
        <v>77.955108689019397</v>
      </c>
      <c r="AM1696">
        <v>87.270825184624996</v>
      </c>
      <c r="AN1696">
        <v>0.99999996777312405</v>
      </c>
    </row>
    <row r="1697" spans="1:40" x14ac:dyDescent="0.25">
      <c r="A1697" t="str">
        <f>"20190303162536178"</f>
        <v>20190303162536178</v>
      </c>
      <c r="B1697" t="str">
        <f>"1551601536164717"</f>
        <v>1551601536164717</v>
      </c>
      <c r="C1697" t="s">
        <v>40</v>
      </c>
      <c r="D1697">
        <v>4.8686299999999996</v>
      </c>
      <c r="E1697">
        <v>0.49405850000000001</v>
      </c>
      <c r="F1697" t="s">
        <v>48</v>
      </c>
      <c r="G1697">
        <v>-456.40839999999997</v>
      </c>
      <c r="H1697" s="1">
        <v>1.7735930000000001E-6</v>
      </c>
      <c r="I1697">
        <v>286.90030000000002</v>
      </c>
      <c r="J1697">
        <v>-368.70479999999998</v>
      </c>
      <c r="K1697">
        <v>1.1207389999999999</v>
      </c>
      <c r="L1697">
        <v>284.1696</v>
      </c>
      <c r="M1697">
        <v>-0.99989589999999995</v>
      </c>
      <c r="N1697">
        <v>-1.2189409999999999E-2</v>
      </c>
      <c r="O1697">
        <v>7.7137109999999998E-3</v>
      </c>
      <c r="P1697">
        <v>-0.97920419999999997</v>
      </c>
      <c r="Q1697">
        <v>0.19555520000000001</v>
      </c>
      <c r="R1697">
        <v>5.401545E-2</v>
      </c>
      <c r="S1697">
        <v>-3.0668950000000001</v>
      </c>
      <c r="T1697">
        <v>-3.9053200000000003E-2</v>
      </c>
      <c r="U1697">
        <v>9.5245360000000001E-2</v>
      </c>
      <c r="V1697">
        <v>4.6603470000000001E-2</v>
      </c>
      <c r="W1697">
        <v>0.2074491</v>
      </c>
      <c r="X1697">
        <v>0.97713510000000003</v>
      </c>
      <c r="Y1697">
        <v>2.3325809999999999E-2</v>
      </c>
      <c r="Z1697">
        <v>2.8650220000000002E-4</v>
      </c>
      <c r="AA1697">
        <v>0.9997279</v>
      </c>
      <c r="AB1697">
        <v>30</v>
      </c>
      <c r="AC1697">
        <v>-87.703599999999994</v>
      </c>
      <c r="AD1697">
        <v>-1.1207372264069999</v>
      </c>
      <c r="AE1697">
        <v>2.7307000000000099</v>
      </c>
      <c r="AF1697">
        <v>2.0537131855285899</v>
      </c>
      <c r="AG1697">
        <v>-1.1207372264069999</v>
      </c>
      <c r="AH1697">
        <v>87.707747367786496</v>
      </c>
      <c r="AI1697">
        <v>90.731890020344096</v>
      </c>
      <c r="AJ1697">
        <v>88.658640733609701</v>
      </c>
      <c r="AK1697">
        <v>87.738946529523204</v>
      </c>
      <c r="AL1697">
        <v>78.027095365220802</v>
      </c>
      <c r="AM1697">
        <v>87.269404952642702</v>
      </c>
      <c r="AN1697">
        <v>1.00000000807943</v>
      </c>
    </row>
    <row r="1698" spans="1:40" x14ac:dyDescent="0.25">
      <c r="A1698" t="str">
        <f>"20190303162536199"</f>
        <v>20190303162536199</v>
      </c>
      <c r="B1698" t="str">
        <f>"1551601536184236"</f>
        <v>1551601536184236</v>
      </c>
      <c r="C1698" t="s">
        <v>40</v>
      </c>
      <c r="D1698">
        <v>4.8731159999999996</v>
      </c>
      <c r="E1698">
        <v>0.50052489999999905</v>
      </c>
      <c r="F1698" t="s">
        <v>48</v>
      </c>
      <c r="G1698">
        <v>-450.15109999999999</v>
      </c>
      <c r="H1698" s="1">
        <v>-1.5479639999999999E-6</v>
      </c>
      <c r="I1698">
        <v>286.71109999999999</v>
      </c>
      <c r="J1698">
        <v>-368.99799999999999</v>
      </c>
      <c r="K1698">
        <v>1.12073</v>
      </c>
      <c r="L1698">
        <v>284.17219999999998</v>
      </c>
      <c r="M1698">
        <v>-0.9998956</v>
      </c>
      <c r="N1698">
        <v>-1.2022100000000001E-2</v>
      </c>
      <c r="O1698">
        <v>8.0200849999999997E-3</v>
      </c>
      <c r="P1698">
        <v>-0.97934670000000001</v>
      </c>
      <c r="Q1698">
        <v>0.19470290000000001</v>
      </c>
      <c r="R1698">
        <v>5.4507130000000001E-2</v>
      </c>
      <c r="S1698">
        <v>-3.0668950000000001</v>
      </c>
      <c r="T1698">
        <v>-4.2202000000000003E-2</v>
      </c>
      <c r="U1698">
        <v>9.5703129999999997E-2</v>
      </c>
      <c r="V1698">
        <v>4.6791109999999997E-2</v>
      </c>
      <c r="W1698">
        <v>0.20643529999999999</v>
      </c>
      <c r="X1698">
        <v>0.97734080000000001</v>
      </c>
      <c r="Y1698">
        <v>2.316818E-2</v>
      </c>
      <c r="Z1698">
        <v>2.8475050000000002E-4</v>
      </c>
      <c r="AA1698">
        <v>0.9997315</v>
      </c>
      <c r="AB1698">
        <v>30</v>
      </c>
      <c r="AC1698">
        <v>-81.153099999999895</v>
      </c>
      <c r="AD1698">
        <v>-1.1207315479639901</v>
      </c>
      <c r="AE1698">
        <v>2.5389000000000101</v>
      </c>
      <c r="AF1698">
        <v>1.8875569147536999</v>
      </c>
      <c r="AG1698">
        <v>-1.1207315479639901</v>
      </c>
      <c r="AH1698">
        <v>81.155390585427398</v>
      </c>
      <c r="AI1698">
        <v>90.790973312378696</v>
      </c>
      <c r="AJ1698">
        <v>88.667623322270501</v>
      </c>
      <c r="AK1698">
        <v>81.185074560428305</v>
      </c>
      <c r="AL1698">
        <v>78.086466821328798</v>
      </c>
      <c r="AM1698">
        <v>87.259003607776293</v>
      </c>
      <c r="AN1698">
        <v>0.999999990202881</v>
      </c>
    </row>
    <row r="1699" spans="1:40" x14ac:dyDescent="0.25">
      <c r="A1699" t="str">
        <f>"20190303162536222"</f>
        <v>20190303162536222</v>
      </c>
      <c r="B1699" t="str">
        <f>"1551601536214493"</f>
        <v>1551601536214493</v>
      </c>
      <c r="C1699" t="s">
        <v>40</v>
      </c>
      <c r="D1699">
        <v>4.7734129999999997</v>
      </c>
      <c r="E1699">
        <v>0.49781370000000003</v>
      </c>
      <c r="F1699" t="s">
        <v>48</v>
      </c>
      <c r="G1699">
        <v>-394.76530000000002</v>
      </c>
      <c r="H1699" s="1">
        <v>9.9904150000000007E-7</v>
      </c>
      <c r="I1699">
        <v>285.39850000000001</v>
      </c>
      <c r="J1699">
        <v>-369.30880000000002</v>
      </c>
      <c r="K1699">
        <v>1.1207309999999999</v>
      </c>
      <c r="L1699">
        <v>284.17500000000001</v>
      </c>
      <c r="M1699">
        <v>-0.99989490000000003</v>
      </c>
      <c r="N1699">
        <v>-1.186925E-2</v>
      </c>
      <c r="O1699">
        <v>8.3324490000000005E-3</v>
      </c>
      <c r="P1699">
        <v>-0.97948139999999995</v>
      </c>
      <c r="Q1699">
        <v>0.19397059999999999</v>
      </c>
      <c r="R1699">
        <v>5.4696649999999999E-2</v>
      </c>
      <c r="S1699">
        <v>-3.0817570000000001</v>
      </c>
      <c r="T1699">
        <v>-0.13403870000000001</v>
      </c>
      <c r="U1699">
        <v>0.14666750000000001</v>
      </c>
      <c r="V1699">
        <v>4.6668920000000003E-2</v>
      </c>
      <c r="W1699">
        <v>0.20555670000000001</v>
      </c>
      <c r="X1699">
        <v>0.97753179999999995</v>
      </c>
      <c r="Y1699">
        <v>3.9170200000000002E-2</v>
      </c>
      <c r="Z1699">
        <v>8.2049800000000002E-4</v>
      </c>
      <c r="AA1699">
        <v>0.99923220000000001</v>
      </c>
      <c r="AB1699">
        <v>30</v>
      </c>
      <c r="AC1699">
        <v>-25.456499999999998</v>
      </c>
      <c r="AD1699">
        <v>-1.1207300009585</v>
      </c>
      <c r="AE1699">
        <v>1.2235</v>
      </c>
      <c r="AF1699">
        <v>1.0093757112664701</v>
      </c>
      <c r="AG1699">
        <v>-1.1207300009585</v>
      </c>
      <c r="AH1699">
        <v>25.4166618889247</v>
      </c>
      <c r="AI1699">
        <v>92.522795977827101</v>
      </c>
      <c r="AJ1699">
        <v>87.725799173139606</v>
      </c>
      <c r="AK1699">
        <v>25.461374209524902</v>
      </c>
      <c r="AL1699">
        <v>78.137910117993698</v>
      </c>
      <c r="AM1699">
        <v>87.266683911447103</v>
      </c>
      <c r="AN1699">
        <v>0.99999998251004796</v>
      </c>
    </row>
    <row r="1700" spans="1:40" x14ac:dyDescent="0.25">
      <c r="A1700" t="str">
        <f>"20190303162536243"</f>
        <v>20190303162536243</v>
      </c>
      <c r="B1700" t="str">
        <f>"1551601536234989"</f>
        <v>1551601536234989</v>
      </c>
      <c r="C1700" t="s">
        <v>40</v>
      </c>
      <c r="D1700">
        <v>4.7534229999999997</v>
      </c>
      <c r="E1700">
        <v>0.4974594</v>
      </c>
      <c r="F1700" t="s">
        <v>48</v>
      </c>
      <c r="G1700">
        <v>-398.22629999999998</v>
      </c>
      <c r="H1700" s="1">
        <v>2.8408629999999998E-6</v>
      </c>
      <c r="I1700">
        <v>285.36169999999998</v>
      </c>
      <c r="J1700">
        <v>-369.60980000000001</v>
      </c>
      <c r="K1700">
        <v>1.1207339999999999</v>
      </c>
      <c r="L1700">
        <v>284.17779999999999</v>
      </c>
      <c r="M1700">
        <v>-0.99989399999999995</v>
      </c>
      <c r="N1700">
        <v>-1.1739889999999999E-2</v>
      </c>
      <c r="O1700">
        <v>8.6242709999999993E-3</v>
      </c>
      <c r="P1700">
        <v>-0.9794602</v>
      </c>
      <c r="Q1700">
        <v>0.19410669999999999</v>
      </c>
      <c r="R1700">
        <v>5.4593599999999999E-2</v>
      </c>
      <c r="S1700">
        <v>-3.079437</v>
      </c>
      <c r="T1700">
        <v>-0.1193466</v>
      </c>
      <c r="U1700">
        <v>0.12637329999999999</v>
      </c>
      <c r="V1700">
        <v>4.6275469999999999E-2</v>
      </c>
      <c r="W1700">
        <v>0.2055679</v>
      </c>
      <c r="X1700">
        <v>0.97754819999999998</v>
      </c>
      <c r="Y1700">
        <v>3.2355670000000003E-2</v>
      </c>
      <c r="Z1700">
        <v>5.8382390000000001E-4</v>
      </c>
      <c r="AA1700">
        <v>0.99947629999999998</v>
      </c>
      <c r="AB1700">
        <v>31</v>
      </c>
      <c r="AC1700">
        <v>-28.616499999999899</v>
      </c>
      <c r="AD1700">
        <v>-1.1207311591369999</v>
      </c>
      <c r="AE1700">
        <v>1.18389999999999</v>
      </c>
      <c r="AF1700">
        <v>0.93560994102632</v>
      </c>
      <c r="AG1700">
        <v>-1.1207311591369999</v>
      </c>
      <c r="AH1700">
        <v>28.581882491430399</v>
      </c>
      <c r="AI1700">
        <v>92.244287545933901</v>
      </c>
      <c r="AJ1700">
        <v>88.125128180225502</v>
      </c>
      <c r="AK1700">
        <v>28.6191441354689</v>
      </c>
      <c r="AL1700">
        <v>78.1372549971626</v>
      </c>
      <c r="AM1700">
        <v>87.289738477981402</v>
      </c>
      <c r="AN1700">
        <v>1.0000000319786799</v>
      </c>
    </row>
    <row r="1701" spans="1:40" x14ac:dyDescent="0.25">
      <c r="A1701" t="str">
        <f>"20190303162536288"</f>
        <v>20190303162536288</v>
      </c>
      <c r="B1701" t="str">
        <f>"1551601536275006"</f>
        <v>1551601536275006</v>
      </c>
      <c r="C1701" t="s">
        <v>40</v>
      </c>
      <c r="D1701">
        <v>4.7942049999999998</v>
      </c>
      <c r="E1701">
        <v>0.49724449999999998</v>
      </c>
      <c r="F1701" t="s">
        <v>48</v>
      </c>
      <c r="G1701">
        <v>-399.4753</v>
      </c>
      <c r="H1701" s="1">
        <v>3.5055000000000001E-6</v>
      </c>
      <c r="I1701">
        <v>285.37189999999998</v>
      </c>
      <c r="J1701">
        <v>-370.21640000000002</v>
      </c>
      <c r="K1701">
        <v>1.120746</v>
      </c>
      <c r="L1701">
        <v>284.18369999999999</v>
      </c>
      <c r="M1701">
        <v>-0.99989159999999999</v>
      </c>
      <c r="N1701">
        <v>-1.152624E-2</v>
      </c>
      <c r="O1701">
        <v>9.1626940000000007E-3</v>
      </c>
      <c r="P1701">
        <v>-0.9793212</v>
      </c>
      <c r="Q1701">
        <v>0.19486500000000001</v>
      </c>
      <c r="R1701">
        <v>5.4387070000000003E-2</v>
      </c>
      <c r="S1701">
        <v>-3.0789490000000002</v>
      </c>
      <c r="T1701">
        <v>-0.1155404</v>
      </c>
      <c r="U1701">
        <v>0.12310790000000001</v>
      </c>
      <c r="V1701">
        <v>4.5530979999999999E-2</v>
      </c>
      <c r="W1701">
        <v>0.20611850000000001</v>
      </c>
      <c r="X1701">
        <v>0.97746719999999998</v>
      </c>
      <c r="Y1701">
        <v>3.0768980000000001E-2</v>
      </c>
      <c r="Z1701">
        <v>5.1635910000000001E-4</v>
      </c>
      <c r="AA1701">
        <v>0.99952640000000004</v>
      </c>
      <c r="AB1701">
        <v>31</v>
      </c>
      <c r="AC1701">
        <v>-29.258899999999901</v>
      </c>
      <c r="AD1701">
        <v>-1.1207424945</v>
      </c>
      <c r="AE1701">
        <v>1.1881999999999899</v>
      </c>
      <c r="AF1701">
        <v>0.91869624815951201</v>
      </c>
      <c r="AG1701">
        <v>-1.1207424945</v>
      </c>
      <c r="AH1701">
        <v>29.225749384463501</v>
      </c>
      <c r="AI1701">
        <v>92.195006516514098</v>
      </c>
      <c r="AJ1701">
        <v>88.199529812676701</v>
      </c>
      <c r="AK1701">
        <v>29.2616556882694</v>
      </c>
      <c r="AL1701">
        <v>78.105017391517507</v>
      </c>
      <c r="AM1701">
        <v>87.333057643446196</v>
      </c>
      <c r="AN1701">
        <v>1.00000001662892</v>
      </c>
    </row>
    <row r="1702" spans="1:40" x14ac:dyDescent="0.25">
      <c r="A1702" t="str">
        <f>"20190303162536311"</f>
        <v>20190303162536311</v>
      </c>
      <c r="B1702" t="str">
        <f>"1551601536304287"</f>
        <v>1551601536304287</v>
      </c>
      <c r="C1702" t="s">
        <v>40</v>
      </c>
      <c r="D1702">
        <v>4.7275260000000001</v>
      </c>
      <c r="E1702">
        <v>0.51902609999999905</v>
      </c>
      <c r="F1702" t="s">
        <v>51</v>
      </c>
      <c r="G1702">
        <v>-401.86169999999998</v>
      </c>
      <c r="H1702" s="1">
        <v>7.4083619999999901E-6</v>
      </c>
      <c r="I1702">
        <v>285.43079999999998</v>
      </c>
      <c r="J1702">
        <v>-370.529</v>
      </c>
      <c r="K1702">
        <v>1.120768</v>
      </c>
      <c r="L1702">
        <v>284.18689999999998</v>
      </c>
      <c r="M1702">
        <v>-0.99989039999999996</v>
      </c>
      <c r="N1702">
        <v>-1.143744E-2</v>
      </c>
      <c r="O1702">
        <v>9.4059690000000001E-3</v>
      </c>
      <c r="P1702">
        <v>-0.97943230000000003</v>
      </c>
      <c r="Q1702">
        <v>0.19425899999999999</v>
      </c>
      <c r="R1702">
        <v>5.4550729999999999E-2</v>
      </c>
      <c r="S1702">
        <v>-3.0782780000000001</v>
      </c>
      <c r="T1702">
        <v>-0.1090189</v>
      </c>
      <c r="U1702">
        <v>0.121307399999999</v>
      </c>
      <c r="V1702">
        <v>4.544662E-2</v>
      </c>
      <c r="W1702">
        <v>0.20542929999999901</v>
      </c>
      <c r="X1702">
        <v>0.97761620000000005</v>
      </c>
      <c r="Y1702">
        <v>2.9953839999999999E-2</v>
      </c>
      <c r="Z1702">
        <v>4.7614510000000001E-4</v>
      </c>
      <c r="AA1702">
        <v>0.99955119999999997</v>
      </c>
      <c r="AB1702">
        <v>31</v>
      </c>
      <c r="AC1702">
        <v>-31.3326999999999</v>
      </c>
      <c r="AD1702">
        <v>-1.1207605916379999</v>
      </c>
      <c r="AE1702">
        <v>1.24389999999999</v>
      </c>
      <c r="AF1702">
        <v>0.94790039606119103</v>
      </c>
      <c r="AG1702">
        <v>-1.1207605916379999</v>
      </c>
      <c r="AH1702">
        <v>31.3030263457259</v>
      </c>
      <c r="AI1702">
        <v>92.049579797204103</v>
      </c>
      <c r="AJ1702">
        <v>88.265531891832197</v>
      </c>
      <c r="AK1702">
        <v>31.337422961466299</v>
      </c>
      <c r="AL1702">
        <v>78.145369151946198</v>
      </c>
      <c r="AM1702">
        <v>87.338396988858904</v>
      </c>
      <c r="AN1702">
        <v>1.0000000135351701</v>
      </c>
    </row>
    <row r="1703" spans="1:40" x14ac:dyDescent="0.25">
      <c r="A1703" t="str">
        <f>"20190303162536334"</f>
        <v>20190303162536334</v>
      </c>
      <c r="B1703" t="str">
        <f>"1551601536324780"</f>
        <v>1551601536324780</v>
      </c>
      <c r="C1703" t="s">
        <v>40</v>
      </c>
      <c r="D1703">
        <v>4.7144380000000004</v>
      </c>
      <c r="E1703">
        <v>0.5195845</v>
      </c>
      <c r="F1703" t="s">
        <v>51</v>
      </c>
      <c r="G1703">
        <v>-409.98090000000002</v>
      </c>
      <c r="H1703" s="1">
        <v>1.9066690000000001E-6</v>
      </c>
      <c r="I1703">
        <v>287.99869999999999</v>
      </c>
      <c r="J1703">
        <v>-370.84609999999998</v>
      </c>
      <c r="K1703">
        <v>1.1207849999999999</v>
      </c>
      <c r="L1703">
        <v>284.19009999999997</v>
      </c>
      <c r="M1703">
        <v>-0.99988929999999998</v>
      </c>
      <c r="N1703">
        <v>-1.1359879999999999E-2</v>
      </c>
      <c r="O1703">
        <v>9.6267290000000005E-3</v>
      </c>
      <c r="P1703">
        <v>-0.97946960000000005</v>
      </c>
      <c r="Q1703">
        <v>0.19392400000000001</v>
      </c>
      <c r="R1703">
        <v>5.5074579999999998E-2</v>
      </c>
      <c r="S1703">
        <v>-3.0637819999999998</v>
      </c>
      <c r="T1703">
        <v>-8.7037089999999998E-2</v>
      </c>
      <c r="U1703">
        <v>0.29602050000000002</v>
      </c>
      <c r="V1703">
        <v>4.5744E-2</v>
      </c>
      <c r="W1703">
        <v>0.20502090000000001</v>
      </c>
      <c r="X1703">
        <v>0.977688</v>
      </c>
      <c r="Y1703">
        <v>8.6537149999999993E-2</v>
      </c>
      <c r="Z1703">
        <v>1.555264E-3</v>
      </c>
      <c r="AA1703">
        <v>0.99624740000000001</v>
      </c>
      <c r="AB1703">
        <v>31</v>
      </c>
      <c r="AC1703">
        <v>-39.134799999999998</v>
      </c>
      <c r="AD1703">
        <v>-1.1207830933309999</v>
      </c>
      <c r="AE1703">
        <v>3.80860000000001</v>
      </c>
      <c r="AF1703">
        <v>3.4288731750867201</v>
      </c>
      <c r="AG1703">
        <v>-1.1207830933309999</v>
      </c>
      <c r="AH1703">
        <v>39.137853579690997</v>
      </c>
      <c r="AI1703">
        <v>91.634064030947002</v>
      </c>
      <c r="AJ1703">
        <v>84.993092354023204</v>
      </c>
      <c r="AK1703">
        <v>39.3037518415031</v>
      </c>
      <c r="AL1703">
        <v>78.169276932612604</v>
      </c>
      <c r="AM1703">
        <v>87.321202532599003</v>
      </c>
      <c r="AN1703">
        <v>0.99999995415840404</v>
      </c>
    </row>
    <row r="1704" spans="1:40" x14ac:dyDescent="0.25">
      <c r="A1704" t="str">
        <f>"20190303162536356"</f>
        <v>20190303162536356</v>
      </c>
      <c r="B1704" t="str">
        <f>"1551601536344300"</f>
        <v>1551601536344300</v>
      </c>
      <c r="C1704" t="s">
        <v>40</v>
      </c>
      <c r="D1704">
        <v>4.6486929999999997</v>
      </c>
      <c r="E1704">
        <v>0.51972569999999996</v>
      </c>
      <c r="F1704" t="s">
        <v>51</v>
      </c>
      <c r="G1704">
        <v>-409.10129999999998</v>
      </c>
      <c r="H1704" s="1">
        <v>3.6739480000000001E-6</v>
      </c>
      <c r="I1704">
        <v>287.9665</v>
      </c>
      <c r="J1704">
        <v>-371.14280000000002</v>
      </c>
      <c r="K1704">
        <v>1.1207940000000001</v>
      </c>
      <c r="L1704">
        <v>284.19319999999999</v>
      </c>
      <c r="M1704">
        <v>-0.99988809999999995</v>
      </c>
      <c r="N1704">
        <v>-1.12975E-2</v>
      </c>
      <c r="O1704">
        <v>9.8092049999999997E-3</v>
      </c>
      <c r="P1704">
        <v>-0.97953369999999995</v>
      </c>
      <c r="Q1704">
        <v>0.19362989999999999</v>
      </c>
      <c r="R1704">
        <v>5.4964970000000002E-2</v>
      </c>
      <c r="S1704">
        <v>-3.06366</v>
      </c>
      <c r="T1704">
        <v>-8.9757439999999994E-2</v>
      </c>
      <c r="U1704">
        <v>0.30242920000000001</v>
      </c>
      <c r="V1704">
        <v>4.5445369999999999E-2</v>
      </c>
      <c r="W1704">
        <v>0.20466899999999999</v>
      </c>
      <c r="X1704">
        <v>0.97777570000000003</v>
      </c>
      <c r="Y1704">
        <v>8.8419799999999896E-2</v>
      </c>
      <c r="Z1704">
        <v>1.6166240000000001E-3</v>
      </c>
      <c r="AA1704">
        <v>0.99608200000000002</v>
      </c>
      <c r="AB1704">
        <v>31</v>
      </c>
      <c r="AC1704">
        <v>-37.958499999999901</v>
      </c>
      <c r="AD1704">
        <v>-1.120790326052</v>
      </c>
      <c r="AE1704">
        <v>3.7732999999999999</v>
      </c>
      <c r="AF1704">
        <v>3.39781865184105</v>
      </c>
      <c r="AG1704">
        <v>-1.120790326052</v>
      </c>
      <c r="AH1704">
        <v>37.960917418370201</v>
      </c>
      <c r="AI1704">
        <v>91.684427669305606</v>
      </c>
      <c r="AJ1704">
        <v>84.885180442099497</v>
      </c>
      <c r="AK1704">
        <v>38.129156741135702</v>
      </c>
      <c r="AL1704">
        <v>78.189876689801196</v>
      </c>
      <c r="AM1704">
        <v>87.3389036292821</v>
      </c>
      <c r="AN1704">
        <v>1.0000000003629601</v>
      </c>
    </row>
    <row r="1705" spans="1:40" x14ac:dyDescent="0.25">
      <c r="A1705" t="str">
        <f>"20190303162536377"</f>
        <v>20190303162536377</v>
      </c>
      <c r="B1705" t="str">
        <f>"1551601536364797"</f>
        <v>1551601536364797</v>
      </c>
      <c r="C1705" t="s">
        <v>40</v>
      </c>
      <c r="D1705">
        <v>4.630706</v>
      </c>
      <c r="E1705">
        <v>0.51981259999999996</v>
      </c>
      <c r="F1705" t="s">
        <v>51</v>
      </c>
      <c r="G1705">
        <v>-409.48480000000001</v>
      </c>
      <c r="H1705" s="1">
        <v>3.4984190000000001E-6</v>
      </c>
      <c r="I1705">
        <v>287.99299999999999</v>
      </c>
      <c r="J1705">
        <v>-371.4384</v>
      </c>
      <c r="K1705">
        <v>1.1208279999999999</v>
      </c>
      <c r="L1705">
        <v>284.19619999999998</v>
      </c>
      <c r="M1705">
        <v>-0.99988719999999998</v>
      </c>
      <c r="N1705">
        <v>-1.1243599999999999E-2</v>
      </c>
      <c r="O1705">
        <v>9.9652170000000002E-3</v>
      </c>
      <c r="P1705">
        <v>-0.97948060000000003</v>
      </c>
      <c r="Q1705">
        <v>0.19403029999999999</v>
      </c>
      <c r="R1705">
        <v>5.450195E-2</v>
      </c>
      <c r="S1705">
        <v>-3.0633539999999999</v>
      </c>
      <c r="T1705">
        <v>-8.9546199999999895E-2</v>
      </c>
      <c r="U1705">
        <v>0.30358889999999999</v>
      </c>
      <c r="V1705">
        <v>4.4820150000000003E-2</v>
      </c>
      <c r="W1705">
        <v>0.2050186</v>
      </c>
      <c r="X1705">
        <v>0.97773129999999997</v>
      </c>
      <c r="Y1705">
        <v>8.8647690000000001E-2</v>
      </c>
      <c r="Z1705">
        <v>1.613239E-3</v>
      </c>
      <c r="AA1705">
        <v>0.99606170000000005</v>
      </c>
      <c r="AB1705">
        <v>31</v>
      </c>
      <c r="AC1705">
        <v>-38.046399999999998</v>
      </c>
      <c r="AD1705">
        <v>-1.1208245015809899</v>
      </c>
      <c r="AE1705">
        <v>3.7968000000000099</v>
      </c>
      <c r="AF1705">
        <v>3.4145127880378801</v>
      </c>
      <c r="AG1705">
        <v>-1.1208245015809899</v>
      </c>
      <c r="AH1705">
        <v>38.049652892830501</v>
      </c>
      <c r="AI1705">
        <v>91.680518542736493</v>
      </c>
      <c r="AJ1705">
        <v>84.872107194103293</v>
      </c>
      <c r="AK1705">
        <v>38.218990442028897</v>
      </c>
      <c r="AL1705">
        <v>78.169411926261603</v>
      </c>
      <c r="AM1705">
        <v>87.375343410498502</v>
      </c>
      <c r="AN1705">
        <v>0.99999998359583597</v>
      </c>
    </row>
    <row r="1706" spans="1:40" x14ac:dyDescent="0.25">
      <c r="A1706" t="str">
        <f>"20190303162536400"</f>
        <v>20190303162536400</v>
      </c>
      <c r="B1706" t="str">
        <f>"1551601536395053"</f>
        <v>1551601536395053</v>
      </c>
      <c r="C1706" t="s">
        <v>40</v>
      </c>
      <c r="D1706">
        <v>4.6172620000000002</v>
      </c>
      <c r="E1706">
        <v>0.519764</v>
      </c>
      <c r="F1706" t="s">
        <v>51</v>
      </c>
      <c r="G1706">
        <v>-409.36540000000002</v>
      </c>
      <c r="H1706" s="1">
        <v>3.560001E-6</v>
      </c>
      <c r="I1706">
        <v>287.95119999999997</v>
      </c>
      <c r="J1706">
        <v>-371.75650000000002</v>
      </c>
      <c r="K1706">
        <v>1.1208579999999999</v>
      </c>
      <c r="L1706">
        <v>284.19959999999998</v>
      </c>
      <c r="M1706">
        <v>-0.99988639999999995</v>
      </c>
      <c r="N1706">
        <v>-1.1193730000000001E-2</v>
      </c>
      <c r="O1706">
        <v>1.0098330000000001E-2</v>
      </c>
      <c r="P1706">
        <v>-0.97929250000000001</v>
      </c>
      <c r="Q1706">
        <v>0.1950325</v>
      </c>
      <c r="R1706">
        <v>5.430244E-2</v>
      </c>
      <c r="S1706">
        <v>-3.063904</v>
      </c>
      <c r="T1706">
        <v>-9.0544940000000004E-2</v>
      </c>
      <c r="U1706">
        <v>0.30334470000000002</v>
      </c>
      <c r="V1706">
        <v>4.4480699999999998E-2</v>
      </c>
      <c r="W1706">
        <v>0.20597289999999999</v>
      </c>
      <c r="X1706">
        <v>0.97754620000000003</v>
      </c>
      <c r="Y1706">
        <v>8.8418269999999993E-2</v>
      </c>
      <c r="Z1706">
        <v>1.614414E-3</v>
      </c>
      <c r="AA1706">
        <v>0.99608209999999997</v>
      </c>
      <c r="AB1706">
        <v>31</v>
      </c>
      <c r="AC1706">
        <v>-37.608899999999998</v>
      </c>
      <c r="AD1706">
        <v>-1.1208544399989999</v>
      </c>
      <c r="AE1706">
        <v>3.7515999999999901</v>
      </c>
      <c r="AF1706">
        <v>3.3686352357460501</v>
      </c>
      <c r="AG1706">
        <v>-1.1208544399989999</v>
      </c>
      <c r="AH1706">
        <v>37.611791233962499</v>
      </c>
      <c r="AI1706">
        <v>91.700142901835903</v>
      </c>
      <c r="AJ1706">
        <v>84.882057802264995</v>
      </c>
      <c r="AK1706">
        <v>37.778973753324202</v>
      </c>
      <c r="AL1706">
        <v>78.113542033123295</v>
      </c>
      <c r="AM1706">
        <v>87.3947014886365</v>
      </c>
      <c r="AN1706">
        <v>0.99999997067066904</v>
      </c>
    </row>
    <row r="1707" spans="1:40" x14ac:dyDescent="0.25">
      <c r="A1707" t="str">
        <f>"20190303162536423"</f>
        <v>20190303162536423</v>
      </c>
      <c r="B1707" t="str">
        <f>"1551601536414573"</f>
        <v>1551601536414573</v>
      </c>
      <c r="C1707" t="s">
        <v>40</v>
      </c>
      <c r="D1707">
        <v>4.5454460000000001</v>
      </c>
      <c r="E1707">
        <v>0.5197948</v>
      </c>
      <c r="F1707" t="s">
        <v>51</v>
      </c>
      <c r="G1707">
        <v>-412.25490000000002</v>
      </c>
      <c r="H1707" s="1">
        <v>2.291424E-6</v>
      </c>
      <c r="I1707">
        <v>288.21170000000001</v>
      </c>
      <c r="J1707">
        <v>-372.06099999999998</v>
      </c>
      <c r="K1707">
        <v>1.1208959999999999</v>
      </c>
      <c r="L1707">
        <v>284.20280000000002</v>
      </c>
      <c r="M1707">
        <v>-0.99988589999999999</v>
      </c>
      <c r="N1707">
        <v>-1.114742E-2</v>
      </c>
      <c r="O1707">
        <v>1.019859E-2</v>
      </c>
      <c r="P1707">
        <v>-0.97897979999999996</v>
      </c>
      <c r="Q1707">
        <v>0.19636000000000001</v>
      </c>
      <c r="R1707">
        <v>5.5149040000000003E-2</v>
      </c>
      <c r="S1707">
        <v>-3.0635379999999999</v>
      </c>
      <c r="T1707">
        <v>-8.4788080000000002E-2</v>
      </c>
      <c r="U1707">
        <v>0.30349730000000003</v>
      </c>
      <c r="V1707">
        <v>4.5220929999999999E-2</v>
      </c>
      <c r="W1707">
        <v>0.20725360000000001</v>
      </c>
      <c r="X1707">
        <v>0.97724149999999999</v>
      </c>
      <c r="Y1707">
        <v>8.8384580000000004E-2</v>
      </c>
      <c r="Z1707">
        <v>1.545788E-3</v>
      </c>
      <c r="AA1707">
        <v>0.9960852</v>
      </c>
      <c r="AB1707">
        <v>31</v>
      </c>
      <c r="AC1707">
        <v>-40.193899999999999</v>
      </c>
      <c r="AD1707">
        <v>-1.12089370857599</v>
      </c>
      <c r="AE1707">
        <v>4.0088999999999801</v>
      </c>
      <c r="AF1707">
        <v>3.5959759014114501</v>
      </c>
      <c r="AG1707">
        <v>-1.12089370857599</v>
      </c>
      <c r="AH1707">
        <v>40.201740357402301</v>
      </c>
      <c r="AI1707">
        <v>91.590743369204901</v>
      </c>
      <c r="AJ1707">
        <v>84.888595103361794</v>
      </c>
      <c r="AK1707">
        <v>40.377807929027703</v>
      </c>
      <c r="AL1707">
        <v>78.038545058847603</v>
      </c>
      <c r="AM1707">
        <v>87.350581744561396</v>
      </c>
      <c r="AN1707">
        <v>0.99999996827263604</v>
      </c>
    </row>
    <row r="1708" spans="1:40" x14ac:dyDescent="0.25">
      <c r="A1708" t="str">
        <f>"20190303162536444"</f>
        <v>20190303162536444</v>
      </c>
      <c r="B1708" t="str">
        <f>"1551601536434771"</f>
        <v>1551601536434771</v>
      </c>
      <c r="C1708" t="s">
        <v>40</v>
      </c>
      <c r="D1708">
        <v>4.5336660000000002</v>
      </c>
      <c r="E1708">
        <v>0.52005539999999995</v>
      </c>
      <c r="F1708" t="s">
        <v>51</v>
      </c>
      <c r="G1708">
        <v>-415.38979999999998</v>
      </c>
      <c r="H1708" s="1">
        <v>2.8188340000000001E-6</v>
      </c>
      <c r="I1708">
        <v>288.53960000000001</v>
      </c>
      <c r="J1708">
        <v>-372.35899999999998</v>
      </c>
      <c r="K1708">
        <v>1.1209229999999999</v>
      </c>
      <c r="L1708">
        <v>284.20600000000002</v>
      </c>
      <c r="M1708">
        <v>-0.99988549999999998</v>
      </c>
      <c r="N1708">
        <v>-1.110454E-2</v>
      </c>
      <c r="O1708">
        <v>1.0277430000000001E-2</v>
      </c>
      <c r="P1708">
        <v>-0.97854099999999999</v>
      </c>
      <c r="Q1708">
        <v>0.19807230000000001</v>
      </c>
      <c r="R1708">
        <v>5.6789109999999997E-2</v>
      </c>
      <c r="S1708">
        <v>-3.0630489999999999</v>
      </c>
      <c r="T1708">
        <v>-7.9239489999999996E-2</v>
      </c>
      <c r="U1708">
        <v>0.30657960000000001</v>
      </c>
      <c r="V1708">
        <v>4.6778880000000002E-2</v>
      </c>
      <c r="W1708">
        <v>0.208921</v>
      </c>
      <c r="X1708">
        <v>0.97681309999999999</v>
      </c>
      <c r="Y1708">
        <v>8.9318540000000002E-2</v>
      </c>
      <c r="Z1708">
        <v>1.4982540000000001E-3</v>
      </c>
      <c r="AA1708">
        <v>0.99600200000000005</v>
      </c>
      <c r="AB1708">
        <v>31</v>
      </c>
      <c r="AC1708">
        <v>-43.0307999999999</v>
      </c>
      <c r="AD1708">
        <v>-1.1209201811659999</v>
      </c>
      <c r="AE1708">
        <v>4.3336000000000396</v>
      </c>
      <c r="AF1708">
        <v>3.8884856888985002</v>
      </c>
      <c r="AG1708">
        <v>-1.1209201811659999</v>
      </c>
      <c r="AH1708">
        <v>43.0441531727935</v>
      </c>
      <c r="AI1708">
        <v>91.485665030940098</v>
      </c>
      <c r="AJ1708">
        <v>84.838074531762302</v>
      </c>
      <c r="AK1708">
        <v>43.233967032510698</v>
      </c>
      <c r="AL1708">
        <v>77.940872901260093</v>
      </c>
      <c r="AM1708">
        <v>87.258240828745301</v>
      </c>
      <c r="AN1708">
        <v>1.00000004009333</v>
      </c>
    </row>
    <row r="1709" spans="1:40" x14ac:dyDescent="0.25">
      <c r="A1709" t="str">
        <f>"20190303162536466"</f>
        <v>20190303162536466</v>
      </c>
      <c r="B1709" t="str">
        <f>"1551601536454292"</f>
        <v>1551601536454292</v>
      </c>
      <c r="C1709" t="s">
        <v>40</v>
      </c>
      <c r="D1709">
        <v>4.5233860000000004</v>
      </c>
      <c r="E1709">
        <v>0.52019139999999997</v>
      </c>
      <c r="F1709" t="s">
        <v>51</v>
      </c>
      <c r="G1709">
        <v>-419.79149999999998</v>
      </c>
      <c r="H1709" s="1">
        <v>3.5543559999999999E-6</v>
      </c>
      <c r="I1709">
        <v>289.0573</v>
      </c>
      <c r="J1709">
        <v>-372.66300000000001</v>
      </c>
      <c r="K1709">
        <v>1.12094</v>
      </c>
      <c r="L1709">
        <v>284.20920000000001</v>
      </c>
      <c r="M1709">
        <v>-0.99988529999999998</v>
      </c>
      <c r="N1709">
        <v>-1.1065459999999999E-2</v>
      </c>
      <c r="O1709">
        <v>1.0344040000000001E-2</v>
      </c>
      <c r="P1709">
        <v>-0.97826250000000003</v>
      </c>
      <c r="Q1709">
        <v>0.1991088</v>
      </c>
      <c r="R1709">
        <v>5.7949639999999997E-2</v>
      </c>
      <c r="S1709">
        <v>-3.0622560000000001</v>
      </c>
      <c r="T1709">
        <v>-7.2366949999999999E-2</v>
      </c>
      <c r="U1709">
        <v>0.31320189999999998</v>
      </c>
      <c r="V1709">
        <v>4.7870219999999998E-2</v>
      </c>
      <c r="W1709">
        <v>0.20991779999999999</v>
      </c>
      <c r="X1709">
        <v>0.97654640000000004</v>
      </c>
      <c r="Y1709">
        <v>9.1414560000000006E-2</v>
      </c>
      <c r="Z1709">
        <v>1.4548289999999999E-3</v>
      </c>
      <c r="AA1709">
        <v>0.99581189999999997</v>
      </c>
      <c r="AB1709">
        <v>31</v>
      </c>
      <c r="AC1709">
        <v>-47.128499999999903</v>
      </c>
      <c r="AD1709">
        <v>-1.1209364456440001</v>
      </c>
      <c r="AE1709">
        <v>4.8480999999999801</v>
      </c>
      <c r="AF1709">
        <v>4.3578721843292696</v>
      </c>
      <c r="AG1709">
        <v>-1.1209364456440001</v>
      </c>
      <c r="AH1709">
        <v>47.149736450979901</v>
      </c>
      <c r="AI1709">
        <v>91.3561137487237</v>
      </c>
      <c r="AJ1709">
        <v>84.719370030097807</v>
      </c>
      <c r="AK1709">
        <v>47.363965162209503</v>
      </c>
      <c r="AL1709">
        <v>77.882464299266005</v>
      </c>
      <c r="AM1709">
        <v>87.193612280665704</v>
      </c>
      <c r="AN1709">
        <v>0.99999995603632297</v>
      </c>
    </row>
    <row r="1710" spans="1:40" x14ac:dyDescent="0.25">
      <c r="A1710" t="str">
        <f>"20190303162536490"</f>
        <v>20190303162536490</v>
      </c>
      <c r="B1710" t="str">
        <f>"1551601536484548"</f>
        <v>1551601536484548</v>
      </c>
      <c r="C1710" t="s">
        <v>40</v>
      </c>
      <c r="D1710">
        <v>4.5087169999999999</v>
      </c>
      <c r="E1710">
        <v>0.50812879999999905</v>
      </c>
      <c r="F1710" t="s">
        <v>51</v>
      </c>
      <c r="G1710">
        <v>-421.76240000000001</v>
      </c>
      <c r="H1710" s="1">
        <v>3.2412699999999998E-6</v>
      </c>
      <c r="I1710">
        <v>289.31439999999998</v>
      </c>
      <c r="J1710">
        <v>-372.98919999999998</v>
      </c>
      <c r="K1710">
        <v>1.1209469999999999</v>
      </c>
      <c r="L1710">
        <v>284.21260000000001</v>
      </c>
      <c r="M1710">
        <v>-0.99988509999999997</v>
      </c>
      <c r="N1710">
        <v>-1.1026060000000001E-2</v>
      </c>
      <c r="O1710">
        <v>1.040482E-2</v>
      </c>
      <c r="P1710">
        <v>-0.97811340000000002</v>
      </c>
      <c r="Q1710">
        <v>0.19990469999999999</v>
      </c>
      <c r="R1710">
        <v>5.7728189999999999E-2</v>
      </c>
      <c r="S1710">
        <v>-3.062103</v>
      </c>
      <c r="T1710">
        <v>-6.9907780000000003E-2</v>
      </c>
      <c r="U1710">
        <v>0.3183899</v>
      </c>
      <c r="V1710">
        <v>4.7586660000000003E-2</v>
      </c>
      <c r="W1710">
        <v>0.21067449999999999</v>
      </c>
      <c r="X1710">
        <v>0.97639730000000002</v>
      </c>
      <c r="Y1710">
        <v>9.3029780000000006E-2</v>
      </c>
      <c r="Z1710">
        <v>1.4509029999999999E-3</v>
      </c>
      <c r="AA1710">
        <v>0.9956623</v>
      </c>
      <c r="AB1710">
        <v>31</v>
      </c>
      <c r="AC1710">
        <v>-48.773200000000003</v>
      </c>
      <c r="AD1710">
        <v>-1.12094375873</v>
      </c>
      <c r="AE1710">
        <v>5.1017999999999599</v>
      </c>
      <c r="AF1710">
        <v>4.5916175121894698</v>
      </c>
      <c r="AG1710">
        <v>-1.12094375873</v>
      </c>
      <c r="AH1710">
        <v>48.798149436882298</v>
      </c>
      <c r="AI1710">
        <v>91.310126730389896</v>
      </c>
      <c r="AJ1710">
        <v>84.624632388935893</v>
      </c>
      <c r="AK1710">
        <v>49.026511753874303</v>
      </c>
      <c r="AL1710">
        <v>77.838116935505298</v>
      </c>
      <c r="AM1710">
        <v>87.2097842827134</v>
      </c>
      <c r="AN1710">
        <v>0.99999996130374702</v>
      </c>
    </row>
    <row r="1711" spans="1:40" x14ac:dyDescent="0.25">
      <c r="A1711" t="str">
        <f>"20190303162536512"</f>
        <v>20190303162536512</v>
      </c>
      <c r="B1711" t="str">
        <f>"1551601536505043"</f>
        <v>1551601536505043</v>
      </c>
      <c r="C1711" t="s">
        <v>40</v>
      </c>
      <c r="D1711">
        <v>4.5799539999999999</v>
      </c>
      <c r="E1711">
        <v>0.50279830000000003</v>
      </c>
      <c r="F1711" t="s">
        <v>51</v>
      </c>
      <c r="G1711">
        <v>-436.4667</v>
      </c>
      <c r="H1711" s="1">
        <v>4.7188590000000002E-6</v>
      </c>
      <c r="I1711">
        <v>288.80099999999999</v>
      </c>
      <c r="J1711">
        <v>-373.28989999999999</v>
      </c>
      <c r="K1711">
        <v>1.120949</v>
      </c>
      <c r="L1711">
        <v>284.2158</v>
      </c>
      <c r="M1711">
        <v>-0.99988500000000002</v>
      </c>
      <c r="N1711">
        <v>-1.098916E-2</v>
      </c>
      <c r="O1711">
        <v>1.045628E-2</v>
      </c>
      <c r="P1711">
        <v>-0.9782265</v>
      </c>
      <c r="Q1711">
        <v>0.19954759999999999</v>
      </c>
      <c r="R1711">
        <v>5.7040239999999999E-2</v>
      </c>
      <c r="S1711">
        <v>-3.0651250000000001</v>
      </c>
      <c r="T1711">
        <v>-5.412674E-2</v>
      </c>
      <c r="U1711">
        <v>0.22155759999999999</v>
      </c>
      <c r="V1711">
        <v>4.6844759999999999E-2</v>
      </c>
      <c r="W1711">
        <v>0.21028340000000001</v>
      </c>
      <c r="X1711">
        <v>0.97651750000000004</v>
      </c>
      <c r="Y1711">
        <v>6.1646359999999997E-2</v>
      </c>
      <c r="Z1711">
        <v>8.1316419999999997E-4</v>
      </c>
      <c r="AA1711">
        <v>0.99809769999999998</v>
      </c>
      <c r="AB1711">
        <v>31</v>
      </c>
      <c r="AC1711">
        <v>-63.1768</v>
      </c>
      <c r="AD1711">
        <v>-1.120944281141</v>
      </c>
      <c r="AE1711">
        <v>4.58519999999998</v>
      </c>
      <c r="AF1711">
        <v>3.92308657137084</v>
      </c>
      <c r="AG1711">
        <v>-1.120944281141</v>
      </c>
      <c r="AH1711">
        <v>63.201500432054502</v>
      </c>
      <c r="AI1711">
        <v>91.014142183168701</v>
      </c>
      <c r="AJ1711">
        <v>86.448054584051505</v>
      </c>
      <c r="AK1711">
        <v>63.333062307067401</v>
      </c>
      <c r="AL1711">
        <v>77.861039080304806</v>
      </c>
      <c r="AM1711">
        <v>87.253555589150096</v>
      </c>
      <c r="AN1711">
        <v>0.99999998383063304</v>
      </c>
    </row>
    <row r="1712" spans="1:40" x14ac:dyDescent="0.25">
      <c r="A1712" t="str">
        <f>"20190303162536535"</f>
        <v>20190303162536535</v>
      </c>
      <c r="B1712" t="str">
        <f>"1551601536524564"</f>
        <v>1551601536524564</v>
      </c>
      <c r="C1712" t="s">
        <v>40</v>
      </c>
      <c r="D1712">
        <v>4.5445149999999996</v>
      </c>
      <c r="E1712">
        <v>0.50177660000000002</v>
      </c>
      <c r="F1712" t="s">
        <v>51</v>
      </c>
      <c r="G1712">
        <v>-437.5385</v>
      </c>
      <c r="H1712" s="1">
        <v>5.2737790000000003E-6</v>
      </c>
      <c r="I1712">
        <v>287.89060000000001</v>
      </c>
      <c r="J1712">
        <v>-373.60849999999999</v>
      </c>
      <c r="K1712">
        <v>1.12094</v>
      </c>
      <c r="L1712">
        <v>284.2192</v>
      </c>
      <c r="M1712">
        <v>-0.99988489999999997</v>
      </c>
      <c r="N1712">
        <v>-1.095206E-2</v>
      </c>
      <c r="O1712">
        <v>1.0509320000000001E-2</v>
      </c>
      <c r="P1712">
        <v>-0.9785838</v>
      </c>
      <c r="Q1712">
        <v>0.19794010000000001</v>
      </c>
      <c r="R1712">
        <v>5.651577E-2</v>
      </c>
      <c r="S1712">
        <v>-3.0674739999999998</v>
      </c>
      <c r="T1712">
        <v>-5.3518059999999999E-2</v>
      </c>
      <c r="U1712">
        <v>0.17544560000000001</v>
      </c>
      <c r="V1712">
        <v>4.6263739999999998E-2</v>
      </c>
      <c r="W1712">
        <v>0.20864350000000001</v>
      </c>
      <c r="X1712">
        <v>0.97689689999999996</v>
      </c>
      <c r="Y1712">
        <v>4.6594869999999997E-2</v>
      </c>
      <c r="Z1712">
        <v>5.9334830000000005E-4</v>
      </c>
      <c r="AA1712">
        <v>0.99891370000000002</v>
      </c>
      <c r="AB1712">
        <v>31</v>
      </c>
      <c r="AC1712">
        <v>-63.93</v>
      </c>
      <c r="AD1712">
        <v>-1.1209347262209901</v>
      </c>
      <c r="AE1712">
        <v>3.6714000000000002</v>
      </c>
      <c r="AF1712">
        <v>2.9983773972850698</v>
      </c>
      <c r="AG1712">
        <v>-1.1209347262209901</v>
      </c>
      <c r="AH1712">
        <v>63.945460950775797</v>
      </c>
      <c r="AI1712">
        <v>91.003164026049205</v>
      </c>
      <c r="AJ1712">
        <v>87.315389878259694</v>
      </c>
      <c r="AK1712">
        <v>64.025531921915302</v>
      </c>
      <c r="AL1712">
        <v>77.957130259197896</v>
      </c>
      <c r="AM1712">
        <v>87.288620669597506</v>
      </c>
      <c r="AN1712">
        <v>0.99999999848032295</v>
      </c>
    </row>
    <row r="1713" spans="1:40" x14ac:dyDescent="0.25">
      <c r="A1713" t="str">
        <f>"20190303162536557"</f>
        <v>20190303162536557</v>
      </c>
      <c r="B1713" t="str">
        <f>"1551601536544422"</f>
        <v>1551601536544422</v>
      </c>
      <c r="C1713" t="s">
        <v>40</v>
      </c>
      <c r="D1713">
        <v>4.4879379999999998</v>
      </c>
      <c r="E1713">
        <v>0.50121000000000004</v>
      </c>
      <c r="F1713" t="s">
        <v>51</v>
      </c>
      <c r="G1713">
        <v>-428.9649</v>
      </c>
      <c r="H1713" s="1">
        <v>2.1518700000000001E-6</v>
      </c>
      <c r="I1713">
        <v>287.16160000000002</v>
      </c>
      <c r="J1713">
        <v>-373.90309999999999</v>
      </c>
      <c r="K1713">
        <v>1.1209209999999901</v>
      </c>
      <c r="L1713">
        <v>284.22239999999999</v>
      </c>
      <c r="M1713">
        <v>-0.99988460000000001</v>
      </c>
      <c r="N1713">
        <v>-1.092131E-2</v>
      </c>
      <c r="O1713">
        <v>1.0559900000000001E-2</v>
      </c>
      <c r="P1713">
        <v>-0.97896280000000002</v>
      </c>
      <c r="Q1713">
        <v>0.19609109999999999</v>
      </c>
      <c r="R1713">
        <v>5.6394369999999999E-2</v>
      </c>
      <c r="S1713">
        <v>-3.0688170000000001</v>
      </c>
      <c r="T1713">
        <v>-6.21419E-2</v>
      </c>
      <c r="U1713">
        <v>0.1631165</v>
      </c>
      <c r="V1713">
        <v>4.6087660000000003E-2</v>
      </c>
      <c r="W1713">
        <v>0.20676890000000001</v>
      </c>
      <c r="X1713">
        <v>0.9773037</v>
      </c>
      <c r="Y1713">
        <v>4.2516409999999998E-2</v>
      </c>
      <c r="Z1713">
        <v>5.6410719999999996E-4</v>
      </c>
      <c r="AA1713">
        <v>0.99909559999999997</v>
      </c>
      <c r="AB1713">
        <v>31</v>
      </c>
      <c r="AC1713">
        <v>-55.061799999999998</v>
      </c>
      <c r="AD1713">
        <v>-1.1209188481300001</v>
      </c>
      <c r="AE1713">
        <v>2.93920000000002</v>
      </c>
      <c r="AF1713">
        <v>2.3565804630647702</v>
      </c>
      <c r="AG1713">
        <v>-1.1209188481300001</v>
      </c>
      <c r="AH1713">
        <v>55.067012658273001</v>
      </c>
      <c r="AI1713">
        <v>91.165059502478499</v>
      </c>
      <c r="AJ1713">
        <v>87.549535150371398</v>
      </c>
      <c r="AK1713">
        <v>55.128811103173497</v>
      </c>
      <c r="AL1713">
        <v>78.066931426600206</v>
      </c>
      <c r="AM1713">
        <v>87.300047530560406</v>
      </c>
      <c r="AN1713">
        <v>0.99999998622258701</v>
      </c>
    </row>
    <row r="1714" spans="1:40" x14ac:dyDescent="0.25">
      <c r="A1714" t="str">
        <f>"20190303162536580"</f>
        <v>20190303162536580</v>
      </c>
      <c r="B1714" t="str">
        <f>"1551601536574678"</f>
        <v>1551601536574678</v>
      </c>
      <c r="C1714" t="s">
        <v>40</v>
      </c>
      <c r="D1714">
        <v>4.5088710000000001</v>
      </c>
      <c r="E1714">
        <v>0.50103089999999995</v>
      </c>
      <c r="F1714" t="s">
        <v>51</v>
      </c>
      <c r="G1714">
        <v>-424.04300000000001</v>
      </c>
      <c r="H1714" s="1">
        <v>3.0565930000000001E-6</v>
      </c>
      <c r="I1714">
        <v>286.79939999999999</v>
      </c>
      <c r="J1714">
        <v>-374.21710000000002</v>
      </c>
      <c r="K1714">
        <v>1.120908</v>
      </c>
      <c r="L1714">
        <v>284.22570000000002</v>
      </c>
      <c r="M1714">
        <v>-0.99988440000000001</v>
      </c>
      <c r="N1714">
        <v>-1.0892219999999999E-2</v>
      </c>
      <c r="O1714">
        <v>1.061541E-2</v>
      </c>
      <c r="P1714">
        <v>-0.97922640000000005</v>
      </c>
      <c r="Q1714">
        <v>0.19487209999999999</v>
      </c>
      <c r="R1714">
        <v>5.6041809999999997E-2</v>
      </c>
      <c r="S1714">
        <v>-3.069153</v>
      </c>
      <c r="T1714">
        <v>-6.861341E-2</v>
      </c>
      <c r="U1714">
        <v>0.15774540000000001</v>
      </c>
      <c r="V1714">
        <v>4.5677240000000001E-2</v>
      </c>
      <c r="W1714">
        <v>0.20552500000000001</v>
      </c>
      <c r="X1714">
        <v>0.97758529999999999</v>
      </c>
      <c r="Y1714">
        <v>4.070994E-2</v>
      </c>
      <c r="Z1714">
        <v>5.5504389999999995E-4</v>
      </c>
      <c r="AA1714">
        <v>0.99917080000000003</v>
      </c>
      <c r="AB1714">
        <v>31</v>
      </c>
      <c r="AC1714">
        <v>-49.825899999999898</v>
      </c>
      <c r="AD1714">
        <v>-1.120904943407</v>
      </c>
      <c r="AE1714">
        <v>2.5736999999999699</v>
      </c>
      <c r="AF1714">
        <v>2.0435697921148699</v>
      </c>
      <c r="AG1714">
        <v>-1.120904943407</v>
      </c>
      <c r="AH1714">
        <v>49.825265784131503</v>
      </c>
      <c r="AI1714">
        <v>91.287667356715303</v>
      </c>
      <c r="AJ1714">
        <v>87.651345493901601</v>
      </c>
      <c r="AK1714">
        <v>49.879752564008797</v>
      </c>
      <c r="AL1714">
        <v>78.139765958111695</v>
      </c>
      <c r="AM1714">
        <v>87.324825755814103</v>
      </c>
      <c r="AN1714">
        <v>0.99999997732755297</v>
      </c>
    </row>
    <row r="1715" spans="1:40" x14ac:dyDescent="0.25">
      <c r="A1715" t="str">
        <f>"20190303162536602"</f>
        <v>20190303162536602</v>
      </c>
      <c r="B1715" t="str">
        <f>"1551601536594197"</f>
        <v>1551601536594197</v>
      </c>
      <c r="C1715" t="s">
        <v>40</v>
      </c>
      <c r="D1715">
        <v>4.4983199999999997</v>
      </c>
      <c r="E1715">
        <v>0.50146639999999998</v>
      </c>
      <c r="F1715" t="s">
        <v>51</v>
      </c>
      <c r="G1715">
        <v>-420.38350000000003</v>
      </c>
      <c r="H1715" s="1">
        <v>3.7269939999999999E-6</v>
      </c>
      <c r="I1715">
        <v>286.55599999999998</v>
      </c>
      <c r="J1715">
        <v>-374.52749999999997</v>
      </c>
      <c r="K1715">
        <v>1.120889</v>
      </c>
      <c r="L1715">
        <v>284.22910000000002</v>
      </c>
      <c r="M1715">
        <v>-0.9998842</v>
      </c>
      <c r="N1715">
        <v>-1.086698E-2</v>
      </c>
      <c r="O1715">
        <v>1.067222E-2</v>
      </c>
      <c r="P1715">
        <v>-0.97943690000000005</v>
      </c>
      <c r="Q1715">
        <v>0.19366420000000001</v>
      </c>
      <c r="R1715">
        <v>5.6550030000000001E-2</v>
      </c>
      <c r="S1715">
        <v>-3.0695800000000002</v>
      </c>
      <c r="T1715">
        <v>-7.4528339999999998E-2</v>
      </c>
      <c r="U1715">
        <v>0.15493770000000001</v>
      </c>
      <c r="V1715">
        <v>4.6126800000000003E-2</v>
      </c>
      <c r="W1715">
        <v>0.2042947</v>
      </c>
      <c r="X1715">
        <v>0.97782210000000003</v>
      </c>
      <c r="Y1715">
        <v>3.9732940000000001E-2</v>
      </c>
      <c r="Z1715">
        <v>5.5506209999999997E-4</v>
      </c>
      <c r="AA1715">
        <v>0.99921020000000005</v>
      </c>
      <c r="AB1715">
        <v>31</v>
      </c>
      <c r="AC1715">
        <v>-45.856000000000002</v>
      </c>
      <c r="AD1715">
        <v>-1.1208852730059999</v>
      </c>
      <c r="AE1715">
        <v>2.3268999999999598</v>
      </c>
      <c r="AF1715">
        <v>1.83625902023025</v>
      </c>
      <c r="AG1715">
        <v>-1.1208852730059999</v>
      </c>
      <c r="AH1715">
        <v>45.8508978024377</v>
      </c>
      <c r="AI1715">
        <v>91.399270242701505</v>
      </c>
      <c r="AJ1715">
        <v>87.706616380415795</v>
      </c>
      <c r="AK1715">
        <v>45.901340506288101</v>
      </c>
      <c r="AL1715">
        <v>78.211785810491804</v>
      </c>
      <c r="AM1715">
        <v>87.299188482813804</v>
      </c>
      <c r="AN1715">
        <v>1.0000000326873599</v>
      </c>
    </row>
    <row r="1716" spans="1:40" x14ac:dyDescent="0.25">
      <c r="A1716" t="str">
        <f>"20190303162536622"</f>
        <v>20190303162536622</v>
      </c>
      <c r="B1716" t="str">
        <f>"1551601536614694"</f>
        <v>1551601536614694</v>
      </c>
      <c r="C1716" t="s">
        <v>40</v>
      </c>
      <c r="D1716">
        <v>4.4443739999999998</v>
      </c>
      <c r="E1716">
        <v>0.50149440000000001</v>
      </c>
      <c r="F1716" t="s">
        <v>51</v>
      </c>
      <c r="G1716">
        <v>-419.07190000000003</v>
      </c>
      <c r="H1716" s="1">
        <v>3.6461449999999999E-6</v>
      </c>
      <c r="I1716">
        <v>286.54739999999998</v>
      </c>
      <c r="J1716">
        <v>-374.81909999999999</v>
      </c>
      <c r="K1716">
        <v>1.120854</v>
      </c>
      <c r="L1716">
        <v>284.23230000000001</v>
      </c>
      <c r="M1716">
        <v>-0.99988379999999999</v>
      </c>
      <c r="N1716">
        <v>-1.0844919999999999E-2</v>
      </c>
      <c r="O1716">
        <v>1.0726329999999999E-2</v>
      </c>
      <c r="P1716">
        <v>-0.97993609999999998</v>
      </c>
      <c r="Q1716">
        <v>0.19112850000000001</v>
      </c>
      <c r="R1716">
        <v>5.6528790000000002E-2</v>
      </c>
      <c r="S1716">
        <v>-3.069061</v>
      </c>
      <c r="T1716">
        <v>-7.7227710000000005E-2</v>
      </c>
      <c r="U1716">
        <v>0.15972900000000001</v>
      </c>
      <c r="V1716">
        <v>4.6046209999999997E-2</v>
      </c>
      <c r="W1716">
        <v>0.20174300000000001</v>
      </c>
      <c r="X1716">
        <v>0.97835550000000004</v>
      </c>
      <c r="Y1716">
        <v>4.1241559999999997E-2</v>
      </c>
      <c r="Z1716">
        <v>5.8888129999999997E-4</v>
      </c>
      <c r="AA1716">
        <v>0.99914899999999995</v>
      </c>
      <c r="AB1716">
        <v>31</v>
      </c>
      <c r="AC1716">
        <v>-44.252800000000001</v>
      </c>
      <c r="AD1716">
        <v>-1.1208503538550001</v>
      </c>
      <c r="AE1716">
        <v>2.31509999999997</v>
      </c>
      <c r="AF1716">
        <v>1.83909220999303</v>
      </c>
      <c r="AG1716">
        <v>-1.1208503538550001</v>
      </c>
      <c r="AH1716">
        <v>44.246779926478503</v>
      </c>
      <c r="AI1716">
        <v>91.449843298442403</v>
      </c>
      <c r="AJ1716">
        <v>87.619903542175805</v>
      </c>
      <c r="AK1716">
        <v>44.2991659011184</v>
      </c>
      <c r="AL1716">
        <v>78.361096394100699</v>
      </c>
      <c r="AM1716">
        <v>87.305367959494106</v>
      </c>
      <c r="AN1716">
        <v>0.99999998794230704</v>
      </c>
    </row>
    <row r="1717" spans="1:40" x14ac:dyDescent="0.25">
      <c r="A1717" t="str">
        <f>"20190303162536645"</f>
        <v>20190303162536645</v>
      </c>
      <c r="B1717" t="str">
        <f>"1551601536634214"</f>
        <v>1551601536634214</v>
      </c>
      <c r="C1717" t="s">
        <v>40</v>
      </c>
      <c r="D1717">
        <v>4.4387939999999997</v>
      </c>
      <c r="E1717">
        <v>0.50161709999999904</v>
      </c>
      <c r="F1717" t="s">
        <v>51</v>
      </c>
      <c r="G1717">
        <v>-415.83949999999999</v>
      </c>
      <c r="H1717" s="1">
        <v>3.088273E-6</v>
      </c>
      <c r="I1717">
        <v>286.37</v>
      </c>
      <c r="J1717">
        <v>-375.13389999999998</v>
      </c>
      <c r="K1717">
        <v>1.1208359999999999</v>
      </c>
      <c r="L1717">
        <v>284.23570000000001</v>
      </c>
      <c r="M1717">
        <v>-0.99988350000000004</v>
      </c>
      <c r="N1717">
        <v>-1.081557E-2</v>
      </c>
      <c r="O1717">
        <v>1.078495E-2</v>
      </c>
      <c r="P1717">
        <v>-0.98051929999999998</v>
      </c>
      <c r="Q1717">
        <v>0.1882027</v>
      </c>
      <c r="R1717">
        <v>5.623069E-2</v>
      </c>
      <c r="S1717">
        <v>-3.0685120000000001</v>
      </c>
      <c r="T1717">
        <v>-8.3844660000000001E-2</v>
      </c>
      <c r="U1717">
        <v>0.1599121</v>
      </c>
      <c r="V1717">
        <v>4.5683599999999998E-2</v>
      </c>
      <c r="W1717">
        <v>0.19879520000000001</v>
      </c>
      <c r="X1717">
        <v>0.9789757</v>
      </c>
      <c r="Y1717">
        <v>4.1249309999999997E-2</v>
      </c>
      <c r="Z1717">
        <v>6.0850430000000005E-4</v>
      </c>
      <c r="AA1717">
        <v>0.9991487</v>
      </c>
      <c r="AB1717">
        <v>31</v>
      </c>
      <c r="AC1717">
        <v>-40.705599999999997</v>
      </c>
      <c r="AD1717">
        <v>-1.1208329117269999</v>
      </c>
      <c r="AE1717">
        <v>2.1342999999999899</v>
      </c>
      <c r="AF1717">
        <v>1.6938616491043901</v>
      </c>
      <c r="AG1717">
        <v>-1.1208329117269999</v>
      </c>
      <c r="AH1717">
        <v>40.695481990793702</v>
      </c>
      <c r="AI1717">
        <v>91.576274501772502</v>
      </c>
      <c r="AJ1717">
        <v>87.616562545753595</v>
      </c>
      <c r="AK1717">
        <v>40.7461370950098</v>
      </c>
      <c r="AL1717">
        <v>78.533485223033395</v>
      </c>
      <c r="AM1717">
        <v>87.328248272679105</v>
      </c>
      <c r="AN1717">
        <v>0.99999997202124402</v>
      </c>
    </row>
    <row r="1718" spans="1:40" x14ac:dyDescent="0.25">
      <c r="A1718" t="str">
        <f>"20190303162536669"</f>
        <v>20190303162536669</v>
      </c>
      <c r="B1718" t="str">
        <f>"1551601536664470"</f>
        <v>1551601536664470</v>
      </c>
      <c r="C1718" t="s">
        <v>40</v>
      </c>
      <c r="D1718">
        <v>4.4662739999999896</v>
      </c>
      <c r="E1718">
        <v>0.4724257</v>
      </c>
      <c r="F1718" t="s">
        <v>51</v>
      </c>
      <c r="G1718">
        <v>-412.07909999999998</v>
      </c>
      <c r="H1718" s="1">
        <v>2.4397250000000002E-6</v>
      </c>
      <c r="I1718">
        <v>286.15859999999998</v>
      </c>
      <c r="J1718">
        <v>-375.44490000000002</v>
      </c>
      <c r="K1718">
        <v>1.1208129999999901</v>
      </c>
      <c r="L1718">
        <v>284.23910000000001</v>
      </c>
      <c r="M1718">
        <v>-0.99988330000000003</v>
      </c>
      <c r="N1718">
        <v>-1.0767189999999999E-2</v>
      </c>
      <c r="O1718">
        <v>1.0842549999999999E-2</v>
      </c>
      <c r="P1718">
        <v>-0.98115240000000004</v>
      </c>
      <c r="Q1718">
        <v>0.18507860000000001</v>
      </c>
      <c r="R1718">
        <v>5.5550879999999997E-2</v>
      </c>
      <c r="S1718">
        <v>-3.0683590000000001</v>
      </c>
      <c r="T1718">
        <v>-9.3086959999999996E-2</v>
      </c>
      <c r="U1718">
        <v>0.15969849999999999</v>
      </c>
      <c r="V1718">
        <v>4.4939939999999998E-2</v>
      </c>
      <c r="W1718">
        <v>0.1956309</v>
      </c>
      <c r="X1718">
        <v>0.9796473</v>
      </c>
      <c r="Y1718">
        <v>4.112143E-2</v>
      </c>
      <c r="Z1718">
        <v>6.3285469999999999E-4</v>
      </c>
      <c r="AA1718">
        <v>0.99915399999999999</v>
      </c>
      <c r="AB1718">
        <v>31</v>
      </c>
      <c r="AC1718">
        <v>-36.6341999999999</v>
      </c>
      <c r="AD1718">
        <v>-1.12081056027499</v>
      </c>
      <c r="AE1718">
        <v>1.91949999999997</v>
      </c>
      <c r="AF1718">
        <v>1.52073644218171</v>
      </c>
      <c r="AG1718">
        <v>-1.12081056027499</v>
      </c>
      <c r="AH1718">
        <v>36.618677358507099</v>
      </c>
      <c r="AI1718">
        <v>91.751631230531004</v>
      </c>
      <c r="AJ1718">
        <v>87.621931015955099</v>
      </c>
      <c r="AK1718">
        <v>36.667374969106298</v>
      </c>
      <c r="AL1718">
        <v>78.718417948541799</v>
      </c>
      <c r="AM1718">
        <v>87.373478191936897</v>
      </c>
      <c r="AN1718">
        <v>0.99999993981964996</v>
      </c>
    </row>
    <row r="1719" spans="1:40" x14ac:dyDescent="0.25">
      <c r="A1719" t="str">
        <f>"20190303162536691"</f>
        <v>20190303162536691</v>
      </c>
      <c r="B1719" t="str">
        <f>"1551601536674230"</f>
        <v>1551601536674230</v>
      </c>
      <c r="C1719" t="s">
        <v>40</v>
      </c>
      <c r="D1719">
        <v>4.379448</v>
      </c>
      <c r="E1719">
        <v>0.46286240000000001</v>
      </c>
      <c r="F1719" t="s">
        <v>51</v>
      </c>
      <c r="G1719">
        <v>-413.73559999999998</v>
      </c>
      <c r="H1719" s="1">
        <v>2.9821210000000002E-6</v>
      </c>
      <c r="I1719">
        <v>283.31529999999998</v>
      </c>
      <c r="J1719">
        <v>-375.77030000000002</v>
      </c>
      <c r="K1719">
        <v>1.120781</v>
      </c>
      <c r="L1719">
        <v>284.24270000000001</v>
      </c>
      <c r="M1719">
        <v>-0.99988370000000004</v>
      </c>
      <c r="N1719">
        <v>-1.067218E-2</v>
      </c>
      <c r="O1719">
        <v>1.09026E-2</v>
      </c>
      <c r="P1719">
        <v>-0.98143950000000002</v>
      </c>
      <c r="Q1719">
        <v>0.18371129999999999</v>
      </c>
      <c r="R1719">
        <v>5.5015799999999997E-2</v>
      </c>
      <c r="S1719">
        <v>-3.078827</v>
      </c>
      <c r="T1719">
        <v>-9.0120790000000006E-2</v>
      </c>
      <c r="U1719">
        <v>-7.4279789999999998E-2</v>
      </c>
      <c r="V1719">
        <v>4.4342579999999999E-2</v>
      </c>
      <c r="W1719">
        <v>0.19417400000000001</v>
      </c>
      <c r="X1719">
        <v>0.97996439999999996</v>
      </c>
      <c r="Y1719">
        <v>-3.4995270000000002E-2</v>
      </c>
      <c r="Z1719">
        <v>-9.0151629999999999E-4</v>
      </c>
      <c r="AA1719">
        <v>0.99938709999999997</v>
      </c>
      <c r="AB1719">
        <v>31</v>
      </c>
      <c r="AC1719">
        <v>-37.9652999999999</v>
      </c>
      <c r="AD1719">
        <v>-1.1207780178790001</v>
      </c>
      <c r="AE1719">
        <v>-0.92740000000003397</v>
      </c>
      <c r="AF1719">
        <v>-1.3401216763028601</v>
      </c>
      <c r="AG1719">
        <v>-1.1207780178790001</v>
      </c>
      <c r="AH1719">
        <v>37.919904277552803</v>
      </c>
      <c r="AI1719">
        <v>91.691911737403004</v>
      </c>
      <c r="AJ1719">
        <v>92.024039212381993</v>
      </c>
      <c r="AK1719">
        <v>37.960126578969998</v>
      </c>
      <c r="AL1719">
        <v>78.803525163009695</v>
      </c>
      <c r="AM1719">
        <v>87.409180542165004</v>
      </c>
      <c r="AN1719">
        <v>1.0000000159722</v>
      </c>
    </row>
    <row r="1720" spans="1:40" x14ac:dyDescent="0.25">
      <c r="A1720" t="str">
        <f>"20190303162536712"</f>
        <v>20190303162536712</v>
      </c>
      <c r="B1720" t="str">
        <f>"1551601536704485"</f>
        <v>1551601536704485</v>
      </c>
      <c r="C1720" t="s">
        <v>40</v>
      </c>
      <c r="D1720">
        <v>4.4052899999999999</v>
      </c>
      <c r="E1720">
        <v>0.44671519999999998</v>
      </c>
      <c r="F1720" t="s">
        <v>51</v>
      </c>
      <c r="G1720">
        <v>-418.48649999999998</v>
      </c>
      <c r="H1720" s="1">
        <v>3.9266319999999998E-6</v>
      </c>
      <c r="I1720">
        <v>282.15120000000002</v>
      </c>
      <c r="J1720">
        <v>-376.06380000000001</v>
      </c>
      <c r="K1720">
        <v>1.120754</v>
      </c>
      <c r="L1720">
        <v>284.24590000000001</v>
      </c>
      <c r="M1720">
        <v>-0.99988460000000001</v>
      </c>
      <c r="N1720">
        <v>-1.05314E-2</v>
      </c>
      <c r="O1720">
        <v>1.095698E-2</v>
      </c>
      <c r="P1720">
        <v>-0.98137960000000002</v>
      </c>
      <c r="Q1720">
        <v>0.1842925</v>
      </c>
      <c r="R1720">
        <v>5.4133489999999999E-2</v>
      </c>
      <c r="S1720">
        <v>-3.0803219999999998</v>
      </c>
      <c r="T1720">
        <v>-8.082056E-2</v>
      </c>
      <c r="U1720">
        <v>-0.15081789999999901</v>
      </c>
      <c r="V1720">
        <v>4.3407660000000001E-2</v>
      </c>
      <c r="W1720">
        <v>0.1946165</v>
      </c>
      <c r="X1720">
        <v>0.97991850000000003</v>
      </c>
      <c r="Y1720">
        <v>-5.9814539999999999E-2</v>
      </c>
      <c r="Z1720">
        <v>-1.2713030000000001E-3</v>
      </c>
      <c r="AA1720">
        <v>0.99820869999999995</v>
      </c>
      <c r="AB1720">
        <v>31</v>
      </c>
      <c r="AC1720">
        <v>-42.422699999999899</v>
      </c>
      <c r="AD1720">
        <v>-1.120750073368</v>
      </c>
      <c r="AE1720">
        <v>-2.09469999999998</v>
      </c>
      <c r="AF1720">
        <v>-2.5576439030649798</v>
      </c>
      <c r="AG1720">
        <v>-1.120750073368</v>
      </c>
      <c r="AH1720">
        <v>42.367701858672199</v>
      </c>
      <c r="AI1720">
        <v>91.512535911435904</v>
      </c>
      <c r="AJ1720">
        <v>93.454626281716401</v>
      </c>
      <c r="AK1720">
        <v>42.459625338045299</v>
      </c>
      <c r="AL1720">
        <v>78.777678952503706</v>
      </c>
      <c r="AM1720">
        <v>87.463614698613995</v>
      </c>
      <c r="AN1720">
        <v>1.0000000368305799</v>
      </c>
    </row>
    <row r="1721" spans="1:40" x14ac:dyDescent="0.25">
      <c r="A1721" t="str">
        <f>"20190303162536735"</f>
        <v>20190303162536735</v>
      </c>
      <c r="B1721" t="str">
        <f>"1551601536724982"</f>
        <v>1551601536724982</v>
      </c>
      <c r="C1721" t="s">
        <v>40</v>
      </c>
      <c r="D1721">
        <v>4.390028</v>
      </c>
      <c r="E1721">
        <v>0.44365939999999998</v>
      </c>
      <c r="F1721" t="s">
        <v>51</v>
      </c>
      <c r="G1721">
        <v>-415.97719999999998</v>
      </c>
      <c r="H1721" s="1">
        <v>3.6166030000000001E-6</v>
      </c>
      <c r="I1721">
        <v>280.60599999999999</v>
      </c>
      <c r="J1721">
        <v>-376.38319999999999</v>
      </c>
      <c r="K1721">
        <v>1.120711</v>
      </c>
      <c r="L1721">
        <v>284.24950000000001</v>
      </c>
      <c r="M1721">
        <v>-0.9998861</v>
      </c>
      <c r="N1721">
        <v>-1.032102E-2</v>
      </c>
      <c r="O1721">
        <v>1.1016069999999999E-2</v>
      </c>
      <c r="P1721">
        <v>-0.98135019999999995</v>
      </c>
      <c r="Q1721">
        <v>0.18475459999999999</v>
      </c>
      <c r="R1721">
        <v>5.308123E-2</v>
      </c>
      <c r="S1721">
        <v>-3.0887760000000002</v>
      </c>
      <c r="T1721">
        <v>-8.6731429999999998E-2</v>
      </c>
      <c r="U1721">
        <v>-0.28167720000000002</v>
      </c>
      <c r="V1721">
        <v>4.229803E-2</v>
      </c>
      <c r="W1721">
        <v>0.19487180000000001</v>
      </c>
      <c r="X1721">
        <v>0.97991629999999996</v>
      </c>
      <c r="Y1721">
        <v>-0.10172639999999999</v>
      </c>
      <c r="Z1721">
        <v>-2.1464019999999999E-3</v>
      </c>
      <c r="AA1721">
        <v>0.99481010000000003</v>
      </c>
      <c r="AB1721">
        <v>31</v>
      </c>
      <c r="AC1721">
        <v>-39.594000000000001</v>
      </c>
      <c r="AD1721">
        <v>-1.120707383397</v>
      </c>
      <c r="AE1721">
        <v>-3.6435000000000102</v>
      </c>
      <c r="AF1721">
        <v>-4.0762340403929098</v>
      </c>
      <c r="AG1721">
        <v>-1.120707383397</v>
      </c>
      <c r="AH1721">
        <v>39.520061544529099</v>
      </c>
      <c r="AI1721">
        <v>91.615787223105599</v>
      </c>
      <c r="AJ1721">
        <v>95.888858183523993</v>
      </c>
      <c r="AK1721">
        <v>39.745527213444099</v>
      </c>
      <c r="AL1721">
        <v>78.762765946290003</v>
      </c>
      <c r="AM1721">
        <v>87.528365313347507</v>
      </c>
      <c r="AN1721">
        <v>1.0000000483914</v>
      </c>
    </row>
    <row r="1722" spans="1:40" x14ac:dyDescent="0.25">
      <c r="A1722" t="str">
        <f>"20190303162536759"</f>
        <v>20190303162536759</v>
      </c>
      <c r="B1722" t="str">
        <f>"1551601536744783"</f>
        <v>1551601536744783</v>
      </c>
      <c r="C1722" t="s">
        <v>40</v>
      </c>
      <c r="D1722">
        <v>4.3772099999999998</v>
      </c>
      <c r="E1722">
        <v>0.44225429999999999</v>
      </c>
      <c r="F1722" t="s">
        <v>51</v>
      </c>
      <c r="G1722">
        <v>-413.35289999999998</v>
      </c>
      <c r="H1722" s="1">
        <v>3.1550260000000002E-6</v>
      </c>
      <c r="I1722">
        <v>280.56110000000001</v>
      </c>
      <c r="J1722">
        <v>-376.70650000000001</v>
      </c>
      <c r="K1722">
        <v>1.1206689999999999</v>
      </c>
      <c r="L1722">
        <v>284.25310000000002</v>
      </c>
      <c r="M1722">
        <v>-0.99988809999999995</v>
      </c>
      <c r="N1722">
        <v>-1.006959E-2</v>
      </c>
      <c r="O1722">
        <v>1.107671E-2</v>
      </c>
      <c r="P1722">
        <v>-0.98132410000000003</v>
      </c>
      <c r="Q1722">
        <v>0.18541489999999999</v>
      </c>
      <c r="R1722">
        <v>5.1229509999999999E-2</v>
      </c>
      <c r="S1722">
        <v>-3.0913089999999999</v>
      </c>
      <c r="T1722">
        <v>-9.3710660000000001E-2</v>
      </c>
      <c r="U1722">
        <v>-0.30841059999999998</v>
      </c>
      <c r="V1722">
        <v>4.0386949999999998E-2</v>
      </c>
      <c r="W1722">
        <v>0.19528570000000001</v>
      </c>
      <c r="X1722">
        <v>0.97991450000000002</v>
      </c>
      <c r="Y1722">
        <v>-0.1102215</v>
      </c>
      <c r="Z1722">
        <v>-2.4463029999999999E-3</v>
      </c>
      <c r="AA1722">
        <v>0.99390409999999996</v>
      </c>
      <c r="AB1722">
        <v>31</v>
      </c>
      <c r="AC1722">
        <v>-36.6463999999999</v>
      </c>
      <c r="AD1722">
        <v>-1.1206658449739999</v>
      </c>
      <c r="AE1722">
        <v>-3.6920000000000002</v>
      </c>
      <c r="AF1722">
        <v>-4.0939255032706798</v>
      </c>
      <c r="AG1722">
        <v>-1.1206658449739999</v>
      </c>
      <c r="AH1722">
        <v>36.5693993766373</v>
      </c>
      <c r="AI1722">
        <v>91.744384428358103</v>
      </c>
      <c r="AJ1722">
        <v>96.387636976706901</v>
      </c>
      <c r="AK1722">
        <v>36.814903079193599</v>
      </c>
      <c r="AL1722">
        <v>78.738586344788601</v>
      </c>
      <c r="AM1722">
        <v>87.639903395412503</v>
      </c>
      <c r="AN1722">
        <v>1.00000001883252</v>
      </c>
    </row>
    <row r="1723" spans="1:40" x14ac:dyDescent="0.25">
      <c r="A1723" t="str">
        <f>"20190303162536803"</f>
        <v>20190303162536803</v>
      </c>
      <c r="B1723" t="str">
        <f>"1551601536794557"</f>
        <v>1551601536794557</v>
      </c>
      <c r="C1723" t="s">
        <v>40</v>
      </c>
      <c r="D1723">
        <v>4.3128359999999999</v>
      </c>
      <c r="E1723">
        <v>0.44036550000000002</v>
      </c>
      <c r="F1723" t="s">
        <v>51</v>
      </c>
      <c r="G1723">
        <v>-412.96460000000002</v>
      </c>
      <c r="H1723" s="1">
        <v>3.0959580000000002E-6</v>
      </c>
      <c r="I1723">
        <v>280.44880000000001</v>
      </c>
      <c r="J1723">
        <v>-377.32150000000001</v>
      </c>
      <c r="K1723">
        <v>1.1206100000000001</v>
      </c>
      <c r="L1723">
        <v>284.26</v>
      </c>
      <c r="M1723">
        <v>-0.99989130000000004</v>
      </c>
      <c r="N1723">
        <v>-9.5933709999999998E-3</v>
      </c>
      <c r="O1723">
        <v>1.119068E-2</v>
      </c>
      <c r="P1723">
        <v>-0.98085639999999996</v>
      </c>
      <c r="Q1723">
        <v>0.18884570000000001</v>
      </c>
      <c r="R1723">
        <v>4.7517280000000002E-2</v>
      </c>
      <c r="S1723">
        <v>-3.092133</v>
      </c>
      <c r="T1723">
        <v>-9.5571760000000006E-2</v>
      </c>
      <c r="U1723">
        <v>-0.32443240000000001</v>
      </c>
      <c r="V1723">
        <v>3.656922E-2</v>
      </c>
      <c r="W1723">
        <v>0.19824559999999999</v>
      </c>
      <c r="X1723">
        <v>0.97946999999999995</v>
      </c>
      <c r="Y1723">
        <v>-0.1153985</v>
      </c>
      <c r="Z1723">
        <v>-2.5711649999999998E-3</v>
      </c>
      <c r="AA1723">
        <v>0.99331590000000003</v>
      </c>
      <c r="AB1723">
        <v>31</v>
      </c>
      <c r="AC1723">
        <v>-35.643099999999997</v>
      </c>
      <c r="AD1723">
        <v>-1.1206069040419999</v>
      </c>
      <c r="AE1723">
        <v>-3.8111999999999799</v>
      </c>
      <c r="AF1723">
        <v>-4.2057400568653298</v>
      </c>
      <c r="AG1723">
        <v>-1.1206069040419999</v>
      </c>
      <c r="AH1723">
        <v>35.563460614054897</v>
      </c>
      <c r="AI1723">
        <v>91.792315064833502</v>
      </c>
      <c r="AJ1723">
        <v>96.744482112426994</v>
      </c>
      <c r="AK1723">
        <v>35.828811592163397</v>
      </c>
      <c r="AL1723">
        <v>78.565615403221202</v>
      </c>
      <c r="AM1723">
        <v>87.861813826086305</v>
      </c>
      <c r="AN1723">
        <v>1.0000000533353799</v>
      </c>
    </row>
    <row r="1724" spans="1:40" x14ac:dyDescent="0.25">
      <c r="A1724" t="str">
        <f>"20190303162536824"</f>
        <v>20190303162536824</v>
      </c>
      <c r="B1724" t="str">
        <f>"1551601536815055"</f>
        <v>1551601536815055</v>
      </c>
      <c r="C1724" t="s">
        <v>40</v>
      </c>
      <c r="D1724">
        <v>4.3763519999999998</v>
      </c>
      <c r="E1724">
        <v>0.43991380000000002</v>
      </c>
      <c r="F1724" t="s">
        <v>51</v>
      </c>
      <c r="G1724">
        <v>-419.39870000000002</v>
      </c>
      <c r="H1724" s="1">
        <v>4.3598719999999996E-6</v>
      </c>
      <c r="I1724">
        <v>279.4753</v>
      </c>
      <c r="J1724">
        <v>-377.63510000000002</v>
      </c>
      <c r="K1724">
        <v>1.1205860000000001</v>
      </c>
      <c r="L1724">
        <v>284.26350000000002</v>
      </c>
      <c r="M1724">
        <v>-0.99989280000000003</v>
      </c>
      <c r="N1724">
        <v>-9.3731170000000003E-3</v>
      </c>
      <c r="O1724">
        <v>1.124823E-2</v>
      </c>
      <c r="P1724">
        <v>-0.98057269999999996</v>
      </c>
      <c r="Q1724">
        <v>0.19067529999999999</v>
      </c>
      <c r="R1724">
        <v>4.6047530000000003E-2</v>
      </c>
      <c r="S1724">
        <v>-3.091431</v>
      </c>
      <c r="T1724">
        <v>-8.2331539999999995E-2</v>
      </c>
      <c r="U1724">
        <v>-0.35153200000000001</v>
      </c>
      <c r="V1724">
        <v>3.5046689999999998E-2</v>
      </c>
      <c r="W1724">
        <v>0.19985629999999999</v>
      </c>
      <c r="X1724">
        <v>0.97919820000000002</v>
      </c>
      <c r="Y1724">
        <v>-0.1240926</v>
      </c>
      <c r="Z1724">
        <v>-2.4239439999999999E-3</v>
      </c>
      <c r="AA1724">
        <v>0.99226769999999997</v>
      </c>
      <c r="AB1724">
        <v>31</v>
      </c>
      <c r="AC1724">
        <v>-41.763599999999997</v>
      </c>
      <c r="AD1724">
        <v>-1.120581640128</v>
      </c>
      <c r="AE1724">
        <v>-4.7882000000000096</v>
      </c>
      <c r="AF1724">
        <v>-5.2539508636935102</v>
      </c>
      <c r="AG1724">
        <v>-1.120581640128</v>
      </c>
      <c r="AH1724">
        <v>41.677480879219701</v>
      </c>
      <c r="AI1724">
        <v>91.528051511727796</v>
      </c>
      <c r="AJ1724">
        <v>97.184926267191699</v>
      </c>
      <c r="AK1724">
        <v>42.0222811771091</v>
      </c>
      <c r="AL1724">
        <v>78.471443591375902</v>
      </c>
      <c r="AM1724">
        <v>87.950189607810998</v>
      </c>
      <c r="AN1724">
        <v>0.99999996300644201</v>
      </c>
    </row>
    <row r="1725" spans="1:40" x14ac:dyDescent="0.25">
      <c r="A1725" t="str">
        <f>"20190303162536845"</f>
        <v>20190303162536845</v>
      </c>
      <c r="B1725" t="str">
        <f>"1551601536835116"</f>
        <v>1551601536835116</v>
      </c>
      <c r="C1725" t="s">
        <v>40</v>
      </c>
      <c r="D1725">
        <v>4.3709049999999996</v>
      </c>
      <c r="E1725">
        <v>0.4396062</v>
      </c>
      <c r="F1725" t="s">
        <v>51</v>
      </c>
      <c r="G1725">
        <v>-422.73689999999999</v>
      </c>
      <c r="H1725" s="1">
        <v>4.0729149999999998E-6</v>
      </c>
      <c r="I1725">
        <v>279.0247</v>
      </c>
      <c r="J1725">
        <v>-377.93790000000001</v>
      </c>
      <c r="K1725">
        <v>1.1205689999999999</v>
      </c>
      <c r="L1725">
        <v>284.267</v>
      </c>
      <c r="M1725">
        <v>-0.99989399999999995</v>
      </c>
      <c r="N1725">
        <v>-9.1780590000000006E-3</v>
      </c>
      <c r="O1725">
        <v>1.130331E-2</v>
      </c>
      <c r="P1725">
        <v>-0.98039699999999996</v>
      </c>
      <c r="Q1725">
        <v>0.1920724</v>
      </c>
      <c r="R1725">
        <v>4.3931449999999997E-2</v>
      </c>
      <c r="S1725">
        <v>-3.0912480000000002</v>
      </c>
      <c r="T1725">
        <v>-7.6804040000000004E-2</v>
      </c>
      <c r="U1725">
        <v>-0.35906979999999999</v>
      </c>
      <c r="V1725">
        <v>3.2879110000000003E-2</v>
      </c>
      <c r="W1725">
        <v>0.2010615</v>
      </c>
      <c r="X1725">
        <v>0.97902670000000003</v>
      </c>
      <c r="Y1725">
        <v>-0.12654779999999999</v>
      </c>
      <c r="Z1725">
        <v>-2.3259090000000001E-3</v>
      </c>
      <c r="AA1725">
        <v>0.9919578</v>
      </c>
      <c r="AB1725">
        <v>32</v>
      </c>
      <c r="AC1725">
        <v>-44.7989999999999</v>
      </c>
      <c r="AD1725">
        <v>-1.120564927085</v>
      </c>
      <c r="AE1725">
        <v>-5.2423000000000002</v>
      </c>
      <c r="AF1725">
        <v>-5.7448176392071097</v>
      </c>
      <c r="AG1725">
        <v>-1.120564927085</v>
      </c>
      <c r="AH1725">
        <v>44.709285077887998</v>
      </c>
      <c r="AI1725">
        <v>91.424021634417798</v>
      </c>
      <c r="AJ1725">
        <v>97.321970270134102</v>
      </c>
      <c r="AK1725">
        <v>45.090783621926697</v>
      </c>
      <c r="AL1725">
        <v>78.4009607250523</v>
      </c>
      <c r="AM1725">
        <v>88.076532040394795</v>
      </c>
      <c r="AN1725">
        <v>1.0000000209847599</v>
      </c>
    </row>
    <row r="1726" spans="1:40" x14ac:dyDescent="0.25">
      <c r="A1726" t="str">
        <f>"20190303162536869"</f>
        <v>20190303162536869</v>
      </c>
      <c r="B1726" t="str">
        <f>"1551601536854601"</f>
        <v>1551601536854601</v>
      </c>
      <c r="C1726" t="s">
        <v>40</v>
      </c>
      <c r="D1726">
        <v>4.332452</v>
      </c>
      <c r="E1726">
        <v>0.43946010000000002</v>
      </c>
      <c r="F1726" t="s">
        <v>51</v>
      </c>
      <c r="G1726">
        <v>-426.39729999999997</v>
      </c>
      <c r="H1726" s="1">
        <v>3.5651139999999999E-6</v>
      </c>
      <c r="I1726">
        <v>278.49029999999999</v>
      </c>
      <c r="J1726">
        <v>-378.26209999999998</v>
      </c>
      <c r="K1726">
        <v>1.120547</v>
      </c>
      <c r="L1726">
        <v>284.27080000000001</v>
      </c>
      <c r="M1726">
        <v>-0.99989499999999998</v>
      </c>
      <c r="N1726">
        <v>-8.9898449999999998E-3</v>
      </c>
      <c r="O1726">
        <v>1.136299E-2</v>
      </c>
      <c r="P1726">
        <v>-0.98034940000000004</v>
      </c>
      <c r="Q1726">
        <v>0.19250780000000001</v>
      </c>
      <c r="R1726">
        <v>4.3083150000000001E-2</v>
      </c>
      <c r="S1726">
        <v>-3.0904850000000001</v>
      </c>
      <c r="T1726">
        <v>-7.1463699999999894E-2</v>
      </c>
      <c r="U1726">
        <v>-0.36840820000000002</v>
      </c>
      <c r="V1726">
        <v>3.1973120000000001E-2</v>
      </c>
      <c r="W1726">
        <v>0.20131199999999999</v>
      </c>
      <c r="X1726">
        <v>0.97900520000000002</v>
      </c>
      <c r="Y1726">
        <v>-0.1295964</v>
      </c>
      <c r="Z1726">
        <v>-2.2376610000000002E-3</v>
      </c>
      <c r="AA1726">
        <v>0.99156429999999995</v>
      </c>
      <c r="AB1726">
        <v>32</v>
      </c>
      <c r="AC1726">
        <v>-48.135199999999998</v>
      </c>
      <c r="AD1726">
        <v>-1.1205434348859999</v>
      </c>
      <c r="AE1726">
        <v>-5.7805000000000097</v>
      </c>
      <c r="AF1726">
        <v>-6.3237304787977697</v>
      </c>
      <c r="AG1726">
        <v>-1.1205434348859999</v>
      </c>
      <c r="AH1726">
        <v>48.040741749137602</v>
      </c>
      <c r="AI1726">
        <v>91.324749929197793</v>
      </c>
      <c r="AJ1726">
        <v>97.498882580444402</v>
      </c>
      <c r="AK1726">
        <v>48.468113771481498</v>
      </c>
      <c r="AL1726">
        <v>78.386308192879994</v>
      </c>
      <c r="AM1726">
        <v>88.129454325343303</v>
      </c>
      <c r="AN1726">
        <v>0.99999999168678699</v>
      </c>
    </row>
    <row r="1727" spans="1:40" x14ac:dyDescent="0.25">
      <c r="A1727" t="str">
        <f>"20190303162536891"</f>
        <v>20190303162536891</v>
      </c>
      <c r="B1727" t="str">
        <f>"1551601536884857"</f>
        <v>1551601536884857</v>
      </c>
      <c r="C1727" t="s">
        <v>40</v>
      </c>
      <c r="D1727">
        <v>4.3698739999999896</v>
      </c>
      <c r="E1727">
        <v>0.43909280000000001</v>
      </c>
      <c r="F1727" t="s">
        <v>51</v>
      </c>
      <c r="G1727">
        <v>-428.62819999999999</v>
      </c>
      <c r="H1727" s="1">
        <v>3.2450409999999999E-6</v>
      </c>
      <c r="I1727">
        <v>278.2047</v>
      </c>
      <c r="J1727">
        <v>-378.58330000000001</v>
      </c>
      <c r="K1727">
        <v>1.120528</v>
      </c>
      <c r="L1727">
        <v>284.27449999999999</v>
      </c>
      <c r="M1727">
        <v>-0.99989589999999995</v>
      </c>
      <c r="N1727">
        <v>-8.8242259999999993E-3</v>
      </c>
      <c r="O1727">
        <v>1.142172E-2</v>
      </c>
      <c r="P1727">
        <v>-0.98016789999999998</v>
      </c>
      <c r="Q1727">
        <v>0.19333500000000001</v>
      </c>
      <c r="R1727">
        <v>4.350847E-2</v>
      </c>
      <c r="S1727">
        <v>-3.0899960000000002</v>
      </c>
      <c r="T1727">
        <v>-6.8746210000000002E-2</v>
      </c>
      <c r="U1727">
        <v>-0.37216189999999999</v>
      </c>
      <c r="V1727">
        <v>3.2343080000000003E-2</v>
      </c>
      <c r="W1727">
        <v>0.20197560000000001</v>
      </c>
      <c r="X1727">
        <v>0.97885639999999996</v>
      </c>
      <c r="Y1727">
        <v>-0.13086339999999999</v>
      </c>
      <c r="Z1727">
        <v>-2.182678E-3</v>
      </c>
      <c r="AA1727">
        <v>0.991398</v>
      </c>
      <c r="AB1727">
        <v>32</v>
      </c>
      <c r="AC1727">
        <v>-50.044899999999899</v>
      </c>
      <c r="AD1727">
        <v>-1.1205247549590001</v>
      </c>
      <c r="AE1727">
        <v>-6.0697999999999803</v>
      </c>
      <c r="AF1727">
        <v>-6.6377456339646397</v>
      </c>
      <c r="AG1727">
        <v>-1.1205247549590001</v>
      </c>
      <c r="AH1727">
        <v>49.947627864252198</v>
      </c>
      <c r="AI1727">
        <v>91.273960932226601</v>
      </c>
      <c r="AJ1727">
        <v>97.569915971400903</v>
      </c>
      <c r="AK1727">
        <v>50.399214002735398</v>
      </c>
      <c r="AL1727">
        <v>78.347489840797707</v>
      </c>
      <c r="AM1727">
        <v>88.107538513882702</v>
      </c>
      <c r="AN1727">
        <v>1.0000000348200999</v>
      </c>
    </row>
    <row r="1728" spans="1:40" x14ac:dyDescent="0.25">
      <c r="A1728" t="str">
        <f>"20190303162536914"</f>
        <v>20190303162536914</v>
      </c>
      <c r="B1728" t="str">
        <f>"1551601536904377"</f>
        <v>1551601536904377</v>
      </c>
      <c r="C1728" t="s">
        <v>40</v>
      </c>
      <c r="D1728">
        <v>4.3602759999999998</v>
      </c>
      <c r="E1728">
        <v>0.43869730000000001</v>
      </c>
      <c r="F1728" t="s">
        <v>51</v>
      </c>
      <c r="G1728">
        <v>-430.43130000000002</v>
      </c>
      <c r="H1728">
        <v>4.6016700000000001E-2</v>
      </c>
      <c r="I1728">
        <v>277.98579999999998</v>
      </c>
      <c r="J1728">
        <v>-378.89769999999999</v>
      </c>
      <c r="K1728">
        <v>1.1205080000000001</v>
      </c>
      <c r="L1728">
        <v>284.27809999999999</v>
      </c>
      <c r="M1728">
        <v>-0.99989649999999997</v>
      </c>
      <c r="N1728">
        <v>-8.6811690000000007E-3</v>
      </c>
      <c r="O1728">
        <v>1.1477279999999999E-2</v>
      </c>
      <c r="P1728">
        <v>-0.98023859999999996</v>
      </c>
      <c r="Q1728">
        <v>0.19275039999999999</v>
      </c>
      <c r="R1728">
        <v>4.4495069999999998E-2</v>
      </c>
      <c r="S1728">
        <v>-3.0899960000000002</v>
      </c>
      <c r="T1728">
        <v>-6.4037919999999998E-2</v>
      </c>
      <c r="U1728">
        <v>-0.37478640000000002</v>
      </c>
      <c r="V1728">
        <v>3.3273610000000002E-2</v>
      </c>
      <c r="W1728">
        <v>0.20125119999999999</v>
      </c>
      <c r="X1728">
        <v>0.97897429999999996</v>
      </c>
      <c r="Y1728">
        <v>-0.1317535</v>
      </c>
      <c r="Z1728">
        <v>-2.0719409999999999E-3</v>
      </c>
      <c r="AA1728">
        <v>0.9912803</v>
      </c>
      <c r="AB1728">
        <v>32</v>
      </c>
      <c r="AC1728">
        <v>-51.5336</v>
      </c>
      <c r="AD1728">
        <v>-1.0744913</v>
      </c>
      <c r="AE1728">
        <v>-6.2923000000000098</v>
      </c>
      <c r="AF1728">
        <v>-6.8804261097753798</v>
      </c>
      <c r="AG1728">
        <v>-1.0744913</v>
      </c>
      <c r="AH1728">
        <v>51.435951672650702</v>
      </c>
      <c r="AI1728">
        <v>91.186166128085404</v>
      </c>
      <c r="AJ1728">
        <v>97.619047753790497</v>
      </c>
      <c r="AK1728">
        <v>51.9052205416479</v>
      </c>
      <c r="AL1728">
        <v>78.389863829143906</v>
      </c>
      <c r="AM1728">
        <v>88.053366850461302</v>
      </c>
      <c r="AN1728">
        <v>0.99999992934217796</v>
      </c>
    </row>
    <row r="1729" spans="1:40" x14ac:dyDescent="0.25">
      <c r="A1729" t="str">
        <f>"20190303162536936"</f>
        <v>20190303162536936</v>
      </c>
      <c r="B1729" t="str">
        <f>"1551601536924873"</f>
        <v>1551601536924873</v>
      </c>
      <c r="C1729" t="s">
        <v>40</v>
      </c>
      <c r="D1729">
        <v>4.3732530000000001</v>
      </c>
      <c r="E1729">
        <v>0.43867650000000002</v>
      </c>
      <c r="F1729" t="s">
        <v>51</v>
      </c>
      <c r="G1729">
        <v>-430.44729999999998</v>
      </c>
      <c r="H1729">
        <v>5.2925449999999999E-2</v>
      </c>
      <c r="I1729">
        <v>278.00869999999998</v>
      </c>
      <c r="J1729">
        <v>-379.22089999999997</v>
      </c>
      <c r="K1729">
        <v>1.120498</v>
      </c>
      <c r="L1729">
        <v>284.28190000000001</v>
      </c>
      <c r="M1729">
        <v>-0.99989689999999998</v>
      </c>
      <c r="N1729">
        <v>-8.5524060000000002E-3</v>
      </c>
      <c r="O1729">
        <v>1.1527269999999999E-2</v>
      </c>
      <c r="P1729">
        <v>-0.98051100000000002</v>
      </c>
      <c r="Q1729">
        <v>0.19109480000000001</v>
      </c>
      <c r="R1729">
        <v>4.5616499999999997E-2</v>
      </c>
      <c r="S1729">
        <v>-3.0901489999999998</v>
      </c>
      <c r="T1729">
        <v>-6.3996430000000007E-2</v>
      </c>
      <c r="U1729">
        <v>-0.37582399999999999</v>
      </c>
      <c r="V1729">
        <v>3.4340660000000002E-2</v>
      </c>
      <c r="W1729">
        <v>0.19947229999999999</v>
      </c>
      <c r="X1729">
        <v>0.97930159999999999</v>
      </c>
      <c r="Y1729">
        <v>-0.1321253</v>
      </c>
      <c r="Z1729">
        <v>-2.0698019999999999E-3</v>
      </c>
      <c r="AA1729">
        <v>0.99123079999999997</v>
      </c>
      <c r="AB1729">
        <v>32</v>
      </c>
      <c r="AC1729">
        <v>-51.226399999999998</v>
      </c>
      <c r="AD1729">
        <v>-1.06757255</v>
      </c>
      <c r="AE1729">
        <v>-6.2732000000000303</v>
      </c>
      <c r="AF1729">
        <v>-6.8603698067861396</v>
      </c>
      <c r="AG1729">
        <v>-1.06757255</v>
      </c>
      <c r="AH1729">
        <v>51.128802657885402</v>
      </c>
      <c r="AI1729">
        <v>91.185544133075098</v>
      </c>
      <c r="AJ1729">
        <v>97.642198853129401</v>
      </c>
      <c r="AK1729">
        <v>51.598050799079303</v>
      </c>
      <c r="AL1729">
        <v>78.493898324351093</v>
      </c>
      <c r="AM1729">
        <v>87.991661611932003</v>
      </c>
      <c r="AN1729">
        <v>1.00000005157954</v>
      </c>
    </row>
    <row r="1730" spans="1:40" x14ac:dyDescent="0.25">
      <c r="A1730" t="str">
        <f>"20190303162536960"</f>
        <v>20190303162536960</v>
      </c>
      <c r="B1730" t="str">
        <f>"1551601536955129"</f>
        <v>1551601536955129</v>
      </c>
      <c r="C1730" t="s">
        <v>40</v>
      </c>
      <c r="D1730">
        <v>4.3426619999999998</v>
      </c>
      <c r="E1730">
        <v>0.44556390000000001</v>
      </c>
      <c r="F1730" t="s">
        <v>51</v>
      </c>
      <c r="G1730">
        <v>-429.77120000000002</v>
      </c>
      <c r="H1730" s="1">
        <v>3.0480669999999998E-6</v>
      </c>
      <c r="I1730">
        <v>278.18290000000002</v>
      </c>
      <c r="J1730">
        <v>-379.55540000000002</v>
      </c>
      <c r="K1730">
        <v>1.12049</v>
      </c>
      <c r="L1730">
        <v>284.28579999999999</v>
      </c>
      <c r="M1730">
        <v>-0.99989760000000005</v>
      </c>
      <c r="N1730">
        <v>-8.4381030000000006E-3</v>
      </c>
      <c r="O1730">
        <v>1.15645E-2</v>
      </c>
      <c r="P1730">
        <v>-0.9806222</v>
      </c>
      <c r="Q1730">
        <v>0.19019939999999999</v>
      </c>
      <c r="R1730">
        <v>4.6954679999999999E-2</v>
      </c>
      <c r="S1730">
        <v>-3.090363</v>
      </c>
      <c r="T1730">
        <v>-6.850088E-2</v>
      </c>
      <c r="U1730">
        <v>-0.37286380000000002</v>
      </c>
      <c r="V1730">
        <v>3.5636859999999999E-2</v>
      </c>
      <c r="W1730">
        <v>0.19846659999999999</v>
      </c>
      <c r="X1730">
        <v>0.97945950000000004</v>
      </c>
      <c r="Y1730">
        <v>-0.13121350000000001</v>
      </c>
      <c r="Z1730">
        <v>-2.162719E-3</v>
      </c>
      <c r="AA1730">
        <v>0.99135180000000001</v>
      </c>
      <c r="AB1730">
        <v>32</v>
      </c>
      <c r="AC1730">
        <v>-50.215800000000002</v>
      </c>
      <c r="AD1730">
        <v>-1.1204869519329901</v>
      </c>
      <c r="AE1730">
        <v>-6.1028999999999698</v>
      </c>
      <c r="AF1730">
        <v>-6.6799556451206499</v>
      </c>
      <c r="AG1730">
        <v>-1.1204869519329901</v>
      </c>
      <c r="AH1730">
        <v>50.117272625247402</v>
      </c>
      <c r="AI1730">
        <v>91.269542099366504</v>
      </c>
      <c r="AJ1730">
        <v>97.592006632001201</v>
      </c>
      <c r="AK1730">
        <v>50.572900982874302</v>
      </c>
      <c r="AL1730">
        <v>78.552695073716094</v>
      </c>
      <c r="AM1730">
        <v>87.916257503135398</v>
      </c>
      <c r="AN1730">
        <v>0.99999994462323305</v>
      </c>
    </row>
    <row r="1731" spans="1:40" x14ac:dyDescent="0.25">
      <c r="A1731" t="str">
        <f>"20190303162536981"</f>
        <v>20190303162536981</v>
      </c>
      <c r="B1731" t="str">
        <f>"1551601536974649"</f>
        <v>1551601536974649</v>
      </c>
      <c r="C1731" t="s">
        <v>40</v>
      </c>
      <c r="D1731">
        <v>4.3426289999999996</v>
      </c>
      <c r="E1731">
        <v>0.44498110000000002</v>
      </c>
      <c r="F1731" t="s">
        <v>51</v>
      </c>
      <c r="G1731">
        <v>-402.17860000000002</v>
      </c>
      <c r="H1731" s="1">
        <v>7.9805570000000002E-6</v>
      </c>
      <c r="I1731">
        <v>281.98169999999999</v>
      </c>
      <c r="J1731">
        <v>-379.86829999999998</v>
      </c>
      <c r="K1731">
        <v>1.120498</v>
      </c>
      <c r="L1731">
        <v>284.28949999999998</v>
      </c>
      <c r="M1731">
        <v>-0.99989810000000001</v>
      </c>
      <c r="N1731">
        <v>-8.3468440000000008E-3</v>
      </c>
      <c r="O1731">
        <v>1.1588090000000001E-2</v>
      </c>
      <c r="P1731">
        <v>-0.98053219999999996</v>
      </c>
      <c r="Q1731">
        <v>0.19010969999999999</v>
      </c>
      <c r="R1731">
        <v>4.9143329999999999E-2</v>
      </c>
      <c r="S1731">
        <v>-3.104279</v>
      </c>
      <c r="T1731">
        <v>-0.1537491</v>
      </c>
      <c r="U1731">
        <v>-0.316162099999999</v>
      </c>
      <c r="V1731">
        <v>3.7798520000000002E-2</v>
      </c>
      <c r="W1731">
        <v>0.19828770000000001</v>
      </c>
      <c r="X1731">
        <v>0.97941480000000003</v>
      </c>
      <c r="Y1731">
        <v>-0.1126754</v>
      </c>
      <c r="Z1731">
        <v>-3.7289760000000002E-3</v>
      </c>
      <c r="AA1731">
        <v>0.99362490000000003</v>
      </c>
      <c r="AB1731">
        <v>32</v>
      </c>
      <c r="AC1731">
        <v>-22.310300000000002</v>
      </c>
      <c r="AD1731">
        <v>-1.1204900194429901</v>
      </c>
      <c r="AE1731">
        <v>-2.3077999999999799</v>
      </c>
      <c r="AF1731">
        <v>-2.55979943178624</v>
      </c>
      <c r="AG1731">
        <v>-1.1204900194429901</v>
      </c>
      <c r="AH1731">
        <v>22.2265882825814</v>
      </c>
      <c r="AI1731">
        <v>92.867040806866896</v>
      </c>
      <c r="AJ1731">
        <v>96.569715893057904</v>
      </c>
      <c r="AK1731">
        <v>22.4015467702128</v>
      </c>
      <c r="AL1731">
        <v>78.563154301942106</v>
      </c>
      <c r="AM1731">
        <v>87.789882877205599</v>
      </c>
      <c r="AN1731">
        <v>1.0000000452722499</v>
      </c>
    </row>
    <row r="1732" spans="1:40" x14ac:dyDescent="0.25">
      <c r="A1732" t="str">
        <f>"20190303162537002"</f>
        <v>20190303162537002</v>
      </c>
      <c r="B1732" t="str">
        <f>"1551601536994168"</f>
        <v>1551601536994168</v>
      </c>
      <c r="C1732" t="s">
        <v>40</v>
      </c>
      <c r="D1732">
        <v>4.3689119999999999</v>
      </c>
      <c r="E1732">
        <v>0.44454949999999999</v>
      </c>
      <c r="F1732" t="s">
        <v>51</v>
      </c>
      <c r="G1732">
        <v>-402.80160000000001</v>
      </c>
      <c r="H1732" s="1">
        <v>7.707771E-6</v>
      </c>
      <c r="I1732">
        <v>281.96469999999999</v>
      </c>
      <c r="J1732">
        <v>-380.1746</v>
      </c>
      <c r="K1732">
        <v>1.120501</v>
      </c>
      <c r="L1732">
        <v>284.29300000000001</v>
      </c>
      <c r="M1732">
        <v>-0.99989859999999997</v>
      </c>
      <c r="N1732">
        <v>-8.2696550000000008E-3</v>
      </c>
      <c r="O1732">
        <v>1.1602919999999999E-2</v>
      </c>
      <c r="P1732">
        <v>-0.98046800000000001</v>
      </c>
      <c r="Q1732">
        <v>0.18995210000000001</v>
      </c>
      <c r="R1732">
        <v>5.1000040000000003E-2</v>
      </c>
      <c r="S1732">
        <v>-3.1047359999999999</v>
      </c>
      <c r="T1732">
        <v>-0.1516932</v>
      </c>
      <c r="U1732">
        <v>-0.3147278</v>
      </c>
      <c r="V1732">
        <v>3.9636949999999997E-2</v>
      </c>
      <c r="W1732">
        <v>0.19805439999999999</v>
      </c>
      <c r="X1732">
        <v>0.97938930000000002</v>
      </c>
      <c r="Y1732">
        <v>-0.1122261</v>
      </c>
      <c r="Z1732">
        <v>-3.6680760000000001E-3</v>
      </c>
      <c r="AA1732">
        <v>0.99367589999999995</v>
      </c>
      <c r="AB1732">
        <v>32</v>
      </c>
      <c r="AC1732">
        <v>-22.626999999999999</v>
      </c>
      <c r="AD1732">
        <v>-1.1204932922290001</v>
      </c>
      <c r="AE1732">
        <v>-2.3283000000000098</v>
      </c>
      <c r="AF1732">
        <v>-2.5844202354885</v>
      </c>
      <c r="AG1732">
        <v>-1.1204932922290001</v>
      </c>
      <c r="AH1732">
        <v>22.543757044485002</v>
      </c>
      <c r="AI1732">
        <v>92.826947509763698</v>
      </c>
      <c r="AJ1732">
        <v>96.539848167114698</v>
      </c>
      <c r="AK1732">
        <v>22.719060606730601</v>
      </c>
      <c r="AL1732">
        <v>78.576791547895397</v>
      </c>
      <c r="AM1732">
        <v>87.682442261249506</v>
      </c>
      <c r="AN1732">
        <v>1.00000001705957</v>
      </c>
    </row>
    <row r="1733" spans="1:40" x14ac:dyDescent="0.25">
      <c r="A1733" t="str">
        <f>"20190303162537024"</f>
        <v>20190303162537024</v>
      </c>
      <c r="B1733" t="str">
        <f>"1551601537014666"</f>
        <v>1551601537014666</v>
      </c>
      <c r="C1733" t="s">
        <v>40</v>
      </c>
      <c r="D1733">
        <v>4.2948529999999998</v>
      </c>
      <c r="E1733">
        <v>0.44514189999999998</v>
      </c>
      <c r="F1733" t="s">
        <v>51</v>
      </c>
      <c r="G1733">
        <v>-403.27800000000002</v>
      </c>
      <c r="H1733" s="1">
        <v>7.4961869999999998E-6</v>
      </c>
      <c r="I1733">
        <v>281.96620000000001</v>
      </c>
      <c r="J1733">
        <v>-380.49209999999999</v>
      </c>
      <c r="K1733">
        <v>1.120503</v>
      </c>
      <c r="L1733">
        <v>284.29680000000002</v>
      </c>
      <c r="M1733">
        <v>-0.99989899999999998</v>
      </c>
      <c r="N1733">
        <v>-8.2009289999999992E-3</v>
      </c>
      <c r="O1733">
        <v>1.160867E-2</v>
      </c>
      <c r="P1733">
        <v>-0.98034869999999996</v>
      </c>
      <c r="Q1733">
        <v>0.19043309999999999</v>
      </c>
      <c r="R1733">
        <v>5.1496769999999997E-2</v>
      </c>
      <c r="S1733">
        <v>-3.1052550000000001</v>
      </c>
      <c r="T1733">
        <v>-0.1506015</v>
      </c>
      <c r="U1733">
        <v>-0.31274410000000002</v>
      </c>
      <c r="V1733">
        <v>4.012537E-2</v>
      </c>
      <c r="W1733">
        <v>0.19846800000000001</v>
      </c>
      <c r="X1733">
        <v>0.97928570000000004</v>
      </c>
      <c r="Y1733">
        <v>-0.1115901</v>
      </c>
      <c r="Z1733">
        <v>-3.6230699999999999E-3</v>
      </c>
      <c r="AA1733">
        <v>0.99374770000000001</v>
      </c>
      <c r="AB1733">
        <v>32</v>
      </c>
      <c r="AC1733">
        <v>-22.785900000000002</v>
      </c>
      <c r="AD1733">
        <v>-1.120495503813</v>
      </c>
      <c r="AE1733">
        <v>-2.3306</v>
      </c>
      <c r="AF1733">
        <v>-2.5887705437723398</v>
      </c>
      <c r="AG1733">
        <v>-1.120495503813</v>
      </c>
      <c r="AH1733">
        <v>22.702977052583499</v>
      </c>
      <c r="AI1733">
        <v>92.807352684001003</v>
      </c>
      <c r="AJ1733">
        <v>96.505214492368196</v>
      </c>
      <c r="AK1733">
        <v>22.877552538514699</v>
      </c>
      <c r="AL1733">
        <v>78.552614306631895</v>
      </c>
      <c r="AM1733">
        <v>87.653668323499502</v>
      </c>
      <c r="AN1733">
        <v>1.00000003728306</v>
      </c>
    </row>
    <row r="1734" spans="1:40" x14ac:dyDescent="0.25">
      <c r="A1734" t="str">
        <f>"20190303162537047"</f>
        <v>20190303162537047</v>
      </c>
      <c r="B1734" t="str">
        <f>"1551601537034185"</f>
        <v>1551601537034185</v>
      </c>
      <c r="C1734" t="s">
        <v>40</v>
      </c>
      <c r="D1734">
        <v>4.2956880000000002</v>
      </c>
      <c r="E1734">
        <v>0.44489960000000001</v>
      </c>
      <c r="F1734" t="s">
        <v>51</v>
      </c>
      <c r="G1734">
        <v>-403.36880000000002</v>
      </c>
      <c r="H1734" s="1">
        <v>7.4412649999999902E-6</v>
      </c>
      <c r="I1734">
        <v>282.03719999999998</v>
      </c>
      <c r="J1734">
        <v>-380.82339999999999</v>
      </c>
      <c r="K1734">
        <v>1.120517</v>
      </c>
      <c r="L1734">
        <v>284.30059999999997</v>
      </c>
      <c r="M1734">
        <v>-0.99989980000000001</v>
      </c>
      <c r="N1734">
        <v>-8.1421299999999992E-3</v>
      </c>
      <c r="O1734">
        <v>1.159167E-2</v>
      </c>
      <c r="P1734">
        <v>-0.98023990000000005</v>
      </c>
      <c r="Q1734">
        <v>0.19099240000000001</v>
      </c>
      <c r="R1734">
        <v>5.1498450000000001E-2</v>
      </c>
      <c r="S1734">
        <v>-3.1057739999999998</v>
      </c>
      <c r="T1734">
        <v>-0.15212020000000001</v>
      </c>
      <c r="U1734">
        <v>-0.3067627</v>
      </c>
      <c r="V1734">
        <v>4.0138849999999997E-2</v>
      </c>
      <c r="W1734">
        <v>0.19897039999999999</v>
      </c>
      <c r="X1734">
        <v>0.97918309999999997</v>
      </c>
      <c r="Y1734">
        <v>-0.1096611</v>
      </c>
      <c r="Z1734">
        <v>-3.5973369999999999E-3</v>
      </c>
      <c r="AA1734">
        <v>0.99396249999999997</v>
      </c>
      <c r="AB1734">
        <v>32</v>
      </c>
      <c r="AC1734">
        <v>-22.545400000000001</v>
      </c>
      <c r="AD1734">
        <v>-1.120509558735</v>
      </c>
      <c r="AE1734">
        <v>-2.2633999999999901</v>
      </c>
      <c r="AF1734">
        <v>-2.5184366581697502</v>
      </c>
      <c r="AG1734">
        <v>-1.120509558735</v>
      </c>
      <c r="AH1734">
        <v>22.462716117002</v>
      </c>
      <c r="AI1734">
        <v>92.837971410488095</v>
      </c>
      <c r="AJ1734">
        <v>96.397076276407901</v>
      </c>
      <c r="AK1734">
        <v>22.631210312872199</v>
      </c>
      <c r="AL1734">
        <v>78.523242073467699</v>
      </c>
      <c r="AM1734">
        <v>87.652635302773803</v>
      </c>
      <c r="AN1734">
        <v>0.99999994534054404</v>
      </c>
    </row>
    <row r="1735" spans="1:40" x14ac:dyDescent="0.25">
      <c r="A1735" t="str">
        <f>"20190303162537070"</f>
        <v>20190303162537070</v>
      </c>
      <c r="B1735" t="str">
        <f>"1551601537064442"</f>
        <v>1551601537064442</v>
      </c>
      <c r="C1735" t="s">
        <v>40</v>
      </c>
      <c r="D1735">
        <v>4.2917379999999996</v>
      </c>
      <c r="E1735">
        <v>0.44480409999999998</v>
      </c>
      <c r="F1735" t="s">
        <v>51</v>
      </c>
      <c r="G1735">
        <v>-403.0763</v>
      </c>
      <c r="H1735" s="1">
        <v>7.5601489999999997E-6</v>
      </c>
      <c r="I1735">
        <v>282.08960000000002</v>
      </c>
      <c r="J1735">
        <v>-381.15339999999998</v>
      </c>
      <c r="K1735">
        <v>1.1205339999999999</v>
      </c>
      <c r="L1735">
        <v>284.30430000000001</v>
      </c>
      <c r="M1735">
        <v>-0.99990069999999998</v>
      </c>
      <c r="N1735">
        <v>-8.0976709999999903E-3</v>
      </c>
      <c r="O1735">
        <v>1.154003E-2</v>
      </c>
      <c r="P1735">
        <v>-0.98018380000000005</v>
      </c>
      <c r="Q1735">
        <v>0.19147020000000001</v>
      </c>
      <c r="R1735">
        <v>5.0787659999999998E-2</v>
      </c>
      <c r="S1735">
        <v>-3.1071469999999999</v>
      </c>
      <c r="T1735">
        <v>-0.15645539999999999</v>
      </c>
      <c r="U1735">
        <v>-0.30871579999999998</v>
      </c>
      <c r="V1735">
        <v>3.9469089999999998E-2</v>
      </c>
      <c r="W1735">
        <v>0.1994059</v>
      </c>
      <c r="X1735">
        <v>0.97912180000000004</v>
      </c>
      <c r="Y1735">
        <v>-0.1101763</v>
      </c>
      <c r="Z1735">
        <v>-3.6990410000000001E-3</v>
      </c>
      <c r="AA1735">
        <v>0.99390520000000004</v>
      </c>
      <c r="AB1735">
        <v>32</v>
      </c>
      <c r="AC1735">
        <v>-21.922899999999998</v>
      </c>
      <c r="AD1735">
        <v>-1.120526439851</v>
      </c>
      <c r="AE1735">
        <v>-2.2146999999999899</v>
      </c>
      <c r="AF1735">
        <v>-2.4611869407584801</v>
      </c>
      <c r="AG1735">
        <v>-1.120526439851</v>
      </c>
      <c r="AH1735">
        <v>21.839403560253899</v>
      </c>
      <c r="AI1735">
        <v>92.918687860551003</v>
      </c>
      <c r="AJ1735">
        <v>96.429807501810501</v>
      </c>
      <c r="AK1735">
        <v>22.006193867350099</v>
      </c>
      <c r="AL1735">
        <v>78.497780283729099</v>
      </c>
      <c r="AM1735">
        <v>87.691616533403305</v>
      </c>
      <c r="AN1735">
        <v>1.00000001062773</v>
      </c>
    </row>
    <row r="1736" spans="1:40" x14ac:dyDescent="0.25">
      <c r="A1736" t="str">
        <f>"20190303162537091"</f>
        <v>20190303162537091</v>
      </c>
      <c r="B1736" t="str">
        <f>"1551601537084939"</f>
        <v>1551601537084939</v>
      </c>
      <c r="C1736" t="s">
        <v>40</v>
      </c>
      <c r="D1736">
        <v>4.27529</v>
      </c>
      <c r="E1736">
        <v>0.4446754</v>
      </c>
      <c r="F1736" t="s">
        <v>51</v>
      </c>
      <c r="G1736">
        <v>-403.03840000000002</v>
      </c>
      <c r="H1736" s="1">
        <v>7.5717550000000003E-6</v>
      </c>
      <c r="I1736">
        <v>282.11470000000003</v>
      </c>
      <c r="J1736">
        <v>-381.46460000000002</v>
      </c>
      <c r="K1736">
        <v>1.1205579999999999</v>
      </c>
      <c r="L1736">
        <v>284.30779999999999</v>
      </c>
      <c r="M1736">
        <v>-0.99990199999999996</v>
      </c>
      <c r="N1736">
        <v>-8.0682730000000008E-3</v>
      </c>
      <c r="O1736">
        <v>1.1452189999999999E-2</v>
      </c>
      <c r="P1736">
        <v>-0.98019809999999996</v>
      </c>
      <c r="Q1736">
        <v>0.19174060000000001</v>
      </c>
      <c r="R1736">
        <v>4.9472559999999999E-2</v>
      </c>
      <c r="S1736">
        <v>-3.1078800000000002</v>
      </c>
      <c r="T1736">
        <v>-0.15912509999999999</v>
      </c>
      <c r="U1736">
        <v>-0.31094359999999999</v>
      </c>
      <c r="V1736">
        <v>3.8225910000000002E-2</v>
      </c>
      <c r="W1736">
        <v>0.1996503</v>
      </c>
      <c r="X1736">
        <v>0.97912129999999997</v>
      </c>
      <c r="Y1736">
        <v>-0.11076510000000001</v>
      </c>
      <c r="Z1736">
        <v>-3.7674990000000001E-3</v>
      </c>
      <c r="AA1736">
        <v>0.99383940000000004</v>
      </c>
      <c r="AB1736">
        <v>32</v>
      </c>
      <c r="AC1736">
        <v>-21.573799999999999</v>
      </c>
      <c r="AD1736">
        <v>-1.1205504282449901</v>
      </c>
      <c r="AE1736">
        <v>-2.1930999999999501</v>
      </c>
      <c r="AF1736">
        <v>-2.4335334042196202</v>
      </c>
      <c r="AG1736">
        <v>-1.1205504282449901</v>
      </c>
      <c r="AH1736">
        <v>21.489886118801099</v>
      </c>
      <c r="AI1736">
        <v>92.965957155278701</v>
      </c>
      <c r="AJ1736">
        <v>96.460701480239806</v>
      </c>
      <c r="AK1736">
        <v>21.656244445672801</v>
      </c>
      <c r="AL1736">
        <v>78.483489619041293</v>
      </c>
      <c r="AM1736">
        <v>87.764248855962904</v>
      </c>
      <c r="AN1736">
        <v>0.99999999129955397</v>
      </c>
    </row>
    <row r="1737" spans="1:40" x14ac:dyDescent="0.25">
      <c r="A1737" t="str">
        <f>"20190303162537114"</f>
        <v>20190303162537114</v>
      </c>
      <c r="B1737" t="str">
        <f>"1551601537104457"</f>
        <v>1551601537104457</v>
      </c>
      <c r="C1737" t="s">
        <v>40</v>
      </c>
      <c r="D1737">
        <v>4.2771739999999996</v>
      </c>
      <c r="E1737">
        <v>0.44449899999999998</v>
      </c>
      <c r="F1737" t="s">
        <v>51</v>
      </c>
      <c r="G1737">
        <v>-403.16430000000003</v>
      </c>
      <c r="H1737" s="1">
        <v>7.517063E-6</v>
      </c>
      <c r="I1737">
        <v>282.10930000000002</v>
      </c>
      <c r="J1737">
        <v>-381.78989999999999</v>
      </c>
      <c r="K1737">
        <v>1.1205940000000001</v>
      </c>
      <c r="L1737">
        <v>284.31150000000002</v>
      </c>
      <c r="M1737">
        <v>-0.9999036</v>
      </c>
      <c r="N1737">
        <v>-8.0489959999999992E-3</v>
      </c>
      <c r="O1737">
        <v>1.1319650000000001E-2</v>
      </c>
      <c r="P1737">
        <v>-0.98028199999999999</v>
      </c>
      <c r="Q1737">
        <v>0.19171489999999999</v>
      </c>
      <c r="R1737">
        <v>4.7881609999999998E-2</v>
      </c>
      <c r="S1737">
        <v>-3.1078800000000002</v>
      </c>
      <c r="T1737">
        <v>-0.16048770000000001</v>
      </c>
      <c r="U1737">
        <v>-0.3148804</v>
      </c>
      <c r="V1737">
        <v>3.674678E-2</v>
      </c>
      <c r="W1737">
        <v>0.19960919999999999</v>
      </c>
      <c r="X1737">
        <v>0.97918629999999995</v>
      </c>
      <c r="Y1737">
        <v>-0.11187519999999999</v>
      </c>
      <c r="Z1737">
        <v>-3.822935E-3</v>
      </c>
      <c r="AA1737">
        <v>0.99371489999999996</v>
      </c>
      <c r="AB1737">
        <v>32</v>
      </c>
      <c r="AC1737">
        <v>-21.374400000000001</v>
      </c>
      <c r="AD1737">
        <v>-1.120586482937</v>
      </c>
      <c r="AE1737">
        <v>-2.2021999999999999</v>
      </c>
      <c r="AF1737">
        <v>-2.43738854065078</v>
      </c>
      <c r="AG1737">
        <v>-1.120586482937</v>
      </c>
      <c r="AH1737">
        <v>21.2901990960289</v>
      </c>
      <c r="AI1737">
        <v>92.993403947392494</v>
      </c>
      <c r="AJ1737">
        <v>96.531019645933597</v>
      </c>
      <c r="AK1737">
        <v>21.458545023192698</v>
      </c>
      <c r="AL1737">
        <v>78.485892767985504</v>
      </c>
      <c r="AM1737">
        <v>87.850819758719894</v>
      </c>
      <c r="AN1737">
        <v>0.99999998433634896</v>
      </c>
    </row>
    <row r="1738" spans="1:40" x14ac:dyDescent="0.25">
      <c r="A1738" t="str">
        <f>"20190303162537137"</f>
        <v>20190303162537137</v>
      </c>
      <c r="B1738" t="str">
        <f>"1551601537124954"</f>
        <v>1551601537124954</v>
      </c>
      <c r="C1738" t="s">
        <v>40</v>
      </c>
      <c r="D1738">
        <v>4.2905139999999999</v>
      </c>
      <c r="E1738">
        <v>0.44429760000000001</v>
      </c>
      <c r="F1738" t="s">
        <v>51</v>
      </c>
      <c r="G1738">
        <v>-403.20890000000003</v>
      </c>
      <c r="H1738" s="1">
        <v>7.4984749999999901E-6</v>
      </c>
      <c r="I1738">
        <v>282.10340000000002</v>
      </c>
      <c r="J1738">
        <v>-382.12180000000001</v>
      </c>
      <c r="K1738">
        <v>1.1206259999999999</v>
      </c>
      <c r="L1738">
        <v>284.315</v>
      </c>
      <c r="M1738">
        <v>-0.99990570000000001</v>
      </c>
      <c r="N1738">
        <v>-8.0372759999999994E-3</v>
      </c>
      <c r="O1738">
        <v>1.11465E-2</v>
      </c>
      <c r="P1738">
        <v>-0.98052300000000003</v>
      </c>
      <c r="Q1738">
        <v>0.19087409999999999</v>
      </c>
      <c r="R1738">
        <v>4.6279729999999998E-2</v>
      </c>
      <c r="S1738">
        <v>-3.1077880000000002</v>
      </c>
      <c r="T1738">
        <v>-0.16259109999999999</v>
      </c>
      <c r="U1738">
        <v>-0.32037349999999998</v>
      </c>
      <c r="V1738">
        <v>3.5295310000000003E-2</v>
      </c>
      <c r="W1738">
        <v>0.19876150000000001</v>
      </c>
      <c r="X1738">
        <v>0.97941210000000001</v>
      </c>
      <c r="Y1738">
        <v>-0.1134375</v>
      </c>
      <c r="Z1738">
        <v>-3.9069589999999998E-3</v>
      </c>
      <c r="AA1738">
        <v>0.99353749999999996</v>
      </c>
      <c r="AB1738">
        <v>33</v>
      </c>
      <c r="AC1738">
        <v>-21.0871</v>
      </c>
      <c r="AD1738">
        <v>-1.1206185015250001</v>
      </c>
      <c r="AE1738">
        <v>-2.21159999999997</v>
      </c>
      <c r="AF1738">
        <v>-2.4397024909523601</v>
      </c>
      <c r="AG1738">
        <v>-1.1206185015250001</v>
      </c>
      <c r="AH1738">
        <v>21.002469514218799</v>
      </c>
      <c r="AI1738">
        <v>93.033844840230103</v>
      </c>
      <c r="AJ1738">
        <v>96.625933085965201</v>
      </c>
      <c r="AK1738">
        <v>21.173371478487098</v>
      </c>
      <c r="AL1738">
        <v>78.535455467192705</v>
      </c>
      <c r="AM1738">
        <v>87.936111315074896</v>
      </c>
      <c r="AN1738">
        <v>0.99999997720832701</v>
      </c>
    </row>
    <row r="1739" spans="1:40" x14ac:dyDescent="0.25">
      <c r="A1739" t="str">
        <f>"20190303162537160"</f>
        <v>20190303162537160</v>
      </c>
      <c r="B1739" t="str">
        <f>"1551601537155210"</f>
        <v>1551601537155210</v>
      </c>
      <c r="C1739" t="s">
        <v>40</v>
      </c>
      <c r="D1739">
        <v>4.388128</v>
      </c>
      <c r="E1739">
        <v>0.44422010000000001</v>
      </c>
      <c r="F1739" t="s">
        <v>51</v>
      </c>
      <c r="G1739">
        <v>-402.91460000000001</v>
      </c>
      <c r="H1739" s="1">
        <v>7.6228250000000002E-6</v>
      </c>
      <c r="I1739">
        <v>282.13339999999999</v>
      </c>
      <c r="J1739">
        <v>-382.46449999999999</v>
      </c>
      <c r="K1739">
        <v>1.1206469999999999</v>
      </c>
      <c r="L1739">
        <v>284.3186</v>
      </c>
      <c r="M1739">
        <v>-0.99990800000000002</v>
      </c>
      <c r="N1739">
        <v>-8.0306839999999997E-3</v>
      </c>
      <c r="O1739">
        <v>1.0934350000000001E-2</v>
      </c>
      <c r="P1739">
        <v>-0.9809369</v>
      </c>
      <c r="Q1739">
        <v>0.1893137</v>
      </c>
      <c r="R1739">
        <v>4.3855749999999999E-2</v>
      </c>
      <c r="S1739">
        <v>-3.1075439999999999</v>
      </c>
      <c r="T1739">
        <v>-0.1674802</v>
      </c>
      <c r="U1739">
        <v>-0.3260498</v>
      </c>
      <c r="V1739">
        <v>3.3061889999999997E-2</v>
      </c>
      <c r="W1739">
        <v>0.1971995</v>
      </c>
      <c r="X1739">
        <v>0.9798057</v>
      </c>
      <c r="Y1739">
        <v>-0.1150166</v>
      </c>
      <c r="Z1739">
        <v>-4.05201E-3</v>
      </c>
      <c r="AA1739">
        <v>0.99335530000000005</v>
      </c>
      <c r="AB1739">
        <v>33</v>
      </c>
      <c r="AC1739">
        <v>-20.450099999999999</v>
      </c>
      <c r="AD1739">
        <v>-1.1206393771749901</v>
      </c>
      <c r="AE1739">
        <v>-2.1852</v>
      </c>
      <c r="AF1739">
        <v>-2.4015548950502401</v>
      </c>
      <c r="AG1739">
        <v>-1.1206393771749901</v>
      </c>
      <c r="AH1739">
        <v>20.364520605526199</v>
      </c>
      <c r="AI1739">
        <v>93.128120203898803</v>
      </c>
      <c r="AJ1739">
        <v>96.725734674779204</v>
      </c>
      <c r="AK1739">
        <v>20.536236218463099</v>
      </c>
      <c r="AL1739">
        <v>78.6267586718524</v>
      </c>
      <c r="AM1739">
        <v>88.067383879374702</v>
      </c>
      <c r="AN1739">
        <v>0.99999997056155498</v>
      </c>
    </row>
    <row r="1740" spans="1:40" x14ac:dyDescent="0.25">
      <c r="A1740" t="str">
        <f>"20190303162537182"</f>
        <v>20190303162537182</v>
      </c>
      <c r="B1740" t="str">
        <f>"1551601537174730"</f>
        <v>1551601537174730</v>
      </c>
      <c r="C1740" t="s">
        <v>40</v>
      </c>
      <c r="D1740">
        <v>4.3837769999999896</v>
      </c>
      <c r="E1740">
        <v>0.47134300000000001</v>
      </c>
      <c r="F1740" t="s">
        <v>51</v>
      </c>
      <c r="G1740">
        <v>-402.73399999999998</v>
      </c>
      <c r="H1740" s="1">
        <v>7.7001529999999993E-6</v>
      </c>
      <c r="I1740">
        <v>282.14670000000001</v>
      </c>
      <c r="J1740">
        <v>-382.79539999999997</v>
      </c>
      <c r="K1740">
        <v>1.120657</v>
      </c>
      <c r="L1740">
        <v>284.32209999999998</v>
      </c>
      <c r="M1740">
        <v>-0.99991059999999998</v>
      </c>
      <c r="N1740">
        <v>-8.0280530000000003E-3</v>
      </c>
      <c r="O1740">
        <v>1.070696E-2</v>
      </c>
      <c r="P1740">
        <v>-0.98133000000000004</v>
      </c>
      <c r="Q1740">
        <v>0.18769959999999999</v>
      </c>
      <c r="R1740">
        <v>4.195869E-2</v>
      </c>
      <c r="S1740">
        <v>-3.1063540000000001</v>
      </c>
      <c r="T1740">
        <v>-0.1717408</v>
      </c>
      <c r="U1740">
        <v>-0.33285520000000002</v>
      </c>
      <c r="V1740">
        <v>3.1375790000000001E-2</v>
      </c>
      <c r="W1740">
        <v>0.19558639999999999</v>
      </c>
      <c r="X1740">
        <v>0.98018439999999996</v>
      </c>
      <c r="Y1740">
        <v>-0.116969</v>
      </c>
      <c r="Z1740">
        <v>-4.1972809999999998E-3</v>
      </c>
      <c r="AA1740">
        <v>0.99312670000000003</v>
      </c>
      <c r="AB1740">
        <v>33</v>
      </c>
      <c r="AC1740">
        <v>-19.938600000000001</v>
      </c>
      <c r="AD1740">
        <v>-1.1206492998469999</v>
      </c>
      <c r="AE1740">
        <v>-2.1753999999999598</v>
      </c>
      <c r="AF1740">
        <v>-2.38132980193441</v>
      </c>
      <c r="AG1740">
        <v>-1.1206492998469999</v>
      </c>
      <c r="AH1740">
        <v>19.852188966465299</v>
      </c>
      <c r="AI1740">
        <v>93.207950131351595</v>
      </c>
      <c r="AJ1740">
        <v>96.8401192323782</v>
      </c>
      <c r="AK1740">
        <v>20.025883082627701</v>
      </c>
      <c r="AL1740">
        <v>78.721018169233105</v>
      </c>
      <c r="AM1740">
        <v>88.166583021466394</v>
      </c>
      <c r="AN1740">
        <v>0.99999996903322097</v>
      </c>
    </row>
    <row r="1741" spans="1:40" x14ac:dyDescent="0.25">
      <c r="A1741" t="str">
        <f>"20190303162537204"</f>
        <v>20190303162537204</v>
      </c>
      <c r="B1741" t="str">
        <f>"1551601537194250"</f>
        <v>1551601537194250</v>
      </c>
      <c r="C1741" t="s">
        <v>40</v>
      </c>
      <c r="D1741">
        <v>4.3455389999999996</v>
      </c>
      <c r="E1741">
        <v>0.47422130000000001</v>
      </c>
      <c r="F1741" t="s">
        <v>51</v>
      </c>
      <c r="G1741">
        <v>-413.29329999999999</v>
      </c>
      <c r="H1741" s="1">
        <v>2.9201639999999999E-6</v>
      </c>
      <c r="I1741">
        <v>283.1266</v>
      </c>
      <c r="J1741">
        <v>-383.10980000000001</v>
      </c>
      <c r="K1741">
        <v>1.120663</v>
      </c>
      <c r="L1741">
        <v>284.32530000000003</v>
      </c>
      <c r="M1741">
        <v>-0.99991300000000005</v>
      </c>
      <c r="N1741">
        <v>-8.0280170000000001E-3</v>
      </c>
      <c r="O1741">
        <v>1.0478619999999999E-2</v>
      </c>
      <c r="P1741">
        <v>-0.98149609999999998</v>
      </c>
      <c r="Q1741">
        <v>0.18718270000000001</v>
      </c>
      <c r="R1741">
        <v>4.0355710000000003E-2</v>
      </c>
      <c r="S1741">
        <v>-3.083923</v>
      </c>
      <c r="T1741">
        <v>-0.11331960000000001</v>
      </c>
      <c r="U1741">
        <v>-0.1208801</v>
      </c>
      <c r="V1741">
        <v>2.999011E-2</v>
      </c>
      <c r="W1741">
        <v>0.1950711</v>
      </c>
      <c r="X1741">
        <v>0.98033049999999999</v>
      </c>
      <c r="Y1741">
        <v>-4.9590509999999997E-2</v>
      </c>
      <c r="Z1741">
        <v>-1.410381E-3</v>
      </c>
      <c r="AA1741">
        <v>0.99876860000000001</v>
      </c>
      <c r="AB1741">
        <v>33</v>
      </c>
      <c r="AC1741">
        <v>-30.183499999999899</v>
      </c>
      <c r="AD1741">
        <v>-1.120660079836</v>
      </c>
      <c r="AE1741">
        <v>-1.1987000000000301</v>
      </c>
      <c r="AF1741">
        <v>-1.5128435831907401</v>
      </c>
      <c r="AG1741">
        <v>-1.120660079836</v>
      </c>
      <c r="AH1741">
        <v>30.127815656551199</v>
      </c>
      <c r="AI1741">
        <v>92.127562733777907</v>
      </c>
      <c r="AJ1741">
        <v>92.874646149758206</v>
      </c>
      <c r="AK1741">
        <v>30.1865839564014</v>
      </c>
      <c r="AL1741">
        <v>78.751123085582904</v>
      </c>
      <c r="AM1741">
        <v>88.247763382695894</v>
      </c>
      <c r="AN1741">
        <v>1.0000000149916299</v>
      </c>
    </row>
    <row r="1742" spans="1:40" x14ac:dyDescent="0.25">
      <c r="A1742" t="str">
        <f>"20190303162537226"</f>
        <v>20190303162537226</v>
      </c>
      <c r="B1742" t="str">
        <f>"1551601537214747"</f>
        <v>1551601537214747</v>
      </c>
      <c r="C1742" t="s">
        <v>40</v>
      </c>
      <c r="D1742">
        <v>4.3916019999999998</v>
      </c>
      <c r="E1742">
        <v>0.475022</v>
      </c>
      <c r="F1742" t="s">
        <v>51</v>
      </c>
      <c r="G1742">
        <v>-412.88159999999999</v>
      </c>
      <c r="H1742" s="1">
        <v>2.82994E-6</v>
      </c>
      <c r="I1742">
        <v>283.32319999999999</v>
      </c>
      <c r="J1742">
        <v>-383.42989999999998</v>
      </c>
      <c r="K1742">
        <v>1.120662</v>
      </c>
      <c r="L1742">
        <v>284.32839999999999</v>
      </c>
      <c r="M1742">
        <v>-0.99991549999999996</v>
      </c>
      <c r="N1742">
        <v>-8.0299369999999991E-3</v>
      </c>
      <c r="O1742">
        <v>1.023977E-2</v>
      </c>
      <c r="P1742">
        <v>-0.98154710000000001</v>
      </c>
      <c r="Q1742">
        <v>0.18697730000000001</v>
      </c>
      <c r="R1742">
        <v>4.00639E-2</v>
      </c>
      <c r="S1742">
        <v>-3.082916</v>
      </c>
      <c r="T1742">
        <v>-0.11604630000000001</v>
      </c>
      <c r="U1742">
        <v>-0.1037598</v>
      </c>
      <c r="V1742">
        <v>2.9929049999999999E-2</v>
      </c>
      <c r="W1742">
        <v>0.1948685</v>
      </c>
      <c r="X1742">
        <v>0.98037260000000004</v>
      </c>
      <c r="Y1742">
        <v>-4.3827749999999999E-2</v>
      </c>
      <c r="Z1742">
        <v>-1.3034769999999999E-3</v>
      </c>
      <c r="AA1742">
        <v>0.99903830000000005</v>
      </c>
      <c r="AB1742">
        <v>33</v>
      </c>
      <c r="AC1742">
        <v>-29.451699999999999</v>
      </c>
      <c r="AD1742">
        <v>-1.1206591700599999</v>
      </c>
      <c r="AE1742">
        <v>-1.0052000000000001</v>
      </c>
      <c r="AF1742">
        <v>-1.3048485634239999</v>
      </c>
      <c r="AG1742">
        <v>-1.1206591700599999</v>
      </c>
      <c r="AH1742">
        <v>29.397348764315002</v>
      </c>
      <c r="AI1742">
        <v>92.180975521144006</v>
      </c>
      <c r="AJ1742">
        <v>92.541497056948799</v>
      </c>
      <c r="AK1742">
        <v>29.4476250505823</v>
      </c>
      <c r="AL1742">
        <v>78.762957684211898</v>
      </c>
      <c r="AM1742">
        <v>88.251403773476895</v>
      </c>
      <c r="AN1742">
        <v>0.99999995757845495</v>
      </c>
    </row>
    <row r="1743" spans="1:40" x14ac:dyDescent="0.25">
      <c r="A1743" t="str">
        <f>"20190303162537249"</f>
        <v>20190303162537249</v>
      </c>
      <c r="B1743" t="str">
        <f>"1551601537245001"</f>
        <v>1551601537245001</v>
      </c>
      <c r="C1743" t="s">
        <v>40</v>
      </c>
      <c r="D1743">
        <v>4.4409049999999999</v>
      </c>
      <c r="E1743">
        <v>0.4761686</v>
      </c>
      <c r="F1743" t="s">
        <v>51</v>
      </c>
      <c r="G1743">
        <v>-412.78930000000003</v>
      </c>
      <c r="H1743" s="1">
        <v>2.8077120000000001E-6</v>
      </c>
      <c r="I1743">
        <v>283.39019999999999</v>
      </c>
      <c r="J1743">
        <v>-383.77030000000002</v>
      </c>
      <c r="K1743">
        <v>1.120665</v>
      </c>
      <c r="L1743">
        <v>284.33159999999998</v>
      </c>
      <c r="M1743">
        <v>-0.99991779999999997</v>
      </c>
      <c r="N1743">
        <v>-8.0336019999999904E-3</v>
      </c>
      <c r="O1743">
        <v>9.9840539999999992E-3</v>
      </c>
      <c r="P1743">
        <v>-0.98155110000000001</v>
      </c>
      <c r="Q1743">
        <v>0.18696470000000001</v>
      </c>
      <c r="R1743">
        <v>4.0018900000000003E-2</v>
      </c>
      <c r="S1743">
        <v>-3.0828549999999999</v>
      </c>
      <c r="T1743">
        <v>-0.1176738</v>
      </c>
      <c r="U1743">
        <v>-9.8510739999999999E-2</v>
      </c>
      <c r="V1743">
        <v>3.0132349999999999E-2</v>
      </c>
      <c r="W1743">
        <v>0.19486010000000001</v>
      </c>
      <c r="X1743">
        <v>0.98036809999999996</v>
      </c>
      <c r="Y1743">
        <v>-4.1874359999999999E-2</v>
      </c>
      <c r="Z1743">
        <v>-1.267713E-3</v>
      </c>
      <c r="AA1743">
        <v>0.99912210000000001</v>
      </c>
      <c r="AB1743">
        <v>33</v>
      </c>
      <c r="AC1743">
        <v>-29.018999999999998</v>
      </c>
      <c r="AD1743">
        <v>-1.120662192288</v>
      </c>
      <c r="AE1743">
        <v>-0.94139999999998702</v>
      </c>
      <c r="AF1743">
        <v>-1.22925836552192</v>
      </c>
      <c r="AG1743">
        <v>-1.120662192288</v>
      </c>
      <c r="AH1743">
        <v>28.965002213830498</v>
      </c>
      <c r="AI1743">
        <v>92.213690288230197</v>
      </c>
      <c r="AJ1743">
        <v>92.430142302189296</v>
      </c>
      <c r="AK1743">
        <v>29.012726744062501</v>
      </c>
      <c r="AL1743">
        <v>78.763449020798205</v>
      </c>
      <c r="AM1743">
        <v>88.239525402313603</v>
      </c>
      <c r="AN1743">
        <v>1.0000000142930701</v>
      </c>
    </row>
    <row r="1744" spans="1:40" x14ac:dyDescent="0.25">
      <c r="A1744" t="str">
        <f>"20190303162537271"</f>
        <v>20190303162537271</v>
      </c>
      <c r="B1744" t="str">
        <f>"1551601537264522"</f>
        <v>1551601537264522</v>
      </c>
      <c r="C1744" t="s">
        <v>40</v>
      </c>
      <c r="D1744">
        <v>4.4250800000000003</v>
      </c>
      <c r="E1744">
        <v>0.47689369999999998</v>
      </c>
      <c r="F1744" t="s">
        <v>51</v>
      </c>
      <c r="G1744">
        <v>-413.30399999999997</v>
      </c>
      <c r="H1744" s="1">
        <v>2.8917920000000002E-6</v>
      </c>
      <c r="I1744">
        <v>283.47280000000001</v>
      </c>
      <c r="J1744">
        <v>-384.10680000000002</v>
      </c>
      <c r="K1744">
        <v>1.1206689999999999</v>
      </c>
      <c r="L1744">
        <v>284.33479999999997</v>
      </c>
      <c r="M1744">
        <v>-0.99992040000000004</v>
      </c>
      <c r="N1744">
        <v>-8.0384519999999998E-3</v>
      </c>
      <c r="O1744">
        <v>9.7326930000000006E-3</v>
      </c>
      <c r="P1744">
        <v>-0.98153330000000005</v>
      </c>
      <c r="Q1744">
        <v>0.18691650000000001</v>
      </c>
      <c r="R1744">
        <v>4.0677280000000003E-2</v>
      </c>
      <c r="S1744">
        <v>-3.0822750000000001</v>
      </c>
      <c r="T1744">
        <v>-0.1169577</v>
      </c>
      <c r="U1744">
        <v>-8.9630130000000002E-2</v>
      </c>
      <c r="V1744">
        <v>3.1035420000000001E-2</v>
      </c>
      <c r="W1744">
        <v>0.19481709999999999</v>
      </c>
      <c r="X1744">
        <v>0.98034849999999996</v>
      </c>
      <c r="Y1744">
        <v>-3.8756310000000002E-2</v>
      </c>
      <c r="Z1744">
        <v>-1.1816730000000001E-3</v>
      </c>
      <c r="AA1744">
        <v>0.99924800000000003</v>
      </c>
      <c r="AB1744">
        <v>33</v>
      </c>
      <c r="AC1744">
        <v>-29.197199999999999</v>
      </c>
      <c r="AD1744">
        <v>-1.1206661082080001</v>
      </c>
      <c r="AE1744">
        <v>-0.86199999999996602</v>
      </c>
      <c r="AF1744">
        <v>-1.1444511446490899</v>
      </c>
      <c r="AG1744">
        <v>-1.1206661082080001</v>
      </c>
      <c r="AH1744">
        <v>29.1445280167076</v>
      </c>
      <c r="AI1744">
        <v>92.200359722734504</v>
      </c>
      <c r="AJ1744">
        <v>92.248742808260005</v>
      </c>
      <c r="AK1744">
        <v>29.1885109977407</v>
      </c>
      <c r="AL1744">
        <v>78.765961177606201</v>
      </c>
      <c r="AM1744">
        <v>88.186762256829894</v>
      </c>
      <c r="AN1744">
        <v>1.0000000405996099</v>
      </c>
    </row>
    <row r="1745" spans="1:40" x14ac:dyDescent="0.25">
      <c r="A1745" t="str">
        <f>"20190303162537292"</f>
        <v>20190303162537292</v>
      </c>
      <c r="B1745" t="str">
        <f>"1551601537285017"</f>
        <v>1551601537285017</v>
      </c>
      <c r="C1745" t="s">
        <v>40</v>
      </c>
      <c r="D1745">
        <v>4.451365</v>
      </c>
      <c r="E1745">
        <v>0.47746519999999998</v>
      </c>
      <c r="F1745" t="s">
        <v>51</v>
      </c>
      <c r="G1745">
        <v>-413.47300000000001</v>
      </c>
      <c r="H1745" s="1">
        <v>2.915474E-6</v>
      </c>
      <c r="I1745">
        <v>283.54480000000001</v>
      </c>
      <c r="J1745">
        <v>-384.42540000000002</v>
      </c>
      <c r="K1745">
        <v>1.120662</v>
      </c>
      <c r="L1745">
        <v>284.33760000000001</v>
      </c>
      <c r="M1745">
        <v>-0.99992250000000005</v>
      </c>
      <c r="N1745">
        <v>-8.0439159999999999E-3</v>
      </c>
      <c r="O1745">
        <v>9.4970739999999994E-3</v>
      </c>
      <c r="P1745">
        <v>-0.98146180000000005</v>
      </c>
      <c r="Q1745">
        <v>0.18698319999999999</v>
      </c>
      <c r="R1745">
        <v>4.2068790000000002E-2</v>
      </c>
      <c r="S1745">
        <v>-3.0822750000000001</v>
      </c>
      <c r="T1745">
        <v>-0.1176252</v>
      </c>
      <c r="U1745">
        <v>-8.2916260000000006E-2</v>
      </c>
      <c r="V1745">
        <v>3.2656780000000003E-2</v>
      </c>
      <c r="W1745">
        <v>0.1948896</v>
      </c>
      <c r="X1745">
        <v>0.98028139999999997</v>
      </c>
      <c r="Y1745">
        <v>-3.634768E-2</v>
      </c>
      <c r="Z1745">
        <v>-1.1253299999999999E-3</v>
      </c>
      <c r="AA1745">
        <v>0.99933859999999997</v>
      </c>
      <c r="AB1745">
        <v>33</v>
      </c>
      <c r="AC1745">
        <v>-29.0475999999999</v>
      </c>
      <c r="AD1745">
        <v>-1.120659084526</v>
      </c>
      <c r="AE1745">
        <v>-0.79279999999999895</v>
      </c>
      <c r="AF1745">
        <v>-1.06705334393762</v>
      </c>
      <c r="AG1745">
        <v>-1.120659084526</v>
      </c>
      <c r="AH1745">
        <v>28.995634736234901</v>
      </c>
      <c r="AI1745">
        <v>92.2118406607986</v>
      </c>
      <c r="AJ1745">
        <v>92.107561259064497</v>
      </c>
      <c r="AK1745">
        <v>29.0368957256056</v>
      </c>
      <c r="AL1745">
        <v>78.7617258485799</v>
      </c>
      <c r="AM1745">
        <v>88.091972421778905</v>
      </c>
      <c r="AN1745">
        <v>1.00000002232704</v>
      </c>
    </row>
    <row r="1746" spans="1:40" x14ac:dyDescent="0.25">
      <c r="A1746" t="str">
        <f>"20190303162537315"</f>
        <v>20190303162537315</v>
      </c>
      <c r="B1746" t="str">
        <f>"1551601537304538"</f>
        <v>1551601537304538</v>
      </c>
      <c r="C1746" t="s">
        <v>40</v>
      </c>
      <c r="D1746">
        <v>4.4753119999999997</v>
      </c>
      <c r="E1746">
        <v>0.47754849999999999</v>
      </c>
      <c r="F1746" t="s">
        <v>51</v>
      </c>
      <c r="G1746">
        <v>-413.50029999999998</v>
      </c>
      <c r="H1746" s="1">
        <v>2.9122930000000001E-6</v>
      </c>
      <c r="I1746">
        <v>283.63670000000002</v>
      </c>
      <c r="J1746">
        <v>-384.74680000000001</v>
      </c>
      <c r="K1746">
        <v>1.120662</v>
      </c>
      <c r="L1746">
        <v>284.34050000000002</v>
      </c>
      <c r="M1746">
        <v>-0.99992479999999995</v>
      </c>
      <c r="N1746">
        <v>-8.0500899999999993E-3</v>
      </c>
      <c r="O1746">
        <v>9.2612760000000006E-3</v>
      </c>
      <c r="P1746">
        <v>-0.98149450000000005</v>
      </c>
      <c r="Q1746">
        <v>0.186669</v>
      </c>
      <c r="R1746">
        <v>4.2705159999999999E-2</v>
      </c>
      <c r="S1746">
        <v>-3.0825200000000001</v>
      </c>
      <c r="T1746">
        <v>-0.11881220000000001</v>
      </c>
      <c r="U1746">
        <v>-7.4310299999999996E-2</v>
      </c>
      <c r="V1746">
        <v>3.3522919999999998E-2</v>
      </c>
      <c r="W1746">
        <v>0.1945828</v>
      </c>
      <c r="X1746">
        <v>0.98031310000000005</v>
      </c>
      <c r="Y1746">
        <v>-3.3323650000000003E-2</v>
      </c>
      <c r="Z1746">
        <v>-1.0583560000000001E-3</v>
      </c>
      <c r="AA1746">
        <v>0.99944409999999895</v>
      </c>
      <c r="AB1746">
        <v>33</v>
      </c>
      <c r="AC1746">
        <v>-28.753499999999899</v>
      </c>
      <c r="AD1746">
        <v>-1.120659087707</v>
      </c>
      <c r="AE1746">
        <v>-0.70380000000000098</v>
      </c>
      <c r="AF1746">
        <v>-0.96860206669002302</v>
      </c>
      <c r="AG1746">
        <v>-1.120659087707</v>
      </c>
      <c r="AH1746">
        <v>28.7021752014703</v>
      </c>
      <c r="AI1746">
        <v>92.234672536640005</v>
      </c>
      <c r="AJ1746">
        <v>91.932806736397495</v>
      </c>
      <c r="AK1746">
        <v>28.740371049281102</v>
      </c>
      <c r="AL1746">
        <v>78.779647183076605</v>
      </c>
      <c r="AM1746">
        <v>88.041468918459998</v>
      </c>
      <c r="AN1746">
        <v>1.00000001312638</v>
      </c>
    </row>
    <row r="1747" spans="1:40" x14ac:dyDescent="0.25">
      <c r="A1747" t="str">
        <f>"20190303162537338"</f>
        <v>20190303162537338</v>
      </c>
      <c r="B1747" t="str">
        <f>"1551601537325034"</f>
        <v>1551601537325034</v>
      </c>
      <c r="C1747" t="s">
        <v>40</v>
      </c>
      <c r="D1747">
        <v>4.4876110000000002</v>
      </c>
      <c r="E1747">
        <v>0.4775047</v>
      </c>
      <c r="F1747" t="s">
        <v>51</v>
      </c>
      <c r="G1747">
        <v>-413.54230000000001</v>
      </c>
      <c r="H1747" s="1">
        <v>2.9165559999999998E-6</v>
      </c>
      <c r="I1747">
        <v>283.67309999999998</v>
      </c>
      <c r="J1747">
        <v>-385.09449999999998</v>
      </c>
      <c r="K1747">
        <v>1.1206640000000001</v>
      </c>
      <c r="L1747">
        <v>284.34339999999997</v>
      </c>
      <c r="M1747">
        <v>-0.99992709999999996</v>
      </c>
      <c r="N1747">
        <v>-8.0575560000000004E-3</v>
      </c>
      <c r="O1747">
        <v>9.0076549999999998E-3</v>
      </c>
      <c r="P1747">
        <v>-0.98159050000000003</v>
      </c>
      <c r="Q1747">
        <v>0.1861254</v>
      </c>
      <c r="R1747">
        <v>4.2868150000000001E-2</v>
      </c>
      <c r="S1747">
        <v>-3.0824579999999999</v>
      </c>
      <c r="T1747">
        <v>-0.11996279999999999</v>
      </c>
      <c r="U1747">
        <v>-7.1441649999999995E-2</v>
      </c>
      <c r="V1747">
        <v>3.3932669999999998E-2</v>
      </c>
      <c r="W1747">
        <v>0.19404769999999999</v>
      </c>
      <c r="X1747">
        <v>0.98040499999999997</v>
      </c>
      <c r="Y1747">
        <v>-3.2141570000000001E-2</v>
      </c>
      <c r="Z1747">
        <v>-1.0325270000000001E-3</v>
      </c>
      <c r="AA1747">
        <v>0.9994828</v>
      </c>
      <c r="AB1747">
        <v>33</v>
      </c>
      <c r="AC1747">
        <v>-28.447800000000001</v>
      </c>
      <c r="AD1747">
        <v>-1.1206610834439901</v>
      </c>
      <c r="AE1747">
        <v>-0.67029999999999701</v>
      </c>
      <c r="AF1747">
        <v>-0.92509424098348203</v>
      </c>
      <c r="AG1747">
        <v>-1.1206610834439901</v>
      </c>
      <c r="AH1747">
        <v>28.396564872881701</v>
      </c>
      <c r="AI1747">
        <v>92.258789209334793</v>
      </c>
      <c r="AJ1747">
        <v>91.865903734761801</v>
      </c>
      <c r="AK1747">
        <v>28.4337225350186</v>
      </c>
      <c r="AL1747">
        <v>78.810901181141702</v>
      </c>
      <c r="AM1747">
        <v>88.017734497928799</v>
      </c>
      <c r="AN1747">
        <v>0.99999994999680797</v>
      </c>
    </row>
    <row r="1748" spans="1:40" x14ac:dyDescent="0.25">
      <c r="A1748" t="str">
        <f>"20190303162537362"</f>
        <v>20190303162537362</v>
      </c>
      <c r="B1748" t="str">
        <f>"1551601537354313"</f>
        <v>1551601537354313</v>
      </c>
      <c r="C1748" t="s">
        <v>40</v>
      </c>
      <c r="D1748">
        <v>4.4579649999999997</v>
      </c>
      <c r="E1748">
        <v>0.47746300000000003</v>
      </c>
      <c r="F1748" t="s">
        <v>51</v>
      </c>
      <c r="G1748">
        <v>-413.16030000000001</v>
      </c>
      <c r="H1748" s="1">
        <v>2.846393E-6</v>
      </c>
      <c r="I1748">
        <v>283.70049999999998</v>
      </c>
      <c r="J1748">
        <v>-385.4332</v>
      </c>
      <c r="K1748">
        <v>1.120655</v>
      </c>
      <c r="L1748">
        <v>284.34629999999999</v>
      </c>
      <c r="M1748">
        <v>-0.99992910000000002</v>
      </c>
      <c r="N1748">
        <v>-8.0652269999999995E-3</v>
      </c>
      <c r="O1748">
        <v>8.7615509999999994E-3</v>
      </c>
      <c r="P1748">
        <v>-0.98182930000000002</v>
      </c>
      <c r="Q1748">
        <v>0.18479470000000001</v>
      </c>
      <c r="R1748">
        <v>4.3154869999999998E-2</v>
      </c>
      <c r="S1748">
        <v>-3.082703</v>
      </c>
      <c r="T1748">
        <v>-0.1230918</v>
      </c>
      <c r="U1748">
        <v>-7.0617680000000002E-2</v>
      </c>
      <c r="V1748">
        <v>3.4458389999999998E-2</v>
      </c>
      <c r="W1748">
        <v>0.1927265</v>
      </c>
      <c r="X1748">
        <v>0.9806473</v>
      </c>
      <c r="Y1748">
        <v>-3.1625639999999997E-2</v>
      </c>
      <c r="Z1748">
        <v>-1.0377190000000001E-3</v>
      </c>
      <c r="AA1748">
        <v>0.99949929999999998</v>
      </c>
      <c r="AB1748">
        <v>33</v>
      </c>
      <c r="AC1748">
        <v>-27.7271</v>
      </c>
      <c r="AD1748">
        <v>-1.120652153607</v>
      </c>
      <c r="AE1748">
        <v>-0.64580000000000803</v>
      </c>
      <c r="AF1748">
        <v>-0.88726690055366098</v>
      </c>
      <c r="AG1748">
        <v>-1.120652153607</v>
      </c>
      <c r="AH1748">
        <v>27.675192950355299</v>
      </c>
      <c r="AI1748">
        <v>92.317622878363196</v>
      </c>
      <c r="AJ1748">
        <v>91.836274173227096</v>
      </c>
      <c r="AK1748">
        <v>27.712080554184201</v>
      </c>
      <c r="AL1748">
        <v>78.888057506390496</v>
      </c>
      <c r="AM1748">
        <v>87.987545218848297</v>
      </c>
      <c r="AN1748">
        <v>1.0000000057204601</v>
      </c>
    </row>
    <row r="1749" spans="1:40" x14ac:dyDescent="0.25">
      <c r="A1749" t="str">
        <f>"20190303162537384"</f>
        <v>20190303162537384</v>
      </c>
      <c r="B1749" t="str">
        <f>"1551601537374810"</f>
        <v>1551601537374810</v>
      </c>
      <c r="C1749" t="s">
        <v>40</v>
      </c>
      <c r="D1749">
        <v>4.4867229999999996</v>
      </c>
      <c r="E1749">
        <v>0.47732980000000003</v>
      </c>
      <c r="F1749" t="s">
        <v>51</v>
      </c>
      <c r="G1749">
        <v>-412.63409999999999</v>
      </c>
      <c r="H1749" s="1">
        <v>2.7515700000000001E-6</v>
      </c>
      <c r="I1749">
        <v>283.71749999999997</v>
      </c>
      <c r="J1749">
        <v>-385.7842</v>
      </c>
      <c r="K1749">
        <v>1.1206400000000001</v>
      </c>
      <c r="L1749">
        <v>284.34910000000002</v>
      </c>
      <c r="M1749">
        <v>-0.99993129999999997</v>
      </c>
      <c r="N1749">
        <v>-8.073485E-3</v>
      </c>
      <c r="O1749">
        <v>8.5056779999999992E-3</v>
      </c>
      <c r="P1749">
        <v>-0.98211000000000004</v>
      </c>
      <c r="Q1749">
        <v>0.1832626</v>
      </c>
      <c r="R1749">
        <v>4.3305839999999998E-2</v>
      </c>
      <c r="S1749">
        <v>-3.0825499999999999</v>
      </c>
      <c r="T1749">
        <v>-0.12699849999999999</v>
      </c>
      <c r="U1749">
        <v>-7.1258539999999995E-2</v>
      </c>
      <c r="V1749">
        <v>3.4858279999999998E-2</v>
      </c>
      <c r="W1749">
        <v>0.19120509999999999</v>
      </c>
      <c r="X1749">
        <v>0.98093090000000005</v>
      </c>
      <c r="Y1749">
        <v>-3.1576739999999999E-2</v>
      </c>
      <c r="Z1749">
        <v>-1.059256E-3</v>
      </c>
      <c r="AA1749">
        <v>0.99950079999999997</v>
      </c>
      <c r="AB1749">
        <v>33</v>
      </c>
      <c r="AC1749">
        <v>-26.849899999999899</v>
      </c>
      <c r="AD1749">
        <v>-1.12063724842999</v>
      </c>
      <c r="AE1749">
        <v>-0.63160000000004801</v>
      </c>
      <c r="AF1749">
        <v>-0.858466572892992</v>
      </c>
      <c r="AG1749">
        <v>-1.12063724842999</v>
      </c>
      <c r="AH1749">
        <v>26.7969022857162</v>
      </c>
      <c r="AI1749">
        <v>92.393467980439397</v>
      </c>
      <c r="AJ1749">
        <v>91.834902201665997</v>
      </c>
      <c r="AK1749">
        <v>26.8340597899305</v>
      </c>
      <c r="AL1749">
        <v>78.976878748202907</v>
      </c>
      <c r="AM1749">
        <v>87.964798275944304</v>
      </c>
      <c r="AN1749">
        <v>0.999999960262688</v>
      </c>
    </row>
    <row r="1750" spans="1:40" x14ac:dyDescent="0.25">
      <c r="A1750" t="str">
        <f>"20190303162537405"</f>
        <v>20190303162537405</v>
      </c>
      <c r="B1750" t="str">
        <f>"1551601537394329"</f>
        <v>1551601537394329</v>
      </c>
      <c r="C1750" t="s">
        <v>40</v>
      </c>
      <c r="D1750">
        <v>4.4557390000000003</v>
      </c>
      <c r="E1750">
        <v>0.47730590000000001</v>
      </c>
      <c r="F1750" t="s">
        <v>51</v>
      </c>
      <c r="G1750">
        <v>-411.99860000000001</v>
      </c>
      <c r="H1750" s="1">
        <v>2.6375409999999998E-6</v>
      </c>
      <c r="I1750">
        <v>283.73239999999998</v>
      </c>
      <c r="J1750">
        <v>-386.08940000000001</v>
      </c>
      <c r="K1750">
        <v>1.1206309999999999</v>
      </c>
      <c r="L1750">
        <v>284.35140000000001</v>
      </c>
      <c r="M1750">
        <v>-0.99993310000000002</v>
      </c>
      <c r="N1750">
        <v>-8.0808330000000008E-3</v>
      </c>
      <c r="O1750">
        <v>8.283548E-3</v>
      </c>
      <c r="P1750">
        <v>-0.98244600000000004</v>
      </c>
      <c r="Q1750">
        <v>0.18139189999999999</v>
      </c>
      <c r="R1750">
        <v>4.3555629999999998E-2</v>
      </c>
      <c r="S1750">
        <v>-3.0823969999999998</v>
      </c>
      <c r="T1750">
        <v>-0.13176930000000001</v>
      </c>
      <c r="U1750">
        <v>-7.2509770000000001E-2</v>
      </c>
      <c r="V1750">
        <v>3.5323609999999998E-2</v>
      </c>
      <c r="W1750">
        <v>0.18934480000000001</v>
      </c>
      <c r="X1750">
        <v>0.98127509999999996</v>
      </c>
      <c r="Y1750">
        <v>-3.1758590000000003E-2</v>
      </c>
      <c r="Z1750">
        <v>-1.093831E-3</v>
      </c>
      <c r="AA1750">
        <v>0.99949500000000002</v>
      </c>
      <c r="AB1750">
        <v>33</v>
      </c>
      <c r="AC1750">
        <v>-25.909199999999998</v>
      </c>
      <c r="AD1750">
        <v>-1.1206283624590001</v>
      </c>
      <c r="AE1750">
        <v>-0.61900000000002797</v>
      </c>
      <c r="AF1750">
        <v>-0.83205018971363698</v>
      </c>
      <c r="AG1750">
        <v>-1.1206283624590001</v>
      </c>
      <c r="AH1750">
        <v>25.854843040100299</v>
      </c>
      <c r="AI1750">
        <v>92.480539271804105</v>
      </c>
      <c r="AJ1750">
        <v>91.843233655397299</v>
      </c>
      <c r="AK1750">
        <v>25.892489723338201</v>
      </c>
      <c r="AL1750">
        <v>79.085450226376494</v>
      </c>
      <c r="AM1750">
        <v>87.938376057177507</v>
      </c>
      <c r="AN1750">
        <v>1.00000001629524</v>
      </c>
    </row>
    <row r="1751" spans="1:40" x14ac:dyDescent="0.25">
      <c r="A1751" t="str">
        <f>"20190303162537427"</f>
        <v>20190303162537427</v>
      </c>
      <c r="B1751" t="str">
        <f>"1551601537414826"</f>
        <v>1551601537414826</v>
      </c>
      <c r="C1751" t="s">
        <v>40</v>
      </c>
      <c r="D1751">
        <v>4.4462890000000002</v>
      </c>
      <c r="E1751">
        <v>0.47721340000000001</v>
      </c>
      <c r="F1751" t="s">
        <v>51</v>
      </c>
      <c r="G1751">
        <v>-411.32440000000003</v>
      </c>
      <c r="H1751" s="1">
        <v>2.5149330000000001E-6</v>
      </c>
      <c r="I1751">
        <v>283.767</v>
      </c>
      <c r="J1751">
        <v>-386.43180000000001</v>
      </c>
      <c r="K1751">
        <v>1.120628</v>
      </c>
      <c r="L1751">
        <v>284.35399999999998</v>
      </c>
      <c r="M1751">
        <v>-0.99993509999999997</v>
      </c>
      <c r="N1751">
        <v>-8.0894350000000007E-3</v>
      </c>
      <c r="O1751">
        <v>8.0339969999999993E-3</v>
      </c>
      <c r="P1751">
        <v>-0.98272380000000004</v>
      </c>
      <c r="Q1751">
        <v>0.17995910000000001</v>
      </c>
      <c r="R1751">
        <v>4.323076E-2</v>
      </c>
      <c r="S1751">
        <v>-3.0820310000000002</v>
      </c>
      <c r="T1751">
        <v>-0.1368656</v>
      </c>
      <c r="U1751">
        <v>-7.1380620000000006E-2</v>
      </c>
      <c r="V1751">
        <v>3.5242009999999997E-2</v>
      </c>
      <c r="W1751">
        <v>0.1879227</v>
      </c>
      <c r="X1751">
        <v>0.98155130000000002</v>
      </c>
      <c r="Y1751">
        <v>-3.1143830000000001E-2</v>
      </c>
      <c r="Z1751">
        <v>-1.1087359999999999E-3</v>
      </c>
      <c r="AA1751">
        <v>0.99951429999999997</v>
      </c>
      <c r="AB1751">
        <v>34</v>
      </c>
      <c r="AC1751">
        <v>-24.892600000000002</v>
      </c>
      <c r="AD1751">
        <v>-1.1206254850670001</v>
      </c>
      <c r="AE1751">
        <v>-0.58700000000004504</v>
      </c>
      <c r="AF1751">
        <v>-0.78538383334236195</v>
      </c>
      <c r="AG1751">
        <v>-1.1206254850670001</v>
      </c>
      <c r="AH1751">
        <v>24.836772807243801</v>
      </c>
      <c r="AI1751">
        <v>92.582122139625</v>
      </c>
      <c r="AJ1751">
        <v>91.811193003041396</v>
      </c>
      <c r="AK1751">
        <v>24.8744429630515</v>
      </c>
      <c r="AL1751">
        <v>79.1684193222072</v>
      </c>
      <c r="AM1751">
        <v>87.943712743826694</v>
      </c>
      <c r="AN1751">
        <v>0.99999994748790799</v>
      </c>
    </row>
    <row r="1752" spans="1:40" x14ac:dyDescent="0.25">
      <c r="A1752" t="str">
        <f>"20190303162537450"</f>
        <v>20190303162537450</v>
      </c>
      <c r="B1752" t="str">
        <f>"1551601537445081"</f>
        <v>1551601537445081</v>
      </c>
      <c r="C1752" t="s">
        <v>40</v>
      </c>
      <c r="D1752">
        <v>4.3706199999999997</v>
      </c>
      <c r="E1752">
        <v>0.47674820000000001</v>
      </c>
      <c r="F1752" t="s">
        <v>51</v>
      </c>
      <c r="G1752">
        <v>-410.8965</v>
      </c>
      <c r="H1752" s="1">
        <v>2.4380639999999999E-6</v>
      </c>
      <c r="I1752">
        <v>283.77789999999999</v>
      </c>
      <c r="J1752">
        <v>-386.77820000000003</v>
      </c>
      <c r="K1752">
        <v>1.1206210000000001</v>
      </c>
      <c r="L1752">
        <v>284.35660000000001</v>
      </c>
      <c r="M1752">
        <v>-0.99993690000000002</v>
      </c>
      <c r="N1752">
        <v>-8.0982789999999999E-3</v>
      </c>
      <c r="O1752">
        <v>7.7820609999999998E-3</v>
      </c>
      <c r="P1752">
        <v>-0.98274609999999996</v>
      </c>
      <c r="Q1752">
        <v>0.17992839999999999</v>
      </c>
      <c r="R1752">
        <v>4.2849070000000003E-2</v>
      </c>
      <c r="S1752">
        <v>-3.0817869999999998</v>
      </c>
      <c r="T1752">
        <v>-0.14116379999999901</v>
      </c>
      <c r="U1752">
        <v>-7.2570800000000005E-2</v>
      </c>
      <c r="V1752">
        <v>3.5107310000000003E-2</v>
      </c>
      <c r="W1752">
        <v>0.1879007</v>
      </c>
      <c r="X1752">
        <v>0.9815604</v>
      </c>
      <c r="Y1752">
        <v>-3.1277099999999898E-2</v>
      </c>
      <c r="Z1752">
        <v>-1.135853E-3</v>
      </c>
      <c r="AA1752">
        <v>0.99951009999999996</v>
      </c>
      <c r="AB1752">
        <v>34</v>
      </c>
      <c r="AC1752">
        <v>-24.118299999999898</v>
      </c>
      <c r="AD1752">
        <v>-1.1206185619359901</v>
      </c>
      <c r="AE1752">
        <v>-0.57870000000002597</v>
      </c>
      <c r="AF1752">
        <v>-0.764728733283912</v>
      </c>
      <c r="AG1752">
        <v>-1.1206185619359901</v>
      </c>
      <c r="AH1752">
        <v>24.0611515056348</v>
      </c>
      <c r="AI1752">
        <v>92.665209773746199</v>
      </c>
      <c r="AJ1752">
        <v>91.820402671078199</v>
      </c>
      <c r="AK1752">
        <v>24.0993694476428</v>
      </c>
      <c r="AL1752">
        <v>79.169703349942196</v>
      </c>
      <c r="AM1752">
        <v>87.9515844340294</v>
      </c>
      <c r="AN1752">
        <v>1.0000000075620401</v>
      </c>
    </row>
    <row r="1753" spans="1:40" x14ac:dyDescent="0.25">
      <c r="A1753" t="str">
        <f>"20190303162537472"</f>
        <v>20190303162537472</v>
      </c>
      <c r="B1753" t="str">
        <f>"1551601537464602"</f>
        <v>1551601537464602</v>
      </c>
      <c r="C1753" t="s">
        <v>40</v>
      </c>
      <c r="D1753">
        <v>4.6248469999999999</v>
      </c>
      <c r="E1753">
        <v>0.49470170000000002</v>
      </c>
      <c r="F1753" t="s">
        <v>51</v>
      </c>
      <c r="G1753">
        <v>-411.57510000000002</v>
      </c>
      <c r="H1753" s="1">
        <v>2.5623250000000001E-6</v>
      </c>
      <c r="I1753">
        <v>283.73360000000002</v>
      </c>
      <c r="J1753">
        <v>-387.11180000000002</v>
      </c>
      <c r="K1753">
        <v>1.1206119999999999</v>
      </c>
      <c r="L1753">
        <v>284.35890000000001</v>
      </c>
      <c r="M1753">
        <v>-0.99993869999999896</v>
      </c>
      <c r="N1753">
        <v>-8.1068870000000001E-3</v>
      </c>
      <c r="O1753">
        <v>7.5393669999999999E-3</v>
      </c>
      <c r="P1753">
        <v>-0.98272729999999997</v>
      </c>
      <c r="Q1753">
        <v>0.1799354</v>
      </c>
      <c r="R1753">
        <v>4.3249000000000003E-2</v>
      </c>
      <c r="S1753">
        <v>-3.0815730000000001</v>
      </c>
      <c r="T1753">
        <v>-0.139262</v>
      </c>
      <c r="U1753">
        <v>-7.7423099999999995E-2</v>
      </c>
      <c r="V1753">
        <v>3.5745539999999999E-2</v>
      </c>
      <c r="W1753">
        <v>0.18791659999999999</v>
      </c>
      <c r="X1753">
        <v>0.98153429999999997</v>
      </c>
      <c r="Y1753">
        <v>-3.2608709999999999E-2</v>
      </c>
      <c r="Z1753">
        <v>-1.1480220000000001E-3</v>
      </c>
      <c r="AA1753">
        <v>0.99946760000000001</v>
      </c>
      <c r="AB1753">
        <v>34</v>
      </c>
      <c r="AC1753">
        <v>-24.4633</v>
      </c>
      <c r="AD1753">
        <v>-1.120609437675</v>
      </c>
      <c r="AE1753">
        <v>-0.62529999999998098</v>
      </c>
      <c r="AF1753">
        <v>-0.80803165943613398</v>
      </c>
      <c r="AG1753">
        <v>-1.120609437675</v>
      </c>
      <c r="AH1753">
        <v>24.4067097069323</v>
      </c>
      <c r="AI1753">
        <v>92.627394147763297</v>
      </c>
      <c r="AJ1753">
        <v>91.896195784846398</v>
      </c>
      <c r="AK1753">
        <v>24.445779991502</v>
      </c>
      <c r="AL1753">
        <v>79.168775600623107</v>
      </c>
      <c r="AM1753">
        <v>87.914322641701602</v>
      </c>
      <c r="AN1753">
        <v>0.99999998713097005</v>
      </c>
    </row>
    <row r="1754" spans="1:40" x14ac:dyDescent="0.25">
      <c r="A1754" t="str">
        <f>"20190303162537494"</f>
        <v>20190303162537494</v>
      </c>
      <c r="B1754" t="str">
        <f>"1551601537485098"</f>
        <v>1551601537485098</v>
      </c>
      <c r="C1754" t="s">
        <v>40</v>
      </c>
      <c r="D1754">
        <v>4.4072459999999998</v>
      </c>
      <c r="E1754">
        <v>0.50935019999999998</v>
      </c>
      <c r="F1754" t="s">
        <v>51</v>
      </c>
      <c r="G1754">
        <v>-402.28469999999999</v>
      </c>
      <c r="H1754" s="1">
        <v>7.3774019999999902E-6</v>
      </c>
      <c r="I1754">
        <v>284.67290000000003</v>
      </c>
      <c r="J1754">
        <v>-387.44690000000003</v>
      </c>
      <c r="K1754">
        <v>1.120611</v>
      </c>
      <c r="L1754">
        <v>284.3612</v>
      </c>
      <c r="M1754">
        <v>-0.99994059999999996</v>
      </c>
      <c r="N1754">
        <v>-8.115644E-3</v>
      </c>
      <c r="O1754">
        <v>7.2957780000000002E-3</v>
      </c>
      <c r="P1754">
        <v>-0.98276390000000002</v>
      </c>
      <c r="Q1754">
        <v>0.17954600000000001</v>
      </c>
      <c r="R1754">
        <v>4.4031180000000003E-2</v>
      </c>
      <c r="S1754">
        <v>-3.0917659999999998</v>
      </c>
      <c r="T1754">
        <v>-0.2283453</v>
      </c>
      <c r="U1754">
        <v>6.3995360000000001E-2</v>
      </c>
      <c r="V1754">
        <v>3.676658E-2</v>
      </c>
      <c r="W1754">
        <v>0.1875367</v>
      </c>
      <c r="X1754">
        <v>0.98156920000000003</v>
      </c>
      <c r="Y1754">
        <v>1.3374509999999999E-2</v>
      </c>
      <c r="Z1754" s="1">
        <v>6.8631200000000001E-5</v>
      </c>
      <c r="AA1754">
        <v>0.99991050000000004</v>
      </c>
      <c r="AB1754">
        <v>34</v>
      </c>
      <c r="AC1754">
        <v>-14.8377999999999</v>
      </c>
      <c r="AD1754">
        <v>-1.1206036225980001</v>
      </c>
      <c r="AE1754">
        <v>0.31170000000003001</v>
      </c>
      <c r="AF1754">
        <v>0.202281592988242</v>
      </c>
      <c r="AG1754">
        <v>-1.1206036225980001</v>
      </c>
      <c r="AH1754">
        <v>14.755553498729499</v>
      </c>
      <c r="AI1754">
        <v>94.342558105190705</v>
      </c>
      <c r="AJ1754">
        <v>89.214590249286204</v>
      </c>
      <c r="AK1754">
        <v>14.7994266569929</v>
      </c>
      <c r="AL1754">
        <v>79.190935792228402</v>
      </c>
      <c r="AM1754">
        <v>87.854878187529394</v>
      </c>
      <c r="AN1754">
        <v>0.99999994482021104</v>
      </c>
    </row>
    <row r="1755" spans="1:40" x14ac:dyDescent="0.25">
      <c r="A1755" t="str">
        <f>"20190303162537516"</f>
        <v>20190303162537516</v>
      </c>
      <c r="B1755" t="str">
        <f>"1551601537504618"</f>
        <v>1551601537504618</v>
      </c>
      <c r="C1755" t="s">
        <v>40</v>
      </c>
      <c r="D1755">
        <v>4.3836950000000003</v>
      </c>
      <c r="E1755">
        <v>0.53183190000000002</v>
      </c>
      <c r="F1755" t="s">
        <v>42</v>
      </c>
      <c r="G1755">
        <v>-388.22289999999998</v>
      </c>
      <c r="H1755">
        <v>1.030149</v>
      </c>
      <c r="I1755">
        <v>284.40620000000001</v>
      </c>
      <c r="J1755">
        <v>-387.78070000000002</v>
      </c>
      <c r="K1755">
        <v>1.120614</v>
      </c>
      <c r="L1755">
        <v>284.36340000000001</v>
      </c>
      <c r="M1755">
        <v>-0.9999422</v>
      </c>
      <c r="N1755">
        <v>-8.1244569999999999E-3</v>
      </c>
      <c r="O1755">
        <v>7.0526679999999998E-3</v>
      </c>
      <c r="P1755">
        <v>-0.98260700000000001</v>
      </c>
      <c r="Q1755">
        <v>0.1801198</v>
      </c>
      <c r="R1755">
        <v>4.5173020000000001E-2</v>
      </c>
      <c r="S1755">
        <v>-3.1108699999999998</v>
      </c>
      <c r="T1755">
        <v>-0.36270229999999998</v>
      </c>
      <c r="U1755">
        <v>0.17932129999999999</v>
      </c>
      <c r="V1755">
        <v>3.8147790000000001E-2</v>
      </c>
      <c r="W1755">
        <v>0.18811839999999999</v>
      </c>
      <c r="X1755">
        <v>0.98140519999999998</v>
      </c>
      <c r="Y1755">
        <v>5.0183859999999997E-2</v>
      </c>
      <c r="Z1755">
        <v>2.3562990000000001E-3</v>
      </c>
      <c r="AA1755">
        <v>0.99873719999999999</v>
      </c>
      <c r="AB1755">
        <v>34</v>
      </c>
      <c r="AC1755">
        <v>-0.44219999999995702</v>
      </c>
      <c r="AD1755">
        <v>-9.0465000000000004E-2</v>
      </c>
      <c r="AE1755">
        <v>4.2799999999999699E-2</v>
      </c>
      <c r="AF1755">
        <v>3.8100339802252699E-2</v>
      </c>
      <c r="AG1755">
        <v>-9.0465000000000004E-2</v>
      </c>
      <c r="AH1755">
        <v>0.42487378001020898</v>
      </c>
      <c r="AI1755">
        <v>101.973383731314</v>
      </c>
      <c r="AJ1755">
        <v>84.8757364387872</v>
      </c>
      <c r="AK1755">
        <v>0.43606568433919501</v>
      </c>
      <c r="AL1755">
        <v>79.157003244969601</v>
      </c>
      <c r="AM1755">
        <v>87.774000432772596</v>
      </c>
      <c r="AN1755">
        <v>0.99999997644374095</v>
      </c>
    </row>
    <row r="1756" spans="1:40" x14ac:dyDescent="0.25">
      <c r="A1756" t="str">
        <f>"20190303162537539"</f>
        <v>20190303162537539</v>
      </c>
      <c r="B1756" t="str">
        <f>"1551601537534875"</f>
        <v>1551601537534875</v>
      </c>
      <c r="C1756" t="s">
        <v>40</v>
      </c>
      <c r="D1756">
        <v>4.4360819999999999</v>
      </c>
      <c r="E1756">
        <v>0.53170059999999997</v>
      </c>
      <c r="F1756" t="s">
        <v>42</v>
      </c>
      <c r="G1756">
        <v>-388.48509999999999</v>
      </c>
      <c r="H1756">
        <v>0.94642170000000003</v>
      </c>
      <c r="I1756">
        <v>284.44110000000001</v>
      </c>
      <c r="J1756">
        <v>-388.11829999999998</v>
      </c>
      <c r="K1756">
        <v>1.1206210000000001</v>
      </c>
      <c r="L1756">
        <v>284.36559999999997</v>
      </c>
      <c r="M1756">
        <v>-0.99994380000000005</v>
      </c>
      <c r="N1756">
        <v>-8.1336359999999996E-3</v>
      </c>
      <c r="O1756">
        <v>6.8074669999999898E-3</v>
      </c>
      <c r="P1756">
        <v>-0.98240939999999999</v>
      </c>
      <c r="Q1756">
        <v>0.18109790000000001</v>
      </c>
      <c r="R1756">
        <v>4.5558340000000003E-2</v>
      </c>
      <c r="S1756">
        <v>-3.1812740000000002</v>
      </c>
      <c r="T1756">
        <v>-0.78679339999999998</v>
      </c>
      <c r="U1756">
        <v>0.35000609999999999</v>
      </c>
      <c r="V1756">
        <v>3.8774589999999998E-2</v>
      </c>
      <c r="W1756">
        <v>0.1891041</v>
      </c>
      <c r="X1756">
        <v>0.98119120000000004</v>
      </c>
      <c r="Y1756">
        <v>9.9711159999999993E-2</v>
      </c>
      <c r="Z1756">
        <v>1.092595E-2</v>
      </c>
      <c r="AA1756">
        <v>0.99495639999999996</v>
      </c>
      <c r="AB1756">
        <v>34</v>
      </c>
      <c r="AC1756">
        <v>-0.36680000000001201</v>
      </c>
      <c r="AD1756">
        <v>-0.174199299999999</v>
      </c>
      <c r="AE1756">
        <v>7.5500000000033596E-2</v>
      </c>
      <c r="AF1756">
        <v>6.0015214240100603E-2</v>
      </c>
      <c r="AG1756">
        <v>-0.174199299999999</v>
      </c>
      <c r="AH1756">
        <v>0.301966548861682</v>
      </c>
      <c r="AI1756">
        <v>119.501872958313</v>
      </c>
      <c r="AJ1756">
        <v>78.759065506516293</v>
      </c>
      <c r="AK1756">
        <v>0.35373863047765902</v>
      </c>
      <c r="AL1756">
        <v>79.099494878694401</v>
      </c>
      <c r="AM1756">
        <v>87.736970156139705</v>
      </c>
      <c r="AN1756">
        <v>1.00000000021195</v>
      </c>
    </row>
    <row r="1757" spans="1:40" x14ac:dyDescent="0.25">
      <c r="A1757" t="str">
        <f>"20190303162537564"</f>
        <v>20190303162537564</v>
      </c>
      <c r="B1757" t="str">
        <f>"1551601537554398"</f>
        <v>1551601537554398</v>
      </c>
      <c r="C1757" t="s">
        <v>40</v>
      </c>
      <c r="D1757">
        <v>4.4565979999999996</v>
      </c>
      <c r="E1757">
        <v>0.53116890000000005</v>
      </c>
      <c r="F1757" t="s">
        <v>42</v>
      </c>
      <c r="G1757">
        <v>-389.0702</v>
      </c>
      <c r="H1757">
        <v>0.89348539999999999</v>
      </c>
      <c r="I1757">
        <v>284.47070000000002</v>
      </c>
      <c r="J1757">
        <v>-388.49</v>
      </c>
      <c r="K1757">
        <v>1.120622</v>
      </c>
      <c r="L1757">
        <v>284.36779999999999</v>
      </c>
      <c r="M1757">
        <v>-0.99994550000000004</v>
      </c>
      <c r="N1757">
        <v>-8.1437009999999997E-3</v>
      </c>
      <c r="O1757">
        <v>6.5374069999999899E-3</v>
      </c>
      <c r="P1757">
        <v>-0.98208209999999996</v>
      </c>
      <c r="Q1757">
        <v>0.18289910000000001</v>
      </c>
      <c r="R1757">
        <v>4.5422999999999998E-2</v>
      </c>
      <c r="S1757">
        <v>-3.177216</v>
      </c>
      <c r="T1757">
        <v>-0.75813439999999999</v>
      </c>
      <c r="U1757">
        <v>0.35079959999999999</v>
      </c>
      <c r="V1757">
        <v>3.8905469999999998E-2</v>
      </c>
      <c r="W1757">
        <v>0.19091259999999999</v>
      </c>
      <c r="X1757">
        <v>0.98083569999999998</v>
      </c>
      <c r="Y1757">
        <v>0.1005258</v>
      </c>
      <c r="Z1757">
        <v>1.072816E-2</v>
      </c>
      <c r="AA1757">
        <v>0.9948766</v>
      </c>
      <c r="AB1757">
        <v>34</v>
      </c>
      <c r="AC1757">
        <v>-0.58019999999998995</v>
      </c>
      <c r="AD1757">
        <v>-0.22713659999999999</v>
      </c>
      <c r="AE1757">
        <v>0.10290000000003301</v>
      </c>
      <c r="AF1757">
        <v>8.6284297262080104E-2</v>
      </c>
      <c r="AG1757">
        <v>-0.22713659999999999</v>
      </c>
      <c r="AH1757">
        <v>0.50571909299302498</v>
      </c>
      <c r="AI1757">
        <v>113.88079428620399</v>
      </c>
      <c r="AJ1757">
        <v>80.317597148896795</v>
      </c>
      <c r="AK1757">
        <v>0.56105954766963795</v>
      </c>
      <c r="AL1757">
        <v>78.993952318290297</v>
      </c>
      <c r="AM1757">
        <v>87.728517362829606</v>
      </c>
      <c r="AN1757">
        <v>0.99999996341458397</v>
      </c>
    </row>
    <row r="1758" spans="1:40" x14ac:dyDescent="0.25">
      <c r="A1758" t="str">
        <f>"20190303162537584"</f>
        <v>20190303162537584</v>
      </c>
      <c r="B1758" t="str">
        <f>"1551601537574889"</f>
        <v>1551601537574889</v>
      </c>
      <c r="C1758" t="s">
        <v>40</v>
      </c>
      <c r="D1758">
        <v>4.4262309999999996</v>
      </c>
      <c r="E1758">
        <v>0.53045180000000003</v>
      </c>
      <c r="F1758" t="s">
        <v>42</v>
      </c>
      <c r="G1758">
        <v>-389.38299999999998</v>
      </c>
      <c r="H1758">
        <v>0.9119391</v>
      </c>
      <c r="I1758">
        <v>284.46550000000002</v>
      </c>
      <c r="J1758">
        <v>-388.81700000000001</v>
      </c>
      <c r="K1758">
        <v>1.1206309999999999</v>
      </c>
      <c r="L1758">
        <v>284.3698</v>
      </c>
      <c r="M1758">
        <v>-0.99994700000000003</v>
      </c>
      <c r="N1758">
        <v>-8.1524979999999993E-3</v>
      </c>
      <c r="O1758">
        <v>6.2999589999999999E-3</v>
      </c>
      <c r="P1758">
        <v>-0.98211090000000001</v>
      </c>
      <c r="Q1758">
        <v>0.18293180000000001</v>
      </c>
      <c r="R1758">
        <v>4.4657269999999999E-2</v>
      </c>
      <c r="S1758">
        <v>-3.1770019999999999</v>
      </c>
      <c r="T1758">
        <v>-0.74245019999999995</v>
      </c>
      <c r="U1758">
        <v>0.34622190000000003</v>
      </c>
      <c r="V1758">
        <v>3.8372299999999998E-2</v>
      </c>
      <c r="W1758">
        <v>0.19095380000000001</v>
      </c>
      <c r="X1758">
        <v>0.98084870000000002</v>
      </c>
      <c r="Y1758">
        <v>9.9482459999999995E-2</v>
      </c>
      <c r="Z1758">
        <v>1.045159E-2</v>
      </c>
      <c r="AA1758">
        <v>0.99498439999999999</v>
      </c>
      <c r="AB1758">
        <v>34</v>
      </c>
      <c r="AC1758">
        <v>-0.56600000000008699</v>
      </c>
      <c r="AD1758">
        <v>-0.20869189999999899</v>
      </c>
      <c r="AE1758">
        <v>9.5700000000022101E-2</v>
      </c>
      <c r="AF1758">
        <v>8.1376570745775603E-2</v>
      </c>
      <c r="AG1758">
        <v>-0.20869189999999899</v>
      </c>
      <c r="AH1758">
        <v>0.50044703314003003</v>
      </c>
      <c r="AI1758">
        <v>112.372300325692</v>
      </c>
      <c r="AJ1758">
        <v>80.764098543337298</v>
      </c>
      <c r="AK1758">
        <v>0.54828978503215797</v>
      </c>
      <c r="AL1758">
        <v>78.991547672248899</v>
      </c>
      <c r="AM1758">
        <v>87.759644034860401</v>
      </c>
      <c r="AN1758">
        <v>0.99999997971670895</v>
      </c>
    </row>
    <row r="1759" spans="1:40" x14ac:dyDescent="0.25">
      <c r="A1759" t="str">
        <f>"20190303162537605"</f>
        <v>20190303162537605</v>
      </c>
      <c r="B1759" t="str">
        <f>"1551601537594409"</f>
        <v>1551601537594409</v>
      </c>
      <c r="C1759" t="s">
        <v>40</v>
      </c>
      <c r="D1759">
        <v>4.4791850000000002</v>
      </c>
      <c r="E1759">
        <v>0.53019050000000001</v>
      </c>
      <c r="F1759" t="s">
        <v>42</v>
      </c>
      <c r="G1759">
        <v>-389.69220000000001</v>
      </c>
      <c r="H1759">
        <v>0.9193038</v>
      </c>
      <c r="I1759">
        <v>284.46370000000002</v>
      </c>
      <c r="J1759">
        <v>-389.13290000000001</v>
      </c>
      <c r="K1759">
        <v>1.1206320000000001</v>
      </c>
      <c r="L1759">
        <v>284.37150000000003</v>
      </c>
      <c r="M1759">
        <v>-0.99994830000000001</v>
      </c>
      <c r="N1759">
        <v>-8.1609209999999998E-3</v>
      </c>
      <c r="O1759">
        <v>6.0709750000000002E-3</v>
      </c>
      <c r="P1759">
        <v>-0.98202719999999999</v>
      </c>
      <c r="Q1759">
        <v>0.18373990000000001</v>
      </c>
      <c r="R1759">
        <v>4.3155119999999998E-2</v>
      </c>
      <c r="S1759">
        <v>-3.1752929999999999</v>
      </c>
      <c r="T1759">
        <v>-0.73056650000000001</v>
      </c>
      <c r="U1759">
        <v>0.33969120000000003</v>
      </c>
      <c r="V1759">
        <v>3.7094679999999998E-2</v>
      </c>
      <c r="W1759">
        <v>0.1917691</v>
      </c>
      <c r="X1759">
        <v>0.98073880000000002</v>
      </c>
      <c r="Y1759">
        <v>9.7859109999999999E-2</v>
      </c>
      <c r="Z1759">
        <v>1.0161689999999999E-2</v>
      </c>
      <c r="AA1759">
        <v>0.99514840000000004</v>
      </c>
      <c r="AB1759">
        <v>34</v>
      </c>
      <c r="AC1759">
        <v>-0.55930000000000701</v>
      </c>
      <c r="AD1759">
        <v>-0.20132820000000001</v>
      </c>
      <c r="AE1759">
        <v>9.2199999999991095E-2</v>
      </c>
      <c r="AF1759">
        <v>7.8855366099918597E-2</v>
      </c>
      <c r="AG1759">
        <v>-0.20132820000000001</v>
      </c>
      <c r="AH1759">
        <v>0.49713733872042498</v>
      </c>
      <c r="AI1759">
        <v>111.800154878832</v>
      </c>
      <c r="AJ1759">
        <v>80.986896984681593</v>
      </c>
      <c r="AK1759">
        <v>0.54212244597324899</v>
      </c>
      <c r="AL1759">
        <v>78.943955098063199</v>
      </c>
      <c r="AM1759">
        <v>87.833922791748606</v>
      </c>
      <c r="AN1759">
        <v>0.99999999841227605</v>
      </c>
    </row>
    <row r="1760" spans="1:40" x14ac:dyDescent="0.25">
      <c r="A1760" t="str">
        <f>"20190303162537628"</f>
        <v>20190303162537628</v>
      </c>
      <c r="B1760" t="str">
        <f>"1551601537624666"</f>
        <v>1551601537624666</v>
      </c>
      <c r="C1760" t="s">
        <v>40</v>
      </c>
      <c r="D1760">
        <v>4.4469640000000004</v>
      </c>
      <c r="E1760">
        <v>0.5304354</v>
      </c>
      <c r="F1760" t="s">
        <v>42</v>
      </c>
      <c r="G1760">
        <v>-390.00029999999998</v>
      </c>
      <c r="H1760">
        <v>0.92315049999999998</v>
      </c>
      <c r="I1760">
        <v>284.46280000000002</v>
      </c>
      <c r="J1760">
        <v>-389.48829999999998</v>
      </c>
      <c r="K1760">
        <v>1.1206389999999999</v>
      </c>
      <c r="L1760">
        <v>284.3734</v>
      </c>
      <c r="M1760">
        <v>-0.9999498</v>
      </c>
      <c r="N1760">
        <v>-8.1707489999999997E-3</v>
      </c>
      <c r="O1760">
        <v>5.813136E-3</v>
      </c>
      <c r="P1760">
        <v>-0.98199040000000004</v>
      </c>
      <c r="Q1760">
        <v>0.18428069999999999</v>
      </c>
      <c r="R1760">
        <v>4.1659639999999998E-2</v>
      </c>
      <c r="S1760">
        <v>-3.1755680000000002</v>
      </c>
      <c r="T1760">
        <v>-0.72305629999999999</v>
      </c>
      <c r="U1760">
        <v>0.33285520000000002</v>
      </c>
      <c r="V1760">
        <v>3.585207E-2</v>
      </c>
      <c r="W1760">
        <v>0.1923185</v>
      </c>
      <c r="X1760">
        <v>0.98067740000000003</v>
      </c>
      <c r="Y1760">
        <v>9.6077239999999994E-2</v>
      </c>
      <c r="Z1760">
        <v>9.9135990000000004E-3</v>
      </c>
      <c r="AA1760">
        <v>0.99532449999999995</v>
      </c>
      <c r="AB1760">
        <v>34</v>
      </c>
      <c r="AC1760">
        <v>-0.51200000000000001</v>
      </c>
      <c r="AD1760">
        <v>-0.19748850000000001</v>
      </c>
      <c r="AE1760">
        <v>8.9400000000011901E-2</v>
      </c>
      <c r="AF1760">
        <v>7.55188195829158E-2</v>
      </c>
      <c r="AG1760">
        <v>-0.19748850000000001</v>
      </c>
      <c r="AH1760">
        <v>0.44785125721362401</v>
      </c>
      <c r="AI1760">
        <v>113.500860568615</v>
      </c>
      <c r="AJ1760">
        <v>80.428553168019704</v>
      </c>
      <c r="AK1760">
        <v>0.495253014459549</v>
      </c>
      <c r="AL1760">
        <v>78.911879433981198</v>
      </c>
      <c r="AM1760">
        <v>87.906286122121998</v>
      </c>
      <c r="AN1760">
        <v>0.99999996961814697</v>
      </c>
    </row>
    <row r="1761" spans="1:40" x14ac:dyDescent="0.25">
      <c r="A1761" t="str">
        <f>"20190303162537651"</f>
        <v>20190303162537651</v>
      </c>
      <c r="B1761" t="str">
        <f>"1551601537644185"</f>
        <v>1551601537644185</v>
      </c>
      <c r="C1761" t="s">
        <v>40</v>
      </c>
      <c r="D1761">
        <v>4.4816399999999996</v>
      </c>
      <c r="E1761">
        <v>0.53060050000000003</v>
      </c>
      <c r="F1761" t="s">
        <v>42</v>
      </c>
      <c r="G1761">
        <v>-390.31229999999999</v>
      </c>
      <c r="H1761">
        <v>0.93422439999999995</v>
      </c>
      <c r="I1761">
        <v>284.45890000000003</v>
      </c>
      <c r="J1761">
        <v>-389.83190000000002</v>
      </c>
      <c r="K1761">
        <v>1.1206339999999999</v>
      </c>
      <c r="L1761">
        <v>284.37520000000001</v>
      </c>
      <c r="M1761">
        <v>-0.99995109999999998</v>
      </c>
      <c r="N1761">
        <v>-8.1804930000000005E-3</v>
      </c>
      <c r="O1761">
        <v>5.5642369999999997E-3</v>
      </c>
      <c r="P1761">
        <v>-0.98211630000000005</v>
      </c>
      <c r="Q1761">
        <v>0.1837704</v>
      </c>
      <c r="R1761">
        <v>4.0940989999999997E-2</v>
      </c>
      <c r="S1761">
        <v>-3.1759339999999998</v>
      </c>
      <c r="T1761">
        <v>-0.7186013</v>
      </c>
      <c r="U1761">
        <v>0.32839970000000002</v>
      </c>
      <c r="V1761">
        <v>3.5376930000000001E-2</v>
      </c>
      <c r="W1761">
        <v>0.19181870000000001</v>
      </c>
      <c r="X1761">
        <v>0.98079260000000001</v>
      </c>
      <c r="Y1761">
        <v>9.4982570000000002E-2</v>
      </c>
      <c r="Z1761">
        <v>9.7836759999999998E-3</v>
      </c>
      <c r="AA1761">
        <v>0.99543090000000001</v>
      </c>
      <c r="AB1761">
        <v>34</v>
      </c>
      <c r="AC1761">
        <v>-0.48039999999997401</v>
      </c>
      <c r="AD1761">
        <v>-0.18640959999999901</v>
      </c>
      <c r="AE1761">
        <v>8.3700000000021604E-2</v>
      </c>
      <c r="AF1761">
        <v>7.0694828494746106E-2</v>
      </c>
      <c r="AG1761">
        <v>-0.18640959999999901</v>
      </c>
      <c r="AH1761">
        <v>0.419549057362478</v>
      </c>
      <c r="AI1761">
        <v>113.65981335858299</v>
      </c>
      <c r="AJ1761">
        <v>80.435397120571693</v>
      </c>
      <c r="AK1761">
        <v>0.46450802929745499</v>
      </c>
      <c r="AL1761">
        <v>78.941059852788896</v>
      </c>
      <c r="AM1761">
        <v>87.934251921251999</v>
      </c>
      <c r="AN1761">
        <v>1.00000003253033</v>
      </c>
    </row>
    <row r="1762" spans="1:40" x14ac:dyDescent="0.25">
      <c r="A1762" t="str">
        <f>"20190303162537672"</f>
        <v>20190303162537672</v>
      </c>
      <c r="B1762" t="str">
        <f>"1551601537664682"</f>
        <v>1551601537664682</v>
      </c>
      <c r="C1762" t="s">
        <v>40</v>
      </c>
      <c r="D1762">
        <v>4.4446120000000002</v>
      </c>
      <c r="E1762">
        <v>0.53479399999999999</v>
      </c>
      <c r="F1762" t="s">
        <v>42</v>
      </c>
      <c r="G1762">
        <v>-390.62259999999998</v>
      </c>
      <c r="H1762">
        <v>0.93993850000000001</v>
      </c>
      <c r="I1762">
        <v>284.45710000000003</v>
      </c>
      <c r="J1762">
        <v>-390.16660000000002</v>
      </c>
      <c r="K1762">
        <v>1.120625</v>
      </c>
      <c r="L1762">
        <v>284.37689999999998</v>
      </c>
      <c r="M1762">
        <v>-0.99995239999999996</v>
      </c>
      <c r="N1762">
        <v>-8.1900619999999997E-3</v>
      </c>
      <c r="O1762">
        <v>5.3219540000000003E-3</v>
      </c>
      <c r="P1762">
        <v>-0.9822786</v>
      </c>
      <c r="Q1762">
        <v>0.18286520000000001</v>
      </c>
      <c r="R1762">
        <v>4.1099040000000003E-2</v>
      </c>
      <c r="S1762">
        <v>-3.1768190000000001</v>
      </c>
      <c r="T1762">
        <v>-0.72609140000000005</v>
      </c>
      <c r="U1762">
        <v>0.32693480000000003</v>
      </c>
      <c r="V1762">
        <v>3.5771980000000002E-2</v>
      </c>
      <c r="W1762">
        <v>0.19092390000000001</v>
      </c>
      <c r="X1762">
        <v>0.98095279999999996</v>
      </c>
      <c r="Y1762">
        <v>9.4696660000000002E-2</v>
      </c>
      <c r="Z1762">
        <v>9.8961139999999993E-3</v>
      </c>
      <c r="AA1762">
        <v>0.99545700000000004</v>
      </c>
      <c r="AB1762">
        <v>34</v>
      </c>
      <c r="AC1762">
        <v>-0.45599999999995999</v>
      </c>
      <c r="AD1762">
        <v>-0.1806865</v>
      </c>
      <c r="AE1762">
        <v>8.0200000000047497E-2</v>
      </c>
      <c r="AF1762">
        <v>6.7492991290881696E-2</v>
      </c>
      <c r="AG1762">
        <v>-0.1806865</v>
      </c>
      <c r="AH1762">
        <v>0.396096122195018</v>
      </c>
      <c r="AI1762">
        <v>114.212819563374</v>
      </c>
      <c r="AJ1762">
        <v>80.329932909462499</v>
      </c>
      <c r="AK1762">
        <v>0.44056220125377499</v>
      </c>
      <c r="AL1762">
        <v>78.993292961810198</v>
      </c>
      <c r="AM1762">
        <v>87.911545097920794</v>
      </c>
      <c r="AN1762">
        <v>0.99999998298608495</v>
      </c>
    </row>
    <row r="1763" spans="1:40" x14ac:dyDescent="0.25">
      <c r="A1763" t="str">
        <f>"20190303162537694"</f>
        <v>20190303162537694</v>
      </c>
      <c r="B1763" t="str">
        <f>"1551601537684201"</f>
        <v>1551601537684201</v>
      </c>
      <c r="C1763" t="s">
        <v>40</v>
      </c>
      <c r="D1763">
        <v>4.4629050000000001</v>
      </c>
      <c r="E1763">
        <v>0.53438319999999995</v>
      </c>
      <c r="F1763" t="s">
        <v>42</v>
      </c>
      <c r="G1763">
        <v>-390.91379999999998</v>
      </c>
      <c r="H1763">
        <v>0.9037037</v>
      </c>
      <c r="I1763">
        <v>284.4597</v>
      </c>
      <c r="J1763">
        <v>-390.50659999999999</v>
      </c>
      <c r="K1763">
        <v>1.1206229999999999</v>
      </c>
      <c r="L1763">
        <v>284.3784</v>
      </c>
      <c r="M1763">
        <v>-0.99995350000000005</v>
      </c>
      <c r="N1763">
        <v>-8.2029310000000001E-3</v>
      </c>
      <c r="O1763">
        <v>5.0762020000000001E-3</v>
      </c>
      <c r="P1763">
        <v>-0.98223380000000005</v>
      </c>
      <c r="Q1763">
        <v>0.18284510000000001</v>
      </c>
      <c r="R1763">
        <v>4.2242920000000003E-2</v>
      </c>
      <c r="S1763">
        <v>-3.21286</v>
      </c>
      <c r="T1763">
        <v>-0.93266839999999995</v>
      </c>
      <c r="U1763">
        <v>0.3553772</v>
      </c>
      <c r="V1763">
        <v>3.7157210000000003E-2</v>
      </c>
      <c r="W1763">
        <v>0.19091730000000001</v>
      </c>
      <c r="X1763">
        <v>0.98090259999999996</v>
      </c>
      <c r="Y1763">
        <v>0.1008531</v>
      </c>
      <c r="Z1763">
        <v>1.332594E-2</v>
      </c>
      <c r="AA1763">
        <v>0.99481209999999998</v>
      </c>
      <c r="AB1763">
        <v>34</v>
      </c>
      <c r="AC1763">
        <v>-0.40719999999998802</v>
      </c>
      <c r="AD1763">
        <v>-0.21691929999999901</v>
      </c>
      <c r="AE1763">
        <v>8.1299999999998804E-2</v>
      </c>
      <c r="AF1763">
        <v>6.2245109897402798E-2</v>
      </c>
      <c r="AG1763">
        <v>-0.21691929999999901</v>
      </c>
      <c r="AH1763">
        <v>0.320219333056252</v>
      </c>
      <c r="AI1763">
        <v>123.62240846350301</v>
      </c>
      <c r="AJ1763">
        <v>78.999866045007295</v>
      </c>
      <c r="AK1763">
        <v>0.39175101490822001</v>
      </c>
      <c r="AL1763">
        <v>78.993678302808107</v>
      </c>
      <c r="AM1763">
        <v>87.830636925707793</v>
      </c>
      <c r="AN1763">
        <v>0.99999999219051705</v>
      </c>
    </row>
    <row r="1764" spans="1:40" x14ac:dyDescent="0.25">
      <c r="A1764" t="str">
        <f>"20190303162537717"</f>
        <v>20190303162537717</v>
      </c>
      <c r="B1764" t="str">
        <f>"1551601537714458"</f>
        <v>1551601537714458</v>
      </c>
      <c r="C1764" t="s">
        <v>40</v>
      </c>
      <c r="D1764">
        <v>4.472988</v>
      </c>
      <c r="E1764">
        <v>0.53401599999999905</v>
      </c>
      <c r="F1764" t="s">
        <v>42</v>
      </c>
      <c r="G1764">
        <v>-391.22410000000002</v>
      </c>
      <c r="H1764">
        <v>0.90723779999999998</v>
      </c>
      <c r="I1764">
        <v>284.45800000000003</v>
      </c>
      <c r="J1764">
        <v>-390.86090000000002</v>
      </c>
      <c r="K1764">
        <v>1.1206160000000001</v>
      </c>
      <c r="L1764">
        <v>284.38</v>
      </c>
      <c r="M1764">
        <v>-0.99995460000000003</v>
      </c>
      <c r="N1764">
        <v>-8.2205660000000003E-3</v>
      </c>
      <c r="O1764">
        <v>4.8199970000000003E-3</v>
      </c>
      <c r="P1764">
        <v>-0.9822959</v>
      </c>
      <c r="Q1764">
        <v>0.1822415</v>
      </c>
      <c r="R1764">
        <v>4.3392779999999999E-2</v>
      </c>
      <c r="S1764">
        <v>-3.217133</v>
      </c>
      <c r="T1764">
        <v>-0.9567949</v>
      </c>
      <c r="U1764">
        <v>0.35482789999999997</v>
      </c>
      <c r="V1764">
        <v>3.855836E-2</v>
      </c>
      <c r="W1764">
        <v>0.19033220000000001</v>
      </c>
      <c r="X1764">
        <v>0.98096220000000001</v>
      </c>
      <c r="Y1764">
        <v>0.1006026</v>
      </c>
      <c r="Z1764">
        <v>1.366476E-2</v>
      </c>
      <c r="AA1764">
        <v>0.99483279999999996</v>
      </c>
      <c r="AB1764">
        <v>34</v>
      </c>
      <c r="AC1764">
        <v>-0.36320000000000602</v>
      </c>
      <c r="AD1764">
        <v>-0.21337819999999999</v>
      </c>
      <c r="AE1764">
        <v>7.7999999999974506E-2</v>
      </c>
      <c r="AF1764">
        <v>5.7332495221959601E-2</v>
      </c>
      <c r="AG1764">
        <v>-0.21337819999999999</v>
      </c>
      <c r="AH1764">
        <v>0.27337586848316198</v>
      </c>
      <c r="AI1764">
        <v>127.37663732722901</v>
      </c>
      <c r="AJ1764">
        <v>78.155565257964099</v>
      </c>
      <c r="AK1764">
        <v>0.35149912761277102</v>
      </c>
      <c r="AL1764">
        <v>79.027827978182998</v>
      </c>
      <c r="AM1764">
        <v>87.749052326683696</v>
      </c>
      <c r="AN1764">
        <v>0.99999996565578397</v>
      </c>
    </row>
    <row r="1765" spans="1:40" x14ac:dyDescent="0.25">
      <c r="A1765" t="str">
        <f>"20190303162537741"</f>
        <v>20190303162537741</v>
      </c>
      <c r="B1765" t="str">
        <f>"1551601537734953"</f>
        <v>1551601537734953</v>
      </c>
      <c r="C1765" t="s">
        <v>40</v>
      </c>
      <c r="D1765">
        <v>4.482869</v>
      </c>
      <c r="E1765">
        <v>0.53379519999999903</v>
      </c>
      <c r="F1765" t="s">
        <v>42</v>
      </c>
      <c r="G1765">
        <v>-391.53809999999999</v>
      </c>
      <c r="H1765">
        <v>0.91816160000000002</v>
      </c>
      <c r="I1765">
        <v>284.45499999999998</v>
      </c>
      <c r="J1765">
        <v>-391.22480000000002</v>
      </c>
      <c r="K1765">
        <v>1.1206160000000001</v>
      </c>
      <c r="L1765">
        <v>284.38150000000002</v>
      </c>
      <c r="M1765">
        <v>-0.9999557</v>
      </c>
      <c r="N1765">
        <v>-8.2404609999999993E-3</v>
      </c>
      <c r="O1765">
        <v>4.5563950000000004E-3</v>
      </c>
      <c r="P1765">
        <v>-0.98241319999999999</v>
      </c>
      <c r="Q1765">
        <v>0.18142349999999999</v>
      </c>
      <c r="R1765">
        <v>4.4158599999999999E-2</v>
      </c>
      <c r="S1765">
        <v>-3.2167659999999998</v>
      </c>
      <c r="T1765">
        <v>-0.96158410000000005</v>
      </c>
      <c r="U1765">
        <v>0.35559079999999998</v>
      </c>
      <c r="V1765">
        <v>3.9582760000000002E-2</v>
      </c>
      <c r="W1765">
        <v>0.18953539999999999</v>
      </c>
      <c r="X1765">
        <v>0.98107569999999999</v>
      </c>
      <c r="Y1765">
        <v>0.101038</v>
      </c>
      <c r="Z1765">
        <v>1.387069E-2</v>
      </c>
      <c r="AA1765">
        <v>0.99478580000000005</v>
      </c>
      <c r="AB1765">
        <v>35</v>
      </c>
      <c r="AC1765">
        <v>-0.31329999999996899</v>
      </c>
      <c r="AD1765">
        <v>-0.20245440000000001</v>
      </c>
      <c r="AE1765">
        <v>7.3499999999967203E-2</v>
      </c>
      <c r="AF1765">
        <v>5.1634998200879897E-2</v>
      </c>
      <c r="AG1765">
        <v>-0.20245440000000001</v>
      </c>
      <c r="AH1765">
        <v>0.22469813571185901</v>
      </c>
      <c r="AI1765">
        <v>131.286985706736</v>
      </c>
      <c r="AJ1765">
        <v>77.058272790886093</v>
      </c>
      <c r="AK1765">
        <v>0.30682765408442197</v>
      </c>
      <c r="AL1765">
        <v>79.074328032292598</v>
      </c>
      <c r="AM1765">
        <v>87.689581245708695</v>
      </c>
      <c r="AN1765">
        <v>0.99999999593643296</v>
      </c>
    </row>
    <row r="1766" spans="1:40" x14ac:dyDescent="0.25">
      <c r="A1766" t="str">
        <f>"20190303162537763"</f>
        <v>20190303162537763</v>
      </c>
      <c r="B1766" t="str">
        <f>"1551601537754836"</f>
        <v>1551601537754836</v>
      </c>
      <c r="C1766" t="s">
        <v>40</v>
      </c>
      <c r="D1766">
        <v>4.439762</v>
      </c>
      <c r="E1766">
        <v>0.53406140000000002</v>
      </c>
      <c r="F1766" t="s">
        <v>42</v>
      </c>
      <c r="G1766">
        <v>-392.13049999999998</v>
      </c>
      <c r="H1766">
        <v>0.8491573</v>
      </c>
      <c r="I1766">
        <v>284.48180000000002</v>
      </c>
      <c r="J1766">
        <v>-391.57049999999998</v>
      </c>
      <c r="K1766">
        <v>1.120617</v>
      </c>
      <c r="L1766">
        <v>284.38279999999997</v>
      </c>
      <c r="M1766">
        <v>-0.99995679999999998</v>
      </c>
      <c r="N1766">
        <v>-8.2590040000000003E-3</v>
      </c>
      <c r="O1766">
        <v>4.3063249999999997E-3</v>
      </c>
      <c r="P1766">
        <v>-0.98245079999999996</v>
      </c>
      <c r="Q1766">
        <v>0.18113589999999999</v>
      </c>
      <c r="R1766">
        <v>4.4505379999999997E-2</v>
      </c>
      <c r="S1766">
        <v>-3.2156980000000002</v>
      </c>
      <c r="T1766">
        <v>-0.96395129999999996</v>
      </c>
      <c r="U1766">
        <v>0.35610960000000003</v>
      </c>
      <c r="V1766">
        <v>4.0174889999999998E-2</v>
      </c>
      <c r="W1766">
        <v>0.18926660000000001</v>
      </c>
      <c r="X1766">
        <v>0.98110350000000002</v>
      </c>
      <c r="Y1766">
        <v>0.1014301</v>
      </c>
      <c r="Z1766">
        <v>1.403766E-2</v>
      </c>
      <c r="AA1766">
        <v>0.99474359999999995</v>
      </c>
      <c r="AB1766">
        <v>35</v>
      </c>
      <c r="AC1766">
        <v>-0.56000000000000205</v>
      </c>
      <c r="AD1766">
        <v>-0.27145970000000003</v>
      </c>
      <c r="AE1766">
        <v>9.9000000000046301E-2</v>
      </c>
      <c r="AF1766">
        <v>7.8663207054820203E-2</v>
      </c>
      <c r="AG1766">
        <v>-0.27145970000000003</v>
      </c>
      <c r="AH1766">
        <v>0.45642079859087897</v>
      </c>
      <c r="AI1766">
        <v>120.375261176892</v>
      </c>
      <c r="AJ1766">
        <v>80.221254429504498</v>
      </c>
      <c r="AK1766">
        <v>0.53684095806353604</v>
      </c>
      <c r="AL1766">
        <v>79.090012782597896</v>
      </c>
      <c r="AM1766">
        <v>87.655123689651205</v>
      </c>
      <c r="AN1766">
        <v>0.99999997268716001</v>
      </c>
    </row>
    <row r="1767" spans="1:40" x14ac:dyDescent="0.25">
      <c r="A1767" t="str">
        <f>"20190303162537785"</f>
        <v>20190303162537785</v>
      </c>
      <c r="B1767" t="str">
        <f>"1551601537774357"</f>
        <v>1551601537774357</v>
      </c>
      <c r="C1767" t="s">
        <v>40</v>
      </c>
      <c r="D1767">
        <v>4.4803559999999996</v>
      </c>
      <c r="E1767">
        <v>0.53383319999999901</v>
      </c>
      <c r="F1767" t="s">
        <v>42</v>
      </c>
      <c r="G1767">
        <v>-392.44529999999997</v>
      </c>
      <c r="H1767">
        <v>0.85907049999999996</v>
      </c>
      <c r="I1767">
        <v>284.48079999999999</v>
      </c>
      <c r="J1767">
        <v>-391.90750000000003</v>
      </c>
      <c r="K1767">
        <v>1.1206290000000001</v>
      </c>
      <c r="L1767">
        <v>284.38400000000001</v>
      </c>
      <c r="M1767">
        <v>-0.9999576</v>
      </c>
      <c r="N1767">
        <v>-8.2779859999999993E-3</v>
      </c>
      <c r="O1767">
        <v>4.062988E-3</v>
      </c>
      <c r="P1767">
        <v>-0.98244830000000005</v>
      </c>
      <c r="Q1767">
        <v>0.18129429999999999</v>
      </c>
      <c r="R1767">
        <v>4.3909429999999999E-2</v>
      </c>
      <c r="S1767">
        <v>-3.214569</v>
      </c>
      <c r="T1767">
        <v>-0.96112900000000001</v>
      </c>
      <c r="U1767">
        <v>0.3585815</v>
      </c>
      <c r="V1767">
        <v>3.9817400000000003E-2</v>
      </c>
      <c r="W1767">
        <v>0.1894431</v>
      </c>
      <c r="X1767">
        <v>0.98108399999999996</v>
      </c>
      <c r="Y1767">
        <v>0.102433</v>
      </c>
      <c r="Z1767">
        <v>1.422417E-2</v>
      </c>
      <c r="AA1767">
        <v>0.99463820000000003</v>
      </c>
      <c r="AB1767">
        <v>35</v>
      </c>
      <c r="AC1767">
        <v>-0.53779999999994699</v>
      </c>
      <c r="AD1767">
        <v>-0.26155850000000003</v>
      </c>
      <c r="AE1767">
        <v>9.6799999999973296E-2</v>
      </c>
      <c r="AF1767">
        <v>7.6977521647378602E-2</v>
      </c>
      <c r="AG1767">
        <v>-0.26155850000000003</v>
      </c>
      <c r="AH1767">
        <v>0.43786778901777001</v>
      </c>
      <c r="AI1767">
        <v>120.46930657716899</v>
      </c>
      <c r="AJ1767">
        <v>80.029239708524202</v>
      </c>
      <c r="AK1767">
        <v>0.51581642899439895</v>
      </c>
      <c r="AL1767">
        <v>79.079713661579902</v>
      </c>
      <c r="AM1767">
        <v>87.675920083022902</v>
      </c>
      <c r="AN1767">
        <v>0.99999996426818405</v>
      </c>
    </row>
    <row r="1768" spans="1:40" x14ac:dyDescent="0.25">
      <c r="A1768" t="str">
        <f>"20190303162537807"</f>
        <v>20190303162537807</v>
      </c>
      <c r="B1768" t="str">
        <f>"1551601537804612"</f>
        <v>1551601537804612</v>
      </c>
      <c r="C1768" t="s">
        <v>40</v>
      </c>
      <c r="D1768">
        <v>4.4556579999999997</v>
      </c>
      <c r="E1768">
        <v>0.53432599999999997</v>
      </c>
      <c r="F1768" t="s">
        <v>42</v>
      </c>
      <c r="G1768">
        <v>-392.7595</v>
      </c>
      <c r="H1768">
        <v>0.8659983</v>
      </c>
      <c r="I1768">
        <v>284.47840000000002</v>
      </c>
      <c r="J1768">
        <v>-392.2484</v>
      </c>
      <c r="K1768">
        <v>1.120627</v>
      </c>
      <c r="L1768">
        <v>284.3852</v>
      </c>
      <c r="M1768">
        <v>-0.99995829999999997</v>
      </c>
      <c r="N1768">
        <v>-8.3010099999999993E-3</v>
      </c>
      <c r="O1768">
        <v>3.816715E-3</v>
      </c>
      <c r="P1768">
        <v>-0.98237430000000003</v>
      </c>
      <c r="Q1768">
        <v>0.18190190000000001</v>
      </c>
      <c r="R1768">
        <v>4.3043959999999999E-2</v>
      </c>
      <c r="S1768">
        <v>-3.2150270000000001</v>
      </c>
      <c r="T1768">
        <v>-0.96087979999999995</v>
      </c>
      <c r="U1768">
        <v>0.35534670000000002</v>
      </c>
      <c r="V1768">
        <v>3.9193550000000001E-2</v>
      </c>
      <c r="W1768">
        <v>0.1900724</v>
      </c>
      <c r="X1768">
        <v>0.98098739999999995</v>
      </c>
      <c r="Y1768">
        <v>0.1016986</v>
      </c>
      <c r="Z1768">
        <v>1.4180480000000001E-2</v>
      </c>
      <c r="AA1768">
        <v>0.99471419999999999</v>
      </c>
      <c r="AB1768">
        <v>35</v>
      </c>
      <c r="AC1768">
        <v>-0.511099999999999</v>
      </c>
      <c r="AD1768">
        <v>-0.25462869999999999</v>
      </c>
      <c r="AE1768">
        <v>9.3200000000024305E-2</v>
      </c>
      <c r="AF1768">
        <v>7.3574883134125094E-2</v>
      </c>
      <c r="AG1768">
        <v>-0.25462869999999999</v>
      </c>
      <c r="AH1768">
        <v>0.41239043814043502</v>
      </c>
      <c r="AI1768">
        <v>121.293219948814</v>
      </c>
      <c r="AJ1768">
        <v>79.884250872499706</v>
      </c>
      <c r="AK1768">
        <v>0.49021924866487099</v>
      </c>
      <c r="AL1768">
        <v>79.042990205900594</v>
      </c>
      <c r="AM1768">
        <v>87.712069208398901</v>
      </c>
      <c r="AN1768">
        <v>0.99999996528106005</v>
      </c>
    </row>
    <row r="1769" spans="1:40" x14ac:dyDescent="0.25">
      <c r="A1769" t="str">
        <f>"20190303162537841"</f>
        <v>20190303162537841</v>
      </c>
      <c r="B1769" t="str">
        <f>"1551601537834868"</f>
        <v>1551601537834868</v>
      </c>
      <c r="C1769" t="s">
        <v>40</v>
      </c>
      <c r="D1769">
        <v>4.4825089999999896</v>
      </c>
      <c r="E1769">
        <v>0.53385179999999999</v>
      </c>
      <c r="F1769" t="s">
        <v>42</v>
      </c>
      <c r="G1769">
        <v>-393.07549999999998</v>
      </c>
      <c r="H1769">
        <v>0.8759865</v>
      </c>
      <c r="I1769">
        <v>284.47730000000001</v>
      </c>
      <c r="J1769">
        <v>-392.77929999999998</v>
      </c>
      <c r="K1769">
        <v>1.1206339999999999</v>
      </c>
      <c r="L1769">
        <v>284.38679999999999</v>
      </c>
      <c r="M1769">
        <v>-0.9999593</v>
      </c>
      <c r="N1769">
        <v>-8.3401499999999993E-3</v>
      </c>
      <c r="O1769">
        <v>3.4335139999999999E-3</v>
      </c>
      <c r="P1769">
        <v>-0.98236749999999995</v>
      </c>
      <c r="Q1769">
        <v>0.1822395</v>
      </c>
      <c r="R1769">
        <v>4.1751339999999998E-2</v>
      </c>
      <c r="S1769">
        <v>-3.2142330000000001</v>
      </c>
      <c r="T1769">
        <v>-0.95073160000000001</v>
      </c>
      <c r="U1769">
        <v>0.35687259999999998</v>
      </c>
      <c r="V1769">
        <v>3.8276749999999998E-2</v>
      </c>
      <c r="W1769">
        <v>0.1904478</v>
      </c>
      <c r="X1769">
        <v>0.98095080000000001</v>
      </c>
      <c r="Y1769">
        <v>0.1026043</v>
      </c>
      <c r="Z1769">
        <v>1.428857E-2</v>
      </c>
      <c r="AA1769">
        <v>0.99461960000000005</v>
      </c>
      <c r="AB1769">
        <v>35</v>
      </c>
      <c r="AC1769">
        <v>-0.29619999999999802</v>
      </c>
      <c r="AD1769">
        <v>-0.24464749999999899</v>
      </c>
      <c r="AE1769">
        <v>9.0500000000019995E-2</v>
      </c>
      <c r="AF1769">
        <v>5.51016445926601E-2</v>
      </c>
      <c r="AG1769">
        <v>-0.24464749999999899</v>
      </c>
      <c r="AH1769">
        <v>0.18258483213025101</v>
      </c>
      <c r="AI1769">
        <v>142.06133823110201</v>
      </c>
      <c r="AJ1769">
        <v>73.206892687553193</v>
      </c>
      <c r="AK1769">
        <v>0.31020285526909303</v>
      </c>
      <c r="AL1769">
        <v>79.021081259342296</v>
      </c>
      <c r="AM1769">
        <v>87.765449397874605</v>
      </c>
      <c r="AN1769">
        <v>0.99999997306802002</v>
      </c>
    </row>
    <row r="1770" spans="1:40" x14ac:dyDescent="0.25">
      <c r="A1770" t="str">
        <f>"20190303162537862"</f>
        <v>20190303162537862</v>
      </c>
      <c r="B1770" t="str">
        <f>"1551601537854390"</f>
        <v>1551601537854390</v>
      </c>
      <c r="C1770" t="s">
        <v>40</v>
      </c>
      <c r="D1770">
        <v>4.4731199999999998</v>
      </c>
      <c r="E1770">
        <v>0.53350730000000002</v>
      </c>
      <c r="F1770" t="s">
        <v>42</v>
      </c>
      <c r="G1770">
        <v>-393.69040000000001</v>
      </c>
      <c r="H1770">
        <v>0.84874319999999903</v>
      </c>
      <c r="I1770">
        <v>284.48570000000001</v>
      </c>
      <c r="J1770">
        <v>-393.12200000000001</v>
      </c>
      <c r="K1770">
        <v>1.120633</v>
      </c>
      <c r="L1770">
        <v>284.38780000000003</v>
      </c>
      <c r="M1770">
        <v>-0.99995990000000001</v>
      </c>
      <c r="N1770">
        <v>-8.3646359999999999E-3</v>
      </c>
      <c r="O1770">
        <v>3.1861599999999999E-3</v>
      </c>
      <c r="P1770">
        <v>-0.98232450000000004</v>
      </c>
      <c r="Q1770">
        <v>0.18266579999999999</v>
      </c>
      <c r="R1770">
        <v>4.0889689999999999E-2</v>
      </c>
      <c r="S1770">
        <v>-3.2171630000000002</v>
      </c>
      <c r="T1770">
        <v>-0.96007690000000001</v>
      </c>
      <c r="U1770">
        <v>0.34780879999999997</v>
      </c>
      <c r="V1770">
        <v>3.7657570000000001E-2</v>
      </c>
      <c r="W1770">
        <v>0.1908977</v>
      </c>
      <c r="X1770">
        <v>0.98088739999999996</v>
      </c>
      <c r="Y1770">
        <v>0.10000970000000001</v>
      </c>
      <c r="Z1770">
        <v>1.409122E-2</v>
      </c>
      <c r="AA1770">
        <v>0.99488670000000001</v>
      </c>
      <c r="AB1770">
        <v>35</v>
      </c>
      <c r="AC1770">
        <v>-0.56840000000005297</v>
      </c>
      <c r="AD1770">
        <v>-0.27188980000000001</v>
      </c>
      <c r="AE1770">
        <v>9.7899999999981405E-2</v>
      </c>
      <c r="AF1770">
        <v>7.8618004617026296E-2</v>
      </c>
      <c r="AG1770">
        <v>-0.27188980000000001</v>
      </c>
      <c r="AH1770">
        <v>0.46530859656948498</v>
      </c>
      <c r="AI1770">
        <v>119.94863410369</v>
      </c>
      <c r="AJ1770">
        <v>80.409942668158607</v>
      </c>
      <c r="AK1770">
        <v>0.54462550806537402</v>
      </c>
      <c r="AL1770">
        <v>78.994823074067099</v>
      </c>
      <c r="AM1770">
        <v>87.801418664567294</v>
      </c>
      <c r="AN1770">
        <v>1.0000000579611701</v>
      </c>
    </row>
    <row r="1771" spans="1:40" x14ac:dyDescent="0.25">
      <c r="A1771" t="str">
        <f>"20190303162537884"</f>
        <v>20190303162537884</v>
      </c>
      <c r="B1771" t="str">
        <f>"1551601537874885"</f>
        <v>1551601537874885</v>
      </c>
      <c r="C1771" t="s">
        <v>40</v>
      </c>
      <c r="D1771">
        <v>4.5014969999999996</v>
      </c>
      <c r="E1771">
        <v>0.53324439999999995</v>
      </c>
      <c r="F1771" t="s">
        <v>42</v>
      </c>
      <c r="G1771">
        <v>-394.00659999999999</v>
      </c>
      <c r="H1771">
        <v>0.85508449999999903</v>
      </c>
      <c r="I1771">
        <v>284.48169999999999</v>
      </c>
      <c r="J1771">
        <v>-393.46749999999997</v>
      </c>
      <c r="K1771">
        <v>1.120635</v>
      </c>
      <c r="L1771">
        <v>284.3886</v>
      </c>
      <c r="M1771">
        <v>-0.99996050000000003</v>
      </c>
      <c r="N1771">
        <v>-8.3881210000000001E-3</v>
      </c>
      <c r="O1771">
        <v>2.9370820000000001E-3</v>
      </c>
      <c r="P1771">
        <v>-0.98243340000000001</v>
      </c>
      <c r="Q1771">
        <v>0.1822616</v>
      </c>
      <c r="R1771">
        <v>4.0066579999999997E-2</v>
      </c>
      <c r="S1771">
        <v>-3.219452</v>
      </c>
      <c r="T1771">
        <v>-0.96648000000000001</v>
      </c>
      <c r="U1771">
        <v>0.34130860000000002</v>
      </c>
      <c r="V1771">
        <v>3.7078590000000002E-2</v>
      </c>
      <c r="W1771">
        <v>0.19051660000000001</v>
      </c>
      <c r="X1771">
        <v>0.98098350000000001</v>
      </c>
      <c r="Y1771">
        <v>9.8214789999999996E-2</v>
      </c>
      <c r="Z1771">
        <v>1.397208E-2</v>
      </c>
      <c r="AA1771">
        <v>0.99506719999999904</v>
      </c>
      <c r="AB1771">
        <v>35</v>
      </c>
      <c r="AC1771">
        <v>-0.53910000000001901</v>
      </c>
      <c r="AD1771">
        <v>-0.26555050000000002</v>
      </c>
      <c r="AE1771">
        <v>9.3099999999992605E-2</v>
      </c>
      <c r="AF1771">
        <v>7.4065604636498E-2</v>
      </c>
      <c r="AG1771">
        <v>-0.26555050000000002</v>
      </c>
      <c r="AH1771">
        <v>0.43652233473743002</v>
      </c>
      <c r="AI1771">
        <v>120.95364964585799</v>
      </c>
      <c r="AJ1771">
        <v>80.370222477265301</v>
      </c>
      <c r="AK1771">
        <v>0.51628919276412999</v>
      </c>
      <c r="AL1771">
        <v>79.017066221760999</v>
      </c>
      <c r="AM1771">
        <v>87.835401010033095</v>
      </c>
      <c r="AN1771">
        <v>1.00000001199209</v>
      </c>
    </row>
    <row r="1772" spans="1:40" x14ac:dyDescent="0.25">
      <c r="A1772" t="str">
        <f>"20190303162537907"</f>
        <v>20190303162537907</v>
      </c>
      <c r="B1772" t="str">
        <f>"1551601537905141"</f>
        <v>1551601537905141</v>
      </c>
      <c r="C1772" t="s">
        <v>40</v>
      </c>
      <c r="D1772">
        <v>4.5322290000000001</v>
      </c>
      <c r="E1772">
        <v>0.53313239999999995</v>
      </c>
      <c r="F1772" t="s">
        <v>42</v>
      </c>
      <c r="G1772">
        <v>-394.32350000000002</v>
      </c>
      <c r="H1772">
        <v>0.86204979999999998</v>
      </c>
      <c r="I1772">
        <v>284.4787</v>
      </c>
      <c r="J1772">
        <v>-393.82380000000001</v>
      </c>
      <c r="K1772">
        <v>1.1206449999999999</v>
      </c>
      <c r="L1772">
        <v>284.38940000000002</v>
      </c>
      <c r="M1772">
        <v>-0.99996110000000005</v>
      </c>
      <c r="N1772">
        <v>-8.4127319999999992E-3</v>
      </c>
      <c r="O1772">
        <v>2.6800700000000001E-3</v>
      </c>
      <c r="P1772">
        <v>-0.98254509999999995</v>
      </c>
      <c r="Q1772">
        <v>0.18201100000000001</v>
      </c>
      <c r="R1772">
        <v>3.8436749999999999E-2</v>
      </c>
      <c r="S1772">
        <v>-3.2203369999999998</v>
      </c>
      <c r="T1772">
        <v>-0.97279740000000003</v>
      </c>
      <c r="U1772">
        <v>0.33709719999999999</v>
      </c>
      <c r="V1772">
        <v>3.5700709999999997E-2</v>
      </c>
      <c r="W1772">
        <v>0.1902905</v>
      </c>
      <c r="X1772">
        <v>0.98107849999999996</v>
      </c>
      <c r="Y1772">
        <v>9.7139749999999997E-2</v>
      </c>
      <c r="Z1772">
        <v>1.3966020000000001E-2</v>
      </c>
      <c r="AA1772">
        <v>0.99517270000000002</v>
      </c>
      <c r="AB1772">
        <v>35</v>
      </c>
      <c r="AC1772">
        <v>-0.49970000000001802</v>
      </c>
      <c r="AD1772">
        <v>-0.25859520000000003</v>
      </c>
      <c r="AE1772">
        <v>8.9299999999980104E-2</v>
      </c>
      <c r="AF1772">
        <v>6.9836495815762498E-2</v>
      </c>
      <c r="AG1772">
        <v>-0.25859520000000003</v>
      </c>
      <c r="AH1772">
        <v>0.39692731956727101</v>
      </c>
      <c r="AI1772">
        <v>122.685734425899</v>
      </c>
      <c r="AJ1772">
        <v>80.021350739889698</v>
      </c>
      <c r="AK1772">
        <v>0.47885270243543998</v>
      </c>
      <c r="AL1772">
        <v>79.030262285139003</v>
      </c>
      <c r="AM1772">
        <v>87.915969153390805</v>
      </c>
      <c r="AN1772">
        <v>1.0000000191234999</v>
      </c>
    </row>
    <row r="1773" spans="1:40" x14ac:dyDescent="0.25">
      <c r="A1773" t="str">
        <f>"20190303162537930"</f>
        <v>20190303162537930</v>
      </c>
      <c r="B1773" t="str">
        <f>"1551601537924661"</f>
        <v>1551601537924661</v>
      </c>
      <c r="C1773" t="s">
        <v>40</v>
      </c>
      <c r="D1773">
        <v>4.5235099999999999</v>
      </c>
      <c r="E1773">
        <v>0.53317079999999994</v>
      </c>
      <c r="F1773" t="s">
        <v>42</v>
      </c>
      <c r="G1773">
        <v>-394.64210000000003</v>
      </c>
      <c r="H1773">
        <v>0.87199570000000004</v>
      </c>
      <c r="I1773">
        <v>284.47399999999999</v>
      </c>
      <c r="J1773">
        <v>-394.18270000000001</v>
      </c>
      <c r="K1773">
        <v>1.120652</v>
      </c>
      <c r="L1773">
        <v>284.39010000000002</v>
      </c>
      <c r="M1773">
        <v>-0.9999614</v>
      </c>
      <c r="N1773">
        <v>-8.4408199999999999E-3</v>
      </c>
      <c r="O1773">
        <v>2.4216720000000001E-3</v>
      </c>
      <c r="P1773">
        <v>-0.98241299999999998</v>
      </c>
      <c r="Q1773">
        <v>0.1831564</v>
      </c>
      <c r="R1773">
        <v>3.6308649999999998E-2</v>
      </c>
      <c r="S1773">
        <v>-3.221619</v>
      </c>
      <c r="T1773">
        <v>-0.97888240000000004</v>
      </c>
      <c r="U1773">
        <v>0.332428</v>
      </c>
      <c r="V1773">
        <v>3.382578E-2</v>
      </c>
      <c r="W1773">
        <v>0.19146160000000001</v>
      </c>
      <c r="X1773">
        <v>0.98091700000000004</v>
      </c>
      <c r="Y1773">
        <v>9.5923830000000002E-2</v>
      </c>
      <c r="Z1773">
        <v>1.3933340000000001E-2</v>
      </c>
      <c r="AA1773">
        <v>0.99529120000000004</v>
      </c>
      <c r="AB1773">
        <v>35</v>
      </c>
      <c r="AC1773">
        <v>-0.45940000000001602</v>
      </c>
      <c r="AD1773">
        <v>-0.248656299999999</v>
      </c>
      <c r="AE1773">
        <v>8.38999999999714E-2</v>
      </c>
      <c r="AF1773">
        <v>6.4500637612025999E-2</v>
      </c>
      <c r="AG1773">
        <v>-0.248656299999999</v>
      </c>
      <c r="AH1773">
        <v>0.35808207401367398</v>
      </c>
      <c r="AI1773">
        <v>124.349205912445</v>
      </c>
      <c r="AJ1773">
        <v>79.788918121026498</v>
      </c>
      <c r="AK1773">
        <v>0.44069610789293501</v>
      </c>
      <c r="AL1773">
        <v>78.961905577119794</v>
      </c>
      <c r="AM1773">
        <v>88.025004389013603</v>
      </c>
      <c r="AN1773">
        <v>0.99999994427808203</v>
      </c>
    </row>
    <row r="1774" spans="1:40" x14ac:dyDescent="0.25">
      <c r="A1774" t="str">
        <f>"20190303162537951"</f>
        <v>20190303162537951</v>
      </c>
      <c r="B1774" t="str">
        <f>"1551601537945157"</f>
        <v>1551601537945157</v>
      </c>
      <c r="C1774" t="s">
        <v>40</v>
      </c>
      <c r="D1774">
        <v>4.5806649999999998</v>
      </c>
      <c r="E1774">
        <v>0.53317209999999904</v>
      </c>
      <c r="F1774" t="s">
        <v>42</v>
      </c>
      <c r="G1774">
        <v>-394.96230000000003</v>
      </c>
      <c r="H1774">
        <v>0.88472989999999996</v>
      </c>
      <c r="I1774">
        <v>284.46949999999998</v>
      </c>
      <c r="J1774">
        <v>-394.5265</v>
      </c>
      <c r="K1774">
        <v>1.120665</v>
      </c>
      <c r="L1774">
        <v>284.39069999999998</v>
      </c>
      <c r="M1774">
        <v>-0.99996189999999996</v>
      </c>
      <c r="N1774">
        <v>-8.4688179999999995E-3</v>
      </c>
      <c r="O1774">
        <v>2.1740040000000002E-3</v>
      </c>
      <c r="P1774">
        <v>-0.98220499999999999</v>
      </c>
      <c r="Q1774">
        <v>0.1845929</v>
      </c>
      <c r="R1774">
        <v>3.4628520000000003E-2</v>
      </c>
      <c r="S1774">
        <v>-3.2234799999999999</v>
      </c>
      <c r="T1774">
        <v>-0.97544149999999996</v>
      </c>
      <c r="U1774">
        <v>0.32702639999999999</v>
      </c>
      <c r="V1774">
        <v>3.2388380000000001E-2</v>
      </c>
      <c r="W1774">
        <v>0.1929226</v>
      </c>
      <c r="X1774">
        <v>0.98067930000000003</v>
      </c>
      <c r="Y1774">
        <v>9.4546030000000003E-2</v>
      </c>
      <c r="Z1774">
        <v>1.3744620000000001E-2</v>
      </c>
      <c r="AA1774">
        <v>0.99542560000000002</v>
      </c>
      <c r="AB1774">
        <v>35</v>
      </c>
      <c r="AC1774">
        <v>-0.435800000000028</v>
      </c>
      <c r="AD1774">
        <v>-0.23593509999999901</v>
      </c>
      <c r="AE1774">
        <v>7.8800000000000994E-2</v>
      </c>
      <c r="AF1774">
        <v>6.0641304506086999E-2</v>
      </c>
      <c r="AG1774">
        <v>-0.23593509999999901</v>
      </c>
      <c r="AH1774">
        <v>0.339589072426078</v>
      </c>
      <c r="AI1774">
        <v>124.3700641377</v>
      </c>
      <c r="AJ1774">
        <v>79.875263151787394</v>
      </c>
      <c r="AK1774">
        <v>0.41792759819783898</v>
      </c>
      <c r="AL1774">
        <v>78.876606996797506</v>
      </c>
      <c r="AM1774">
        <v>88.108409942212404</v>
      </c>
      <c r="AN1774">
        <v>1.00000001309913</v>
      </c>
    </row>
    <row r="1775" spans="1:40" x14ac:dyDescent="0.25">
      <c r="A1775" t="str">
        <f>"20190303162538109"</f>
        <v>20190303162538109</v>
      </c>
      <c r="B1775" t="str">
        <f>"1551601538105221"</f>
        <v>1551601538105221</v>
      </c>
      <c r="C1775" t="s">
        <v>40</v>
      </c>
      <c r="D1775">
        <v>4.7443390000000001</v>
      </c>
      <c r="E1775">
        <v>0.46032309999999999</v>
      </c>
      <c r="F1775" t="s">
        <v>42</v>
      </c>
      <c r="G1775">
        <v>-397.49590000000001</v>
      </c>
      <c r="H1775">
        <v>0.86760329999999997</v>
      </c>
      <c r="I1775">
        <v>284.47669999999999</v>
      </c>
      <c r="J1775">
        <v>-397.02289999999999</v>
      </c>
      <c r="K1775">
        <v>1.120692</v>
      </c>
      <c r="L1775">
        <v>284.39260000000002</v>
      </c>
      <c r="M1775">
        <v>-0.99996240000000003</v>
      </c>
      <c r="N1775">
        <v>-8.6657790000000002E-3</v>
      </c>
      <c r="O1775">
        <v>3.9635739999999999E-4</v>
      </c>
      <c r="P1775">
        <v>-0.98168789999999995</v>
      </c>
      <c r="Q1775">
        <v>0.18748989999999999</v>
      </c>
      <c r="R1775">
        <v>3.3713769999999997E-2</v>
      </c>
      <c r="S1775">
        <v>-3.2290040000000002</v>
      </c>
      <c r="T1775">
        <v>-0.96668929999999997</v>
      </c>
      <c r="U1775">
        <v>0.3204651</v>
      </c>
      <c r="V1775">
        <v>3.3217249999999997E-2</v>
      </c>
      <c r="W1775">
        <v>0.19600819999999999</v>
      </c>
      <c r="X1775">
        <v>0.98003949999999995</v>
      </c>
      <c r="Y1775">
        <v>9.4167929999999997E-2</v>
      </c>
      <c r="Z1775">
        <v>1.40672E-2</v>
      </c>
      <c r="AA1775">
        <v>0.99545689999999998</v>
      </c>
      <c r="AB1775">
        <v>36</v>
      </c>
      <c r="AC1775">
        <v>-0.47300000000001302</v>
      </c>
      <c r="AD1775">
        <v>-0.253088699999999</v>
      </c>
      <c r="AE1775">
        <v>8.4099999999977998E-2</v>
      </c>
      <c r="AF1775">
        <v>6.5683515786256599E-2</v>
      </c>
      <c r="AG1775">
        <v>-0.253088699999999</v>
      </c>
      <c r="AH1775">
        <v>0.37027244610236199</v>
      </c>
      <c r="AI1775">
        <v>123.94106720766401</v>
      </c>
      <c r="AJ1775">
        <v>79.940807791964005</v>
      </c>
      <c r="AK1775">
        <v>0.45328787614093602</v>
      </c>
      <c r="AL1775">
        <v>78.696374280705001</v>
      </c>
      <c r="AM1775">
        <v>88.0587721829625</v>
      </c>
      <c r="AN1775">
        <v>1.00000001086252</v>
      </c>
    </row>
    <row r="1776" spans="1:40" x14ac:dyDescent="0.25">
      <c r="A1776" t="str">
        <f>"20190303162538130"</f>
        <v>20190303162538130</v>
      </c>
      <c r="B1776" t="str">
        <f>"1551601538124741"</f>
        <v>1551601538124741</v>
      </c>
      <c r="C1776" t="s">
        <v>40</v>
      </c>
      <c r="D1776">
        <v>4.8164339999999903</v>
      </c>
      <c r="E1776">
        <v>0.46279009999999998</v>
      </c>
      <c r="F1776" t="s">
        <v>49</v>
      </c>
      <c r="G1776">
        <v>-511.95909999999998</v>
      </c>
      <c r="H1776">
        <v>1.477198</v>
      </c>
      <c r="I1776">
        <v>275.72449999999998</v>
      </c>
      <c r="J1776">
        <v>-397.37759999999997</v>
      </c>
      <c r="K1776">
        <v>1.120695</v>
      </c>
      <c r="L1776">
        <v>284.39249999999998</v>
      </c>
      <c r="M1776">
        <v>-0.99996229999999997</v>
      </c>
      <c r="N1776">
        <v>-8.6979989999999997E-3</v>
      </c>
      <c r="O1776">
        <v>1.458671E-4</v>
      </c>
      <c r="P1776">
        <v>-0.9816146</v>
      </c>
      <c r="Q1776">
        <v>0.1878273</v>
      </c>
      <c r="R1776">
        <v>3.3972200000000001E-2</v>
      </c>
      <c r="S1776">
        <v>-3.0620419999999999</v>
      </c>
      <c r="T1776">
        <v>9.4999070000000001E-3</v>
      </c>
      <c r="U1776">
        <v>-0.23092650000000001</v>
      </c>
      <c r="V1776">
        <v>3.37212E-2</v>
      </c>
      <c r="W1776">
        <v>0.19637669999999999</v>
      </c>
      <c r="X1776">
        <v>0.9799485</v>
      </c>
      <c r="Y1776">
        <v>-7.5348380000000006E-2</v>
      </c>
      <c r="Z1776">
        <v>-2.0972349999999999E-4</v>
      </c>
      <c r="AA1776">
        <v>0.99715730000000002</v>
      </c>
      <c r="AB1776">
        <v>36</v>
      </c>
      <c r="AC1776">
        <v>-114.58150000000001</v>
      </c>
      <c r="AD1776">
        <v>0.35650300000000001</v>
      </c>
      <c r="AE1776">
        <v>-8.6679999999999993</v>
      </c>
      <c r="AF1776">
        <v>-8.6846306157487394</v>
      </c>
      <c r="AG1776">
        <v>0.35650300000000001</v>
      </c>
      <c r="AH1776">
        <v>114.57913148654001</v>
      </c>
      <c r="AI1776">
        <v>89.822239625677497</v>
      </c>
      <c r="AJ1776">
        <v>94.334498369408905</v>
      </c>
      <c r="AK1776">
        <v>114.90834293266499</v>
      </c>
      <c r="AL1776">
        <v>78.674842140852206</v>
      </c>
      <c r="AM1776">
        <v>88.029161360061394</v>
      </c>
      <c r="AN1776">
        <v>0.99999999514228999</v>
      </c>
    </row>
    <row r="1777" spans="1:40" x14ac:dyDescent="0.25">
      <c r="A1777" t="str">
        <f>"20190303162538152"</f>
        <v>20190303162538152</v>
      </c>
      <c r="B1777" t="str">
        <f>"1551601538144634"</f>
        <v>1551601538144634</v>
      </c>
      <c r="C1777" t="s">
        <v>40</v>
      </c>
      <c r="D1777">
        <v>4.852023</v>
      </c>
      <c r="E1777">
        <v>0.4629065</v>
      </c>
      <c r="F1777" t="s">
        <v>49</v>
      </c>
      <c r="G1777">
        <v>-511.95870000000002</v>
      </c>
      <c r="H1777">
        <v>0.22622239999999999</v>
      </c>
      <c r="I1777">
        <v>276.49430000000001</v>
      </c>
      <c r="J1777">
        <v>-397.72370000000001</v>
      </c>
      <c r="K1777">
        <v>1.1206849999999999</v>
      </c>
      <c r="L1777">
        <v>284.39229999999998</v>
      </c>
      <c r="M1777">
        <v>-0.99996200000000002</v>
      </c>
      <c r="N1777">
        <v>-8.7327310000000005E-3</v>
      </c>
      <c r="O1777" s="1">
        <v>-9.8079110000000002E-5</v>
      </c>
      <c r="P1777">
        <v>-0.98166240000000005</v>
      </c>
      <c r="Q1777">
        <v>0.18768470000000001</v>
      </c>
      <c r="R1777">
        <v>3.3374859999999999E-2</v>
      </c>
      <c r="S1777">
        <v>-3.0681150000000001</v>
      </c>
      <c r="T1777">
        <v>-2.394891E-2</v>
      </c>
      <c r="U1777">
        <v>-0.2114868</v>
      </c>
      <c r="V1777">
        <v>3.3362969999999999E-2</v>
      </c>
      <c r="W1777">
        <v>0.19626859999999999</v>
      </c>
      <c r="X1777">
        <v>0.97998240000000003</v>
      </c>
      <c r="Y1777">
        <v>-6.8665089999999998E-2</v>
      </c>
      <c r="Z1777">
        <v>-5.6794750000000002E-4</v>
      </c>
      <c r="AA1777">
        <v>0.99763959999999996</v>
      </c>
      <c r="AB1777">
        <v>36</v>
      </c>
      <c r="AC1777">
        <v>-114.235</v>
      </c>
      <c r="AD1777">
        <v>-0.894462599999999</v>
      </c>
      <c r="AE1777">
        <v>-7.8979999999999597</v>
      </c>
      <c r="AF1777">
        <v>-7.8863142653490099</v>
      </c>
      <c r="AG1777">
        <v>-0.894462599999999</v>
      </c>
      <c r="AH1777">
        <v>114.22880414354501</v>
      </c>
      <c r="AI1777">
        <v>90.447577027190405</v>
      </c>
      <c r="AJ1777">
        <v>93.949412400804704</v>
      </c>
      <c r="AK1777">
        <v>114.50420827244299</v>
      </c>
      <c r="AL1777">
        <v>78.681158539868505</v>
      </c>
      <c r="AM1777">
        <v>88.050149296745005</v>
      </c>
      <c r="AN1777">
        <v>0.99999997771146998</v>
      </c>
    </row>
    <row r="1778" spans="1:40" x14ac:dyDescent="0.25">
      <c r="A1778" t="str">
        <f>"20190303162538175"</f>
        <v>20190303162538175</v>
      </c>
      <c r="B1778" t="str">
        <f>"1551601538165107"</f>
        <v>1551601538165107</v>
      </c>
      <c r="C1778" t="s">
        <v>40</v>
      </c>
      <c r="D1778">
        <v>4.8608060000000002</v>
      </c>
      <c r="E1778">
        <v>0.46368910000000002</v>
      </c>
      <c r="F1778" t="s">
        <v>48</v>
      </c>
      <c r="G1778">
        <v>-467.39580000000001</v>
      </c>
      <c r="H1778">
        <v>8.0000979999999999E-2</v>
      </c>
      <c r="I1778">
        <v>279.56349999999998</v>
      </c>
      <c r="J1778">
        <v>-398.0933</v>
      </c>
      <c r="K1778">
        <v>1.1206910000000001</v>
      </c>
      <c r="L1778">
        <v>284.392</v>
      </c>
      <c r="M1778">
        <v>-0.99996149999999995</v>
      </c>
      <c r="N1778">
        <v>-8.772574E-3</v>
      </c>
      <c r="O1778">
        <v>-3.5826279999999998E-4</v>
      </c>
      <c r="P1778">
        <v>-0.98172749999999998</v>
      </c>
      <c r="Q1778">
        <v>0.1876369</v>
      </c>
      <c r="R1778">
        <v>3.1682160000000001E-2</v>
      </c>
      <c r="S1778">
        <v>-3.0720830000000001</v>
      </c>
      <c r="T1778">
        <v>-4.588735E-2</v>
      </c>
      <c r="U1778">
        <v>-0.2129211</v>
      </c>
      <c r="V1778">
        <v>3.1925469999999997E-2</v>
      </c>
      <c r="W1778">
        <v>0.1962593</v>
      </c>
      <c r="X1778">
        <v>0.98003209999999996</v>
      </c>
      <c r="Y1778">
        <v>-6.8772990000000006E-2</v>
      </c>
      <c r="Z1778">
        <v>-8.1282969999999996E-4</v>
      </c>
      <c r="AA1778">
        <v>0.99763199999999996</v>
      </c>
      <c r="AB1778">
        <v>36</v>
      </c>
      <c r="AC1778">
        <v>-69.302499999999995</v>
      </c>
      <c r="AD1778">
        <v>-1.04069002</v>
      </c>
      <c r="AE1778">
        <v>-4.8285000000000204</v>
      </c>
      <c r="AF1778">
        <v>-4.8025924790917403</v>
      </c>
      <c r="AG1778">
        <v>-1.04069002</v>
      </c>
      <c r="AH1778">
        <v>69.288676430263806</v>
      </c>
      <c r="AI1778">
        <v>90.858437189160696</v>
      </c>
      <c r="AJ1778">
        <v>93.964989654614101</v>
      </c>
      <c r="AK1778">
        <v>69.462713823286194</v>
      </c>
      <c r="AL1778">
        <v>78.681701443942202</v>
      </c>
      <c r="AM1778">
        <v>88.134195747936104</v>
      </c>
      <c r="AN1778">
        <v>0.99999993275080801</v>
      </c>
    </row>
    <row r="1779" spans="1:40" x14ac:dyDescent="0.25">
      <c r="A1779" t="str">
        <f>"20190303162538198"</f>
        <v>20190303162538198</v>
      </c>
      <c r="B1779" t="str">
        <f>"1551601538184626"</f>
        <v>1551601538184626</v>
      </c>
      <c r="C1779" t="s">
        <v>40</v>
      </c>
      <c r="D1779">
        <v>4.7932949999999996</v>
      </c>
      <c r="E1779">
        <v>0.46276220000000001</v>
      </c>
      <c r="F1779" t="s">
        <v>48</v>
      </c>
      <c r="G1779">
        <v>-461.39240000000001</v>
      </c>
      <c r="H1779" s="1">
        <v>-5.9506089999999997E-7</v>
      </c>
      <c r="I1779">
        <v>280.02390000000003</v>
      </c>
      <c r="J1779">
        <v>-398.45249999999999</v>
      </c>
      <c r="K1779">
        <v>1.120695</v>
      </c>
      <c r="L1779">
        <v>284.39170000000001</v>
      </c>
      <c r="M1779">
        <v>-0.99996110000000005</v>
      </c>
      <c r="N1779">
        <v>-8.8109739999999992E-3</v>
      </c>
      <c r="O1779">
        <v>-6.111682E-4</v>
      </c>
      <c r="P1779">
        <v>-0.98177049999999999</v>
      </c>
      <c r="Q1779">
        <v>0.1876073</v>
      </c>
      <c r="R1779">
        <v>3.0500349999999999E-2</v>
      </c>
      <c r="S1779">
        <v>-3.0730590000000002</v>
      </c>
      <c r="T1779">
        <v>-5.44076E-2</v>
      </c>
      <c r="U1779">
        <v>-0.2120667</v>
      </c>
      <c r="V1779">
        <v>3.0991580000000001E-2</v>
      </c>
      <c r="W1779">
        <v>0.19626769999999999</v>
      </c>
      <c r="X1779">
        <v>0.9800605</v>
      </c>
      <c r="Y1779">
        <v>-6.8218909999999994E-2</v>
      </c>
      <c r="Z1779">
        <v>-8.9864049999999998E-4</v>
      </c>
      <c r="AA1779">
        <v>0.99766999999999995</v>
      </c>
      <c r="AB1779">
        <v>36</v>
      </c>
      <c r="AC1779">
        <v>-62.939900000000002</v>
      </c>
      <c r="AD1779">
        <v>-1.1206955950608899</v>
      </c>
      <c r="AE1779">
        <v>-4.3677999999999804</v>
      </c>
      <c r="AF1779">
        <v>-4.32796523897008</v>
      </c>
      <c r="AG1779">
        <v>-1.1206955950608899</v>
      </c>
      <c r="AH1779">
        <v>62.922703985714897</v>
      </c>
      <c r="AI1779">
        <v>91.0179637653968</v>
      </c>
      <c r="AJ1779">
        <v>93.934735439451202</v>
      </c>
      <c r="AK1779">
        <v>63.081327812597799</v>
      </c>
      <c r="AL1779">
        <v>78.681211795980701</v>
      </c>
      <c r="AM1779">
        <v>88.188790162742507</v>
      </c>
      <c r="AN1779">
        <v>1.0000000358772101</v>
      </c>
    </row>
    <row r="1780" spans="1:40" x14ac:dyDescent="0.25">
      <c r="A1780" t="str">
        <f>"20190303162538221"</f>
        <v>20190303162538221</v>
      </c>
      <c r="B1780" t="str">
        <f>"1551601538214884"</f>
        <v>1551601538214884</v>
      </c>
      <c r="C1780" t="s">
        <v>40</v>
      </c>
      <c r="D1780">
        <v>4.904293</v>
      </c>
      <c r="E1780">
        <v>0.46282469999999998</v>
      </c>
      <c r="F1780" t="s">
        <v>48</v>
      </c>
      <c r="G1780">
        <v>-448.04180000000002</v>
      </c>
      <c r="H1780" s="1">
        <v>2.9101720000000002E-6</v>
      </c>
      <c r="I1780">
        <v>280.78379999999999</v>
      </c>
      <c r="J1780">
        <v>-398.82060000000001</v>
      </c>
      <c r="K1780">
        <v>1.120695</v>
      </c>
      <c r="L1780">
        <v>284.39120000000003</v>
      </c>
      <c r="M1780">
        <v>-0.99996050000000003</v>
      </c>
      <c r="N1780">
        <v>-8.8529230000000004E-3</v>
      </c>
      <c r="O1780">
        <v>-8.7076340000000001E-4</v>
      </c>
      <c r="P1780">
        <v>-0.98180990000000001</v>
      </c>
      <c r="Q1780">
        <v>0.1874932</v>
      </c>
      <c r="R1780">
        <v>2.9932429999999999E-2</v>
      </c>
      <c r="S1780">
        <v>-3.0758969999999999</v>
      </c>
      <c r="T1780">
        <v>-6.9513679999999994E-2</v>
      </c>
      <c r="U1780">
        <v>-0.2237854</v>
      </c>
      <c r="V1780">
        <v>3.0678509999999999E-2</v>
      </c>
      <c r="W1780">
        <v>0.1961948</v>
      </c>
      <c r="X1780">
        <v>0.98008490000000004</v>
      </c>
      <c r="Y1780">
        <v>-7.1668910000000002E-2</v>
      </c>
      <c r="Z1780">
        <v>-1.114437E-3</v>
      </c>
      <c r="AA1780">
        <v>0.99742790000000003</v>
      </c>
      <c r="AB1780">
        <v>36</v>
      </c>
      <c r="AC1780">
        <v>-49.221200000000003</v>
      </c>
      <c r="AD1780">
        <v>-1.1206920898279999</v>
      </c>
      <c r="AE1780">
        <v>-3.6074000000000401</v>
      </c>
      <c r="AF1780">
        <v>-3.5626998861422399</v>
      </c>
      <c r="AG1780">
        <v>-1.1206920898279999</v>
      </c>
      <c r="AH1780">
        <v>49.198953989891699</v>
      </c>
      <c r="AI1780">
        <v>91.301495468562194</v>
      </c>
      <c r="AJ1780">
        <v>94.141795037719106</v>
      </c>
      <c r="AK1780">
        <v>49.340509269143197</v>
      </c>
      <c r="AL1780">
        <v>78.685470960355502</v>
      </c>
      <c r="AM1780">
        <v>88.207119203391301</v>
      </c>
      <c r="AN1780">
        <v>0.99999999086543501</v>
      </c>
    </row>
    <row r="1781" spans="1:40" x14ac:dyDescent="0.25">
      <c r="A1781" t="str">
        <f>"20190303162538243"</f>
        <v>20190303162538243</v>
      </c>
      <c r="B1781" t="str">
        <f>"1551601538234403"</f>
        <v>1551601538234403</v>
      </c>
      <c r="C1781" t="s">
        <v>40</v>
      </c>
      <c r="D1781">
        <v>4.9778390000000003</v>
      </c>
      <c r="E1781">
        <v>0.46285850000000001</v>
      </c>
      <c r="F1781" t="s">
        <v>48</v>
      </c>
      <c r="G1781">
        <v>-443.24900000000002</v>
      </c>
      <c r="H1781" s="1">
        <v>3.4475719999999998E-7</v>
      </c>
      <c r="I1781">
        <v>281.12560000000002</v>
      </c>
      <c r="J1781">
        <v>-399.17320000000001</v>
      </c>
      <c r="K1781">
        <v>1.120708</v>
      </c>
      <c r="L1781">
        <v>284.39069999999998</v>
      </c>
      <c r="M1781">
        <v>-0.99995990000000001</v>
      </c>
      <c r="N1781">
        <v>-8.8943470000000004E-3</v>
      </c>
      <c r="O1781">
        <v>-1.1186810000000001E-3</v>
      </c>
      <c r="P1781">
        <v>-0.98186530000000005</v>
      </c>
      <c r="Q1781">
        <v>0.18715870000000001</v>
      </c>
      <c r="R1781">
        <v>3.0208849999999999E-2</v>
      </c>
      <c r="S1781">
        <v>-3.0773320000000002</v>
      </c>
      <c r="T1781">
        <v>-7.7624799999999994E-2</v>
      </c>
      <c r="U1781">
        <v>-0.22619629999999999</v>
      </c>
      <c r="V1781">
        <v>3.1198259999999998E-2</v>
      </c>
      <c r="W1781">
        <v>0.19590160000000001</v>
      </c>
      <c r="X1781">
        <v>0.98012719999999998</v>
      </c>
      <c r="Y1781">
        <v>-7.215974E-2</v>
      </c>
      <c r="Z1781">
        <v>-1.2119089999999999E-3</v>
      </c>
      <c r="AA1781">
        <v>0.99739239999999996</v>
      </c>
      <c r="AB1781">
        <v>36</v>
      </c>
      <c r="AC1781">
        <v>-44.075800000000001</v>
      </c>
      <c r="AD1781">
        <v>-1.1207076552427999</v>
      </c>
      <c r="AE1781">
        <v>-3.2650999999999599</v>
      </c>
      <c r="AF1781">
        <v>-3.2137228431031102</v>
      </c>
      <c r="AG1781">
        <v>-1.1207076552427999</v>
      </c>
      <c r="AH1781">
        <v>44.051100537241403</v>
      </c>
      <c r="AI1781">
        <v>91.453491052294197</v>
      </c>
      <c r="AJ1781">
        <v>94.172588642309293</v>
      </c>
      <c r="AK1781">
        <v>44.182388558145597</v>
      </c>
      <c r="AL1781">
        <v>78.702603190767704</v>
      </c>
      <c r="AM1781">
        <v>88.176843491390798</v>
      </c>
      <c r="AN1781">
        <v>1.00000004824471</v>
      </c>
    </row>
    <row r="1782" spans="1:40" x14ac:dyDescent="0.25">
      <c r="A1782" t="str">
        <f>"20190303162538275"</f>
        <v>20190303162538275</v>
      </c>
      <c r="B1782" t="str">
        <f>"1551601538264659"</f>
        <v>1551601538264659</v>
      </c>
      <c r="C1782" t="s">
        <v>40</v>
      </c>
      <c r="D1782">
        <v>4.9024599999999996</v>
      </c>
      <c r="E1782">
        <v>0.46329759999999998</v>
      </c>
      <c r="F1782" t="s">
        <v>48</v>
      </c>
      <c r="G1782">
        <v>-443.89789999999999</v>
      </c>
      <c r="H1782" s="1">
        <v>6.9014919999999897E-7</v>
      </c>
      <c r="I1782">
        <v>281.1234</v>
      </c>
      <c r="J1782">
        <v>-399.70170000000002</v>
      </c>
      <c r="K1782">
        <v>1.1207049999999901</v>
      </c>
      <c r="L1782">
        <v>284.3897</v>
      </c>
      <c r="M1782">
        <v>-0.99995889999999998</v>
      </c>
      <c r="N1782">
        <v>-8.956505E-3</v>
      </c>
      <c r="O1782">
        <v>-1.4907919999999999E-3</v>
      </c>
      <c r="P1782">
        <v>-0.98199950000000003</v>
      </c>
      <c r="Q1782">
        <v>0.18630910000000001</v>
      </c>
      <c r="R1782">
        <v>3.1086780000000001E-2</v>
      </c>
      <c r="S1782">
        <v>-3.0770870000000001</v>
      </c>
      <c r="T1782">
        <v>-7.7105519999999997E-2</v>
      </c>
      <c r="U1782">
        <v>-0.22479250000000001</v>
      </c>
      <c r="V1782">
        <v>3.2441560000000001E-2</v>
      </c>
      <c r="W1782">
        <v>0.19511500000000001</v>
      </c>
      <c r="X1782">
        <v>0.98024370000000005</v>
      </c>
      <c r="Y1782">
        <v>-7.1342450000000002E-2</v>
      </c>
      <c r="Z1782">
        <v>-1.1885419999999999E-3</v>
      </c>
      <c r="AA1782">
        <v>0.99745119999999998</v>
      </c>
      <c r="AB1782">
        <v>36</v>
      </c>
      <c r="AC1782">
        <v>-44.196199999999898</v>
      </c>
      <c r="AD1782">
        <v>-1.1207043098507901</v>
      </c>
      <c r="AE1782">
        <v>-3.2663000000000002</v>
      </c>
      <c r="AF1782">
        <v>-3.19836101342027</v>
      </c>
      <c r="AG1782">
        <v>-1.1207043098507901</v>
      </c>
      <c r="AH1782">
        <v>44.172771570644301</v>
      </c>
      <c r="AI1782">
        <v>91.449542370109</v>
      </c>
      <c r="AJ1782">
        <v>94.141314779894003</v>
      </c>
      <c r="AK1782">
        <v>44.302587278336297</v>
      </c>
      <c r="AL1782">
        <v>78.748558518988602</v>
      </c>
      <c r="AM1782">
        <v>88.104464965156296</v>
      </c>
      <c r="AN1782">
        <v>1.0000000147149599</v>
      </c>
    </row>
    <row r="1783" spans="1:40" x14ac:dyDescent="0.25">
      <c r="A1783" t="str">
        <f>"20190303162538298"</f>
        <v>20190303162538298</v>
      </c>
      <c r="B1783" t="str">
        <f>"1551601538285156"</f>
        <v>1551601538285156</v>
      </c>
      <c r="C1783" t="s">
        <v>40</v>
      </c>
      <c r="D1783">
        <v>4.9939960000000001</v>
      </c>
      <c r="E1783">
        <v>0.46366020000000002</v>
      </c>
      <c r="F1783" t="s">
        <v>48</v>
      </c>
      <c r="G1783">
        <v>-449.21129999999999</v>
      </c>
      <c r="H1783" s="1">
        <v>3.5284649999999999E-6</v>
      </c>
      <c r="I1783">
        <v>280.87709999999998</v>
      </c>
      <c r="J1783">
        <v>-400.07049999999998</v>
      </c>
      <c r="K1783">
        <v>1.1207009999999999</v>
      </c>
      <c r="L1783">
        <v>284.38900000000001</v>
      </c>
      <c r="M1783">
        <v>-0.99995800000000001</v>
      </c>
      <c r="N1783">
        <v>-9.0053530000000007E-3</v>
      </c>
      <c r="O1783">
        <v>-1.750185E-3</v>
      </c>
      <c r="P1783">
        <v>-0.98220940000000001</v>
      </c>
      <c r="Q1783">
        <v>0.18504960000000001</v>
      </c>
      <c r="R1783">
        <v>3.1960389999999998E-2</v>
      </c>
      <c r="S1783">
        <v>-3.0750730000000002</v>
      </c>
      <c r="T1783">
        <v>-6.9607379999999996E-2</v>
      </c>
      <c r="U1783">
        <v>-0.21817020000000001</v>
      </c>
      <c r="V1783">
        <v>3.3570849999999999E-2</v>
      </c>
      <c r="W1783">
        <v>0.19390540000000001</v>
      </c>
      <c r="X1783">
        <v>0.98044560000000003</v>
      </c>
      <c r="Y1783">
        <v>-6.8999640000000001E-2</v>
      </c>
      <c r="Z1783">
        <v>-1.0671719999999999E-3</v>
      </c>
      <c r="AA1783">
        <v>0.99761610000000001</v>
      </c>
      <c r="AB1783">
        <v>36</v>
      </c>
      <c r="AC1783">
        <v>-49.140799999999999</v>
      </c>
      <c r="AD1783">
        <v>-1.120697471535</v>
      </c>
      <c r="AE1783">
        <v>-3.5119000000000198</v>
      </c>
      <c r="AF1783">
        <v>-3.4241137946261402</v>
      </c>
      <c r="AG1783">
        <v>-1.120697471535</v>
      </c>
      <c r="AH1783">
        <v>49.121452886972897</v>
      </c>
      <c r="AI1783">
        <v>91.3038038802204</v>
      </c>
      <c r="AJ1783">
        <v>93.987472225612194</v>
      </c>
      <c r="AK1783">
        <v>49.2534024391041</v>
      </c>
      <c r="AL1783">
        <v>78.819212120300406</v>
      </c>
      <c r="AM1783">
        <v>88.038935710992604</v>
      </c>
      <c r="AN1783">
        <v>0.99999994033911899</v>
      </c>
    </row>
    <row r="1784" spans="1:40" x14ac:dyDescent="0.25">
      <c r="A1784" t="str">
        <f>"20190303162538321"</f>
        <v>20190303162538321</v>
      </c>
      <c r="B1784" t="str">
        <f>"1551601538314435"</f>
        <v>1551601538314435</v>
      </c>
      <c r="C1784" t="s">
        <v>40</v>
      </c>
      <c r="D1784">
        <v>4.939781</v>
      </c>
      <c r="E1784">
        <v>0.4638642</v>
      </c>
      <c r="F1784" t="s">
        <v>48</v>
      </c>
      <c r="G1784">
        <v>-450.14019999999999</v>
      </c>
      <c r="H1784" s="1">
        <v>-1.300667E-6</v>
      </c>
      <c r="I1784">
        <v>280.92110000000002</v>
      </c>
      <c r="J1784">
        <v>-400.43619999999999</v>
      </c>
      <c r="K1784">
        <v>1.1207039999999999</v>
      </c>
      <c r="L1784">
        <v>284.38810000000001</v>
      </c>
      <c r="M1784">
        <v>-0.99995679999999998</v>
      </c>
      <c r="N1784">
        <v>-9.0701670000000005E-3</v>
      </c>
      <c r="O1784">
        <v>-2.0070380000000001E-3</v>
      </c>
      <c r="P1784">
        <v>-0.98237890000000005</v>
      </c>
      <c r="Q1784">
        <v>0.18397530000000001</v>
      </c>
      <c r="R1784">
        <v>3.2933280000000002E-2</v>
      </c>
      <c r="S1784">
        <v>-3.0742189999999998</v>
      </c>
      <c r="T1784">
        <v>-6.8809750000000003E-2</v>
      </c>
      <c r="U1784">
        <v>-0.2129211</v>
      </c>
      <c r="V1784">
        <v>3.4796359999999998E-2</v>
      </c>
      <c r="W1784">
        <v>0.19289729999999999</v>
      </c>
      <c r="X1784">
        <v>0.98060179999999997</v>
      </c>
      <c r="Y1784">
        <v>-6.7068900000000001E-2</v>
      </c>
      <c r="Z1784">
        <v>-1.0275099999999999E-3</v>
      </c>
      <c r="AA1784">
        <v>0.99774779999999996</v>
      </c>
      <c r="AB1784">
        <v>36</v>
      </c>
      <c r="AC1784">
        <v>-49.704000000000001</v>
      </c>
      <c r="AD1784">
        <v>-1.120705300667</v>
      </c>
      <c r="AE1784">
        <v>-3.4669999999999801</v>
      </c>
      <c r="AF1784">
        <v>-3.3655283621236198</v>
      </c>
      <c r="AG1784">
        <v>-1.120705300667</v>
      </c>
      <c r="AH1784">
        <v>49.685720968293502</v>
      </c>
      <c r="AI1784">
        <v>91.289184646482795</v>
      </c>
      <c r="AJ1784">
        <v>93.875086457845995</v>
      </c>
      <c r="AK1784">
        <v>49.812183546461</v>
      </c>
      <c r="AL1784">
        <v>78.878084436432005</v>
      </c>
      <c r="AM1784">
        <v>87.967729194280807</v>
      </c>
      <c r="AN1784">
        <v>1.00000002258988</v>
      </c>
    </row>
    <row r="1785" spans="1:40" x14ac:dyDescent="0.25">
      <c r="A1785" t="str">
        <f>"20190303162538343"</f>
        <v>20190303162538343</v>
      </c>
      <c r="B1785" t="str">
        <f>"1551601538334931"</f>
        <v>1551601538334931</v>
      </c>
      <c r="C1785" t="s">
        <v>40</v>
      </c>
      <c r="D1785">
        <v>4.9678230000000001</v>
      </c>
      <c r="E1785">
        <v>0.46383439999999998</v>
      </c>
      <c r="F1785" t="s">
        <v>48</v>
      </c>
      <c r="G1785">
        <v>-452.7516</v>
      </c>
      <c r="H1785" s="1">
        <v>9.2952699999999996E-8</v>
      </c>
      <c r="I1785">
        <v>280.83049999999997</v>
      </c>
      <c r="J1785">
        <v>-400.79559999999998</v>
      </c>
      <c r="K1785">
        <v>1.1207199999999999</v>
      </c>
      <c r="L1785">
        <v>284.38720000000001</v>
      </c>
      <c r="M1785">
        <v>-0.9999557</v>
      </c>
      <c r="N1785">
        <v>-9.1452600000000005E-3</v>
      </c>
      <c r="O1785">
        <v>-2.2591759999999999E-3</v>
      </c>
      <c r="P1785">
        <v>-0.98237529999999995</v>
      </c>
      <c r="Q1785">
        <v>0.18387239999999999</v>
      </c>
      <c r="R1785">
        <v>3.3616739999999999E-2</v>
      </c>
      <c r="S1785">
        <v>-3.0731510000000002</v>
      </c>
      <c r="T1785">
        <v>-6.5833210000000003E-2</v>
      </c>
      <c r="U1785">
        <v>-0.20898439999999999</v>
      </c>
      <c r="V1785">
        <v>3.5727309999999998E-2</v>
      </c>
      <c r="W1785">
        <v>0.19286829999999999</v>
      </c>
      <c r="X1785">
        <v>0.98057399999999995</v>
      </c>
      <c r="Y1785">
        <v>-6.5571149999999995E-2</v>
      </c>
      <c r="Z1785">
        <v>-9.7398039999999997E-4</v>
      </c>
      <c r="AA1785">
        <v>0.99784740000000005</v>
      </c>
      <c r="AB1785">
        <v>36</v>
      </c>
      <c r="AC1785">
        <v>-51.956000000000003</v>
      </c>
      <c r="AD1785">
        <v>-1.1207199070473</v>
      </c>
      <c r="AE1785">
        <v>-3.5567000000000299</v>
      </c>
      <c r="AF1785">
        <v>-3.4377162033836401</v>
      </c>
      <c r="AG1785">
        <v>-1.1207199070473</v>
      </c>
      <c r="AH1785">
        <v>51.939848632311197</v>
      </c>
      <c r="AI1785">
        <v>91.233396688958294</v>
      </c>
      <c r="AJ1785">
        <v>93.786683526458006</v>
      </c>
      <c r="AK1785">
        <v>52.065552736453803</v>
      </c>
      <c r="AL1785">
        <v>78.879777509157805</v>
      </c>
      <c r="AM1785">
        <v>87.913345675253296</v>
      </c>
      <c r="AN1785">
        <v>0.99999999565036302</v>
      </c>
    </row>
    <row r="1786" spans="1:40" x14ac:dyDescent="0.25">
      <c r="A1786" t="str">
        <f>"20190303162538365"</f>
        <v>20190303162538365</v>
      </c>
      <c r="B1786" t="str">
        <f>"1551601538354451"</f>
        <v>1551601538354451</v>
      </c>
      <c r="C1786" t="s">
        <v>40</v>
      </c>
      <c r="D1786">
        <v>4.9886010000000001</v>
      </c>
      <c r="E1786">
        <v>0.46371420000000002</v>
      </c>
      <c r="F1786" t="s">
        <v>48</v>
      </c>
      <c r="G1786">
        <v>-454.42880000000002</v>
      </c>
      <c r="H1786" s="1">
        <v>9.8827010000000009E-7</v>
      </c>
      <c r="I1786">
        <v>280.76639999999998</v>
      </c>
      <c r="J1786">
        <v>-401.14940000000001</v>
      </c>
      <c r="K1786">
        <v>1.1207400000000001</v>
      </c>
      <c r="L1786">
        <v>284.38619999999997</v>
      </c>
      <c r="M1786">
        <v>-0.99995420000000002</v>
      </c>
      <c r="N1786">
        <v>-9.2391869999999994E-3</v>
      </c>
      <c r="O1786">
        <v>-2.5071149999999999E-3</v>
      </c>
      <c r="P1786">
        <v>-0.98229350000000004</v>
      </c>
      <c r="Q1786">
        <v>0.1843254</v>
      </c>
      <c r="R1786">
        <v>3.3517499999999999E-2</v>
      </c>
      <c r="S1786">
        <v>-3.072937</v>
      </c>
      <c r="T1786">
        <v>-6.4212080000000005E-2</v>
      </c>
      <c r="U1786">
        <v>-0.20745849999999999</v>
      </c>
      <c r="V1786">
        <v>3.5870529999999998E-2</v>
      </c>
      <c r="W1786">
        <v>0.1934129</v>
      </c>
      <c r="X1786">
        <v>0.98046149999999999</v>
      </c>
      <c r="Y1786">
        <v>-6.4836229999999995E-2</v>
      </c>
      <c r="Z1786">
        <v>-9.4729090000000003E-4</v>
      </c>
      <c r="AA1786">
        <v>0.99789550000000005</v>
      </c>
      <c r="AB1786">
        <v>36</v>
      </c>
      <c r="AC1786">
        <v>-53.279400000000003</v>
      </c>
      <c r="AD1786">
        <v>-1.1207390117298901</v>
      </c>
      <c r="AE1786">
        <v>-3.6197999999999899</v>
      </c>
      <c r="AF1786">
        <v>-3.4846705406059999</v>
      </c>
      <c r="AG1786">
        <v>-1.1207390117298901</v>
      </c>
      <c r="AH1786">
        <v>53.264848018650099</v>
      </c>
      <c r="AI1786">
        <v>91.202804991494403</v>
      </c>
      <c r="AJ1786">
        <v>93.743046472193896</v>
      </c>
      <c r="AK1786">
        <v>53.390476858320703</v>
      </c>
      <c r="AL1786">
        <v>78.847975465200506</v>
      </c>
      <c r="AM1786">
        <v>87.904748175544697</v>
      </c>
      <c r="AN1786">
        <v>0.99999999889557001</v>
      </c>
    </row>
    <row r="1787" spans="1:40" x14ac:dyDescent="0.25">
      <c r="A1787" t="str">
        <f>"20190303162538389"</f>
        <v>20190303162538389</v>
      </c>
      <c r="B1787" t="str">
        <f>"1551601538384707"</f>
        <v>1551601538384707</v>
      </c>
      <c r="C1787" t="s">
        <v>40</v>
      </c>
      <c r="D1787">
        <v>5.1922569999999997</v>
      </c>
      <c r="E1787">
        <v>0.46374209999999899</v>
      </c>
      <c r="F1787" t="s">
        <v>48</v>
      </c>
      <c r="G1787">
        <v>-457.75200000000001</v>
      </c>
      <c r="H1787" s="1">
        <v>2.7662700000000001E-6</v>
      </c>
      <c r="I1787">
        <v>280.54809999999998</v>
      </c>
      <c r="J1787">
        <v>-401.53699999999998</v>
      </c>
      <c r="K1787">
        <v>1.120776</v>
      </c>
      <c r="L1787">
        <v>284.38490000000002</v>
      </c>
      <c r="M1787">
        <v>-0.99995210000000001</v>
      </c>
      <c r="N1787">
        <v>-9.3862589999999992E-3</v>
      </c>
      <c r="O1787">
        <v>-2.777978E-3</v>
      </c>
      <c r="P1787">
        <v>-0.98229929999999999</v>
      </c>
      <c r="Q1787">
        <v>0.18429139999999999</v>
      </c>
      <c r="R1787">
        <v>3.3537770000000001E-2</v>
      </c>
      <c r="S1787">
        <v>-3.0726010000000001</v>
      </c>
      <c r="T1787">
        <v>-6.0837750000000003E-2</v>
      </c>
      <c r="U1787">
        <v>-0.20834349999999999</v>
      </c>
      <c r="V1787">
        <v>3.6156290000000001E-2</v>
      </c>
      <c r="W1787">
        <v>0.19352279999999999</v>
      </c>
      <c r="X1787">
        <v>0.98042929999999995</v>
      </c>
      <c r="Y1787">
        <v>-6.4861009999999997E-2</v>
      </c>
      <c r="Z1787">
        <v>-9.172389E-4</v>
      </c>
      <c r="AA1787">
        <v>0.9978939</v>
      </c>
      <c r="AB1787">
        <v>36</v>
      </c>
      <c r="AC1787">
        <v>-56.214999999999897</v>
      </c>
      <c r="AD1787">
        <v>-1.12077323373</v>
      </c>
      <c r="AE1787">
        <v>-3.83680000000003</v>
      </c>
      <c r="AF1787">
        <v>-3.6791586187158001</v>
      </c>
      <c r="AG1787">
        <v>-1.12077323373</v>
      </c>
      <c r="AH1787">
        <v>56.203205211100297</v>
      </c>
      <c r="AI1787">
        <v>91.139970067591904</v>
      </c>
      <c r="AJ1787">
        <v>93.745336629024706</v>
      </c>
      <c r="AK1787">
        <v>56.3346484570922</v>
      </c>
      <c r="AL1787">
        <v>78.841557207545506</v>
      </c>
      <c r="AM1787">
        <v>87.888002258890495</v>
      </c>
      <c r="AN1787">
        <v>0.99999998186244698</v>
      </c>
    </row>
    <row r="1788" spans="1:40" x14ac:dyDescent="0.25">
      <c r="A1788" t="str">
        <f>"20190303162538411"</f>
        <v>20190303162538411</v>
      </c>
      <c r="B1788" t="str">
        <f>"1551601538405203"</f>
        <v>1551601538405203</v>
      </c>
      <c r="C1788" t="s">
        <v>40</v>
      </c>
      <c r="D1788">
        <v>5.137689</v>
      </c>
      <c r="E1788">
        <v>0.4886511</v>
      </c>
      <c r="F1788" t="s">
        <v>48</v>
      </c>
      <c r="G1788">
        <v>-460.95650000000001</v>
      </c>
      <c r="H1788" s="1">
        <v>-8.4183509999999999E-7</v>
      </c>
      <c r="I1788">
        <v>280.36160000000001</v>
      </c>
      <c r="J1788">
        <v>-401.90300000000002</v>
      </c>
      <c r="K1788">
        <v>1.1208180000000001</v>
      </c>
      <c r="L1788">
        <v>284.38369999999998</v>
      </c>
      <c r="M1788">
        <v>-0.99994959999999999</v>
      </c>
      <c r="N1788">
        <v>-9.5811969999999996E-3</v>
      </c>
      <c r="O1788">
        <v>-3.0345630000000001E-3</v>
      </c>
      <c r="P1788">
        <v>-0.9823229</v>
      </c>
      <c r="Q1788">
        <v>0.18416270000000001</v>
      </c>
      <c r="R1788">
        <v>3.3558449999999997E-2</v>
      </c>
      <c r="S1788">
        <v>-3.0719910000000001</v>
      </c>
      <c r="T1788">
        <v>-5.7944299999999997E-2</v>
      </c>
      <c r="U1788">
        <v>-0.20800779999999999</v>
      </c>
      <c r="V1788">
        <v>3.6427939999999999E-2</v>
      </c>
      <c r="W1788">
        <v>0.19358600000000001</v>
      </c>
      <c r="X1788">
        <v>0.98040680000000002</v>
      </c>
      <c r="Y1788">
        <v>-6.4511189999999996E-2</v>
      </c>
      <c r="Z1788">
        <v>-8.8898410000000003E-4</v>
      </c>
      <c r="AA1788">
        <v>0.99791660000000004</v>
      </c>
      <c r="AB1788">
        <v>36</v>
      </c>
      <c r="AC1788">
        <v>-59.0534999999999</v>
      </c>
      <c r="AD1788">
        <v>-1.1208188418350999</v>
      </c>
      <c r="AE1788">
        <v>-4.02209999999996</v>
      </c>
      <c r="AF1788">
        <v>-3.8414942755229302</v>
      </c>
      <c r="AG1788">
        <v>-1.1208188418350999</v>
      </c>
      <c r="AH1788">
        <v>59.044262662207302</v>
      </c>
      <c r="AI1788">
        <v>91.085203479856403</v>
      </c>
      <c r="AJ1788">
        <v>93.7224892775059</v>
      </c>
      <c r="AK1788">
        <v>59.179711611909802</v>
      </c>
      <c r="AL1788">
        <v>78.837866679412102</v>
      </c>
      <c r="AM1788">
        <v>87.872100108076097</v>
      </c>
      <c r="AN1788">
        <v>1.0000000138474401</v>
      </c>
    </row>
    <row r="1789" spans="1:40" x14ac:dyDescent="0.25">
      <c r="A1789" t="str">
        <f>"20190303162538432"</f>
        <v>20190303162538432</v>
      </c>
      <c r="B1789" t="str">
        <f>"1551601538424723"</f>
        <v>1551601538424723</v>
      </c>
      <c r="C1789" t="s">
        <v>40</v>
      </c>
      <c r="D1789">
        <v>4.9997170000000004</v>
      </c>
      <c r="E1789">
        <v>0.52712440000000005</v>
      </c>
      <c r="F1789" t="s">
        <v>42</v>
      </c>
      <c r="G1789">
        <v>-402.74450000000002</v>
      </c>
      <c r="H1789">
        <v>1.037623</v>
      </c>
      <c r="I1789">
        <v>284.37920000000003</v>
      </c>
      <c r="J1789">
        <v>-402.24470000000002</v>
      </c>
      <c r="K1789">
        <v>1.120876</v>
      </c>
      <c r="L1789">
        <v>284.38240000000002</v>
      </c>
      <c r="M1789">
        <v>-0.99994629999999995</v>
      </c>
      <c r="N1789">
        <v>-9.8330970000000007E-3</v>
      </c>
      <c r="O1789">
        <v>-3.271922E-3</v>
      </c>
      <c r="P1789">
        <v>-0.98240039999999995</v>
      </c>
      <c r="Q1789">
        <v>0.18382979999999999</v>
      </c>
      <c r="R1789">
        <v>3.3105839999999997E-2</v>
      </c>
      <c r="S1789">
        <v>-3.1123050000000001</v>
      </c>
      <c r="T1789">
        <v>-0.30777680000000002</v>
      </c>
      <c r="U1789">
        <v>-1.7639160000000001E-2</v>
      </c>
      <c r="V1789">
        <v>3.6207339999999998E-2</v>
      </c>
      <c r="W1789">
        <v>0.1935008</v>
      </c>
      <c r="X1789">
        <v>0.98043179999999996</v>
      </c>
      <c r="Y1789">
        <v>-2.3954979999999998E-3</v>
      </c>
      <c r="Z1789">
        <v>1.6070099999999999E-4</v>
      </c>
      <c r="AA1789">
        <v>0.99999709999999997</v>
      </c>
      <c r="AB1789">
        <v>36</v>
      </c>
      <c r="AC1789">
        <v>-0.49979999999999303</v>
      </c>
      <c r="AD1789">
        <v>-8.3252999999999994E-2</v>
      </c>
      <c r="AE1789">
        <v>-3.19999999999254E-3</v>
      </c>
      <c r="AF1789">
        <v>-1.52235887898849E-3</v>
      </c>
      <c r="AG1789">
        <v>-8.3252999999999994E-2</v>
      </c>
      <c r="AH1789">
        <v>0.48631484225070598</v>
      </c>
      <c r="AI1789">
        <v>99.714339672483007</v>
      </c>
      <c r="AJ1789">
        <v>90.179357992348898</v>
      </c>
      <c r="AK1789">
        <v>0.49339183756816002</v>
      </c>
      <c r="AL1789">
        <v>78.842842462098105</v>
      </c>
      <c r="AM1789">
        <v>87.885028368964399</v>
      </c>
      <c r="AN1789">
        <v>1.0000000227608701</v>
      </c>
    </row>
    <row r="1790" spans="1:40" x14ac:dyDescent="0.25">
      <c r="A1790" t="str">
        <f>"20190303162538454"</f>
        <v>20190303162538454</v>
      </c>
      <c r="B1790" t="str">
        <f>"1551601538444243"</f>
        <v>1551601538444243</v>
      </c>
      <c r="C1790" t="s">
        <v>40</v>
      </c>
      <c r="D1790">
        <v>4.971654</v>
      </c>
      <c r="E1790">
        <v>0.52752779999999999</v>
      </c>
      <c r="F1790" t="s">
        <v>42</v>
      </c>
      <c r="G1790">
        <v>-403.0163</v>
      </c>
      <c r="H1790">
        <v>0.93322369999999999</v>
      </c>
      <c r="I1790">
        <v>284.44869999999997</v>
      </c>
      <c r="J1790">
        <v>-402.60700000000003</v>
      </c>
      <c r="K1790">
        <v>1.1209559999999901</v>
      </c>
      <c r="L1790">
        <v>284.38099999999997</v>
      </c>
      <c r="M1790">
        <v>-0.99994190000000005</v>
      </c>
      <c r="N1790">
        <v>-1.019483E-2</v>
      </c>
      <c r="O1790">
        <v>-3.5153839999999999E-3</v>
      </c>
      <c r="P1790">
        <v>-0.98228119999999997</v>
      </c>
      <c r="Q1790">
        <v>0.18461939999999999</v>
      </c>
      <c r="R1790">
        <v>3.2240520000000002E-2</v>
      </c>
      <c r="S1790">
        <v>-3.189667</v>
      </c>
      <c r="T1790">
        <v>-0.77579519999999902</v>
      </c>
      <c r="U1790">
        <v>0.27325440000000001</v>
      </c>
      <c r="V1790">
        <v>3.5578619999999998E-2</v>
      </c>
      <c r="W1790">
        <v>0.1946436</v>
      </c>
      <c r="X1790">
        <v>0.98022849999999995</v>
      </c>
      <c r="Y1790">
        <v>8.6162509999999998E-2</v>
      </c>
      <c r="Z1790">
        <v>1.156222E-2</v>
      </c>
      <c r="AA1790">
        <v>0.99621400000000004</v>
      </c>
      <c r="AB1790">
        <v>36</v>
      </c>
      <c r="AC1790">
        <v>-0.40930000000002997</v>
      </c>
      <c r="AD1790">
        <v>-0.18773229999999999</v>
      </c>
      <c r="AE1790">
        <v>6.7700000000001995E-2</v>
      </c>
      <c r="AF1790">
        <v>5.7387167149352103E-2</v>
      </c>
      <c r="AG1790">
        <v>-0.18773229999999999</v>
      </c>
      <c r="AH1790">
        <v>0.33953243086288498</v>
      </c>
      <c r="AI1790">
        <v>118.59841786813899</v>
      </c>
      <c r="AJ1790">
        <v>80.406635363070293</v>
      </c>
      <c r="AK1790">
        <v>0.39219762241040901</v>
      </c>
      <c r="AL1790">
        <v>78.776094872246404</v>
      </c>
      <c r="AM1790">
        <v>87.921290508992101</v>
      </c>
      <c r="AN1790">
        <v>0.99999994071715503</v>
      </c>
    </row>
    <row r="1791" spans="1:40" x14ac:dyDescent="0.25">
      <c r="A1791" t="str">
        <f>"20190303162538478"</f>
        <v>20190303162538478</v>
      </c>
      <c r="B1791" t="str">
        <f>"1551601538474499"</f>
        <v>1551601538474499</v>
      </c>
      <c r="C1791" t="s">
        <v>40</v>
      </c>
      <c r="D1791">
        <v>4.9453550000000002</v>
      </c>
      <c r="E1791">
        <v>0.52679519999999902</v>
      </c>
      <c r="F1791" t="s">
        <v>42</v>
      </c>
      <c r="G1791">
        <v>-403.33510000000001</v>
      </c>
      <c r="H1791">
        <v>0.92119119999999999</v>
      </c>
      <c r="I1791">
        <v>284.44279999999998</v>
      </c>
      <c r="J1791">
        <v>-402.98329999999999</v>
      </c>
      <c r="K1791">
        <v>1.121032</v>
      </c>
      <c r="L1791">
        <v>284.37939999999998</v>
      </c>
      <c r="M1791">
        <v>-0.99993639999999995</v>
      </c>
      <c r="N1791">
        <v>-1.064407E-2</v>
      </c>
      <c r="O1791">
        <v>-3.768038E-3</v>
      </c>
      <c r="P1791">
        <v>-0.98230790000000001</v>
      </c>
      <c r="Q1791">
        <v>0.18461939999999999</v>
      </c>
      <c r="R1791">
        <v>3.1421499999999998E-2</v>
      </c>
      <c r="S1791">
        <v>-3.2108150000000002</v>
      </c>
      <c r="T1791">
        <v>-0.88092429999999999</v>
      </c>
      <c r="U1791">
        <v>0.27078249999999998</v>
      </c>
      <c r="V1791">
        <v>3.5008690000000002E-2</v>
      </c>
      <c r="W1791">
        <v>0.19508420000000001</v>
      </c>
      <c r="X1791">
        <v>0.98016150000000002</v>
      </c>
      <c r="Y1791">
        <v>8.4438379999999993E-2</v>
      </c>
      <c r="Z1791">
        <v>1.2786759999999999E-2</v>
      </c>
      <c r="AA1791">
        <v>0.99634670000000003</v>
      </c>
      <c r="AB1791">
        <v>36</v>
      </c>
      <c r="AC1791">
        <v>-0.35180000000002498</v>
      </c>
      <c r="AD1791">
        <v>-0.19984080000000001</v>
      </c>
      <c r="AE1791">
        <v>6.34000000000014E-2</v>
      </c>
      <c r="AF1791">
        <v>4.9313212834648498E-2</v>
      </c>
      <c r="AG1791">
        <v>-0.19984080000000001</v>
      </c>
      <c r="AH1791">
        <v>0.26784742767738701</v>
      </c>
      <c r="AI1791">
        <v>126.269993797661</v>
      </c>
      <c r="AJ1791">
        <v>79.568132085435494</v>
      </c>
      <c r="AK1791">
        <v>0.33780228361884801</v>
      </c>
      <c r="AL1791">
        <v>78.750357748755903</v>
      </c>
      <c r="AM1791">
        <v>87.954420913560199</v>
      </c>
      <c r="AN1791">
        <v>1.0000000097737001</v>
      </c>
    </row>
    <row r="1792" spans="1:40" x14ac:dyDescent="0.25">
      <c r="A1792" t="str">
        <f>"20190303162538500"</f>
        <v>20190303162538500</v>
      </c>
      <c r="B1792" t="str">
        <f>"1551601538494996"</f>
        <v>1551601538494996</v>
      </c>
      <c r="C1792" t="s">
        <v>40</v>
      </c>
      <c r="D1792">
        <v>4.8941759999999999</v>
      </c>
      <c r="E1792">
        <v>0.52651179999999997</v>
      </c>
      <c r="F1792" t="s">
        <v>42</v>
      </c>
      <c r="G1792">
        <v>-403.66140000000001</v>
      </c>
      <c r="H1792">
        <v>0.92493530000000002</v>
      </c>
      <c r="I1792">
        <v>284.4341</v>
      </c>
      <c r="J1792">
        <v>-403.34750000000003</v>
      </c>
      <c r="K1792">
        <v>1.1210990000000001</v>
      </c>
      <c r="L1792">
        <v>284.3777</v>
      </c>
      <c r="M1792">
        <v>-0.9999304</v>
      </c>
      <c r="N1792">
        <v>-1.108992E-2</v>
      </c>
      <c r="O1792">
        <v>-4.0200050000000001E-3</v>
      </c>
      <c r="P1792">
        <v>-0.98236460000000003</v>
      </c>
      <c r="Q1792">
        <v>0.18432699999999999</v>
      </c>
      <c r="R1792">
        <v>3.1363340000000003E-2</v>
      </c>
      <c r="S1792">
        <v>-3.2208559999999999</v>
      </c>
      <c r="T1792">
        <v>-0.93145350000000005</v>
      </c>
      <c r="U1792">
        <v>0.25900269999999997</v>
      </c>
      <c r="V1792">
        <v>3.520073E-2</v>
      </c>
      <c r="W1792">
        <v>0.19522870000000001</v>
      </c>
      <c r="X1792">
        <v>0.98012580000000005</v>
      </c>
      <c r="Y1792">
        <v>8.0596979999999999E-2</v>
      </c>
      <c r="Z1792">
        <v>1.2953589999999999E-2</v>
      </c>
      <c r="AA1792">
        <v>0.99666259999999995</v>
      </c>
      <c r="AB1792">
        <v>36</v>
      </c>
      <c r="AC1792">
        <v>-0.31389999999998902</v>
      </c>
      <c r="AD1792">
        <v>-0.196163699999999</v>
      </c>
      <c r="AE1792">
        <v>5.6399999999996397E-2</v>
      </c>
      <c r="AF1792">
        <v>4.1834717580374298E-2</v>
      </c>
      <c r="AG1792">
        <v>-0.196163699999999</v>
      </c>
      <c r="AH1792">
        <v>0.22757517070206301</v>
      </c>
      <c r="AI1792">
        <v>130.290211412003</v>
      </c>
      <c r="AJ1792">
        <v>79.583716832267697</v>
      </c>
      <c r="AK1792">
        <v>0.30334930214653999</v>
      </c>
      <c r="AL1792">
        <v>78.741915630852105</v>
      </c>
      <c r="AM1792">
        <v>87.943134658614198</v>
      </c>
      <c r="AN1792">
        <v>0.99999996026092997</v>
      </c>
    </row>
    <row r="1793" spans="1:40" x14ac:dyDescent="0.25">
      <c r="A1793" t="str">
        <f>"20190303162538523"</f>
        <v>20190303162538523</v>
      </c>
      <c r="B1793" t="str">
        <f>"1551601538514515"</f>
        <v>1551601538514515</v>
      </c>
      <c r="C1793" t="s">
        <v>40</v>
      </c>
      <c r="D1793">
        <v>4.8582330000000002</v>
      </c>
      <c r="E1793">
        <v>0.52616130000000005</v>
      </c>
      <c r="F1793" t="s">
        <v>42</v>
      </c>
      <c r="G1793">
        <v>-404.27760000000001</v>
      </c>
      <c r="H1793">
        <v>0.85040039999999995</v>
      </c>
      <c r="I1793">
        <v>284.45179999999999</v>
      </c>
      <c r="J1793">
        <v>-403.71350000000001</v>
      </c>
      <c r="K1793">
        <v>1.1211530000000001</v>
      </c>
      <c r="L1793">
        <v>284.37610000000001</v>
      </c>
      <c r="M1793">
        <v>-0.9999247</v>
      </c>
      <c r="N1793">
        <v>-1.1511459999999999E-2</v>
      </c>
      <c r="O1793">
        <v>-4.2764630000000003E-3</v>
      </c>
      <c r="P1793">
        <v>-0.9825081</v>
      </c>
      <c r="Q1793">
        <v>0.18367030000000001</v>
      </c>
      <c r="R1793">
        <v>3.0713730000000002E-2</v>
      </c>
      <c r="S1793">
        <v>-3.221619</v>
      </c>
      <c r="T1793">
        <v>-0.93761850000000002</v>
      </c>
      <c r="U1793">
        <v>0.25662230000000003</v>
      </c>
      <c r="V1793">
        <v>3.4805699999999898E-2</v>
      </c>
      <c r="W1793">
        <v>0.1949864</v>
      </c>
      <c r="X1793">
        <v>0.98018819999999995</v>
      </c>
      <c r="Y1793">
        <v>8.0066109999999996E-2</v>
      </c>
      <c r="Z1793">
        <v>1.3038060000000001E-2</v>
      </c>
      <c r="AA1793">
        <v>0.99670429999999999</v>
      </c>
      <c r="AB1793">
        <v>36</v>
      </c>
      <c r="AC1793">
        <v>-0.56409999999999605</v>
      </c>
      <c r="AD1793">
        <v>-0.27075260000000001</v>
      </c>
      <c r="AE1793">
        <v>7.5699999999983406E-2</v>
      </c>
      <c r="AF1793">
        <v>6.3697233184574903E-2</v>
      </c>
      <c r="AG1793">
        <v>-0.27075260000000001</v>
      </c>
      <c r="AH1793">
        <v>0.459733989548191</v>
      </c>
      <c r="AI1793">
        <v>120.25759769680499</v>
      </c>
      <c r="AJ1793">
        <v>82.111754457579593</v>
      </c>
      <c r="AK1793">
        <v>0.53732638969999003</v>
      </c>
      <c r="AL1793">
        <v>78.756071110295295</v>
      </c>
      <c r="AM1793">
        <v>87.9663271055948</v>
      </c>
      <c r="AN1793">
        <v>1.0000000201783401</v>
      </c>
    </row>
    <row r="1794" spans="1:40" x14ac:dyDescent="0.25">
      <c r="A1794" t="str">
        <f>"20190303162538544"</f>
        <v>20190303162538544</v>
      </c>
      <c r="B1794" t="str">
        <f>"1551601538535012"</f>
        <v>1551601538535012</v>
      </c>
      <c r="C1794" t="s">
        <v>40</v>
      </c>
      <c r="D1794">
        <v>4.8371149999999998</v>
      </c>
      <c r="E1794">
        <v>0.52577879999999999</v>
      </c>
      <c r="F1794" t="s">
        <v>42</v>
      </c>
      <c r="G1794">
        <v>-404.6046</v>
      </c>
      <c r="H1794">
        <v>0.8602457</v>
      </c>
      <c r="I1794">
        <v>284.44619999999998</v>
      </c>
      <c r="J1794">
        <v>-404.05869999999999</v>
      </c>
      <c r="K1794">
        <v>1.1211930000000001</v>
      </c>
      <c r="L1794">
        <v>284.37430000000001</v>
      </c>
      <c r="M1794">
        <v>-0.99991929999999996</v>
      </c>
      <c r="N1794">
        <v>-1.1878400000000001E-2</v>
      </c>
      <c r="O1794">
        <v>-4.5174380000000004E-3</v>
      </c>
      <c r="P1794">
        <v>-0.9824756</v>
      </c>
      <c r="Q1794">
        <v>0.18379989999999999</v>
      </c>
      <c r="R1794">
        <v>3.0970580000000001E-2</v>
      </c>
      <c r="S1794">
        <v>-3.2218930000000001</v>
      </c>
      <c r="T1794">
        <v>-0.94341470000000005</v>
      </c>
      <c r="U1794">
        <v>0.25219730000000001</v>
      </c>
      <c r="V1794">
        <v>3.5299839999999999E-2</v>
      </c>
      <c r="W1794">
        <v>0.1954756</v>
      </c>
      <c r="X1794">
        <v>0.98007310000000003</v>
      </c>
      <c r="Y1794">
        <v>7.8932279999999994E-2</v>
      </c>
      <c r="Z1794">
        <v>1.3023109999999999E-2</v>
      </c>
      <c r="AA1794">
        <v>0.99679490000000004</v>
      </c>
      <c r="AB1794">
        <v>36</v>
      </c>
      <c r="AC1794">
        <v>-0.54590000000001704</v>
      </c>
      <c r="AD1794">
        <v>-0.26094729999999999</v>
      </c>
      <c r="AE1794">
        <v>7.1899999999970904E-2</v>
      </c>
      <c r="AF1794">
        <v>6.0726356039422301E-2</v>
      </c>
      <c r="AG1794">
        <v>-0.26094729999999999</v>
      </c>
      <c r="AH1794">
        <v>0.44550832948685298</v>
      </c>
      <c r="AI1794">
        <v>120.12927745831099</v>
      </c>
      <c r="AJ1794">
        <v>82.237962698498805</v>
      </c>
      <c r="AK1794">
        <v>0.519864266263111</v>
      </c>
      <c r="AL1794">
        <v>78.727492247750305</v>
      </c>
      <c r="AM1794">
        <v>87.937237596522607</v>
      </c>
      <c r="AN1794">
        <v>1.0000000351214899</v>
      </c>
    </row>
    <row r="1795" spans="1:40" x14ac:dyDescent="0.25">
      <c r="A1795" t="str">
        <f>"20190303162538566"</f>
        <v>20190303162538566</v>
      </c>
      <c r="B1795" t="str">
        <f>"1551601538554531"</f>
        <v>1551601538554531</v>
      </c>
      <c r="C1795" t="s">
        <v>40</v>
      </c>
      <c r="D1795">
        <v>4.8859159999999999</v>
      </c>
      <c r="E1795">
        <v>0.52574679999999996</v>
      </c>
      <c r="F1795" t="s">
        <v>42</v>
      </c>
      <c r="G1795">
        <v>-404.92939999999999</v>
      </c>
      <c r="H1795">
        <v>0.86557099999999898</v>
      </c>
      <c r="I1795">
        <v>284.44200000000001</v>
      </c>
      <c r="J1795">
        <v>-404.41090000000003</v>
      </c>
      <c r="K1795">
        <v>1.121221</v>
      </c>
      <c r="L1795">
        <v>284.3725</v>
      </c>
      <c r="M1795">
        <v>-0.99991399999999997</v>
      </c>
      <c r="N1795">
        <v>-1.222079E-2</v>
      </c>
      <c r="O1795">
        <v>-4.7600170000000001E-3</v>
      </c>
      <c r="P1795">
        <v>-0.98256140000000003</v>
      </c>
      <c r="Q1795">
        <v>0.18329809999999999</v>
      </c>
      <c r="R1795">
        <v>3.1223790000000001E-2</v>
      </c>
      <c r="S1795">
        <v>-3.2225950000000001</v>
      </c>
      <c r="T1795">
        <v>-0.94600320000000004</v>
      </c>
      <c r="U1795">
        <v>0.25021359999999998</v>
      </c>
      <c r="V1795">
        <v>3.57921E-2</v>
      </c>
      <c r="W1795">
        <v>0.1953105</v>
      </c>
      <c r="X1795">
        <v>0.98008810000000002</v>
      </c>
      <c r="Y1795">
        <v>7.8533950000000005E-2</v>
      </c>
      <c r="Z1795">
        <v>1.3073359999999999E-2</v>
      </c>
      <c r="AA1795">
        <v>0.99682570000000004</v>
      </c>
      <c r="AB1795">
        <v>36</v>
      </c>
      <c r="AC1795">
        <v>-0.51849999999995999</v>
      </c>
      <c r="AD1795">
        <v>-0.25564999999999999</v>
      </c>
      <c r="AE1795">
        <v>6.9500000000005002E-2</v>
      </c>
      <c r="AF1795">
        <v>5.80938258844379E-2</v>
      </c>
      <c r="AG1795">
        <v>-0.25564999999999999</v>
      </c>
      <c r="AH1795">
        <v>0.41827354975671799</v>
      </c>
      <c r="AI1795">
        <v>121.190363731327</v>
      </c>
      <c r="AJ1795">
        <v>82.092800029959506</v>
      </c>
      <c r="AK1795">
        <v>0.49364418109806302</v>
      </c>
      <c r="AL1795">
        <v>78.737137008176305</v>
      </c>
      <c r="AM1795">
        <v>87.908529509571196</v>
      </c>
      <c r="AN1795">
        <v>0.99999997479713398</v>
      </c>
    </row>
    <row r="1796" spans="1:40" x14ac:dyDescent="0.25">
      <c r="A1796" t="str">
        <f>"20190303162538589"</f>
        <v>20190303162538589</v>
      </c>
      <c r="B1796" t="str">
        <f>"1551601538584788"</f>
        <v>1551601538584788</v>
      </c>
      <c r="C1796" t="s">
        <v>40</v>
      </c>
      <c r="D1796">
        <v>4.849227</v>
      </c>
      <c r="E1796">
        <v>0.52641300000000002</v>
      </c>
      <c r="F1796" t="s">
        <v>42</v>
      </c>
      <c r="G1796">
        <v>-405.25470000000001</v>
      </c>
      <c r="H1796">
        <v>0.87277329999999997</v>
      </c>
      <c r="I1796">
        <v>284.43819999999999</v>
      </c>
      <c r="J1796">
        <v>-404.7851</v>
      </c>
      <c r="K1796">
        <v>1.1212359999999999</v>
      </c>
      <c r="L1796">
        <v>284.37049999999999</v>
      </c>
      <c r="M1796">
        <v>-0.99990869999999998</v>
      </c>
      <c r="N1796">
        <v>-1.254896E-2</v>
      </c>
      <c r="O1796">
        <v>-5.0148509999999999E-3</v>
      </c>
      <c r="P1796">
        <v>-0.98259810000000003</v>
      </c>
      <c r="Q1796">
        <v>0.1829431</v>
      </c>
      <c r="R1796">
        <v>3.2141900000000001E-2</v>
      </c>
      <c r="S1796">
        <v>-3.222321</v>
      </c>
      <c r="T1796">
        <v>-0.94891119999999995</v>
      </c>
      <c r="U1796">
        <v>0.2496033</v>
      </c>
      <c r="V1796">
        <v>3.6960560000000003E-2</v>
      </c>
      <c r="W1796">
        <v>0.1952778</v>
      </c>
      <c r="X1796">
        <v>0.98005129999999996</v>
      </c>
      <c r="Y1796">
        <v>7.8569799999999995E-2</v>
      </c>
      <c r="Z1796">
        <v>1.319915E-2</v>
      </c>
      <c r="AA1796">
        <v>0.99682119999999996</v>
      </c>
      <c r="AB1796">
        <v>36</v>
      </c>
      <c r="AC1796">
        <v>-0.46960000000001401</v>
      </c>
      <c r="AD1796">
        <v>-0.24846270000000001</v>
      </c>
      <c r="AE1796">
        <v>6.7700000000001995E-2</v>
      </c>
      <c r="AF1796">
        <v>5.49772789153729E-2</v>
      </c>
      <c r="AG1796">
        <v>-0.24846270000000001</v>
      </c>
      <c r="AH1796">
        <v>0.36826199083014299</v>
      </c>
      <c r="AI1796">
        <v>123.714984096455</v>
      </c>
      <c r="AJ1796">
        <v>81.5091076406257</v>
      </c>
      <c r="AK1796">
        <v>0.44763054897807097</v>
      </c>
      <c r="AL1796">
        <v>78.739047953372804</v>
      </c>
      <c r="AM1796">
        <v>87.840234500552199</v>
      </c>
      <c r="AN1796">
        <v>1.0000000264000199</v>
      </c>
    </row>
    <row r="1797" spans="1:40" x14ac:dyDescent="0.25">
      <c r="A1797" t="str">
        <f>"20190303162538612"</f>
        <v>20190303162538612</v>
      </c>
      <c r="B1797" t="str">
        <f>"1551601538604307"</f>
        <v>1551601538604307</v>
      </c>
      <c r="C1797" t="s">
        <v>40</v>
      </c>
      <c r="D1797">
        <v>4.8215529999999998</v>
      </c>
      <c r="E1797">
        <v>0.52689090000000005</v>
      </c>
      <c r="F1797" t="s">
        <v>42</v>
      </c>
      <c r="G1797">
        <v>-405.5813</v>
      </c>
      <c r="H1797">
        <v>0.88438830000000002</v>
      </c>
      <c r="I1797">
        <v>284.43400000000003</v>
      </c>
      <c r="J1797">
        <v>-405.14769999999999</v>
      </c>
      <c r="K1797">
        <v>1.1212519999999999</v>
      </c>
      <c r="L1797">
        <v>284.36840000000001</v>
      </c>
      <c r="M1797">
        <v>-0.99990400000000002</v>
      </c>
      <c r="N1797">
        <v>-1.2832710000000001E-2</v>
      </c>
      <c r="O1797">
        <v>-5.2620380000000001E-3</v>
      </c>
      <c r="P1797">
        <v>-0.98273339999999998</v>
      </c>
      <c r="Q1797">
        <v>0.18210270000000001</v>
      </c>
      <c r="R1797">
        <v>3.2774190000000002E-2</v>
      </c>
      <c r="S1797">
        <v>-3.2232970000000001</v>
      </c>
      <c r="T1797">
        <v>-0.95883300000000005</v>
      </c>
      <c r="U1797">
        <v>0.25640869999999999</v>
      </c>
      <c r="V1797">
        <v>3.7836979999999999E-2</v>
      </c>
      <c r="W1797">
        <v>0.19471749999999999</v>
      </c>
      <c r="X1797">
        <v>0.98012929999999998</v>
      </c>
      <c r="Y1797">
        <v>8.0704460000000006E-2</v>
      </c>
      <c r="Z1797">
        <v>1.372571E-2</v>
      </c>
      <c r="AA1797">
        <v>0.99664350000000002</v>
      </c>
      <c r="AB1797">
        <v>36</v>
      </c>
      <c r="AC1797">
        <v>-0.43360000000001198</v>
      </c>
      <c r="AD1797">
        <v>-0.23686370000000001</v>
      </c>
      <c r="AE1797">
        <v>6.5600000000017603E-2</v>
      </c>
      <c r="AF1797">
        <v>5.2550136229836598E-2</v>
      </c>
      <c r="AG1797">
        <v>-0.23686370000000001</v>
      </c>
      <c r="AH1797">
        <v>0.33540042501987199</v>
      </c>
      <c r="AI1797">
        <v>124.903479608512</v>
      </c>
      <c r="AJ1797">
        <v>81.095359489632301</v>
      </c>
      <c r="AK1797">
        <v>0.41395576369821901</v>
      </c>
      <c r="AL1797">
        <v>78.771778718142102</v>
      </c>
      <c r="AM1797">
        <v>87.789247496237095</v>
      </c>
      <c r="AN1797">
        <v>0.99999999329013001</v>
      </c>
    </row>
    <row r="1798" spans="1:40" x14ac:dyDescent="0.25">
      <c r="A1798" t="str">
        <f>"20190303162538632"</f>
        <v>20190303162538632</v>
      </c>
      <c r="B1798" t="str">
        <f>"1551601538624804"</f>
        <v>1551601538624804</v>
      </c>
      <c r="C1798" t="s">
        <v>40</v>
      </c>
      <c r="D1798">
        <v>4.8324860000000003</v>
      </c>
      <c r="E1798">
        <v>0.52725339999999998</v>
      </c>
      <c r="F1798" t="s">
        <v>42</v>
      </c>
      <c r="G1798">
        <v>-405.90589999999997</v>
      </c>
      <c r="H1798">
        <v>0.89189349999999901</v>
      </c>
      <c r="I1798">
        <v>284.43020000000001</v>
      </c>
      <c r="J1798">
        <v>-405.48689999999999</v>
      </c>
      <c r="K1798">
        <v>1.1212610000000001</v>
      </c>
      <c r="L1798">
        <v>284.3664</v>
      </c>
      <c r="M1798">
        <v>-0.99989969999999995</v>
      </c>
      <c r="N1798">
        <v>-1.306825E-2</v>
      </c>
      <c r="O1798">
        <v>-5.4936730000000001E-3</v>
      </c>
      <c r="P1798">
        <v>-0.98291430000000002</v>
      </c>
      <c r="Q1798">
        <v>0.18102199999999999</v>
      </c>
      <c r="R1798">
        <v>3.3332279999999999E-2</v>
      </c>
      <c r="S1798">
        <v>-3.2247919999999999</v>
      </c>
      <c r="T1798">
        <v>-0.97561719999999996</v>
      </c>
      <c r="U1798">
        <v>0.26113890000000001</v>
      </c>
      <c r="V1798">
        <v>3.8624659999999998E-2</v>
      </c>
      <c r="W1798">
        <v>0.1938704</v>
      </c>
      <c r="X1798">
        <v>0.98026650000000004</v>
      </c>
      <c r="Y1798">
        <v>8.2145789999999996E-2</v>
      </c>
      <c r="Z1798">
        <v>1.423835E-2</v>
      </c>
      <c r="AA1798">
        <v>0.99651860000000003</v>
      </c>
      <c r="AB1798">
        <v>36</v>
      </c>
      <c r="AC1798">
        <v>-0.418999999999982</v>
      </c>
      <c r="AD1798">
        <v>-0.2293675</v>
      </c>
      <c r="AE1798">
        <v>6.3800000000014706E-2</v>
      </c>
      <c r="AF1798">
        <v>5.11272264785671E-2</v>
      </c>
      <c r="AG1798">
        <v>-0.2293675</v>
      </c>
      <c r="AH1798">
        <v>0.32380805911681698</v>
      </c>
      <c r="AI1798">
        <v>124.97956331890801</v>
      </c>
      <c r="AJ1798">
        <v>81.027435846650803</v>
      </c>
      <c r="AK1798">
        <v>0.40009386710201</v>
      </c>
      <c r="AL1798">
        <v>78.821256980290997</v>
      </c>
      <c r="AM1798">
        <v>87.743587278611798</v>
      </c>
      <c r="AN1798">
        <v>1.00000000368926</v>
      </c>
    </row>
    <row r="1799" spans="1:40" x14ac:dyDescent="0.25">
      <c r="A1799" t="str">
        <f>"20190303162538655"</f>
        <v>20190303162538655</v>
      </c>
      <c r="B1799" t="str">
        <f>"1551601538644324"</f>
        <v>1551601538644324</v>
      </c>
      <c r="C1799" t="s">
        <v>40</v>
      </c>
      <c r="D1799">
        <v>4.7560789999999997</v>
      </c>
      <c r="E1799">
        <v>0.52769849999999996</v>
      </c>
      <c r="F1799" t="s">
        <v>42</v>
      </c>
      <c r="G1799">
        <v>-406.22809999999998</v>
      </c>
      <c r="H1799">
        <v>0.89421519999999999</v>
      </c>
      <c r="I1799">
        <v>284.42779999999999</v>
      </c>
      <c r="J1799">
        <v>-405.84050000000002</v>
      </c>
      <c r="K1799">
        <v>1.121267</v>
      </c>
      <c r="L1799">
        <v>284.36419999999998</v>
      </c>
      <c r="M1799">
        <v>-0.99989530000000004</v>
      </c>
      <c r="N1799">
        <v>-1.3285669999999999E-2</v>
      </c>
      <c r="O1799">
        <v>-5.7364069999999998E-3</v>
      </c>
      <c r="P1799">
        <v>-0.98307250000000002</v>
      </c>
      <c r="Q1799">
        <v>0.1800861</v>
      </c>
      <c r="R1799">
        <v>3.3726609999999997E-2</v>
      </c>
      <c r="S1799">
        <v>-3.2250670000000001</v>
      </c>
      <c r="T1799">
        <v>-0.98796220000000001</v>
      </c>
      <c r="U1799">
        <v>0.2661133</v>
      </c>
      <c r="V1799">
        <v>3.925915E-2</v>
      </c>
      <c r="W1799">
        <v>0.19314999999999999</v>
      </c>
      <c r="X1799">
        <v>0.98038349999999996</v>
      </c>
      <c r="Y1799">
        <v>8.3722039999999998E-2</v>
      </c>
      <c r="Z1799">
        <v>1.472712E-2</v>
      </c>
      <c r="AA1799">
        <v>0.9963803</v>
      </c>
      <c r="AB1799">
        <v>36</v>
      </c>
      <c r="AC1799">
        <v>-0.38759999999996297</v>
      </c>
      <c r="AD1799">
        <v>-0.2270518</v>
      </c>
      <c r="AE1799">
        <v>6.3600000000008095E-2</v>
      </c>
      <c r="AF1799">
        <v>4.9336648526597499E-2</v>
      </c>
      <c r="AG1799">
        <v>-0.2270518</v>
      </c>
      <c r="AH1799">
        <v>0.29024338837237501</v>
      </c>
      <c r="AI1799">
        <v>127.64005883127</v>
      </c>
      <c r="AJ1799">
        <v>80.352861709477907</v>
      </c>
      <c r="AK1799">
        <v>0.37179006073986698</v>
      </c>
      <c r="AL1799">
        <v>78.863328094741306</v>
      </c>
      <c r="AM1799">
        <v>87.706833698675794</v>
      </c>
      <c r="AN1799">
        <v>1.00000000521548</v>
      </c>
    </row>
    <row r="1800" spans="1:40" x14ac:dyDescent="0.25">
      <c r="A1800" t="str">
        <f>"20190303162538678"</f>
        <v>20190303162538678</v>
      </c>
      <c r="B1800" t="str">
        <f>"1551601538674579"</f>
        <v>1551601538674579</v>
      </c>
      <c r="C1800" t="s">
        <v>40</v>
      </c>
      <c r="D1800">
        <v>4.7534580000000002</v>
      </c>
      <c r="E1800">
        <v>0.52850969999999997</v>
      </c>
      <c r="F1800" t="s">
        <v>42</v>
      </c>
      <c r="G1800">
        <v>-406.5521</v>
      </c>
      <c r="H1800">
        <v>0.90159509999999998</v>
      </c>
      <c r="I1800">
        <v>284.42430000000002</v>
      </c>
      <c r="J1800">
        <v>-406.2072</v>
      </c>
      <c r="K1800">
        <v>1.121278</v>
      </c>
      <c r="L1800">
        <v>284.36180000000002</v>
      </c>
      <c r="M1800">
        <v>-0.99989119999999998</v>
      </c>
      <c r="N1800">
        <v>-1.34834E-2</v>
      </c>
      <c r="O1800">
        <v>-5.9892679999999998E-3</v>
      </c>
      <c r="P1800">
        <v>-0.98310109999999995</v>
      </c>
      <c r="Q1800">
        <v>0.1799085</v>
      </c>
      <c r="R1800">
        <v>3.3844060000000002E-2</v>
      </c>
      <c r="S1800">
        <v>-3.2247309999999998</v>
      </c>
      <c r="T1800">
        <v>-0.99557050000000002</v>
      </c>
      <c r="U1800">
        <v>0.27090449999999999</v>
      </c>
      <c r="V1800">
        <v>3.962632E-2</v>
      </c>
      <c r="W1800">
        <v>0.19316630000000001</v>
      </c>
      <c r="X1800">
        <v>0.9803655</v>
      </c>
      <c r="Y1800">
        <v>8.5300089999999995E-2</v>
      </c>
      <c r="Z1800">
        <v>1.516152E-2</v>
      </c>
      <c r="AA1800">
        <v>0.99624000000000001</v>
      </c>
      <c r="AB1800">
        <v>36</v>
      </c>
      <c r="AC1800">
        <v>-0.34489999999999499</v>
      </c>
      <c r="AD1800">
        <v>-0.21968289999999999</v>
      </c>
      <c r="AE1800">
        <v>6.25E-2</v>
      </c>
      <c r="AF1800">
        <v>4.6356016008572802E-2</v>
      </c>
      <c r="AG1800">
        <v>-0.21968289999999999</v>
      </c>
      <c r="AH1800">
        <v>0.24735703917524801</v>
      </c>
      <c r="AI1800">
        <v>131.11849075531299</v>
      </c>
      <c r="AJ1800">
        <v>79.385587370965297</v>
      </c>
      <c r="AK1800">
        <v>0.33405832065994401</v>
      </c>
      <c r="AL1800">
        <v>78.862376066698502</v>
      </c>
      <c r="AM1800">
        <v>87.685367697812694</v>
      </c>
      <c r="AN1800">
        <v>0.99999998914134103</v>
      </c>
    </row>
    <row r="1801" spans="1:40" x14ac:dyDescent="0.25">
      <c r="A1801" t="str">
        <f>"20190303162538700"</f>
        <v>20190303162538700</v>
      </c>
      <c r="B1801" t="str">
        <f>"1551601538695076"</f>
        <v>1551601538695076</v>
      </c>
      <c r="C1801" t="s">
        <v>40</v>
      </c>
      <c r="D1801">
        <v>4.706169</v>
      </c>
      <c r="E1801">
        <v>0.52901109999999996</v>
      </c>
      <c r="F1801" t="s">
        <v>42</v>
      </c>
      <c r="G1801">
        <v>-406.87810000000002</v>
      </c>
      <c r="H1801">
        <v>0.91381800000000002</v>
      </c>
      <c r="I1801">
        <v>284.41969999999998</v>
      </c>
      <c r="J1801">
        <v>-406.57400000000001</v>
      </c>
      <c r="K1801">
        <v>1.121283</v>
      </c>
      <c r="L1801">
        <v>284.35930000000002</v>
      </c>
      <c r="M1801">
        <v>-0.99988730000000003</v>
      </c>
      <c r="N1801">
        <v>-1.365333E-2</v>
      </c>
      <c r="O1801">
        <v>-6.242198E-3</v>
      </c>
      <c r="P1801">
        <v>-0.98308689999999999</v>
      </c>
      <c r="Q1801">
        <v>0.180120899999999</v>
      </c>
      <c r="R1801">
        <v>3.3117849999999997E-2</v>
      </c>
      <c r="S1801">
        <v>-3.2244570000000001</v>
      </c>
      <c r="T1801">
        <v>-0.99715140000000002</v>
      </c>
      <c r="U1801">
        <v>0.2775879</v>
      </c>
      <c r="V1801">
        <v>3.9148969999999998E-2</v>
      </c>
      <c r="W1801">
        <v>0.19354479999999999</v>
      </c>
      <c r="X1801">
        <v>0.98031000000000001</v>
      </c>
      <c r="Y1801">
        <v>8.7477299999999994E-2</v>
      </c>
      <c r="Z1801">
        <v>1.560687E-2</v>
      </c>
      <c r="AA1801">
        <v>0.99604429999999999</v>
      </c>
      <c r="AB1801">
        <v>36</v>
      </c>
      <c r="AC1801">
        <v>-0.30410000000000498</v>
      </c>
      <c r="AD1801">
        <v>-0.20746500000000001</v>
      </c>
      <c r="AE1801">
        <v>6.0399999999958702E-2</v>
      </c>
      <c r="AF1801">
        <v>4.3029846079918603E-2</v>
      </c>
      <c r="AG1801">
        <v>-0.20746500000000001</v>
      </c>
      <c r="AH1801">
        <v>0.209782866843644</v>
      </c>
      <c r="AI1801">
        <v>134.091550252844</v>
      </c>
      <c r="AJ1801">
        <v>78.408489480784297</v>
      </c>
      <c r="AK1801">
        <v>0.29816462751272099</v>
      </c>
      <c r="AL1801">
        <v>78.840272205085498</v>
      </c>
      <c r="AM1801">
        <v>87.713091312157701</v>
      </c>
      <c r="AN1801">
        <v>0.99999996377954903</v>
      </c>
    </row>
    <row r="1802" spans="1:40" x14ac:dyDescent="0.25">
      <c r="A1802" t="str">
        <f>"20190303162538722"</f>
        <v>20190303162538722</v>
      </c>
      <c r="B1802" t="str">
        <f>"1551601538714595"</f>
        <v>1551601538714595</v>
      </c>
      <c r="C1802" t="s">
        <v>40</v>
      </c>
      <c r="D1802">
        <v>4.6751430000000003</v>
      </c>
      <c r="E1802">
        <v>0.52940699999999996</v>
      </c>
      <c r="F1802" t="s">
        <v>42</v>
      </c>
      <c r="G1802">
        <v>-407.48739999999998</v>
      </c>
      <c r="H1802">
        <v>0.83930539999999998</v>
      </c>
      <c r="I1802">
        <v>284.43900000000002</v>
      </c>
      <c r="J1802">
        <v>-406.91989999999998</v>
      </c>
      <c r="K1802">
        <v>1.121292</v>
      </c>
      <c r="L1802">
        <v>284.3569</v>
      </c>
      <c r="M1802">
        <v>-0.999884</v>
      </c>
      <c r="N1802">
        <v>-1.379293E-2</v>
      </c>
      <c r="O1802">
        <v>-6.4802749999999998E-3</v>
      </c>
      <c r="P1802">
        <v>-0.98310500000000001</v>
      </c>
      <c r="Q1802">
        <v>0.18023890000000001</v>
      </c>
      <c r="R1802">
        <v>3.1919999999999997E-2</v>
      </c>
      <c r="S1802">
        <v>-3.2245180000000002</v>
      </c>
      <c r="T1802">
        <v>-0.9955041</v>
      </c>
      <c r="U1802">
        <v>0.28067019999999998</v>
      </c>
      <c r="V1802">
        <v>3.8185579999999997E-2</v>
      </c>
      <c r="W1802">
        <v>0.19379930000000001</v>
      </c>
      <c r="X1802">
        <v>0.98029770000000005</v>
      </c>
      <c r="Y1802">
        <v>8.8606249999999998E-2</v>
      </c>
      <c r="Z1802">
        <v>1.58341E-2</v>
      </c>
      <c r="AA1802">
        <v>0.99594090000000002</v>
      </c>
      <c r="AB1802">
        <v>36</v>
      </c>
      <c r="AC1802">
        <v>-0.56749999999999501</v>
      </c>
      <c r="AD1802">
        <v>-0.28198659999999998</v>
      </c>
      <c r="AE1802">
        <v>8.2100000000025306E-2</v>
      </c>
      <c r="AF1802">
        <v>6.9071802326426096E-2</v>
      </c>
      <c r="AG1802">
        <v>-0.28198659999999998</v>
      </c>
      <c r="AH1802">
        <v>0.45654483830823001</v>
      </c>
      <c r="AI1802">
        <v>121.412575025745</v>
      </c>
      <c r="AJ1802">
        <v>81.396823866366105</v>
      </c>
      <c r="AK1802">
        <v>0.54103654760290298</v>
      </c>
      <c r="AL1802">
        <v>78.825408788933899</v>
      </c>
      <c r="AM1802">
        <v>87.769282742734305</v>
      </c>
      <c r="AN1802">
        <v>0.99999994391285596</v>
      </c>
    </row>
    <row r="1803" spans="1:40" x14ac:dyDescent="0.25">
      <c r="A1803" t="str">
        <f>"20190303162538744"</f>
        <v>20190303162538744</v>
      </c>
      <c r="B1803" t="str">
        <f>"1551601538735091"</f>
        <v>1551601538735091</v>
      </c>
      <c r="C1803" t="s">
        <v>40</v>
      </c>
      <c r="D1803">
        <v>4.6905080000000003</v>
      </c>
      <c r="E1803">
        <v>0.52976690000000004</v>
      </c>
      <c r="F1803" t="s">
        <v>42</v>
      </c>
      <c r="G1803">
        <v>-407.80970000000002</v>
      </c>
      <c r="H1803">
        <v>0.84686209999999995</v>
      </c>
      <c r="I1803">
        <v>284.43459999999999</v>
      </c>
      <c r="J1803">
        <v>-407.27120000000002</v>
      </c>
      <c r="K1803">
        <v>1.1212959999999901</v>
      </c>
      <c r="L1803">
        <v>284.3544</v>
      </c>
      <c r="M1803">
        <v>-0.99988060000000001</v>
      </c>
      <c r="N1803">
        <v>-1.3916090000000001E-2</v>
      </c>
      <c r="O1803">
        <v>-6.7216999999999997E-3</v>
      </c>
      <c r="P1803">
        <v>-0.98300560000000003</v>
      </c>
      <c r="Q1803">
        <v>0.1810505</v>
      </c>
      <c r="R1803">
        <v>3.0345009999999999E-2</v>
      </c>
      <c r="S1803">
        <v>-3.2247919999999999</v>
      </c>
      <c r="T1803">
        <v>-0.99467709999999998</v>
      </c>
      <c r="U1803">
        <v>0.28091430000000001</v>
      </c>
      <c r="V1803">
        <v>3.6846940000000002E-2</v>
      </c>
      <c r="W1803">
        <v>0.19472919999999999</v>
      </c>
      <c r="X1803">
        <v>0.9801647</v>
      </c>
      <c r="Y1803">
        <v>8.8896520000000007E-2</v>
      </c>
      <c r="Z1803">
        <v>1.5940590000000001E-2</v>
      </c>
      <c r="AA1803">
        <v>0.9959133</v>
      </c>
      <c r="AB1803">
        <v>36</v>
      </c>
      <c r="AC1803">
        <v>-0.53849999999999898</v>
      </c>
      <c r="AD1803">
        <v>-0.27443389999999901</v>
      </c>
      <c r="AE1803">
        <v>8.0199999999990695E-2</v>
      </c>
      <c r="AF1803">
        <v>6.6836201165061004E-2</v>
      </c>
      <c r="AG1803">
        <v>-0.27443389999999901</v>
      </c>
      <c r="AH1803">
        <v>0.428957658176715</v>
      </c>
      <c r="AI1803">
        <v>122.29869872051199</v>
      </c>
      <c r="AJ1803">
        <v>81.143911606533294</v>
      </c>
      <c r="AK1803">
        <v>0.51360073575087295</v>
      </c>
      <c r="AL1803">
        <v>78.771095336990697</v>
      </c>
      <c r="AM1803">
        <v>87.847116422297901</v>
      </c>
      <c r="AN1803">
        <v>0.99999999872304601</v>
      </c>
    </row>
    <row r="1804" spans="1:40" x14ac:dyDescent="0.25">
      <c r="A1804" t="str">
        <f>"20190303162538767"</f>
        <v>20190303162538767</v>
      </c>
      <c r="B1804" t="str">
        <f>"1551601538754612"</f>
        <v>1551601538754612</v>
      </c>
      <c r="C1804" t="s">
        <v>40</v>
      </c>
      <c r="D1804">
        <v>4.6660029999999999</v>
      </c>
      <c r="E1804">
        <v>0.53007749999999998</v>
      </c>
      <c r="F1804" t="s">
        <v>42</v>
      </c>
      <c r="G1804">
        <v>-408.13249999999999</v>
      </c>
      <c r="H1804">
        <v>0.85657249999999996</v>
      </c>
      <c r="I1804">
        <v>284.42899999999997</v>
      </c>
      <c r="J1804">
        <v>-407.62799999999999</v>
      </c>
      <c r="K1804">
        <v>1.1213070000000001</v>
      </c>
      <c r="L1804">
        <v>284.35169999999999</v>
      </c>
      <c r="M1804">
        <v>-0.99987749999999997</v>
      </c>
      <c r="N1804">
        <v>-1.4024460000000001E-2</v>
      </c>
      <c r="O1804">
        <v>-6.9675529999999996E-3</v>
      </c>
      <c r="P1804">
        <v>-0.9829637</v>
      </c>
      <c r="Q1804">
        <v>0.1815214</v>
      </c>
      <c r="R1804">
        <v>2.8851419999999999E-2</v>
      </c>
      <c r="S1804">
        <v>-3.2258909999999998</v>
      </c>
      <c r="T1804">
        <v>-0.99152620000000002</v>
      </c>
      <c r="U1804">
        <v>0.27880860000000002</v>
      </c>
      <c r="V1804">
        <v>3.5594550000000003E-2</v>
      </c>
      <c r="W1804">
        <v>0.1953049</v>
      </c>
      <c r="X1804">
        <v>0.98009650000000004</v>
      </c>
      <c r="Y1804">
        <v>8.8504550000000001E-2</v>
      </c>
      <c r="Z1804">
        <v>1.590227E-2</v>
      </c>
      <c r="AA1804">
        <v>0.99594890000000003</v>
      </c>
      <c r="AB1804">
        <v>36</v>
      </c>
      <c r="AC1804">
        <v>-0.50449999999994999</v>
      </c>
      <c r="AD1804">
        <v>-0.26473449999999998</v>
      </c>
      <c r="AE1804">
        <v>7.7300000000036506E-2</v>
      </c>
      <c r="AF1804">
        <v>6.3680769507052398E-2</v>
      </c>
      <c r="AG1804">
        <v>-0.26473449999999998</v>
      </c>
      <c r="AH1804">
        <v>0.39710973501178798</v>
      </c>
      <c r="AI1804">
        <v>123.35464917922</v>
      </c>
      <c r="AJ1804">
        <v>80.889577082523701</v>
      </c>
      <c r="AK1804">
        <v>0.481493237269635</v>
      </c>
      <c r="AL1804">
        <v>78.737465167125094</v>
      </c>
      <c r="AM1804">
        <v>87.9200807618478</v>
      </c>
      <c r="AN1804">
        <v>1.0000000626329699</v>
      </c>
    </row>
    <row r="1805" spans="1:40" x14ac:dyDescent="0.25">
      <c r="A1805" t="str">
        <f>"20190303162538790"</f>
        <v>20190303162538790</v>
      </c>
      <c r="B1805" t="str">
        <f>"1551601538785845"</f>
        <v>1551601538785845</v>
      </c>
      <c r="C1805" t="s">
        <v>40</v>
      </c>
      <c r="D1805">
        <v>4.6803160000000004</v>
      </c>
      <c r="E1805">
        <v>0.53049880000000005</v>
      </c>
      <c r="F1805" t="s">
        <v>42</v>
      </c>
      <c r="G1805">
        <v>-408.4554</v>
      </c>
      <c r="H1805">
        <v>0.86748649999999905</v>
      </c>
      <c r="I1805">
        <v>284.42309999999998</v>
      </c>
      <c r="J1805">
        <v>-407.9984</v>
      </c>
      <c r="K1805">
        <v>1.121319</v>
      </c>
      <c r="L1805">
        <v>284.34890000000001</v>
      </c>
      <c r="M1805">
        <v>-0.99987429999999999</v>
      </c>
      <c r="N1805">
        <v>-1.4121389999999999E-2</v>
      </c>
      <c r="O1805">
        <v>-7.2228619999999896E-3</v>
      </c>
      <c r="P1805">
        <v>-0.98285020000000001</v>
      </c>
      <c r="Q1805">
        <v>0.18234610000000001</v>
      </c>
      <c r="R1805">
        <v>2.748455E-2</v>
      </c>
      <c r="S1805">
        <v>-3.2265929999999998</v>
      </c>
      <c r="T1805">
        <v>-0.98970219999999998</v>
      </c>
      <c r="U1805">
        <v>0.27734379999999997</v>
      </c>
      <c r="V1805">
        <v>3.4477590000000002E-2</v>
      </c>
      <c r="W1805">
        <v>0.1962228</v>
      </c>
      <c r="X1805">
        <v>0.97995299999999996</v>
      </c>
      <c r="Y1805">
        <v>8.8306809999999999E-2</v>
      </c>
      <c r="Z1805">
        <v>1.5917890000000001E-2</v>
      </c>
      <c r="AA1805">
        <v>0.99596609999999997</v>
      </c>
      <c r="AB1805">
        <v>36</v>
      </c>
      <c r="AC1805">
        <v>-0.45699999999999302</v>
      </c>
      <c r="AD1805">
        <v>-0.25383249999999902</v>
      </c>
      <c r="AE1805">
        <v>7.4199999999962005E-2</v>
      </c>
      <c r="AF1805">
        <v>5.9588168051430503E-2</v>
      </c>
      <c r="AG1805">
        <v>-0.25383249999999902</v>
      </c>
      <c r="AH1805">
        <v>0.35096013019745897</v>
      </c>
      <c r="AI1805">
        <v>125.490657061634</v>
      </c>
      <c r="AJ1805">
        <v>80.363863849664895</v>
      </c>
      <c r="AK1805">
        <v>0.43721242070210298</v>
      </c>
      <c r="AL1805">
        <v>78.683834830279906</v>
      </c>
      <c r="AM1805">
        <v>87.984999365196202</v>
      </c>
      <c r="AN1805">
        <v>0.99999998683052305</v>
      </c>
    </row>
    <row r="1806" spans="1:40" x14ac:dyDescent="0.25">
      <c r="A1806" t="str">
        <f>"20190303162538813"</f>
        <v>20190303162538813</v>
      </c>
      <c r="B1806" t="str">
        <f>"1551601538804389"</f>
        <v>1551601538804389</v>
      </c>
      <c r="C1806" t="s">
        <v>40</v>
      </c>
      <c r="D1806">
        <v>4.6468119999999997</v>
      </c>
      <c r="E1806">
        <v>0.5307345</v>
      </c>
      <c r="F1806" t="s">
        <v>42</v>
      </c>
      <c r="G1806">
        <v>-408.77960000000002</v>
      </c>
      <c r="H1806">
        <v>0.88245899999999999</v>
      </c>
      <c r="I1806">
        <v>284.41570000000002</v>
      </c>
      <c r="J1806">
        <v>-408.36219999999997</v>
      </c>
      <c r="K1806">
        <v>1.1213280000000001</v>
      </c>
      <c r="L1806">
        <v>284.346</v>
      </c>
      <c r="M1806">
        <v>-0.99987130000000002</v>
      </c>
      <c r="N1806">
        <v>-1.420309E-2</v>
      </c>
      <c r="O1806">
        <v>-7.4729449999999999E-3</v>
      </c>
      <c r="P1806">
        <v>-0.98278109999999996</v>
      </c>
      <c r="Q1806">
        <v>0.1828832</v>
      </c>
      <c r="R1806">
        <v>2.6368490000000001E-2</v>
      </c>
      <c r="S1806">
        <v>-3.2276609999999999</v>
      </c>
      <c r="T1806">
        <v>-0.98681090000000005</v>
      </c>
      <c r="U1806">
        <v>0.2766113</v>
      </c>
      <c r="V1806">
        <v>3.360689E-2</v>
      </c>
      <c r="W1806">
        <v>0.19683809999999999</v>
      </c>
      <c r="X1806">
        <v>0.97985990000000001</v>
      </c>
      <c r="Y1806">
        <v>8.8319620000000001E-2</v>
      </c>
      <c r="Z1806">
        <v>1.5946399999999999E-2</v>
      </c>
      <c r="AA1806">
        <v>0.99596450000000003</v>
      </c>
      <c r="AB1806">
        <v>36</v>
      </c>
      <c r="AC1806">
        <v>-0.41740000000004301</v>
      </c>
      <c r="AD1806">
        <v>-0.238869</v>
      </c>
      <c r="AE1806">
        <v>6.97000000000116E-2</v>
      </c>
      <c r="AF1806">
        <v>5.5222642028376102E-2</v>
      </c>
      <c r="AG1806">
        <v>-0.238869</v>
      </c>
      <c r="AH1806">
        <v>0.31613962198872197</v>
      </c>
      <c r="AI1806">
        <v>126.66070379917799</v>
      </c>
      <c r="AJ1806">
        <v>80.091655590037803</v>
      </c>
      <c r="AK1806">
        <v>0.40006524460988402</v>
      </c>
      <c r="AL1806">
        <v>78.647880161970406</v>
      </c>
      <c r="AM1806">
        <v>88.035659514045193</v>
      </c>
      <c r="AN1806">
        <v>1.0000000421475399</v>
      </c>
    </row>
    <row r="1807" spans="1:40" x14ac:dyDescent="0.25">
      <c r="A1807" t="str">
        <f>"20190303162538835"</f>
        <v>20190303162538835</v>
      </c>
      <c r="B1807" t="str">
        <f>"1551601538824884"</f>
        <v>1551601538824884</v>
      </c>
      <c r="C1807" t="s">
        <v>40</v>
      </c>
      <c r="D1807">
        <v>4.6488500000000004</v>
      </c>
      <c r="E1807">
        <v>0.53095389999999998</v>
      </c>
      <c r="F1807" t="s">
        <v>42</v>
      </c>
      <c r="G1807">
        <v>-409.1026</v>
      </c>
      <c r="H1807">
        <v>0.89532829999999997</v>
      </c>
      <c r="I1807">
        <v>284.40949999999998</v>
      </c>
      <c r="J1807">
        <v>-408.71609999999998</v>
      </c>
      <c r="K1807">
        <v>1.1213340000000001</v>
      </c>
      <c r="L1807">
        <v>284.34309999999999</v>
      </c>
      <c r="M1807">
        <v>-0.99986850000000005</v>
      </c>
      <c r="N1807">
        <v>-1.427138E-2</v>
      </c>
      <c r="O1807">
        <v>-7.7169700000000001E-3</v>
      </c>
      <c r="P1807">
        <v>-0.98276969999999997</v>
      </c>
      <c r="Q1807">
        <v>0.1830473</v>
      </c>
      <c r="R1807">
        <v>2.5643579999999999E-2</v>
      </c>
      <c r="S1807">
        <v>-3.228577</v>
      </c>
      <c r="T1807">
        <v>-0.98542459999999998</v>
      </c>
      <c r="U1807">
        <v>0.27520749999999999</v>
      </c>
      <c r="V1807">
        <v>3.3121730000000002E-2</v>
      </c>
      <c r="W1807">
        <v>0.1970691</v>
      </c>
      <c r="X1807">
        <v>0.97982999999999998</v>
      </c>
      <c r="Y1807">
        <v>8.8121669999999999E-2</v>
      </c>
      <c r="Z1807">
        <v>1.5962710000000001E-2</v>
      </c>
      <c r="AA1807">
        <v>0.99598180000000003</v>
      </c>
      <c r="AB1807">
        <v>36</v>
      </c>
      <c r="AC1807">
        <v>-0.386500000000012</v>
      </c>
      <c r="AD1807">
        <v>-0.2260057</v>
      </c>
      <c r="AE1807">
        <v>6.6399999999987303E-2</v>
      </c>
      <c r="AF1807">
        <v>5.2082730680065803E-2</v>
      </c>
      <c r="AG1807">
        <v>-0.2260057</v>
      </c>
      <c r="AH1807">
        <v>0.28974365497739202</v>
      </c>
      <c r="AI1807">
        <v>127.513990712924</v>
      </c>
      <c r="AJ1807">
        <v>79.809650606309603</v>
      </c>
      <c r="AK1807">
        <v>0.37113686541118601</v>
      </c>
      <c r="AL1807">
        <v>78.634380552282906</v>
      </c>
      <c r="AM1807">
        <v>88.063936601533896</v>
      </c>
      <c r="AN1807">
        <v>1.0000000540364999</v>
      </c>
    </row>
    <row r="1808" spans="1:40" x14ac:dyDescent="0.25">
      <c r="A1808" t="str">
        <f>"20190303162538856"</f>
        <v>20190303162538856</v>
      </c>
      <c r="B1808" t="str">
        <f>"1551601538844403"</f>
        <v>1551601538844403</v>
      </c>
      <c r="C1808" t="s">
        <v>40</v>
      </c>
      <c r="D1808">
        <v>4.6559679999999997</v>
      </c>
      <c r="E1808">
        <v>0.53117250000000005</v>
      </c>
      <c r="F1808" t="s">
        <v>42</v>
      </c>
      <c r="G1808">
        <v>-409.42430000000002</v>
      </c>
      <c r="H1808">
        <v>0.90516019999999997</v>
      </c>
      <c r="I1808">
        <v>284.40339999999998</v>
      </c>
      <c r="J1808">
        <v>-409.05110000000002</v>
      </c>
      <c r="K1808">
        <v>1.12134</v>
      </c>
      <c r="L1808">
        <v>284.34030000000001</v>
      </c>
      <c r="M1808">
        <v>-0.99986589999999997</v>
      </c>
      <c r="N1808">
        <v>-1.432687E-2</v>
      </c>
      <c r="O1808">
        <v>-7.9476700000000004E-3</v>
      </c>
      <c r="P1808">
        <v>-0.98283620000000005</v>
      </c>
      <c r="Q1808">
        <v>0.18277199999999999</v>
      </c>
      <c r="R1808">
        <v>2.5049430000000001E-2</v>
      </c>
      <c r="S1808">
        <v>-3.2290040000000002</v>
      </c>
      <c r="T1808">
        <v>-0.98555539999999997</v>
      </c>
      <c r="U1808">
        <v>0.27459719999999999</v>
      </c>
      <c r="V1808">
        <v>3.275513E-2</v>
      </c>
      <c r="W1808">
        <v>0.19684840000000001</v>
      </c>
      <c r="X1808">
        <v>0.9798867</v>
      </c>
      <c r="Y1808">
        <v>8.8142150000000002E-2</v>
      </c>
      <c r="Z1808">
        <v>1.603363E-2</v>
      </c>
      <c r="AA1808">
        <v>0.99597880000000005</v>
      </c>
      <c r="AB1808">
        <v>36</v>
      </c>
      <c r="AC1808">
        <v>-0.37319999999999698</v>
      </c>
      <c r="AD1808">
        <v>-0.21617980000000001</v>
      </c>
      <c r="AE1808">
        <v>6.3099999999963005E-2</v>
      </c>
      <c r="AF1808">
        <v>4.9814180795313003E-2</v>
      </c>
      <c r="AG1808">
        <v>-0.21617980000000001</v>
      </c>
      <c r="AH1808">
        <v>0.28101497936757702</v>
      </c>
      <c r="AI1808">
        <v>127.142951304766</v>
      </c>
      <c r="AJ1808">
        <v>79.947872469079101</v>
      </c>
      <c r="AK1808">
        <v>0.358028737904247</v>
      </c>
      <c r="AL1808">
        <v>78.647278535996506</v>
      </c>
      <c r="AM1808">
        <v>88.085460127336205</v>
      </c>
      <c r="AN1808">
        <v>1.00000006798038</v>
      </c>
    </row>
    <row r="1809" spans="1:40" x14ac:dyDescent="0.25">
      <c r="A1809" t="str">
        <f>"20190303162538879"</f>
        <v>20190303162538879</v>
      </c>
      <c r="B1809" t="str">
        <f>"1551601538874660"</f>
        <v>1551601538874660</v>
      </c>
      <c r="C1809" t="s">
        <v>40</v>
      </c>
      <c r="D1809">
        <v>4.6886919999999996</v>
      </c>
      <c r="E1809">
        <v>0.53147670000000002</v>
      </c>
      <c r="F1809" t="s">
        <v>42</v>
      </c>
      <c r="G1809">
        <v>-409.74349999999998</v>
      </c>
      <c r="H1809">
        <v>0.90981029999999996</v>
      </c>
      <c r="I1809">
        <v>284.3997</v>
      </c>
      <c r="J1809">
        <v>-409.40820000000002</v>
      </c>
      <c r="K1809">
        <v>1.1213439999999999</v>
      </c>
      <c r="L1809">
        <v>284.3372</v>
      </c>
      <c r="M1809">
        <v>-0.99986319999999995</v>
      </c>
      <c r="N1809">
        <v>-1.437765E-2</v>
      </c>
      <c r="O1809">
        <v>-8.1941849999999997E-3</v>
      </c>
      <c r="P1809">
        <v>-0.98277879999999995</v>
      </c>
      <c r="Q1809">
        <v>0.18307860000000001</v>
      </c>
      <c r="R1809">
        <v>2.5068010000000002E-2</v>
      </c>
      <c r="S1809">
        <v>-3.22879</v>
      </c>
      <c r="T1809">
        <v>-0.98639639999999995</v>
      </c>
      <c r="U1809">
        <v>0.27563480000000001</v>
      </c>
      <c r="V1809">
        <v>3.301577E-2</v>
      </c>
      <c r="W1809">
        <v>0.19720409999999999</v>
      </c>
      <c r="X1809">
        <v>0.97980639999999997</v>
      </c>
      <c r="Y1809">
        <v>8.8667399999999993E-2</v>
      </c>
      <c r="Z1809">
        <v>1.6201239999999999E-2</v>
      </c>
      <c r="AA1809">
        <v>0.99592950000000002</v>
      </c>
      <c r="AB1809">
        <v>36</v>
      </c>
      <c r="AC1809">
        <v>-0.33529999999996102</v>
      </c>
      <c r="AD1809">
        <v>-0.21153369999999999</v>
      </c>
      <c r="AE1809">
        <v>6.25E-2</v>
      </c>
      <c r="AF1809">
        <v>4.71209259725461E-2</v>
      </c>
      <c r="AG1809">
        <v>-0.21153369999999999</v>
      </c>
      <c r="AH1809">
        <v>0.24177811360229301</v>
      </c>
      <c r="AI1809">
        <v>130.65437645073499</v>
      </c>
      <c r="AJ1809">
        <v>78.971682556159095</v>
      </c>
      <c r="AK1809">
        <v>0.324689919950225</v>
      </c>
      <c r="AL1809">
        <v>78.626490630059294</v>
      </c>
      <c r="AM1809">
        <v>88.070079138366296</v>
      </c>
      <c r="AN1809">
        <v>1.00000003980323</v>
      </c>
    </row>
    <row r="1810" spans="1:40" x14ac:dyDescent="0.25">
      <c r="A1810" t="str">
        <f>"20190303162538901"</f>
        <v>20190303162538901</v>
      </c>
      <c r="B1810" t="str">
        <f>"1551601538895155"</f>
        <v>1551601538895155</v>
      </c>
      <c r="C1810" t="s">
        <v>40</v>
      </c>
      <c r="D1810">
        <v>4.6926930000000002</v>
      </c>
      <c r="E1810">
        <v>0.53165750000000001</v>
      </c>
      <c r="F1810" t="s">
        <v>42</v>
      </c>
      <c r="G1810">
        <v>-410.34640000000002</v>
      </c>
      <c r="H1810">
        <v>0.83505119999999899</v>
      </c>
      <c r="I1810">
        <v>284.41820000000001</v>
      </c>
      <c r="J1810">
        <v>-409.76499999999999</v>
      </c>
      <c r="K1810">
        <v>1.121353</v>
      </c>
      <c r="L1810">
        <v>284.334</v>
      </c>
      <c r="M1810">
        <v>-0.99986039999999998</v>
      </c>
      <c r="N1810">
        <v>-1.442037E-2</v>
      </c>
      <c r="O1810">
        <v>-8.4400510000000005E-3</v>
      </c>
      <c r="P1810">
        <v>-0.98276169999999996</v>
      </c>
      <c r="Q1810">
        <v>0.1831603</v>
      </c>
      <c r="R1810">
        <v>2.513754E-2</v>
      </c>
      <c r="S1810">
        <v>-3.229034</v>
      </c>
      <c r="T1810">
        <v>-0.98535340000000005</v>
      </c>
      <c r="U1810">
        <v>0.27792359999999999</v>
      </c>
      <c r="V1810">
        <v>3.3327040000000002E-2</v>
      </c>
      <c r="W1810">
        <v>0.19732710000000001</v>
      </c>
      <c r="X1810">
        <v>0.97977110000000001</v>
      </c>
      <c r="Y1810">
        <v>8.9563699999999996E-2</v>
      </c>
      <c r="Z1810">
        <v>1.639529E-2</v>
      </c>
      <c r="AA1810">
        <v>0.99584620000000001</v>
      </c>
      <c r="AB1810">
        <v>35</v>
      </c>
      <c r="AC1810">
        <v>-0.58140000000003</v>
      </c>
      <c r="AD1810">
        <v>-0.2863018</v>
      </c>
      <c r="AE1810">
        <v>8.4200000000009795E-2</v>
      </c>
      <c r="AF1810">
        <v>7.2003046975081197E-2</v>
      </c>
      <c r="AG1810">
        <v>-0.2863018</v>
      </c>
      <c r="AH1810">
        <v>0.46922298295545101</v>
      </c>
      <c r="AI1810">
        <v>121.094265627966</v>
      </c>
      <c r="AJ1810">
        <v>81.275919110392906</v>
      </c>
      <c r="AK1810">
        <v>0.55436753800213401</v>
      </c>
      <c r="AL1810">
        <v>78.619302020896598</v>
      </c>
      <c r="AM1810">
        <v>88.051827821782794</v>
      </c>
      <c r="AN1810">
        <v>1.00000004219238</v>
      </c>
    </row>
    <row r="1811" spans="1:40" x14ac:dyDescent="0.25">
      <c r="A1811" t="str">
        <f>"20190303162538922"</f>
        <v>20190303162538922</v>
      </c>
      <c r="B1811" t="str">
        <f>"1551601538914675"</f>
        <v>1551601538914675</v>
      </c>
      <c r="C1811" t="s">
        <v>40</v>
      </c>
      <c r="D1811">
        <v>4.7108860000000004</v>
      </c>
      <c r="E1811">
        <v>0.53180399999999906</v>
      </c>
      <c r="F1811" t="s">
        <v>42</v>
      </c>
      <c r="G1811">
        <v>-410.66680000000002</v>
      </c>
      <c r="H1811">
        <v>0.84619219999999895</v>
      </c>
      <c r="I1811">
        <v>284.4119</v>
      </c>
      <c r="J1811">
        <v>-410.10250000000002</v>
      </c>
      <c r="K1811">
        <v>1.1213599999999999</v>
      </c>
      <c r="L1811">
        <v>284.33089999999999</v>
      </c>
      <c r="M1811">
        <v>-0.99985800000000002</v>
      </c>
      <c r="N1811">
        <v>-1.445491E-2</v>
      </c>
      <c r="O1811">
        <v>-8.6727490000000004E-3</v>
      </c>
      <c r="P1811">
        <v>-0.98274680000000003</v>
      </c>
      <c r="Q1811">
        <v>0.18321129999999999</v>
      </c>
      <c r="R1811">
        <v>2.5353839999999999E-2</v>
      </c>
      <c r="S1811">
        <v>-3.2290649999999999</v>
      </c>
      <c r="T1811">
        <v>-0.98519659999999998</v>
      </c>
      <c r="U1811">
        <v>0.27890009999999998</v>
      </c>
      <c r="V1811">
        <v>3.3771889999999999E-2</v>
      </c>
      <c r="W1811">
        <v>0.1974117</v>
      </c>
      <c r="X1811">
        <v>0.97973880000000002</v>
      </c>
      <c r="Y1811">
        <v>9.0061559999999999E-2</v>
      </c>
      <c r="Z1811">
        <v>1.6537690000000001E-2</v>
      </c>
      <c r="AA1811">
        <v>0.99579890000000004</v>
      </c>
      <c r="AB1811">
        <v>35</v>
      </c>
      <c r="AC1811">
        <v>-0.56430000000000202</v>
      </c>
      <c r="AD1811">
        <v>-0.27516780000000002</v>
      </c>
      <c r="AE1811">
        <v>8.1000000000017197E-2</v>
      </c>
      <c r="AF1811">
        <v>6.9661733624776706E-2</v>
      </c>
      <c r="AG1811">
        <v>-0.27516780000000002</v>
      </c>
      <c r="AH1811">
        <v>0.45708477930957703</v>
      </c>
      <c r="AI1811">
        <v>120.75831963407499</v>
      </c>
      <c r="AJ1811">
        <v>81.334551353380505</v>
      </c>
      <c r="AK1811">
        <v>0.53804885536996905</v>
      </c>
      <c r="AL1811">
        <v>78.614357257450294</v>
      </c>
      <c r="AM1811">
        <v>88.025778988923406</v>
      </c>
      <c r="AN1811">
        <v>1.00000001803825</v>
      </c>
    </row>
    <row r="1812" spans="1:40" x14ac:dyDescent="0.25">
      <c r="A1812" t="str">
        <f>"20190303162538945"</f>
        <v>20190303162538945</v>
      </c>
      <c r="B1812" t="str">
        <f>"1551601538935171"</f>
        <v>1551601538935171</v>
      </c>
      <c r="C1812" t="s">
        <v>40</v>
      </c>
      <c r="D1812">
        <v>4.744624</v>
      </c>
      <c r="E1812">
        <v>0.53192659999999903</v>
      </c>
      <c r="F1812" t="s">
        <v>42</v>
      </c>
      <c r="G1812">
        <v>-410.98480000000001</v>
      </c>
      <c r="H1812">
        <v>0.85214509999999899</v>
      </c>
      <c r="I1812">
        <v>284.40789999999998</v>
      </c>
      <c r="J1812">
        <v>-410.4579</v>
      </c>
      <c r="K1812">
        <v>1.121367</v>
      </c>
      <c r="L1812">
        <v>284.32760000000002</v>
      </c>
      <c r="M1812">
        <v>-0.9998553</v>
      </c>
      <c r="N1812">
        <v>-1.4485990000000001E-2</v>
      </c>
      <c r="O1812">
        <v>-8.9178160000000003E-3</v>
      </c>
      <c r="P1812">
        <v>-0.98278639999999995</v>
      </c>
      <c r="Q1812">
        <v>0.1829742</v>
      </c>
      <c r="R1812">
        <v>2.552509E-2</v>
      </c>
      <c r="S1812">
        <v>-3.229095</v>
      </c>
      <c r="T1812">
        <v>-0.98532640000000005</v>
      </c>
      <c r="U1812">
        <v>0.28042600000000001</v>
      </c>
      <c r="V1812">
        <v>3.4184560000000003E-2</v>
      </c>
      <c r="W1812">
        <v>0.19720599999999999</v>
      </c>
      <c r="X1812">
        <v>0.97976589999999997</v>
      </c>
      <c r="Y1812">
        <v>9.0728809999999993E-2</v>
      </c>
      <c r="Z1812">
        <v>1.6714300000000001E-2</v>
      </c>
      <c r="AA1812">
        <v>0.99573529999999999</v>
      </c>
      <c r="AB1812">
        <v>35</v>
      </c>
      <c r="AC1812">
        <v>-0.52690000000001103</v>
      </c>
      <c r="AD1812">
        <v>-0.26922190000000001</v>
      </c>
      <c r="AE1812">
        <v>8.0299999999965593E-2</v>
      </c>
      <c r="AF1812">
        <v>6.7717967509901597E-2</v>
      </c>
      <c r="AG1812">
        <v>-0.26922190000000001</v>
      </c>
      <c r="AH1812">
        <v>0.41920372137366002</v>
      </c>
      <c r="AI1812">
        <v>122.37482911971399</v>
      </c>
      <c r="AJ1812">
        <v>80.823737612877096</v>
      </c>
      <c r="AK1812">
        <v>0.50279012975277004</v>
      </c>
      <c r="AL1812">
        <v>78.626379182770094</v>
      </c>
      <c r="AM1812">
        <v>88.001729991924094</v>
      </c>
      <c r="AN1812">
        <v>1.0000000046905999</v>
      </c>
    </row>
    <row r="1813" spans="1:40" x14ac:dyDescent="0.25">
      <c r="A1813" t="str">
        <f>"20190303162538968"</f>
        <v>20190303162538968</v>
      </c>
      <c r="B1813" t="str">
        <f>"1551601538964452"</f>
        <v>1551601538964452</v>
      </c>
      <c r="C1813" t="s">
        <v>40</v>
      </c>
      <c r="D1813">
        <v>4.7424900000000001</v>
      </c>
      <c r="E1813">
        <v>0.5321051</v>
      </c>
      <c r="F1813" t="s">
        <v>42</v>
      </c>
      <c r="G1813">
        <v>-411.30439999999999</v>
      </c>
      <c r="H1813">
        <v>0.8627937</v>
      </c>
      <c r="I1813">
        <v>284.4015</v>
      </c>
      <c r="J1813">
        <v>-410.81400000000002</v>
      </c>
      <c r="K1813">
        <v>1.121372</v>
      </c>
      <c r="L1813">
        <v>284.32420000000002</v>
      </c>
      <c r="M1813">
        <v>-0.99985279999999999</v>
      </c>
      <c r="N1813">
        <v>-1.4512290000000001E-2</v>
      </c>
      <c r="O1813">
        <v>-9.1636800000000004E-3</v>
      </c>
      <c r="P1813">
        <v>-0.98285160000000005</v>
      </c>
      <c r="Q1813">
        <v>0.1826228</v>
      </c>
      <c r="R1813">
        <v>2.5538600000000002E-2</v>
      </c>
      <c r="S1813">
        <v>-3.2289119999999998</v>
      </c>
      <c r="T1813">
        <v>-0.98642300000000005</v>
      </c>
      <c r="U1813">
        <v>0.28152470000000002</v>
      </c>
      <c r="V1813">
        <v>3.4440680000000001E-2</v>
      </c>
      <c r="W1813">
        <v>0.19688159999999999</v>
      </c>
      <c r="X1813">
        <v>0.97982219999999998</v>
      </c>
      <c r="Y1813">
        <v>9.1268260000000004E-2</v>
      </c>
      <c r="Z1813">
        <v>1.6887470000000002E-2</v>
      </c>
      <c r="AA1813">
        <v>0.99568310000000004</v>
      </c>
      <c r="AB1813">
        <v>35</v>
      </c>
      <c r="AC1813">
        <v>-0.49039999999996498</v>
      </c>
      <c r="AD1813">
        <v>-0.25857829999999998</v>
      </c>
      <c r="AE1813">
        <v>7.7299999999979704E-2</v>
      </c>
      <c r="AF1813">
        <v>6.4337377914183605E-2</v>
      </c>
      <c r="AG1813">
        <v>-0.25857829999999998</v>
      </c>
      <c r="AH1813">
        <v>0.38517819928482899</v>
      </c>
      <c r="AI1813">
        <v>123.510447698512</v>
      </c>
      <c r="AJ1813">
        <v>80.517270281300497</v>
      </c>
      <c r="AK1813">
        <v>0.46836340658944098</v>
      </c>
      <c r="AL1813">
        <v>78.645337959683204</v>
      </c>
      <c r="AM1813">
        <v>87.986886268779898</v>
      </c>
      <c r="AN1813">
        <v>1.0000000342351301</v>
      </c>
    </row>
    <row r="1814" spans="1:40" x14ac:dyDescent="0.25">
      <c r="A1814" t="str">
        <f>"20190303162538990"</f>
        <v>20190303162538990</v>
      </c>
      <c r="B1814" t="str">
        <f>"1551601538984948"</f>
        <v>1551601538984948</v>
      </c>
      <c r="C1814" t="s">
        <v>40</v>
      </c>
      <c r="D1814">
        <v>4.8283880000000003</v>
      </c>
      <c r="E1814">
        <v>0.53214519999999998</v>
      </c>
      <c r="F1814" t="s">
        <v>42</v>
      </c>
      <c r="G1814">
        <v>-411.62360000000001</v>
      </c>
      <c r="H1814">
        <v>0.87364330000000001</v>
      </c>
      <c r="I1814">
        <v>284.3954</v>
      </c>
      <c r="J1814">
        <v>-411.17669999999998</v>
      </c>
      <c r="K1814">
        <v>1.121378</v>
      </c>
      <c r="L1814">
        <v>284.32060000000001</v>
      </c>
      <c r="M1814">
        <v>-0.99985000000000002</v>
      </c>
      <c r="N1814">
        <v>-1.4534740000000001E-2</v>
      </c>
      <c r="O1814">
        <v>-9.4143999999999999E-3</v>
      </c>
      <c r="P1814">
        <v>-0.98282619999999998</v>
      </c>
      <c r="Q1814">
        <v>0.1827664</v>
      </c>
      <c r="R1814">
        <v>2.5477699999999999E-2</v>
      </c>
      <c r="S1814">
        <v>-3.228485</v>
      </c>
      <c r="T1814">
        <v>-0.9879869</v>
      </c>
      <c r="U1814">
        <v>0.28402709999999998</v>
      </c>
      <c r="V1814">
        <v>3.4626179999999999E-2</v>
      </c>
      <c r="W1814">
        <v>0.19704659999999999</v>
      </c>
      <c r="X1814">
        <v>0.9797825</v>
      </c>
      <c r="Y1814">
        <v>9.2223659999999999E-2</v>
      </c>
      <c r="Z1814">
        <v>1.7135839999999999E-2</v>
      </c>
      <c r="AA1814">
        <v>0.99559089999999995</v>
      </c>
      <c r="AB1814">
        <v>35</v>
      </c>
      <c r="AC1814">
        <v>-0.446900000000027</v>
      </c>
      <c r="AD1814">
        <v>-0.247734699999999</v>
      </c>
      <c r="AE1814">
        <v>7.4799999999981895E-2</v>
      </c>
      <c r="AF1814">
        <v>6.0823203803499502E-2</v>
      </c>
      <c r="AG1814">
        <v>-0.247734699999999</v>
      </c>
      <c r="AH1814">
        <v>0.34349783641425102</v>
      </c>
      <c r="AI1814">
        <v>125.381019842527</v>
      </c>
      <c r="AJ1814">
        <v>79.958710304096002</v>
      </c>
      <c r="AK1814">
        <v>0.42785827948782701</v>
      </c>
      <c r="AL1814">
        <v>78.635695341881402</v>
      </c>
      <c r="AM1814">
        <v>87.975970545262399</v>
      </c>
      <c r="AN1814">
        <v>1.0000000411095999</v>
      </c>
    </row>
    <row r="1815" spans="1:40" x14ac:dyDescent="0.25">
      <c r="A1815" t="str">
        <f>"20190303162539014"</f>
        <v>20190303162539014</v>
      </c>
      <c r="B1815" t="str">
        <f>"1551601539004468"</f>
        <v>1551601539004468</v>
      </c>
      <c r="C1815" t="s">
        <v>40</v>
      </c>
      <c r="D1815">
        <v>4.851083</v>
      </c>
      <c r="E1815">
        <v>0.53212609999999905</v>
      </c>
      <c r="F1815" t="s">
        <v>42</v>
      </c>
      <c r="G1815">
        <v>-411.94330000000002</v>
      </c>
      <c r="H1815">
        <v>0.88642449999999995</v>
      </c>
      <c r="I1815">
        <v>284.38780000000003</v>
      </c>
      <c r="J1815">
        <v>-411.52800000000002</v>
      </c>
      <c r="K1815">
        <v>1.121386</v>
      </c>
      <c r="L1815">
        <v>284.31700000000001</v>
      </c>
      <c r="M1815">
        <v>-0.9998475</v>
      </c>
      <c r="N1815">
        <v>-1.455301E-2</v>
      </c>
      <c r="O1815">
        <v>-9.6573419999999993E-3</v>
      </c>
      <c r="P1815">
        <v>-0.98278779999999999</v>
      </c>
      <c r="Q1815">
        <v>0.18308730000000001</v>
      </c>
      <c r="R1815">
        <v>2.464299E-2</v>
      </c>
      <c r="S1815">
        <v>-3.2291259999999999</v>
      </c>
      <c r="T1815">
        <v>-0.98972329999999997</v>
      </c>
      <c r="U1815">
        <v>0.28262330000000002</v>
      </c>
      <c r="V1815">
        <v>3.4030009999999999E-2</v>
      </c>
      <c r="W1815">
        <v>0.19738410000000001</v>
      </c>
      <c r="X1815">
        <v>0.97973540000000003</v>
      </c>
      <c r="Y1815">
        <v>9.2004340000000004E-2</v>
      </c>
      <c r="Z1815">
        <v>1.7196389999999999E-2</v>
      </c>
      <c r="AA1815">
        <v>0.99561010000000005</v>
      </c>
      <c r="AB1815">
        <v>35</v>
      </c>
      <c r="AC1815">
        <v>-0.415300000000002</v>
      </c>
      <c r="AD1815">
        <v>-0.23496149999999999</v>
      </c>
      <c r="AE1815">
        <v>7.0800000000019694E-2</v>
      </c>
      <c r="AF1815">
        <v>5.70595522794154E-2</v>
      </c>
      <c r="AG1815">
        <v>-0.23496149999999999</v>
      </c>
      <c r="AH1815">
        <v>0.31623311413347899</v>
      </c>
      <c r="AI1815">
        <v>126.17403237654599</v>
      </c>
      <c r="AJ1815">
        <v>79.771881308264597</v>
      </c>
      <c r="AK1815">
        <v>0.39807798414774898</v>
      </c>
      <c r="AL1815">
        <v>78.615970029295895</v>
      </c>
      <c r="AM1815">
        <v>88.010695112688296</v>
      </c>
      <c r="AN1815">
        <v>0.99999998926328404</v>
      </c>
    </row>
    <row r="1816" spans="1:40" x14ac:dyDescent="0.25">
      <c r="A1816" t="str">
        <f>"20190303162539034"</f>
        <v>20190303162539034</v>
      </c>
      <c r="B1816" t="str">
        <f>"1551601539024963"</f>
        <v>1551601539024963</v>
      </c>
      <c r="C1816" t="s">
        <v>40</v>
      </c>
      <c r="D1816">
        <v>4.8364659999999997</v>
      </c>
      <c r="E1816">
        <v>0.53214419999999996</v>
      </c>
      <c r="F1816" t="s">
        <v>42</v>
      </c>
      <c r="G1816">
        <v>-412.26139999999998</v>
      </c>
      <c r="H1816">
        <v>0.89633819999999997</v>
      </c>
      <c r="I1816">
        <v>284.38099999999997</v>
      </c>
      <c r="J1816">
        <v>-411.86239999999998</v>
      </c>
      <c r="K1816">
        <v>1.121391</v>
      </c>
      <c r="L1816">
        <v>284.31349999999998</v>
      </c>
      <c r="M1816">
        <v>-0.99984499999999998</v>
      </c>
      <c r="N1816">
        <v>-1.4567500000000001E-2</v>
      </c>
      <c r="O1816">
        <v>-9.8891670000000008E-3</v>
      </c>
      <c r="P1816">
        <v>-0.98267579999999999</v>
      </c>
      <c r="Q1816">
        <v>0.1838988</v>
      </c>
      <c r="R1816">
        <v>2.3015879999999999E-2</v>
      </c>
      <c r="S1816">
        <v>-3.2301329999999999</v>
      </c>
      <c r="T1816">
        <v>-0.99113790000000002</v>
      </c>
      <c r="U1816">
        <v>0.2801208</v>
      </c>
      <c r="V1816">
        <v>3.262963E-2</v>
      </c>
      <c r="W1816">
        <v>0.19820769999999999</v>
      </c>
      <c r="X1816">
        <v>0.97961679999999995</v>
      </c>
      <c r="Y1816">
        <v>9.1448779999999993E-2</v>
      </c>
      <c r="Z1816">
        <v>1.7194069999999999E-2</v>
      </c>
      <c r="AA1816">
        <v>0.99566129999999997</v>
      </c>
      <c r="AB1816">
        <v>35</v>
      </c>
      <c r="AC1816">
        <v>-0.39900000000000002</v>
      </c>
      <c r="AD1816">
        <v>-0.2250528</v>
      </c>
      <c r="AE1816">
        <v>6.7499999999995397E-2</v>
      </c>
      <c r="AF1816">
        <v>5.4566063016279399E-2</v>
      </c>
      <c r="AG1816">
        <v>-0.2250528</v>
      </c>
      <c r="AH1816">
        <v>0.304220126886311</v>
      </c>
      <c r="AI1816">
        <v>126.06021763322001</v>
      </c>
      <c r="AJ1816">
        <v>79.8313405321191</v>
      </c>
      <c r="AK1816">
        <v>0.38232983616722899</v>
      </c>
      <c r="AL1816">
        <v>78.567830605786895</v>
      </c>
      <c r="AM1816">
        <v>88.092265105784506</v>
      </c>
      <c r="AN1816">
        <v>1.0000000299677301</v>
      </c>
    </row>
    <row r="1817" spans="1:40" x14ac:dyDescent="0.25">
      <c r="A1817" t="str">
        <f>"20190303162539057"</f>
        <v>20190303162539057</v>
      </c>
      <c r="B1817" t="str">
        <f>"1551601539044484"</f>
        <v>1551601539044484</v>
      </c>
      <c r="C1817" t="s">
        <v>40</v>
      </c>
      <c r="D1817">
        <v>5.0781790000000004</v>
      </c>
      <c r="E1817">
        <v>0.53209530000000005</v>
      </c>
      <c r="F1817" t="s">
        <v>42</v>
      </c>
      <c r="G1817">
        <v>-412.57780000000002</v>
      </c>
      <c r="H1817">
        <v>0.90234720000000002</v>
      </c>
      <c r="I1817">
        <v>284.37470000000002</v>
      </c>
      <c r="J1817">
        <v>-412.21469999999999</v>
      </c>
      <c r="K1817">
        <v>1.1214040000000001</v>
      </c>
      <c r="L1817">
        <v>284.3098</v>
      </c>
      <c r="M1817">
        <v>-0.99984240000000002</v>
      </c>
      <c r="N1817">
        <v>-1.458024E-2</v>
      </c>
      <c r="O1817">
        <v>-1.013326E-2</v>
      </c>
      <c r="P1817">
        <v>-0.98259459999999998</v>
      </c>
      <c r="Q1817">
        <v>0.18449309999999999</v>
      </c>
      <c r="R1817">
        <v>2.1684910000000002E-2</v>
      </c>
      <c r="S1817">
        <v>-3.2315670000000001</v>
      </c>
      <c r="T1817">
        <v>-0.98935989999999996</v>
      </c>
      <c r="U1817">
        <v>0.2756653</v>
      </c>
      <c r="V1817">
        <v>3.1537540000000003E-2</v>
      </c>
      <c r="W1817">
        <v>0.1988125</v>
      </c>
      <c r="X1817">
        <v>0.97953000000000001</v>
      </c>
      <c r="Y1817">
        <v>9.0353080000000002E-2</v>
      </c>
      <c r="Z1817">
        <v>1.7057320000000001E-2</v>
      </c>
      <c r="AA1817">
        <v>0.99576370000000003</v>
      </c>
      <c r="AB1817">
        <v>35</v>
      </c>
      <c r="AC1817">
        <v>-0.36310000000003101</v>
      </c>
      <c r="AD1817">
        <v>-0.2190568</v>
      </c>
      <c r="AE1817">
        <v>6.4900000000022801E-2</v>
      </c>
      <c r="AF1817">
        <v>5.0696037990899202E-2</v>
      </c>
      <c r="AG1817">
        <v>-0.2190568</v>
      </c>
      <c r="AH1817">
        <v>0.26792643471102801</v>
      </c>
      <c r="AI1817">
        <v>128.77651494926701</v>
      </c>
      <c r="AJ1817">
        <v>79.285379526474102</v>
      </c>
      <c r="AK1817">
        <v>0.34977213198191998</v>
      </c>
      <c r="AL1817">
        <v>78.532474418825998</v>
      </c>
      <c r="AM1817">
        <v>88.155907480346301</v>
      </c>
      <c r="AN1817">
        <v>1.00000002374275</v>
      </c>
    </row>
    <row r="1818" spans="1:40" x14ac:dyDescent="0.25">
      <c r="A1818" t="str">
        <f>"20190303162539080"</f>
        <v>20190303162539080</v>
      </c>
      <c r="B1818" t="str">
        <f>"1551601539074740"</f>
        <v>1551601539074740</v>
      </c>
      <c r="C1818" t="s">
        <v>40</v>
      </c>
      <c r="D1818">
        <v>4.9132860000000003</v>
      </c>
      <c r="E1818">
        <v>0.46507029999999999</v>
      </c>
      <c r="F1818" t="s">
        <v>42</v>
      </c>
      <c r="G1818">
        <v>-412.89609999999999</v>
      </c>
      <c r="H1818">
        <v>0.91324000000000005</v>
      </c>
      <c r="I1818">
        <v>284.36739999999998</v>
      </c>
      <c r="J1818">
        <v>-412.57130000000001</v>
      </c>
      <c r="K1818">
        <v>1.1214040000000001</v>
      </c>
      <c r="L1818">
        <v>284.30599999999998</v>
      </c>
      <c r="M1818">
        <v>-0.9998397</v>
      </c>
      <c r="N1818">
        <v>-1.45907E-2</v>
      </c>
      <c r="O1818">
        <v>-1.0379360000000001E-2</v>
      </c>
      <c r="P1818">
        <v>-0.98255210000000004</v>
      </c>
      <c r="Q1818">
        <v>0.18481500000000001</v>
      </c>
      <c r="R1818">
        <v>2.0854919999999999E-2</v>
      </c>
      <c r="S1818">
        <v>-3.232605</v>
      </c>
      <c r="T1818">
        <v>-0.98758550000000001</v>
      </c>
      <c r="U1818">
        <v>0.27108759999999998</v>
      </c>
      <c r="V1818">
        <v>3.0949170000000002E-2</v>
      </c>
      <c r="W1818">
        <v>0.19914380000000001</v>
      </c>
      <c r="X1818">
        <v>0.9794815</v>
      </c>
      <c r="Y1818">
        <v>8.9232590000000001E-2</v>
      </c>
      <c r="Z1818">
        <v>1.691954E-2</v>
      </c>
      <c r="AA1818">
        <v>0.99586710000000001</v>
      </c>
      <c r="AB1818">
        <v>35</v>
      </c>
      <c r="AC1818">
        <v>-0.32479999999998199</v>
      </c>
      <c r="AD1818">
        <v>-0.20816399999999999</v>
      </c>
      <c r="AE1818">
        <v>6.1399999999991899E-2</v>
      </c>
      <c r="AF1818">
        <v>4.6376357583194701E-2</v>
      </c>
      <c r="AG1818">
        <v>-0.20816399999999999</v>
      </c>
      <c r="AH1818">
        <v>0.23209932344867601</v>
      </c>
      <c r="AI1818">
        <v>131.331293477863</v>
      </c>
      <c r="AJ1818">
        <v>78.700394932461606</v>
      </c>
      <c r="AK1818">
        <v>0.31520328898033001</v>
      </c>
      <c r="AL1818">
        <v>78.513105397086804</v>
      </c>
      <c r="AM1818">
        <v>88.190198556564596</v>
      </c>
      <c r="AN1818">
        <v>1.00000005652218</v>
      </c>
    </row>
    <row r="1819" spans="1:40" x14ac:dyDescent="0.25">
      <c r="A1819" t="str">
        <f>"20190303162539102"</f>
        <v>20190303162539102</v>
      </c>
      <c r="B1819" t="str">
        <f>"1551601539094260"</f>
        <v>1551601539094260</v>
      </c>
      <c r="C1819" t="s">
        <v>40</v>
      </c>
      <c r="D1819">
        <v>4.9423870000000001</v>
      </c>
      <c r="E1819">
        <v>0.45346989999999998</v>
      </c>
      <c r="F1819" t="s">
        <v>51</v>
      </c>
      <c r="G1819">
        <v>-422.27100000000002</v>
      </c>
      <c r="H1819" s="1">
        <v>3.6560939999999999E-6</v>
      </c>
      <c r="I1819">
        <v>283.53730000000002</v>
      </c>
      <c r="J1819">
        <v>-412.9194</v>
      </c>
      <c r="K1819">
        <v>1.1214040000000001</v>
      </c>
      <c r="L1819">
        <v>284.3021</v>
      </c>
      <c r="M1819">
        <v>-0.99983699999999998</v>
      </c>
      <c r="N1819">
        <v>-1.4598959999999999E-2</v>
      </c>
      <c r="O1819">
        <v>-1.0616250000000001E-2</v>
      </c>
      <c r="P1819">
        <v>-0.98267640000000001</v>
      </c>
      <c r="Q1819">
        <v>0.1841952</v>
      </c>
      <c r="R1819">
        <v>2.0472290000000001E-2</v>
      </c>
      <c r="S1819">
        <v>-3.1265260000000001</v>
      </c>
      <c r="T1819">
        <v>-0.3614638</v>
      </c>
      <c r="U1819">
        <v>-0.2477722</v>
      </c>
      <c r="V1819">
        <v>3.080167E-2</v>
      </c>
      <c r="W1819">
        <v>0.19853390000000001</v>
      </c>
      <c r="X1819">
        <v>0.97960990000000003</v>
      </c>
      <c r="Y1819">
        <v>-6.7958470000000007E-2</v>
      </c>
      <c r="Z1819">
        <v>-3.341082E-3</v>
      </c>
      <c r="AA1819">
        <v>0.99768259999999998</v>
      </c>
      <c r="AB1819">
        <v>35</v>
      </c>
      <c r="AC1819">
        <v>-9.3515999999999604</v>
      </c>
      <c r="AD1819">
        <v>-1.1214003439059901</v>
      </c>
      <c r="AE1819">
        <v>-0.76479999999997905</v>
      </c>
      <c r="AF1819">
        <v>-0.65609561041022801</v>
      </c>
      <c r="AG1819">
        <v>-1.1214003439059901</v>
      </c>
      <c r="AH1819">
        <v>9.2273876578230194</v>
      </c>
      <c r="AI1819">
        <v>96.911870353326194</v>
      </c>
      <c r="AJ1819">
        <v>94.067061285331206</v>
      </c>
      <c r="AK1819">
        <v>9.31840561303577</v>
      </c>
      <c r="AL1819">
        <v>78.548761470398105</v>
      </c>
      <c r="AM1819">
        <v>88.199054086233403</v>
      </c>
      <c r="AN1819">
        <v>1.000000004251</v>
      </c>
    </row>
    <row r="1820" spans="1:40" x14ac:dyDescent="0.25">
      <c r="A1820" t="str">
        <f>"20190303162539123"</f>
        <v>20190303162539123</v>
      </c>
      <c r="B1820" t="str">
        <f>"1551601539114757"</f>
        <v>1551601539114757</v>
      </c>
      <c r="C1820" t="s">
        <v>40</v>
      </c>
      <c r="D1820">
        <v>5.0642449999999997</v>
      </c>
      <c r="E1820">
        <v>0.44970589999999999</v>
      </c>
      <c r="F1820" t="s">
        <v>51</v>
      </c>
      <c r="G1820">
        <v>-424.5204</v>
      </c>
      <c r="H1820" s="1">
        <v>3.3008350000000001E-6</v>
      </c>
      <c r="I1820">
        <v>283.03680000000003</v>
      </c>
      <c r="J1820">
        <v>-413.25959999999998</v>
      </c>
      <c r="K1820">
        <v>1.121402</v>
      </c>
      <c r="L1820">
        <v>284.29829999999998</v>
      </c>
      <c r="M1820">
        <v>-0.99983460000000002</v>
      </c>
      <c r="N1820">
        <v>-1.4605470000000001E-2</v>
      </c>
      <c r="O1820">
        <v>-1.0845E-2</v>
      </c>
      <c r="P1820">
        <v>-0.98283730000000002</v>
      </c>
      <c r="Q1820">
        <v>0.18330340000000001</v>
      </c>
      <c r="R1820">
        <v>2.0757500000000002E-2</v>
      </c>
      <c r="S1820">
        <v>-3.116425</v>
      </c>
      <c r="T1820">
        <v>-0.30124640000000003</v>
      </c>
      <c r="U1820">
        <v>-0.33990479999999901</v>
      </c>
      <c r="V1820">
        <v>3.131515E-2</v>
      </c>
      <c r="W1820">
        <v>0.19765060000000001</v>
      </c>
      <c r="X1820">
        <v>0.97977219999999998</v>
      </c>
      <c r="Y1820">
        <v>-9.7157209999999994E-2</v>
      </c>
      <c r="Z1820">
        <v>-4.499673E-3</v>
      </c>
      <c r="AA1820">
        <v>0.99525889999999995</v>
      </c>
      <c r="AB1820">
        <v>35</v>
      </c>
      <c r="AC1820">
        <v>-11.2608</v>
      </c>
      <c r="AD1820">
        <v>-1.121398699165</v>
      </c>
      <c r="AE1820">
        <v>-1.2614999999999501</v>
      </c>
      <c r="AF1820">
        <v>-1.1282392970135799</v>
      </c>
      <c r="AG1820">
        <v>-1.121398699165</v>
      </c>
      <c r="AH1820">
        <v>11.1644739037781</v>
      </c>
      <c r="AI1820">
        <v>95.706877439237104</v>
      </c>
      <c r="AJ1820">
        <v>95.770503432180803</v>
      </c>
      <c r="AK1820">
        <v>11.2772308880308</v>
      </c>
      <c r="AL1820">
        <v>78.600393749141702</v>
      </c>
      <c r="AM1820">
        <v>88.169354732252302</v>
      </c>
      <c r="AN1820">
        <v>0.99999998109636101</v>
      </c>
    </row>
    <row r="1821" spans="1:40" x14ac:dyDescent="0.25">
      <c r="A1821" t="str">
        <f>"20190303162539146"</f>
        <v>20190303162539146</v>
      </c>
      <c r="B1821" t="str">
        <f>"1551601539134275"</f>
        <v>1551601539134275</v>
      </c>
      <c r="C1821" t="s">
        <v>40</v>
      </c>
      <c r="D1821">
        <v>4.9722169999999997</v>
      </c>
      <c r="E1821">
        <v>0.44842300000000002</v>
      </c>
      <c r="F1821" t="s">
        <v>51</v>
      </c>
      <c r="G1821">
        <v>-425.29349999999999</v>
      </c>
      <c r="H1821" s="1">
        <v>3.1775489999999999E-6</v>
      </c>
      <c r="I1821">
        <v>282.87860000000001</v>
      </c>
      <c r="J1821">
        <v>-413.60919999999999</v>
      </c>
      <c r="K1821">
        <v>1.1213959999999901</v>
      </c>
      <c r="L1821">
        <v>284.29430000000002</v>
      </c>
      <c r="M1821">
        <v>-0.9998321</v>
      </c>
      <c r="N1821">
        <v>-1.4610740000000001E-2</v>
      </c>
      <c r="O1821">
        <v>-1.1074189999999999E-2</v>
      </c>
      <c r="P1821">
        <v>-0.98294680000000001</v>
      </c>
      <c r="Q1821">
        <v>0.18276390000000001</v>
      </c>
      <c r="R1821">
        <v>2.0330669999999999E-2</v>
      </c>
      <c r="S1821">
        <v>-3.114258</v>
      </c>
      <c r="T1821">
        <v>-0.2902073</v>
      </c>
      <c r="U1821">
        <v>-0.36740109999999998</v>
      </c>
      <c r="V1821">
        <v>3.1117059999999998E-2</v>
      </c>
      <c r="W1821">
        <v>0.19711719999999999</v>
      </c>
      <c r="X1821">
        <v>0.97988600000000003</v>
      </c>
      <c r="Y1821">
        <v>-0.1056655</v>
      </c>
      <c r="Z1821">
        <v>-4.8073129999999997E-3</v>
      </c>
      <c r="AA1821">
        <v>0.99439010000000005</v>
      </c>
      <c r="AB1821">
        <v>35</v>
      </c>
      <c r="AC1821">
        <v>-11.6843</v>
      </c>
      <c r="AD1821">
        <v>-1.1213928224509999</v>
      </c>
      <c r="AE1821">
        <v>-1.41570000000001</v>
      </c>
      <c r="AF1821">
        <v>-1.2746343372298501</v>
      </c>
      <c r="AG1821">
        <v>-1.1213928224509999</v>
      </c>
      <c r="AH1821">
        <v>11.594014547178899</v>
      </c>
      <c r="AI1821">
        <v>95.491676483109003</v>
      </c>
      <c r="AJ1821">
        <v>96.273845071507395</v>
      </c>
      <c r="AK1821">
        <v>11.717652831351799</v>
      </c>
      <c r="AL1821">
        <v>78.631569064555094</v>
      </c>
      <c r="AM1821">
        <v>88.181138143714705</v>
      </c>
      <c r="AN1821">
        <v>1.0000000174774399</v>
      </c>
    </row>
    <row r="1822" spans="1:40" x14ac:dyDescent="0.25">
      <c r="A1822" t="str">
        <f>"20190303162539169"</f>
        <v>20190303162539169</v>
      </c>
      <c r="B1822" t="str">
        <f>"1551601539154772"</f>
        <v>1551601539154772</v>
      </c>
      <c r="C1822" t="s">
        <v>40</v>
      </c>
      <c r="D1822">
        <v>4.9892880000000002</v>
      </c>
      <c r="E1822">
        <v>0.44777400000000001</v>
      </c>
      <c r="F1822" t="s">
        <v>51</v>
      </c>
      <c r="G1822">
        <v>-426.12079999999997</v>
      </c>
      <c r="H1822" s="1">
        <v>3.0397700000000001E-6</v>
      </c>
      <c r="I1822">
        <v>282.77589999999998</v>
      </c>
      <c r="J1822">
        <v>-413.96980000000002</v>
      </c>
      <c r="K1822">
        <v>1.121391</v>
      </c>
      <c r="L1822">
        <v>284.29000000000002</v>
      </c>
      <c r="M1822">
        <v>-0.99982939999999998</v>
      </c>
      <c r="N1822">
        <v>-1.461486E-2</v>
      </c>
      <c r="O1822">
        <v>-1.1301159999999999E-2</v>
      </c>
      <c r="P1822">
        <v>-0.98302270000000003</v>
      </c>
      <c r="Q1822">
        <v>0.18236269999999999</v>
      </c>
      <c r="R1822">
        <v>2.0261319999999999E-2</v>
      </c>
      <c r="S1822">
        <v>-3.1117249999999999</v>
      </c>
      <c r="T1822">
        <v>-0.27889849999999999</v>
      </c>
      <c r="U1822">
        <v>-0.37762449999999997</v>
      </c>
      <c r="V1822">
        <v>3.1275400000000002E-2</v>
      </c>
      <c r="W1822">
        <v>0.19672120000000001</v>
      </c>
      <c r="X1822">
        <v>0.97996050000000001</v>
      </c>
      <c r="Y1822">
        <v>-0.1087743</v>
      </c>
      <c r="Z1822">
        <v>-4.8041450000000001E-3</v>
      </c>
      <c r="AA1822">
        <v>0.99405489999999996</v>
      </c>
      <c r="AB1822">
        <v>35</v>
      </c>
      <c r="AC1822">
        <v>-12.1509999999999</v>
      </c>
      <c r="AD1822">
        <v>-1.1213879602299901</v>
      </c>
      <c r="AE1822">
        <v>-1.51410000000004</v>
      </c>
      <c r="AF1822">
        <v>-1.3652184211612699</v>
      </c>
      <c r="AG1822">
        <v>-1.1213879602299901</v>
      </c>
      <c r="AH1822">
        <v>12.0661404725904</v>
      </c>
      <c r="AI1822">
        <v>95.276159413277796</v>
      </c>
      <c r="AJ1822">
        <v>96.455254370286696</v>
      </c>
      <c r="AK1822">
        <v>12.1947971774488</v>
      </c>
      <c r="AL1822">
        <v>78.654710909806795</v>
      </c>
      <c r="AM1822">
        <v>88.172027965392104</v>
      </c>
      <c r="AN1822">
        <v>0.99999998136742396</v>
      </c>
    </row>
    <row r="1823" spans="1:40" x14ac:dyDescent="0.25">
      <c r="A1823" t="str">
        <f>"20190303162539192"</f>
        <v>20190303162539192</v>
      </c>
      <c r="B1823" t="str">
        <f>"1551601539185028"</f>
        <v>1551601539185028</v>
      </c>
      <c r="C1823" t="s">
        <v>40</v>
      </c>
      <c r="D1823">
        <v>4.9959189999999998</v>
      </c>
      <c r="E1823">
        <v>0.44803680000000001</v>
      </c>
      <c r="F1823" t="s">
        <v>51</v>
      </c>
      <c r="G1823">
        <v>-426.37790000000001</v>
      </c>
      <c r="H1823" s="1">
        <v>2.9951649999999998E-6</v>
      </c>
      <c r="I1823">
        <v>282.7645</v>
      </c>
      <c r="J1823">
        <v>-414.32499999999999</v>
      </c>
      <c r="K1823">
        <v>1.1213770000000001</v>
      </c>
      <c r="L1823">
        <v>284.28579999999999</v>
      </c>
      <c r="M1823">
        <v>-0.99982700000000002</v>
      </c>
      <c r="N1823">
        <v>-1.461782E-2</v>
      </c>
      <c r="O1823">
        <v>-1.151139E-2</v>
      </c>
      <c r="P1823">
        <v>-0.98310889999999995</v>
      </c>
      <c r="Q1823">
        <v>0.1820032</v>
      </c>
      <c r="R1823">
        <v>1.928065E-2</v>
      </c>
      <c r="S1823">
        <v>-3.1118769999999998</v>
      </c>
      <c r="T1823">
        <v>-0.28123680000000001</v>
      </c>
      <c r="U1823">
        <v>-0.38259890000000002</v>
      </c>
      <c r="V1823">
        <v>3.0507429999999999E-2</v>
      </c>
      <c r="W1823">
        <v>0.1963645</v>
      </c>
      <c r="X1823">
        <v>0.98005629999999999</v>
      </c>
      <c r="Y1823">
        <v>-0.11011219999999999</v>
      </c>
      <c r="Z1823">
        <v>-4.8900609999999898E-3</v>
      </c>
      <c r="AA1823">
        <v>0.99390719999999999</v>
      </c>
      <c r="AB1823">
        <v>35</v>
      </c>
      <c r="AC1823">
        <v>-12.052899999999999</v>
      </c>
      <c r="AD1823">
        <v>-1.121374004835</v>
      </c>
      <c r="AE1823">
        <v>-1.5212999999999901</v>
      </c>
      <c r="AF1823">
        <v>-1.3707594894345401</v>
      </c>
      <c r="AG1823">
        <v>-1.121374004835</v>
      </c>
      <c r="AH1823">
        <v>11.9676477272267</v>
      </c>
      <c r="AI1823">
        <v>95.318439271499798</v>
      </c>
      <c r="AJ1823">
        <v>96.534112672787501</v>
      </c>
      <c r="AK1823">
        <v>12.097977242481001</v>
      </c>
      <c r="AL1823">
        <v>78.675555494369306</v>
      </c>
      <c r="AM1823">
        <v>88.217058812977896</v>
      </c>
      <c r="AN1823">
        <v>1.00000003565757</v>
      </c>
    </row>
    <row r="1824" spans="1:40" x14ac:dyDescent="0.25">
      <c r="A1824" t="str">
        <f>"20190303162539236"</f>
        <v>20190303162539236</v>
      </c>
      <c r="B1824" t="str">
        <f>"1551601539225044"</f>
        <v>1551601539225044</v>
      </c>
      <c r="C1824" t="s">
        <v>40</v>
      </c>
      <c r="D1824">
        <v>5.0475709999999996</v>
      </c>
      <c r="E1824">
        <v>0.4485943</v>
      </c>
      <c r="F1824" t="s">
        <v>51</v>
      </c>
      <c r="G1824">
        <v>-426.65460000000002</v>
      </c>
      <c r="H1824" s="1">
        <v>2.9461629999999999E-6</v>
      </c>
      <c r="I1824">
        <v>282.76350000000002</v>
      </c>
      <c r="J1824">
        <v>-415.00869999999998</v>
      </c>
      <c r="K1824">
        <v>1.121354</v>
      </c>
      <c r="L1824">
        <v>284.27749999999997</v>
      </c>
      <c r="M1824">
        <v>-0.99982269999999895</v>
      </c>
      <c r="N1824">
        <v>-1.4620960000000001E-2</v>
      </c>
      <c r="O1824">
        <v>-1.185917E-2</v>
      </c>
      <c r="P1824">
        <v>-0.98314630000000003</v>
      </c>
      <c r="Q1824">
        <v>0.18199299999999999</v>
      </c>
      <c r="R1824">
        <v>1.7371049999999999E-2</v>
      </c>
      <c r="S1824">
        <v>-3.1114199999999999</v>
      </c>
      <c r="T1824">
        <v>-0.28298329999999999</v>
      </c>
      <c r="U1824">
        <v>-0.38415529999999998</v>
      </c>
      <c r="V1824">
        <v>2.8954899999999999E-2</v>
      </c>
      <c r="W1824">
        <v>0.19635559999999999</v>
      </c>
      <c r="X1824">
        <v>0.98010520000000001</v>
      </c>
      <c r="Y1824">
        <v>-0.110268699999999</v>
      </c>
      <c r="Z1824">
        <v>-4.8968140000000002E-3</v>
      </c>
      <c r="AA1824">
        <v>0.99388969999999999</v>
      </c>
      <c r="AB1824">
        <v>35</v>
      </c>
      <c r="AC1824">
        <v>-11.645899999999999</v>
      </c>
      <c r="AD1824">
        <v>-1.121351053837</v>
      </c>
      <c r="AE1824">
        <v>-1.5139999999999501</v>
      </c>
      <c r="AF1824">
        <v>-1.3633382829626699</v>
      </c>
      <c r="AG1824">
        <v>-1.121351053837</v>
      </c>
      <c r="AH1824">
        <v>11.557664739663799</v>
      </c>
      <c r="AI1824">
        <v>95.5037009985829</v>
      </c>
      <c r="AJ1824">
        <v>96.727502769961305</v>
      </c>
      <c r="AK1824">
        <v>11.6916950736068</v>
      </c>
      <c r="AL1824">
        <v>78.676075778722407</v>
      </c>
      <c r="AM1824">
        <v>88.3078233030066</v>
      </c>
      <c r="AN1824">
        <v>1.0000000554762001</v>
      </c>
    </row>
    <row r="1825" spans="1:40" x14ac:dyDescent="0.25">
      <c r="A1825" t="str">
        <f>"20190303162539259"</f>
        <v>20190303162539259</v>
      </c>
      <c r="B1825" t="str">
        <f>"1551601539244564"</f>
        <v>1551601539244564</v>
      </c>
      <c r="C1825" t="s">
        <v>40</v>
      </c>
      <c r="D1825">
        <v>5.011463</v>
      </c>
      <c r="E1825">
        <v>0.44873839999999998</v>
      </c>
      <c r="F1825" t="s">
        <v>51</v>
      </c>
      <c r="G1825">
        <v>-426.99329999999998</v>
      </c>
      <c r="H1825" s="1">
        <v>2.8834100000000001E-6</v>
      </c>
      <c r="I1825">
        <v>282.79399999999998</v>
      </c>
      <c r="J1825">
        <v>-415.35899999999998</v>
      </c>
      <c r="K1825">
        <v>1.12134</v>
      </c>
      <c r="L1825">
        <v>284.2731</v>
      </c>
      <c r="M1825">
        <v>-0.99982110000000002</v>
      </c>
      <c r="N1825">
        <v>-1.4621459999999999E-2</v>
      </c>
      <c r="O1825">
        <v>-1.2004010000000001E-2</v>
      </c>
      <c r="P1825">
        <v>-0.98311329999999997</v>
      </c>
      <c r="Q1825">
        <v>0.18221789999999999</v>
      </c>
      <c r="R1825">
        <v>1.688487E-2</v>
      </c>
      <c r="S1825">
        <v>-3.1121829999999999</v>
      </c>
      <c r="T1825">
        <v>-0.29119420000000001</v>
      </c>
      <c r="U1825">
        <v>-0.38522339999999999</v>
      </c>
      <c r="V1825">
        <v>2.8619760000000001E-2</v>
      </c>
      <c r="W1825">
        <v>0.19657859999999999</v>
      </c>
      <c r="X1825">
        <v>0.98007029999999995</v>
      </c>
      <c r="Y1825">
        <v>-0.110405</v>
      </c>
      <c r="Z1825">
        <v>-5.0049279999999996E-3</v>
      </c>
      <c r="AA1825">
        <v>0.99387409999999998</v>
      </c>
      <c r="AB1825">
        <v>35</v>
      </c>
      <c r="AC1825">
        <v>-11.6342999999999</v>
      </c>
      <c r="AD1825">
        <v>-1.1213371165899999</v>
      </c>
      <c r="AE1825">
        <v>-1.4790999999999599</v>
      </c>
      <c r="AF1825">
        <v>-1.32718743496712</v>
      </c>
      <c r="AG1825">
        <v>-1.1213371165899999</v>
      </c>
      <c r="AH1825">
        <v>11.545671125751699</v>
      </c>
      <c r="AI1825">
        <v>95.511208061591205</v>
      </c>
      <c r="AJ1825">
        <v>96.557430401886194</v>
      </c>
      <c r="AK1825">
        <v>11.6756732208722</v>
      </c>
      <c r="AL1825">
        <v>78.663044385941305</v>
      </c>
      <c r="AM1825">
        <v>88.327338772729306</v>
      </c>
      <c r="AN1825">
        <v>1.00000001479125</v>
      </c>
    </row>
    <row r="1826" spans="1:40" x14ac:dyDescent="0.25">
      <c r="A1826" t="str">
        <f>"20190303162539281"</f>
        <v>20190303162539281</v>
      </c>
      <c r="B1826" t="str">
        <f>"1551601539274820"</f>
        <v>1551601539274820</v>
      </c>
      <c r="C1826" t="s">
        <v>40</v>
      </c>
      <c r="D1826">
        <v>5.0643039999999999</v>
      </c>
      <c r="E1826">
        <v>0.44841360000000002</v>
      </c>
      <c r="F1826" t="s">
        <v>51</v>
      </c>
      <c r="G1826">
        <v>-427.43630000000002</v>
      </c>
      <c r="H1826" s="1">
        <v>2.8063210000000001E-6</v>
      </c>
      <c r="I1826">
        <v>282.77699999999999</v>
      </c>
      <c r="J1826">
        <v>-415.70949999999999</v>
      </c>
      <c r="K1826">
        <v>1.1213280000000001</v>
      </c>
      <c r="L1826">
        <v>284.2688</v>
      </c>
      <c r="M1826">
        <v>-0.99981960000000003</v>
      </c>
      <c r="N1826">
        <v>-1.462133E-2</v>
      </c>
      <c r="O1826">
        <v>-1.211923E-2</v>
      </c>
      <c r="P1826">
        <v>-0.98295350000000004</v>
      </c>
      <c r="Q1826">
        <v>0.1830917</v>
      </c>
      <c r="R1826">
        <v>1.672417E-2</v>
      </c>
      <c r="S1826">
        <v>-3.111694</v>
      </c>
      <c r="T1826">
        <v>-0.28891070000000002</v>
      </c>
      <c r="U1826">
        <v>-0.38546750000000002</v>
      </c>
      <c r="V1826">
        <v>2.8580850000000001E-2</v>
      </c>
      <c r="W1826">
        <v>0.1974486</v>
      </c>
      <c r="X1826">
        <v>0.97989649999999995</v>
      </c>
      <c r="Y1826">
        <v>-0.1103938</v>
      </c>
      <c r="Z1826">
        <v>-4.9645749999999997E-3</v>
      </c>
      <c r="AA1826">
        <v>0.99387550000000002</v>
      </c>
      <c r="AB1826">
        <v>35</v>
      </c>
      <c r="AC1826">
        <v>-11.726800000000001</v>
      </c>
      <c r="AD1826">
        <v>-1.1213251936790001</v>
      </c>
      <c r="AE1826">
        <v>-1.49180000000001</v>
      </c>
      <c r="AF1826">
        <v>-1.3375208013767601</v>
      </c>
      <c r="AG1826">
        <v>-1.1213251936790001</v>
      </c>
      <c r="AH1826">
        <v>11.639292973582499</v>
      </c>
      <c r="AI1826">
        <v>95.467112680836294</v>
      </c>
      <c r="AJ1826">
        <v>96.555348236756899</v>
      </c>
      <c r="AK1826">
        <v>11.769429595735801</v>
      </c>
      <c r="AL1826">
        <v>78.612200185366603</v>
      </c>
      <c r="AM1826">
        <v>88.329315448724898</v>
      </c>
      <c r="AN1826">
        <v>0.99999998267046597</v>
      </c>
    </row>
    <row r="1827" spans="1:40" x14ac:dyDescent="0.25">
      <c r="A1827" t="str">
        <f>"20190303162539303"</f>
        <v>20190303162539303</v>
      </c>
      <c r="B1827" t="str">
        <f>"1551601539294340"</f>
        <v>1551601539294340</v>
      </c>
      <c r="C1827" t="s">
        <v>40</v>
      </c>
      <c r="D1827">
        <v>4.955978</v>
      </c>
      <c r="E1827">
        <v>0.44740190000000002</v>
      </c>
      <c r="F1827" t="s">
        <v>51</v>
      </c>
      <c r="G1827">
        <v>-428.41890000000001</v>
      </c>
      <c r="H1827" s="1">
        <v>2.6403049999999999E-6</v>
      </c>
      <c r="I1827">
        <v>282.6823</v>
      </c>
      <c r="J1827">
        <v>-416.03480000000002</v>
      </c>
      <c r="K1827">
        <v>1.1213120000000001</v>
      </c>
      <c r="L1827">
        <v>284.26479999999998</v>
      </c>
      <c r="M1827">
        <v>-0.99981869999999995</v>
      </c>
      <c r="N1827">
        <v>-1.462076E-2</v>
      </c>
      <c r="O1827">
        <v>-1.2204319999999999E-2</v>
      </c>
      <c r="P1827">
        <v>-0.98283679999999995</v>
      </c>
      <c r="Q1827">
        <v>0.18370349999999999</v>
      </c>
      <c r="R1827">
        <v>1.6884900000000001E-2</v>
      </c>
      <c r="S1827">
        <v>-3.1097410000000001</v>
      </c>
      <c r="T1827">
        <v>-0.2743659</v>
      </c>
      <c r="U1827">
        <v>-0.38818360000000002</v>
      </c>
      <c r="V1827">
        <v>2.883353E-2</v>
      </c>
      <c r="W1827">
        <v>0.19805629999999999</v>
      </c>
      <c r="X1827">
        <v>0.97976649999999998</v>
      </c>
      <c r="Y1827">
        <v>-0.1112814</v>
      </c>
      <c r="Z1827">
        <v>-4.8064140000000002E-3</v>
      </c>
      <c r="AA1827">
        <v>0.99377729999999997</v>
      </c>
      <c r="AB1827">
        <v>35</v>
      </c>
      <c r="AC1827">
        <v>-12.384099999999901</v>
      </c>
      <c r="AD1827">
        <v>-1.1213093596949999</v>
      </c>
      <c r="AE1827">
        <v>-1.58249999999998</v>
      </c>
      <c r="AF1827">
        <v>-1.4197737795519001</v>
      </c>
      <c r="AG1827">
        <v>-1.1213093596949999</v>
      </c>
      <c r="AH1827">
        <v>12.3032481555624</v>
      </c>
      <c r="AI1827">
        <v>95.173366044580703</v>
      </c>
      <c r="AJ1827">
        <v>96.582717770061606</v>
      </c>
      <c r="AK1827">
        <v>12.435554167088499</v>
      </c>
      <c r="AL1827">
        <v>78.576680664303296</v>
      </c>
      <c r="AM1827">
        <v>88.314330097405801</v>
      </c>
      <c r="AN1827">
        <v>1.0000000324720999</v>
      </c>
    </row>
    <row r="1828" spans="1:40" x14ac:dyDescent="0.25">
      <c r="A1828" t="str">
        <f>"20190303162539325"</f>
        <v>20190303162539325</v>
      </c>
      <c r="B1828" t="str">
        <f>"1551601539314836"</f>
        <v>1551601539314836</v>
      </c>
      <c r="C1828" t="s">
        <v>40</v>
      </c>
      <c r="D1828">
        <v>4.9368550000000004</v>
      </c>
      <c r="E1828">
        <v>0.4477371</v>
      </c>
      <c r="F1828" t="s">
        <v>46</v>
      </c>
      <c r="G1828">
        <v>-488.25790000000001</v>
      </c>
      <c r="H1828" s="1">
        <v>1.7070699999999999E-6</v>
      </c>
      <c r="I1828">
        <v>275.1293</v>
      </c>
      <c r="J1828">
        <v>-416.38319999999999</v>
      </c>
      <c r="K1828">
        <v>1.121302</v>
      </c>
      <c r="L1828">
        <v>284.2604</v>
      </c>
      <c r="M1828">
        <v>-0.99981779999999998</v>
      </c>
      <c r="N1828">
        <v>-1.4619719999999999E-2</v>
      </c>
      <c r="O1828">
        <v>-1.227367E-2</v>
      </c>
      <c r="P1828">
        <v>-0.98282749999999997</v>
      </c>
      <c r="Q1828">
        <v>0.1837714</v>
      </c>
      <c r="R1828">
        <v>1.6686139999999999E-2</v>
      </c>
      <c r="S1828">
        <v>-3.0679319999999999</v>
      </c>
      <c r="T1828">
        <v>-4.763162E-2</v>
      </c>
      <c r="U1828">
        <v>-0.3880615</v>
      </c>
      <c r="V1828">
        <v>2.8713010000000001E-2</v>
      </c>
      <c r="W1828">
        <v>0.1981212</v>
      </c>
      <c r="X1828">
        <v>0.97975690000000004</v>
      </c>
      <c r="Y1828">
        <v>-0.113276</v>
      </c>
      <c r="Z1828">
        <v>-1.6962819999999999E-3</v>
      </c>
      <c r="AA1828">
        <v>0.9935621</v>
      </c>
      <c r="AB1828">
        <v>35</v>
      </c>
      <c r="AC1828">
        <v>-71.874700000000004</v>
      </c>
      <c r="AD1828">
        <v>-1.12130029293</v>
      </c>
      <c r="AE1828">
        <v>-9.1311</v>
      </c>
      <c r="AF1828">
        <v>-8.2461763160884995</v>
      </c>
      <c r="AG1828">
        <v>-1.12130029293</v>
      </c>
      <c r="AH1828">
        <v>71.964132301657202</v>
      </c>
      <c r="AI1828">
        <v>90.886872413507206</v>
      </c>
      <c r="AJ1828">
        <v>96.5368585258298</v>
      </c>
      <c r="AK1828">
        <v>72.443723510828505</v>
      </c>
      <c r="AL1828">
        <v>78.572886790539101</v>
      </c>
      <c r="AM1828">
        <v>88.321355476663598</v>
      </c>
      <c r="AN1828">
        <v>1.00000001496515</v>
      </c>
    </row>
    <row r="1829" spans="1:40" x14ac:dyDescent="0.25">
      <c r="A1829" t="str">
        <f>"20190303162539348"</f>
        <v>20190303162539348</v>
      </c>
      <c r="B1829" t="str">
        <f>"1551601539334356"</f>
        <v>1551601539334356</v>
      </c>
      <c r="C1829" t="s">
        <v>40</v>
      </c>
      <c r="D1829">
        <v>4.8548669999999996</v>
      </c>
      <c r="E1829">
        <v>0.44791809999999999</v>
      </c>
      <c r="F1829" t="s">
        <v>46</v>
      </c>
      <c r="G1829">
        <v>-478.60309999999998</v>
      </c>
      <c r="H1829">
        <v>8.0000080000000001E-2</v>
      </c>
      <c r="I1829">
        <v>276.43639999999999</v>
      </c>
      <c r="J1829">
        <v>-416.73</v>
      </c>
      <c r="K1829">
        <v>1.121292</v>
      </c>
      <c r="L1829">
        <v>284.25599999999997</v>
      </c>
      <c r="M1829">
        <v>-0.99981719999999996</v>
      </c>
      <c r="N1829">
        <v>-1.4618340000000001E-2</v>
      </c>
      <c r="O1829">
        <v>-1.2323519999999999E-2</v>
      </c>
      <c r="P1829">
        <v>-0.98266609999999999</v>
      </c>
      <c r="Q1829">
        <v>0.18466160000000001</v>
      </c>
      <c r="R1829">
        <v>1.635644E-2</v>
      </c>
      <c r="S1829">
        <v>-3.0685730000000002</v>
      </c>
      <c r="T1829">
        <v>-5.1355119999999997E-2</v>
      </c>
      <c r="U1829">
        <v>-0.38586429999999999</v>
      </c>
      <c r="V1829">
        <v>2.843878E-2</v>
      </c>
      <c r="W1829">
        <v>0.19900689999999999</v>
      </c>
      <c r="X1829">
        <v>0.97958529999999999</v>
      </c>
      <c r="Y1829">
        <v>-0.11249729999999999</v>
      </c>
      <c r="Z1829">
        <v>-1.737361E-3</v>
      </c>
      <c r="AA1829">
        <v>0.99365049999999999</v>
      </c>
      <c r="AB1829">
        <v>35</v>
      </c>
      <c r="AC1829">
        <v>-61.873099999999901</v>
      </c>
      <c r="AD1829">
        <v>-1.0412919199999999</v>
      </c>
      <c r="AE1829">
        <v>-7.8195999999999799</v>
      </c>
      <c r="AF1829">
        <v>-7.0544635692425199</v>
      </c>
      <c r="AG1829">
        <v>-1.0412919199999999</v>
      </c>
      <c r="AH1829">
        <v>61.9475061668143</v>
      </c>
      <c r="AI1829">
        <v>90.9568261110077</v>
      </c>
      <c r="AJ1829">
        <v>96.496746552021406</v>
      </c>
      <c r="AK1829">
        <v>62.356581572436497</v>
      </c>
      <c r="AL1829">
        <v>78.521107983990902</v>
      </c>
      <c r="AM1829">
        <v>88.337087615230203</v>
      </c>
      <c r="AN1829">
        <v>0.999999935215792</v>
      </c>
    </row>
    <row r="1830" spans="1:40" x14ac:dyDescent="0.25">
      <c r="A1830" t="str">
        <f>"20190303162539370"</f>
        <v>20190303162539370</v>
      </c>
      <c r="B1830" t="str">
        <f>"1551601539364612"</f>
        <v>1551601539364612</v>
      </c>
      <c r="C1830" t="s">
        <v>40</v>
      </c>
      <c r="D1830">
        <v>4.858447</v>
      </c>
      <c r="E1830">
        <v>0.44808530000000002</v>
      </c>
      <c r="F1830" t="s">
        <v>46</v>
      </c>
      <c r="G1830">
        <v>-479.50760000000002</v>
      </c>
      <c r="H1830">
        <v>7.9999879999999995E-2</v>
      </c>
      <c r="I1830">
        <v>276.34100000000001</v>
      </c>
      <c r="J1830">
        <v>-417.08</v>
      </c>
      <c r="K1830">
        <v>1.1212850000000001</v>
      </c>
      <c r="L1830">
        <v>284.25170000000003</v>
      </c>
      <c r="M1830">
        <v>-0.99981690000000001</v>
      </c>
      <c r="N1830">
        <v>-1.461664E-2</v>
      </c>
      <c r="O1830">
        <v>-1.235985E-2</v>
      </c>
      <c r="P1830">
        <v>-0.98258080000000003</v>
      </c>
      <c r="Q1830">
        <v>0.18513260000000001</v>
      </c>
      <c r="R1830">
        <v>1.616453E-2</v>
      </c>
      <c r="S1830">
        <v>-3.0689090000000001</v>
      </c>
      <c r="T1830">
        <v>-5.0904039999999998E-2</v>
      </c>
      <c r="U1830">
        <v>-0.38693240000000001</v>
      </c>
      <c r="V1830">
        <v>2.8288600000000001E-2</v>
      </c>
      <c r="W1830">
        <v>0.19947409999999999</v>
      </c>
      <c r="X1830">
        <v>0.97949470000000005</v>
      </c>
      <c r="Y1830">
        <v>-0.1127885</v>
      </c>
      <c r="Z1830">
        <v>-1.7352029999999901E-3</v>
      </c>
      <c r="AA1830">
        <v>0.99361750000000004</v>
      </c>
      <c r="AB1830">
        <v>35</v>
      </c>
      <c r="AC1830">
        <v>-62.427599999999998</v>
      </c>
      <c r="AD1830">
        <v>-1.04128512</v>
      </c>
      <c r="AE1830">
        <v>-7.9107000000000101</v>
      </c>
      <c r="AF1830">
        <v>-7.1364633726610798</v>
      </c>
      <c r="AG1830">
        <v>-1.04128512</v>
      </c>
      <c r="AH1830">
        <v>62.503501083915197</v>
      </c>
      <c r="AI1830">
        <v>90.948278207059005</v>
      </c>
      <c r="AJ1830">
        <v>96.513654136255496</v>
      </c>
      <c r="AK1830">
        <v>62.918209064764802</v>
      </c>
      <c r="AL1830">
        <v>78.493792643117999</v>
      </c>
      <c r="AM1830">
        <v>88.345711342964506</v>
      </c>
      <c r="AN1830">
        <v>1.0000000143944301</v>
      </c>
    </row>
    <row r="1831" spans="1:40" x14ac:dyDescent="0.25">
      <c r="A1831" t="str">
        <f>"20190303162539393"</f>
        <v>20190303162539393</v>
      </c>
      <c r="B1831" t="str">
        <f>"1551601539385108"</f>
        <v>1551601539385108</v>
      </c>
      <c r="C1831" t="s">
        <v>40</v>
      </c>
      <c r="D1831">
        <v>4.7481210000000003</v>
      </c>
      <c r="E1831">
        <v>0.445519</v>
      </c>
      <c r="F1831" t="s">
        <v>46</v>
      </c>
      <c r="G1831">
        <v>-477.90539999999999</v>
      </c>
      <c r="H1831">
        <v>8.0000089999999996E-2</v>
      </c>
      <c r="I1831">
        <v>276.5872</v>
      </c>
      <c r="J1831">
        <v>-417.42910000000001</v>
      </c>
      <c r="K1831">
        <v>1.1212679999999999</v>
      </c>
      <c r="L1831">
        <v>284.2473</v>
      </c>
      <c r="M1831">
        <v>-0.9998165</v>
      </c>
      <c r="N1831">
        <v>-1.461463E-2</v>
      </c>
      <c r="O1831">
        <v>-1.238729E-2</v>
      </c>
      <c r="P1831">
        <v>-0.98263060000000002</v>
      </c>
      <c r="Q1831">
        <v>0.1849063</v>
      </c>
      <c r="R1831">
        <v>1.5710729999999999E-2</v>
      </c>
      <c r="S1831">
        <v>-3.0694889999999999</v>
      </c>
      <c r="T1831">
        <v>-5.2547339999999998E-2</v>
      </c>
      <c r="U1831">
        <v>-0.38677980000000001</v>
      </c>
      <c r="V1831">
        <v>2.7867619999999999E-2</v>
      </c>
      <c r="W1831">
        <v>0.19924559999999999</v>
      </c>
      <c r="X1831">
        <v>0.97955320000000001</v>
      </c>
      <c r="Y1831">
        <v>-0.112688</v>
      </c>
      <c r="Z1831">
        <v>-1.756746E-3</v>
      </c>
      <c r="AA1831">
        <v>0.99362890000000004</v>
      </c>
      <c r="AB1831">
        <v>34</v>
      </c>
      <c r="AC1831">
        <v>-60.476299999999902</v>
      </c>
      <c r="AD1831">
        <v>-1.04126791</v>
      </c>
      <c r="AE1831">
        <v>-7.6600999999999999</v>
      </c>
      <c r="AF1831">
        <v>-6.9082790565344601</v>
      </c>
      <c r="AG1831">
        <v>-1.04126791</v>
      </c>
      <c r="AH1831">
        <v>60.548890535961299</v>
      </c>
      <c r="AI1831">
        <v>90.978877163883297</v>
      </c>
      <c r="AJ1831">
        <v>96.5089717393477</v>
      </c>
      <c r="AK1831">
        <v>60.9506087214818</v>
      </c>
      <c r="AL1831">
        <v>78.507152080495899</v>
      </c>
      <c r="AM1831">
        <v>88.370413724719299</v>
      </c>
      <c r="AN1831">
        <v>0.99999994249702995</v>
      </c>
    </row>
    <row r="1832" spans="1:40" x14ac:dyDescent="0.25">
      <c r="A1832" t="str">
        <f>"20190303162539415"</f>
        <v>20190303162539415</v>
      </c>
      <c r="B1832" t="str">
        <f>"1551601539404627"</f>
        <v>1551601539404627</v>
      </c>
      <c r="C1832" t="s">
        <v>40</v>
      </c>
      <c r="D1832">
        <v>4.6985900000000003</v>
      </c>
      <c r="E1832">
        <v>0.44608769999999998</v>
      </c>
      <c r="F1832" t="s">
        <v>48</v>
      </c>
      <c r="G1832">
        <v>-444.50580000000002</v>
      </c>
      <c r="H1832" s="1">
        <v>1.0349790000000001E-6</v>
      </c>
      <c r="I1832">
        <v>280.6354</v>
      </c>
      <c r="J1832">
        <v>-417.76310000000001</v>
      </c>
      <c r="K1832">
        <v>1.121264</v>
      </c>
      <c r="L1832">
        <v>284.24310000000003</v>
      </c>
      <c r="M1832">
        <v>-0.99981620000000004</v>
      </c>
      <c r="N1832">
        <v>-1.4612470000000001E-2</v>
      </c>
      <c r="O1832">
        <v>-1.2408600000000001E-2</v>
      </c>
      <c r="P1832">
        <v>-0.98290659999999996</v>
      </c>
      <c r="Q1832">
        <v>0.18349499999999999</v>
      </c>
      <c r="R1832">
        <v>1.4970870000000001E-2</v>
      </c>
      <c r="S1832">
        <v>-3.0836790000000001</v>
      </c>
      <c r="T1832">
        <v>-0.12769749999999999</v>
      </c>
      <c r="U1832">
        <v>-0.4113464</v>
      </c>
      <c r="V1832">
        <v>2.7155760000000001E-2</v>
      </c>
      <c r="W1832">
        <v>0.1978357</v>
      </c>
      <c r="X1832">
        <v>0.97985900000000004</v>
      </c>
      <c r="Y1832">
        <v>-0.1197797</v>
      </c>
      <c r="Z1832">
        <v>-3.0169200000000002E-3</v>
      </c>
      <c r="AA1832">
        <v>0.99279589999999995</v>
      </c>
      <c r="AB1832">
        <v>34</v>
      </c>
      <c r="AC1832">
        <v>-26.742699999999999</v>
      </c>
      <c r="AD1832">
        <v>-1.121262965021</v>
      </c>
      <c r="AE1832">
        <v>-3.6077000000000199</v>
      </c>
      <c r="AF1832">
        <v>-3.26990172067313</v>
      </c>
      <c r="AG1832">
        <v>-1.121262965021</v>
      </c>
      <c r="AH1832">
        <v>26.739246081157901</v>
      </c>
      <c r="AI1832">
        <v>92.3834555457682</v>
      </c>
      <c r="AJ1832">
        <v>96.971997045005295</v>
      </c>
      <c r="AK1832">
        <v>26.961764943866399</v>
      </c>
      <c r="AL1832">
        <v>78.589575226973494</v>
      </c>
      <c r="AM1832">
        <v>88.412514172670598</v>
      </c>
      <c r="AN1832">
        <v>1.00000002968833</v>
      </c>
    </row>
    <row r="1833" spans="1:40" x14ac:dyDescent="0.25">
      <c r="A1833" t="str">
        <f>"20190303162539437"</f>
        <v>20190303162539437</v>
      </c>
      <c r="B1833" t="str">
        <f>"1551601539425124"</f>
        <v>1551601539425124</v>
      </c>
      <c r="C1833" t="s">
        <v>40</v>
      </c>
      <c r="D1833">
        <v>4.6323059999999998</v>
      </c>
      <c r="E1833">
        <v>0.4464592</v>
      </c>
      <c r="F1833" t="s">
        <v>48</v>
      </c>
      <c r="G1833">
        <v>-450.61849999999998</v>
      </c>
      <c r="H1833" s="1">
        <v>-1.0012020000000001E-6</v>
      </c>
      <c r="I1833">
        <v>279.89280000000002</v>
      </c>
      <c r="J1833">
        <v>-418.10590000000002</v>
      </c>
      <c r="K1833">
        <v>1.1212580000000001</v>
      </c>
      <c r="L1833">
        <v>284.2389</v>
      </c>
      <c r="M1833">
        <v>-0.99981609999999999</v>
      </c>
      <c r="N1833">
        <v>-1.4610039999999999E-2</v>
      </c>
      <c r="O1833">
        <v>-1.242862E-2</v>
      </c>
      <c r="P1833">
        <v>-0.98299110000000001</v>
      </c>
      <c r="Q1833">
        <v>0.18312110000000001</v>
      </c>
      <c r="R1833">
        <v>1.3982349999999999E-2</v>
      </c>
      <c r="S1833">
        <v>-3.078033</v>
      </c>
      <c r="T1833">
        <v>-0.1050451</v>
      </c>
      <c r="U1833">
        <v>-0.40756229999999999</v>
      </c>
      <c r="V1833">
        <v>2.619107E-2</v>
      </c>
      <c r="W1833">
        <v>0.19746030000000001</v>
      </c>
      <c r="X1833">
        <v>0.97996090000000002</v>
      </c>
      <c r="Y1833">
        <v>-0.1188365</v>
      </c>
      <c r="Z1833">
        <v>-2.649392E-3</v>
      </c>
      <c r="AA1833">
        <v>0.99291030000000002</v>
      </c>
      <c r="AB1833">
        <v>34</v>
      </c>
      <c r="AC1833">
        <v>-32.5125999999999</v>
      </c>
      <c r="AD1833">
        <v>-1.1212590012019901</v>
      </c>
      <c r="AE1833">
        <v>-4.3460999999999697</v>
      </c>
      <c r="AF1833">
        <v>-3.9370340939000501</v>
      </c>
      <c r="AG1833">
        <v>-1.1212590012019901</v>
      </c>
      <c r="AH1833">
        <v>32.526104335294796</v>
      </c>
      <c r="AI1833">
        <v>91.960056847147101</v>
      </c>
      <c r="AJ1833">
        <v>96.901637105098004</v>
      </c>
      <c r="AK1833">
        <v>32.7826924219899</v>
      </c>
      <c r="AL1833">
        <v>78.611516029346305</v>
      </c>
      <c r="AM1833">
        <v>88.469040329793103</v>
      </c>
      <c r="AN1833">
        <v>0.99999995387632101</v>
      </c>
    </row>
    <row r="1834" spans="1:40" x14ac:dyDescent="0.25">
      <c r="A1834" t="str">
        <f>"20190303162539461"</f>
        <v>20190303162539461</v>
      </c>
      <c r="B1834" t="str">
        <f>"1551601539454405"</f>
        <v>1551601539454405</v>
      </c>
      <c r="C1834" t="s">
        <v>40</v>
      </c>
      <c r="D1834">
        <v>4.6283059999999896</v>
      </c>
      <c r="E1834">
        <v>0.44617059999999997</v>
      </c>
      <c r="F1834" t="s">
        <v>48</v>
      </c>
      <c r="G1834">
        <v>-453.23630000000003</v>
      </c>
      <c r="H1834">
        <v>7.7446550000000003E-2</v>
      </c>
      <c r="I1834">
        <v>279.58890000000002</v>
      </c>
      <c r="J1834">
        <v>-418.45780000000002</v>
      </c>
      <c r="K1834">
        <v>1.121248</v>
      </c>
      <c r="L1834">
        <v>284.23439999999999</v>
      </c>
      <c r="M1834">
        <v>-0.99981589999999998</v>
      </c>
      <c r="N1834">
        <v>-1.460738E-2</v>
      </c>
      <c r="O1834">
        <v>-1.244927E-2</v>
      </c>
      <c r="P1834">
        <v>-0.98302719999999999</v>
      </c>
      <c r="Q1834">
        <v>0.18302009999999999</v>
      </c>
      <c r="R1834">
        <v>1.270841E-2</v>
      </c>
      <c r="S1834">
        <v>-3.074738</v>
      </c>
      <c r="T1834">
        <v>-9.135807E-2</v>
      </c>
      <c r="U1834">
        <v>-0.40698240000000002</v>
      </c>
      <c r="V1834">
        <v>2.493985E-2</v>
      </c>
      <c r="W1834">
        <v>0.19735749999999999</v>
      </c>
      <c r="X1834">
        <v>0.9800143</v>
      </c>
      <c r="Y1834">
        <v>-0.1187899</v>
      </c>
      <c r="Z1834">
        <v>-2.4413880000000001E-3</v>
      </c>
      <c r="AA1834">
        <v>0.99291640000000003</v>
      </c>
      <c r="AB1834">
        <v>34</v>
      </c>
      <c r="AC1834">
        <v>-34.778500000000001</v>
      </c>
      <c r="AD1834">
        <v>-1.0438014499999999</v>
      </c>
      <c r="AE1834">
        <v>-4.64549999999997</v>
      </c>
      <c r="AF1834">
        <v>-4.2084024706249998</v>
      </c>
      <c r="AG1834">
        <v>-1.0438014499999999</v>
      </c>
      <c r="AH1834">
        <v>34.802843668552903</v>
      </c>
      <c r="AI1834">
        <v>91.705475090896897</v>
      </c>
      <c r="AJ1834">
        <v>96.894800726123805</v>
      </c>
      <c r="AK1834">
        <v>35.071899011024797</v>
      </c>
      <c r="AL1834">
        <v>78.617524843657705</v>
      </c>
      <c r="AM1834">
        <v>88.5422255646114</v>
      </c>
      <c r="AN1834">
        <v>1.0000000035643799</v>
      </c>
    </row>
    <row r="1835" spans="1:40" x14ac:dyDescent="0.25">
      <c r="A1835" t="str">
        <f>"20190303162539482"</f>
        <v>20190303162539482</v>
      </c>
      <c r="B1835" t="str">
        <f>"1551601539474900"</f>
        <v>1551601539474900</v>
      </c>
      <c r="C1835" t="s">
        <v>40</v>
      </c>
      <c r="D1835">
        <v>4.5061150000000003</v>
      </c>
      <c r="E1835">
        <v>0.44653799999999999</v>
      </c>
      <c r="F1835" t="s">
        <v>48</v>
      </c>
      <c r="G1835">
        <v>-452.82459999999998</v>
      </c>
      <c r="H1835">
        <v>3.5409610000000001E-2</v>
      </c>
      <c r="I1835">
        <v>279.61630000000002</v>
      </c>
      <c r="J1835">
        <v>-418.79840000000002</v>
      </c>
      <c r="K1835">
        <v>1.121246</v>
      </c>
      <c r="L1835">
        <v>284.23009999999999</v>
      </c>
      <c r="M1835">
        <v>-0.99981560000000003</v>
      </c>
      <c r="N1835">
        <v>-1.460463E-2</v>
      </c>
      <c r="O1835">
        <v>-1.2469350000000001E-2</v>
      </c>
      <c r="P1835">
        <v>-0.98316040000000005</v>
      </c>
      <c r="Q1835">
        <v>0.1823833</v>
      </c>
      <c r="R1835">
        <v>1.148646E-2</v>
      </c>
      <c r="S1835">
        <v>-3.0752259999999998</v>
      </c>
      <c r="T1835">
        <v>-9.7163319999999997E-2</v>
      </c>
      <c r="U1835">
        <v>-0.41323850000000001</v>
      </c>
      <c r="V1835">
        <v>2.37407E-2</v>
      </c>
      <c r="W1835">
        <v>0.1967198</v>
      </c>
      <c r="X1835">
        <v>0.9801723</v>
      </c>
      <c r="Y1835">
        <v>-0.120724499999999</v>
      </c>
      <c r="Z1835">
        <v>-2.5733499999999999E-3</v>
      </c>
      <c r="AA1835">
        <v>0.99268270000000003</v>
      </c>
      <c r="AB1835">
        <v>34</v>
      </c>
      <c r="AC1835">
        <v>-34.026199999999903</v>
      </c>
      <c r="AD1835">
        <v>-1.0858363900000001</v>
      </c>
      <c r="AE1835">
        <v>-4.6137999999999604</v>
      </c>
      <c r="AF1835">
        <v>-4.1849265472780903</v>
      </c>
      <c r="AG1835">
        <v>-1.0858363900000001</v>
      </c>
      <c r="AH1835">
        <v>34.0470450651422</v>
      </c>
      <c r="AI1835">
        <v>91.813035936930305</v>
      </c>
      <c r="AJ1835">
        <v>97.007418864633493</v>
      </c>
      <c r="AK1835">
        <v>34.3204593287996</v>
      </c>
      <c r="AL1835">
        <v>78.654793156526495</v>
      </c>
      <c r="AM1835">
        <v>88.612513321319</v>
      </c>
      <c r="AN1835">
        <v>1.0000000191179099</v>
      </c>
    </row>
    <row r="1836" spans="1:40" x14ac:dyDescent="0.25">
      <c r="A1836" t="str">
        <f>"20190303162539505"</f>
        <v>20190303162539505</v>
      </c>
      <c r="B1836" t="str">
        <f>"1551601539494421"</f>
        <v>1551601539494421</v>
      </c>
      <c r="C1836" t="s">
        <v>40</v>
      </c>
      <c r="D1836">
        <v>4.5017500000000004</v>
      </c>
      <c r="E1836">
        <v>0.44668550000000001</v>
      </c>
      <c r="F1836" t="s">
        <v>48</v>
      </c>
      <c r="G1836">
        <v>-453.11739999999998</v>
      </c>
      <c r="H1836">
        <v>5.7759169999999999E-2</v>
      </c>
      <c r="I1836">
        <v>279.60860000000002</v>
      </c>
      <c r="J1836">
        <v>-419.13279999999997</v>
      </c>
      <c r="K1836">
        <v>1.1212310000000001</v>
      </c>
      <c r="L1836">
        <v>284.22590000000002</v>
      </c>
      <c r="M1836">
        <v>-0.99981549999999997</v>
      </c>
      <c r="N1836">
        <v>-1.460184E-2</v>
      </c>
      <c r="O1836">
        <v>-1.249051E-2</v>
      </c>
      <c r="P1836">
        <v>-0.98332310000000001</v>
      </c>
      <c r="Q1836">
        <v>0.18153150000000001</v>
      </c>
      <c r="R1836">
        <v>1.104889E-2</v>
      </c>
      <c r="S1836">
        <v>-3.0738829999999999</v>
      </c>
      <c r="T1836">
        <v>-9.5254179999999994E-2</v>
      </c>
      <c r="U1836">
        <v>-0.41394039999999999</v>
      </c>
      <c r="V1836">
        <v>2.3326969999999999E-2</v>
      </c>
      <c r="W1836">
        <v>0.1958684</v>
      </c>
      <c r="X1836">
        <v>0.98035269999999997</v>
      </c>
      <c r="Y1836">
        <v>-0.1209858</v>
      </c>
      <c r="Z1836">
        <v>-2.5497900000000001E-3</v>
      </c>
      <c r="AA1836">
        <v>0.99265099999999995</v>
      </c>
      <c r="AB1836">
        <v>34</v>
      </c>
      <c r="AC1836">
        <v>-33.9846</v>
      </c>
      <c r="AD1836">
        <v>-1.0634718299999999</v>
      </c>
      <c r="AE1836">
        <v>-4.6173000000000002</v>
      </c>
      <c r="AF1836">
        <v>-4.1883824580661999</v>
      </c>
      <c r="AG1836">
        <v>-1.0634718299999999</v>
      </c>
      <c r="AH1836">
        <v>34.006929620912203</v>
      </c>
      <c r="AI1836">
        <v>91.777757914730202</v>
      </c>
      <c r="AJ1836">
        <v>97.021338345875805</v>
      </c>
      <c r="AK1836">
        <v>34.280384802244001</v>
      </c>
      <c r="AL1836">
        <v>78.704542404345901</v>
      </c>
      <c r="AM1836">
        <v>88.636934669728106</v>
      </c>
      <c r="AN1836">
        <v>0.99999999702261499</v>
      </c>
    </row>
    <row r="1837" spans="1:40" x14ac:dyDescent="0.25">
      <c r="A1837" t="str">
        <f>"20190303162539526"</f>
        <v>20190303162539526</v>
      </c>
      <c r="B1837" t="str">
        <f>"1551601539514917"</f>
        <v>1551601539514917</v>
      </c>
      <c r="C1837" t="s">
        <v>40</v>
      </c>
      <c r="D1837">
        <v>4.4941079999999998</v>
      </c>
      <c r="E1837">
        <v>0.44702180000000002</v>
      </c>
      <c r="F1837" t="s">
        <v>48</v>
      </c>
      <c r="G1837">
        <v>-453.3775</v>
      </c>
      <c r="H1837">
        <v>5.3965350000000002E-2</v>
      </c>
      <c r="I1837">
        <v>279.61239999999998</v>
      </c>
      <c r="J1837">
        <v>-419.4717</v>
      </c>
      <c r="K1837">
        <v>1.121227</v>
      </c>
      <c r="L1837">
        <v>284.22160000000002</v>
      </c>
      <c r="M1837">
        <v>-0.99981520000000002</v>
      </c>
      <c r="N1837">
        <v>-1.45989E-2</v>
      </c>
      <c r="O1837">
        <v>-1.2512280000000001E-2</v>
      </c>
      <c r="P1837">
        <v>-0.98347410000000002</v>
      </c>
      <c r="Q1837">
        <v>0.180729</v>
      </c>
      <c r="R1837">
        <v>1.0752100000000001E-2</v>
      </c>
      <c r="S1837">
        <v>-3.073242</v>
      </c>
      <c r="T1837">
        <v>-9.5780370000000004E-2</v>
      </c>
      <c r="U1837">
        <v>-0.41403200000000001</v>
      </c>
      <c r="V1837">
        <v>2.3054109999999999E-2</v>
      </c>
      <c r="W1837">
        <v>0.19506499999999999</v>
      </c>
      <c r="X1837">
        <v>0.98051940000000004</v>
      </c>
      <c r="Y1837">
        <v>-0.1210199</v>
      </c>
      <c r="Z1837">
        <v>-2.5584789999999998E-3</v>
      </c>
      <c r="AA1837">
        <v>0.99264680000000005</v>
      </c>
      <c r="AB1837">
        <v>34</v>
      </c>
      <c r="AC1837">
        <v>-33.905799999999999</v>
      </c>
      <c r="AD1837">
        <v>-1.0672616500000001</v>
      </c>
      <c r="AE1837">
        <v>-4.6092000000000404</v>
      </c>
      <c r="AF1837">
        <v>-4.1804881088155996</v>
      </c>
      <c r="AG1837">
        <v>-1.0672616500000001</v>
      </c>
      <c r="AH1837">
        <v>33.927816649732002</v>
      </c>
      <c r="AI1837">
        <v>91.788234723560194</v>
      </c>
      <c r="AJ1837">
        <v>97.024414860640704</v>
      </c>
      <c r="AK1837">
        <v>34.201056575423799</v>
      </c>
      <c r="AL1837">
        <v>78.751480062191504</v>
      </c>
      <c r="AM1837">
        <v>88.653101737134605</v>
      </c>
      <c r="AN1837">
        <v>1.0000000699946201</v>
      </c>
    </row>
    <row r="1838" spans="1:40" x14ac:dyDescent="0.25">
      <c r="A1838" t="str">
        <f>"20190303162539550"</f>
        <v>20190303162539550</v>
      </c>
      <c r="B1838" t="str">
        <f>"1551601539545172"</f>
        <v>1551601539545172</v>
      </c>
      <c r="C1838" t="s">
        <v>40</v>
      </c>
      <c r="D1838">
        <v>4.4502350000000002</v>
      </c>
      <c r="E1838">
        <v>0.44730839999999999</v>
      </c>
      <c r="F1838" t="s">
        <v>48</v>
      </c>
      <c r="G1838">
        <v>-453.78489999999999</v>
      </c>
      <c r="H1838">
        <v>4.5436360000000002E-2</v>
      </c>
      <c r="I1838">
        <v>279.61630000000002</v>
      </c>
      <c r="J1838">
        <v>-419.82819999999998</v>
      </c>
      <c r="K1838">
        <v>1.1212329999999999</v>
      </c>
      <c r="L1838">
        <v>284.21710000000002</v>
      </c>
      <c r="M1838">
        <v>-0.99981489999999995</v>
      </c>
      <c r="N1838">
        <v>-1.459572E-2</v>
      </c>
      <c r="O1838">
        <v>-1.253429E-2</v>
      </c>
      <c r="P1838">
        <v>-0.98352419999999996</v>
      </c>
      <c r="Q1838">
        <v>0.1804936</v>
      </c>
      <c r="R1838">
        <v>1.012886E-2</v>
      </c>
      <c r="S1838">
        <v>-3.0726010000000001</v>
      </c>
      <c r="T1838">
        <v>-9.6332550000000003E-2</v>
      </c>
      <c r="U1838">
        <v>-0.41238399999999997</v>
      </c>
      <c r="V1838">
        <v>2.245405E-2</v>
      </c>
      <c r="W1838">
        <v>0.1948269</v>
      </c>
      <c r="X1838">
        <v>0.98058060000000002</v>
      </c>
      <c r="Y1838">
        <v>-0.120502</v>
      </c>
      <c r="Z1838">
        <v>-2.5549219999999998E-3</v>
      </c>
      <c r="AA1838">
        <v>0.99270979999999998</v>
      </c>
      <c r="AB1838">
        <v>34</v>
      </c>
      <c r="AC1838">
        <v>-33.956699999999998</v>
      </c>
      <c r="AD1838">
        <v>-1.0757966400000001</v>
      </c>
      <c r="AE1838">
        <v>-4.6007999999999898</v>
      </c>
      <c r="AF1838">
        <v>-4.1706593415544404</v>
      </c>
      <c r="AG1838">
        <v>-1.0757966400000001</v>
      </c>
      <c r="AH1838">
        <v>33.978216212130498</v>
      </c>
      <c r="AI1838">
        <v>91.799956957739099</v>
      </c>
      <c r="AJ1838">
        <v>96.997772285090406</v>
      </c>
      <c r="AK1838">
        <v>34.250122842293798</v>
      </c>
      <c r="AL1838">
        <v>78.7653883524804</v>
      </c>
      <c r="AM1838">
        <v>88.688228682824203</v>
      </c>
      <c r="AN1838">
        <v>1.00000000921068</v>
      </c>
    </row>
    <row r="1839" spans="1:40" x14ac:dyDescent="0.25">
      <c r="A1839" t="str">
        <f>"20190303162539571"</f>
        <v>20190303162539571</v>
      </c>
      <c r="B1839" t="str">
        <f>"1551601539564693"</f>
        <v>1551601539564693</v>
      </c>
      <c r="C1839" t="s">
        <v>40</v>
      </c>
      <c r="D1839">
        <v>4.4044109999999996</v>
      </c>
      <c r="E1839">
        <v>0.44748589999999999</v>
      </c>
      <c r="F1839" t="s">
        <v>48</v>
      </c>
      <c r="G1839">
        <v>-454.21960000000001</v>
      </c>
      <c r="H1839">
        <v>5.4577960000000002E-2</v>
      </c>
      <c r="I1839">
        <v>279.61180000000002</v>
      </c>
      <c r="J1839">
        <v>-420.15800000000002</v>
      </c>
      <c r="K1839">
        <v>1.1212329999999999</v>
      </c>
      <c r="L1839">
        <v>284.21300000000002</v>
      </c>
      <c r="M1839">
        <v>-0.99981469999999995</v>
      </c>
      <c r="N1839">
        <v>-1.45927E-2</v>
      </c>
      <c r="O1839">
        <v>-1.255211E-2</v>
      </c>
      <c r="P1839">
        <v>-0.98343820000000004</v>
      </c>
      <c r="Q1839">
        <v>0.18099950000000001</v>
      </c>
      <c r="R1839">
        <v>9.4061790000000006E-3</v>
      </c>
      <c r="S1839">
        <v>-3.0720209999999999</v>
      </c>
      <c r="T1839">
        <v>-9.5279340000000004E-2</v>
      </c>
      <c r="U1839">
        <v>-0.41137699999999999</v>
      </c>
      <c r="V1839">
        <v>2.1748590000000002E-2</v>
      </c>
      <c r="W1839">
        <v>0.1953288</v>
      </c>
      <c r="X1839">
        <v>0.98049660000000005</v>
      </c>
      <c r="Y1839">
        <v>-0.12019100000000001</v>
      </c>
      <c r="Z1839">
        <v>-2.5313459999999999E-3</v>
      </c>
      <c r="AA1839">
        <v>0.9927475</v>
      </c>
      <c r="AB1839">
        <v>34</v>
      </c>
      <c r="AC1839">
        <v>-34.061599999999999</v>
      </c>
      <c r="AD1839">
        <v>-1.0666550400000001</v>
      </c>
      <c r="AE1839">
        <v>-4.6011999999999498</v>
      </c>
      <c r="AF1839">
        <v>-4.16923162117841</v>
      </c>
      <c r="AG1839">
        <v>-1.0666550400000001</v>
      </c>
      <c r="AH1839">
        <v>34.083851319661399</v>
      </c>
      <c r="AI1839">
        <v>91.7792347528638</v>
      </c>
      <c r="AJ1839">
        <v>96.973933697527301</v>
      </c>
      <c r="AK1839">
        <v>34.354463553753497</v>
      </c>
      <c r="AL1839">
        <v>78.736067757378194</v>
      </c>
      <c r="AM1839">
        <v>88.729319291312393</v>
      </c>
      <c r="AN1839">
        <v>0.99999996194399299</v>
      </c>
    </row>
    <row r="1840" spans="1:40" x14ac:dyDescent="0.25">
      <c r="A1840" t="str">
        <f>"20190303162539594"</f>
        <v>20190303162539594</v>
      </c>
      <c r="B1840" t="str">
        <f>"1551601539585188"</f>
        <v>1551601539585188</v>
      </c>
      <c r="C1840" t="s">
        <v>40</v>
      </c>
      <c r="D1840">
        <v>4.4155199999999999</v>
      </c>
      <c r="E1840">
        <v>0.44758910000000002</v>
      </c>
      <c r="F1840" t="s">
        <v>48</v>
      </c>
      <c r="G1840">
        <v>-454.91419999999999</v>
      </c>
      <c r="H1840">
        <v>8.000024E-2</v>
      </c>
      <c r="I1840">
        <v>279.54840000000002</v>
      </c>
      <c r="J1840">
        <v>-420.49380000000002</v>
      </c>
      <c r="K1840">
        <v>1.1212329999999999</v>
      </c>
      <c r="L1840">
        <v>284.20870000000002</v>
      </c>
      <c r="M1840">
        <v>-0.9998146</v>
      </c>
      <c r="N1840">
        <v>-1.458955E-2</v>
      </c>
      <c r="O1840">
        <v>-1.2566580000000001E-2</v>
      </c>
      <c r="P1840">
        <v>-0.98330969999999995</v>
      </c>
      <c r="Q1840">
        <v>0.1817463</v>
      </c>
      <c r="R1840">
        <v>8.3898189999999997E-3</v>
      </c>
      <c r="S1840">
        <v>-3.0713810000000001</v>
      </c>
      <c r="T1840">
        <v>-9.2012999999999998E-2</v>
      </c>
      <c r="U1840">
        <v>-0.41220089999999998</v>
      </c>
      <c r="V1840">
        <v>2.074639E-2</v>
      </c>
      <c r="W1840">
        <v>0.19607040000000001</v>
      </c>
      <c r="X1840">
        <v>0.98037030000000003</v>
      </c>
      <c r="Y1840">
        <v>-0.1204699</v>
      </c>
      <c r="Z1840">
        <v>-2.4870690000000002E-3</v>
      </c>
      <c r="AA1840">
        <v>0.99271390000000004</v>
      </c>
      <c r="AB1840">
        <v>34</v>
      </c>
      <c r="AC1840">
        <v>-34.420399999999901</v>
      </c>
      <c r="AD1840">
        <v>-1.04123276</v>
      </c>
      <c r="AE1840">
        <v>-4.6603000000000003</v>
      </c>
      <c r="AF1840">
        <v>-4.2235438329428199</v>
      </c>
      <c r="AG1840">
        <v>-1.04123276</v>
      </c>
      <c r="AH1840">
        <v>34.445298629445098</v>
      </c>
      <c r="AI1840">
        <v>91.718580148349005</v>
      </c>
      <c r="AJ1840">
        <v>96.990483936044896</v>
      </c>
      <c r="AK1840">
        <v>34.718886586999503</v>
      </c>
      <c r="AL1840">
        <v>78.692739492540397</v>
      </c>
      <c r="AM1840">
        <v>88.787699713108395</v>
      </c>
      <c r="AN1840">
        <v>0.99999996978813999</v>
      </c>
    </row>
    <row r="1841" spans="1:40" x14ac:dyDescent="0.25">
      <c r="A1841" t="str">
        <f>"20190303162539616"</f>
        <v>20190303162539616</v>
      </c>
      <c r="B1841" t="str">
        <f>"1551601539605685"</f>
        <v>1551601539605685</v>
      </c>
      <c r="C1841" t="s">
        <v>40</v>
      </c>
      <c r="D1841">
        <v>4.4094410000000002</v>
      </c>
      <c r="E1841">
        <v>0.45577669999999998</v>
      </c>
      <c r="F1841" t="s">
        <v>48</v>
      </c>
      <c r="G1841">
        <v>-455.46440000000001</v>
      </c>
      <c r="H1841">
        <v>8.0001550000000005E-2</v>
      </c>
      <c r="I1841">
        <v>279.49770000000001</v>
      </c>
      <c r="J1841">
        <v>-420.83319999999998</v>
      </c>
      <c r="K1841">
        <v>1.121235</v>
      </c>
      <c r="L1841">
        <v>284.20440000000002</v>
      </c>
      <c r="M1841">
        <v>-0.99981469999999995</v>
      </c>
      <c r="N1841">
        <v>-1.458632E-2</v>
      </c>
      <c r="O1841">
        <v>-1.257756E-2</v>
      </c>
      <c r="P1841">
        <v>-0.9833556</v>
      </c>
      <c r="Q1841">
        <v>0.181586</v>
      </c>
      <c r="R1841">
        <v>6.2247459999999998E-3</v>
      </c>
      <c r="S1841">
        <v>-3.0713810000000001</v>
      </c>
      <c r="T1841">
        <v>-9.1448779999999993E-2</v>
      </c>
      <c r="U1841">
        <v>-0.41375729999999999</v>
      </c>
      <c r="V1841">
        <v>1.8595009999999999E-2</v>
      </c>
      <c r="W1841">
        <v>0.19590769999999999</v>
      </c>
      <c r="X1841">
        <v>0.98044600000000004</v>
      </c>
      <c r="Y1841">
        <v>-0.12095350000000001</v>
      </c>
      <c r="Z1841">
        <v>-2.4886399999999999E-3</v>
      </c>
      <c r="AA1841">
        <v>0.99265499999999995</v>
      </c>
      <c r="AB1841">
        <v>34</v>
      </c>
      <c r="AC1841">
        <v>-34.6312</v>
      </c>
      <c r="AD1841">
        <v>-1.04123345</v>
      </c>
      <c r="AE1841">
        <v>-4.7067000000000103</v>
      </c>
      <c r="AF1841">
        <v>-4.26691808965096</v>
      </c>
      <c r="AG1841">
        <v>-1.04123345</v>
      </c>
      <c r="AH1841">
        <v>34.656904039828902</v>
      </c>
      <c r="AI1841">
        <v>91.707990439254601</v>
      </c>
      <c r="AJ1841">
        <v>97.018867991766996</v>
      </c>
      <c r="AK1841">
        <v>34.934105895343798</v>
      </c>
      <c r="AL1841">
        <v>78.702246000513796</v>
      </c>
      <c r="AM1841">
        <v>88.913466039174395</v>
      </c>
      <c r="AN1841">
        <v>0.99999998011609403</v>
      </c>
    </row>
    <row r="1842" spans="1:40" x14ac:dyDescent="0.25">
      <c r="A1842" t="str">
        <f>"20190303162539639"</f>
        <v>20190303162539639</v>
      </c>
      <c r="B1842" t="str">
        <f>"1551601539634965"</f>
        <v>1551601539634965</v>
      </c>
      <c r="C1842" t="s">
        <v>40</v>
      </c>
      <c r="D1842">
        <v>4.3917710000000003</v>
      </c>
      <c r="E1842">
        <v>0.4558413</v>
      </c>
      <c r="F1842" t="s">
        <v>48</v>
      </c>
      <c r="G1842">
        <v>-445.09589999999997</v>
      </c>
      <c r="H1842" s="1">
        <v>1.3156350000000001E-6</v>
      </c>
      <c r="I1842">
        <v>281.39949999999999</v>
      </c>
      <c r="J1842">
        <v>-421.17790000000002</v>
      </c>
      <c r="K1842">
        <v>1.121238</v>
      </c>
      <c r="L1842">
        <v>284.2</v>
      </c>
      <c r="M1842">
        <v>-0.99981450000000005</v>
      </c>
      <c r="N1842">
        <v>-1.4582990000000001E-2</v>
      </c>
      <c r="O1842">
        <v>-1.25845E-2</v>
      </c>
      <c r="P1842">
        <v>-0.98328210000000005</v>
      </c>
      <c r="Q1842">
        <v>0.18202840000000001</v>
      </c>
      <c r="R1842">
        <v>4.6697240000000001E-3</v>
      </c>
      <c r="S1842">
        <v>-3.0793460000000001</v>
      </c>
      <c r="T1842">
        <v>-0.14230319999999999</v>
      </c>
      <c r="U1842">
        <v>-0.35598750000000001</v>
      </c>
      <c r="V1842">
        <v>1.7047840000000002E-2</v>
      </c>
      <c r="W1842">
        <v>0.1963463</v>
      </c>
      <c r="X1842">
        <v>0.98038639999999999</v>
      </c>
      <c r="Y1842">
        <v>-0.10219259999999999</v>
      </c>
      <c r="Z1842">
        <v>-2.7040459999999999E-3</v>
      </c>
      <c r="AA1842">
        <v>0.99476089999999995</v>
      </c>
      <c r="AB1842">
        <v>34</v>
      </c>
      <c r="AC1842">
        <v>-23.9179999999999</v>
      </c>
      <c r="AD1842">
        <v>-1.1212366843649999</v>
      </c>
      <c r="AE1842">
        <v>-2.8004999999999902</v>
      </c>
      <c r="AF1842">
        <v>-2.49384380976579</v>
      </c>
      <c r="AG1842">
        <v>-1.1212366843649999</v>
      </c>
      <c r="AH1842">
        <v>23.8995413438806</v>
      </c>
      <c r="AI1842">
        <v>92.671553575986593</v>
      </c>
      <c r="AJ1842">
        <v>95.957080425615203</v>
      </c>
      <c r="AK1842">
        <v>24.055446474711999</v>
      </c>
      <c r="AL1842">
        <v>78.676618523777506</v>
      </c>
      <c r="AM1842">
        <v>89.003789883400202</v>
      </c>
      <c r="AN1842">
        <v>0.99999999583865695</v>
      </c>
    </row>
    <row r="1843" spans="1:40" x14ac:dyDescent="0.25">
      <c r="A1843" t="str">
        <f>"20190303162539660"</f>
        <v>20190303162539660</v>
      </c>
      <c r="B1843" t="str">
        <f>"1551601539655010"</f>
        <v>1551601539655010</v>
      </c>
      <c r="C1843" t="s">
        <v>40</v>
      </c>
      <c r="D1843">
        <v>4.4282370000000002</v>
      </c>
      <c r="E1843">
        <v>0.45607609999999899</v>
      </c>
      <c r="F1843" t="s">
        <v>48</v>
      </c>
      <c r="G1843">
        <v>-446.21719999999999</v>
      </c>
      <c r="H1843" s="1">
        <v>1.9175120000000002E-6</v>
      </c>
      <c r="I1843">
        <v>281.27999999999997</v>
      </c>
      <c r="J1843">
        <v>-421.50959999999998</v>
      </c>
      <c r="K1843">
        <v>1.121237</v>
      </c>
      <c r="L1843">
        <v>284.19589999999999</v>
      </c>
      <c r="M1843">
        <v>-0.99981450000000005</v>
      </c>
      <c r="N1843">
        <v>-1.4579719999999999E-2</v>
      </c>
      <c r="O1843">
        <v>-1.2588240000000001E-2</v>
      </c>
      <c r="P1843">
        <v>-0.9832379</v>
      </c>
      <c r="Q1843">
        <v>0.1823111</v>
      </c>
      <c r="R1843">
        <v>2.5434149999999998E-3</v>
      </c>
      <c r="S1843">
        <v>-3.0781860000000001</v>
      </c>
      <c r="T1843">
        <v>-0.1378384</v>
      </c>
      <c r="U1843">
        <v>-0.35897829999999997</v>
      </c>
      <c r="V1843">
        <v>1.49263E-2</v>
      </c>
      <c r="W1843">
        <v>0.19662489999999999</v>
      </c>
      <c r="X1843">
        <v>0.98036520000000005</v>
      </c>
      <c r="Y1843">
        <v>-0.10319109999999999</v>
      </c>
      <c r="Z1843">
        <v>-2.6782860000000002E-3</v>
      </c>
      <c r="AA1843">
        <v>0.99465789999999998</v>
      </c>
      <c r="AB1843">
        <v>34</v>
      </c>
      <c r="AC1843">
        <v>-24.707599999999999</v>
      </c>
      <c r="AD1843">
        <v>-1.121235082488</v>
      </c>
      <c r="AE1843">
        <v>-2.9159000000000201</v>
      </c>
      <c r="AF1843">
        <v>-2.5993312316728101</v>
      </c>
      <c r="AG1843">
        <v>-1.121235082488</v>
      </c>
      <c r="AH1843">
        <v>24.692200205733599</v>
      </c>
      <c r="AI1843">
        <v>92.585660184742693</v>
      </c>
      <c r="AJ1843">
        <v>96.009355395614705</v>
      </c>
      <c r="AK1843">
        <v>24.853942181516899</v>
      </c>
      <c r="AL1843">
        <v>78.660339025915604</v>
      </c>
      <c r="AM1843">
        <v>89.127725136408998</v>
      </c>
      <c r="AN1843">
        <v>1.0000000355513601</v>
      </c>
    </row>
    <row r="1844" spans="1:40" x14ac:dyDescent="0.25">
      <c r="A1844" t="str">
        <f>"20190303162539682"</f>
        <v>20190303162539682</v>
      </c>
      <c r="B1844" t="str">
        <f>"1551601539674530"</f>
        <v>1551601539674530</v>
      </c>
      <c r="C1844" t="s">
        <v>40</v>
      </c>
      <c r="D1844">
        <v>4.3732040000000003</v>
      </c>
      <c r="E1844">
        <v>0.45596219999999998</v>
      </c>
      <c r="F1844" t="s">
        <v>48</v>
      </c>
      <c r="G1844">
        <v>-446.83159999999998</v>
      </c>
      <c r="H1844" s="1">
        <v>2.2475149999999999E-6</v>
      </c>
      <c r="I1844">
        <v>281.21120000000002</v>
      </c>
      <c r="J1844">
        <v>-421.83659999999998</v>
      </c>
      <c r="K1844">
        <v>1.1212299999999999</v>
      </c>
      <c r="L1844">
        <v>284.19170000000003</v>
      </c>
      <c r="M1844">
        <v>-0.9998146</v>
      </c>
      <c r="N1844">
        <v>-1.457642E-2</v>
      </c>
      <c r="O1844">
        <v>-1.2588780000000001E-2</v>
      </c>
      <c r="P1844">
        <v>-0.98321519999999996</v>
      </c>
      <c r="Q1844">
        <v>0.18244879999999999</v>
      </c>
      <c r="R1844">
        <v>8.8805190000000003E-4</v>
      </c>
      <c r="S1844">
        <v>-3.077423</v>
      </c>
      <c r="T1844">
        <v>-0.1362652</v>
      </c>
      <c r="U1844">
        <v>-0.3627319</v>
      </c>
      <c r="V1844">
        <v>1.3272249999999999E-2</v>
      </c>
      <c r="W1844">
        <v>0.19675960000000001</v>
      </c>
      <c r="X1844">
        <v>0.98036190000000001</v>
      </c>
      <c r="Y1844">
        <v>-0.1044165</v>
      </c>
      <c r="Z1844">
        <v>-2.694545E-3</v>
      </c>
      <c r="AA1844">
        <v>0.99453000000000003</v>
      </c>
      <c r="AB1844">
        <v>34</v>
      </c>
      <c r="AC1844">
        <v>-24.995000000000001</v>
      </c>
      <c r="AD1844">
        <v>-1.1212277524849901</v>
      </c>
      <c r="AE1844">
        <v>-2.9805000000000001</v>
      </c>
      <c r="AF1844">
        <v>-2.6602956860172702</v>
      </c>
      <c r="AG1844">
        <v>-1.1212277524849901</v>
      </c>
      <c r="AH1844">
        <v>24.980980599749799</v>
      </c>
      <c r="AI1844">
        <v>92.555466134967006</v>
      </c>
      <c r="AJ1844">
        <v>96.078680744953999</v>
      </c>
      <c r="AK1844">
        <v>25.147240734026099</v>
      </c>
      <c r="AL1844">
        <v>78.652466807967201</v>
      </c>
      <c r="AM1844">
        <v>89.224370656824604</v>
      </c>
      <c r="AN1844">
        <v>0.99999997389191597</v>
      </c>
    </row>
    <row r="1845" spans="1:40" x14ac:dyDescent="0.25">
      <c r="A1845" t="str">
        <f>"20190303162539704"</f>
        <v>20190303162539704</v>
      </c>
      <c r="B1845" t="str">
        <f>"1551601539695026"</f>
        <v>1551601539695026</v>
      </c>
      <c r="C1845" t="s">
        <v>40</v>
      </c>
      <c r="D1845">
        <v>4.3830679999999997</v>
      </c>
      <c r="E1845">
        <v>0.4560324</v>
      </c>
      <c r="F1845" t="s">
        <v>48</v>
      </c>
      <c r="G1845">
        <v>-447.40089999999998</v>
      </c>
      <c r="H1845" s="1">
        <v>2.5538270000000001E-6</v>
      </c>
      <c r="I1845">
        <v>281.1343</v>
      </c>
      <c r="J1845">
        <v>-422.17590000000001</v>
      </c>
      <c r="K1845">
        <v>1.121224</v>
      </c>
      <c r="L1845">
        <v>284.18740000000003</v>
      </c>
      <c r="M1845">
        <v>-0.99981469999999995</v>
      </c>
      <c r="N1845">
        <v>-1.457294E-2</v>
      </c>
      <c r="O1845">
        <v>-1.258213E-2</v>
      </c>
      <c r="P1845">
        <v>-0.98332299999999995</v>
      </c>
      <c r="Q1845">
        <v>0.18186359999999999</v>
      </c>
      <c r="R1845">
        <v>-1.355909E-3</v>
      </c>
      <c r="S1845">
        <v>-3.0765690000000001</v>
      </c>
      <c r="T1845">
        <v>-0.13493559999999999</v>
      </c>
      <c r="U1845">
        <v>-0.36795040000000001</v>
      </c>
      <c r="V1845">
        <v>1.102506E-2</v>
      </c>
      <c r="W1845">
        <v>0.19617280000000001</v>
      </c>
      <c r="X1845">
        <v>0.98050740000000003</v>
      </c>
      <c r="Y1845">
        <v>-0.1061185</v>
      </c>
      <c r="Z1845">
        <v>-2.7274640000000002E-3</v>
      </c>
      <c r="AA1845">
        <v>0.99434979999999995</v>
      </c>
      <c r="AB1845">
        <v>34</v>
      </c>
      <c r="AC1845">
        <v>-25.224999999999898</v>
      </c>
      <c r="AD1845">
        <v>-1.1212214461729999</v>
      </c>
      <c r="AE1845">
        <v>-3.0531000000000201</v>
      </c>
      <c r="AF1845">
        <v>-2.73012432989808</v>
      </c>
      <c r="AG1845">
        <v>-1.1212214461729999</v>
      </c>
      <c r="AH1845">
        <v>25.212328636251499</v>
      </c>
      <c r="AI1845">
        <v>92.531552484572998</v>
      </c>
      <c r="AJ1845">
        <v>96.180209429568805</v>
      </c>
      <c r="AK1845">
        <v>25.384488012375002</v>
      </c>
      <c r="AL1845">
        <v>78.686757016375793</v>
      </c>
      <c r="AM1845">
        <v>89.355779684288393</v>
      </c>
      <c r="AN1845">
        <v>1.0000000404313001</v>
      </c>
    </row>
    <row r="1846" spans="1:40" x14ac:dyDescent="0.25">
      <c r="A1846" t="str">
        <f>"20190303162539729"</f>
        <v>20190303162539729</v>
      </c>
      <c r="B1846" t="str">
        <f>"1551601539724305"</f>
        <v>1551601539724305</v>
      </c>
      <c r="C1846" t="s">
        <v>40</v>
      </c>
      <c r="D1846">
        <v>4.4106800000000002</v>
      </c>
      <c r="E1846">
        <v>0.45616329999999999</v>
      </c>
      <c r="F1846" t="s">
        <v>48</v>
      </c>
      <c r="G1846">
        <v>-447.28140000000002</v>
      </c>
      <c r="H1846" s="1">
        <v>2.4903149999999999E-6</v>
      </c>
      <c r="I1846">
        <v>281.13200000000001</v>
      </c>
      <c r="J1846">
        <v>-422.51819999999998</v>
      </c>
      <c r="K1846">
        <v>1.1212169999999999</v>
      </c>
      <c r="L1846">
        <v>284.18310000000002</v>
      </c>
      <c r="M1846">
        <v>-0.99981509999999996</v>
      </c>
      <c r="N1846">
        <v>-1.456938E-2</v>
      </c>
      <c r="O1846">
        <v>-1.256121E-2</v>
      </c>
      <c r="P1846">
        <v>-0.98349399999999998</v>
      </c>
      <c r="Q1846">
        <v>0.18092279999999999</v>
      </c>
      <c r="R1846">
        <v>-2.567901E-3</v>
      </c>
      <c r="S1846">
        <v>-3.075745</v>
      </c>
      <c r="T1846">
        <v>-0.13736409999999999</v>
      </c>
      <c r="U1846">
        <v>-0.37432860000000001</v>
      </c>
      <c r="V1846">
        <v>9.7988090000000003E-3</v>
      </c>
      <c r="W1846">
        <v>0.1952315</v>
      </c>
      <c r="X1846">
        <v>0.98070820000000003</v>
      </c>
      <c r="Y1846">
        <v>-0.10819620000000001</v>
      </c>
      <c r="Z1846">
        <v>-2.8213980000000001E-3</v>
      </c>
      <c r="AA1846">
        <v>0.9941255</v>
      </c>
      <c r="AB1846">
        <v>34</v>
      </c>
      <c r="AC1846">
        <v>-24.763200000000001</v>
      </c>
      <c r="AD1846">
        <v>-1.1212145096849999</v>
      </c>
      <c r="AE1846">
        <v>-3.0511000000000101</v>
      </c>
      <c r="AF1846">
        <v>-2.73424898442132</v>
      </c>
      <c r="AG1846">
        <v>-1.1212145096849999</v>
      </c>
      <c r="AH1846">
        <v>24.7495963481432</v>
      </c>
      <c r="AI1846">
        <v>92.578194684401495</v>
      </c>
      <c r="AJ1846">
        <v>96.304272596973803</v>
      </c>
      <c r="AK1846">
        <v>24.9254038860268</v>
      </c>
      <c r="AL1846">
        <v>78.741752102242501</v>
      </c>
      <c r="AM1846">
        <v>89.427544586363496</v>
      </c>
      <c r="AN1846">
        <v>0.99999996439865302</v>
      </c>
    </row>
    <row r="1847" spans="1:40" x14ac:dyDescent="0.25">
      <c r="A1847" t="str">
        <f>"20190303162539750"</f>
        <v>20190303162539750</v>
      </c>
      <c r="B1847" t="str">
        <f>"1551601539744801"</f>
        <v>1551601539744801</v>
      </c>
      <c r="C1847" t="s">
        <v>40</v>
      </c>
      <c r="D1847">
        <v>4.4624839999999999</v>
      </c>
      <c r="E1847">
        <v>0.45616410000000002</v>
      </c>
      <c r="F1847" t="s">
        <v>48</v>
      </c>
      <c r="G1847">
        <v>-447.22680000000003</v>
      </c>
      <c r="H1847" s="1">
        <v>2.4602350000000001E-6</v>
      </c>
      <c r="I1847">
        <v>281.15550000000002</v>
      </c>
      <c r="J1847">
        <v>-422.85669999999999</v>
      </c>
      <c r="K1847">
        <v>1.1212</v>
      </c>
      <c r="L1847">
        <v>284.1789</v>
      </c>
      <c r="M1847">
        <v>-0.99981560000000003</v>
      </c>
      <c r="N1847">
        <v>-1.456584E-2</v>
      </c>
      <c r="O1847">
        <v>-1.252207E-2</v>
      </c>
      <c r="P1847">
        <v>-0.98362919999999998</v>
      </c>
      <c r="Q1847">
        <v>0.1801809</v>
      </c>
      <c r="R1847">
        <v>-3.0364889999999999E-3</v>
      </c>
      <c r="S1847">
        <v>-3.0750730000000002</v>
      </c>
      <c r="T1847">
        <v>-0.13953889999999999</v>
      </c>
      <c r="U1847">
        <v>-0.37680049999999998</v>
      </c>
      <c r="V1847">
        <v>9.3003289999999995E-3</v>
      </c>
      <c r="W1847">
        <v>0.1944874</v>
      </c>
      <c r="X1847">
        <v>0.98086090000000004</v>
      </c>
      <c r="Y1847">
        <v>-0.1090436</v>
      </c>
      <c r="Z1847">
        <v>-2.877283E-3</v>
      </c>
      <c r="AA1847">
        <v>0.99403280000000005</v>
      </c>
      <c r="AB1847">
        <v>34</v>
      </c>
      <c r="AC1847">
        <v>-24.370100000000001</v>
      </c>
      <c r="AD1847">
        <v>-1.121197539765</v>
      </c>
      <c r="AE1847">
        <v>-3.0233999999999801</v>
      </c>
      <c r="AF1847">
        <v>-2.71231245600806</v>
      </c>
      <c r="AG1847">
        <v>-1.121197539765</v>
      </c>
      <c r="AH1847">
        <v>24.355281860495801</v>
      </c>
      <c r="AI1847">
        <v>92.619584099721393</v>
      </c>
      <c r="AJ1847">
        <v>96.354529318294993</v>
      </c>
      <c r="AK1847">
        <v>24.531479313045601</v>
      </c>
      <c r="AL1847">
        <v>78.785219226452796</v>
      </c>
      <c r="AM1847">
        <v>89.456749033928503</v>
      </c>
      <c r="AN1847">
        <v>0.99999997501353799</v>
      </c>
    </row>
    <row r="1848" spans="1:40" x14ac:dyDescent="0.25">
      <c r="A1848" t="str">
        <f>"20190303162539772"</f>
        <v>20190303162539772</v>
      </c>
      <c r="B1848" t="str">
        <f>"1551601539765023"</f>
        <v>1551601539765023</v>
      </c>
      <c r="C1848" t="s">
        <v>40</v>
      </c>
      <c r="D1848">
        <v>4.4666790000000001</v>
      </c>
      <c r="E1848">
        <v>0.47009099999999998</v>
      </c>
      <c r="F1848" t="s">
        <v>48</v>
      </c>
      <c r="G1848">
        <v>-446.71460000000002</v>
      </c>
      <c r="H1848" s="1">
        <v>2.1838179999999998E-6</v>
      </c>
      <c r="I1848">
        <v>281.24310000000003</v>
      </c>
      <c r="J1848">
        <v>-423.18650000000002</v>
      </c>
      <c r="K1848">
        <v>1.1211789999999999</v>
      </c>
      <c r="L1848">
        <v>284.1748</v>
      </c>
      <c r="M1848">
        <v>-0.99981640000000005</v>
      </c>
      <c r="N1848">
        <v>-1.456236E-2</v>
      </c>
      <c r="O1848">
        <v>-1.246392E-2</v>
      </c>
      <c r="P1848">
        <v>-0.98377650000000005</v>
      </c>
      <c r="Q1848">
        <v>0.179373799999999</v>
      </c>
      <c r="R1848">
        <v>-3.0117199999999998E-3</v>
      </c>
      <c r="S1848">
        <v>-3.0752259999999998</v>
      </c>
      <c r="T1848">
        <v>-0.144519799999999</v>
      </c>
      <c r="U1848">
        <v>-0.37841799999999998</v>
      </c>
      <c r="V1848">
        <v>9.2777629999999996E-3</v>
      </c>
      <c r="W1848">
        <v>0.19367909999999999</v>
      </c>
      <c r="X1848">
        <v>0.98102100000000003</v>
      </c>
      <c r="Y1848">
        <v>-0.109601</v>
      </c>
      <c r="Z1848">
        <v>-2.9636060000000001E-3</v>
      </c>
      <c r="AA1848">
        <v>0.99397120000000005</v>
      </c>
      <c r="AB1848">
        <v>34</v>
      </c>
      <c r="AC1848">
        <v>-23.528099999999899</v>
      </c>
      <c r="AD1848">
        <v>-1.1211768161819999</v>
      </c>
      <c r="AE1848">
        <v>-2.93169999999997</v>
      </c>
      <c r="AF1848">
        <v>-2.6323028192377702</v>
      </c>
      <c r="AG1848">
        <v>-1.1211768161819999</v>
      </c>
      <c r="AH1848">
        <v>23.510246039182999</v>
      </c>
      <c r="AI1848">
        <v>92.713373034064404</v>
      </c>
      <c r="AJ1848">
        <v>96.388462139117294</v>
      </c>
      <c r="AK1848">
        <v>23.683701661865101</v>
      </c>
      <c r="AL1848">
        <v>78.832428665478602</v>
      </c>
      <c r="AM1848">
        <v>89.458155517498199</v>
      </c>
      <c r="AN1848">
        <v>0.999999936552045</v>
      </c>
    </row>
    <row r="1849" spans="1:40" x14ac:dyDescent="0.25">
      <c r="A1849" t="str">
        <f>"20190303162539794"</f>
        <v>20190303162539794</v>
      </c>
      <c r="B1849" t="str">
        <f>"1551601539784543"</f>
        <v>1551601539784543</v>
      </c>
      <c r="C1849" t="s">
        <v>40</v>
      </c>
      <c r="D1849">
        <v>4.4864790000000001</v>
      </c>
      <c r="E1849">
        <v>0.51110599999999995</v>
      </c>
      <c r="F1849" t="s">
        <v>51</v>
      </c>
      <c r="G1849">
        <v>-436.91579999999999</v>
      </c>
      <c r="H1849" s="1">
        <v>5.4273630000000004E-6</v>
      </c>
      <c r="I1849">
        <v>282.97489999999999</v>
      </c>
      <c r="J1849">
        <v>-423.52280000000002</v>
      </c>
      <c r="K1849">
        <v>1.1211580000000001</v>
      </c>
      <c r="L1849">
        <v>284.17070000000001</v>
      </c>
      <c r="M1849">
        <v>-0.99981750000000003</v>
      </c>
      <c r="N1849">
        <v>-1.455882E-2</v>
      </c>
      <c r="O1849">
        <v>-1.2383470000000001E-2</v>
      </c>
      <c r="P1849">
        <v>-0.98387570000000002</v>
      </c>
      <c r="Q1849">
        <v>0.17884620000000001</v>
      </c>
      <c r="R1849">
        <v>-1.7682430000000001E-3</v>
      </c>
      <c r="S1849">
        <v>-3.0946959999999999</v>
      </c>
      <c r="T1849">
        <v>-0.252722</v>
      </c>
      <c r="U1849">
        <v>-0.27047729999999998</v>
      </c>
      <c r="V1849">
        <v>1.0452049999999999E-2</v>
      </c>
      <c r="W1849">
        <v>0.1931486</v>
      </c>
      <c r="X1849">
        <v>0.98111389999999998</v>
      </c>
      <c r="Y1849">
        <v>-7.4461340000000001E-2</v>
      </c>
      <c r="Z1849">
        <v>-2.7459329999999999E-3</v>
      </c>
      <c r="AA1849">
        <v>0.99722010000000005</v>
      </c>
      <c r="AB1849">
        <v>34</v>
      </c>
      <c r="AC1849">
        <v>-13.392999999999899</v>
      </c>
      <c r="AD1849">
        <v>-1.121152572637</v>
      </c>
      <c r="AE1849">
        <v>-1.19580000000001</v>
      </c>
      <c r="AF1849">
        <v>-1.0227286603160499</v>
      </c>
      <c r="AG1849">
        <v>-1.121152572637</v>
      </c>
      <c r="AH1849">
        <v>13.314218797829501</v>
      </c>
      <c r="AI1849">
        <v>94.799287497548306</v>
      </c>
      <c r="AJ1849">
        <v>94.3925363015465</v>
      </c>
      <c r="AK1849">
        <v>13.400424590297099</v>
      </c>
      <c r="AL1849">
        <v>78.863410419997194</v>
      </c>
      <c r="AM1849">
        <v>89.389636923244495</v>
      </c>
      <c r="AN1849">
        <v>1.00000005590218</v>
      </c>
    </row>
    <row r="1850" spans="1:40" x14ac:dyDescent="0.25">
      <c r="A1850" t="str">
        <f>"20190303162539840"</f>
        <v>20190303162539840</v>
      </c>
      <c r="B1850" t="str">
        <f>"1551601539834318"</f>
        <v>1551601539834318</v>
      </c>
      <c r="C1850" t="s">
        <v>40</v>
      </c>
      <c r="D1850">
        <v>4.4947019999999904</v>
      </c>
      <c r="E1850">
        <v>0.53422269999999905</v>
      </c>
      <c r="F1850" t="s">
        <v>42</v>
      </c>
      <c r="G1850">
        <v>-424.29899999999998</v>
      </c>
      <c r="H1850">
        <v>1.0204359999999999</v>
      </c>
      <c r="I1850">
        <v>284.18490000000003</v>
      </c>
      <c r="J1850">
        <v>-424.20179999999999</v>
      </c>
      <c r="K1850">
        <v>1.1211370000000001</v>
      </c>
      <c r="L1850">
        <v>284.16250000000002</v>
      </c>
      <c r="M1850">
        <v>-0.99982009999999999</v>
      </c>
      <c r="N1850">
        <v>-1.4551659999999999E-2</v>
      </c>
      <c r="O1850">
        <v>-1.2167270000000001E-2</v>
      </c>
      <c r="P1850">
        <v>-0.98394669999999895</v>
      </c>
      <c r="Q1850">
        <v>0.17844789999999999</v>
      </c>
      <c r="R1850">
        <v>2.2377019999999998E-3</v>
      </c>
      <c r="S1850">
        <v>-3.1229550000000001</v>
      </c>
      <c r="T1850">
        <v>-0.40540419999999999</v>
      </c>
      <c r="U1850">
        <v>5.6396479999999999E-2</v>
      </c>
      <c r="V1850">
        <v>1.4259249999999999E-2</v>
      </c>
      <c r="W1850">
        <v>0.192742</v>
      </c>
      <c r="X1850">
        <v>0.98114590000000002</v>
      </c>
      <c r="Y1850">
        <v>2.9861700000000001E-2</v>
      </c>
      <c r="Z1850">
        <v>3.5446760000000001E-3</v>
      </c>
      <c r="AA1850">
        <v>0.99954779999999999</v>
      </c>
      <c r="AB1850">
        <v>34</v>
      </c>
      <c r="AC1850">
        <v>-9.7200000000043404E-2</v>
      </c>
      <c r="AD1850">
        <v>-0.100700999999999</v>
      </c>
      <c r="AE1850">
        <v>2.24000000000046E-2</v>
      </c>
      <c r="AF1850">
        <v>1.1678415228001801E-2</v>
      </c>
      <c r="AG1850">
        <v>-0.100700999999999</v>
      </c>
      <c r="AH1850">
        <v>4.7999179190243803E-2</v>
      </c>
      <c r="AI1850">
        <v>153.869472371623</v>
      </c>
      <c r="AJ1850">
        <v>76.3253804234444</v>
      </c>
      <c r="AK1850">
        <v>0.112165047970277</v>
      </c>
      <c r="AL1850">
        <v>78.887152849226396</v>
      </c>
      <c r="AM1850">
        <v>89.167364068279696</v>
      </c>
      <c r="AN1850">
        <v>1.00000004093068</v>
      </c>
    </row>
    <row r="1851" spans="1:40" x14ac:dyDescent="0.25">
      <c r="A1851" t="str">
        <f>"20190303162539861"</f>
        <v>20190303162539861</v>
      </c>
      <c r="B1851" t="str">
        <f>"1551601539854439"</f>
        <v>1551601539854439</v>
      </c>
      <c r="C1851" t="s">
        <v>40</v>
      </c>
      <c r="D1851">
        <v>4.457058</v>
      </c>
      <c r="E1851">
        <v>0.53365649999999998</v>
      </c>
      <c r="F1851" t="s">
        <v>42</v>
      </c>
      <c r="G1851">
        <v>-425.12939999999998</v>
      </c>
      <c r="H1851">
        <v>0.87384390000000001</v>
      </c>
      <c r="I1851">
        <v>284.2328</v>
      </c>
      <c r="J1851">
        <v>-424.53250000000003</v>
      </c>
      <c r="K1851">
        <v>1.12113</v>
      </c>
      <c r="L1851">
        <v>284.15859999999998</v>
      </c>
      <c r="M1851">
        <v>-0.99982179999999998</v>
      </c>
      <c r="N1851">
        <v>-1.4548149999999999E-2</v>
      </c>
      <c r="O1851">
        <v>-1.204409E-2</v>
      </c>
      <c r="P1851">
        <v>-0.98384959999999999</v>
      </c>
      <c r="Q1851">
        <v>0.17895939999999999</v>
      </c>
      <c r="R1851">
        <v>3.7173750000000002E-3</v>
      </c>
      <c r="S1851">
        <v>-3.2033079999999998</v>
      </c>
      <c r="T1851">
        <v>-0.85403130000000005</v>
      </c>
      <c r="U1851">
        <v>0.2409973</v>
      </c>
      <c r="V1851">
        <v>1.5620439999999999E-2</v>
      </c>
      <c r="W1851">
        <v>0.19324769999999999</v>
      </c>
      <c r="X1851">
        <v>0.98102560000000005</v>
      </c>
      <c r="Y1851">
        <v>8.3584889999999995E-2</v>
      </c>
      <c r="Z1851">
        <v>1.453605E-2</v>
      </c>
      <c r="AA1851">
        <v>0.99639460000000002</v>
      </c>
      <c r="AB1851">
        <v>34</v>
      </c>
      <c r="AC1851">
        <v>-0.59689999999994803</v>
      </c>
      <c r="AD1851">
        <v>-0.24728609999999901</v>
      </c>
      <c r="AE1851">
        <v>7.4200000000018904E-2</v>
      </c>
      <c r="AF1851">
        <v>6.9617744664490694E-2</v>
      </c>
      <c r="AG1851">
        <v>-0.24728609999999901</v>
      </c>
      <c r="AH1851">
        <v>0.50979729792333495</v>
      </c>
      <c r="AI1851">
        <v>115.669260045671</v>
      </c>
      <c r="AJ1851">
        <v>82.223808089687395</v>
      </c>
      <c r="AK1851">
        <v>0.57086805007401997</v>
      </c>
      <c r="AL1851">
        <v>78.857622181731301</v>
      </c>
      <c r="AM1851">
        <v>89.087781538987798</v>
      </c>
      <c r="AN1851">
        <v>0.99999994977822004</v>
      </c>
    </row>
    <row r="1852" spans="1:40" x14ac:dyDescent="0.25">
      <c r="A1852" t="str">
        <f>"20190303162539882"</f>
        <v>20190303162539882</v>
      </c>
      <c r="B1852" t="str">
        <f>"1551601539874918"</f>
        <v>1551601539874918</v>
      </c>
      <c r="C1852" t="s">
        <v>40</v>
      </c>
      <c r="D1852">
        <v>4.5322110000000002</v>
      </c>
      <c r="E1852">
        <v>0.53336019999999995</v>
      </c>
      <c r="F1852" t="s">
        <v>42</v>
      </c>
      <c r="G1852">
        <v>-425.43189999999998</v>
      </c>
      <c r="H1852">
        <v>0.88248209999999905</v>
      </c>
      <c r="I1852">
        <v>284.22680000000003</v>
      </c>
      <c r="J1852">
        <v>-424.8492</v>
      </c>
      <c r="K1852">
        <v>1.1211260000000001</v>
      </c>
      <c r="L1852">
        <v>284.15499999999997</v>
      </c>
      <c r="M1852">
        <v>-0.99982320000000002</v>
      </c>
      <c r="N1852">
        <v>-1.454476E-2</v>
      </c>
      <c r="O1852">
        <v>-1.192202E-2</v>
      </c>
      <c r="P1852">
        <v>-0.98378149999999998</v>
      </c>
      <c r="Q1852">
        <v>0.17932670000000001</v>
      </c>
      <c r="R1852">
        <v>4.0370950000000001E-3</v>
      </c>
      <c r="S1852">
        <v>-3.2029109999999998</v>
      </c>
      <c r="T1852">
        <v>-0.84978390000000004</v>
      </c>
      <c r="U1852">
        <v>0.2416382</v>
      </c>
      <c r="V1852">
        <v>1.5821970000000001E-2</v>
      </c>
      <c r="W1852">
        <v>0.19361030000000001</v>
      </c>
      <c r="X1852">
        <v>0.98095100000000002</v>
      </c>
      <c r="Y1852">
        <v>8.3702529999999997E-2</v>
      </c>
      <c r="Z1852">
        <v>1.4455809999999999E-2</v>
      </c>
      <c r="AA1852">
        <v>0.99638590000000005</v>
      </c>
      <c r="AB1852">
        <v>33</v>
      </c>
      <c r="AC1852">
        <v>-0.58269999999998801</v>
      </c>
      <c r="AD1852">
        <v>-0.23864389999999999</v>
      </c>
      <c r="AE1852">
        <v>7.1800000000052905E-2</v>
      </c>
      <c r="AF1852">
        <v>6.7577365165962494E-2</v>
      </c>
      <c r="AG1852">
        <v>-0.23864389999999999</v>
      </c>
      <c r="AH1852">
        <v>0.49930638928020199</v>
      </c>
      <c r="AI1852">
        <v>115.343760991552</v>
      </c>
      <c r="AJ1852">
        <v>82.292281651076806</v>
      </c>
      <c r="AK1852">
        <v>0.55751635103018904</v>
      </c>
      <c r="AL1852">
        <v>78.836448219990601</v>
      </c>
      <c r="AM1852">
        <v>89.075944155285896</v>
      </c>
      <c r="AN1852">
        <v>1.0000000737008801</v>
      </c>
    </row>
    <row r="1853" spans="1:40" x14ac:dyDescent="0.25">
      <c r="A1853" t="str">
        <f>"20190303162539906"</f>
        <v>20190303162539906</v>
      </c>
      <c r="B1853" t="str">
        <f>"1551601539894438"</f>
        <v>1551601539894438</v>
      </c>
      <c r="C1853" t="s">
        <v>40</v>
      </c>
      <c r="D1853">
        <v>4.5704469999999997</v>
      </c>
      <c r="E1853">
        <v>0.53285119999999997</v>
      </c>
      <c r="F1853" t="s">
        <v>42</v>
      </c>
      <c r="G1853">
        <v>-425.73270000000002</v>
      </c>
      <c r="H1853">
        <v>0.88740909999999995</v>
      </c>
      <c r="I1853">
        <v>284.22199999999998</v>
      </c>
      <c r="J1853">
        <v>-425.19080000000002</v>
      </c>
      <c r="K1853">
        <v>1.1211260000000001</v>
      </c>
      <c r="L1853">
        <v>284.15100000000001</v>
      </c>
      <c r="M1853">
        <v>-0.99982490000000002</v>
      </c>
      <c r="N1853">
        <v>-1.45411E-2</v>
      </c>
      <c r="O1853">
        <v>-1.178854E-2</v>
      </c>
      <c r="P1853">
        <v>-0.98359039999999998</v>
      </c>
      <c r="Q1853">
        <v>0.18037600000000001</v>
      </c>
      <c r="R1853">
        <v>3.8697050000000002E-3</v>
      </c>
      <c r="S1853">
        <v>-3.2029109999999998</v>
      </c>
      <c r="T1853">
        <v>-0.84733029999999998</v>
      </c>
      <c r="U1853">
        <v>0.24069209999999999</v>
      </c>
      <c r="V1853">
        <v>1.552312E-2</v>
      </c>
      <c r="W1853">
        <v>0.19465299999999999</v>
      </c>
      <c r="X1853">
        <v>0.98074930000000005</v>
      </c>
      <c r="Y1853">
        <v>8.3314009999999994E-2</v>
      </c>
      <c r="Z1853">
        <v>1.4330559999999999E-2</v>
      </c>
      <c r="AA1853">
        <v>0.99642030000000004</v>
      </c>
      <c r="AB1853">
        <v>33</v>
      </c>
      <c r="AC1853">
        <v>-0.54189999999999805</v>
      </c>
      <c r="AD1853">
        <v>-0.23371689999999901</v>
      </c>
      <c r="AE1853">
        <v>7.0999999999969504E-2</v>
      </c>
      <c r="AF1853">
        <v>6.5420328481780102E-2</v>
      </c>
      <c r="AG1853">
        <v>-0.23371689999999901</v>
      </c>
      <c r="AH1853">
        <v>0.45738231788619099</v>
      </c>
      <c r="AI1853">
        <v>116.832109923114</v>
      </c>
      <c r="AJ1853">
        <v>81.860077129392394</v>
      </c>
      <c r="AK1853">
        <v>0.51778566360919898</v>
      </c>
      <c r="AL1853">
        <v>78.775546163036495</v>
      </c>
      <c r="AM1853">
        <v>89.093208630890103</v>
      </c>
      <c r="AN1853">
        <v>0.99999997355701098</v>
      </c>
    </row>
    <row r="1854" spans="1:40" x14ac:dyDescent="0.25">
      <c r="A1854" t="str">
        <f>"20190303162539928"</f>
        <v>20190303162539928</v>
      </c>
      <c r="B1854" t="str">
        <f>"1551601539924694"</f>
        <v>1551601539924694</v>
      </c>
      <c r="C1854" t="s">
        <v>40</v>
      </c>
      <c r="D1854">
        <v>4.740723</v>
      </c>
      <c r="E1854">
        <v>0.53239389999999998</v>
      </c>
      <c r="F1854" t="s">
        <v>42</v>
      </c>
      <c r="G1854">
        <v>-426.03579999999999</v>
      </c>
      <c r="H1854">
        <v>0.89911600000000003</v>
      </c>
      <c r="I1854">
        <v>284.21319999999997</v>
      </c>
      <c r="J1854">
        <v>-425.53429999999997</v>
      </c>
      <c r="K1854">
        <v>1.1211260000000001</v>
      </c>
      <c r="L1854">
        <v>284.14699999999999</v>
      </c>
      <c r="M1854">
        <v>-0.9998264</v>
      </c>
      <c r="N1854">
        <v>-1.4537370000000001E-2</v>
      </c>
      <c r="O1854">
        <v>-1.1654599999999999E-2</v>
      </c>
      <c r="P1854">
        <v>-0.98353919999999995</v>
      </c>
      <c r="Q1854">
        <v>0.1806604</v>
      </c>
      <c r="R1854">
        <v>3.5913020000000002E-3</v>
      </c>
      <c r="S1854">
        <v>-3.2035520000000002</v>
      </c>
      <c r="T1854">
        <v>-0.8416903</v>
      </c>
      <c r="U1854">
        <v>0.235321</v>
      </c>
      <c r="V1854">
        <v>1.5114010000000001E-2</v>
      </c>
      <c r="W1854">
        <v>0.1949331</v>
      </c>
      <c r="X1854">
        <v>0.98070009999999996</v>
      </c>
      <c r="Y1854">
        <v>8.1613000000000005E-2</v>
      </c>
      <c r="Z1854">
        <v>1.39743E-2</v>
      </c>
      <c r="AA1854">
        <v>0.99656610000000001</v>
      </c>
      <c r="AB1854">
        <v>33</v>
      </c>
      <c r="AC1854">
        <v>-0.50150000000002104</v>
      </c>
      <c r="AD1854">
        <v>-0.22201000000000001</v>
      </c>
      <c r="AE1854">
        <v>6.6199999999980705E-2</v>
      </c>
      <c r="AF1854">
        <v>6.0405593409705902E-2</v>
      </c>
      <c r="AG1854">
        <v>-0.22201000000000001</v>
      </c>
      <c r="AH1854">
        <v>0.41982729562488602</v>
      </c>
      <c r="AI1854">
        <v>117.628571433253</v>
      </c>
      <c r="AJ1854">
        <v>81.812360002530596</v>
      </c>
      <c r="AK1854">
        <v>0.478740257307534</v>
      </c>
      <c r="AL1854">
        <v>78.759184679231595</v>
      </c>
      <c r="AM1854">
        <v>89.117058890151995</v>
      </c>
      <c r="AN1854">
        <v>1.00000001645694</v>
      </c>
    </row>
    <row r="1855" spans="1:40" x14ac:dyDescent="0.25">
      <c r="A1855" t="str">
        <f>"20190303162539951"</f>
        <v>20190303162539951</v>
      </c>
      <c r="B1855" t="str">
        <f>"1551601539945190"</f>
        <v>1551601539945190</v>
      </c>
      <c r="C1855" t="s">
        <v>40</v>
      </c>
      <c r="D1855">
        <v>4.6557719999999998</v>
      </c>
      <c r="E1855">
        <v>0.53271650000000004</v>
      </c>
      <c r="F1855" t="s">
        <v>42</v>
      </c>
      <c r="G1855">
        <v>-426.33909999999997</v>
      </c>
      <c r="H1855">
        <v>0.91138839999999999</v>
      </c>
      <c r="I1855">
        <v>284.20569999999998</v>
      </c>
      <c r="J1855">
        <v>-425.87049999999999</v>
      </c>
      <c r="K1855">
        <v>1.1211260000000001</v>
      </c>
      <c r="L1855">
        <v>284.14319999999998</v>
      </c>
      <c r="M1855">
        <v>-0.9998281</v>
      </c>
      <c r="N1855">
        <v>-1.45337E-2</v>
      </c>
      <c r="O1855">
        <v>-1.152544E-2</v>
      </c>
      <c r="P1855">
        <v>-0.98359839999999998</v>
      </c>
      <c r="Q1855">
        <v>0.1803495</v>
      </c>
      <c r="R1855">
        <v>2.9223510000000001E-3</v>
      </c>
      <c r="S1855">
        <v>-3.2026979999999998</v>
      </c>
      <c r="T1855">
        <v>-0.83465679999999998</v>
      </c>
      <c r="U1855">
        <v>0.23144529999999999</v>
      </c>
      <c r="V1855">
        <v>1.4319520000000001E-2</v>
      </c>
      <c r="W1855">
        <v>0.19462019999999999</v>
      </c>
      <c r="X1855">
        <v>0.98077420000000004</v>
      </c>
      <c r="Y1855">
        <v>8.0401109999999998E-2</v>
      </c>
      <c r="Z1855">
        <v>1.367318E-2</v>
      </c>
      <c r="AA1855">
        <v>0.99666880000000002</v>
      </c>
      <c r="AB1855">
        <v>33</v>
      </c>
      <c r="AC1855">
        <v>-0.46859999999997998</v>
      </c>
      <c r="AD1855">
        <v>-0.2097376</v>
      </c>
      <c r="AE1855">
        <v>6.25E-2</v>
      </c>
      <c r="AF1855">
        <v>5.6730919920562797E-2</v>
      </c>
      <c r="AG1855">
        <v>-0.2097376</v>
      </c>
      <c r="AH1855">
        <v>0.390906517102872</v>
      </c>
      <c r="AI1855">
        <v>117.967365724115</v>
      </c>
      <c r="AJ1855">
        <v>81.742510605090203</v>
      </c>
      <c r="AK1855">
        <v>0.44723166618911397</v>
      </c>
      <c r="AL1855">
        <v>78.777462988285706</v>
      </c>
      <c r="AM1855">
        <v>89.163528393411596</v>
      </c>
      <c r="AN1855">
        <v>1.00000005114335</v>
      </c>
    </row>
    <row r="1856" spans="1:40" x14ac:dyDescent="0.25">
      <c r="A1856" t="str">
        <f>"20190303162539972"</f>
        <v>20190303162539972</v>
      </c>
      <c r="B1856" t="str">
        <f>"1551601539965043"</f>
        <v>1551601539965043</v>
      </c>
      <c r="C1856" t="s">
        <v>40</v>
      </c>
      <c r="D1856">
        <v>4.6374529999999998</v>
      </c>
      <c r="E1856">
        <v>0.53561219999999998</v>
      </c>
      <c r="F1856" t="s">
        <v>42</v>
      </c>
      <c r="G1856">
        <v>-426.63990000000001</v>
      </c>
      <c r="H1856">
        <v>0.91776659999999999</v>
      </c>
      <c r="I1856">
        <v>284.19909999999999</v>
      </c>
      <c r="J1856">
        <v>-426.1925</v>
      </c>
      <c r="K1856">
        <v>1.1211279999999999</v>
      </c>
      <c r="L1856">
        <v>284.1397</v>
      </c>
      <c r="M1856">
        <v>-0.99982950000000004</v>
      </c>
      <c r="N1856">
        <v>-1.453019E-2</v>
      </c>
      <c r="O1856">
        <v>-1.140213E-2</v>
      </c>
      <c r="P1856">
        <v>-0.98369119999999999</v>
      </c>
      <c r="Q1856">
        <v>0.1798535</v>
      </c>
      <c r="R1856">
        <v>2.194732E-3</v>
      </c>
      <c r="S1856">
        <v>-3.2046510000000001</v>
      </c>
      <c r="T1856">
        <v>-0.84708359999999905</v>
      </c>
      <c r="U1856">
        <v>0.2308655</v>
      </c>
      <c r="V1856">
        <v>1.3472339999999999E-2</v>
      </c>
      <c r="W1856">
        <v>0.19412199999999999</v>
      </c>
      <c r="X1856">
        <v>0.98088489999999995</v>
      </c>
      <c r="Y1856">
        <v>7.9985840000000002E-2</v>
      </c>
      <c r="Z1856">
        <v>1.376907E-2</v>
      </c>
      <c r="AA1856">
        <v>0.9967009</v>
      </c>
      <c r="AB1856">
        <v>33</v>
      </c>
      <c r="AC1856">
        <v>-0.44740000000001601</v>
      </c>
      <c r="AD1856">
        <v>-0.2033614</v>
      </c>
      <c r="AE1856">
        <v>5.93999999999823E-2</v>
      </c>
      <c r="AF1856">
        <v>5.3613030443540897E-2</v>
      </c>
      <c r="AG1856">
        <v>-0.2033614</v>
      </c>
      <c r="AH1856">
        <v>0.37130762362542402</v>
      </c>
      <c r="AI1856">
        <v>118.460718345133</v>
      </c>
      <c r="AJ1856">
        <v>81.783858146370704</v>
      </c>
      <c r="AK1856">
        <v>0.42673125899758002</v>
      </c>
      <c r="AL1856">
        <v>78.806562390336595</v>
      </c>
      <c r="AM1856">
        <v>89.213098613037104</v>
      </c>
      <c r="AN1856">
        <v>1.00000002093854</v>
      </c>
    </row>
    <row r="1857" spans="1:40" x14ac:dyDescent="0.25">
      <c r="A1857" t="str">
        <f>"20190303162540007"</f>
        <v>20190303162540007</v>
      </c>
      <c r="B1857" t="str">
        <f>"1551601539994322"</f>
        <v>1551601539994322</v>
      </c>
      <c r="C1857" t="s">
        <v>40</v>
      </c>
      <c r="D1857">
        <v>4.613003</v>
      </c>
      <c r="E1857">
        <v>0.53548459999999998</v>
      </c>
      <c r="F1857" t="s">
        <v>42</v>
      </c>
      <c r="G1857">
        <v>-426.92309999999998</v>
      </c>
      <c r="H1857">
        <v>0.88535209999999998</v>
      </c>
      <c r="I1857">
        <v>284.19529999999997</v>
      </c>
      <c r="J1857">
        <v>-426.69420000000002</v>
      </c>
      <c r="K1857">
        <v>1.1211230000000001</v>
      </c>
      <c r="L1857">
        <v>284.13420000000002</v>
      </c>
      <c r="M1857">
        <v>-0.99983169999999999</v>
      </c>
      <c r="N1857">
        <v>-1.4524769999999999E-2</v>
      </c>
      <c r="O1857">
        <v>-1.121111E-2</v>
      </c>
      <c r="P1857">
        <v>-0.98381940000000001</v>
      </c>
      <c r="Q1857">
        <v>0.17915110000000001</v>
      </c>
      <c r="R1857">
        <v>2.1313170000000002E-3</v>
      </c>
      <c r="S1857">
        <v>-3.2403870000000001</v>
      </c>
      <c r="T1857">
        <v>-1.0456570000000001</v>
      </c>
      <c r="U1857">
        <v>0.24511720000000001</v>
      </c>
      <c r="V1857">
        <v>1.3222630000000001E-2</v>
      </c>
      <c r="W1857">
        <v>0.19341710000000001</v>
      </c>
      <c r="X1857">
        <v>0.98102750000000005</v>
      </c>
      <c r="Y1857">
        <v>8.1762409999999994E-2</v>
      </c>
      <c r="Z1857">
        <v>1.6823540000000001E-2</v>
      </c>
      <c r="AA1857">
        <v>0.99650989999999995</v>
      </c>
      <c r="AB1857">
        <v>33</v>
      </c>
      <c r="AC1857">
        <v>-0.228899999999953</v>
      </c>
      <c r="AD1857">
        <v>-0.23577089999999901</v>
      </c>
      <c r="AE1857">
        <v>6.1099999999953497E-2</v>
      </c>
      <c r="AF1857">
        <v>3.1985331881413497E-2</v>
      </c>
      <c r="AG1857">
        <v>-0.23577089999999901</v>
      </c>
      <c r="AH1857">
        <v>0.114652306762123</v>
      </c>
      <c r="AI1857">
        <v>153.212808682429</v>
      </c>
      <c r="AJ1857">
        <v>74.412131777916599</v>
      </c>
      <c r="AK1857">
        <v>0.26411385837977103</v>
      </c>
      <c r="AL1857">
        <v>78.8477300247214</v>
      </c>
      <c r="AM1857">
        <v>89.227794306150599</v>
      </c>
      <c r="AN1857">
        <v>0.99999998413638802</v>
      </c>
    </row>
    <row r="1858" spans="1:40" x14ac:dyDescent="0.25">
      <c r="A1858" t="str">
        <f>"20190303162540029"</f>
        <v>20190303162540029</v>
      </c>
      <c r="B1858" t="str">
        <f>"1551601540024578"</f>
        <v>1551601540024578</v>
      </c>
      <c r="C1858" t="s">
        <v>40</v>
      </c>
      <c r="D1858">
        <v>4.6103180000000004</v>
      </c>
      <c r="E1858">
        <v>0.53516079999999999</v>
      </c>
      <c r="F1858" t="s">
        <v>42</v>
      </c>
      <c r="G1858">
        <v>-427.50630000000001</v>
      </c>
      <c r="H1858">
        <v>0.85879810000000001</v>
      </c>
      <c r="I1858">
        <v>284.19569999999999</v>
      </c>
      <c r="J1858">
        <v>-427.02949999999998</v>
      </c>
      <c r="K1858">
        <v>1.1211169999999999</v>
      </c>
      <c r="L1858">
        <v>284.13049999999998</v>
      </c>
      <c r="M1858">
        <v>-0.99983330000000004</v>
      </c>
      <c r="N1858">
        <v>-1.452113E-2</v>
      </c>
      <c r="O1858">
        <v>-1.108401E-2</v>
      </c>
      <c r="P1858">
        <v>-0.98390129999999998</v>
      </c>
      <c r="Q1858">
        <v>0.17870440000000001</v>
      </c>
      <c r="R1858">
        <v>1.804279E-3</v>
      </c>
      <c r="S1858">
        <v>-3.2393489999999998</v>
      </c>
      <c r="T1858">
        <v>-1.046303</v>
      </c>
      <c r="U1858">
        <v>0.24340819999999999</v>
      </c>
      <c r="V1858">
        <v>1.277154E-2</v>
      </c>
      <c r="W1858">
        <v>0.1929679</v>
      </c>
      <c r="X1858">
        <v>0.98112200000000005</v>
      </c>
      <c r="Y1858">
        <v>8.1165570000000006E-2</v>
      </c>
      <c r="Z1858">
        <v>1.6701830000000001E-2</v>
      </c>
      <c r="AA1858">
        <v>0.99656069999999997</v>
      </c>
      <c r="AB1858">
        <v>33</v>
      </c>
      <c r="AC1858">
        <v>-0.47680000000002498</v>
      </c>
      <c r="AD1858">
        <v>-0.26231889999999902</v>
      </c>
      <c r="AE1858">
        <v>6.5200000000004296E-2</v>
      </c>
      <c r="AF1858">
        <v>5.4336590429857799E-2</v>
      </c>
      <c r="AG1858">
        <v>-0.26231889999999902</v>
      </c>
      <c r="AH1858">
        <v>0.36700207737570401</v>
      </c>
      <c r="AI1858">
        <v>125.262370437084</v>
      </c>
      <c r="AJ1858">
        <v>81.578238474092203</v>
      </c>
      <c r="AK1858">
        <v>0.45437230896571401</v>
      </c>
      <c r="AL1858">
        <v>78.8739622179137</v>
      </c>
      <c r="AM1858">
        <v>89.254206905762103</v>
      </c>
      <c r="AN1858">
        <v>1.00000005077418</v>
      </c>
    </row>
    <row r="1859" spans="1:40" x14ac:dyDescent="0.25">
      <c r="A1859" t="str">
        <f>"20190303162540051"</f>
        <v>20190303162540051</v>
      </c>
      <c r="B1859" t="str">
        <f>"1551601540045074"</f>
        <v>1551601540045074</v>
      </c>
      <c r="C1859" t="s">
        <v>40</v>
      </c>
      <c r="D1859">
        <v>4.6240199999999998</v>
      </c>
      <c r="E1859">
        <v>0.53500040000000004</v>
      </c>
      <c r="F1859" t="s">
        <v>42</v>
      </c>
      <c r="G1859">
        <v>-427.80720000000002</v>
      </c>
      <c r="H1859">
        <v>0.8701837</v>
      </c>
      <c r="I1859">
        <v>284.18869999999998</v>
      </c>
      <c r="J1859">
        <v>-427.36070000000001</v>
      </c>
      <c r="K1859">
        <v>1.121116</v>
      </c>
      <c r="L1859">
        <v>284.12700000000001</v>
      </c>
      <c r="M1859">
        <v>-0.99983460000000002</v>
      </c>
      <c r="N1859">
        <v>-1.4517540000000001E-2</v>
      </c>
      <c r="O1859">
        <v>-1.095834E-2</v>
      </c>
      <c r="P1859">
        <v>-0.98399700000000001</v>
      </c>
      <c r="Q1859">
        <v>0.17818349999999999</v>
      </c>
      <c r="R1859">
        <v>9.4580459999999995E-4</v>
      </c>
      <c r="S1859">
        <v>-3.2384339999999998</v>
      </c>
      <c r="T1859">
        <v>-1.0448930000000001</v>
      </c>
      <c r="U1859">
        <v>0.240509</v>
      </c>
      <c r="V1859">
        <v>1.1790470000000001E-2</v>
      </c>
      <c r="W1859">
        <v>0.19244530000000001</v>
      </c>
      <c r="X1859">
        <v>0.98123689999999997</v>
      </c>
      <c r="Y1859">
        <v>8.023856E-2</v>
      </c>
      <c r="Z1859">
        <v>1.6495369999999999E-2</v>
      </c>
      <c r="AA1859">
        <v>0.99663919999999995</v>
      </c>
      <c r="AB1859">
        <v>33</v>
      </c>
      <c r="AC1859">
        <v>-0.446500000000014</v>
      </c>
      <c r="AD1859">
        <v>-0.2509323</v>
      </c>
      <c r="AE1859">
        <v>6.1699999999973401E-2</v>
      </c>
      <c r="AF1859">
        <v>5.0834782889433099E-2</v>
      </c>
      <c r="AG1859">
        <v>-0.2509323</v>
      </c>
      <c r="AH1859">
        <v>0.34032275085059799</v>
      </c>
      <c r="AI1859">
        <v>126.10123786399799</v>
      </c>
      <c r="AJ1859">
        <v>81.504412295809502</v>
      </c>
      <c r="AK1859">
        <v>0.42587647162202302</v>
      </c>
      <c r="AL1859">
        <v>78.904476727447104</v>
      </c>
      <c r="AM1859">
        <v>89.311571283097095</v>
      </c>
      <c r="AN1859">
        <v>1.00000003129825</v>
      </c>
    </row>
    <row r="1860" spans="1:40" x14ac:dyDescent="0.25">
      <c r="A1860" t="str">
        <f>"20190303162540073"</f>
        <v>20190303162540073</v>
      </c>
      <c r="B1860" t="str">
        <f>"1551601540064594"</f>
        <v>1551601540064594</v>
      </c>
      <c r="C1860" t="s">
        <v>40</v>
      </c>
      <c r="D1860">
        <v>4.5747540000000004</v>
      </c>
      <c r="E1860">
        <v>0.53505049999999998</v>
      </c>
      <c r="F1860" t="s">
        <v>42</v>
      </c>
      <c r="G1860">
        <v>-428.1071</v>
      </c>
      <c r="H1860">
        <v>0.879947699999999</v>
      </c>
      <c r="I1860">
        <v>284.18220000000002</v>
      </c>
      <c r="J1860">
        <v>-427.68029999999999</v>
      </c>
      <c r="K1860">
        <v>1.1211150000000001</v>
      </c>
      <c r="L1860">
        <v>284.12360000000001</v>
      </c>
      <c r="M1860">
        <v>-0.99983599999999995</v>
      </c>
      <c r="N1860">
        <v>-1.4514050000000001E-2</v>
      </c>
      <c r="O1860">
        <v>-1.0837090000000001E-2</v>
      </c>
      <c r="P1860">
        <v>-0.98382650000000005</v>
      </c>
      <c r="Q1860">
        <v>0.17912429999999999</v>
      </c>
      <c r="R1860">
        <v>4.605427E-4</v>
      </c>
      <c r="S1860">
        <v>-3.2380070000000001</v>
      </c>
      <c r="T1860">
        <v>-1.046214</v>
      </c>
      <c r="U1860">
        <v>0.23690800000000001</v>
      </c>
      <c r="V1860">
        <v>1.1184329999999999E-2</v>
      </c>
      <c r="W1860">
        <v>0.1933801</v>
      </c>
      <c r="X1860">
        <v>0.98106009999999999</v>
      </c>
      <c r="Y1860">
        <v>7.907894E-2</v>
      </c>
      <c r="Z1860">
        <v>1.6289660000000001E-2</v>
      </c>
      <c r="AA1860">
        <v>0.99673529999999999</v>
      </c>
      <c r="AB1860">
        <v>33</v>
      </c>
      <c r="AC1860">
        <v>-0.426800000000014</v>
      </c>
      <c r="AD1860">
        <v>-0.2411673</v>
      </c>
      <c r="AE1860">
        <v>5.86000000000126E-2</v>
      </c>
      <c r="AF1860">
        <v>4.8136953512009299E-2</v>
      </c>
      <c r="AG1860">
        <v>-0.2411673</v>
      </c>
      <c r="AH1860">
        <v>0.32445936639067402</v>
      </c>
      <c r="AI1860">
        <v>126.32489066022001</v>
      </c>
      <c r="AJ1860">
        <v>81.561125836587706</v>
      </c>
      <c r="AK1860">
        <v>0.40712739200567799</v>
      </c>
      <c r="AL1860">
        <v>78.849890219855297</v>
      </c>
      <c r="AM1860">
        <v>89.346842108318398</v>
      </c>
      <c r="AN1860">
        <v>0.99999993606278204</v>
      </c>
    </row>
    <row r="1861" spans="1:40" x14ac:dyDescent="0.25">
      <c r="A1861" t="str">
        <f>"20190303162540095"</f>
        <v>20190303162540095</v>
      </c>
      <c r="B1861" t="str">
        <f>"1551601540085090"</f>
        <v>1551601540085090</v>
      </c>
      <c r="C1861" t="s">
        <v>40</v>
      </c>
      <c r="D1861">
        <v>4.5722579999999997</v>
      </c>
      <c r="E1861">
        <v>0.53511450000000005</v>
      </c>
      <c r="F1861" t="s">
        <v>42</v>
      </c>
      <c r="G1861">
        <v>-428.40589999999997</v>
      </c>
      <c r="H1861">
        <v>0.88787709999999997</v>
      </c>
      <c r="I1861">
        <v>284.1764</v>
      </c>
      <c r="J1861">
        <v>-428.0093</v>
      </c>
      <c r="K1861">
        <v>1.1211150000000001</v>
      </c>
      <c r="L1861">
        <v>284.12020000000001</v>
      </c>
      <c r="M1861">
        <v>-0.99983730000000004</v>
      </c>
      <c r="N1861">
        <v>-1.4510449999999999E-2</v>
      </c>
      <c r="O1861">
        <v>-1.0711180000000001E-2</v>
      </c>
      <c r="P1861">
        <v>-0.98378520000000003</v>
      </c>
      <c r="Q1861">
        <v>0.17935009999999901</v>
      </c>
      <c r="R1861">
        <v>-5.823798E-4</v>
      </c>
      <c r="S1861">
        <v>-3.2387389999999998</v>
      </c>
      <c r="T1861">
        <v>-1.0410060000000001</v>
      </c>
      <c r="U1861">
        <v>0.23583979999999999</v>
      </c>
      <c r="V1861">
        <v>1.001735E-2</v>
      </c>
      <c r="W1861">
        <v>0.19360240000000001</v>
      </c>
      <c r="X1861">
        <v>0.98102889999999998</v>
      </c>
      <c r="Y1861">
        <v>7.8683439999999993E-2</v>
      </c>
      <c r="Z1861">
        <v>1.6108500000000001E-2</v>
      </c>
      <c r="AA1861">
        <v>0.99676949999999997</v>
      </c>
      <c r="AB1861">
        <v>33</v>
      </c>
      <c r="AC1861">
        <v>-0.39659999999997803</v>
      </c>
      <c r="AD1861">
        <v>-0.233237899999999</v>
      </c>
      <c r="AE1861">
        <v>5.61999999999898E-2</v>
      </c>
      <c r="AF1861">
        <v>4.5140555574115102E-2</v>
      </c>
      <c r="AG1861">
        <v>-0.233237899999999</v>
      </c>
      <c r="AH1861">
        <v>0.29571443804384401</v>
      </c>
      <c r="AI1861">
        <v>127.943363240872</v>
      </c>
      <c r="AJ1861">
        <v>81.320847675319499</v>
      </c>
      <c r="AK1861">
        <v>0.379321257803377</v>
      </c>
      <c r="AL1861">
        <v>78.836908409090199</v>
      </c>
      <c r="AM1861">
        <v>89.414969395608097</v>
      </c>
      <c r="AN1861">
        <v>0.99999996961099502</v>
      </c>
    </row>
    <row r="1862" spans="1:40" x14ac:dyDescent="0.25">
      <c r="A1862" t="str">
        <f>"20190303162540119"</f>
        <v>20190303162540119</v>
      </c>
      <c r="B1862" t="str">
        <f>"1551601540115346"</f>
        <v>1551601540115346</v>
      </c>
      <c r="C1862" t="s">
        <v>40</v>
      </c>
      <c r="D1862">
        <v>4.707217</v>
      </c>
      <c r="E1862">
        <v>0.53237900000000005</v>
      </c>
      <c r="F1862" t="s">
        <v>42</v>
      </c>
      <c r="G1862">
        <v>-428.70530000000002</v>
      </c>
      <c r="H1862">
        <v>0.89753369999999999</v>
      </c>
      <c r="I1862">
        <v>284.17099999999999</v>
      </c>
      <c r="J1862">
        <v>-428.35109999999997</v>
      </c>
      <c r="K1862">
        <v>1.121108</v>
      </c>
      <c r="L1862">
        <v>284.11669999999998</v>
      </c>
      <c r="M1862">
        <v>-0.99983880000000003</v>
      </c>
      <c r="N1862">
        <v>-1.4506720000000001E-2</v>
      </c>
      <c r="O1862">
        <v>-1.057691E-2</v>
      </c>
      <c r="P1862">
        <v>-0.98370619999999998</v>
      </c>
      <c r="Q1862">
        <v>0.1797763</v>
      </c>
      <c r="R1862">
        <v>-1.6834109999999999E-3</v>
      </c>
      <c r="S1862">
        <v>-3.239258</v>
      </c>
      <c r="T1862">
        <v>-1.04061</v>
      </c>
      <c r="U1862">
        <v>0.2335815</v>
      </c>
      <c r="V1862">
        <v>8.7842000000000007E-3</v>
      </c>
      <c r="W1862">
        <v>0.1940248</v>
      </c>
      <c r="X1862">
        <v>0.98095730000000003</v>
      </c>
      <c r="Y1862">
        <v>7.7898620000000002E-2</v>
      </c>
      <c r="Z1862">
        <v>1.5931850000000001E-2</v>
      </c>
      <c r="AA1862">
        <v>0.996834</v>
      </c>
      <c r="AB1862">
        <v>33</v>
      </c>
      <c r="AC1862">
        <v>-0.35420000000004798</v>
      </c>
      <c r="AD1862">
        <v>-0.2235743</v>
      </c>
      <c r="AE1862">
        <v>5.4300000000011998E-2</v>
      </c>
      <c r="AF1862">
        <v>4.1779807534259097E-2</v>
      </c>
      <c r="AG1862">
        <v>-0.2235743</v>
      </c>
      <c r="AH1862">
        <v>0.25452517073094599</v>
      </c>
      <c r="AI1862">
        <v>130.91866304233699</v>
      </c>
      <c r="AJ1862">
        <v>80.678141458858306</v>
      </c>
      <c r="AK1862">
        <v>0.34134159206534798</v>
      </c>
      <c r="AL1862">
        <v>78.812239295561298</v>
      </c>
      <c r="AM1862">
        <v>89.486945930881106</v>
      </c>
      <c r="AN1862">
        <v>1.0000000048039801</v>
      </c>
    </row>
    <row r="1863" spans="1:40" x14ac:dyDescent="0.25">
      <c r="A1863" t="str">
        <f>"20190303162540141"</f>
        <v>20190303162540141</v>
      </c>
      <c r="B1863" t="str">
        <f>"1551601540134866"</f>
        <v>1551601540134866</v>
      </c>
      <c r="C1863" t="s">
        <v>40</v>
      </c>
      <c r="D1863">
        <v>4.5255939999999999</v>
      </c>
      <c r="E1863">
        <v>0.4809833</v>
      </c>
      <c r="F1863" t="s">
        <v>42</v>
      </c>
      <c r="G1863">
        <v>-429.28070000000002</v>
      </c>
      <c r="H1863">
        <v>0.86225699999999905</v>
      </c>
      <c r="I1863">
        <v>284.17869999999999</v>
      </c>
      <c r="J1863">
        <v>-428.67829999999998</v>
      </c>
      <c r="K1863">
        <v>1.1211089999999999</v>
      </c>
      <c r="L1863">
        <v>284.11329999999998</v>
      </c>
      <c r="M1863">
        <v>-0.99984039999999996</v>
      </c>
      <c r="N1863">
        <v>-1.4503139999999999E-2</v>
      </c>
      <c r="O1863">
        <v>-1.044284E-2</v>
      </c>
      <c r="P1863">
        <v>-0.98371739999999996</v>
      </c>
      <c r="Q1863">
        <v>0.17969979999999999</v>
      </c>
      <c r="R1863">
        <v>-2.893507E-3</v>
      </c>
      <c r="S1863">
        <v>-3.213562</v>
      </c>
      <c r="T1863">
        <v>-0.8949106</v>
      </c>
      <c r="U1863">
        <v>0.212677</v>
      </c>
      <c r="V1863">
        <v>7.4438019999999898E-3</v>
      </c>
      <c r="W1863">
        <v>0.19394520000000001</v>
      </c>
      <c r="X1863">
        <v>0.98098410000000003</v>
      </c>
      <c r="Y1863">
        <v>7.3175100000000007E-2</v>
      </c>
      <c r="Z1863">
        <v>1.323242E-2</v>
      </c>
      <c r="AA1863">
        <v>0.99723130000000004</v>
      </c>
      <c r="AB1863">
        <v>33</v>
      </c>
      <c r="AC1863">
        <v>-0.60240000000004501</v>
      </c>
      <c r="AD1863">
        <v>-0.25885200000000003</v>
      </c>
      <c r="AE1863">
        <v>6.5400000000010894E-2</v>
      </c>
      <c r="AF1863">
        <v>6.0624385339202697E-2</v>
      </c>
      <c r="AG1863">
        <v>-0.25885200000000003</v>
      </c>
      <c r="AH1863">
        <v>0.508827142693285</v>
      </c>
      <c r="AI1863">
        <v>116.800624963419</v>
      </c>
      <c r="AJ1863">
        <v>83.205504463888204</v>
      </c>
      <c r="AK1863">
        <v>0.57409470921022199</v>
      </c>
      <c r="AL1863">
        <v>78.816888042840006</v>
      </c>
      <c r="AM1863">
        <v>89.565242441136704</v>
      </c>
      <c r="AN1863">
        <v>0.99999997762203197</v>
      </c>
    </row>
    <row r="1864" spans="1:40" x14ac:dyDescent="0.25">
      <c r="A1864" t="str">
        <f>"20190303162540163"</f>
        <v>20190303162540163</v>
      </c>
      <c r="B1864" t="str">
        <f>"1551601540155361"</f>
        <v>1551601540155361</v>
      </c>
      <c r="C1864" t="s">
        <v>40</v>
      </c>
      <c r="D1864">
        <v>4.5573899999999998</v>
      </c>
      <c r="E1864">
        <v>0.46617900000000001</v>
      </c>
      <c r="F1864" t="s">
        <v>42</v>
      </c>
      <c r="G1864">
        <v>-429.65030000000002</v>
      </c>
      <c r="H1864">
        <v>1.013306</v>
      </c>
      <c r="I1864">
        <v>284.0557</v>
      </c>
      <c r="J1864">
        <v>-429.0052</v>
      </c>
      <c r="K1864">
        <v>1.1211089999999999</v>
      </c>
      <c r="L1864">
        <v>284.11</v>
      </c>
      <c r="M1864">
        <v>-0.9998418</v>
      </c>
      <c r="N1864">
        <v>-1.449955E-2</v>
      </c>
      <c r="O1864">
        <v>-1.0303390000000001E-2</v>
      </c>
      <c r="P1864">
        <v>-0.98369490000000004</v>
      </c>
      <c r="Q1864">
        <v>0.17980850000000001</v>
      </c>
      <c r="R1864">
        <v>-3.6815709999999998E-3</v>
      </c>
      <c r="S1864">
        <v>-3.1121219999999998</v>
      </c>
      <c r="T1864">
        <v>-0.34520830000000002</v>
      </c>
      <c r="U1864">
        <v>-0.18524170000000001</v>
      </c>
      <c r="V1864">
        <v>6.5206789999999997E-3</v>
      </c>
      <c r="W1864">
        <v>0.19405</v>
      </c>
      <c r="X1864">
        <v>0.98097000000000001</v>
      </c>
      <c r="Y1864">
        <v>-4.8837819999999997E-2</v>
      </c>
      <c r="Z1864">
        <v>-2.0641980000000002E-3</v>
      </c>
      <c r="AA1864">
        <v>0.99880460000000004</v>
      </c>
      <c r="AB1864">
        <v>33</v>
      </c>
      <c r="AC1864">
        <v>-0.645100000000013</v>
      </c>
      <c r="AD1864">
        <v>-0.107802999999999</v>
      </c>
      <c r="AE1864">
        <v>-5.4300000000011998E-2</v>
      </c>
      <c r="AF1864">
        <v>-4.6364051264858597E-2</v>
      </c>
      <c r="AG1864">
        <v>-0.107802999999999</v>
      </c>
      <c r="AH1864">
        <v>0.62820548291573997</v>
      </c>
      <c r="AI1864">
        <v>99.711472007546803</v>
      </c>
      <c r="AJ1864">
        <v>94.2210024549167</v>
      </c>
      <c r="AK1864">
        <v>0.63907217184296805</v>
      </c>
      <c r="AL1864">
        <v>78.810767769182505</v>
      </c>
      <c r="AM1864">
        <v>89.619150551189307</v>
      </c>
      <c r="AN1864">
        <v>1.0000000313273101</v>
      </c>
    </row>
    <row r="1865" spans="1:40" x14ac:dyDescent="0.25">
      <c r="A1865" t="str">
        <f>"20190303162540184"</f>
        <v>20190303162540184</v>
      </c>
      <c r="B1865" t="str">
        <f>"1551601540174882"</f>
        <v>1551601540174882</v>
      </c>
      <c r="C1865" t="s">
        <v>40</v>
      </c>
      <c r="D1865">
        <v>4.5461580000000001</v>
      </c>
      <c r="E1865">
        <v>0.46028580000000002</v>
      </c>
      <c r="F1865" t="s">
        <v>48</v>
      </c>
      <c r="G1865">
        <v>-442.05739999999997</v>
      </c>
      <c r="H1865" s="1">
        <v>-3.6392240000000002E-7</v>
      </c>
      <c r="I1865">
        <v>282.83120000000002</v>
      </c>
      <c r="J1865">
        <v>-429.32010000000002</v>
      </c>
      <c r="K1865">
        <v>1.121111</v>
      </c>
      <c r="L1865">
        <v>284.1069</v>
      </c>
      <c r="M1865">
        <v>-0.99984340000000005</v>
      </c>
      <c r="N1865">
        <v>-1.449611E-2</v>
      </c>
      <c r="O1865">
        <v>-1.0162859999999999E-2</v>
      </c>
      <c r="P1865">
        <v>-0.98347510000000005</v>
      </c>
      <c r="Q1865">
        <v>0.1809973</v>
      </c>
      <c r="R1865">
        <v>-4.133383E-3</v>
      </c>
      <c r="S1865">
        <v>-3.0971980000000001</v>
      </c>
      <c r="T1865">
        <v>-0.26603110000000002</v>
      </c>
      <c r="U1865">
        <v>-0.30346679999999998</v>
      </c>
      <c r="V1865">
        <v>5.9311449999999996E-3</v>
      </c>
      <c r="W1865">
        <v>0.1952324</v>
      </c>
      <c r="X1865">
        <v>0.98073909999999997</v>
      </c>
      <c r="Y1865">
        <v>-8.7047570000000005E-2</v>
      </c>
      <c r="Z1865">
        <v>-3.6341519999999999E-3</v>
      </c>
      <c r="AA1865">
        <v>0.99619749999999996</v>
      </c>
      <c r="AB1865">
        <v>33</v>
      </c>
      <c r="AC1865">
        <v>-12.7372999999999</v>
      </c>
      <c r="AD1865">
        <v>-1.1211113639224</v>
      </c>
      <c r="AE1865">
        <v>-1.2756999999999701</v>
      </c>
      <c r="AF1865">
        <v>-1.13744863490018</v>
      </c>
      <c r="AG1865">
        <v>-1.1211113639224</v>
      </c>
      <c r="AH1865">
        <v>12.6525602124606</v>
      </c>
      <c r="AI1865">
        <v>95.043376634943996</v>
      </c>
      <c r="AJ1865">
        <v>95.137006719739801</v>
      </c>
      <c r="AK1865">
        <v>12.752958873033901</v>
      </c>
      <c r="AL1865">
        <v>78.741700219804997</v>
      </c>
      <c r="AM1865">
        <v>89.6535006778888</v>
      </c>
      <c r="AN1865">
        <v>1.00000002537979</v>
      </c>
    </row>
    <row r="1866" spans="1:40" x14ac:dyDescent="0.25">
      <c r="A1866" t="str">
        <f>"20190303162540208"</f>
        <v>20190303162540208</v>
      </c>
      <c r="B1866" t="str">
        <f>"1551601540195377"</f>
        <v>1551601540195377</v>
      </c>
      <c r="C1866" t="s">
        <v>40</v>
      </c>
      <c r="D1866">
        <v>4.5106020000000004</v>
      </c>
      <c r="E1866">
        <v>0.45851560000000002</v>
      </c>
      <c r="F1866" t="s">
        <v>48</v>
      </c>
      <c r="G1866">
        <v>-443.51080000000002</v>
      </c>
      <c r="H1866" s="1">
        <v>4.241642E-7</v>
      </c>
      <c r="I1866">
        <v>282.49639999999999</v>
      </c>
      <c r="J1866">
        <v>-429.65570000000002</v>
      </c>
      <c r="K1866">
        <v>1.12112099999999</v>
      </c>
      <c r="L1866">
        <v>284.1037</v>
      </c>
      <c r="M1866">
        <v>-0.99984499999999998</v>
      </c>
      <c r="N1866">
        <v>-1.449253E-2</v>
      </c>
      <c r="O1866">
        <v>-1.0005139999999999E-2</v>
      </c>
      <c r="P1866">
        <v>-0.98320660000000004</v>
      </c>
      <c r="Q1866">
        <v>0.1824383</v>
      </c>
      <c r="R1866">
        <v>-4.616256E-3</v>
      </c>
      <c r="S1866">
        <v>-3.0939329999999998</v>
      </c>
      <c r="T1866">
        <v>-0.2444307</v>
      </c>
      <c r="U1866">
        <v>-0.35113529999999998</v>
      </c>
      <c r="V1866">
        <v>5.293809E-3</v>
      </c>
      <c r="W1866">
        <v>0.19666600000000001</v>
      </c>
      <c r="X1866">
        <v>0.9804562</v>
      </c>
      <c r="Y1866">
        <v>-0.1024664</v>
      </c>
      <c r="Z1866">
        <v>-4.1324959999999899E-3</v>
      </c>
      <c r="AA1866">
        <v>0.9947279</v>
      </c>
      <c r="AB1866">
        <v>33</v>
      </c>
      <c r="AC1866">
        <v>-13.855099999999901</v>
      </c>
      <c r="AD1866">
        <v>-1.1211205758357901</v>
      </c>
      <c r="AE1866">
        <v>-1.6073</v>
      </c>
      <c r="AF1866">
        <v>-1.45915560139525</v>
      </c>
      <c r="AG1866">
        <v>-1.1211205758357901</v>
      </c>
      <c r="AH1866">
        <v>13.7814514819518</v>
      </c>
      <c r="AI1866">
        <v>94.625029895270799</v>
      </c>
      <c r="AJ1866">
        <v>96.043858190791994</v>
      </c>
      <c r="AK1866">
        <v>13.9037567356465</v>
      </c>
      <c r="AL1866">
        <v>78.6579362917617</v>
      </c>
      <c r="AM1866">
        <v>89.690644043224694</v>
      </c>
      <c r="AN1866">
        <v>0.99999995004408304</v>
      </c>
    </row>
    <row r="1867" spans="1:40" x14ac:dyDescent="0.25">
      <c r="A1867" t="str">
        <f>"20190303162540231"</f>
        <v>20190303162540231</v>
      </c>
      <c r="B1867" t="str">
        <f>"1551601540224658"</f>
        <v>1551601540224658</v>
      </c>
      <c r="C1867" t="s">
        <v>40</v>
      </c>
      <c r="D1867">
        <v>4.5360750000000003</v>
      </c>
      <c r="E1867">
        <v>0.45738459999999997</v>
      </c>
      <c r="F1867" t="s">
        <v>48</v>
      </c>
      <c r="G1867">
        <v>-444.66770000000002</v>
      </c>
      <c r="H1867" s="1">
        <v>1.047074E-6</v>
      </c>
      <c r="I1867">
        <v>282.32990000000001</v>
      </c>
      <c r="J1867">
        <v>-429.9982</v>
      </c>
      <c r="K1867">
        <v>1.1211249999999999</v>
      </c>
      <c r="L1867">
        <v>284.10050000000001</v>
      </c>
      <c r="M1867">
        <v>-0.99984680000000004</v>
      </c>
      <c r="N1867">
        <v>-1.448895E-2</v>
      </c>
      <c r="O1867">
        <v>-9.8340660000000007E-3</v>
      </c>
      <c r="P1867">
        <v>-0.98289009999999999</v>
      </c>
      <c r="Q1867">
        <v>0.18413379999999999</v>
      </c>
      <c r="R1867">
        <v>-4.7143059999999997E-3</v>
      </c>
      <c r="S1867">
        <v>-3.0924070000000001</v>
      </c>
      <c r="T1867">
        <v>-0.23094529999999999</v>
      </c>
      <c r="U1867">
        <v>-0.36538700000000002</v>
      </c>
      <c r="V1867">
        <v>5.0281670000000001E-3</v>
      </c>
      <c r="W1867">
        <v>0.19835349999999999</v>
      </c>
      <c r="X1867">
        <v>0.98011760000000003</v>
      </c>
      <c r="Y1867">
        <v>-0.1072323</v>
      </c>
      <c r="Z1867">
        <v>-4.1767189999999997E-3</v>
      </c>
      <c r="AA1867">
        <v>0.99422520000000003</v>
      </c>
      <c r="AB1867">
        <v>33</v>
      </c>
      <c r="AC1867">
        <v>-14.669499999999999</v>
      </c>
      <c r="AD1867">
        <v>-1.121123952926</v>
      </c>
      <c r="AE1867">
        <v>-1.7706</v>
      </c>
      <c r="AF1867">
        <v>-1.61692976127054</v>
      </c>
      <c r="AG1867">
        <v>-1.121123952926</v>
      </c>
      <c r="AH1867">
        <v>14.602140174723001</v>
      </c>
      <c r="AI1867">
        <v>94.363876421629399</v>
      </c>
      <c r="AJ1867">
        <v>96.318755895264104</v>
      </c>
      <c r="AK1867">
        <v>14.734105960422699</v>
      </c>
      <c r="AL1867">
        <v>78.559306752478093</v>
      </c>
      <c r="AM1867">
        <v>89.706065659440995</v>
      </c>
      <c r="AN1867">
        <v>0.99999995162769295</v>
      </c>
    </row>
    <row r="1868" spans="1:40" x14ac:dyDescent="0.25">
      <c r="A1868" t="str">
        <f>"20190303162540253"</f>
        <v>20190303162540253</v>
      </c>
      <c r="B1868" t="str">
        <f>"1551601540245155"</f>
        <v>1551601540245155</v>
      </c>
      <c r="C1868" t="s">
        <v>40</v>
      </c>
      <c r="D1868">
        <v>4.5510900000000003</v>
      </c>
      <c r="E1868">
        <v>0.45687090000000002</v>
      </c>
      <c r="F1868" t="s">
        <v>48</v>
      </c>
      <c r="G1868">
        <v>-445.59750000000003</v>
      </c>
      <c r="H1868" s="1">
        <v>1.547139E-6</v>
      </c>
      <c r="I1868">
        <v>282.20949999999999</v>
      </c>
      <c r="J1868">
        <v>-430.32979999999998</v>
      </c>
      <c r="K1868">
        <v>1.12112099999999</v>
      </c>
      <c r="L1868">
        <v>284.09739999999999</v>
      </c>
      <c r="M1868">
        <v>-0.99984839999999997</v>
      </c>
      <c r="N1868">
        <v>-1.448548E-2</v>
      </c>
      <c r="O1868">
        <v>-9.6585760000000003E-3</v>
      </c>
      <c r="P1868">
        <v>-0.98265210000000003</v>
      </c>
      <c r="Q1868">
        <v>0.1854083</v>
      </c>
      <c r="R1868">
        <v>-4.3716559999999998E-3</v>
      </c>
      <c r="S1868">
        <v>-3.0920719999999999</v>
      </c>
      <c r="T1868">
        <v>-0.2222266</v>
      </c>
      <c r="U1868">
        <v>-0.37481690000000001</v>
      </c>
      <c r="V1868">
        <v>5.2001E-3</v>
      </c>
      <c r="W1868">
        <v>0.1996213</v>
      </c>
      <c r="X1868">
        <v>0.97985929999999999</v>
      </c>
      <c r="Y1868">
        <v>-0.1104204</v>
      </c>
      <c r="Z1868">
        <v>-4.2010179999999999E-3</v>
      </c>
      <c r="AA1868">
        <v>0.99387610000000004</v>
      </c>
      <c r="AB1868">
        <v>33</v>
      </c>
      <c r="AC1868">
        <v>-15.2677</v>
      </c>
      <c r="AD1868">
        <v>-1.12111945286099</v>
      </c>
      <c r="AE1868">
        <v>-1.8878999999999999</v>
      </c>
      <c r="AF1868">
        <v>-1.7311383356449801</v>
      </c>
      <c r="AG1868">
        <v>-1.12111945286099</v>
      </c>
      <c r="AH1868">
        <v>15.204474904037401</v>
      </c>
      <c r="AI1868">
        <v>94.190163708965599</v>
      </c>
      <c r="AJ1868">
        <v>96.495562818485197</v>
      </c>
      <c r="AK1868">
        <v>15.3437220345073</v>
      </c>
      <c r="AL1868">
        <v>78.485185153937095</v>
      </c>
      <c r="AM1868">
        <v>89.695934930671498</v>
      </c>
      <c r="AN1868">
        <v>0.99999997612509395</v>
      </c>
    </row>
    <row r="1869" spans="1:40" x14ac:dyDescent="0.25">
      <c r="A1869" t="str">
        <f>"20190303162540274"</f>
        <v>20190303162540274</v>
      </c>
      <c r="B1869" t="str">
        <f>"1551601540264675"</f>
        <v>1551601540264675</v>
      </c>
      <c r="C1869" t="s">
        <v>40</v>
      </c>
      <c r="D1869">
        <v>4.5858919999999896</v>
      </c>
      <c r="E1869">
        <v>0.4564783</v>
      </c>
      <c r="F1869" t="s">
        <v>48</v>
      </c>
      <c r="G1869">
        <v>-446.2842</v>
      </c>
      <c r="H1869" s="1">
        <v>1.9154060000000001E-6</v>
      </c>
      <c r="I1869">
        <v>282.14429999999999</v>
      </c>
      <c r="J1869">
        <v>-430.6386</v>
      </c>
      <c r="K1869">
        <v>1.1211089999999999</v>
      </c>
      <c r="L1869">
        <v>284.09449999999998</v>
      </c>
      <c r="M1869">
        <v>-0.99985009999999996</v>
      </c>
      <c r="N1869">
        <v>-1.4482220000000001E-2</v>
      </c>
      <c r="O1869">
        <v>-9.4885790000000005E-3</v>
      </c>
      <c r="P1869">
        <v>-0.98269720000000005</v>
      </c>
      <c r="Q1869">
        <v>0.18518409999999999</v>
      </c>
      <c r="R1869">
        <v>-3.6573479999999999E-3</v>
      </c>
      <c r="S1869">
        <v>-3.092285</v>
      </c>
      <c r="T1869">
        <v>-0.21729509999999999</v>
      </c>
      <c r="U1869">
        <v>-0.37853999999999999</v>
      </c>
      <c r="V1869">
        <v>5.7506659999999998E-3</v>
      </c>
      <c r="W1869">
        <v>0.19939419999999999</v>
      </c>
      <c r="X1869">
        <v>0.97990250000000001</v>
      </c>
      <c r="Y1869">
        <v>-0.1117689</v>
      </c>
      <c r="Z1869">
        <v>-4.1946359999999999E-3</v>
      </c>
      <c r="AA1869">
        <v>0.99372539999999998</v>
      </c>
      <c r="AB1869">
        <v>33</v>
      </c>
      <c r="AC1869">
        <v>-15.6456</v>
      </c>
      <c r="AD1869">
        <v>-1.1211070845940001</v>
      </c>
      <c r="AE1869">
        <v>-1.9501999999999899</v>
      </c>
      <c r="AF1869">
        <v>-1.7925786851327801</v>
      </c>
      <c r="AG1869">
        <v>-1.1211070845940001</v>
      </c>
      <c r="AH1869">
        <v>15.584605090398099</v>
      </c>
      <c r="AI1869">
        <v>94.087729445079503</v>
      </c>
      <c r="AJ1869">
        <v>96.561463087681105</v>
      </c>
      <c r="AK1869">
        <v>15.7273689872522</v>
      </c>
      <c r="AL1869">
        <v>78.498464413793599</v>
      </c>
      <c r="AM1869">
        <v>89.663757252715897</v>
      </c>
      <c r="AN1869">
        <v>1.00000001332966</v>
      </c>
    </row>
    <row r="1870" spans="1:40" x14ac:dyDescent="0.25">
      <c r="A1870" t="str">
        <f>"20190303162540296"</f>
        <v>20190303162540296</v>
      </c>
      <c r="B1870" t="str">
        <f>"1551601540285170"</f>
        <v>1551601540285170</v>
      </c>
      <c r="C1870" t="s">
        <v>40</v>
      </c>
      <c r="D1870">
        <v>4.6098919999999897</v>
      </c>
      <c r="E1870">
        <v>0.45629950000000002</v>
      </c>
      <c r="F1870" t="s">
        <v>48</v>
      </c>
      <c r="G1870">
        <v>-446.71050000000002</v>
      </c>
      <c r="H1870" s="1">
        <v>2.1432079999999999E-6</v>
      </c>
      <c r="I1870">
        <v>282.1232</v>
      </c>
      <c r="J1870">
        <v>-430.96260000000001</v>
      </c>
      <c r="K1870">
        <v>1.121102</v>
      </c>
      <c r="L1870">
        <v>284.0917</v>
      </c>
      <c r="M1870">
        <v>-0.99985190000000002</v>
      </c>
      <c r="N1870">
        <v>-1.4478799999999899E-2</v>
      </c>
      <c r="O1870">
        <v>-9.3033290000000008E-3</v>
      </c>
      <c r="P1870">
        <v>-0.98265610000000003</v>
      </c>
      <c r="Q1870">
        <v>0.18540039999999999</v>
      </c>
      <c r="R1870">
        <v>-3.7252269999999998E-3</v>
      </c>
      <c r="S1870">
        <v>-3.0921020000000001</v>
      </c>
      <c r="T1870">
        <v>-0.2156913</v>
      </c>
      <c r="U1870">
        <v>-0.37927250000000001</v>
      </c>
      <c r="V1870">
        <v>5.503239E-3</v>
      </c>
      <c r="W1870">
        <v>0.1996059</v>
      </c>
      <c r="X1870">
        <v>0.97986079999999998</v>
      </c>
      <c r="Y1870">
        <v>-0.11219460000000001</v>
      </c>
      <c r="Z1870">
        <v>-4.1987200000000004E-3</v>
      </c>
      <c r="AA1870">
        <v>0.99367740000000004</v>
      </c>
      <c r="AB1870">
        <v>33</v>
      </c>
      <c r="AC1870">
        <v>-15.7479</v>
      </c>
      <c r="AD1870">
        <v>-1.1210998567919901</v>
      </c>
      <c r="AE1870">
        <v>-1.9684999999999999</v>
      </c>
      <c r="AF1870">
        <v>-1.8128452472669301</v>
      </c>
      <c r="AG1870">
        <v>-1.1210998567919901</v>
      </c>
      <c r="AH1870">
        <v>15.687252794799001</v>
      </c>
      <c r="AI1870">
        <v>94.060797218666096</v>
      </c>
      <c r="AJ1870">
        <v>96.591956070492998</v>
      </c>
      <c r="AK1870">
        <v>15.831398328238899</v>
      </c>
      <c r="AL1870">
        <v>78.486085841906799</v>
      </c>
      <c r="AM1870">
        <v>89.678210361025606</v>
      </c>
      <c r="AN1870">
        <v>0.99999999416547003</v>
      </c>
    </row>
    <row r="1871" spans="1:40" x14ac:dyDescent="0.25">
      <c r="A1871" t="str">
        <f>"20190303162540320"</f>
        <v>20190303162540320</v>
      </c>
      <c r="B1871" t="str">
        <f>"1551601540315427"</f>
        <v>1551601540315427</v>
      </c>
      <c r="C1871" t="s">
        <v>40</v>
      </c>
      <c r="D1871">
        <v>4.5615209999999999</v>
      </c>
      <c r="E1871">
        <v>0.4559994</v>
      </c>
      <c r="F1871" t="s">
        <v>48</v>
      </c>
      <c r="G1871">
        <v>-447.01190000000003</v>
      </c>
      <c r="H1871" s="1">
        <v>2.3039320000000001E-6</v>
      </c>
      <c r="I1871">
        <v>282.11559999999997</v>
      </c>
      <c r="J1871">
        <v>-431.2878</v>
      </c>
      <c r="K1871">
        <v>1.121102</v>
      </c>
      <c r="L1871">
        <v>284.08890000000002</v>
      </c>
      <c r="M1871">
        <v>-0.99985369999999996</v>
      </c>
      <c r="N1871">
        <v>-1.447533E-2</v>
      </c>
      <c r="O1871">
        <v>-9.1107059999999997E-3</v>
      </c>
      <c r="P1871">
        <v>-0.98273929999999998</v>
      </c>
      <c r="Q1871">
        <v>0.18495819999999999</v>
      </c>
      <c r="R1871">
        <v>-3.762451E-3</v>
      </c>
      <c r="S1871">
        <v>-3.0922550000000002</v>
      </c>
      <c r="T1871">
        <v>-0.21600440000000001</v>
      </c>
      <c r="U1871">
        <v>-0.3807373</v>
      </c>
      <c r="V1871">
        <v>5.2798630000000001E-3</v>
      </c>
      <c r="W1871">
        <v>0.19916200000000001</v>
      </c>
      <c r="X1871">
        <v>0.9799523</v>
      </c>
      <c r="Y1871">
        <v>-0.1128408</v>
      </c>
      <c r="Z1871">
        <v>-4.2407349999999998E-3</v>
      </c>
      <c r="AA1871">
        <v>0.99360400000000004</v>
      </c>
      <c r="AB1871">
        <v>33</v>
      </c>
      <c r="AC1871">
        <v>-15.7241</v>
      </c>
      <c r="AD1871">
        <v>-1.121099696068</v>
      </c>
      <c r="AE1871">
        <v>-1.97330000000005</v>
      </c>
      <c r="AF1871">
        <v>-1.8208328555378499</v>
      </c>
      <c r="AG1871">
        <v>-1.121099696068</v>
      </c>
      <c r="AH1871">
        <v>15.663039857545799</v>
      </c>
      <c r="AI1871">
        <v>94.066733814064904</v>
      </c>
      <c r="AJ1871">
        <v>96.630887395102704</v>
      </c>
      <c r="AK1871">
        <v>15.8083242121168</v>
      </c>
      <c r="AL1871">
        <v>78.512039996710996</v>
      </c>
      <c r="AM1871">
        <v>89.6913003427711</v>
      </c>
      <c r="AN1871">
        <v>0.99999994473629295</v>
      </c>
    </row>
    <row r="1872" spans="1:40" x14ac:dyDescent="0.25">
      <c r="A1872" t="str">
        <f>"20190303162540341"</f>
        <v>20190303162540341</v>
      </c>
      <c r="B1872" t="str">
        <f>"1551601540334947"</f>
        <v>1551601540334947</v>
      </c>
      <c r="C1872" t="s">
        <v>40</v>
      </c>
      <c r="D1872">
        <v>4.6254429999999997</v>
      </c>
      <c r="E1872">
        <v>0.4558102</v>
      </c>
      <c r="F1872" t="s">
        <v>48</v>
      </c>
      <c r="G1872">
        <v>-447.0575</v>
      </c>
      <c r="H1872" s="1">
        <v>2.3273280000000001E-6</v>
      </c>
      <c r="I1872">
        <v>282.13510000000002</v>
      </c>
      <c r="J1872">
        <v>-431.61860000000001</v>
      </c>
      <c r="K1872">
        <v>1.1210960000000001</v>
      </c>
      <c r="L1872">
        <v>284.08609999999999</v>
      </c>
      <c r="M1872">
        <v>-0.99985570000000001</v>
      </c>
      <c r="N1872">
        <v>-1.447184E-2</v>
      </c>
      <c r="O1872">
        <v>-8.9089169999999902E-3</v>
      </c>
      <c r="P1872">
        <v>-0.98281030000000003</v>
      </c>
      <c r="Q1872">
        <v>0.18456330000000001</v>
      </c>
      <c r="R1872">
        <v>-4.5434409999999996E-3</v>
      </c>
      <c r="S1872">
        <v>-3.0926209999999998</v>
      </c>
      <c r="T1872">
        <v>-0.2198609</v>
      </c>
      <c r="U1872">
        <v>-0.38314819999999999</v>
      </c>
      <c r="V1872">
        <v>4.303126E-3</v>
      </c>
      <c r="W1872">
        <v>0.19876530000000001</v>
      </c>
      <c r="X1872">
        <v>0.98003770000000001</v>
      </c>
      <c r="Y1872">
        <v>-0.1137768</v>
      </c>
      <c r="Z1872">
        <v>-4.349861E-3</v>
      </c>
      <c r="AA1872">
        <v>0.99349679999999996</v>
      </c>
      <c r="AB1872">
        <v>33</v>
      </c>
      <c r="AC1872">
        <v>-15.438899999999901</v>
      </c>
      <c r="AD1872">
        <v>-1.12109367267199</v>
      </c>
      <c r="AE1872">
        <v>-1.9509999999999601</v>
      </c>
      <c r="AF1872">
        <v>-1.8040014524050101</v>
      </c>
      <c r="AG1872">
        <v>-1.12109367267199</v>
      </c>
      <c r="AH1872">
        <v>15.3758689410279</v>
      </c>
      <c r="AI1872">
        <v>94.141890951128403</v>
      </c>
      <c r="AJ1872">
        <v>96.691736986406099</v>
      </c>
      <c r="AK1872">
        <v>15.521875465124999</v>
      </c>
      <c r="AL1872">
        <v>78.535233893881397</v>
      </c>
      <c r="AM1872">
        <v>89.7484286837947</v>
      </c>
      <c r="AN1872">
        <v>1.0000000273993701</v>
      </c>
    </row>
    <row r="1873" spans="1:40" x14ac:dyDescent="0.25">
      <c r="A1873" t="str">
        <f>"20190303162540363"</f>
        <v>20190303162540363</v>
      </c>
      <c r="B1873" t="str">
        <f>"1551601540354466"</f>
        <v>1551601540354466</v>
      </c>
      <c r="C1873" t="s">
        <v>40</v>
      </c>
      <c r="D1873">
        <v>4.6122500000000004</v>
      </c>
      <c r="E1873">
        <v>0.45564719999999997</v>
      </c>
      <c r="F1873" t="s">
        <v>48</v>
      </c>
      <c r="G1873">
        <v>-447.3279</v>
      </c>
      <c r="H1873" s="1">
        <v>2.4719360000000001E-6</v>
      </c>
      <c r="I1873">
        <v>282.1189</v>
      </c>
      <c r="J1873">
        <v>-431.93340000000001</v>
      </c>
      <c r="K1873">
        <v>1.1210869999999999</v>
      </c>
      <c r="L1873">
        <v>284.08339999999998</v>
      </c>
      <c r="M1873">
        <v>-0.99985729999999995</v>
      </c>
      <c r="N1873">
        <v>-1.446853E-2</v>
      </c>
      <c r="O1873">
        <v>-8.712984E-3</v>
      </c>
      <c r="P1873">
        <v>-0.98301340000000004</v>
      </c>
      <c r="Q1873">
        <v>0.18342520000000001</v>
      </c>
      <c r="R1873">
        <v>-6.3242719999999997E-3</v>
      </c>
      <c r="S1873">
        <v>-3.0921630000000002</v>
      </c>
      <c r="T1873">
        <v>-0.22067120000000001</v>
      </c>
      <c r="U1873">
        <v>-0.38720700000000002</v>
      </c>
      <c r="V1873">
        <v>2.3327439999999999E-3</v>
      </c>
      <c r="W1873">
        <v>0.1976281</v>
      </c>
      <c r="X1873">
        <v>0.98027430000000004</v>
      </c>
      <c r="Y1873">
        <v>-0.11526649999999999</v>
      </c>
      <c r="Z1873">
        <v>-4.4372099999999996E-3</v>
      </c>
      <c r="AA1873">
        <v>0.99332469999999995</v>
      </c>
      <c r="AB1873">
        <v>33</v>
      </c>
      <c r="AC1873">
        <v>-15.394499999999899</v>
      </c>
      <c r="AD1873">
        <v>-1.1210845280640001</v>
      </c>
      <c r="AE1873">
        <v>-1.9644999999999799</v>
      </c>
      <c r="AF1873">
        <v>-1.8207779398500199</v>
      </c>
      <c r="AG1873">
        <v>-1.1210845280640001</v>
      </c>
      <c r="AH1873">
        <v>15.3310318229543</v>
      </c>
      <c r="AI1873">
        <v>94.153235551249495</v>
      </c>
      <c r="AJ1873">
        <v>96.7729630260785</v>
      </c>
      <c r="AK1873">
        <v>15.4794250404124</v>
      </c>
      <c r="AL1873">
        <v>78.601709125718202</v>
      </c>
      <c r="AM1873">
        <v>89.8636543530815</v>
      </c>
      <c r="AN1873">
        <v>1.0000000054223299</v>
      </c>
    </row>
    <row r="1874" spans="1:40" x14ac:dyDescent="0.25">
      <c r="A1874" t="str">
        <f>"20190303162540386"</f>
        <v>20190303162540386</v>
      </c>
      <c r="B1874" t="str">
        <f>"1551601540374962"</f>
        <v>1551601540374962</v>
      </c>
      <c r="C1874" t="s">
        <v>40</v>
      </c>
      <c r="D1874">
        <v>4.5779199999999998</v>
      </c>
      <c r="E1874">
        <v>0.45547109999999902</v>
      </c>
      <c r="F1874" t="s">
        <v>48</v>
      </c>
      <c r="G1874">
        <v>-447.37389999999999</v>
      </c>
      <c r="H1874" s="1">
        <v>2.4964579999999998E-6</v>
      </c>
      <c r="I1874">
        <v>282.11799999999999</v>
      </c>
      <c r="J1874">
        <v>-432.26260000000002</v>
      </c>
      <c r="K1874">
        <v>1.1210789999999999</v>
      </c>
      <c r="L1874">
        <v>284.08069999999998</v>
      </c>
      <c r="M1874">
        <v>-0.99985939999999995</v>
      </c>
      <c r="N1874">
        <v>-1.446506E-2</v>
      </c>
      <c r="O1874">
        <v>-8.5014140000000005E-3</v>
      </c>
      <c r="P1874">
        <v>-0.98319290000000004</v>
      </c>
      <c r="Q1874">
        <v>0.18239030000000001</v>
      </c>
      <c r="R1874">
        <v>-8.1072699999999998E-3</v>
      </c>
      <c r="S1874">
        <v>-3.0911559999999998</v>
      </c>
      <c r="T1874">
        <v>-0.224438</v>
      </c>
      <c r="U1874">
        <v>-0.39346310000000001</v>
      </c>
      <c r="V1874">
        <v>3.4483989999999998E-4</v>
      </c>
      <c r="W1874">
        <v>0.19659360000000001</v>
      </c>
      <c r="X1874">
        <v>0.98048500000000005</v>
      </c>
      <c r="Y1874">
        <v>-0.117477399999999</v>
      </c>
      <c r="Z1874">
        <v>-4.6050839999999997E-3</v>
      </c>
      <c r="AA1874">
        <v>0.99306490000000003</v>
      </c>
      <c r="AB1874">
        <v>33</v>
      </c>
      <c r="AC1874">
        <v>-15.1112999999999</v>
      </c>
      <c r="AD1874">
        <v>-1.1210765035420001</v>
      </c>
      <c r="AE1874">
        <v>-1.9626999999999799</v>
      </c>
      <c r="AF1874">
        <v>-1.82427425136878</v>
      </c>
      <c r="AG1874">
        <v>-1.1210765035420001</v>
      </c>
      <c r="AH1874">
        <v>15.0460040795571</v>
      </c>
      <c r="AI1874">
        <v>94.230362159582199</v>
      </c>
      <c r="AJ1874">
        <v>96.913164287505097</v>
      </c>
      <c r="AK1874">
        <v>15.1975994102045</v>
      </c>
      <c r="AL1874">
        <v>78.662167661803394</v>
      </c>
      <c r="AM1874">
        <v>89.979848880846603</v>
      </c>
      <c r="AN1874">
        <v>0.99999999885025803</v>
      </c>
    </row>
    <row r="1875" spans="1:40" x14ac:dyDescent="0.25">
      <c r="A1875" t="str">
        <f>"20190303162540409"</f>
        <v>20190303162540409</v>
      </c>
      <c r="B1875" t="str">
        <f>"1551601540405220"</f>
        <v>1551601540405220</v>
      </c>
      <c r="C1875" t="s">
        <v>40</v>
      </c>
      <c r="D1875">
        <v>4.5466850000000001</v>
      </c>
      <c r="E1875">
        <v>0.45523429999999998</v>
      </c>
      <c r="F1875" t="s">
        <v>48</v>
      </c>
      <c r="G1875">
        <v>-447.46839999999997</v>
      </c>
      <c r="H1875" s="1">
        <v>2.547009E-6</v>
      </c>
      <c r="I1875">
        <v>282.1121</v>
      </c>
      <c r="J1875">
        <v>-432.59070000000003</v>
      </c>
      <c r="K1875">
        <v>1.1210739999999999</v>
      </c>
      <c r="L1875">
        <v>284.07819999999998</v>
      </c>
      <c r="M1875">
        <v>-0.99986129999999995</v>
      </c>
      <c r="N1875">
        <v>-1.446164E-2</v>
      </c>
      <c r="O1875">
        <v>-8.2781069999999998E-3</v>
      </c>
      <c r="P1875">
        <v>-0.98326139999999995</v>
      </c>
      <c r="Q1875">
        <v>0.1819335</v>
      </c>
      <c r="R1875">
        <v>-9.8853559999999997E-3</v>
      </c>
      <c r="S1875">
        <v>-3.0902400000000001</v>
      </c>
      <c r="T1875">
        <v>-0.2278336</v>
      </c>
      <c r="U1875">
        <v>-0.40008539999999998</v>
      </c>
      <c r="V1875">
        <v>-1.6484990000000001E-3</v>
      </c>
      <c r="W1875">
        <v>0.19613539999999999</v>
      </c>
      <c r="X1875">
        <v>0.98057539999999999</v>
      </c>
      <c r="Y1875">
        <v>-0.11981169999999999</v>
      </c>
      <c r="Z1875">
        <v>-4.7760270000000004E-3</v>
      </c>
      <c r="AA1875">
        <v>0.99278520000000003</v>
      </c>
      <c r="AB1875">
        <v>32</v>
      </c>
      <c r="AC1875">
        <v>-14.8776999999999</v>
      </c>
      <c r="AD1875">
        <v>-1.121071452991</v>
      </c>
      <c r="AE1875">
        <v>-1.96609999999998</v>
      </c>
      <c r="AF1875">
        <v>-1.8326334841585801</v>
      </c>
      <c r="AG1875">
        <v>-1.121071452991</v>
      </c>
      <c r="AH1875">
        <v>14.8108151028483</v>
      </c>
      <c r="AI1875">
        <v>94.295983264598604</v>
      </c>
      <c r="AJ1875">
        <v>97.053707006112006</v>
      </c>
      <c r="AK1875">
        <v>14.9658140674248</v>
      </c>
      <c r="AL1875">
        <v>78.688941455133602</v>
      </c>
      <c r="AM1875">
        <v>90.096322981638096</v>
      </c>
      <c r="AN1875">
        <v>0.99999996388363499</v>
      </c>
    </row>
    <row r="1876" spans="1:40" x14ac:dyDescent="0.25">
      <c r="A1876" t="str">
        <f>"20190303162540432"</f>
        <v>20190303162540432</v>
      </c>
      <c r="B1876" t="str">
        <f>"1551601540424739"</f>
        <v>1551601540424739</v>
      </c>
      <c r="C1876" t="s">
        <v>40</v>
      </c>
      <c r="D1876">
        <v>4.5054400000000001</v>
      </c>
      <c r="E1876">
        <v>0.45520749999999999</v>
      </c>
      <c r="F1876" t="s">
        <v>48</v>
      </c>
      <c r="G1876">
        <v>-447.80349999999999</v>
      </c>
      <c r="H1876" s="1">
        <v>2.7269519999999998E-6</v>
      </c>
      <c r="I1876">
        <v>282.07389999999998</v>
      </c>
      <c r="J1876">
        <v>-432.92759999999998</v>
      </c>
      <c r="K1876">
        <v>1.1210629999999999</v>
      </c>
      <c r="L1876">
        <v>284.07560000000001</v>
      </c>
      <c r="M1876">
        <v>-0.99986339999999996</v>
      </c>
      <c r="N1876">
        <v>-1.4458159999999999E-2</v>
      </c>
      <c r="O1876">
        <v>-8.0291960000000006E-3</v>
      </c>
      <c r="P1876">
        <v>-0.98326440000000004</v>
      </c>
      <c r="Q1876">
        <v>0.18180969999999999</v>
      </c>
      <c r="R1876">
        <v>-1.1689990000000001E-2</v>
      </c>
      <c r="S1876">
        <v>-3.0891109999999999</v>
      </c>
      <c r="T1876">
        <v>-0.22764590000000001</v>
      </c>
      <c r="U1876">
        <v>-0.40698240000000002</v>
      </c>
      <c r="V1876">
        <v>-3.6918910000000001E-3</v>
      </c>
      <c r="W1876">
        <v>0.19600960000000001</v>
      </c>
      <c r="X1876">
        <v>0.98059510000000005</v>
      </c>
      <c r="Y1876">
        <v>-0.1222762</v>
      </c>
      <c r="Z1876">
        <v>-4.8964819999999997E-3</v>
      </c>
      <c r="AA1876">
        <v>0.99248400000000003</v>
      </c>
      <c r="AB1876">
        <v>32</v>
      </c>
      <c r="AC1876">
        <v>-14.8759</v>
      </c>
      <c r="AD1876">
        <v>-1.1210602730479999</v>
      </c>
      <c r="AE1876">
        <v>-2.00170000000002</v>
      </c>
      <c r="AF1876">
        <v>-1.8717404362830099</v>
      </c>
      <c r="AG1876">
        <v>-1.1210602730479999</v>
      </c>
      <c r="AH1876">
        <v>14.8088863751391</v>
      </c>
      <c r="AI1876">
        <v>94.295097821741905</v>
      </c>
      <c r="AJ1876">
        <v>97.203591234657495</v>
      </c>
      <c r="AK1876">
        <v>14.968744238192</v>
      </c>
      <c r="AL1876">
        <v>78.696293177149201</v>
      </c>
      <c r="AM1876">
        <v>90.215714695355501</v>
      </c>
      <c r="AN1876">
        <v>1.00000007174766</v>
      </c>
    </row>
    <row r="1877" spans="1:40" x14ac:dyDescent="0.25">
      <c r="A1877" t="str">
        <f>"20190303162540456"</f>
        <v>20190303162540456</v>
      </c>
      <c r="B1877" t="str">
        <f>"1551601540445234"</f>
        <v>1551601540445234</v>
      </c>
      <c r="C1877" t="s">
        <v>40</v>
      </c>
      <c r="D1877">
        <v>4.5025570000000004</v>
      </c>
      <c r="E1877">
        <v>0.45525589999999999</v>
      </c>
      <c r="F1877" t="s">
        <v>48</v>
      </c>
      <c r="G1877">
        <v>-448.17439999999999</v>
      </c>
      <c r="H1877" s="1">
        <v>2.925832E-6</v>
      </c>
      <c r="I1877">
        <v>282.0403</v>
      </c>
      <c r="J1877">
        <v>-433.28820000000002</v>
      </c>
      <c r="K1877">
        <v>1.121041</v>
      </c>
      <c r="L1877">
        <v>284.07299999999998</v>
      </c>
      <c r="M1877">
        <v>-0.99986580000000003</v>
      </c>
      <c r="N1877">
        <v>-1.4454450000000001E-2</v>
      </c>
      <c r="O1877">
        <v>-7.7331839999999997E-3</v>
      </c>
      <c r="P1877">
        <v>-0.98325689999999999</v>
      </c>
      <c r="Q1877">
        <v>0.181667</v>
      </c>
      <c r="R1877">
        <v>-1.4267500000000001E-2</v>
      </c>
      <c r="S1877">
        <v>-3.0881349999999999</v>
      </c>
      <c r="T1877">
        <v>-0.2270633</v>
      </c>
      <c r="U1877">
        <v>-0.41223140000000003</v>
      </c>
      <c r="V1877">
        <v>-6.5499369999999996E-3</v>
      </c>
      <c r="W1877">
        <v>0.1958656</v>
      </c>
      <c r="X1877">
        <v>0.98060890000000001</v>
      </c>
      <c r="Y1877">
        <v>-0.124263</v>
      </c>
      <c r="Z1877">
        <v>-4.991606E-3</v>
      </c>
      <c r="AA1877">
        <v>0.99223669999999997</v>
      </c>
      <c r="AB1877">
        <v>32</v>
      </c>
      <c r="AC1877">
        <v>-14.886199999999899</v>
      </c>
      <c r="AD1877">
        <v>-1.1210380741679999</v>
      </c>
      <c r="AE1877">
        <v>-2.03269999999997</v>
      </c>
      <c r="AF1877">
        <v>-1.90689310123068</v>
      </c>
      <c r="AG1877">
        <v>-1.1210380741679999</v>
      </c>
      <c r="AH1877">
        <v>14.818973005567599</v>
      </c>
      <c r="AI1877">
        <v>94.290873984725295</v>
      </c>
      <c r="AJ1877">
        <v>97.3324791477784</v>
      </c>
      <c r="AK1877">
        <v>14.9831548281061</v>
      </c>
      <c r="AL1877">
        <v>78.704706319764796</v>
      </c>
      <c r="AM1877">
        <v>90.382699122157106</v>
      </c>
      <c r="AN1877">
        <v>1.00000002484863</v>
      </c>
    </row>
    <row r="1878" spans="1:40" x14ac:dyDescent="0.25">
      <c r="A1878" t="str">
        <f>"20190303162540480"</f>
        <v>20190303162540480</v>
      </c>
      <c r="B1878" t="str">
        <f>"1551601540475491"</f>
        <v>1551601540475491</v>
      </c>
      <c r="C1878" t="s">
        <v>40</v>
      </c>
      <c r="D1878">
        <v>4.4726540000000004</v>
      </c>
      <c r="E1878">
        <v>0.45509769999999999</v>
      </c>
      <c r="F1878" t="s">
        <v>48</v>
      </c>
      <c r="G1878">
        <v>-448.63900000000001</v>
      </c>
      <c r="H1878" s="1">
        <v>3.175488E-6</v>
      </c>
      <c r="I1878">
        <v>281.98540000000003</v>
      </c>
      <c r="J1878">
        <v>-433.61799999999999</v>
      </c>
      <c r="K1878">
        <v>1.1210089999999999</v>
      </c>
      <c r="L1878">
        <v>284.07080000000002</v>
      </c>
      <c r="M1878">
        <v>-0.99986810000000004</v>
      </c>
      <c r="N1878">
        <v>-1.44511E-2</v>
      </c>
      <c r="O1878">
        <v>-7.4214629999999997E-3</v>
      </c>
      <c r="P1878">
        <v>-0.98332759999999997</v>
      </c>
      <c r="Q1878">
        <v>0.1810155</v>
      </c>
      <c r="R1878">
        <v>-1.7341450000000001E-2</v>
      </c>
      <c r="S1878">
        <v>-3.0866389999999999</v>
      </c>
      <c r="T1878">
        <v>-0.22541030000000001</v>
      </c>
      <c r="U1878">
        <v>-0.41976930000000001</v>
      </c>
      <c r="V1878">
        <v>-9.9173909999999994E-3</v>
      </c>
      <c r="W1878">
        <v>0.19521469999999999</v>
      </c>
      <c r="X1878">
        <v>0.98071039999999998</v>
      </c>
      <c r="Y1878">
        <v>-0.1270105</v>
      </c>
      <c r="Z1878">
        <v>-5.1017110000000001E-3</v>
      </c>
      <c r="AA1878">
        <v>0.9918882</v>
      </c>
      <c r="AB1878">
        <v>32</v>
      </c>
      <c r="AC1878">
        <v>-15.0209999999999</v>
      </c>
      <c r="AD1878">
        <v>-1.12100582451199</v>
      </c>
      <c r="AE1878">
        <v>-2.0853999999999902</v>
      </c>
      <c r="AF1878">
        <v>-1.9631262041917901</v>
      </c>
      <c r="AG1878">
        <v>-1.12100582451199</v>
      </c>
      <c r="AH1878">
        <v>14.9543509497644</v>
      </c>
      <c r="AI1878">
        <v>94.250645866574203</v>
      </c>
      <c r="AJ1878">
        <v>97.478715024080401</v>
      </c>
      <c r="AK1878">
        <v>15.1242563744765</v>
      </c>
      <c r="AL1878">
        <v>78.742734089446003</v>
      </c>
      <c r="AM1878">
        <v>90.579381313841196</v>
      </c>
      <c r="AN1878">
        <v>1.00000001120424</v>
      </c>
    </row>
    <row r="1879" spans="1:40" x14ac:dyDescent="0.25">
      <c r="A1879" t="str">
        <f>"20190303162540501"</f>
        <v>20190303162540501</v>
      </c>
      <c r="B1879" t="str">
        <f>"1551601540495011"</f>
        <v>1551601540495011</v>
      </c>
      <c r="C1879" t="s">
        <v>40</v>
      </c>
      <c r="D1879">
        <v>4.4807399999999999</v>
      </c>
      <c r="E1879">
        <v>0.43665870000000001</v>
      </c>
      <c r="F1879" t="s">
        <v>48</v>
      </c>
      <c r="G1879">
        <v>-448.90179999999998</v>
      </c>
      <c r="H1879" s="1">
        <v>3.317415E-6</v>
      </c>
      <c r="I1879">
        <v>281.93740000000003</v>
      </c>
      <c r="J1879">
        <v>-433.93290000000002</v>
      </c>
      <c r="K1879">
        <v>1.120976</v>
      </c>
      <c r="L1879">
        <v>284.06880000000001</v>
      </c>
      <c r="M1879">
        <v>-0.9998707</v>
      </c>
      <c r="N1879">
        <v>-1.444792E-2</v>
      </c>
      <c r="O1879">
        <v>-7.081543E-3</v>
      </c>
      <c r="P1879">
        <v>-0.98345369999999999</v>
      </c>
      <c r="Q1879">
        <v>0.1800406</v>
      </c>
      <c r="R1879">
        <v>-2.0109800000000001E-2</v>
      </c>
      <c r="S1879">
        <v>-3.0849299999999999</v>
      </c>
      <c r="T1879">
        <v>-0.22626689999999999</v>
      </c>
      <c r="U1879">
        <v>-0.43060300000000001</v>
      </c>
      <c r="V1879">
        <v>-1.300491E-2</v>
      </c>
      <c r="W1879">
        <v>0.19424179999999999</v>
      </c>
      <c r="X1879">
        <v>0.98086739999999994</v>
      </c>
      <c r="Y1879">
        <v>-0.13082299999999999</v>
      </c>
      <c r="Z1879">
        <v>-5.3049550000000001E-3</v>
      </c>
      <c r="AA1879">
        <v>0.99139149999999998</v>
      </c>
      <c r="AB1879">
        <v>32</v>
      </c>
      <c r="AC1879">
        <v>-14.9688999999999</v>
      </c>
      <c r="AD1879">
        <v>-1.1209726825849999</v>
      </c>
      <c r="AE1879">
        <v>-2.1313999999999802</v>
      </c>
      <c r="AF1879">
        <v>-2.0142610224330499</v>
      </c>
      <c r="AG1879">
        <v>-1.1209726825849999</v>
      </c>
      <c r="AH1879">
        <v>14.901711179559801</v>
      </c>
      <c r="AI1879">
        <v>94.263313864734698</v>
      </c>
      <c r="AJ1879">
        <v>97.698001121038203</v>
      </c>
      <c r="AK1879">
        <v>15.078952990861501</v>
      </c>
      <c r="AL1879">
        <v>78.799564141310199</v>
      </c>
      <c r="AM1879">
        <v>90.759616232155395</v>
      </c>
      <c r="AN1879">
        <v>0.99999993046705105</v>
      </c>
    </row>
    <row r="1880" spans="1:40" x14ac:dyDescent="0.25">
      <c r="A1880" t="str">
        <f>"20190303162540521"</f>
        <v>20190303162540521</v>
      </c>
      <c r="B1880" t="str">
        <f>"1551601540514531"</f>
        <v>1551601540514531</v>
      </c>
      <c r="C1880" t="s">
        <v>40</v>
      </c>
      <c r="D1880">
        <v>4.4047809999999998</v>
      </c>
      <c r="E1880">
        <v>0.43659239999999999</v>
      </c>
      <c r="F1880" t="s">
        <v>48</v>
      </c>
      <c r="G1880">
        <v>-455.96789999999999</v>
      </c>
      <c r="H1880" s="1">
        <v>1.8462480000000001E-6</v>
      </c>
      <c r="I1880">
        <v>279.87610000000001</v>
      </c>
      <c r="J1880">
        <v>-434.21379999999999</v>
      </c>
      <c r="K1880">
        <v>1.1209469999999999</v>
      </c>
      <c r="L1880">
        <v>284.06709999999998</v>
      </c>
      <c r="M1880">
        <v>-0.99987300000000001</v>
      </c>
      <c r="N1880">
        <v>-1.4445080000000001E-2</v>
      </c>
      <c r="O1880">
        <v>-6.7481190000000003E-3</v>
      </c>
      <c r="P1880">
        <v>-0.98347130000000005</v>
      </c>
      <c r="Q1880">
        <v>0.17962629999999999</v>
      </c>
      <c r="R1880">
        <v>-2.2783589999999999E-2</v>
      </c>
      <c r="S1880">
        <v>-3.0671080000000002</v>
      </c>
      <c r="T1880">
        <v>-0.1560308</v>
      </c>
      <c r="U1880">
        <v>-0.58358759999999998</v>
      </c>
      <c r="V1880">
        <v>-1.5993469999999999E-2</v>
      </c>
      <c r="W1880">
        <v>0.19382869999999999</v>
      </c>
      <c r="X1880">
        <v>0.98090500000000003</v>
      </c>
      <c r="Y1880">
        <v>-0.1799992</v>
      </c>
      <c r="Z1880">
        <v>-5.6042720000000004E-3</v>
      </c>
      <c r="AA1880">
        <v>0.98365080000000005</v>
      </c>
      <c r="AB1880">
        <v>32</v>
      </c>
      <c r="AC1880">
        <v>-21.754099999999902</v>
      </c>
      <c r="AD1880">
        <v>-1.1209451537520001</v>
      </c>
      <c r="AE1880">
        <v>-4.1909999999999696</v>
      </c>
      <c r="AF1880">
        <v>-4.03376310151992</v>
      </c>
      <c r="AG1880">
        <v>-1.1209451537520001</v>
      </c>
      <c r="AH1880">
        <v>21.7262671582107</v>
      </c>
      <c r="AI1880">
        <v>92.9039603081997</v>
      </c>
      <c r="AJ1880">
        <v>100.517941664582</v>
      </c>
      <c r="AK1880">
        <v>22.125967717296501</v>
      </c>
      <c r="AL1880">
        <v>78.823692228346403</v>
      </c>
      <c r="AM1880">
        <v>90.934114047806403</v>
      </c>
      <c r="AN1880">
        <v>0.99999998752566499</v>
      </c>
    </row>
    <row r="1881" spans="1:40" x14ac:dyDescent="0.25">
      <c r="A1881" t="str">
        <f>"20190303162540543"</f>
        <v>20190303162540543</v>
      </c>
      <c r="B1881" t="str">
        <f>"1551601540535027"</f>
        <v>1551601540535027</v>
      </c>
      <c r="C1881" t="s">
        <v>40</v>
      </c>
      <c r="D1881">
        <v>4.4047470000000004</v>
      </c>
      <c r="E1881">
        <v>0.43720720000000002</v>
      </c>
      <c r="F1881" t="s">
        <v>48</v>
      </c>
      <c r="G1881">
        <v>-456.48750000000001</v>
      </c>
      <c r="H1881" s="1">
        <v>2.1273860000000002E-6</v>
      </c>
      <c r="I1881">
        <v>279.76920000000001</v>
      </c>
      <c r="J1881">
        <v>-434.53149999999999</v>
      </c>
      <c r="K1881">
        <v>1.1209150000000001</v>
      </c>
      <c r="L1881">
        <v>284.06540000000001</v>
      </c>
      <c r="M1881">
        <v>-0.99987570000000003</v>
      </c>
      <c r="N1881">
        <v>-1.4441849999999999E-2</v>
      </c>
      <c r="O1881">
        <v>-6.3302369999999998E-3</v>
      </c>
      <c r="P1881">
        <v>-0.98341330000000005</v>
      </c>
      <c r="Q1881">
        <v>0.17958550000000001</v>
      </c>
      <c r="R1881">
        <v>-2.5448160000000001E-2</v>
      </c>
      <c r="S1881">
        <v>-3.0649109999999999</v>
      </c>
      <c r="T1881">
        <v>-0.15424489999999999</v>
      </c>
      <c r="U1881">
        <v>-0.59140009999999998</v>
      </c>
      <c r="V1881">
        <v>-1.905391E-2</v>
      </c>
      <c r="W1881">
        <v>0.19378809999999999</v>
      </c>
      <c r="X1881">
        <v>0.98085840000000002</v>
      </c>
      <c r="Y1881">
        <v>-0.18295810000000001</v>
      </c>
      <c r="Z1881">
        <v>-5.6683590000000004E-3</v>
      </c>
      <c r="AA1881">
        <v>0.98310430000000004</v>
      </c>
      <c r="AB1881">
        <v>32</v>
      </c>
      <c r="AC1881">
        <v>-21.956</v>
      </c>
      <c r="AD1881">
        <v>-1.1209128726140001</v>
      </c>
      <c r="AE1881">
        <v>-4.29619999999999</v>
      </c>
      <c r="AF1881">
        <v>-4.1467034053764502</v>
      </c>
      <c r="AG1881">
        <v>-1.1209128726140001</v>
      </c>
      <c r="AH1881">
        <v>21.9277144370595</v>
      </c>
      <c r="AI1881">
        <v>92.875453534527296</v>
      </c>
      <c r="AJ1881">
        <v>100.70862479954501</v>
      </c>
      <c r="AK1881">
        <v>22.344490489455701</v>
      </c>
      <c r="AL1881">
        <v>78.826063989893498</v>
      </c>
      <c r="AM1881">
        <v>91.112873514672202</v>
      </c>
      <c r="AN1881">
        <v>1.0000000400192199</v>
      </c>
    </row>
    <row r="1882" spans="1:40" x14ac:dyDescent="0.25">
      <c r="A1882" t="str">
        <f>"20190303162540588"</f>
        <v>20190303162540588</v>
      </c>
      <c r="B1882" t="str">
        <f>"1551601540575042"</f>
        <v>1551601540575042</v>
      </c>
      <c r="C1882" t="s">
        <v>40</v>
      </c>
      <c r="D1882">
        <v>4.4362019999999998</v>
      </c>
      <c r="E1882">
        <v>0.43816100000000002</v>
      </c>
      <c r="F1882" t="s">
        <v>48</v>
      </c>
      <c r="G1882">
        <v>-456.63909999999998</v>
      </c>
      <c r="H1882" s="1">
        <v>2.2073680000000002E-6</v>
      </c>
      <c r="I1882">
        <v>279.78559999999999</v>
      </c>
      <c r="J1882">
        <v>-435.16969999999998</v>
      </c>
      <c r="K1882">
        <v>1.120849</v>
      </c>
      <c r="L1882">
        <v>284.06240000000003</v>
      </c>
      <c r="M1882">
        <v>-0.99988140000000003</v>
      </c>
      <c r="N1882">
        <v>-1.4435460000000001E-2</v>
      </c>
      <c r="O1882">
        <v>-5.3575910000000001E-3</v>
      </c>
      <c r="P1882">
        <v>-0.98304009999999997</v>
      </c>
      <c r="Q1882">
        <v>0.18091409999999999</v>
      </c>
      <c r="R1882">
        <v>-3.004132E-2</v>
      </c>
      <c r="S1882">
        <v>-3.0636290000000002</v>
      </c>
      <c r="T1882">
        <v>-0.15533359999999999</v>
      </c>
      <c r="U1882">
        <v>-0.59307860000000001</v>
      </c>
      <c r="V1882">
        <v>-2.4572989999999999E-2</v>
      </c>
      <c r="W1882">
        <v>0.19511319999999999</v>
      </c>
      <c r="X1882">
        <v>0.98047289999999998</v>
      </c>
      <c r="Y1882">
        <v>-0.184503</v>
      </c>
      <c r="Z1882">
        <v>-5.784216E-3</v>
      </c>
      <c r="AA1882">
        <v>0.98281490000000005</v>
      </c>
      <c r="AB1882">
        <v>32</v>
      </c>
      <c r="AC1882">
        <v>-21.4694</v>
      </c>
      <c r="AD1882">
        <v>-1.120846792632</v>
      </c>
      <c r="AE1882">
        <v>-4.2768000000000299</v>
      </c>
      <c r="AF1882">
        <v>-4.1508209197826904</v>
      </c>
      <c r="AG1882">
        <v>-1.120846792632</v>
      </c>
      <c r="AH1882">
        <v>21.435813280706</v>
      </c>
      <c r="AI1882">
        <v>92.938695501854099</v>
      </c>
      <c r="AJ1882">
        <v>100.95909638588</v>
      </c>
      <c r="AK1882">
        <v>21.862746919039001</v>
      </c>
      <c r="AL1882">
        <v>78.748664076198295</v>
      </c>
      <c r="AM1882">
        <v>91.435668383965407</v>
      </c>
      <c r="AN1882">
        <v>1.0000000501430899</v>
      </c>
    </row>
    <row r="1883" spans="1:40" x14ac:dyDescent="0.25">
      <c r="A1883" t="str">
        <f>"20190303162540609"</f>
        <v>20190303162540609</v>
      </c>
      <c r="B1883" t="str">
        <f>"1551601540605298"</f>
        <v>1551601540605298</v>
      </c>
      <c r="C1883" t="s">
        <v>40</v>
      </c>
      <c r="D1883">
        <v>4.3681340000000004</v>
      </c>
      <c r="E1883">
        <v>0.43928129999999999</v>
      </c>
      <c r="F1883" t="s">
        <v>48</v>
      </c>
      <c r="G1883">
        <v>-457.94569999999999</v>
      </c>
      <c r="H1883">
        <v>3.3809560000000002E-2</v>
      </c>
      <c r="I1883">
        <v>279.61630000000002</v>
      </c>
      <c r="J1883">
        <v>-435.48660000000001</v>
      </c>
      <c r="K1883">
        <v>1.120817</v>
      </c>
      <c r="L1883">
        <v>284.06119999999999</v>
      </c>
      <c r="M1883">
        <v>-0.99988429999999995</v>
      </c>
      <c r="N1883">
        <v>-1.443231E-2</v>
      </c>
      <c r="O1883">
        <v>-4.8160939999999999E-3</v>
      </c>
      <c r="P1883">
        <v>-0.98303609999999997</v>
      </c>
      <c r="Q1883">
        <v>0.18048259999999999</v>
      </c>
      <c r="R1883">
        <v>-3.265759E-2</v>
      </c>
      <c r="S1883">
        <v>-3.0603940000000001</v>
      </c>
      <c r="T1883">
        <v>-0.14606479999999999</v>
      </c>
      <c r="U1883">
        <v>-0.5974121</v>
      </c>
      <c r="V1883">
        <v>-2.770676E-2</v>
      </c>
      <c r="W1883">
        <v>0.19468379999999999</v>
      </c>
      <c r="X1883">
        <v>0.98047470000000003</v>
      </c>
      <c r="Y1883">
        <v>-0.18659580000000001</v>
      </c>
      <c r="Z1883">
        <v>-5.6102189999999996E-3</v>
      </c>
      <c r="AA1883">
        <v>0.98242070000000004</v>
      </c>
      <c r="AB1883">
        <v>32</v>
      </c>
      <c r="AC1883">
        <v>-22.4590999999999</v>
      </c>
      <c r="AD1883">
        <v>-1.08700744</v>
      </c>
      <c r="AE1883">
        <v>-4.4448999999999597</v>
      </c>
      <c r="AF1883">
        <v>-4.3269182615098503</v>
      </c>
      <c r="AG1883">
        <v>-1.08700744</v>
      </c>
      <c r="AH1883">
        <v>22.429687548008499</v>
      </c>
      <c r="AI1883">
        <v>92.724395636756498</v>
      </c>
      <c r="AJ1883">
        <v>100.918820114623</v>
      </c>
      <c r="AK1883">
        <v>22.869077163665601</v>
      </c>
      <c r="AL1883">
        <v>78.773747811660598</v>
      </c>
      <c r="AM1883">
        <v>91.618662936245798</v>
      </c>
      <c r="AN1883">
        <v>1.0000000419361099</v>
      </c>
    </row>
    <row r="1884" spans="1:40" x14ac:dyDescent="0.25">
      <c r="A1884" t="str">
        <f>"20190303162540632"</f>
        <v>20190303162540632</v>
      </c>
      <c r="B1884" t="str">
        <f>"1551601540624819"</f>
        <v>1551601540624819</v>
      </c>
      <c r="C1884" t="s">
        <v>40</v>
      </c>
      <c r="D1884">
        <v>4.3916250000000003</v>
      </c>
      <c r="E1884">
        <v>0.43980560000000002</v>
      </c>
      <c r="F1884" t="s">
        <v>48</v>
      </c>
      <c r="G1884">
        <v>-458.36349999999999</v>
      </c>
      <c r="H1884">
        <v>5.8950740000000001E-2</v>
      </c>
      <c r="I1884">
        <v>279.60739999999998</v>
      </c>
      <c r="J1884">
        <v>-435.80930000000001</v>
      </c>
      <c r="K1884">
        <v>1.120787</v>
      </c>
      <c r="L1884">
        <v>284.06029999999998</v>
      </c>
      <c r="M1884">
        <v>-0.99988699999999997</v>
      </c>
      <c r="N1884">
        <v>-1.44291E-2</v>
      </c>
      <c r="O1884">
        <v>-4.2296850000000004E-3</v>
      </c>
      <c r="P1884">
        <v>-0.98313150000000005</v>
      </c>
      <c r="Q1884">
        <v>0.17959910000000001</v>
      </c>
      <c r="R1884">
        <v>-3.4594359999999998E-2</v>
      </c>
      <c r="S1884">
        <v>-3.0580440000000002</v>
      </c>
      <c r="T1884">
        <v>-0.1419443</v>
      </c>
      <c r="U1884">
        <v>-0.59536739999999999</v>
      </c>
      <c r="V1884">
        <v>-3.020629E-2</v>
      </c>
      <c r="W1884">
        <v>0.193804</v>
      </c>
      <c r="X1884">
        <v>0.98057510000000003</v>
      </c>
      <c r="Y1884">
        <v>-0.18669330000000001</v>
      </c>
      <c r="Z1884">
        <v>-5.5167990000000002E-3</v>
      </c>
      <c r="AA1884">
        <v>0.98240269999999996</v>
      </c>
      <c r="AB1884">
        <v>32</v>
      </c>
      <c r="AC1884">
        <v>-22.554199999999899</v>
      </c>
      <c r="AD1884">
        <v>-1.06183626</v>
      </c>
      <c r="AE1884">
        <v>-4.4528999999999996</v>
      </c>
      <c r="AF1884">
        <v>-4.3481770720110102</v>
      </c>
      <c r="AG1884">
        <v>-1.06183626</v>
      </c>
      <c r="AH1884">
        <v>22.5247822438456</v>
      </c>
      <c r="AI1884">
        <v>92.650116726639197</v>
      </c>
      <c r="AJ1884">
        <v>100.92596642442101</v>
      </c>
      <c r="AK1884">
        <v>22.9651900759666</v>
      </c>
      <c r="AL1884">
        <v>78.825134573469299</v>
      </c>
      <c r="AM1884">
        <v>91.764419481136301</v>
      </c>
      <c r="AN1884">
        <v>0.99999996855578599</v>
      </c>
    </row>
    <row r="1885" spans="1:40" x14ac:dyDescent="0.25">
      <c r="A1885" t="str">
        <f>"20190303162540655"</f>
        <v>20190303162540655</v>
      </c>
      <c r="B1885" t="str">
        <f>"1551601540645314"</f>
        <v>1551601540645314</v>
      </c>
      <c r="C1885" t="s">
        <v>40</v>
      </c>
      <c r="D1885">
        <v>4.3851279999999999</v>
      </c>
      <c r="E1885">
        <v>0.4402509</v>
      </c>
      <c r="F1885" t="s">
        <v>48</v>
      </c>
      <c r="G1885">
        <v>-458.57060000000001</v>
      </c>
      <c r="H1885">
        <v>4.345185E-2</v>
      </c>
      <c r="I1885">
        <v>279.61630000000002</v>
      </c>
      <c r="J1885">
        <v>-436.12729999999999</v>
      </c>
      <c r="K1885">
        <v>1.1207590000000001</v>
      </c>
      <c r="L1885">
        <v>284.05959999999999</v>
      </c>
      <c r="M1885">
        <v>-0.99988940000000004</v>
      </c>
      <c r="N1885">
        <v>-1.442592E-2</v>
      </c>
      <c r="O1885">
        <v>-3.617215E-3</v>
      </c>
      <c r="P1885">
        <v>-0.98315450000000004</v>
      </c>
      <c r="Q1885">
        <v>0.17918909999999999</v>
      </c>
      <c r="R1885">
        <v>-3.6035860000000003E-2</v>
      </c>
      <c r="S1885">
        <v>-3.0568849999999999</v>
      </c>
      <c r="T1885">
        <v>-0.14468789999999901</v>
      </c>
      <c r="U1885">
        <v>-0.59683229999999998</v>
      </c>
      <c r="V1885">
        <v>-3.223674E-2</v>
      </c>
      <c r="W1885">
        <v>0.19339600000000001</v>
      </c>
      <c r="X1885">
        <v>0.98059110000000005</v>
      </c>
      <c r="Y1885">
        <v>-0.18780769999999999</v>
      </c>
      <c r="Z1885">
        <v>-5.6512100000000003E-3</v>
      </c>
      <c r="AA1885">
        <v>0.98218950000000005</v>
      </c>
      <c r="AB1885">
        <v>32</v>
      </c>
      <c r="AC1885">
        <v>-22.443300000000001</v>
      </c>
      <c r="AD1885">
        <v>-1.07730715</v>
      </c>
      <c r="AE1885">
        <v>-4.4432999999999598</v>
      </c>
      <c r="AF1885">
        <v>-4.3524299506570996</v>
      </c>
      <c r="AG1885">
        <v>-1.07730715</v>
      </c>
      <c r="AH1885">
        <v>22.409540356763099</v>
      </c>
      <c r="AI1885">
        <v>92.701883197256905</v>
      </c>
      <c r="AJ1885">
        <v>100.991269889507</v>
      </c>
      <c r="AK1885">
        <v>22.853702898484801</v>
      </c>
      <c r="AL1885">
        <v>78.8489631198956</v>
      </c>
      <c r="AM1885">
        <v>91.882909384427805</v>
      </c>
      <c r="AN1885">
        <v>1.0000000628105099</v>
      </c>
    </row>
    <row r="1886" spans="1:40" x14ac:dyDescent="0.25">
      <c r="A1886" t="str">
        <f>"20190303162540680"</f>
        <v>20190303162540680</v>
      </c>
      <c r="B1886" t="str">
        <f>"1551601540674594"</f>
        <v>1551601540674594</v>
      </c>
      <c r="C1886" t="s">
        <v>40</v>
      </c>
      <c r="D1886">
        <v>4.3926379999999998</v>
      </c>
      <c r="E1886">
        <v>0.44096059999999998</v>
      </c>
      <c r="F1886" t="s">
        <v>48</v>
      </c>
      <c r="G1886">
        <v>-458.87220000000002</v>
      </c>
      <c r="H1886">
        <v>3.3398360000000002E-2</v>
      </c>
      <c r="I1886">
        <v>279.61630000000002</v>
      </c>
      <c r="J1886">
        <v>-436.49299999999999</v>
      </c>
      <c r="K1886">
        <v>1.120733</v>
      </c>
      <c r="L1886">
        <v>284.05900000000003</v>
      </c>
      <c r="M1886">
        <v>-0.99989189999999994</v>
      </c>
      <c r="N1886">
        <v>-1.4422219999999999E-2</v>
      </c>
      <c r="O1886">
        <v>-2.8781409999999999E-3</v>
      </c>
      <c r="P1886">
        <v>-0.98307900000000004</v>
      </c>
      <c r="Q1886">
        <v>0.17942930000000001</v>
      </c>
      <c r="R1886">
        <v>-3.6891840000000002E-2</v>
      </c>
      <c r="S1886">
        <v>-3.0560909999999999</v>
      </c>
      <c r="T1886">
        <v>-0.14610219999999999</v>
      </c>
      <c r="U1886">
        <v>-0.59701539999999997</v>
      </c>
      <c r="V1886">
        <v>-3.3805679999999998E-2</v>
      </c>
      <c r="W1886">
        <v>0.1936351</v>
      </c>
      <c r="X1886">
        <v>0.980491</v>
      </c>
      <c r="Y1886">
        <v>-0.18863199999999999</v>
      </c>
      <c r="Z1886">
        <v>-5.7431820000000003E-3</v>
      </c>
      <c r="AA1886">
        <v>0.98203099999999999</v>
      </c>
      <c r="AB1886">
        <v>32</v>
      </c>
      <c r="AC1886">
        <v>-22.379199999999901</v>
      </c>
      <c r="AD1886">
        <v>-1.0873346399999999</v>
      </c>
      <c r="AE1886">
        <v>-4.4427000000000003</v>
      </c>
      <c r="AF1886">
        <v>-4.3683431359215703</v>
      </c>
      <c r="AG1886">
        <v>-1.0873346399999999</v>
      </c>
      <c r="AH1886">
        <v>22.341154675144701</v>
      </c>
      <c r="AI1886">
        <v>92.734658928618003</v>
      </c>
      <c r="AJ1886">
        <v>101.063404041707</v>
      </c>
      <c r="AK1886">
        <v>22.7901713594092</v>
      </c>
      <c r="AL1886">
        <v>78.834998913104997</v>
      </c>
      <c r="AM1886">
        <v>91.974679855350104</v>
      </c>
      <c r="AN1886">
        <v>0.99999998851663596</v>
      </c>
    </row>
    <row r="1887" spans="1:40" x14ac:dyDescent="0.25">
      <c r="A1887" t="str">
        <f>"20190303162540698"</f>
        <v>20190303162540698</v>
      </c>
      <c r="B1887" t="str">
        <f>"1551601540685330"</f>
        <v>1551601540685330</v>
      </c>
      <c r="C1887" t="s">
        <v>40</v>
      </c>
      <c r="D1887">
        <v>4.4181249999999999</v>
      </c>
      <c r="E1887">
        <v>0.4411931</v>
      </c>
      <c r="F1887" t="s">
        <v>48</v>
      </c>
      <c r="G1887">
        <v>-459.36810000000003</v>
      </c>
      <c r="H1887">
        <v>4.5409560000000002E-2</v>
      </c>
      <c r="I1887">
        <v>279.61630000000002</v>
      </c>
      <c r="J1887">
        <v>-436.7654</v>
      </c>
      <c r="K1887">
        <v>1.120711</v>
      </c>
      <c r="L1887">
        <v>284.05880000000002</v>
      </c>
      <c r="M1887">
        <v>-0.99989340000000004</v>
      </c>
      <c r="N1887">
        <v>-1.441944E-2</v>
      </c>
      <c r="O1887">
        <v>-2.309597E-3</v>
      </c>
      <c r="P1887">
        <v>-0.98303720000000006</v>
      </c>
      <c r="Q1887">
        <v>0.17948720000000001</v>
      </c>
      <c r="R1887">
        <v>-3.7712700000000002E-2</v>
      </c>
      <c r="S1887">
        <v>-3.0556030000000001</v>
      </c>
      <c r="T1887">
        <v>-0.1436394</v>
      </c>
      <c r="U1887">
        <v>-0.59344479999999999</v>
      </c>
      <c r="V1887">
        <v>-3.5176979999999997E-2</v>
      </c>
      <c r="W1887">
        <v>0.19369259999999999</v>
      </c>
      <c r="X1887">
        <v>0.98043139999999995</v>
      </c>
      <c r="Y1887">
        <v>-0.1881226</v>
      </c>
      <c r="Z1887">
        <v>-5.6737760000000002E-3</v>
      </c>
      <c r="AA1887">
        <v>0.98212920000000004</v>
      </c>
      <c r="AB1887">
        <v>32</v>
      </c>
      <c r="AC1887">
        <v>-22.602699999999999</v>
      </c>
      <c r="AD1887">
        <v>-1.0753014400000001</v>
      </c>
      <c r="AE1887">
        <v>-4.4424999999999901</v>
      </c>
      <c r="AF1887">
        <v>-4.3807335066211897</v>
      </c>
      <c r="AG1887">
        <v>-1.0753014400000001</v>
      </c>
      <c r="AH1887">
        <v>22.563732362738701</v>
      </c>
      <c r="AI1887">
        <v>92.678494388446893</v>
      </c>
      <c r="AJ1887">
        <v>100.987247113869</v>
      </c>
      <c r="AK1887">
        <v>23.010195943976701</v>
      </c>
      <c r="AL1887">
        <v>78.831640809348997</v>
      </c>
      <c r="AM1887">
        <v>92.0548386187739</v>
      </c>
      <c r="AN1887">
        <v>0.99999998666131995</v>
      </c>
    </row>
    <row r="1888" spans="1:40" x14ac:dyDescent="0.25">
      <c r="A1888" t="str">
        <f>"20190303162540732"</f>
        <v>20190303162540732</v>
      </c>
      <c r="B1888" t="str">
        <f>"1551601540725346"</f>
        <v>1551601540725346</v>
      </c>
      <c r="C1888" t="s">
        <v>40</v>
      </c>
      <c r="D1888">
        <v>4.3733719999999998</v>
      </c>
      <c r="E1888">
        <v>0.44187090000000001</v>
      </c>
      <c r="F1888" t="s">
        <v>48</v>
      </c>
      <c r="G1888">
        <v>-459.61799999999999</v>
      </c>
      <c r="H1888">
        <v>4.2112440000000001E-2</v>
      </c>
      <c r="I1888">
        <v>279.61630000000002</v>
      </c>
      <c r="J1888">
        <v>-437.23500000000001</v>
      </c>
      <c r="K1888">
        <v>1.1206940000000001</v>
      </c>
      <c r="L1888">
        <v>284.05880000000002</v>
      </c>
      <c r="M1888">
        <v>-0.99989530000000004</v>
      </c>
      <c r="N1888">
        <v>-1.44146E-2</v>
      </c>
      <c r="O1888">
        <v>-1.3053089999999999E-3</v>
      </c>
      <c r="P1888">
        <v>-0.98320030000000003</v>
      </c>
      <c r="Q1888">
        <v>0.17861729999999901</v>
      </c>
      <c r="R1888">
        <v>-3.7594229999999999E-2</v>
      </c>
      <c r="S1888">
        <v>-3.0552670000000002</v>
      </c>
      <c r="T1888">
        <v>-0.14420250000000001</v>
      </c>
      <c r="U1888">
        <v>-0.59393309999999999</v>
      </c>
      <c r="V1888">
        <v>-3.603787E-2</v>
      </c>
      <c r="W1888">
        <v>0.19282340000000001</v>
      </c>
      <c r="X1888">
        <v>0.98057139999999998</v>
      </c>
      <c r="Y1888">
        <v>-0.18927630000000001</v>
      </c>
      <c r="Z1888">
        <v>-5.7584069999999897E-3</v>
      </c>
      <c r="AA1888">
        <v>0.98190699999999997</v>
      </c>
      <c r="AB1888">
        <v>32</v>
      </c>
      <c r="AC1888">
        <v>-22.382999999999999</v>
      </c>
      <c r="AD1888">
        <v>-1.0785815599999999</v>
      </c>
      <c r="AE1888">
        <v>-4.4424999999999901</v>
      </c>
      <c r="AF1888">
        <v>-4.4034390195908202</v>
      </c>
      <c r="AG1888">
        <v>-1.0785815599999999</v>
      </c>
      <c r="AH1888">
        <v>22.338874576316702</v>
      </c>
      <c r="AI1888">
        <v>92.712139695316296</v>
      </c>
      <c r="AJ1888">
        <v>101.15117987567901</v>
      </c>
      <c r="AK1888">
        <v>22.794274077435301</v>
      </c>
      <c r="AL1888">
        <v>78.882398576178304</v>
      </c>
      <c r="AM1888">
        <v>92.104781920629904</v>
      </c>
      <c r="AN1888">
        <v>0.99999993107982599</v>
      </c>
    </row>
    <row r="1889" spans="1:40" x14ac:dyDescent="0.25">
      <c r="A1889" t="str">
        <f>"20190303162540754"</f>
        <v>20190303162540754</v>
      </c>
      <c r="B1889" t="str">
        <f>"1551601540744867"</f>
        <v>1551601540744867</v>
      </c>
      <c r="C1889" t="s">
        <v>40</v>
      </c>
      <c r="D1889">
        <v>4.3800800000000004</v>
      </c>
      <c r="E1889">
        <v>0.44202399999999997</v>
      </c>
      <c r="F1889" t="s">
        <v>48</v>
      </c>
      <c r="G1889">
        <v>-460.35539999999997</v>
      </c>
      <c r="H1889">
        <v>2.268187E-2</v>
      </c>
      <c r="I1889">
        <v>279.61630000000002</v>
      </c>
      <c r="J1889">
        <v>-437.55950000000001</v>
      </c>
      <c r="K1889">
        <v>1.1206750000000001</v>
      </c>
      <c r="L1889">
        <v>284.0591</v>
      </c>
      <c r="M1889">
        <v>-0.99989600000000001</v>
      </c>
      <c r="N1889">
        <v>-1.441126E-2</v>
      </c>
      <c r="O1889">
        <v>-6.0113250000000005E-4</v>
      </c>
      <c r="P1889">
        <v>-0.98336310000000005</v>
      </c>
      <c r="Q1889">
        <v>0.17787169999999999</v>
      </c>
      <c r="R1889">
        <v>-3.6860589999999999E-2</v>
      </c>
      <c r="S1889">
        <v>-3.055145</v>
      </c>
      <c r="T1889">
        <v>-0.145092</v>
      </c>
      <c r="U1889">
        <v>-0.58703609999999995</v>
      </c>
      <c r="V1889">
        <v>-3.5993190000000001E-2</v>
      </c>
      <c r="W1889">
        <v>0.19207750000000001</v>
      </c>
      <c r="X1889">
        <v>0.98071949999999997</v>
      </c>
      <c r="Y1889">
        <v>-0.1878368</v>
      </c>
      <c r="Z1889">
        <v>-5.7645279999999997E-3</v>
      </c>
      <c r="AA1889">
        <v>0.98218329999999998</v>
      </c>
      <c r="AB1889">
        <v>32</v>
      </c>
      <c r="AC1889">
        <v>-22.7958999999999</v>
      </c>
      <c r="AD1889">
        <v>-1.0979931300000001</v>
      </c>
      <c r="AE1889">
        <v>-4.4427999999999699</v>
      </c>
      <c r="AF1889">
        <v>-4.4192170675822497</v>
      </c>
      <c r="AG1889">
        <v>-1.0979931300000001</v>
      </c>
      <c r="AH1889">
        <v>22.747723646777299</v>
      </c>
      <c r="AI1889">
        <v>92.712783305265205</v>
      </c>
      <c r="AJ1889">
        <v>100.993950497434</v>
      </c>
      <c r="AK1889">
        <v>23.1990085890343</v>
      </c>
      <c r="AL1889">
        <v>78.925950463379394</v>
      </c>
      <c r="AM1889">
        <v>92.101857572187399</v>
      </c>
      <c r="AN1889">
        <v>1.0000000067064301</v>
      </c>
    </row>
    <row r="1890" spans="1:40" x14ac:dyDescent="0.25">
      <c r="A1890" t="str">
        <f>"20190303162540777"</f>
        <v>20190303162540777</v>
      </c>
      <c r="B1890" t="str">
        <f>"1551601540765362"</f>
        <v>1551601540765362</v>
      </c>
      <c r="C1890" t="s">
        <v>40</v>
      </c>
      <c r="D1890">
        <v>4.4226539999999996</v>
      </c>
      <c r="E1890">
        <v>0.44214439999999999</v>
      </c>
      <c r="F1890" t="s">
        <v>48</v>
      </c>
      <c r="G1890">
        <v>-460.75049999999999</v>
      </c>
      <c r="H1890" s="1">
        <v>-9.1981800000000004E-7</v>
      </c>
      <c r="I1890">
        <v>279.63900000000001</v>
      </c>
      <c r="J1890">
        <v>-437.87090000000001</v>
      </c>
      <c r="K1890">
        <v>1.120671</v>
      </c>
      <c r="L1890">
        <v>284.05970000000002</v>
      </c>
      <c r="M1890">
        <v>-0.99989620000000001</v>
      </c>
      <c r="N1890">
        <v>-1.440804E-2</v>
      </c>
      <c r="O1890" s="1">
        <v>7.8610809999999997E-5</v>
      </c>
      <c r="P1890">
        <v>-0.98348760000000002</v>
      </c>
      <c r="Q1890">
        <v>0.1773187</v>
      </c>
      <c r="R1890">
        <v>-3.6196819999999998E-2</v>
      </c>
      <c r="S1890">
        <v>-3.0556640000000002</v>
      </c>
      <c r="T1890">
        <v>-0.14766109999999999</v>
      </c>
      <c r="U1890">
        <v>-0.58239750000000001</v>
      </c>
      <c r="V1890">
        <v>-3.5995770000000003E-2</v>
      </c>
      <c r="W1890">
        <v>0.19152250000000001</v>
      </c>
      <c r="X1890">
        <v>0.98082789999999997</v>
      </c>
      <c r="Y1890">
        <v>-0.18702759999999999</v>
      </c>
      <c r="Z1890">
        <v>-5.8391550000000004E-3</v>
      </c>
      <c r="AA1890">
        <v>0.98233729999999997</v>
      </c>
      <c r="AB1890">
        <v>32</v>
      </c>
      <c r="AC1890">
        <v>-22.8795999999999</v>
      </c>
      <c r="AD1890">
        <v>-1.120671919818</v>
      </c>
      <c r="AE1890">
        <v>-4.4207000000000098</v>
      </c>
      <c r="AF1890">
        <v>-4.41229390658392</v>
      </c>
      <c r="AG1890">
        <v>-1.120671919818</v>
      </c>
      <c r="AH1890">
        <v>22.826458842568702</v>
      </c>
      <c r="AI1890">
        <v>92.759694412655506</v>
      </c>
      <c r="AJ1890">
        <v>100.94019775136999</v>
      </c>
      <c r="AK1890">
        <v>23.275984755997499</v>
      </c>
      <c r="AL1890">
        <v>78.958350721580601</v>
      </c>
      <c r="AM1890">
        <v>92.101775995449003</v>
      </c>
      <c r="AN1890">
        <v>0.99999996644127498</v>
      </c>
    </row>
    <row r="1891" spans="1:40" x14ac:dyDescent="0.25">
      <c r="A1891" t="str">
        <f>"20190303162540800"</f>
        <v>20190303162540800</v>
      </c>
      <c r="B1891" t="str">
        <f>"1551601540794643"</f>
        <v>1551601540794643</v>
      </c>
      <c r="C1891" t="s">
        <v>40</v>
      </c>
      <c r="D1891">
        <v>4.4437769999999999</v>
      </c>
      <c r="E1891">
        <v>0.44227559999999999</v>
      </c>
      <c r="F1891" t="s">
        <v>48</v>
      </c>
      <c r="G1891">
        <v>-460.86110000000002</v>
      </c>
      <c r="H1891" s="1">
        <v>-8.6385030000000003E-7</v>
      </c>
      <c r="I1891">
        <v>279.70420000000001</v>
      </c>
      <c r="J1891">
        <v>-438.1943</v>
      </c>
      <c r="K1891">
        <v>1.1206700000000001</v>
      </c>
      <c r="L1891">
        <v>284.06040000000002</v>
      </c>
      <c r="M1891">
        <v>-0.99989589999999995</v>
      </c>
      <c r="N1891">
        <v>-1.440468E-2</v>
      </c>
      <c r="O1891">
        <v>7.8567939999999998E-4</v>
      </c>
      <c r="P1891">
        <v>-0.98340930000000004</v>
      </c>
      <c r="Q1891">
        <v>0.17785139999999999</v>
      </c>
      <c r="R1891">
        <v>-3.5708490000000002E-2</v>
      </c>
      <c r="S1891">
        <v>-3.0559690000000002</v>
      </c>
      <c r="T1891">
        <v>-0.1489654</v>
      </c>
      <c r="U1891">
        <v>-0.57894899999999905</v>
      </c>
      <c r="V1891">
        <v>-3.620102E-2</v>
      </c>
      <c r="W1891">
        <v>0.19205130000000001</v>
      </c>
      <c r="X1891">
        <v>0.98071699999999995</v>
      </c>
      <c r="Y1891">
        <v>-0.18663009999999999</v>
      </c>
      <c r="Z1891">
        <v>-5.8898319999999898E-3</v>
      </c>
      <c r="AA1891">
        <v>0.98241259999999997</v>
      </c>
      <c r="AB1891">
        <v>32</v>
      </c>
      <c r="AC1891">
        <v>-22.666799999999999</v>
      </c>
      <c r="AD1891">
        <v>-1.1206708638503</v>
      </c>
      <c r="AE1891">
        <v>-4.3562000000000003</v>
      </c>
      <c r="AF1891">
        <v>-4.3637225146913901</v>
      </c>
      <c r="AG1891">
        <v>-1.1206708638503</v>
      </c>
      <c r="AH1891">
        <v>22.610070192392101</v>
      </c>
      <c r="AI1891">
        <v>92.786216401874796</v>
      </c>
      <c r="AJ1891">
        <v>100.92372243051599</v>
      </c>
      <c r="AK1891">
        <v>23.054571162249001</v>
      </c>
      <c r="AL1891">
        <v>78.927480294726195</v>
      </c>
      <c r="AM1891">
        <v>92.113988412754296</v>
      </c>
      <c r="AN1891">
        <v>1.00000002488486</v>
      </c>
    </row>
    <row r="1892" spans="1:40" x14ac:dyDescent="0.25">
      <c r="A1892" t="str">
        <f>"20190303162540823"</f>
        <v>20190303162540823</v>
      </c>
      <c r="B1892" t="str">
        <f>"1551601540815140"</f>
        <v>1551601540815140</v>
      </c>
      <c r="C1892" t="s">
        <v>40</v>
      </c>
      <c r="D1892">
        <v>4.4526159999999999</v>
      </c>
      <c r="E1892">
        <v>0.4423898</v>
      </c>
      <c r="F1892" t="s">
        <v>48</v>
      </c>
      <c r="G1892">
        <v>-461.70370000000003</v>
      </c>
      <c r="H1892" s="1">
        <v>-4.1204160000000001E-7</v>
      </c>
      <c r="I1892">
        <v>279.6266</v>
      </c>
      <c r="J1892">
        <v>-438.51799999999997</v>
      </c>
      <c r="K1892">
        <v>1.1206719999999999</v>
      </c>
      <c r="L1892">
        <v>284.06139999999999</v>
      </c>
      <c r="M1892">
        <v>-0.99989530000000004</v>
      </c>
      <c r="N1892">
        <v>-1.4401239999999999E-2</v>
      </c>
      <c r="O1892">
        <v>1.4926640000000001E-3</v>
      </c>
      <c r="P1892">
        <v>-0.98334639999999995</v>
      </c>
      <c r="Q1892">
        <v>0.178145</v>
      </c>
      <c r="R1892">
        <v>-3.5980199999999997E-2</v>
      </c>
      <c r="S1892">
        <v>-3.056</v>
      </c>
      <c r="T1892">
        <v>-0.14567629999999901</v>
      </c>
      <c r="U1892">
        <v>-0.57635499999999995</v>
      </c>
      <c r="V1892">
        <v>-3.7166390000000001E-2</v>
      </c>
      <c r="W1892">
        <v>0.19234190000000001</v>
      </c>
      <c r="X1892">
        <v>0.98062389999999999</v>
      </c>
      <c r="Y1892">
        <v>-0.18652840000000001</v>
      </c>
      <c r="Z1892">
        <v>-5.8096119999999996E-3</v>
      </c>
      <c r="AA1892">
        <v>0.98243239999999998</v>
      </c>
      <c r="AB1892">
        <v>32</v>
      </c>
      <c r="AC1892">
        <v>-23.185700000000001</v>
      </c>
      <c r="AD1892">
        <v>-1.1206724120415901</v>
      </c>
      <c r="AE1892">
        <v>-4.4347999999999903</v>
      </c>
      <c r="AF1892">
        <v>-4.4593566868731802</v>
      </c>
      <c r="AG1892">
        <v>-1.1206724120415901</v>
      </c>
      <c r="AH1892">
        <v>23.126930758997901</v>
      </c>
      <c r="AI1892">
        <v>92.724136366924597</v>
      </c>
      <c r="AJ1892">
        <v>100.913882909734</v>
      </c>
      <c r="AK1892">
        <v>23.5795821643928</v>
      </c>
      <c r="AL1892">
        <v>78.910513436111302</v>
      </c>
      <c r="AM1892">
        <v>92.170514631542304</v>
      </c>
      <c r="AN1892">
        <v>0.99999999014622598</v>
      </c>
    </row>
    <row r="1893" spans="1:40" x14ac:dyDescent="0.25">
      <c r="A1893" t="str">
        <f>"20190303162540845"</f>
        <v>20190303162540845</v>
      </c>
      <c r="B1893" t="str">
        <f>"1551601540834659"</f>
        <v>1551601540834659</v>
      </c>
      <c r="C1893" t="s">
        <v>40</v>
      </c>
      <c r="D1893">
        <v>4.4099259999999996</v>
      </c>
      <c r="E1893">
        <v>0.44239260000000002</v>
      </c>
      <c r="F1893" t="s">
        <v>48</v>
      </c>
      <c r="G1893">
        <v>-462.07690000000002</v>
      </c>
      <c r="H1893">
        <v>2.1087410000000001E-2</v>
      </c>
      <c r="I1893">
        <v>279.61630000000002</v>
      </c>
      <c r="J1893">
        <v>-438.83120000000002</v>
      </c>
      <c r="K1893">
        <v>1.1206750000000001</v>
      </c>
      <c r="L1893">
        <v>284.06270000000001</v>
      </c>
      <c r="M1893">
        <v>-0.99989399999999995</v>
      </c>
      <c r="N1893">
        <v>-1.439761E-2</v>
      </c>
      <c r="O1893">
        <v>2.1760320000000001E-3</v>
      </c>
      <c r="P1893">
        <v>-0.98334469999999996</v>
      </c>
      <c r="Q1893">
        <v>0.1780921</v>
      </c>
      <c r="R1893">
        <v>-3.6282010000000003E-2</v>
      </c>
      <c r="S1893">
        <v>-3.0554809999999999</v>
      </c>
      <c r="T1893">
        <v>-0.14261160000000001</v>
      </c>
      <c r="U1893">
        <v>-0.57650760000000001</v>
      </c>
      <c r="V1893">
        <v>-3.8139869999999999E-2</v>
      </c>
      <c r="W1893">
        <v>0.19228619999999999</v>
      </c>
      <c r="X1893">
        <v>0.98059739999999995</v>
      </c>
      <c r="Y1893">
        <v>-0.18728590000000001</v>
      </c>
      <c r="Z1893">
        <v>-5.7607910000000003E-3</v>
      </c>
      <c r="AA1893">
        <v>0.98228850000000001</v>
      </c>
      <c r="AB1893">
        <v>32</v>
      </c>
      <c r="AC1893">
        <v>-23.245699999999999</v>
      </c>
      <c r="AD1893">
        <v>-1.0995875900000001</v>
      </c>
      <c r="AE1893">
        <v>-4.4463999999999801</v>
      </c>
      <c r="AF1893">
        <v>-4.48729191467931</v>
      </c>
      <c r="AG1893">
        <v>-1.0995875900000001</v>
      </c>
      <c r="AH1893">
        <v>23.1859197421362</v>
      </c>
      <c r="AI1893">
        <v>92.665813562840896</v>
      </c>
      <c r="AJ1893">
        <v>100.95333507386</v>
      </c>
      <c r="AK1893">
        <v>23.641737581751698</v>
      </c>
      <c r="AL1893">
        <v>78.913765027809404</v>
      </c>
      <c r="AM1893">
        <v>92.227369399879095</v>
      </c>
      <c r="AN1893">
        <v>0.99999994664040603</v>
      </c>
    </row>
    <row r="1894" spans="1:40" x14ac:dyDescent="0.25">
      <c r="A1894" t="str">
        <f>"20190303162540889"</f>
        <v>20190303162540889</v>
      </c>
      <c r="B1894" t="str">
        <f>"1551601540874675"</f>
        <v>1551601540874675</v>
      </c>
      <c r="C1894" t="s">
        <v>40</v>
      </c>
      <c r="D1894">
        <v>4.441675</v>
      </c>
      <c r="E1894">
        <v>0.4424437</v>
      </c>
      <c r="F1894" t="s">
        <v>48</v>
      </c>
      <c r="G1894">
        <v>-462.33339999999998</v>
      </c>
      <c r="H1894">
        <v>3.532602E-2</v>
      </c>
      <c r="I1894">
        <v>279.61630000000002</v>
      </c>
      <c r="J1894">
        <v>-439.45830000000001</v>
      </c>
      <c r="K1894">
        <v>1.120684</v>
      </c>
      <c r="L1894">
        <v>284.06569999999999</v>
      </c>
      <c r="M1894">
        <v>-0.99989039999999996</v>
      </c>
      <c r="N1894">
        <v>-1.439065E-2</v>
      </c>
      <c r="O1894">
        <v>3.5420769999999998E-3</v>
      </c>
      <c r="P1894">
        <v>-0.98323309999999997</v>
      </c>
      <c r="Q1894">
        <v>0.17889869999999999</v>
      </c>
      <c r="R1894">
        <v>-3.5330439999999998E-2</v>
      </c>
      <c r="S1894">
        <v>-3.0550229999999998</v>
      </c>
      <c r="T1894">
        <v>-0.14108319999999999</v>
      </c>
      <c r="U1894">
        <v>-0.57797240000000005</v>
      </c>
      <c r="V1894">
        <v>-3.8530689999999999E-2</v>
      </c>
      <c r="W1894">
        <v>0.19308439999999999</v>
      </c>
      <c r="X1894">
        <v>0.98042530000000006</v>
      </c>
      <c r="Y1894">
        <v>-0.1891109</v>
      </c>
      <c r="Z1894">
        <v>-5.811241E-3</v>
      </c>
      <c r="AA1894">
        <v>0.98193850000000005</v>
      </c>
      <c r="AB1894">
        <v>32</v>
      </c>
      <c r="AC1894">
        <v>-22.8750999999999</v>
      </c>
      <c r="AD1894">
        <v>-1.0853579799999999</v>
      </c>
      <c r="AE1894">
        <v>-4.4493999999999598</v>
      </c>
      <c r="AF1894">
        <v>-4.52059990015188</v>
      </c>
      <c r="AG1894">
        <v>-1.0853579799999999</v>
      </c>
      <c r="AH1894">
        <v>22.809716717853199</v>
      </c>
      <c r="AI1894">
        <v>92.672358604876294</v>
      </c>
      <c r="AJ1894">
        <v>101.210041324031</v>
      </c>
      <c r="AK1894">
        <v>23.278681280319901</v>
      </c>
      <c r="AL1894">
        <v>78.867158571847497</v>
      </c>
      <c r="AM1894">
        <v>92.250564535506996</v>
      </c>
      <c r="AN1894">
        <v>0.99999998423766301</v>
      </c>
    </row>
    <row r="1895" spans="1:40" x14ac:dyDescent="0.25">
      <c r="A1895" t="str">
        <f>"20190303162540911"</f>
        <v>20190303162540911</v>
      </c>
      <c r="B1895" t="str">
        <f>"1551601540904932"</f>
        <v>1551601540904932</v>
      </c>
      <c r="C1895" t="s">
        <v>40</v>
      </c>
      <c r="D1895">
        <v>4.5532830000000004</v>
      </c>
      <c r="E1895">
        <v>0.45139499999999999</v>
      </c>
      <c r="F1895" t="s">
        <v>48</v>
      </c>
      <c r="G1895">
        <v>-463.16399999999999</v>
      </c>
      <c r="H1895">
        <v>5.8411280000000003E-2</v>
      </c>
      <c r="I1895">
        <v>279.60789999999997</v>
      </c>
      <c r="J1895">
        <v>-439.78140000000002</v>
      </c>
      <c r="K1895">
        <v>1.120679</v>
      </c>
      <c r="L1895">
        <v>284.06760000000003</v>
      </c>
      <c r="M1895">
        <v>-0.99988759999999999</v>
      </c>
      <c r="N1895">
        <v>-1.4387540000000001E-2</v>
      </c>
      <c r="O1895">
        <v>4.2453250000000003E-3</v>
      </c>
      <c r="P1895">
        <v>-0.98320560000000001</v>
      </c>
      <c r="Q1895">
        <v>0.17913770000000001</v>
      </c>
      <c r="R1895">
        <v>-3.4882280000000002E-2</v>
      </c>
      <c r="S1895">
        <v>-3.0553889999999999</v>
      </c>
      <c r="T1895">
        <v>-0.13691410000000001</v>
      </c>
      <c r="U1895">
        <v>-0.57455440000000002</v>
      </c>
      <c r="V1895">
        <v>-3.8773370000000001E-2</v>
      </c>
      <c r="W1895">
        <v>0.19331980000000001</v>
      </c>
      <c r="X1895">
        <v>0.98036939999999995</v>
      </c>
      <c r="Y1895">
        <v>-0.1887327</v>
      </c>
      <c r="Z1895">
        <v>-5.6882640000000002E-3</v>
      </c>
      <c r="AA1895">
        <v>0.982012</v>
      </c>
      <c r="AB1895">
        <v>32</v>
      </c>
      <c r="AC1895">
        <v>-23.382599999999901</v>
      </c>
      <c r="AD1895">
        <v>-1.0622677199999999</v>
      </c>
      <c r="AE1895">
        <v>-4.4597000000000504</v>
      </c>
      <c r="AF1895">
        <v>-4.5498760524738397</v>
      </c>
      <c r="AG1895">
        <v>-1.0622677199999999</v>
      </c>
      <c r="AH1895">
        <v>23.317020241489299</v>
      </c>
      <c r="AI1895">
        <v>92.560234660824406</v>
      </c>
      <c r="AJ1895">
        <v>101.04144571843401</v>
      </c>
      <c r="AK1895">
        <v>23.780521813952099</v>
      </c>
      <c r="AL1895">
        <v>78.853412776595604</v>
      </c>
      <c r="AM1895">
        <v>92.264853677023197</v>
      </c>
      <c r="AN1895">
        <v>1.0000000398747699</v>
      </c>
    </row>
    <row r="1896" spans="1:40" x14ac:dyDescent="0.25">
      <c r="A1896" t="str">
        <f>"20190303162540933"</f>
        <v>20190303162540933</v>
      </c>
      <c r="B1896" t="str">
        <f>"1551601540924451"</f>
        <v>1551601540924451</v>
      </c>
      <c r="C1896" t="s">
        <v>40</v>
      </c>
      <c r="D1896">
        <v>4.6017070000000002</v>
      </c>
      <c r="E1896">
        <v>0.45551750000000002</v>
      </c>
      <c r="F1896" t="s">
        <v>48</v>
      </c>
      <c r="G1896">
        <v>-463.00330000000002</v>
      </c>
      <c r="H1896" s="1">
        <v>2.5218929999999999E-7</v>
      </c>
      <c r="I1896">
        <v>280.25220000000002</v>
      </c>
      <c r="J1896">
        <v>-440.07979999999998</v>
      </c>
      <c r="K1896">
        <v>1.1206799999999999</v>
      </c>
      <c r="L1896">
        <v>284.06950000000001</v>
      </c>
      <c r="M1896">
        <v>-0.99988469999999996</v>
      </c>
      <c r="N1896">
        <v>-1.438471E-2</v>
      </c>
      <c r="O1896">
        <v>4.8949249999999996E-3</v>
      </c>
      <c r="P1896">
        <v>-0.98329610000000001</v>
      </c>
      <c r="Q1896">
        <v>0.1786779</v>
      </c>
      <c r="R1896">
        <v>-3.4691010000000001E-2</v>
      </c>
      <c r="S1896">
        <v>-3.0603030000000002</v>
      </c>
      <c r="T1896">
        <v>-0.1476886</v>
      </c>
      <c r="U1896">
        <v>-0.50280760000000002</v>
      </c>
      <c r="V1896">
        <v>-3.9222489999999999E-2</v>
      </c>
      <c r="W1896">
        <v>0.1928589</v>
      </c>
      <c r="X1896">
        <v>0.98044229999999999</v>
      </c>
      <c r="Y1896">
        <v>-0.16670570000000001</v>
      </c>
      <c r="Z1896">
        <v>-5.3660720000000004E-3</v>
      </c>
      <c r="AA1896">
        <v>0.98599210000000004</v>
      </c>
      <c r="AB1896">
        <v>32</v>
      </c>
      <c r="AC1896">
        <v>-22.923500000000001</v>
      </c>
      <c r="AD1896">
        <v>-1.12067974781069</v>
      </c>
      <c r="AE1896">
        <v>-3.8172999999999799</v>
      </c>
      <c r="AF1896">
        <v>-3.9203577526117601</v>
      </c>
      <c r="AG1896">
        <v>-1.12067974781069</v>
      </c>
      <c r="AH1896">
        <v>22.851396355840599</v>
      </c>
      <c r="AI1896">
        <v>92.767289608623599</v>
      </c>
      <c r="AJ1896">
        <v>99.734825987116807</v>
      </c>
      <c r="AK1896">
        <v>23.2123123237937</v>
      </c>
      <c r="AL1896">
        <v>78.880326796298405</v>
      </c>
      <c r="AM1896">
        <v>92.290889983590503</v>
      </c>
      <c r="AN1896">
        <v>1.00000003133014</v>
      </c>
    </row>
    <row r="1897" spans="1:40" x14ac:dyDescent="0.25">
      <c r="A1897" t="str">
        <f>"20190303162540955"</f>
        <v>20190303162540955</v>
      </c>
      <c r="B1897" t="str">
        <f>"1551601540944947"</f>
        <v>1551601540944947</v>
      </c>
      <c r="C1897" t="s">
        <v>40</v>
      </c>
      <c r="D1897">
        <v>4.6257239999999999</v>
      </c>
      <c r="E1897">
        <v>0.45619589999999999</v>
      </c>
      <c r="F1897" t="s">
        <v>48</v>
      </c>
      <c r="G1897">
        <v>-463.51029999999997</v>
      </c>
      <c r="H1897" s="1">
        <v>5.1216159999999998E-7</v>
      </c>
      <c r="I1897">
        <v>280.47629999999998</v>
      </c>
      <c r="J1897">
        <v>-440.39330000000001</v>
      </c>
      <c r="K1897">
        <v>1.1206830000000001</v>
      </c>
      <c r="L1897">
        <v>284.0718</v>
      </c>
      <c r="M1897">
        <v>-0.99988100000000002</v>
      </c>
      <c r="N1897">
        <v>-1.4381680000000001E-2</v>
      </c>
      <c r="O1897">
        <v>5.5775440000000003E-3</v>
      </c>
      <c r="P1897">
        <v>-0.98322010000000004</v>
      </c>
      <c r="Q1897">
        <v>0.17920420000000001</v>
      </c>
      <c r="R1897">
        <v>-3.4122260000000001E-2</v>
      </c>
      <c r="S1897">
        <v>-3.0609739999999999</v>
      </c>
      <c r="T1897">
        <v>-0.1464067</v>
      </c>
      <c r="U1897">
        <v>-0.46942139999999999</v>
      </c>
      <c r="V1897">
        <v>-3.9324030000000003E-2</v>
      </c>
      <c r="W1897">
        <v>0.19338060000000001</v>
      </c>
      <c r="X1897">
        <v>0.98033539999999997</v>
      </c>
      <c r="Y1897">
        <v>-0.156864</v>
      </c>
      <c r="Z1897">
        <v>-5.0483239999999999E-3</v>
      </c>
      <c r="AA1897">
        <v>0.98760729999999997</v>
      </c>
      <c r="AB1897">
        <v>31</v>
      </c>
      <c r="AC1897">
        <v>-23.116999999999901</v>
      </c>
      <c r="AD1897">
        <v>-1.1206824878383901</v>
      </c>
      <c r="AE1897">
        <v>-3.5955000000000101</v>
      </c>
      <c r="AF1897">
        <v>-3.7158667780158599</v>
      </c>
      <c r="AG1897">
        <v>-1.1206824878383901</v>
      </c>
      <c r="AH1897">
        <v>23.043706393138699</v>
      </c>
      <c r="AI1897">
        <v>92.748813577899398</v>
      </c>
      <c r="AJ1897">
        <v>99.160262805074794</v>
      </c>
      <c r="AK1897">
        <v>23.368269073333</v>
      </c>
      <c r="AL1897">
        <v>78.849861360490195</v>
      </c>
      <c r="AM1897">
        <v>92.297064530224802</v>
      </c>
      <c r="AN1897">
        <v>0.99999996614247899</v>
      </c>
    </row>
    <row r="1898" spans="1:40" x14ac:dyDescent="0.25">
      <c r="A1898" t="str">
        <f>"20190303162540979"</f>
        <v>20190303162540979</v>
      </c>
      <c r="B1898" t="str">
        <f>"1551601540975203"</f>
        <v>1551601540975203</v>
      </c>
      <c r="C1898" t="s">
        <v>40</v>
      </c>
      <c r="D1898">
        <v>4.6304179999999997</v>
      </c>
      <c r="E1898">
        <v>0.45494079999999898</v>
      </c>
      <c r="F1898" t="s">
        <v>48</v>
      </c>
      <c r="G1898">
        <v>-464.13049999999998</v>
      </c>
      <c r="H1898" s="1">
        <v>8.4173809999999996E-7</v>
      </c>
      <c r="I1898">
        <v>280.4871</v>
      </c>
      <c r="J1898">
        <v>-440.71620000000001</v>
      </c>
      <c r="K1898">
        <v>1.1206849999999999</v>
      </c>
      <c r="L1898">
        <v>284.07440000000003</v>
      </c>
      <c r="M1898">
        <v>-0.99987700000000002</v>
      </c>
      <c r="N1898">
        <v>-1.437854E-2</v>
      </c>
      <c r="O1898">
        <v>6.2806049999999999E-3</v>
      </c>
      <c r="P1898">
        <v>-0.98310929999999996</v>
      </c>
      <c r="Q1898">
        <v>0.17987729999999999</v>
      </c>
      <c r="R1898">
        <v>-3.3773600000000001E-2</v>
      </c>
      <c r="S1898">
        <v>-3.0614620000000001</v>
      </c>
      <c r="T1898">
        <v>-0.14453820000000001</v>
      </c>
      <c r="U1898">
        <v>-0.46234130000000001</v>
      </c>
      <c r="V1898">
        <v>-3.9666010000000002E-2</v>
      </c>
      <c r="W1898">
        <v>0.1940491</v>
      </c>
      <c r="X1898">
        <v>0.98018959999999999</v>
      </c>
      <c r="Y1898">
        <v>-0.15530939999999999</v>
      </c>
      <c r="Z1898">
        <v>-4.9722550000000001E-3</v>
      </c>
      <c r="AA1898">
        <v>0.98785330000000005</v>
      </c>
      <c r="AB1898">
        <v>31</v>
      </c>
      <c r="AC1898">
        <v>-23.414299999999901</v>
      </c>
      <c r="AD1898">
        <v>-1.1206841582618901</v>
      </c>
      <c r="AE1898">
        <v>-3.5873000000000199</v>
      </c>
      <c r="AF1898">
        <v>-3.7259603945948401</v>
      </c>
      <c r="AG1898">
        <v>-1.1206841582618901</v>
      </c>
      <c r="AH1898">
        <v>23.3390644092363</v>
      </c>
      <c r="AI1898">
        <v>92.714765285221205</v>
      </c>
      <c r="AJ1898">
        <v>99.070432652610293</v>
      </c>
      <c r="AK1898">
        <v>23.6611631443416</v>
      </c>
      <c r="AL1898">
        <v>78.810820532068504</v>
      </c>
      <c r="AM1898">
        <v>92.317363463661906</v>
      </c>
      <c r="AN1898">
        <v>1.0000000487541401</v>
      </c>
    </row>
    <row r="1899" spans="1:40" x14ac:dyDescent="0.25">
      <c r="A1899" t="str">
        <f>"20190303162541000"</f>
        <v>20190303162541000</v>
      </c>
      <c r="B1899" t="str">
        <f>"1551601540994723"</f>
        <v>1551601540994723</v>
      </c>
      <c r="C1899" t="s">
        <v>40</v>
      </c>
      <c r="D1899">
        <v>4.6315419999999996</v>
      </c>
      <c r="E1899">
        <v>0.4545457</v>
      </c>
      <c r="F1899" t="s">
        <v>48</v>
      </c>
      <c r="G1899">
        <v>-463.1377</v>
      </c>
      <c r="H1899" s="1">
        <v>3.0748460000000001E-7</v>
      </c>
      <c r="I1899">
        <v>280.62299999999999</v>
      </c>
      <c r="J1899">
        <v>-441.02530000000002</v>
      </c>
      <c r="K1899">
        <v>1.120689</v>
      </c>
      <c r="L1899">
        <v>284.07709999999997</v>
      </c>
      <c r="M1899">
        <v>-0.99987250000000005</v>
      </c>
      <c r="N1899">
        <v>-1.4375509999999999E-2</v>
      </c>
      <c r="O1899">
        <v>6.9538079999999997E-3</v>
      </c>
      <c r="P1899">
        <v>-0.98292330000000006</v>
      </c>
      <c r="Q1899">
        <v>0.18079429999999999</v>
      </c>
      <c r="R1899">
        <v>-3.4276870000000001E-2</v>
      </c>
      <c r="S1899">
        <v>-3.0633539999999999</v>
      </c>
      <c r="T1899">
        <v>-0.15311440000000001</v>
      </c>
      <c r="U1899">
        <v>-0.47155760000000002</v>
      </c>
      <c r="V1899">
        <v>-4.082881E-2</v>
      </c>
      <c r="W1899">
        <v>0.1949612</v>
      </c>
      <c r="X1899">
        <v>0.97996079999999997</v>
      </c>
      <c r="Y1899">
        <v>-0.15875810000000001</v>
      </c>
      <c r="Z1899">
        <v>-5.3367190000000002E-3</v>
      </c>
      <c r="AA1899">
        <v>0.98730309999999999</v>
      </c>
      <c r="AB1899">
        <v>31</v>
      </c>
      <c r="AC1899">
        <v>-22.112399999999901</v>
      </c>
      <c r="AD1899">
        <v>-1.1206886925153901</v>
      </c>
      <c r="AE1899">
        <v>-3.45409999999998</v>
      </c>
      <c r="AF1899">
        <v>-3.5987740756251601</v>
      </c>
      <c r="AG1899">
        <v>-1.1206886925153901</v>
      </c>
      <c r="AH1899">
        <v>22.032598473747601</v>
      </c>
      <c r="AI1899">
        <v>92.8738231878161</v>
      </c>
      <c r="AJ1899">
        <v>99.2766928533526</v>
      </c>
      <c r="AK1899">
        <v>22.352684704489299</v>
      </c>
      <c r="AL1899">
        <v>78.757543161293498</v>
      </c>
      <c r="AM1899">
        <v>92.385775352368498</v>
      </c>
      <c r="AN1899">
        <v>1.00000001538404</v>
      </c>
    </row>
    <row r="1900" spans="1:40" x14ac:dyDescent="0.25">
      <c r="A1900" t="str">
        <f>"20190303162541023"</f>
        <v>20190303162541023</v>
      </c>
      <c r="B1900" t="str">
        <f>"1551601541015219"</f>
        <v>1551601541015219</v>
      </c>
      <c r="C1900" t="s">
        <v>40</v>
      </c>
      <c r="D1900">
        <v>4.6914030000000002</v>
      </c>
      <c r="E1900">
        <v>0.4541945</v>
      </c>
      <c r="F1900" t="s">
        <v>48</v>
      </c>
      <c r="G1900">
        <v>-463.36590000000001</v>
      </c>
      <c r="H1900" s="1">
        <v>4.2978459999999999E-7</v>
      </c>
      <c r="I1900">
        <v>280.60300000000001</v>
      </c>
      <c r="J1900">
        <v>-441.3349</v>
      </c>
      <c r="K1900">
        <v>1.120692</v>
      </c>
      <c r="L1900">
        <v>284.08</v>
      </c>
      <c r="M1900">
        <v>-0.99986770000000003</v>
      </c>
      <c r="N1900">
        <v>-1.4372390000000001E-2</v>
      </c>
      <c r="O1900">
        <v>7.6285009999999898E-3</v>
      </c>
      <c r="P1900">
        <v>-0.98277000000000003</v>
      </c>
      <c r="Q1900">
        <v>0.18164759999999999</v>
      </c>
      <c r="R1900">
        <v>-3.4167910000000003E-2</v>
      </c>
      <c r="S1900">
        <v>-3.0637819999999998</v>
      </c>
      <c r="T1900">
        <v>-0.15369079999999999</v>
      </c>
      <c r="U1900">
        <v>-0.47644039999999999</v>
      </c>
      <c r="V1900">
        <v>-4.1381000000000001E-2</v>
      </c>
      <c r="W1900">
        <v>0.1958095</v>
      </c>
      <c r="X1900">
        <v>0.97976850000000004</v>
      </c>
      <c r="Y1900">
        <v>-0.16093450000000001</v>
      </c>
      <c r="Z1900">
        <v>-5.4456230000000001E-3</v>
      </c>
      <c r="AA1900">
        <v>0.98695010000000005</v>
      </c>
      <c r="AB1900">
        <v>31</v>
      </c>
      <c r="AC1900">
        <v>-22.030999999999999</v>
      </c>
      <c r="AD1900">
        <v>-1.1206915702153999</v>
      </c>
      <c r="AE1900">
        <v>-3.4769999999999701</v>
      </c>
      <c r="AF1900">
        <v>-3.63580016224003</v>
      </c>
      <c r="AG1900">
        <v>-1.1206915702153999</v>
      </c>
      <c r="AH1900">
        <v>21.9484174589637</v>
      </c>
      <c r="AI1900">
        <v>92.883767376181098</v>
      </c>
      <c r="AJ1900">
        <v>99.405750367016495</v>
      </c>
      <c r="AK1900">
        <v>22.275727179336702</v>
      </c>
      <c r="AL1900">
        <v>78.707984147258699</v>
      </c>
      <c r="AM1900">
        <v>92.418477792908803</v>
      </c>
      <c r="AN1900">
        <v>1.00000003052174</v>
      </c>
    </row>
    <row r="1901" spans="1:40" x14ac:dyDescent="0.25">
      <c r="A1901" t="str">
        <f>"20190303162541046"</f>
        <v>20190303162541046</v>
      </c>
      <c r="B1901" t="str">
        <f>"1551601541034738"</f>
        <v>1551601541034738</v>
      </c>
      <c r="C1901" t="s">
        <v>40</v>
      </c>
      <c r="D1901">
        <v>4.6353350000000004</v>
      </c>
      <c r="E1901">
        <v>0.45396530000000002</v>
      </c>
      <c r="F1901" t="s">
        <v>48</v>
      </c>
      <c r="G1901">
        <v>-464.31549999999999</v>
      </c>
      <c r="H1901" s="1">
        <v>9.4032790000000001E-7</v>
      </c>
      <c r="I1901">
        <v>280.48430000000002</v>
      </c>
      <c r="J1901">
        <v>-441.66770000000002</v>
      </c>
      <c r="K1901">
        <v>1.1207049999999901</v>
      </c>
      <c r="L1901">
        <v>284.08330000000001</v>
      </c>
      <c r="M1901">
        <v>-0.99986189999999997</v>
      </c>
      <c r="N1901">
        <v>-1.4368819999999999E-2</v>
      </c>
      <c r="O1901">
        <v>8.3538559999999998E-3</v>
      </c>
      <c r="P1901">
        <v>-0.9824967</v>
      </c>
      <c r="Q1901">
        <v>0.18294460000000001</v>
      </c>
      <c r="R1901">
        <v>-3.5097700000000003E-2</v>
      </c>
      <c r="S1901">
        <v>-3.0635379999999999</v>
      </c>
      <c r="T1901">
        <v>-0.1493989</v>
      </c>
      <c r="U1901">
        <v>-0.47933959999999998</v>
      </c>
      <c r="V1901">
        <v>-4.3019700000000001E-2</v>
      </c>
      <c r="W1901">
        <v>0.19710079999999999</v>
      </c>
      <c r="X1901">
        <v>0.9794389</v>
      </c>
      <c r="Y1901">
        <v>-0.1625839</v>
      </c>
      <c r="Z1901">
        <v>-5.3996599999999997E-3</v>
      </c>
      <c r="AA1901">
        <v>0.98668</v>
      </c>
      <c r="AB1901">
        <v>31</v>
      </c>
      <c r="AC1901">
        <v>-22.647799999999901</v>
      </c>
      <c r="AD1901">
        <v>-1.1207040596721001</v>
      </c>
      <c r="AE1901">
        <v>-3.5989999999999802</v>
      </c>
      <c r="AF1901">
        <v>-3.77906463087779</v>
      </c>
      <c r="AG1901">
        <v>-1.1207040596721001</v>
      </c>
      <c r="AH1901">
        <v>22.563052359215799</v>
      </c>
      <c r="AI1901">
        <v>92.804535995235398</v>
      </c>
      <c r="AJ1901">
        <v>99.508162742803904</v>
      </c>
      <c r="AK1901">
        <v>22.904773276294002</v>
      </c>
      <c r="AL1901">
        <v>78.632527195149393</v>
      </c>
      <c r="AM1901">
        <v>92.514974652141007</v>
      </c>
      <c r="AN1901">
        <v>0.99999998939096901</v>
      </c>
    </row>
    <row r="1902" spans="1:40" x14ac:dyDescent="0.25">
      <c r="A1902" t="str">
        <f>"20190303162541072"</f>
        <v>20190303162541072</v>
      </c>
      <c r="B1902" t="str">
        <f>"1551601541064995"</f>
        <v>1551601541064995</v>
      </c>
      <c r="C1902" t="s">
        <v>40</v>
      </c>
      <c r="D1902">
        <v>4.7055790000000002</v>
      </c>
      <c r="E1902">
        <v>0.453405</v>
      </c>
      <c r="F1902" t="s">
        <v>48</v>
      </c>
      <c r="G1902">
        <v>-465.20440000000002</v>
      </c>
      <c r="H1902" s="1">
        <v>1.4187489999999999E-6</v>
      </c>
      <c r="I1902">
        <v>280.36090000000002</v>
      </c>
      <c r="J1902">
        <v>-442.03160000000003</v>
      </c>
      <c r="K1902">
        <v>1.1207129999999901</v>
      </c>
      <c r="L1902">
        <v>284.0872</v>
      </c>
      <c r="M1902">
        <v>-0.99985500000000005</v>
      </c>
      <c r="N1902">
        <v>-1.43651E-2</v>
      </c>
      <c r="O1902">
        <v>9.1473949999999991E-3</v>
      </c>
      <c r="P1902">
        <v>-0.98203580000000001</v>
      </c>
      <c r="Q1902">
        <v>0.18517130000000001</v>
      </c>
      <c r="R1902">
        <v>-3.6300510000000001E-2</v>
      </c>
      <c r="S1902">
        <v>-3.0632929999999998</v>
      </c>
      <c r="T1902">
        <v>-0.14585919999999999</v>
      </c>
      <c r="U1902">
        <v>-0.48446660000000002</v>
      </c>
      <c r="V1902">
        <v>-4.499512E-2</v>
      </c>
      <c r="W1902">
        <v>0.199319</v>
      </c>
      <c r="X1902">
        <v>0.97890109999999997</v>
      </c>
      <c r="Y1902">
        <v>-0.16499659999999999</v>
      </c>
      <c r="Z1902">
        <v>-5.3972459999999996E-3</v>
      </c>
      <c r="AA1902">
        <v>0.98627940000000003</v>
      </c>
      <c r="AB1902">
        <v>31</v>
      </c>
      <c r="AC1902">
        <v>-23.172799999999899</v>
      </c>
      <c r="AD1902">
        <v>-1.12071158125099</v>
      </c>
      <c r="AE1902">
        <v>-3.7262999999999802</v>
      </c>
      <c r="AF1902">
        <v>-3.9291779880301601</v>
      </c>
      <c r="AG1902">
        <v>-1.12071158125099</v>
      </c>
      <c r="AH1902">
        <v>23.0851057632078</v>
      </c>
      <c r="AI1902">
        <v>92.740009969566799</v>
      </c>
      <c r="AJ1902">
        <v>99.659406527000996</v>
      </c>
      <c r="AK1902">
        <v>23.443902026080501</v>
      </c>
      <c r="AL1902">
        <v>78.502861091011994</v>
      </c>
      <c r="AM1902">
        <v>92.631744078709204</v>
      </c>
      <c r="AN1902">
        <v>0.99999999408301199</v>
      </c>
    </row>
    <row r="1903" spans="1:40" x14ac:dyDescent="0.25">
      <c r="A1903" t="str">
        <f>"20190303162541093"</f>
        <v>20190303162541093</v>
      </c>
      <c r="B1903" t="str">
        <f>"1551601541084517"</f>
        <v>1551601541084517</v>
      </c>
      <c r="C1903" t="s">
        <v>40</v>
      </c>
      <c r="D1903">
        <v>4.7022820000000003</v>
      </c>
      <c r="E1903">
        <v>0.45336409999999999</v>
      </c>
      <c r="F1903" t="s">
        <v>48</v>
      </c>
      <c r="G1903">
        <v>-465.81950000000001</v>
      </c>
      <c r="H1903" s="1">
        <v>1.7504119999999999E-6</v>
      </c>
      <c r="I1903">
        <v>280.26170000000002</v>
      </c>
      <c r="J1903">
        <v>-442.31560000000002</v>
      </c>
      <c r="K1903">
        <v>1.1207229999999999</v>
      </c>
      <c r="L1903">
        <v>284.09050000000002</v>
      </c>
      <c r="M1903">
        <v>-0.99984930000000005</v>
      </c>
      <c r="N1903">
        <v>-1.4362069999999999E-2</v>
      </c>
      <c r="O1903">
        <v>9.7651609999999996E-3</v>
      </c>
      <c r="P1903">
        <v>-0.98172599999999999</v>
      </c>
      <c r="Q1903">
        <v>0.1865318</v>
      </c>
      <c r="R1903">
        <v>-3.7685219999999998E-2</v>
      </c>
      <c r="S1903">
        <v>-3.063904</v>
      </c>
      <c r="T1903">
        <v>-0.1443487</v>
      </c>
      <c r="U1903">
        <v>-0.49273679999999997</v>
      </c>
      <c r="V1903">
        <v>-4.6982360000000001E-2</v>
      </c>
      <c r="W1903">
        <v>0.2006743</v>
      </c>
      <c r="X1903">
        <v>0.97853080000000003</v>
      </c>
      <c r="Y1903">
        <v>-0.16817079999999901</v>
      </c>
      <c r="Z1903">
        <v>-5.4680099999999997E-3</v>
      </c>
      <c r="AA1903">
        <v>0.98574269999999997</v>
      </c>
      <c r="AB1903">
        <v>31</v>
      </c>
      <c r="AC1903">
        <v>-23.503899999999899</v>
      </c>
      <c r="AD1903">
        <v>-1.1207212495879999</v>
      </c>
      <c r="AE1903">
        <v>-3.8288000000000002</v>
      </c>
      <c r="AF1903">
        <v>-4.0491921351620102</v>
      </c>
      <c r="AG1903">
        <v>-1.1207212495879999</v>
      </c>
      <c r="AH1903">
        <v>23.413529347001901</v>
      </c>
      <c r="AI1903">
        <v>92.700425314168797</v>
      </c>
      <c r="AJ1903">
        <v>99.811817457540798</v>
      </c>
      <c r="AK1903">
        <v>23.7875036426619</v>
      </c>
      <c r="AL1903">
        <v>78.423607232136305</v>
      </c>
      <c r="AM1903">
        <v>92.748840700326696</v>
      </c>
      <c r="AN1903">
        <v>1.0000000216901399</v>
      </c>
    </row>
    <row r="1904" spans="1:40" x14ac:dyDescent="0.25">
      <c r="A1904" t="str">
        <f>"20190303162541115"</f>
        <v>20190303162541115</v>
      </c>
      <c r="B1904" t="str">
        <f>"1551601541105011"</f>
        <v>1551601541105011</v>
      </c>
      <c r="C1904" t="s">
        <v>40</v>
      </c>
      <c r="D1904">
        <v>4.7037129999999996</v>
      </c>
      <c r="E1904">
        <v>0.45323940000000001</v>
      </c>
      <c r="F1904" t="s">
        <v>48</v>
      </c>
      <c r="G1904">
        <v>-466.96940000000001</v>
      </c>
      <c r="H1904" s="1">
        <v>2.3701929999999998E-6</v>
      </c>
      <c r="I1904">
        <v>280.08170000000001</v>
      </c>
      <c r="J1904">
        <v>-442.62580000000003</v>
      </c>
      <c r="K1904">
        <v>1.1207290000000001</v>
      </c>
      <c r="L1904">
        <v>284.0942</v>
      </c>
      <c r="M1904">
        <v>-0.99984260000000003</v>
      </c>
      <c r="N1904">
        <v>-1.435873E-2</v>
      </c>
      <c r="O1904">
        <v>1.0438340000000001E-2</v>
      </c>
      <c r="P1904">
        <v>-0.98155020000000004</v>
      </c>
      <c r="Q1904">
        <v>0.18727550000000001</v>
      </c>
      <c r="R1904">
        <v>-3.8567480000000001E-2</v>
      </c>
      <c r="S1904">
        <v>-3.0631710000000001</v>
      </c>
      <c r="T1904">
        <v>-0.1392466</v>
      </c>
      <c r="U1904">
        <v>-0.4980774</v>
      </c>
      <c r="V1904">
        <v>-4.8523910000000003E-2</v>
      </c>
      <c r="W1904">
        <v>0.20141290000000001</v>
      </c>
      <c r="X1904">
        <v>0.97830379999999995</v>
      </c>
      <c r="Y1904">
        <v>-0.1705574</v>
      </c>
      <c r="Z1904">
        <v>-5.4051840000000004E-3</v>
      </c>
      <c r="AA1904">
        <v>0.98533289999999996</v>
      </c>
      <c r="AB1904">
        <v>31</v>
      </c>
      <c r="AC1904">
        <v>-24.343599999999899</v>
      </c>
      <c r="AD1904">
        <v>-1.120726629807</v>
      </c>
      <c r="AE1904">
        <v>-4.0124999999999797</v>
      </c>
      <c r="AF1904">
        <v>-4.2576289888416801</v>
      </c>
      <c r="AG1904">
        <v>-1.120726629807</v>
      </c>
      <c r="AH1904">
        <v>24.250346596721499</v>
      </c>
      <c r="AI1904">
        <v>92.606227220782998</v>
      </c>
      <c r="AJ1904">
        <v>99.957920581189498</v>
      </c>
      <c r="AK1904">
        <v>24.646759276758999</v>
      </c>
      <c r="AL1904">
        <v>78.380406555763898</v>
      </c>
      <c r="AM1904">
        <v>92.839546038036204</v>
      </c>
      <c r="AN1904">
        <v>1.00000002561126</v>
      </c>
    </row>
    <row r="1905" spans="1:40" x14ac:dyDescent="0.25">
      <c r="A1905" t="str">
        <f>"20190303162541135"</f>
        <v>20190303162541135</v>
      </c>
      <c r="B1905" t="str">
        <f>"1551601541124531"</f>
        <v>1551601541124531</v>
      </c>
      <c r="C1905" t="s">
        <v>40</v>
      </c>
      <c r="D1905">
        <v>4.6962580000000003</v>
      </c>
      <c r="E1905">
        <v>0.45305240000000002</v>
      </c>
      <c r="F1905" t="s">
        <v>48</v>
      </c>
      <c r="G1905">
        <v>-467.11090000000002</v>
      </c>
      <c r="H1905" s="1">
        <v>2.4456669999999999E-6</v>
      </c>
      <c r="I1905">
        <v>280.07780000000002</v>
      </c>
      <c r="J1905">
        <v>-442.8974</v>
      </c>
      <c r="K1905">
        <v>1.120733</v>
      </c>
      <c r="L1905">
        <v>284.09769999999997</v>
      </c>
      <c r="M1905">
        <v>-0.99983619999999995</v>
      </c>
      <c r="N1905">
        <v>-1.435579E-2</v>
      </c>
      <c r="O1905">
        <v>1.1026650000000001E-2</v>
      </c>
      <c r="P1905">
        <v>-0.9813653</v>
      </c>
      <c r="Q1905">
        <v>0.1881893</v>
      </c>
      <c r="R1905">
        <v>-3.8821319999999999E-2</v>
      </c>
      <c r="S1905">
        <v>-3.0633849999999998</v>
      </c>
      <c r="T1905">
        <v>-0.14021639999999999</v>
      </c>
      <c r="U1905">
        <v>-0.50250240000000002</v>
      </c>
      <c r="V1905">
        <v>-4.9352729999999997E-2</v>
      </c>
      <c r="W1905">
        <v>0.20232169999999999</v>
      </c>
      <c r="X1905">
        <v>0.97807480000000002</v>
      </c>
      <c r="Y1905">
        <v>-0.17250650000000001</v>
      </c>
      <c r="Z1905">
        <v>-5.511134E-3</v>
      </c>
      <c r="AA1905">
        <v>0.98499300000000001</v>
      </c>
      <c r="AB1905">
        <v>31</v>
      </c>
      <c r="AC1905">
        <v>-24.2135</v>
      </c>
      <c r="AD1905">
        <v>-1.120730554333</v>
      </c>
      <c r="AE1905">
        <v>-4.0198999999999501</v>
      </c>
      <c r="AF1905">
        <v>-4.2777582780765204</v>
      </c>
      <c r="AG1905">
        <v>-1.120730554333</v>
      </c>
      <c r="AH1905">
        <v>24.117415339665499</v>
      </c>
      <c r="AI1905">
        <v>92.619774429238504</v>
      </c>
      <c r="AJ1905">
        <v>100.058068748745</v>
      </c>
      <c r="AK1905">
        <v>24.519481550942299</v>
      </c>
      <c r="AL1905">
        <v>78.327241788647399</v>
      </c>
      <c r="AM1905">
        <v>92.888640939414898</v>
      </c>
      <c r="AN1905">
        <v>1.0000000383221901</v>
      </c>
    </row>
    <row r="1906" spans="1:40" x14ac:dyDescent="0.25">
      <c r="A1906" t="str">
        <f>"20190303162541156"</f>
        <v>20190303162541156</v>
      </c>
      <c r="B1906" t="str">
        <f>"1551601541145027"</f>
        <v>1551601541145027</v>
      </c>
      <c r="C1906" t="s">
        <v>40</v>
      </c>
      <c r="D1906">
        <v>4.7490180000000004</v>
      </c>
      <c r="E1906">
        <v>0.4527719</v>
      </c>
      <c r="F1906" t="s">
        <v>48</v>
      </c>
      <c r="G1906">
        <v>-467.24180000000001</v>
      </c>
      <c r="H1906" s="1">
        <v>2.5147729999999999E-6</v>
      </c>
      <c r="I1906">
        <v>280.0899</v>
      </c>
      <c r="J1906">
        <v>-443.2054</v>
      </c>
      <c r="K1906">
        <v>1.1207450000000001</v>
      </c>
      <c r="L1906">
        <v>284.10180000000003</v>
      </c>
      <c r="M1906">
        <v>-0.99982870000000001</v>
      </c>
      <c r="N1906">
        <v>-1.43524E-2</v>
      </c>
      <c r="O1906">
        <v>1.169189E-2</v>
      </c>
      <c r="P1906">
        <v>-0.98141400000000001</v>
      </c>
      <c r="Q1906">
        <v>0.18791179999999999</v>
      </c>
      <c r="R1906">
        <v>-3.8936400000000003E-2</v>
      </c>
      <c r="S1906">
        <v>-3.0640260000000001</v>
      </c>
      <c r="T1906">
        <v>-0.141057399999999</v>
      </c>
      <c r="U1906">
        <v>-0.50442500000000001</v>
      </c>
      <c r="V1906">
        <v>-5.012287E-2</v>
      </c>
      <c r="W1906">
        <v>0.20204240000000001</v>
      </c>
      <c r="X1906">
        <v>0.97809330000000005</v>
      </c>
      <c r="Y1906">
        <v>-0.1737262</v>
      </c>
      <c r="Z1906">
        <v>-5.5939300000000004E-3</v>
      </c>
      <c r="AA1906">
        <v>0.98477809999999999</v>
      </c>
      <c r="AB1906">
        <v>31</v>
      </c>
      <c r="AC1906">
        <v>-24.0364</v>
      </c>
      <c r="AD1906">
        <v>-1.120742485227</v>
      </c>
      <c r="AE1906">
        <v>-4.0119000000000202</v>
      </c>
      <c r="AF1906">
        <v>-4.2836251248111799</v>
      </c>
      <c r="AG1906">
        <v>-1.120742485227</v>
      </c>
      <c r="AH1906">
        <v>23.937214599077301</v>
      </c>
      <c r="AI1906">
        <v>92.638777317611797</v>
      </c>
      <c r="AJ1906">
        <v>100.145831019913</v>
      </c>
      <c r="AK1906">
        <v>24.343289643973499</v>
      </c>
      <c r="AL1906">
        <v>78.343581131872497</v>
      </c>
      <c r="AM1906">
        <v>92.933584105150899</v>
      </c>
      <c r="AN1906">
        <v>0.99999996849984296</v>
      </c>
    </row>
    <row r="1907" spans="1:40" x14ac:dyDescent="0.25">
      <c r="A1907" t="str">
        <f>"20190303162541180"</f>
        <v>20190303162541180</v>
      </c>
      <c r="B1907" t="str">
        <f>"1551601541175283"</f>
        <v>1551601541175283</v>
      </c>
      <c r="C1907" t="s">
        <v>40</v>
      </c>
      <c r="D1907">
        <v>4.8020389999999997</v>
      </c>
      <c r="E1907">
        <v>0.4526249</v>
      </c>
      <c r="F1907" t="s">
        <v>48</v>
      </c>
      <c r="G1907">
        <v>-466.71800000000002</v>
      </c>
      <c r="H1907" s="1">
        <v>2.230551E-6</v>
      </c>
      <c r="I1907">
        <v>280.21519999999998</v>
      </c>
      <c r="J1907">
        <v>-443.51859999999999</v>
      </c>
      <c r="K1907">
        <v>1.120746</v>
      </c>
      <c r="L1907">
        <v>284.1062</v>
      </c>
      <c r="M1907">
        <v>-0.99982079999999995</v>
      </c>
      <c r="N1907">
        <v>-1.4348939999999999E-2</v>
      </c>
      <c r="O1907">
        <v>1.236464E-2</v>
      </c>
      <c r="P1907">
        <v>-0.98164280000000004</v>
      </c>
      <c r="Q1907">
        <v>0.1869055</v>
      </c>
      <c r="R1907">
        <v>-3.8000649999999997E-2</v>
      </c>
      <c r="S1907">
        <v>-3.0646969999999998</v>
      </c>
      <c r="T1907">
        <v>-0.14608119999999999</v>
      </c>
      <c r="U1907">
        <v>-0.50659179999999904</v>
      </c>
      <c r="V1907">
        <v>-4.9853590000000003E-2</v>
      </c>
      <c r="W1907">
        <v>0.20103399999999999</v>
      </c>
      <c r="X1907">
        <v>0.97831480000000004</v>
      </c>
      <c r="Y1907">
        <v>-0.17501420000000001</v>
      </c>
      <c r="Z1907">
        <v>-5.8148360000000003E-3</v>
      </c>
      <c r="AA1907">
        <v>0.98454870000000005</v>
      </c>
      <c r="AB1907">
        <v>31</v>
      </c>
      <c r="AC1907">
        <v>-23.199400000000001</v>
      </c>
      <c r="AD1907">
        <v>-1.1207437694489999</v>
      </c>
      <c r="AE1907">
        <v>-3.89100000000002</v>
      </c>
      <c r="AF1907">
        <v>-4.1681228779920403</v>
      </c>
      <c r="AG1907">
        <v>-1.1207437694489999</v>
      </c>
      <c r="AH1907">
        <v>23.097081797269599</v>
      </c>
      <c r="AI1907">
        <v>92.733903194514895</v>
      </c>
      <c r="AJ1907">
        <v>100.229557043426</v>
      </c>
      <c r="AK1907">
        <v>23.4969041039998</v>
      </c>
      <c r="AL1907">
        <v>78.402568352305494</v>
      </c>
      <c r="AM1907">
        <v>92.917191544081803</v>
      </c>
      <c r="AN1907">
        <v>0.99999994874546205</v>
      </c>
    </row>
    <row r="1908" spans="1:40" x14ac:dyDescent="0.25">
      <c r="A1908" t="str">
        <f>"20190303162541201"</f>
        <v>20190303162541201</v>
      </c>
      <c r="B1908" t="str">
        <f>"1551601541194803"</f>
        <v>1551601541194803</v>
      </c>
      <c r="C1908" t="s">
        <v>40</v>
      </c>
      <c r="D1908">
        <v>4.8512440000000003</v>
      </c>
      <c r="E1908">
        <v>0.45252829999999999</v>
      </c>
      <c r="F1908" t="s">
        <v>48</v>
      </c>
      <c r="G1908">
        <v>-465.67899999999997</v>
      </c>
      <c r="H1908" s="1">
        <v>1.6670150000000001E-6</v>
      </c>
      <c r="I1908">
        <v>280.45909999999998</v>
      </c>
      <c r="J1908">
        <v>-443.8288</v>
      </c>
      <c r="K1908">
        <v>1.120743</v>
      </c>
      <c r="L1908">
        <v>284.11070000000001</v>
      </c>
      <c r="M1908">
        <v>-0.99981220000000004</v>
      </c>
      <c r="N1908">
        <v>-1.4345480000000001E-2</v>
      </c>
      <c r="O1908">
        <v>1.30282E-2</v>
      </c>
      <c r="P1908">
        <v>-0.98192670000000004</v>
      </c>
      <c r="Q1908">
        <v>0.18570320000000001</v>
      </c>
      <c r="R1908">
        <v>-3.652855E-2</v>
      </c>
      <c r="S1908">
        <v>-3.0661010000000002</v>
      </c>
      <c r="T1908">
        <v>-0.15506539999999999</v>
      </c>
      <c r="U1908">
        <v>-0.50460819999999995</v>
      </c>
      <c r="V1908">
        <v>-4.903971E-2</v>
      </c>
      <c r="W1908">
        <v>0.1998316</v>
      </c>
      <c r="X1908">
        <v>0.97860230000000004</v>
      </c>
      <c r="Y1908">
        <v>-0.1749455</v>
      </c>
      <c r="Z1908">
        <v>-6.1245580000000004E-3</v>
      </c>
      <c r="AA1908">
        <v>0.98455910000000002</v>
      </c>
      <c r="AB1908">
        <v>31</v>
      </c>
      <c r="AC1908">
        <v>-21.850200000000001</v>
      </c>
      <c r="AD1908">
        <v>-1.120741332985</v>
      </c>
      <c r="AE1908">
        <v>-3.6516000000000299</v>
      </c>
      <c r="AF1908">
        <v>-3.9259400797255202</v>
      </c>
      <c r="AG1908">
        <v>-1.120741332985</v>
      </c>
      <c r="AH1908">
        <v>21.745112238661001</v>
      </c>
      <c r="AI1908">
        <v>92.903548993839806</v>
      </c>
      <c r="AJ1908">
        <v>100.234137430207</v>
      </c>
      <c r="AK1908">
        <v>22.1250756590123</v>
      </c>
      <c r="AL1908">
        <v>78.472888499947203</v>
      </c>
      <c r="AM1908">
        <v>92.8688058208825</v>
      </c>
      <c r="AN1908">
        <v>1.00000001154036</v>
      </c>
    </row>
    <row r="1909" spans="1:40" x14ac:dyDescent="0.25">
      <c r="A1909" t="str">
        <f>"20190303162541224"</f>
        <v>20190303162541224</v>
      </c>
      <c r="B1909" t="str">
        <f>"1551601541215298"</f>
        <v>1551601541215298</v>
      </c>
      <c r="C1909" t="s">
        <v>40</v>
      </c>
      <c r="D1909">
        <v>4.8287120000000003</v>
      </c>
      <c r="E1909">
        <v>0.46238899999999999</v>
      </c>
      <c r="F1909" t="s">
        <v>48</v>
      </c>
      <c r="G1909">
        <v>-464.92259999999999</v>
      </c>
      <c r="H1909" s="1">
        <v>1.2555070000000001E-6</v>
      </c>
      <c r="I1909">
        <v>280.6653</v>
      </c>
      <c r="J1909">
        <v>-444.13409999999999</v>
      </c>
      <c r="K1909">
        <v>1.1207339999999999</v>
      </c>
      <c r="L1909">
        <v>284.11540000000002</v>
      </c>
      <c r="M1909">
        <v>-0.99980349999999996</v>
      </c>
      <c r="N1909">
        <v>-1.434212E-2</v>
      </c>
      <c r="O1909">
        <v>1.3678549999999999E-2</v>
      </c>
      <c r="P1909">
        <v>-0.98218510000000003</v>
      </c>
      <c r="Q1909">
        <v>0.18453459999999999</v>
      </c>
      <c r="R1909">
        <v>-3.5487919999999999E-2</v>
      </c>
      <c r="S1909">
        <v>-3.0674440000000001</v>
      </c>
      <c r="T1909">
        <v>-0.1629767</v>
      </c>
      <c r="U1909">
        <v>-0.50103759999999997</v>
      </c>
      <c r="V1909">
        <v>-4.8644140000000002E-2</v>
      </c>
      <c r="W1909">
        <v>0.19866200000000001</v>
      </c>
      <c r="X1909">
        <v>0.97886010000000001</v>
      </c>
      <c r="Y1909">
        <v>-0.17437420000000001</v>
      </c>
      <c r="Z1909">
        <v>-6.3854230000000003E-3</v>
      </c>
      <c r="AA1909">
        <v>0.98465879999999995</v>
      </c>
      <c r="AB1909">
        <v>31</v>
      </c>
      <c r="AC1909">
        <v>-20.788499999999999</v>
      </c>
      <c r="AD1909">
        <v>-1.120732744493</v>
      </c>
      <c r="AE1909">
        <v>-3.4501000000000199</v>
      </c>
      <c r="AF1909">
        <v>-3.7236306417712401</v>
      </c>
      <c r="AG1909">
        <v>-1.120732744493</v>
      </c>
      <c r="AH1909">
        <v>20.6808614777032</v>
      </c>
      <c r="AI1909">
        <v>93.052930020491502</v>
      </c>
      <c r="AJ1909">
        <v>100.206860032492</v>
      </c>
      <c r="AK1909">
        <v>21.043276800461999</v>
      </c>
      <c r="AL1909">
        <v>78.541272303277196</v>
      </c>
      <c r="AM1909">
        <v>92.844955071359095</v>
      </c>
      <c r="AN1909">
        <v>0.99999996898617405</v>
      </c>
    </row>
    <row r="1910" spans="1:40" x14ac:dyDescent="0.25">
      <c r="A1910" t="str">
        <f>"20190303162541247"</f>
        <v>20190303162541247</v>
      </c>
      <c r="B1910" t="str">
        <f>"1551601541234819"</f>
        <v>1551601541234819</v>
      </c>
      <c r="C1910" t="s">
        <v>40</v>
      </c>
      <c r="D1910">
        <v>4.9826259999999998</v>
      </c>
      <c r="E1910">
        <v>0.46336579999999999</v>
      </c>
      <c r="F1910" t="s">
        <v>48</v>
      </c>
      <c r="G1910">
        <v>-461.17610000000002</v>
      </c>
      <c r="H1910" s="1">
        <v>-7.8726009999999996E-7</v>
      </c>
      <c r="I1910">
        <v>281.78769999999997</v>
      </c>
      <c r="J1910">
        <v>-444.45030000000003</v>
      </c>
      <c r="K1910">
        <v>1.12073</v>
      </c>
      <c r="L1910">
        <v>284.12049999999999</v>
      </c>
      <c r="M1910">
        <v>-0.99979419999999997</v>
      </c>
      <c r="N1910">
        <v>-1.4338689999999999E-2</v>
      </c>
      <c r="O1910">
        <v>1.4350770000000001E-2</v>
      </c>
      <c r="P1910">
        <v>-0.98235729999999999</v>
      </c>
      <c r="Q1910">
        <v>0.18379760000000001</v>
      </c>
      <c r="R1910">
        <v>-3.4537360000000003E-2</v>
      </c>
      <c r="S1910">
        <v>-3.0772089999999999</v>
      </c>
      <c r="T1910">
        <v>-0.2023664</v>
      </c>
      <c r="U1910">
        <v>-0.42031859999999999</v>
      </c>
      <c r="V1910">
        <v>-4.8358850000000002E-2</v>
      </c>
      <c r="W1910">
        <v>0.19792309999999999</v>
      </c>
      <c r="X1910">
        <v>0.97902389999999995</v>
      </c>
      <c r="Y1910">
        <v>-0.149135299999999</v>
      </c>
      <c r="Z1910">
        <v>-6.6854929999999998E-3</v>
      </c>
      <c r="AA1910">
        <v>0.98879419999999996</v>
      </c>
      <c r="AB1910">
        <v>31</v>
      </c>
      <c r="AC1910">
        <v>-16.7257999999999</v>
      </c>
      <c r="AD1910">
        <v>-1.1207307872601</v>
      </c>
      <c r="AE1910">
        <v>-2.33280000000001</v>
      </c>
      <c r="AF1910">
        <v>-2.5613320335272798</v>
      </c>
      <c r="AG1910">
        <v>-1.1207307872601</v>
      </c>
      <c r="AH1910">
        <v>16.6174108422167</v>
      </c>
      <c r="AI1910">
        <v>93.813467247005704</v>
      </c>
      <c r="AJ1910">
        <v>98.762353542287997</v>
      </c>
      <c r="AK1910">
        <v>16.850958500409</v>
      </c>
      <c r="AL1910">
        <v>78.584465802963194</v>
      </c>
      <c r="AM1910">
        <v>92.827824609181505</v>
      </c>
      <c r="AN1910">
        <v>0.99999996432907001</v>
      </c>
    </row>
    <row r="1911" spans="1:40" x14ac:dyDescent="0.25">
      <c r="A1911" t="str">
        <f>"20190303162541271"</f>
        <v>20190303162541271</v>
      </c>
      <c r="B1911" t="str">
        <f>"1551601541265076"</f>
        <v>1551601541265076</v>
      </c>
      <c r="C1911" t="s">
        <v>40</v>
      </c>
      <c r="D1911">
        <v>4.9795280000000002</v>
      </c>
      <c r="E1911">
        <v>0.46385369999999998</v>
      </c>
      <c r="F1911" t="s">
        <v>48</v>
      </c>
      <c r="G1911">
        <v>-462.41370000000001</v>
      </c>
      <c r="H1911" s="1">
        <v>-1.2622800000000001E-7</v>
      </c>
      <c r="I1911">
        <v>281.73090000000002</v>
      </c>
      <c r="J1911">
        <v>-444.78519999999997</v>
      </c>
      <c r="K1911">
        <v>1.1207290000000001</v>
      </c>
      <c r="L1911">
        <v>284.12610000000001</v>
      </c>
      <c r="M1911">
        <v>-0.99978389999999995</v>
      </c>
      <c r="N1911">
        <v>-1.433481E-2</v>
      </c>
      <c r="O1911">
        <v>1.5061919999999999E-2</v>
      </c>
      <c r="P1911">
        <v>-0.98243469999999999</v>
      </c>
      <c r="Q1911">
        <v>0.18344769999999999</v>
      </c>
      <c r="R1911">
        <v>-3.4195740000000002E-2</v>
      </c>
      <c r="S1911">
        <v>-3.0754090000000001</v>
      </c>
      <c r="T1911">
        <v>-0.19187409999999999</v>
      </c>
      <c r="U1911">
        <v>-0.4091187</v>
      </c>
      <c r="V1911">
        <v>-4.8718119999999997E-2</v>
      </c>
      <c r="W1911">
        <v>0.1975701</v>
      </c>
      <c r="X1911">
        <v>0.97907739999999999</v>
      </c>
      <c r="Y1911">
        <v>-0.146422</v>
      </c>
      <c r="Z1911">
        <v>-6.3187199999999999E-3</v>
      </c>
      <c r="AA1911">
        <v>0.98920200000000003</v>
      </c>
      <c r="AB1911">
        <v>31</v>
      </c>
      <c r="AC1911">
        <v>-17.628499999999999</v>
      </c>
      <c r="AD1911">
        <v>-1.1207291262279999</v>
      </c>
      <c r="AE1911">
        <v>-2.39519999999998</v>
      </c>
      <c r="AF1911">
        <v>-2.6499581993587502</v>
      </c>
      <c r="AG1911">
        <v>-1.1207291262279999</v>
      </c>
      <c r="AH1911">
        <v>17.5208882267302</v>
      </c>
      <c r="AI1911">
        <v>93.618909901819904</v>
      </c>
      <c r="AJ1911">
        <v>98.600553037583197</v>
      </c>
      <c r="AK1911">
        <v>17.755557904112599</v>
      </c>
      <c r="AL1911">
        <v>78.605098798280295</v>
      </c>
      <c r="AM1911">
        <v>92.848643334471603</v>
      </c>
      <c r="AN1911">
        <v>0.99999997741055102</v>
      </c>
    </row>
    <row r="1912" spans="1:40" x14ac:dyDescent="0.25">
      <c r="A1912" t="str">
        <f>"20190303162541313"</f>
        <v>20190303162541313</v>
      </c>
      <c r="B1912" t="str">
        <f>"1551601541305091"</f>
        <v>1551601541305091</v>
      </c>
      <c r="C1912" t="s">
        <v>40</v>
      </c>
      <c r="D1912">
        <v>4.9105759999999998</v>
      </c>
      <c r="E1912">
        <v>0.46389069999999999</v>
      </c>
      <c r="F1912" t="s">
        <v>48</v>
      </c>
      <c r="G1912">
        <v>-463.9776</v>
      </c>
      <c r="H1912" s="1">
        <v>7.1160489999999998E-7</v>
      </c>
      <c r="I1912">
        <v>281.60300000000001</v>
      </c>
      <c r="J1912">
        <v>-445.3689</v>
      </c>
      <c r="K1912">
        <v>1.1207320000000001</v>
      </c>
      <c r="L1912">
        <v>284.13639999999998</v>
      </c>
      <c r="M1912">
        <v>-0.99976449999999994</v>
      </c>
      <c r="N1912">
        <v>-1.432816E-2</v>
      </c>
      <c r="O1912">
        <v>1.6301019999999999E-2</v>
      </c>
      <c r="P1912">
        <v>-0.98273319999999997</v>
      </c>
      <c r="Q1912">
        <v>0.18201400000000001</v>
      </c>
      <c r="R1912">
        <v>-3.3261560000000003E-2</v>
      </c>
      <c r="S1912">
        <v>-3.0730590000000002</v>
      </c>
      <c r="T1912">
        <v>-0.17944930000000001</v>
      </c>
      <c r="U1912">
        <v>-0.40399170000000001</v>
      </c>
      <c r="V1912">
        <v>-4.9009850000000001E-2</v>
      </c>
      <c r="W1912">
        <v>0.196134</v>
      </c>
      <c r="X1912">
        <v>0.97935159999999999</v>
      </c>
      <c r="Y1912">
        <v>-0.14616579999999901</v>
      </c>
      <c r="Z1912">
        <v>-6.0134180000000004E-3</v>
      </c>
      <c r="AA1912">
        <v>0.98924179999999995</v>
      </c>
      <c r="AB1912">
        <v>31</v>
      </c>
      <c r="AC1912">
        <v>-18.608699999999999</v>
      </c>
      <c r="AD1912">
        <v>-1.1207312883950999</v>
      </c>
      <c r="AE1912">
        <v>-2.5333999999999701</v>
      </c>
      <c r="AF1912">
        <v>-2.8263699948943</v>
      </c>
      <c r="AG1912">
        <v>-1.1207312883950999</v>
      </c>
      <c r="AH1912">
        <v>18.4990470621253</v>
      </c>
      <c r="AI1912">
        <v>93.427249499492405</v>
      </c>
      <c r="AJ1912">
        <v>98.686738030210194</v>
      </c>
      <c r="AK1912">
        <v>18.747243748763601</v>
      </c>
      <c r="AL1912">
        <v>78.689024060354399</v>
      </c>
      <c r="AM1912">
        <v>92.864872008996997</v>
      </c>
      <c r="AN1912">
        <v>1.0000000338877899</v>
      </c>
    </row>
    <row r="1913" spans="1:40" x14ac:dyDescent="0.25">
      <c r="A1913" t="str">
        <f>"20190303162541335"</f>
        <v>20190303162541335</v>
      </c>
      <c r="B1913" t="str">
        <f>"1551601541324611"</f>
        <v>1551601541324611</v>
      </c>
      <c r="C1913" t="s">
        <v>40</v>
      </c>
      <c r="D1913">
        <v>4.9360559999999998</v>
      </c>
      <c r="E1913">
        <v>0.46326070000000003</v>
      </c>
      <c r="F1913" t="s">
        <v>48</v>
      </c>
      <c r="G1913">
        <v>-463.47109999999998</v>
      </c>
      <c r="H1913" s="1">
        <v>4.3473589999999999E-7</v>
      </c>
      <c r="I1913">
        <v>281.7713</v>
      </c>
      <c r="J1913">
        <v>-445.66919999999999</v>
      </c>
      <c r="K1913">
        <v>1.1207370000000001</v>
      </c>
      <c r="L1913">
        <v>284.142</v>
      </c>
      <c r="M1913">
        <v>-0.99975409999999998</v>
      </c>
      <c r="N1913">
        <v>-1.432483E-2</v>
      </c>
      <c r="O1913">
        <v>1.6938760000000001E-2</v>
      </c>
      <c r="P1913">
        <v>-0.98286899999999999</v>
      </c>
      <c r="Q1913">
        <v>0.18134639999999999</v>
      </c>
      <c r="R1913">
        <v>-3.2899360000000002E-2</v>
      </c>
      <c r="S1913">
        <v>-3.0743710000000002</v>
      </c>
      <c r="T1913">
        <v>-0.1903377</v>
      </c>
      <c r="U1913">
        <v>-0.40167239999999999</v>
      </c>
      <c r="V1913">
        <v>-4.927807E-2</v>
      </c>
      <c r="W1913">
        <v>0.19546479999999999</v>
      </c>
      <c r="X1913">
        <v>0.97947189999999995</v>
      </c>
      <c r="Y1913">
        <v>-0.14597160000000001</v>
      </c>
      <c r="Z1913">
        <v>-6.3485879999999996E-3</v>
      </c>
      <c r="AA1913">
        <v>0.98926840000000005</v>
      </c>
      <c r="AB1913">
        <v>31</v>
      </c>
      <c r="AC1913">
        <v>-17.8018999999999</v>
      </c>
      <c r="AD1913">
        <v>-1.1207365652640999</v>
      </c>
      <c r="AE1913">
        <v>-2.3706999999999998</v>
      </c>
      <c r="AF1913">
        <v>-2.6615676085002198</v>
      </c>
      <c r="AG1913">
        <v>-1.1207365652640999</v>
      </c>
      <c r="AH1913">
        <v>17.690291628550199</v>
      </c>
      <c r="AI1913">
        <v>93.584787173490895</v>
      </c>
      <c r="AJ1913">
        <v>98.556179957750501</v>
      </c>
      <c r="AK1913">
        <v>17.9244640222934</v>
      </c>
      <c r="AL1913">
        <v>78.728122921756196</v>
      </c>
      <c r="AM1913">
        <v>92.880171287646405</v>
      </c>
      <c r="AN1913">
        <v>1.0000000095557799</v>
      </c>
    </row>
    <row r="1914" spans="1:40" x14ac:dyDescent="0.25">
      <c r="A1914" t="str">
        <f>"20190303162541359"</f>
        <v>20190303162541359</v>
      </c>
      <c r="B1914" t="str">
        <f>"1551601541345108"</f>
        <v>1551601541345108</v>
      </c>
      <c r="C1914" t="s">
        <v>40</v>
      </c>
      <c r="D1914">
        <v>4.9833540000000003</v>
      </c>
      <c r="E1914">
        <v>0.46304889999999999</v>
      </c>
      <c r="F1914" t="s">
        <v>48</v>
      </c>
      <c r="G1914">
        <v>-463.21339999999998</v>
      </c>
      <c r="H1914" s="1">
        <v>2.9506829999999998E-7</v>
      </c>
      <c r="I1914">
        <v>281.82850000000002</v>
      </c>
      <c r="J1914">
        <v>-445.99200000000002</v>
      </c>
      <c r="K1914">
        <v>1.1207400000000001</v>
      </c>
      <c r="L1914">
        <v>284.14819999999997</v>
      </c>
      <c r="M1914">
        <v>-0.99974209999999997</v>
      </c>
      <c r="N1914">
        <v>-1.432141E-2</v>
      </c>
      <c r="O1914">
        <v>1.7625419999999999E-2</v>
      </c>
      <c r="P1914">
        <v>-0.98271249999999999</v>
      </c>
      <c r="Q1914">
        <v>0.18208099999999999</v>
      </c>
      <c r="R1914">
        <v>-3.3503159999999997E-2</v>
      </c>
      <c r="S1914">
        <v>-3.074951</v>
      </c>
      <c r="T1914">
        <v>-0.1964303</v>
      </c>
      <c r="U1914">
        <v>-0.40548709999999999</v>
      </c>
      <c r="V1914">
        <v>-5.0553029999999999E-2</v>
      </c>
      <c r="W1914">
        <v>0.1961947</v>
      </c>
      <c r="X1914">
        <v>0.97926100000000005</v>
      </c>
      <c r="Y1914">
        <v>-0.14780660000000001</v>
      </c>
      <c r="Z1914">
        <v>-6.6293869999999996E-3</v>
      </c>
      <c r="AA1914">
        <v>0.98899409999999999</v>
      </c>
      <c r="AB1914">
        <v>31</v>
      </c>
      <c r="AC1914">
        <v>-17.221399999999999</v>
      </c>
      <c r="AD1914">
        <v>-1.1207397049316901</v>
      </c>
      <c r="AE1914">
        <v>-2.3196999999999499</v>
      </c>
      <c r="AF1914">
        <v>-2.6120397817900201</v>
      </c>
      <c r="AG1914">
        <v>-1.1207397049316901</v>
      </c>
      <c r="AH1914">
        <v>17.106675518393001</v>
      </c>
      <c r="AI1914">
        <v>93.705536399318007</v>
      </c>
      <c r="AJ1914">
        <v>98.681510291824694</v>
      </c>
      <c r="AK1914">
        <v>17.341198245780198</v>
      </c>
      <c r="AL1914">
        <v>78.685477339665496</v>
      </c>
      <c r="AM1914">
        <v>92.955194100508905</v>
      </c>
      <c r="AN1914">
        <v>1.0000000376356299</v>
      </c>
    </row>
    <row r="1915" spans="1:40" x14ac:dyDescent="0.25">
      <c r="A1915" t="str">
        <f>"20190303162541380"</f>
        <v>20190303162541380</v>
      </c>
      <c r="B1915" t="str">
        <f>"1551601541375362"</f>
        <v>1551601541375362</v>
      </c>
      <c r="C1915" t="s">
        <v>40</v>
      </c>
      <c r="D1915">
        <v>5.0470940000000004</v>
      </c>
      <c r="E1915">
        <v>0.46273219999999998</v>
      </c>
      <c r="F1915" t="s">
        <v>48</v>
      </c>
      <c r="G1915">
        <v>-464.0539</v>
      </c>
      <c r="H1915" s="1">
        <v>7.4582099999999997E-7</v>
      </c>
      <c r="I1915">
        <v>281.74959999999999</v>
      </c>
      <c r="J1915">
        <v>-446.2912</v>
      </c>
      <c r="K1915">
        <v>1.120749</v>
      </c>
      <c r="L1915">
        <v>284.15410000000003</v>
      </c>
      <c r="M1915">
        <v>-0.99973080000000003</v>
      </c>
      <c r="N1915">
        <v>-1.43181E-2</v>
      </c>
      <c r="O1915">
        <v>1.8261079999999999E-2</v>
      </c>
      <c r="P1915">
        <v>-0.98263929999999999</v>
      </c>
      <c r="Q1915">
        <v>0.18243709999999999</v>
      </c>
      <c r="R1915">
        <v>-3.3714590000000003E-2</v>
      </c>
      <c r="S1915">
        <v>-3.0741879999999999</v>
      </c>
      <c r="T1915">
        <v>-0.1907527</v>
      </c>
      <c r="U1915">
        <v>-0.40823359999999997</v>
      </c>
      <c r="V1915">
        <v>-5.1387490000000001E-2</v>
      </c>
      <c r="W1915">
        <v>0.19654730000000001</v>
      </c>
      <c r="X1915">
        <v>0.97914679999999998</v>
      </c>
      <c r="Y1915">
        <v>-0.1493514</v>
      </c>
      <c r="Z1915">
        <v>-6.5514669999999896E-3</v>
      </c>
      <c r="AA1915">
        <v>0.98876249999999999</v>
      </c>
      <c r="AB1915">
        <v>31</v>
      </c>
      <c r="AC1915">
        <v>-17.762699999999899</v>
      </c>
      <c r="AD1915">
        <v>-1.1207482541789999</v>
      </c>
      <c r="AE1915">
        <v>-2.40450000000004</v>
      </c>
      <c r="AF1915">
        <v>-2.7178729905046901</v>
      </c>
      <c r="AG1915">
        <v>-1.1207482541789999</v>
      </c>
      <c r="AH1915">
        <v>17.646835405123301</v>
      </c>
      <c r="AI1915">
        <v>93.591730567739106</v>
      </c>
      <c r="AJ1915">
        <v>98.755598672336603</v>
      </c>
      <c r="AK1915">
        <v>17.8900449987492</v>
      </c>
      <c r="AL1915">
        <v>78.664873091000203</v>
      </c>
      <c r="AM1915">
        <v>93.004235479908104</v>
      </c>
      <c r="AN1915">
        <v>0.99999998560801395</v>
      </c>
    </row>
    <row r="1916" spans="1:40" x14ac:dyDescent="0.25">
      <c r="A1916" t="str">
        <f>"20190303162541402"</f>
        <v>20190303162541402</v>
      </c>
      <c r="B1916" t="str">
        <f>"1551601541394884"</f>
        <v>1551601541394884</v>
      </c>
      <c r="C1916" t="s">
        <v>40</v>
      </c>
      <c r="D1916">
        <v>4.9106430000000003</v>
      </c>
      <c r="E1916">
        <v>0.46256259999999999</v>
      </c>
      <c r="F1916" t="s">
        <v>48</v>
      </c>
      <c r="G1916">
        <v>-464.31220000000002</v>
      </c>
      <c r="H1916" s="1">
        <v>8.8333840000000004E-7</v>
      </c>
      <c r="I1916">
        <v>281.7473</v>
      </c>
      <c r="J1916">
        <v>-446.58839999999998</v>
      </c>
      <c r="K1916">
        <v>1.120752</v>
      </c>
      <c r="L1916">
        <v>284.16019999999997</v>
      </c>
      <c r="M1916">
        <v>-0.99971909999999997</v>
      </c>
      <c r="N1916">
        <v>-1.4314779999999999E-2</v>
      </c>
      <c r="O1916">
        <v>1.8892860000000001E-2</v>
      </c>
      <c r="P1916">
        <v>-0.98261620000000005</v>
      </c>
      <c r="Q1916">
        <v>0.182535</v>
      </c>
      <c r="R1916">
        <v>-3.3860210000000002E-2</v>
      </c>
      <c r="S1916">
        <v>-3.0744020000000001</v>
      </c>
      <c r="T1916">
        <v>-0.19120119999999999</v>
      </c>
      <c r="U1916">
        <v>-0.41061399999999998</v>
      </c>
      <c r="V1916">
        <v>-5.2153100000000001E-2</v>
      </c>
      <c r="W1916">
        <v>0.1966417</v>
      </c>
      <c r="X1916">
        <v>0.97908740000000005</v>
      </c>
      <c r="Y1916">
        <v>-0.15071389999999901</v>
      </c>
      <c r="Z1916">
        <v>-6.6461810000000001E-3</v>
      </c>
      <c r="AA1916">
        <v>0.98855510000000002</v>
      </c>
      <c r="AB1916">
        <v>31</v>
      </c>
      <c r="AC1916">
        <v>-17.723800000000001</v>
      </c>
      <c r="AD1916">
        <v>-1.1207511166616</v>
      </c>
      <c r="AE1916">
        <v>-2.4128999999999698</v>
      </c>
      <c r="AF1916">
        <v>-2.7366133831215498</v>
      </c>
      <c r="AG1916">
        <v>-1.1207511166616</v>
      </c>
      <c r="AH1916">
        <v>17.605927134979702</v>
      </c>
      <c r="AI1916">
        <v>93.599291773033897</v>
      </c>
      <c r="AJ1916">
        <v>98.835185010514294</v>
      </c>
      <c r="AK1916">
        <v>17.852557412213901</v>
      </c>
      <c r="AL1916">
        <v>78.659357116757704</v>
      </c>
      <c r="AM1916">
        <v>93.049095664518902</v>
      </c>
      <c r="AN1916">
        <v>1.0000000204286299</v>
      </c>
    </row>
    <row r="1917" spans="1:40" x14ac:dyDescent="0.25">
      <c r="A1917" t="str">
        <f>"20190303162541425"</f>
        <v>20190303162541425</v>
      </c>
      <c r="B1917" t="str">
        <f>"1551601541415379"</f>
        <v>1551601541415379</v>
      </c>
      <c r="C1917" t="s">
        <v>40</v>
      </c>
      <c r="D1917">
        <v>4.9589879999999997</v>
      </c>
      <c r="E1917">
        <v>0.46238420000000002</v>
      </c>
      <c r="F1917" t="s">
        <v>48</v>
      </c>
      <c r="G1917">
        <v>-464.84070000000003</v>
      </c>
      <c r="H1917" s="1">
        <v>1.1659520000000001E-6</v>
      </c>
      <c r="I1917">
        <v>281.7165</v>
      </c>
      <c r="J1917">
        <v>-446.89299999999997</v>
      </c>
      <c r="K1917">
        <v>1.120757</v>
      </c>
      <c r="L1917">
        <v>284.16669999999999</v>
      </c>
      <c r="M1917">
        <v>-0.99970669999999995</v>
      </c>
      <c r="N1917">
        <v>-1.4311300000000001E-2</v>
      </c>
      <c r="O1917">
        <v>1.954032E-2</v>
      </c>
      <c r="P1917">
        <v>-0.98260069999999999</v>
      </c>
      <c r="Q1917">
        <v>0.1824781</v>
      </c>
      <c r="R1917">
        <v>-3.4606329999999998E-2</v>
      </c>
      <c r="S1917">
        <v>-3.0739139999999998</v>
      </c>
      <c r="T1917">
        <v>-0.18874869999999999</v>
      </c>
      <c r="U1917">
        <v>-0.41156009999999998</v>
      </c>
      <c r="V1917">
        <v>-5.3535630000000001E-2</v>
      </c>
      <c r="W1917">
        <v>0.1965819</v>
      </c>
      <c r="X1917">
        <v>0.97902480000000003</v>
      </c>
      <c r="Y1917">
        <v>-0.15167939999999999</v>
      </c>
      <c r="Z1917">
        <v>-6.6388990000000002E-3</v>
      </c>
      <c r="AA1917">
        <v>0.98840740000000005</v>
      </c>
      <c r="AB1917">
        <v>31</v>
      </c>
      <c r="AC1917">
        <v>-17.947699999999902</v>
      </c>
      <c r="AD1917">
        <v>-1.1207558340479999</v>
      </c>
      <c r="AE1917">
        <v>-2.4501999999999899</v>
      </c>
      <c r="AF1917">
        <v>-2.78979214570814</v>
      </c>
      <c r="AG1917">
        <v>-1.1207558340479999</v>
      </c>
      <c r="AH1917">
        <v>17.8281417978021</v>
      </c>
      <c r="AI1917">
        <v>93.553995613889796</v>
      </c>
      <c r="AJ1917">
        <v>98.893662315700993</v>
      </c>
      <c r="AK1917">
        <v>18.079869297601299</v>
      </c>
      <c r="AL1917">
        <v>78.662851756909902</v>
      </c>
      <c r="AM1917">
        <v>93.129965444267796</v>
      </c>
      <c r="AN1917">
        <v>1.0000000330510701</v>
      </c>
    </row>
    <row r="1918" spans="1:40" x14ac:dyDescent="0.25">
      <c r="A1918" t="str">
        <f>"20190303162541449"</f>
        <v>20190303162541449</v>
      </c>
      <c r="B1918" t="str">
        <f>"1551601541444659"</f>
        <v>1551601541444659</v>
      </c>
      <c r="C1918" t="s">
        <v>40</v>
      </c>
      <c r="D1918">
        <v>4.9947290000000004</v>
      </c>
      <c r="E1918">
        <v>0.46178819999999998</v>
      </c>
      <c r="F1918" t="s">
        <v>48</v>
      </c>
      <c r="G1918">
        <v>-465.32049999999998</v>
      </c>
      <c r="H1918" s="1">
        <v>1.422793E-6</v>
      </c>
      <c r="I1918">
        <v>281.6814</v>
      </c>
      <c r="J1918">
        <v>-447.20260000000002</v>
      </c>
      <c r="K1918">
        <v>1.1207560000000001</v>
      </c>
      <c r="L1918">
        <v>284.17340000000002</v>
      </c>
      <c r="M1918">
        <v>-0.99969359999999996</v>
      </c>
      <c r="N1918">
        <v>-1.430788E-2</v>
      </c>
      <c r="O1918">
        <v>2.0198859999999999E-2</v>
      </c>
      <c r="P1918">
        <v>-0.98250780000000004</v>
      </c>
      <c r="Q1918">
        <v>0.18285199999999999</v>
      </c>
      <c r="R1918">
        <v>-3.5266499999999999E-2</v>
      </c>
      <c r="S1918">
        <v>-3.0732729999999999</v>
      </c>
      <c r="T1918">
        <v>-0.18691559999999999</v>
      </c>
      <c r="U1918">
        <v>-0.41448970000000002</v>
      </c>
      <c r="V1918">
        <v>-5.4840420000000001E-2</v>
      </c>
      <c r="W1918">
        <v>0.19695219999999999</v>
      </c>
      <c r="X1918">
        <v>0.97887809999999997</v>
      </c>
      <c r="Y1918">
        <v>-0.15328510000000001</v>
      </c>
      <c r="Z1918">
        <v>-6.6737300000000001E-3</v>
      </c>
      <c r="AA1918">
        <v>0.98815949999999997</v>
      </c>
      <c r="AB1918">
        <v>31</v>
      </c>
      <c r="AC1918">
        <v>-18.117899999999899</v>
      </c>
      <c r="AD1918">
        <v>-1.12075457720699</v>
      </c>
      <c r="AE1918">
        <v>-2.4920000000000102</v>
      </c>
      <c r="AF1918">
        <v>-2.8467987640676502</v>
      </c>
      <c r="AG1918">
        <v>-1.12075457720699</v>
      </c>
      <c r="AH1918">
        <v>17.996277412871301</v>
      </c>
      <c r="AI1918">
        <v>93.519951703066397</v>
      </c>
      <c r="AJ1918">
        <v>98.989031182960801</v>
      </c>
      <c r="AK1918">
        <v>18.2544886191438</v>
      </c>
      <c r="AL1918">
        <v>78.6412115585386</v>
      </c>
      <c r="AM1918">
        <v>93.206572335864195</v>
      </c>
      <c r="AN1918">
        <v>0.999999987705113</v>
      </c>
    </row>
    <row r="1919" spans="1:40" x14ac:dyDescent="0.25">
      <c r="A1919" t="str">
        <f>"20190303162541476"</f>
        <v>20190303162541476</v>
      </c>
      <c r="B1919" t="str">
        <f>"1551601541464727"</f>
        <v>1551601541464727</v>
      </c>
      <c r="C1919" t="s">
        <v>40</v>
      </c>
      <c r="D1919">
        <v>4.9810759999999998</v>
      </c>
      <c r="E1919">
        <v>0.46152490000000002</v>
      </c>
      <c r="F1919" t="s">
        <v>48</v>
      </c>
      <c r="G1919">
        <v>-465.08499999999998</v>
      </c>
      <c r="H1919" s="1">
        <v>1.2955609999999999E-6</v>
      </c>
      <c r="I1919">
        <v>281.72559999999999</v>
      </c>
      <c r="J1919">
        <v>-447.58929999999998</v>
      </c>
      <c r="K1919">
        <v>1.1207590000000001</v>
      </c>
      <c r="L1919">
        <v>284.18220000000002</v>
      </c>
      <c r="M1919">
        <v>-0.99967680000000003</v>
      </c>
      <c r="N1919">
        <v>-1.430361E-2</v>
      </c>
      <c r="O1919">
        <v>2.1021310000000001E-2</v>
      </c>
      <c r="P1919">
        <v>-0.98247030000000002</v>
      </c>
      <c r="Q1919">
        <v>0.18293499999999999</v>
      </c>
      <c r="R1919">
        <v>-3.587721E-2</v>
      </c>
      <c r="S1919">
        <v>-3.0741879999999999</v>
      </c>
      <c r="T1919">
        <v>-0.19267000000000001</v>
      </c>
      <c r="U1919">
        <v>-0.42080689999999998</v>
      </c>
      <c r="V1919">
        <v>-5.6258889999999999E-2</v>
      </c>
      <c r="W1919">
        <v>0.19703119999999999</v>
      </c>
      <c r="X1919">
        <v>0.97878169999999998</v>
      </c>
      <c r="Y1919">
        <v>-0.15602389999999999</v>
      </c>
      <c r="Z1919">
        <v>-6.9958030000000001E-3</v>
      </c>
      <c r="AA1919">
        <v>0.98772850000000001</v>
      </c>
      <c r="AB1919">
        <v>31</v>
      </c>
      <c r="AC1919">
        <v>-17.495699999999999</v>
      </c>
      <c r="AD1919">
        <v>-1.120757704439</v>
      </c>
      <c r="AE1919">
        <v>-2.4566000000000301</v>
      </c>
      <c r="AF1919">
        <v>-2.81255881693526</v>
      </c>
      <c r="AG1919">
        <v>-1.120757704439</v>
      </c>
      <c r="AH1919">
        <v>17.370285051597001</v>
      </c>
      <c r="AI1919">
        <v>93.644361941271598</v>
      </c>
      <c r="AJ1919">
        <v>99.197385366196897</v>
      </c>
      <c r="AK1919">
        <v>17.632169115129098</v>
      </c>
      <c r="AL1919">
        <v>78.636594710363198</v>
      </c>
      <c r="AM1919">
        <v>93.289655071176398</v>
      </c>
      <c r="AN1919">
        <v>0.99999998636618004</v>
      </c>
    </row>
    <row r="1920" spans="1:40" x14ac:dyDescent="0.25">
      <c r="A1920" t="str">
        <f>"20190303162541498"</f>
        <v>20190303162541498</v>
      </c>
      <c r="B1920" t="str">
        <f>"1551601541485224"</f>
        <v>1551601541485224</v>
      </c>
      <c r="C1920" t="s">
        <v>40</v>
      </c>
      <c r="D1920">
        <v>5.0073850000000002</v>
      </c>
      <c r="E1920">
        <v>0.46113490000000001</v>
      </c>
      <c r="F1920" t="s">
        <v>48</v>
      </c>
      <c r="G1920">
        <v>-465.1429</v>
      </c>
      <c r="H1920" s="1">
        <v>1.3250649999999999E-6</v>
      </c>
      <c r="I1920">
        <v>281.75580000000002</v>
      </c>
      <c r="J1920">
        <v>-447.89800000000002</v>
      </c>
      <c r="K1920">
        <v>1.1207590000000001</v>
      </c>
      <c r="L1920">
        <v>284.18939999999998</v>
      </c>
      <c r="M1920">
        <v>-0.99966279999999996</v>
      </c>
      <c r="N1920">
        <v>-1.4300240000000001E-2</v>
      </c>
      <c r="O1920">
        <v>2.1678719999999999E-2</v>
      </c>
      <c r="P1920">
        <v>-0.98248369999999996</v>
      </c>
      <c r="Q1920">
        <v>0.18264759999999999</v>
      </c>
      <c r="R1920">
        <v>-3.6956500000000003E-2</v>
      </c>
      <c r="S1920">
        <v>-3.074554</v>
      </c>
      <c r="T1920">
        <v>-0.1963029</v>
      </c>
      <c r="U1920">
        <v>-0.42498780000000003</v>
      </c>
      <c r="V1920">
        <v>-5.7984430000000003E-2</v>
      </c>
      <c r="W1920">
        <v>0.19674179999999999</v>
      </c>
      <c r="X1920">
        <v>0.97873920000000003</v>
      </c>
      <c r="Y1920">
        <v>-0.15795619999999999</v>
      </c>
      <c r="Z1920">
        <v>-7.21827699999999E-3</v>
      </c>
      <c r="AA1920">
        <v>0.98741970000000001</v>
      </c>
      <c r="AB1920">
        <v>30</v>
      </c>
      <c r="AC1920">
        <v>-17.244899999999902</v>
      </c>
      <c r="AD1920">
        <v>-1.1207576749349999</v>
      </c>
      <c r="AE1920">
        <v>-2.43359999999995</v>
      </c>
      <c r="AF1920">
        <v>-2.7953371476430902</v>
      </c>
      <c r="AG1920">
        <v>-1.1207576749349999</v>
      </c>
      <c r="AH1920">
        <v>17.1171960212043</v>
      </c>
      <c r="AI1920">
        <v>93.697286888118597</v>
      </c>
      <c r="AJ1920">
        <v>99.274860862142802</v>
      </c>
      <c r="AK1920">
        <v>17.380115280493701</v>
      </c>
      <c r="AL1920">
        <v>78.653507027004906</v>
      </c>
      <c r="AM1920">
        <v>93.390468469391095</v>
      </c>
      <c r="AN1920">
        <v>0.99999997580315203</v>
      </c>
    </row>
    <row r="1921" spans="1:40" x14ac:dyDescent="0.25">
      <c r="A1921" t="str">
        <f>"20190303162541521"</f>
        <v>20190303162541521</v>
      </c>
      <c r="B1921" t="str">
        <f>"1551601541514504"</f>
        <v>1551601541514504</v>
      </c>
      <c r="C1921" t="s">
        <v>40</v>
      </c>
      <c r="D1921">
        <v>4.9951480000000004</v>
      </c>
      <c r="E1921">
        <v>0.4607233</v>
      </c>
      <c r="F1921" t="s">
        <v>48</v>
      </c>
      <c r="G1921">
        <v>-465.06670000000003</v>
      </c>
      <c r="H1921" s="1">
        <v>1.2833150000000001E-6</v>
      </c>
      <c r="I1921">
        <v>281.78300000000002</v>
      </c>
      <c r="J1921">
        <v>-448.20159999999998</v>
      </c>
      <c r="K1921">
        <v>1.1207609999999999</v>
      </c>
      <c r="L1921">
        <v>284.19670000000002</v>
      </c>
      <c r="M1921">
        <v>-0.99964850000000005</v>
      </c>
      <c r="N1921">
        <v>-1.429687E-2</v>
      </c>
      <c r="O1921">
        <v>2.232487E-2</v>
      </c>
      <c r="P1921">
        <v>-0.98245979999999999</v>
      </c>
      <c r="Q1921">
        <v>0.1825109</v>
      </c>
      <c r="R1921">
        <v>-3.8240959999999997E-2</v>
      </c>
      <c r="S1921">
        <v>-3.0746150000000001</v>
      </c>
      <c r="T1921">
        <v>-0.20070779999999999</v>
      </c>
      <c r="U1921">
        <v>-0.43093870000000001</v>
      </c>
      <c r="V1921">
        <v>-5.9902759999999999E-2</v>
      </c>
      <c r="W1921">
        <v>0.1966029</v>
      </c>
      <c r="X1921">
        <v>0.97865159999999995</v>
      </c>
      <c r="Y1921">
        <v>-0.16044159999999999</v>
      </c>
      <c r="Z1921">
        <v>-7.4917459999999996E-3</v>
      </c>
      <c r="AA1921">
        <v>0.98701689999999997</v>
      </c>
      <c r="AB1921">
        <v>30</v>
      </c>
      <c r="AC1921">
        <v>-16.865100000000002</v>
      </c>
      <c r="AD1921">
        <v>-1.1207597166850001</v>
      </c>
      <c r="AE1921">
        <v>-2.4137</v>
      </c>
      <c r="AF1921">
        <v>-2.77762766662575</v>
      </c>
      <c r="AG1921">
        <v>-1.1207597166850001</v>
      </c>
      <c r="AH1921">
        <v>16.7345851303991</v>
      </c>
      <c r="AI1921">
        <v>93.779967287316694</v>
      </c>
      <c r="AJ1921">
        <v>99.424108903180397</v>
      </c>
      <c r="AK1921">
        <v>17.000519323936</v>
      </c>
      <c r="AL1921">
        <v>78.6616241902355</v>
      </c>
      <c r="AM1921">
        <v>93.502675117957295</v>
      </c>
      <c r="AN1921">
        <v>0.99999999756329305</v>
      </c>
    </row>
    <row r="1922" spans="1:40" x14ac:dyDescent="0.25">
      <c r="A1922" t="str">
        <f>"20190303162541540"</f>
        <v>20190303162541540</v>
      </c>
      <c r="B1922" t="str">
        <f>"1551601541535000"</f>
        <v>1551601541535000</v>
      </c>
      <c r="C1922" t="s">
        <v>40</v>
      </c>
      <c r="D1922">
        <v>4.978002</v>
      </c>
      <c r="E1922">
        <v>0.46050449999999998</v>
      </c>
      <c r="F1922" t="s">
        <v>48</v>
      </c>
      <c r="G1922">
        <v>-465.01060000000001</v>
      </c>
      <c r="H1922" s="1">
        <v>1.25262E-6</v>
      </c>
      <c r="I1922">
        <v>281.80180000000001</v>
      </c>
      <c r="J1922">
        <v>-448.46940000000001</v>
      </c>
      <c r="K1922">
        <v>1.1207640000000001</v>
      </c>
      <c r="L1922">
        <v>284.20319999999998</v>
      </c>
      <c r="M1922">
        <v>-0.99963579999999996</v>
      </c>
      <c r="N1922">
        <v>-1.4293810000000001E-2</v>
      </c>
      <c r="O1922">
        <v>2.2895019999999999E-2</v>
      </c>
      <c r="P1922">
        <v>-0.98246020000000001</v>
      </c>
      <c r="Q1922">
        <v>0.18237519999999999</v>
      </c>
      <c r="R1922">
        <v>-3.8878009999999998E-2</v>
      </c>
      <c r="S1922">
        <v>-3.0745849999999999</v>
      </c>
      <c r="T1922">
        <v>-0.20500170000000001</v>
      </c>
      <c r="U1922">
        <v>-0.43804929999999997</v>
      </c>
      <c r="V1922">
        <v>-6.1100469999999997E-2</v>
      </c>
      <c r="W1922">
        <v>0.19646549999999999</v>
      </c>
      <c r="X1922">
        <v>0.97860519999999995</v>
      </c>
      <c r="Y1922">
        <v>-0.16321759999999999</v>
      </c>
      <c r="Z1922">
        <v>-7.7745840000000002E-3</v>
      </c>
      <c r="AA1922">
        <v>0.98655950000000003</v>
      </c>
      <c r="AB1922">
        <v>30</v>
      </c>
      <c r="AC1922">
        <v>-16.5412</v>
      </c>
      <c r="AD1922">
        <v>-1.1207627473799999</v>
      </c>
      <c r="AE1922">
        <v>-2.4013999999999598</v>
      </c>
      <c r="AF1922">
        <v>-2.76707911830287</v>
      </c>
      <c r="AG1922">
        <v>-1.1207627473799999</v>
      </c>
      <c r="AH1922">
        <v>16.408105193032</v>
      </c>
      <c r="AI1922">
        <v>93.8533015693598</v>
      </c>
      <c r="AJ1922">
        <v>99.572349981953394</v>
      </c>
      <c r="AK1922">
        <v>16.677492377706699</v>
      </c>
      <c r="AL1922">
        <v>78.669653808959893</v>
      </c>
      <c r="AM1922">
        <v>93.572697779798403</v>
      </c>
      <c r="AN1922">
        <v>1.0000000487957501</v>
      </c>
    </row>
    <row r="1923" spans="1:40" x14ac:dyDescent="0.25">
      <c r="A1923" t="str">
        <f>"20190303162541563"</f>
        <v>20190303162541563</v>
      </c>
      <c r="B1923" t="str">
        <f>"1551601541554520"</f>
        <v>1551601541554520</v>
      </c>
      <c r="C1923" t="s">
        <v>40</v>
      </c>
      <c r="D1923">
        <v>4.9844869999999997</v>
      </c>
      <c r="E1923">
        <v>0.4602716</v>
      </c>
      <c r="F1923" t="s">
        <v>48</v>
      </c>
      <c r="G1923">
        <v>-465.34710000000001</v>
      </c>
      <c r="H1923" s="1">
        <v>1.4327639999999999E-6</v>
      </c>
      <c r="I1923">
        <v>281.77719999999999</v>
      </c>
      <c r="J1923">
        <v>-448.7645</v>
      </c>
      <c r="K1923">
        <v>1.120763</v>
      </c>
      <c r="L1923">
        <v>284.21069999999997</v>
      </c>
      <c r="M1923">
        <v>-0.99962110000000004</v>
      </c>
      <c r="N1923">
        <v>-1.429068E-2</v>
      </c>
      <c r="O1923">
        <v>2.352417E-2</v>
      </c>
      <c r="P1923">
        <v>-0.98247899999999999</v>
      </c>
      <c r="Q1923">
        <v>0.1820891</v>
      </c>
      <c r="R1923">
        <v>-3.9734709999999999E-2</v>
      </c>
      <c r="S1923">
        <v>-3.0739749999999999</v>
      </c>
      <c r="T1923">
        <v>-0.20412759999999999</v>
      </c>
      <c r="U1923">
        <v>-0.44186399999999998</v>
      </c>
      <c r="V1923">
        <v>-6.2575850000000002E-2</v>
      </c>
      <c r="W1923">
        <v>0.1961775</v>
      </c>
      <c r="X1923">
        <v>0.97856969999999999</v>
      </c>
      <c r="Y1923">
        <v>-0.16506309999999999</v>
      </c>
      <c r="Z1923">
        <v>-7.8525899999999996E-3</v>
      </c>
      <c r="AA1923">
        <v>0.98625180000000001</v>
      </c>
      <c r="AB1923">
        <v>30</v>
      </c>
      <c r="AC1923">
        <v>-16.582599999999999</v>
      </c>
      <c r="AD1923">
        <v>-1.1207615672359901</v>
      </c>
      <c r="AE1923">
        <v>-2.43349999999998</v>
      </c>
      <c r="AF1923">
        <v>-2.8103911034596698</v>
      </c>
      <c r="AG1923">
        <v>-1.1207615672359901</v>
      </c>
      <c r="AH1923">
        <v>16.447212060645501</v>
      </c>
      <c r="AI1923">
        <v>93.842751459778498</v>
      </c>
      <c r="AJ1923">
        <v>99.696675021476494</v>
      </c>
      <c r="AK1923">
        <v>16.723193152410801</v>
      </c>
      <c r="AL1923">
        <v>78.686481962384207</v>
      </c>
      <c r="AM1923">
        <v>93.658867740330606</v>
      </c>
      <c r="AN1923">
        <v>1.0000000031337799</v>
      </c>
    </row>
    <row r="1924" spans="1:40" x14ac:dyDescent="0.25">
      <c r="A1924" t="str">
        <f>"20190303162541584"</f>
        <v>20190303162541584</v>
      </c>
      <c r="B1924" t="str">
        <f>"1551601541575016"</f>
        <v>1551601541575016</v>
      </c>
      <c r="C1924" t="s">
        <v>40</v>
      </c>
      <c r="D1924">
        <v>4.9888729999999999</v>
      </c>
      <c r="E1924">
        <v>0.46007870000000001</v>
      </c>
      <c r="F1924" t="s">
        <v>48</v>
      </c>
      <c r="G1924">
        <v>-465.64269999999999</v>
      </c>
      <c r="H1924" s="1">
        <v>1.591004E-6</v>
      </c>
      <c r="I1924">
        <v>281.75580000000002</v>
      </c>
      <c r="J1924">
        <v>-449.0652</v>
      </c>
      <c r="K1924">
        <v>1.120765</v>
      </c>
      <c r="L1924">
        <v>284.21850000000001</v>
      </c>
      <c r="M1924">
        <v>-0.99960599999999999</v>
      </c>
      <c r="N1924">
        <v>-1.428719E-2</v>
      </c>
      <c r="O1924">
        <v>2.416519E-2</v>
      </c>
      <c r="P1924">
        <v>-0.98253699999999999</v>
      </c>
      <c r="Q1924">
        <v>0.18152579999999999</v>
      </c>
      <c r="R1924">
        <v>-4.0866449999999999E-2</v>
      </c>
      <c r="S1924">
        <v>-3.0732119999999998</v>
      </c>
      <c r="T1924">
        <v>-0.20407030000000001</v>
      </c>
      <c r="U1924">
        <v>-0.44699100000000003</v>
      </c>
      <c r="V1924">
        <v>-6.4339510000000003E-2</v>
      </c>
      <c r="W1924">
        <v>0.1956126</v>
      </c>
      <c r="X1924">
        <v>0.9785684</v>
      </c>
      <c r="Y1924">
        <v>-0.1673345</v>
      </c>
      <c r="Z1924">
        <v>-7.9759989999999992E-3</v>
      </c>
      <c r="AA1924">
        <v>0.98586790000000002</v>
      </c>
      <c r="AB1924">
        <v>30</v>
      </c>
      <c r="AC1924">
        <v>-16.577499999999901</v>
      </c>
      <c r="AD1924">
        <v>-1.1207634089959999</v>
      </c>
      <c r="AE1924">
        <v>-2.4626999999999799</v>
      </c>
      <c r="AF1924">
        <v>-2.8498751067328301</v>
      </c>
      <c r="AG1924">
        <v>-1.1207634089959999</v>
      </c>
      <c r="AH1924">
        <v>16.439621058025001</v>
      </c>
      <c r="AI1924">
        <v>93.842937724071703</v>
      </c>
      <c r="AJ1924">
        <v>99.834717046237202</v>
      </c>
      <c r="AK1924">
        <v>16.722411287681599</v>
      </c>
      <c r="AL1924">
        <v>78.719487665007094</v>
      </c>
      <c r="AM1924">
        <v>93.7617035103288</v>
      </c>
      <c r="AN1924">
        <v>0.99999998765218001</v>
      </c>
    </row>
    <row r="1925" spans="1:40" x14ac:dyDescent="0.25">
      <c r="A1925" t="str">
        <f>"20190303162541603"</f>
        <v>20190303162541603</v>
      </c>
      <c r="B1925" t="str">
        <f>"1551601541595512"</f>
        <v>1551601541595512</v>
      </c>
      <c r="C1925" t="s">
        <v>40</v>
      </c>
      <c r="D1925">
        <v>4.9884500000000003</v>
      </c>
      <c r="E1925">
        <v>0.45998509999999998</v>
      </c>
      <c r="F1925" t="s">
        <v>48</v>
      </c>
      <c r="G1925">
        <v>-465.69909999999999</v>
      </c>
      <c r="H1925" s="1">
        <v>1.620195E-6</v>
      </c>
      <c r="I1925">
        <v>281.77519999999998</v>
      </c>
      <c r="J1925">
        <v>-449.32069999999999</v>
      </c>
      <c r="K1925">
        <v>1.1207670000000001</v>
      </c>
      <c r="L1925">
        <v>284.22519999999997</v>
      </c>
      <c r="M1925">
        <v>-0.9995927</v>
      </c>
      <c r="N1925">
        <v>-1.4284440000000001E-2</v>
      </c>
      <c r="O1925">
        <v>2.471048E-2</v>
      </c>
      <c r="P1925">
        <v>-0.98240099999999997</v>
      </c>
      <c r="Q1925">
        <v>0.18188319999999999</v>
      </c>
      <c r="R1925">
        <v>-4.2509699999999997E-2</v>
      </c>
      <c r="S1925">
        <v>-3.0728149999999999</v>
      </c>
      <c r="T1925">
        <v>-0.20704110000000001</v>
      </c>
      <c r="U1925">
        <v>-0.45135500000000001</v>
      </c>
      <c r="V1925">
        <v>-6.6514110000000001E-2</v>
      </c>
      <c r="W1925">
        <v>0.195967</v>
      </c>
      <c r="X1925">
        <v>0.97835209999999995</v>
      </c>
      <c r="Y1925">
        <v>-0.16924210000000001</v>
      </c>
      <c r="Z1925">
        <v>-8.1859569999999902E-3</v>
      </c>
      <c r="AA1925">
        <v>0.98554050000000004</v>
      </c>
      <c r="AB1925">
        <v>30</v>
      </c>
      <c r="AC1925">
        <v>-16.378399999999999</v>
      </c>
      <c r="AD1925">
        <v>-1.1207653798049999</v>
      </c>
      <c r="AE1925">
        <v>-2.4499999999999802</v>
      </c>
      <c r="AF1925">
        <v>-2.8409990356458499</v>
      </c>
      <c r="AG1925">
        <v>-1.1207653798049999</v>
      </c>
      <c r="AH1925">
        <v>16.238477009627299</v>
      </c>
      <c r="AI1925">
        <v>93.889352032425293</v>
      </c>
      <c r="AJ1925">
        <v>99.923731091784205</v>
      </c>
      <c r="AK1925">
        <v>16.523181477830001</v>
      </c>
      <c r="AL1925">
        <v>78.698781562642694</v>
      </c>
      <c r="AM1925">
        <v>93.889318033962994</v>
      </c>
      <c r="AN1925">
        <v>1.00000001174625</v>
      </c>
    </row>
    <row r="1926" spans="1:40" x14ac:dyDescent="0.25">
      <c r="A1926" t="str">
        <f>"20190303162541625"</f>
        <v>20190303162541625</v>
      </c>
      <c r="B1926" t="str">
        <f>"1551601541615032"</f>
        <v>1551601541615032</v>
      </c>
      <c r="C1926" t="s">
        <v>40</v>
      </c>
      <c r="D1926">
        <v>4.9508679999999998</v>
      </c>
      <c r="E1926">
        <v>0.4597465</v>
      </c>
      <c r="F1926" t="s">
        <v>48</v>
      </c>
      <c r="G1926">
        <v>-465.8374</v>
      </c>
      <c r="H1926" s="1">
        <v>1.6938969999999999E-6</v>
      </c>
      <c r="I1926">
        <v>281.77190000000002</v>
      </c>
      <c r="J1926">
        <v>-449.62470000000002</v>
      </c>
      <c r="K1926">
        <v>1.1207689999999999</v>
      </c>
      <c r="L1926">
        <v>284.23349999999999</v>
      </c>
      <c r="M1926">
        <v>-0.99957649999999998</v>
      </c>
      <c r="N1926">
        <v>-1.428139E-2</v>
      </c>
      <c r="O1926">
        <v>2.5358829999999999E-2</v>
      </c>
      <c r="P1926">
        <v>-0.98235090000000003</v>
      </c>
      <c r="Q1926">
        <v>0.18180499999999999</v>
      </c>
      <c r="R1926">
        <v>-4.3978070000000001E-2</v>
      </c>
      <c r="S1926">
        <v>-3.0725709999999999</v>
      </c>
      <c r="T1926">
        <v>-0.2084945</v>
      </c>
      <c r="U1926">
        <v>-0.45639039999999997</v>
      </c>
      <c r="V1926">
        <v>-6.8617659999999997E-2</v>
      </c>
      <c r="W1926">
        <v>0.19588659999999999</v>
      </c>
      <c r="X1926">
        <v>0.97822290000000001</v>
      </c>
      <c r="Y1926">
        <v>-0.17145929999999901</v>
      </c>
      <c r="Z1926">
        <v>-8.3621790000000008E-3</v>
      </c>
      <c r="AA1926">
        <v>0.98515569999999997</v>
      </c>
      <c r="AB1926">
        <v>30</v>
      </c>
      <c r="AC1926">
        <v>-16.212699999999899</v>
      </c>
      <c r="AD1926">
        <v>-1.1207673061029999</v>
      </c>
      <c r="AE1926">
        <v>-2.46159999999997</v>
      </c>
      <c r="AF1926">
        <v>-2.8586321659285598</v>
      </c>
      <c r="AG1926">
        <v>-1.1207673061029999</v>
      </c>
      <c r="AH1926">
        <v>16.069990441335001</v>
      </c>
      <c r="AI1926">
        <v>93.928045185482603</v>
      </c>
      <c r="AJ1926">
        <v>100.08662878885001</v>
      </c>
      <c r="AK1926">
        <v>16.360699557143299</v>
      </c>
      <c r="AL1926">
        <v>78.703478972274795</v>
      </c>
      <c r="AM1926">
        <v>94.012452747515994</v>
      </c>
      <c r="AN1926">
        <v>0.99999999270392204</v>
      </c>
    </row>
    <row r="1927" spans="1:40" x14ac:dyDescent="0.25">
      <c r="A1927" t="str">
        <f>"20190303162541649"</f>
        <v>20190303162541649</v>
      </c>
      <c r="B1927" t="str">
        <f>"1551601541634553"</f>
        <v>1551601541634553</v>
      </c>
      <c r="C1927" t="s">
        <v>40</v>
      </c>
      <c r="D1927">
        <v>5.1783769999999896</v>
      </c>
      <c r="E1927">
        <v>0.45955839999999998</v>
      </c>
      <c r="F1927" t="s">
        <v>48</v>
      </c>
      <c r="G1927">
        <v>-466.19439999999997</v>
      </c>
      <c r="H1927" s="1">
        <v>1.8854720000000001E-6</v>
      </c>
      <c r="I1927">
        <v>281.73570000000001</v>
      </c>
      <c r="J1927">
        <v>-449.9314</v>
      </c>
      <c r="K1927">
        <v>1.1207739999999999</v>
      </c>
      <c r="L1927">
        <v>284.24189999999999</v>
      </c>
      <c r="M1927">
        <v>-0.99955970000000005</v>
      </c>
      <c r="N1927">
        <v>-1.4278320000000001E-2</v>
      </c>
      <c r="O1927">
        <v>2.6012420000000001E-2</v>
      </c>
      <c r="P1927">
        <v>-0.98218810000000001</v>
      </c>
      <c r="Q1927">
        <v>0.18245239999999999</v>
      </c>
      <c r="R1927">
        <v>-4.4919180000000003E-2</v>
      </c>
      <c r="S1927">
        <v>-3.071564</v>
      </c>
      <c r="T1927">
        <v>-0.20775930000000001</v>
      </c>
      <c r="U1927">
        <v>-0.4630127</v>
      </c>
      <c r="V1927">
        <v>-7.0195240000000006E-2</v>
      </c>
      <c r="W1927">
        <v>0.1965295</v>
      </c>
      <c r="X1927">
        <v>0.97798200000000002</v>
      </c>
      <c r="Y1927">
        <v>-0.17422199999999999</v>
      </c>
      <c r="Z1927">
        <v>-8.4844719999999998E-3</v>
      </c>
      <c r="AA1927">
        <v>0.98466989999999999</v>
      </c>
      <c r="AB1927">
        <v>30</v>
      </c>
      <c r="AC1927">
        <v>-16.262999999999899</v>
      </c>
      <c r="AD1927">
        <v>-1.1207721145280001</v>
      </c>
      <c r="AE1927">
        <v>-2.50619999999997</v>
      </c>
      <c r="AF1927">
        <v>-2.9149121017705402</v>
      </c>
      <c r="AG1927">
        <v>-1.1207721145280001</v>
      </c>
      <c r="AH1927">
        <v>16.117524912312899</v>
      </c>
      <c r="AI1927">
        <v>93.914500582069905</v>
      </c>
      <c r="AJ1927">
        <v>100.251338421824</v>
      </c>
      <c r="AK1927">
        <v>16.417291250166102</v>
      </c>
      <c r="AL1927">
        <v>78.665913456469397</v>
      </c>
      <c r="AM1927">
        <v>94.105398351471194</v>
      </c>
      <c r="AN1927">
        <v>1.0000000042064501</v>
      </c>
    </row>
    <row r="1928" spans="1:40" x14ac:dyDescent="0.25">
      <c r="A1928" t="str">
        <f>"20190303162541677"</f>
        <v>20190303162541677</v>
      </c>
      <c r="B1928" t="str">
        <f>"1551601541664809"</f>
        <v>1551601541664809</v>
      </c>
      <c r="C1928" t="s">
        <v>40</v>
      </c>
      <c r="D1928">
        <v>5.0065799999999996</v>
      </c>
      <c r="E1928">
        <v>0.45925569999999999</v>
      </c>
      <c r="F1928" t="s">
        <v>48</v>
      </c>
      <c r="G1928">
        <v>-466.73129999999998</v>
      </c>
      <c r="H1928" s="1">
        <v>2.1733789999999999E-6</v>
      </c>
      <c r="I1928">
        <v>281.68610000000001</v>
      </c>
      <c r="J1928">
        <v>-450.31420000000003</v>
      </c>
      <c r="K1928">
        <v>1.120781</v>
      </c>
      <c r="L1928">
        <v>284.25279999999998</v>
      </c>
      <c r="M1928">
        <v>-0.99953829999999999</v>
      </c>
      <c r="N1928">
        <v>-1.427441E-2</v>
      </c>
      <c r="O1928">
        <v>2.6823079999999999E-2</v>
      </c>
      <c r="P1928">
        <v>-0.98206870000000002</v>
      </c>
      <c r="Q1928">
        <v>0.18276690000000001</v>
      </c>
      <c r="R1928">
        <v>-4.623298E-2</v>
      </c>
      <c r="S1928">
        <v>-3.0711360000000001</v>
      </c>
      <c r="T1928">
        <v>-0.20488429999999999</v>
      </c>
      <c r="U1928">
        <v>-0.46722409999999998</v>
      </c>
      <c r="V1928">
        <v>-7.2302549999999993E-2</v>
      </c>
      <c r="W1928">
        <v>0.19683899999999999</v>
      </c>
      <c r="X1928">
        <v>0.97776620000000003</v>
      </c>
      <c r="Y1928">
        <v>-0.17636660000000001</v>
      </c>
      <c r="Z1928">
        <v>-8.5084050000000001E-3</v>
      </c>
      <c r="AA1928">
        <v>0.98428780000000005</v>
      </c>
      <c r="AB1928">
        <v>30</v>
      </c>
      <c r="AC1928">
        <v>-16.417099999999898</v>
      </c>
      <c r="AD1928">
        <v>-1.1207788266209999</v>
      </c>
      <c r="AE1928">
        <v>-2.56669999999996</v>
      </c>
      <c r="AF1928">
        <v>-2.9925638246803499</v>
      </c>
      <c r="AG1928">
        <v>-1.1207788266209999</v>
      </c>
      <c r="AH1928">
        <v>16.2683260849739</v>
      </c>
      <c r="AI1928">
        <v>93.876235958279807</v>
      </c>
      <c r="AJ1928">
        <v>100.423055381816</v>
      </c>
      <c r="AK1928">
        <v>16.579204354552999</v>
      </c>
      <c r="AL1928">
        <v>78.647827038945593</v>
      </c>
      <c r="AM1928">
        <v>94.229134586033695</v>
      </c>
      <c r="AN1928">
        <v>0.99999999625997105</v>
      </c>
    </row>
    <row r="1929" spans="1:40" x14ac:dyDescent="0.25">
      <c r="A1929" t="str">
        <f>"20190303162541697"</f>
        <v>20190303162541697</v>
      </c>
      <c r="B1929" t="str">
        <f>"1551601541685304"</f>
        <v>1551601541685304</v>
      </c>
      <c r="C1929" t="s">
        <v>40</v>
      </c>
      <c r="D1929">
        <v>5.0088629999999998</v>
      </c>
      <c r="E1929">
        <v>0.45918959999999998</v>
      </c>
      <c r="F1929" t="s">
        <v>48</v>
      </c>
      <c r="G1929">
        <v>-467.10969999999998</v>
      </c>
      <c r="H1929" s="1">
        <v>2.3756760000000002E-6</v>
      </c>
      <c r="I1929">
        <v>281.66399999999999</v>
      </c>
      <c r="J1929">
        <v>-450.58240000000001</v>
      </c>
      <c r="K1929">
        <v>1.1207879999999999</v>
      </c>
      <c r="L1929">
        <v>284.26060000000001</v>
      </c>
      <c r="M1929">
        <v>-0.99952319999999995</v>
      </c>
      <c r="N1929">
        <v>-1.4271519999999999E-2</v>
      </c>
      <c r="O1929">
        <v>2.7382719999999999E-2</v>
      </c>
      <c r="P1929">
        <v>-0.98202690000000004</v>
      </c>
      <c r="Q1929">
        <v>0.1826372</v>
      </c>
      <c r="R1929">
        <v>-4.7609230000000002E-2</v>
      </c>
      <c r="S1929">
        <v>-3.0706180000000001</v>
      </c>
      <c r="T1929">
        <v>-0.204905</v>
      </c>
      <c r="U1929">
        <v>-0.47329710000000003</v>
      </c>
      <c r="V1929">
        <v>-7.4229499999999907E-2</v>
      </c>
      <c r="W1929">
        <v>0.1967063</v>
      </c>
      <c r="X1929">
        <v>0.97764850000000003</v>
      </c>
      <c r="Y1929">
        <v>-0.17883660000000001</v>
      </c>
      <c r="Z1929">
        <v>-8.6381700000000006E-3</v>
      </c>
      <c r="AA1929">
        <v>0.98384090000000002</v>
      </c>
      <c r="AB1929">
        <v>30</v>
      </c>
      <c r="AC1929">
        <v>-16.527299999999901</v>
      </c>
      <c r="AD1929">
        <v>-1.120785624324</v>
      </c>
      <c r="AE1929">
        <v>-2.59660000000002</v>
      </c>
      <c r="AF1929">
        <v>-3.0346153205561799</v>
      </c>
      <c r="AG1929">
        <v>-1.120785624324</v>
      </c>
      <c r="AH1929">
        <v>16.3764946837365</v>
      </c>
      <c r="AI1929">
        <v>93.849806401776902</v>
      </c>
      <c r="AJ1929">
        <v>100.498009189065</v>
      </c>
      <c r="AK1929">
        <v>16.692951467187999</v>
      </c>
      <c r="AL1929">
        <v>78.655581710133902</v>
      </c>
      <c r="AM1929">
        <v>94.341941422747695</v>
      </c>
      <c r="AN1929">
        <v>0.99999998834109505</v>
      </c>
    </row>
    <row r="1930" spans="1:40" x14ac:dyDescent="0.25">
      <c r="A1930" t="str">
        <f>"20190303162541738"</f>
        <v>20190303162541738</v>
      </c>
      <c r="B1930" t="str">
        <f>"1551601541725320"</f>
        <v>1551601541725320</v>
      </c>
      <c r="C1930" t="s">
        <v>40</v>
      </c>
      <c r="D1930">
        <v>4.9688309999999998</v>
      </c>
      <c r="E1930">
        <v>0.44538670000000002</v>
      </c>
      <c r="F1930" t="s">
        <v>48</v>
      </c>
      <c r="G1930">
        <v>-467.3424</v>
      </c>
      <c r="H1930" s="1">
        <v>2.4999340000000001E-6</v>
      </c>
      <c r="I1930">
        <v>281.6542</v>
      </c>
      <c r="J1930">
        <v>-451.13029999999998</v>
      </c>
      <c r="K1930">
        <v>1.1208199999999999</v>
      </c>
      <c r="L1930">
        <v>284.27699999999999</v>
      </c>
      <c r="M1930">
        <v>-0.99949290000000002</v>
      </c>
      <c r="N1930">
        <v>-1.4265760000000001E-2</v>
      </c>
      <c r="O1930">
        <v>2.8470550000000001E-2</v>
      </c>
      <c r="P1930">
        <v>-0.98175100000000004</v>
      </c>
      <c r="Q1930">
        <v>0.18372810000000001</v>
      </c>
      <c r="R1930">
        <v>-4.9083710000000003E-2</v>
      </c>
      <c r="S1930">
        <v>-3.0698850000000002</v>
      </c>
      <c r="T1930">
        <v>-0.20529210000000001</v>
      </c>
      <c r="U1930">
        <v>-0.47741699999999998</v>
      </c>
      <c r="V1930">
        <v>-7.6775330000000003E-2</v>
      </c>
      <c r="W1930">
        <v>0.19778380000000001</v>
      </c>
      <c r="X1930">
        <v>0.97723439999999995</v>
      </c>
      <c r="Y1930">
        <v>-0.18122179999999999</v>
      </c>
      <c r="Z1930">
        <v>-8.8068409999999993E-3</v>
      </c>
      <c r="AA1930">
        <v>0.98340280000000002</v>
      </c>
      <c r="AB1930">
        <v>30</v>
      </c>
      <c r="AC1930">
        <v>-16.2121</v>
      </c>
      <c r="AD1930">
        <v>-1.1208175000659999</v>
      </c>
      <c r="AE1930">
        <v>-2.6227999999999798</v>
      </c>
      <c r="AF1930">
        <v>-3.0690562122420002</v>
      </c>
      <c r="AG1930">
        <v>-1.1208175000659999</v>
      </c>
      <c r="AH1930">
        <v>16.0560624538067</v>
      </c>
      <c r="AI1930">
        <v>93.922355219085105</v>
      </c>
      <c r="AJ1930">
        <v>100.821341048099</v>
      </c>
      <c r="AK1930">
        <v>16.3851298262448</v>
      </c>
      <c r="AL1930">
        <v>78.592608219220494</v>
      </c>
      <c r="AM1930">
        <v>94.492151857334903</v>
      </c>
      <c r="AN1930">
        <v>0.99999997769120397</v>
      </c>
    </row>
    <row r="1931" spans="1:40" x14ac:dyDescent="0.25">
      <c r="A1931" t="str">
        <f>"20190303162541760"</f>
        <v>20190303162541760</v>
      </c>
      <c r="B1931" t="str">
        <f>"1551601541754600"</f>
        <v>1551601541754600</v>
      </c>
      <c r="C1931" t="s">
        <v>40</v>
      </c>
      <c r="D1931">
        <v>5.0499970000000003</v>
      </c>
      <c r="E1931">
        <v>0.44407350000000001</v>
      </c>
      <c r="F1931" t="s">
        <v>48</v>
      </c>
      <c r="G1931">
        <v>-464.09530000000001</v>
      </c>
      <c r="H1931" s="1">
        <v>7.6717320000000002E-7</v>
      </c>
      <c r="I1931">
        <v>281.76530000000002</v>
      </c>
      <c r="J1931">
        <v>-451.43020000000001</v>
      </c>
      <c r="K1931">
        <v>1.120852</v>
      </c>
      <c r="L1931">
        <v>284.28620000000001</v>
      </c>
      <c r="M1931">
        <v>-0.9994769</v>
      </c>
      <c r="N1931">
        <v>-1.426237E-2</v>
      </c>
      <c r="O1931">
        <v>2.902824E-2</v>
      </c>
      <c r="P1931">
        <v>-0.98143089999999999</v>
      </c>
      <c r="Q1931">
        <v>0.1852656</v>
      </c>
      <c r="R1931">
        <v>-4.9699979999999998E-2</v>
      </c>
      <c r="S1931">
        <v>-3.0757750000000001</v>
      </c>
      <c r="T1931">
        <v>-0.26589810000000003</v>
      </c>
      <c r="U1931">
        <v>-0.59585569999999999</v>
      </c>
      <c r="V1931">
        <v>-7.7938469999999996E-2</v>
      </c>
      <c r="W1931">
        <v>0.19930919999999999</v>
      </c>
      <c r="X1931">
        <v>0.97683229999999999</v>
      </c>
      <c r="Y1931">
        <v>-0.2176208</v>
      </c>
      <c r="Z1931">
        <v>-1.2946539999999999E-2</v>
      </c>
      <c r="AA1931">
        <v>0.97594749999999997</v>
      </c>
      <c r="AB1931">
        <v>30</v>
      </c>
      <c r="AC1931">
        <v>-12.665099999999899</v>
      </c>
      <c r="AD1931">
        <v>-1.1208512328268001</v>
      </c>
      <c r="AE1931">
        <v>-2.5208999999999802</v>
      </c>
      <c r="AF1931">
        <v>-2.86592951231995</v>
      </c>
      <c r="AG1931">
        <v>-1.1208512328268001</v>
      </c>
      <c r="AH1931">
        <v>12.4924632892735</v>
      </c>
      <c r="AI1931">
        <v>94.997826404321202</v>
      </c>
      <c r="AJ1931">
        <v>102.92080028405</v>
      </c>
      <c r="AK1931">
        <v>12.8659044955868</v>
      </c>
      <c r="AL1931">
        <v>78.503433599715905</v>
      </c>
      <c r="AM1931">
        <v>94.561791823047201</v>
      </c>
      <c r="AN1931">
        <v>0.99999995231693395</v>
      </c>
    </row>
    <row r="1932" spans="1:40" x14ac:dyDescent="0.25">
      <c r="A1932" t="str">
        <f>"20190303162541782"</f>
        <v>20190303162541782</v>
      </c>
      <c r="B1932" t="str">
        <f>"1551601541775096"</f>
        <v>1551601541775096</v>
      </c>
      <c r="C1932" t="s">
        <v>40</v>
      </c>
      <c r="D1932">
        <v>4.928058</v>
      </c>
      <c r="E1932">
        <v>0.44370520000000002</v>
      </c>
      <c r="F1932" t="s">
        <v>48</v>
      </c>
      <c r="G1932">
        <v>-465.35149999999999</v>
      </c>
      <c r="H1932" s="1">
        <v>1.4460039999999999E-6</v>
      </c>
      <c r="I1932">
        <v>281.52859999999998</v>
      </c>
      <c r="J1932">
        <v>-451.73129999999998</v>
      </c>
      <c r="K1932">
        <v>1.1208830000000001</v>
      </c>
      <c r="L1932">
        <v>284.2955</v>
      </c>
      <c r="M1932">
        <v>-0.99946179999999996</v>
      </c>
      <c r="N1932">
        <v>-1.425881E-2</v>
      </c>
      <c r="O1932">
        <v>2.9543989999999999E-2</v>
      </c>
      <c r="P1932">
        <v>-0.98125320000000005</v>
      </c>
      <c r="Q1932">
        <v>0.18586730000000001</v>
      </c>
      <c r="R1932">
        <v>-5.0947289999999999E-2</v>
      </c>
      <c r="S1932">
        <v>-3.0726619999999998</v>
      </c>
      <c r="T1932">
        <v>-0.2473891</v>
      </c>
      <c r="U1932">
        <v>-0.60864259999999903</v>
      </c>
      <c r="V1932">
        <v>-7.969996E-2</v>
      </c>
      <c r="W1932">
        <v>0.19989979999999999</v>
      </c>
      <c r="X1932">
        <v>0.97656949999999998</v>
      </c>
      <c r="Y1932">
        <v>-0.2223243</v>
      </c>
      <c r="Z1932">
        <v>-1.239036E-2</v>
      </c>
      <c r="AA1932">
        <v>0.97489400000000004</v>
      </c>
      <c r="AB1932">
        <v>30</v>
      </c>
      <c r="AC1932">
        <v>-13.620200000000001</v>
      </c>
      <c r="AD1932">
        <v>-1.120881553996</v>
      </c>
      <c r="AE1932">
        <v>-2.7669000000000201</v>
      </c>
      <c r="AF1932">
        <v>-3.14765512418442</v>
      </c>
      <c r="AG1932">
        <v>-1.120881553996</v>
      </c>
      <c r="AH1932">
        <v>13.4450512823609</v>
      </c>
      <c r="AI1932">
        <v>94.640682942359206</v>
      </c>
      <c r="AJ1932">
        <v>103.176355143945</v>
      </c>
      <c r="AK1932">
        <v>13.854007081859301</v>
      </c>
      <c r="AL1932">
        <v>78.468900339155496</v>
      </c>
      <c r="AM1932">
        <v>94.665692775633602</v>
      </c>
      <c r="AN1932">
        <v>1.0000000009971399</v>
      </c>
    </row>
    <row r="1933" spans="1:40" x14ac:dyDescent="0.25">
      <c r="A1933" t="str">
        <f>"20190303162541804"</f>
        <v>20190303162541804</v>
      </c>
      <c r="B1933" t="str">
        <f>"1551601541794616"</f>
        <v>1551601541794616</v>
      </c>
      <c r="C1933" t="s">
        <v>40</v>
      </c>
      <c r="D1933">
        <v>5.124727</v>
      </c>
      <c r="E1933">
        <v>0.44361909999999999</v>
      </c>
      <c r="F1933" t="s">
        <v>48</v>
      </c>
      <c r="G1933">
        <v>-465.92160000000001</v>
      </c>
      <c r="H1933" s="1">
        <v>1.75277E-6</v>
      </c>
      <c r="I1933">
        <v>281.4504</v>
      </c>
      <c r="J1933">
        <v>-452.02170000000001</v>
      </c>
      <c r="K1933">
        <v>1.1209129999999901</v>
      </c>
      <c r="L1933">
        <v>284.30459999999999</v>
      </c>
      <c r="M1933">
        <v>-0.99944829999999996</v>
      </c>
      <c r="N1933">
        <v>-1.425556E-2</v>
      </c>
      <c r="O1933">
        <v>3.0001130000000001E-2</v>
      </c>
      <c r="P1933">
        <v>-0.98116150000000002</v>
      </c>
      <c r="Q1933">
        <v>0.18601010000000001</v>
      </c>
      <c r="R1933">
        <v>-5.2176649999999998E-2</v>
      </c>
      <c r="S1933">
        <v>-3.0712890000000002</v>
      </c>
      <c r="T1933">
        <v>-0.24259839999999999</v>
      </c>
      <c r="U1933">
        <v>-0.61578369999999905</v>
      </c>
      <c r="V1933">
        <v>-8.1388879999999997E-2</v>
      </c>
      <c r="W1933">
        <v>0.2000325</v>
      </c>
      <c r="X1933">
        <v>0.97640300000000002</v>
      </c>
      <c r="Y1933">
        <v>-0.22505339999999999</v>
      </c>
      <c r="Z1933">
        <v>-1.2332050000000001E-2</v>
      </c>
      <c r="AA1933">
        <v>0.97426840000000003</v>
      </c>
      <c r="AB1933">
        <v>30</v>
      </c>
      <c r="AC1933">
        <v>-13.899900000000001</v>
      </c>
      <c r="AD1933">
        <v>-1.12091124722999</v>
      </c>
      <c r="AE1933">
        <v>-2.8541999999999899</v>
      </c>
      <c r="AF1933">
        <v>-3.2496920103788098</v>
      </c>
      <c r="AG1933">
        <v>-1.12091124722999</v>
      </c>
      <c r="AH1933">
        <v>13.7223766807018</v>
      </c>
      <c r="AI1933">
        <v>94.5446819960559</v>
      </c>
      <c r="AJ1933">
        <v>103.32316896131699</v>
      </c>
      <c r="AK1933">
        <v>14.1463974902996</v>
      </c>
      <c r="AL1933">
        <v>78.461140269965995</v>
      </c>
      <c r="AM1933">
        <v>94.764921618494895</v>
      </c>
      <c r="AN1933">
        <v>0.99999998462645201</v>
      </c>
    </row>
    <row r="1934" spans="1:40" x14ac:dyDescent="0.25">
      <c r="A1934" t="str">
        <f>"20190303162541828"</f>
        <v>20190303162541828</v>
      </c>
      <c r="B1934" t="str">
        <f>"1551601541815113"</f>
        <v>1551601541815113</v>
      </c>
      <c r="C1934" t="s">
        <v>40</v>
      </c>
      <c r="D1934">
        <v>4.9870769999999904</v>
      </c>
      <c r="E1934">
        <v>0.443608</v>
      </c>
      <c r="F1934" t="s">
        <v>48</v>
      </c>
      <c r="G1934">
        <v>-466.55279999999999</v>
      </c>
      <c r="H1934" s="1">
        <v>2.0923479999999999E-6</v>
      </c>
      <c r="I1934">
        <v>281.36590000000001</v>
      </c>
      <c r="J1934">
        <v>-452.34699999999998</v>
      </c>
      <c r="K1934">
        <v>1.1209519999999999</v>
      </c>
      <c r="L1934">
        <v>284.31490000000002</v>
      </c>
      <c r="M1934">
        <v>-0.9994345</v>
      </c>
      <c r="N1934">
        <v>-1.425177E-2</v>
      </c>
      <c r="O1934">
        <v>3.0460049999999999E-2</v>
      </c>
      <c r="P1934">
        <v>-0.98091729999999999</v>
      </c>
      <c r="Q1934">
        <v>0.1868032</v>
      </c>
      <c r="R1934">
        <v>-5.3907650000000001E-2</v>
      </c>
      <c r="S1934">
        <v>-3.0695190000000001</v>
      </c>
      <c r="T1934">
        <v>-0.23677889999999999</v>
      </c>
      <c r="U1934">
        <v>-0.62075809999999998</v>
      </c>
      <c r="V1934">
        <v>-8.357916E-2</v>
      </c>
      <c r="W1934">
        <v>0.20081170000000001</v>
      </c>
      <c r="X1934">
        <v>0.97605799999999998</v>
      </c>
      <c r="Y1934">
        <v>-0.22715560000000001</v>
      </c>
      <c r="Z1934">
        <v>-1.219398E-2</v>
      </c>
      <c r="AA1934">
        <v>0.97378209999999998</v>
      </c>
      <c r="AB1934">
        <v>30</v>
      </c>
      <c r="AC1934">
        <v>-14.2058</v>
      </c>
      <c r="AD1934">
        <v>-1.120949907652</v>
      </c>
      <c r="AE1934">
        <v>-2.9490000000000101</v>
      </c>
      <c r="AF1934">
        <v>-3.3603260954650702</v>
      </c>
      <c r="AG1934">
        <v>-1.120949907652</v>
      </c>
      <c r="AH1934">
        <v>14.025648986932699</v>
      </c>
      <c r="AI1934">
        <v>94.444202948514899</v>
      </c>
      <c r="AJ1934">
        <v>103.473213586127</v>
      </c>
      <c r="AK1934">
        <v>14.4660689085866</v>
      </c>
      <c r="AL1934">
        <v>78.415571156588797</v>
      </c>
      <c r="AM1934">
        <v>94.894258417526601</v>
      </c>
      <c r="AN1934">
        <v>1.0000000171035901</v>
      </c>
    </row>
    <row r="1935" spans="1:40" x14ac:dyDescent="0.25">
      <c r="A1935" t="str">
        <f>"20190303162541850"</f>
        <v>20190303162541850</v>
      </c>
      <c r="B1935" t="str">
        <f>"1551601541835608"</f>
        <v>1551601541835608</v>
      </c>
      <c r="C1935" t="s">
        <v>40</v>
      </c>
      <c r="D1935">
        <v>4.940372</v>
      </c>
      <c r="E1935">
        <v>0.44407249999999998</v>
      </c>
      <c r="F1935" t="s">
        <v>48</v>
      </c>
      <c r="G1935">
        <v>-466.55279999999999</v>
      </c>
      <c r="H1935" s="1">
        <v>2.090202E-6</v>
      </c>
      <c r="I1935">
        <v>281.41579999999999</v>
      </c>
      <c r="J1935">
        <v>-452.62630000000001</v>
      </c>
      <c r="K1935">
        <v>1.1210009999999999</v>
      </c>
      <c r="L1935">
        <v>284.32380000000001</v>
      </c>
      <c r="M1935">
        <v>-0.99942390000000003</v>
      </c>
      <c r="N1935">
        <v>-1.4248459999999999E-2</v>
      </c>
      <c r="O1935">
        <v>3.080768E-2</v>
      </c>
      <c r="P1935">
        <v>-0.98060780000000003</v>
      </c>
      <c r="Q1935">
        <v>0.18808620000000001</v>
      </c>
      <c r="R1935">
        <v>-5.5065749999999997E-2</v>
      </c>
      <c r="S1935">
        <v>-3.070068</v>
      </c>
      <c r="T1935">
        <v>-0.24225189999999999</v>
      </c>
      <c r="U1935">
        <v>-0.62652589999999997</v>
      </c>
      <c r="V1935">
        <v>-8.5083899999999907E-2</v>
      </c>
      <c r="W1935">
        <v>0.2020798</v>
      </c>
      <c r="X1935">
        <v>0.97566620000000004</v>
      </c>
      <c r="Y1935">
        <v>-0.22917319999999999</v>
      </c>
      <c r="Z1935">
        <v>-1.255882E-2</v>
      </c>
      <c r="AA1935">
        <v>0.97330459999999996</v>
      </c>
      <c r="AB1935">
        <v>30</v>
      </c>
      <c r="AC1935">
        <v>-13.9264999999999</v>
      </c>
      <c r="AD1935">
        <v>-1.120998909798</v>
      </c>
      <c r="AE1935">
        <v>-2.9080000000000101</v>
      </c>
      <c r="AF1935">
        <v>-3.3151238610521698</v>
      </c>
      <c r="AG1935">
        <v>-1.120998909798</v>
      </c>
      <c r="AH1935">
        <v>13.744953853929299</v>
      </c>
      <c r="AI1935">
        <v>94.533137832530102</v>
      </c>
      <c r="AJ1935">
        <v>103.56009950782899</v>
      </c>
      <c r="AK1935">
        <v>14.183456603259</v>
      </c>
      <c r="AL1935">
        <v>78.341393802298896</v>
      </c>
      <c r="AM1935">
        <v>94.983924483280703</v>
      </c>
      <c r="AN1935">
        <v>1.00000002471484</v>
      </c>
    </row>
    <row r="1936" spans="1:40" x14ac:dyDescent="0.25">
      <c r="A1936" t="str">
        <f>"20190303162541900"</f>
        <v>20190303162541900</v>
      </c>
      <c r="B1936" t="str">
        <f>"1551601541895144"</f>
        <v>1551601541895144</v>
      </c>
      <c r="C1936" t="s">
        <v>40</v>
      </c>
      <c r="D1936">
        <v>4.8884550000000004</v>
      </c>
      <c r="E1936">
        <v>0.44420530000000003</v>
      </c>
      <c r="F1936" t="s">
        <v>48</v>
      </c>
      <c r="G1936">
        <v>-466.50670000000002</v>
      </c>
      <c r="H1936" s="1">
        <v>2.0621370000000001E-6</v>
      </c>
      <c r="I1936">
        <v>281.49650000000003</v>
      </c>
      <c r="J1936">
        <v>-453.28320000000002</v>
      </c>
      <c r="K1936">
        <v>1.1211100000000001</v>
      </c>
      <c r="L1936">
        <v>284.3449</v>
      </c>
      <c r="M1936">
        <v>-0.99940399999999996</v>
      </c>
      <c r="N1936">
        <v>-1.4240859999999999E-2</v>
      </c>
      <c r="O1936">
        <v>3.1451270000000003E-2</v>
      </c>
      <c r="P1936">
        <v>-0.98006400000000005</v>
      </c>
      <c r="Q1936">
        <v>0.19041830000000001</v>
      </c>
      <c r="R1936">
        <v>-5.6708170000000002E-2</v>
      </c>
      <c r="S1936">
        <v>-3.071777</v>
      </c>
      <c r="T1936">
        <v>-0.248081</v>
      </c>
      <c r="U1936">
        <v>-0.62570190000000003</v>
      </c>
      <c r="V1936">
        <v>-8.7381189999999997E-2</v>
      </c>
      <c r="W1936">
        <v>0.2043778</v>
      </c>
      <c r="X1936">
        <v>0.97498419999999997</v>
      </c>
      <c r="Y1936">
        <v>-0.22940169999999999</v>
      </c>
      <c r="Z1936">
        <v>-1.2877400000000001E-2</v>
      </c>
      <c r="AA1936">
        <v>0.97324659999999996</v>
      </c>
      <c r="AB1936">
        <v>30</v>
      </c>
      <c r="AC1936">
        <v>-13.2235</v>
      </c>
      <c r="AD1936">
        <v>-1.121107937863</v>
      </c>
      <c r="AE1936">
        <v>-2.8483999999999599</v>
      </c>
      <c r="AF1936">
        <v>-3.24066782990172</v>
      </c>
      <c r="AG1936">
        <v>-1.121107937863</v>
      </c>
      <c r="AH1936">
        <v>13.0378029919395</v>
      </c>
      <c r="AI1936">
        <v>94.770269581593396</v>
      </c>
      <c r="AJ1936">
        <v>103.95852945806899</v>
      </c>
      <c r="AK1936">
        <v>13.481213515434201</v>
      </c>
      <c r="AL1936">
        <v>78.206921203146607</v>
      </c>
      <c r="AM1936">
        <v>95.1213474415013</v>
      </c>
      <c r="AN1936">
        <v>0.99999997387414696</v>
      </c>
    </row>
    <row r="1937" spans="1:40" x14ac:dyDescent="0.25">
      <c r="A1937" t="str">
        <f>"20190303162541922"</f>
        <v>20190303162541922</v>
      </c>
      <c r="B1937" t="str">
        <f>"1551601541914664"</f>
        <v>1551601541914664</v>
      </c>
      <c r="C1937" t="s">
        <v>40</v>
      </c>
      <c r="D1937">
        <v>5.0146519999999999</v>
      </c>
      <c r="E1937">
        <v>0.44411659999999997</v>
      </c>
      <c r="F1937" t="s">
        <v>48</v>
      </c>
      <c r="G1937">
        <v>-466.79309999999998</v>
      </c>
      <c r="H1937" s="1">
        <v>2.2107829999999998E-6</v>
      </c>
      <c r="I1937">
        <v>281.58260000000001</v>
      </c>
      <c r="J1937">
        <v>-453.58280000000002</v>
      </c>
      <c r="K1937">
        <v>1.121148</v>
      </c>
      <c r="L1937">
        <v>284.3546</v>
      </c>
      <c r="M1937">
        <v>-0.99939750000000005</v>
      </c>
      <c r="N1937">
        <v>-1.4237390000000001E-2</v>
      </c>
      <c r="O1937">
        <v>3.1657599999999897E-2</v>
      </c>
      <c r="P1937">
        <v>-0.97977809999999999</v>
      </c>
      <c r="Q1937">
        <v>0.19132389999999999</v>
      </c>
      <c r="R1937">
        <v>-5.8570360000000002E-2</v>
      </c>
      <c r="S1937">
        <v>-3.0742189999999998</v>
      </c>
      <c r="T1937">
        <v>-0.25511050000000002</v>
      </c>
      <c r="U1937">
        <v>-0.62857059999999998</v>
      </c>
      <c r="V1937">
        <v>-8.9455629999999994E-2</v>
      </c>
      <c r="W1937">
        <v>0.2052669</v>
      </c>
      <c r="X1937">
        <v>0.97460930000000001</v>
      </c>
      <c r="Y1937">
        <v>-0.23027139999999999</v>
      </c>
      <c r="Z1937">
        <v>-1.325252E-2</v>
      </c>
      <c r="AA1937">
        <v>0.97303620000000002</v>
      </c>
      <c r="AB1937">
        <v>30</v>
      </c>
      <c r="AC1937">
        <v>-13.210299999999901</v>
      </c>
      <c r="AD1937">
        <v>-1.121145789217</v>
      </c>
      <c r="AE1937">
        <v>-2.77199999999999</v>
      </c>
      <c r="AF1937">
        <v>-3.1670098857287701</v>
      </c>
      <c r="AG1937">
        <v>-1.121145789217</v>
      </c>
      <c r="AH1937">
        <v>13.026047016156999</v>
      </c>
      <c r="AI1937">
        <v>94.780702213566798</v>
      </c>
      <c r="AJ1937">
        <v>103.66512738663501</v>
      </c>
      <c r="AK1937">
        <v>13.4523165426671</v>
      </c>
      <c r="AL1937">
        <v>78.154877023537594</v>
      </c>
      <c r="AM1937">
        <v>95.244264523731701</v>
      </c>
      <c r="AN1937">
        <v>1.00000004881039</v>
      </c>
    </row>
    <row r="1938" spans="1:40" x14ac:dyDescent="0.25">
      <c r="A1938" t="str">
        <f>"20190303162541941"</f>
        <v>20190303162541941</v>
      </c>
      <c r="B1938" t="str">
        <f>"1551601541935161"</f>
        <v>1551601541935161</v>
      </c>
      <c r="C1938" t="s">
        <v>40</v>
      </c>
      <c r="D1938">
        <v>4.9905860000000004</v>
      </c>
      <c r="E1938">
        <v>0.44417689999999999</v>
      </c>
      <c r="F1938" t="s">
        <v>48</v>
      </c>
      <c r="G1938">
        <v>-466.96300000000002</v>
      </c>
      <c r="H1938" s="1">
        <v>2.3007580000000002E-6</v>
      </c>
      <c r="I1938">
        <v>281.5924</v>
      </c>
      <c r="J1938">
        <v>-453.8295</v>
      </c>
      <c r="K1938">
        <v>1.1211869999999999</v>
      </c>
      <c r="L1938">
        <v>284.36259999999999</v>
      </c>
      <c r="M1938">
        <v>-0.99939290000000003</v>
      </c>
      <c r="N1938">
        <v>-1.423454E-2</v>
      </c>
      <c r="O1938">
        <v>3.1798409999999999E-2</v>
      </c>
      <c r="P1938">
        <v>-0.97937609999999997</v>
      </c>
      <c r="Q1938">
        <v>0.1924535</v>
      </c>
      <c r="R1938">
        <v>-6.1515180000000003E-2</v>
      </c>
      <c r="S1938">
        <v>-3.0743100000000001</v>
      </c>
      <c r="T1938">
        <v>-0.25760050000000001</v>
      </c>
      <c r="U1938">
        <v>-0.63467410000000002</v>
      </c>
      <c r="V1938">
        <v>-9.2539250000000003E-2</v>
      </c>
      <c r="W1938">
        <v>0.2063807</v>
      </c>
      <c r="X1938">
        <v>0.97408600000000001</v>
      </c>
      <c r="Y1938">
        <v>-0.2322304</v>
      </c>
      <c r="Z1938">
        <v>-1.3472019999999999E-2</v>
      </c>
      <c r="AA1938">
        <v>0.97256750000000003</v>
      </c>
      <c r="AB1938">
        <v>30</v>
      </c>
      <c r="AC1938">
        <v>-13.1335</v>
      </c>
      <c r="AD1938">
        <v>-1.121184699242</v>
      </c>
      <c r="AE1938">
        <v>-2.77019999999998</v>
      </c>
      <c r="AF1938">
        <v>-3.1643866192743899</v>
      </c>
      <c r="AG1938">
        <v>-1.121184699242</v>
      </c>
      <c r="AH1938">
        <v>12.9484148581674</v>
      </c>
      <c r="AI1938">
        <v>94.808014844125793</v>
      </c>
      <c r="AJ1938">
        <v>103.733005339532</v>
      </c>
      <c r="AK1938">
        <v>13.376540851253999</v>
      </c>
      <c r="AL1938">
        <v>78.089664388619198</v>
      </c>
      <c r="AM1938">
        <v>95.426875456020596</v>
      </c>
      <c r="AN1938">
        <v>1.0000000207595201</v>
      </c>
    </row>
    <row r="1939" spans="1:40" x14ac:dyDescent="0.25">
      <c r="A1939" t="str">
        <f>"20190303162541960"</f>
        <v>20190303162541960</v>
      </c>
      <c r="B1939" t="str">
        <f>"1551601541954682"</f>
        <v>1551601541954682</v>
      </c>
      <c r="C1939" t="s">
        <v>40</v>
      </c>
      <c r="D1939">
        <v>5.0397800000000004</v>
      </c>
      <c r="E1939">
        <v>0.44439869999999998</v>
      </c>
      <c r="F1939" t="s">
        <v>48</v>
      </c>
      <c r="G1939">
        <v>-467.14400000000001</v>
      </c>
      <c r="H1939" s="1">
        <v>2.3978300000000001E-6</v>
      </c>
      <c r="I1939">
        <v>281.57490000000001</v>
      </c>
      <c r="J1939">
        <v>-454.09910000000002</v>
      </c>
      <c r="K1939">
        <v>1.1212299999999999</v>
      </c>
      <c r="L1939">
        <v>284.37130000000002</v>
      </c>
      <c r="M1939">
        <v>-0.99938910000000003</v>
      </c>
      <c r="N1939">
        <v>-1.423143E-2</v>
      </c>
      <c r="O1939">
        <v>3.192118E-2</v>
      </c>
      <c r="P1939">
        <v>-0.97911870000000001</v>
      </c>
      <c r="Q1939">
        <v>0.1933194</v>
      </c>
      <c r="R1939">
        <v>-6.2882279999999999E-2</v>
      </c>
      <c r="S1939">
        <v>-3.0735779999999999</v>
      </c>
      <c r="T1939">
        <v>-0.2588201</v>
      </c>
      <c r="U1939">
        <v>-0.64352419999999899</v>
      </c>
      <c r="V1939">
        <v>-9.4032320000000003E-2</v>
      </c>
      <c r="W1939">
        <v>0.20723259999999999</v>
      </c>
      <c r="X1939">
        <v>0.97376209999999996</v>
      </c>
      <c r="Y1939">
        <v>-0.23505880000000001</v>
      </c>
      <c r="Z1939">
        <v>-1.3676020000000001E-2</v>
      </c>
      <c r="AA1939">
        <v>0.971885</v>
      </c>
      <c r="AB1939">
        <v>30</v>
      </c>
      <c r="AC1939">
        <v>-13.044899999999901</v>
      </c>
      <c r="AD1939">
        <v>-1.1212276021700001</v>
      </c>
      <c r="AE1939">
        <v>-2.7964000000000002</v>
      </c>
      <c r="AF1939">
        <v>-3.1889019477289802</v>
      </c>
      <c r="AG1939">
        <v>-1.1212276021700001</v>
      </c>
      <c r="AH1939">
        <v>12.8581592795391</v>
      </c>
      <c r="AI1939">
        <v>94.837738626207695</v>
      </c>
      <c r="AJ1939">
        <v>103.928671241339</v>
      </c>
      <c r="AK1939">
        <v>13.2950557361034</v>
      </c>
      <c r="AL1939">
        <v>78.0397756917979</v>
      </c>
      <c r="AM1939">
        <v>95.515722509779295</v>
      </c>
      <c r="AN1939">
        <v>1.0000000275518699</v>
      </c>
    </row>
    <row r="1940" spans="1:40" x14ac:dyDescent="0.25">
      <c r="A1940" t="str">
        <f>"20190303162541985"</f>
        <v>20190303162541985</v>
      </c>
      <c r="B1940" t="str">
        <f>"1551601541975176"</f>
        <v>1551601541975176</v>
      </c>
      <c r="C1940" t="s">
        <v>40</v>
      </c>
      <c r="D1940">
        <v>5.2933940000000002</v>
      </c>
      <c r="E1940">
        <v>0.47564830000000002</v>
      </c>
      <c r="F1940" t="s">
        <v>48</v>
      </c>
      <c r="G1940">
        <v>-467.35669999999999</v>
      </c>
      <c r="H1940" s="1">
        <v>2.5106900000000001E-6</v>
      </c>
      <c r="I1940">
        <v>281.58260000000001</v>
      </c>
      <c r="J1940">
        <v>-454.4282</v>
      </c>
      <c r="K1940">
        <v>1.1212719999999901</v>
      </c>
      <c r="L1940">
        <v>284.38200000000001</v>
      </c>
      <c r="M1940">
        <v>-0.99938579999999999</v>
      </c>
      <c r="N1940">
        <v>-1.422763E-2</v>
      </c>
      <c r="O1940">
        <v>3.2028109999999999E-2</v>
      </c>
      <c r="P1940">
        <v>-0.97881269999999998</v>
      </c>
      <c r="Q1940">
        <v>0.1948511</v>
      </c>
      <c r="R1940">
        <v>-6.2921459999999999E-2</v>
      </c>
      <c r="S1940">
        <v>-3.0738219999999998</v>
      </c>
      <c r="T1940">
        <v>-0.25996089999999999</v>
      </c>
      <c r="U1940">
        <v>-0.64657589999999998</v>
      </c>
      <c r="V1940">
        <v>-9.4182370000000001E-2</v>
      </c>
      <c r="W1940">
        <v>0.20874889999999999</v>
      </c>
      <c r="X1940">
        <v>0.9734237</v>
      </c>
      <c r="Y1940">
        <v>-0.23605899999999999</v>
      </c>
      <c r="Z1940">
        <v>-1.378473E-2</v>
      </c>
      <c r="AA1940">
        <v>0.97164090000000003</v>
      </c>
      <c r="AB1940">
        <v>30</v>
      </c>
      <c r="AC1940">
        <v>-12.9284999999999</v>
      </c>
      <c r="AD1940">
        <v>-1.1212694893099999</v>
      </c>
      <c r="AE1940">
        <v>-2.7993999999999901</v>
      </c>
      <c r="AF1940">
        <v>-3.1891667659455099</v>
      </c>
      <c r="AG1940">
        <v>-1.1212694893099999</v>
      </c>
      <c r="AH1940">
        <v>12.7406561803956</v>
      </c>
      <c r="AI1940">
        <v>94.879692294919906</v>
      </c>
      <c r="AJ1940">
        <v>104.05318392349299</v>
      </c>
      <c r="AK1940">
        <v>13.1815154605122</v>
      </c>
      <c r="AL1940">
        <v>77.950956078292194</v>
      </c>
      <c r="AM1940">
        <v>95.526378328813095</v>
      </c>
      <c r="AN1940">
        <v>1.0000000608958499</v>
      </c>
    </row>
    <row r="1941" spans="1:40" x14ac:dyDescent="0.25">
      <c r="A1941" t="str">
        <f>"20190303162542006"</f>
        <v>20190303162542006</v>
      </c>
      <c r="B1941" t="str">
        <f>"1551601541995673"</f>
        <v>1551601541995673</v>
      </c>
      <c r="C1941" t="s">
        <v>40</v>
      </c>
      <c r="D1941">
        <v>5.2049469999999998</v>
      </c>
      <c r="E1941">
        <v>0.4872572</v>
      </c>
      <c r="F1941" t="s">
        <v>46</v>
      </c>
      <c r="G1941">
        <v>-472.15899999999999</v>
      </c>
      <c r="H1941" s="1">
        <v>5.4360040000000002E-6</v>
      </c>
      <c r="I1941">
        <v>282.09199999999998</v>
      </c>
      <c r="J1941">
        <v>-454.7</v>
      </c>
      <c r="K1941">
        <v>1.1213029999999999</v>
      </c>
      <c r="L1941">
        <v>284.39080000000001</v>
      </c>
      <c r="M1941">
        <v>-0.99938389999999999</v>
      </c>
      <c r="N1941">
        <v>-1.4224469999999999E-2</v>
      </c>
      <c r="O1941">
        <v>3.2086950000000003E-2</v>
      </c>
      <c r="P1941">
        <v>-0.97882939999999996</v>
      </c>
      <c r="Q1941">
        <v>0.19505539999999999</v>
      </c>
      <c r="R1941">
        <v>-6.201914E-2</v>
      </c>
      <c r="S1941">
        <v>-3.078125</v>
      </c>
      <c r="T1941">
        <v>-0.19465589999999999</v>
      </c>
      <c r="U1941">
        <v>-0.39755249999999998</v>
      </c>
      <c r="V1941">
        <v>-9.3351190000000001E-2</v>
      </c>
      <c r="W1941">
        <v>0.20894480000000001</v>
      </c>
      <c r="X1941">
        <v>0.97346169999999999</v>
      </c>
      <c r="Y1941">
        <v>-0.15942709999999999</v>
      </c>
      <c r="Z1941">
        <v>-7.7206599999999998E-3</v>
      </c>
      <c r="AA1941">
        <v>0.98717949999999999</v>
      </c>
      <c r="AB1941">
        <v>30</v>
      </c>
      <c r="AC1941">
        <v>-17.459</v>
      </c>
      <c r="AD1941">
        <v>-1.1212975639959999</v>
      </c>
      <c r="AE1941">
        <v>-2.2988000000000199</v>
      </c>
      <c r="AF1941">
        <v>-2.84633827753543</v>
      </c>
      <c r="AG1941">
        <v>-1.1212975639959999</v>
      </c>
      <c r="AH1941">
        <v>17.306071635205001</v>
      </c>
      <c r="AI1941">
        <v>93.658124069017703</v>
      </c>
      <c r="AJ1941">
        <v>99.339848609277098</v>
      </c>
      <c r="AK1941">
        <v>17.5743866254283</v>
      </c>
      <c r="AL1941">
        <v>77.939478335836</v>
      </c>
      <c r="AM1941">
        <v>95.477692269172394</v>
      </c>
      <c r="AN1941">
        <v>1.0000000277441701</v>
      </c>
    </row>
    <row r="1942" spans="1:40" x14ac:dyDescent="0.25">
      <c r="A1942" t="str">
        <f>"20190303162542027"</f>
        <v>20190303162542027</v>
      </c>
      <c r="B1942" t="str">
        <f>"1551601542015193"</f>
        <v>1551601542015193</v>
      </c>
      <c r="C1942" t="s">
        <v>40</v>
      </c>
      <c r="D1942">
        <v>4.9251469999999999</v>
      </c>
      <c r="E1942">
        <v>0.49246709999999999</v>
      </c>
      <c r="F1942" t="s">
        <v>46</v>
      </c>
      <c r="G1942">
        <v>-475.8252</v>
      </c>
      <c r="H1942" s="1">
        <v>3.8303460000000004E-6</v>
      </c>
      <c r="I1942">
        <v>282.32229999999998</v>
      </c>
      <c r="J1942">
        <v>-454.98680000000002</v>
      </c>
      <c r="K1942">
        <v>1.1213329999999999</v>
      </c>
      <c r="L1942">
        <v>284.40010000000001</v>
      </c>
      <c r="M1942">
        <v>-0.99938289999999996</v>
      </c>
      <c r="N1942">
        <v>-1.422117E-2</v>
      </c>
      <c r="O1942">
        <v>3.2123390000000002E-2</v>
      </c>
      <c r="P1942">
        <v>-0.97885149999999999</v>
      </c>
      <c r="Q1942">
        <v>0.19536619999999999</v>
      </c>
      <c r="R1942">
        <v>-6.0678379999999997E-2</v>
      </c>
      <c r="S1942">
        <v>-3.0783689999999999</v>
      </c>
      <c r="T1942">
        <v>-0.1633966</v>
      </c>
      <c r="U1942">
        <v>-0.30142210000000003</v>
      </c>
      <c r="V1942">
        <v>-9.2059710000000003E-2</v>
      </c>
      <c r="W1942">
        <v>0.2092474</v>
      </c>
      <c r="X1942">
        <v>0.97351969999999999</v>
      </c>
      <c r="Y1942">
        <v>-0.12912069999999901</v>
      </c>
      <c r="Z1942">
        <v>-5.582264E-3</v>
      </c>
      <c r="AA1942">
        <v>0.99161310000000003</v>
      </c>
      <c r="AB1942">
        <v>30</v>
      </c>
      <c r="AC1942">
        <v>-20.838399999999901</v>
      </c>
      <c r="AD1942">
        <v>-1.121329169654</v>
      </c>
      <c r="AE1942">
        <v>-2.0778000000000199</v>
      </c>
      <c r="AF1942">
        <v>-2.7383440186388301</v>
      </c>
      <c r="AG1942">
        <v>-1.121329169654</v>
      </c>
      <c r="AH1942">
        <v>20.7015375051154</v>
      </c>
      <c r="AI1942">
        <v>93.073757514392696</v>
      </c>
      <c r="AJ1942">
        <v>97.535187235078894</v>
      </c>
      <c r="AK1942">
        <v>20.911947832443399</v>
      </c>
      <c r="AL1942">
        <v>77.921748816464699</v>
      </c>
      <c r="AM1942">
        <v>95.402041890915996</v>
      </c>
      <c r="AN1942">
        <v>1.00000003545006</v>
      </c>
    </row>
    <row r="1943" spans="1:40" x14ac:dyDescent="0.25">
      <c r="A1943" t="str">
        <f>"20190303162542051"</f>
        <v>20190303162542051</v>
      </c>
      <c r="B1943" t="str">
        <f>"1551601542044473"</f>
        <v>1551601542044473</v>
      </c>
      <c r="C1943" t="s">
        <v>40</v>
      </c>
      <c r="D1943">
        <v>5.1001760000000003</v>
      </c>
      <c r="E1943">
        <v>0.49455979999999999</v>
      </c>
      <c r="F1943" t="s">
        <v>46</v>
      </c>
      <c r="G1943">
        <v>-477.3175</v>
      </c>
      <c r="H1943" s="1">
        <v>3.1885309999999998E-6</v>
      </c>
      <c r="I1943">
        <v>282.55090000000001</v>
      </c>
      <c r="J1943">
        <v>-455.291</v>
      </c>
      <c r="K1943">
        <v>1.1213580000000001</v>
      </c>
      <c r="L1943">
        <v>284.40989999999999</v>
      </c>
      <c r="M1943">
        <v>-0.99938229999999995</v>
      </c>
      <c r="N1943">
        <v>-1.42177E-2</v>
      </c>
      <c r="O1943">
        <v>3.2141110000000001E-2</v>
      </c>
      <c r="P1943">
        <v>-0.97884079999999996</v>
      </c>
      <c r="Q1943">
        <v>0.19580980000000001</v>
      </c>
      <c r="R1943">
        <v>-5.9411329999999998E-2</v>
      </c>
      <c r="S1943">
        <v>-3.079834</v>
      </c>
      <c r="T1943">
        <v>-0.15465299999999901</v>
      </c>
      <c r="U1943">
        <v>-0.25503540000000002</v>
      </c>
      <c r="V1943">
        <v>-9.0820799999999993E-2</v>
      </c>
      <c r="W1943">
        <v>0.20968290000000001</v>
      </c>
      <c r="X1943">
        <v>0.97354229999999997</v>
      </c>
      <c r="Y1943">
        <v>-0.1143132</v>
      </c>
      <c r="Z1943">
        <v>-4.8327190000000001E-3</v>
      </c>
      <c r="AA1943">
        <v>0.99343300000000001</v>
      </c>
      <c r="AB1943">
        <v>30</v>
      </c>
      <c r="AC1943">
        <v>-22.026499999999999</v>
      </c>
      <c r="AD1943">
        <v>-1.121354811469</v>
      </c>
      <c r="AE1943">
        <v>-1.85899999999998</v>
      </c>
      <c r="AF1943">
        <v>-2.5594803526014598</v>
      </c>
      <c r="AG1943">
        <v>-1.121354811469</v>
      </c>
      <c r="AH1943">
        <v>21.899005569323201</v>
      </c>
      <c r="AI1943">
        <v>92.911528621685804</v>
      </c>
      <c r="AJ1943">
        <v>96.666289050795797</v>
      </c>
      <c r="AK1943">
        <v>22.076567242526799</v>
      </c>
      <c r="AL1943">
        <v>77.896229641299996</v>
      </c>
      <c r="AM1943">
        <v>95.329641416595805</v>
      </c>
      <c r="AN1943">
        <v>0.99999997307716904</v>
      </c>
    </row>
    <row r="1944" spans="1:40" x14ac:dyDescent="0.25">
      <c r="A1944" t="str">
        <f>"20190303162542078"</f>
        <v>20190303162542078</v>
      </c>
      <c r="B1944" t="str">
        <f>"1551601542064969"</f>
        <v>1551601542064969</v>
      </c>
      <c r="C1944" t="s">
        <v>40</v>
      </c>
      <c r="D1944">
        <v>4.8895379999999999</v>
      </c>
      <c r="E1944">
        <v>0.50498100000000001</v>
      </c>
      <c r="F1944" t="s">
        <v>46</v>
      </c>
      <c r="G1944">
        <v>-477.85449999999997</v>
      </c>
      <c r="H1944" s="1">
        <v>2.9629629999999999E-6</v>
      </c>
      <c r="I1944">
        <v>282.69470000000001</v>
      </c>
      <c r="J1944">
        <v>-455.64139999999998</v>
      </c>
      <c r="K1944">
        <v>1.121364</v>
      </c>
      <c r="L1944">
        <v>284.4212</v>
      </c>
      <c r="M1944">
        <v>-0.9993822</v>
      </c>
      <c r="N1944">
        <v>-1.4213709999999999E-2</v>
      </c>
      <c r="O1944">
        <v>3.2145649999999998E-2</v>
      </c>
      <c r="P1944">
        <v>-0.9789255</v>
      </c>
      <c r="Q1944">
        <v>0.19576360000000001</v>
      </c>
      <c r="R1944">
        <v>-5.814971E-2</v>
      </c>
      <c r="S1944">
        <v>-3.0812379999999999</v>
      </c>
      <c r="T1944">
        <v>-0.1531305</v>
      </c>
      <c r="U1944">
        <v>-0.2342224</v>
      </c>
      <c r="V1944">
        <v>-8.9576260000000005E-2</v>
      </c>
      <c r="W1944">
        <v>0.20963019999999999</v>
      </c>
      <c r="X1944">
        <v>0.97366900000000001</v>
      </c>
      <c r="Y1944">
        <v>-0.107624</v>
      </c>
      <c r="Z1944">
        <v>-4.5740269999999996E-3</v>
      </c>
      <c r="AA1944">
        <v>0.99418119999999999</v>
      </c>
      <c r="AB1944">
        <v>29</v>
      </c>
      <c r="AC1944">
        <v>-22.213100000000001</v>
      </c>
      <c r="AD1944">
        <v>-1.121361037037</v>
      </c>
      <c r="AE1944">
        <v>-1.7264999999999799</v>
      </c>
      <c r="AF1944">
        <v>-2.4335696404871698</v>
      </c>
      <c r="AG1944">
        <v>-1.121361037037</v>
      </c>
      <c r="AH1944">
        <v>22.090155617037901</v>
      </c>
      <c r="AI1944">
        <v>92.888561606824297</v>
      </c>
      <c r="AJ1944">
        <v>96.286658698408402</v>
      </c>
      <c r="AK1944">
        <v>22.2520715205447</v>
      </c>
      <c r="AL1944">
        <v>77.899318391803007</v>
      </c>
      <c r="AM1944">
        <v>95.256339784900504</v>
      </c>
      <c r="AN1944">
        <v>1.0000000243343099</v>
      </c>
    </row>
    <row r="1945" spans="1:40" x14ac:dyDescent="0.25">
      <c r="A1945" t="str">
        <f>"20190303162542102"</f>
        <v>20190303162542102</v>
      </c>
      <c r="B1945" t="str">
        <f>"1551601542095224"</f>
        <v>1551601542095224</v>
      </c>
      <c r="C1945" t="s">
        <v>40</v>
      </c>
      <c r="D1945">
        <v>4.8706250000000004</v>
      </c>
      <c r="E1945">
        <v>0.50263610000000003</v>
      </c>
      <c r="F1945" t="s">
        <v>48</v>
      </c>
      <c r="G1945">
        <v>-468.77050000000003</v>
      </c>
      <c r="H1945" s="1">
        <v>3.1666689999999999E-6</v>
      </c>
      <c r="I1945">
        <v>283.7878</v>
      </c>
      <c r="J1945">
        <v>-455.94200000000001</v>
      </c>
      <c r="K1945">
        <v>1.121373</v>
      </c>
      <c r="L1945">
        <v>284.43079999999998</v>
      </c>
      <c r="M1945">
        <v>-0.99938260000000001</v>
      </c>
      <c r="N1945">
        <v>-1.4210270000000001E-2</v>
      </c>
      <c r="O1945">
        <v>3.2133509999999997E-2</v>
      </c>
      <c r="P1945">
        <v>-0.9789487</v>
      </c>
      <c r="Q1945">
        <v>0.19585810000000001</v>
      </c>
      <c r="R1945">
        <v>-5.7437549999999997E-2</v>
      </c>
      <c r="S1945">
        <v>-3.1087340000000001</v>
      </c>
      <c r="T1945">
        <v>-0.26551849999999999</v>
      </c>
      <c r="U1945">
        <v>-0.14999390000000001</v>
      </c>
      <c r="V1945">
        <v>-8.8859030000000006E-2</v>
      </c>
      <c r="W1945">
        <v>0.20971970000000001</v>
      </c>
      <c r="X1945">
        <v>0.97371540000000001</v>
      </c>
      <c r="Y1945">
        <v>-7.9847860000000007E-2</v>
      </c>
      <c r="Z1945">
        <v>-6.2531269999999998E-3</v>
      </c>
      <c r="AA1945">
        <v>0.99678739999999999</v>
      </c>
      <c r="AB1945">
        <v>29</v>
      </c>
      <c r="AC1945">
        <v>-12.8285</v>
      </c>
      <c r="AD1945">
        <v>-1.121369833331</v>
      </c>
      <c r="AE1945">
        <v>-0.64299999999997204</v>
      </c>
      <c r="AF1945">
        <v>-1.0469545678897101</v>
      </c>
      <c r="AG1945">
        <v>-1.121369833331</v>
      </c>
      <c r="AH1945">
        <v>12.7043799462582</v>
      </c>
      <c r="AI1945">
        <v>95.027265303434703</v>
      </c>
      <c r="AJ1945">
        <v>94.711039485077194</v>
      </c>
      <c r="AK1945">
        <v>12.796673551717101</v>
      </c>
      <c r="AL1945">
        <v>77.8940732943</v>
      </c>
      <c r="AM1945">
        <v>95.214238518954105</v>
      </c>
      <c r="AN1945">
        <v>0.999999979988895</v>
      </c>
    </row>
    <row r="1946" spans="1:40" x14ac:dyDescent="0.25">
      <c r="A1946" t="str">
        <f>"20190303162542141"</f>
        <v>20190303162542141</v>
      </c>
      <c r="B1946" t="str">
        <f>"1551601542124504"</f>
        <v>1551601542124504</v>
      </c>
      <c r="C1946" t="s">
        <v>40</v>
      </c>
      <c r="D1946">
        <v>5.1366829999999997</v>
      </c>
      <c r="E1946">
        <v>0.50276929999999997</v>
      </c>
      <c r="F1946" t="s">
        <v>48</v>
      </c>
      <c r="G1946">
        <v>-468.76319999999998</v>
      </c>
      <c r="H1946" s="1">
        <v>3.1648589999999999E-6</v>
      </c>
      <c r="I1946">
        <v>283.73919999999998</v>
      </c>
      <c r="J1946">
        <v>-456.45940000000002</v>
      </c>
      <c r="K1946">
        <v>1.1213949999999999</v>
      </c>
      <c r="L1946">
        <v>284.44740000000002</v>
      </c>
      <c r="M1946">
        <v>-0.99938459999999996</v>
      </c>
      <c r="N1946">
        <v>-1.4204400000000001E-2</v>
      </c>
      <c r="O1946">
        <v>3.2076639999999997E-2</v>
      </c>
      <c r="P1946">
        <v>-0.97882880000000005</v>
      </c>
      <c r="Q1946">
        <v>0.19665859999999999</v>
      </c>
      <c r="R1946">
        <v>-5.674502E-2</v>
      </c>
      <c r="S1946">
        <v>-3.1090390000000001</v>
      </c>
      <c r="T1946">
        <v>-0.27192369999999999</v>
      </c>
      <c r="U1946">
        <v>-0.1677246</v>
      </c>
      <c r="V1946">
        <v>-8.8118020000000005E-2</v>
      </c>
      <c r="W1946">
        <v>0.21050849999999999</v>
      </c>
      <c r="X1946">
        <v>0.97361249999999999</v>
      </c>
      <c r="Y1946">
        <v>-8.5410600000000003E-2</v>
      </c>
      <c r="Z1946">
        <v>-6.6775250000000001E-3</v>
      </c>
      <c r="AA1946">
        <v>0.99632350000000003</v>
      </c>
      <c r="AB1946">
        <v>29</v>
      </c>
      <c r="AC1946">
        <v>-12.303799999999899</v>
      </c>
      <c r="AD1946">
        <v>-1.1213918351409999</v>
      </c>
      <c r="AE1946">
        <v>-0.70820000000003303</v>
      </c>
      <c r="AF1946">
        <v>-1.09348639894343</v>
      </c>
      <c r="AG1946">
        <v>-1.1213918351409999</v>
      </c>
      <c r="AH1946">
        <v>12.1739551172651</v>
      </c>
      <c r="AI1946">
        <v>95.241907410046096</v>
      </c>
      <c r="AJ1946">
        <v>95.132635566207199</v>
      </c>
      <c r="AK1946">
        <v>12.274298975900001</v>
      </c>
      <c r="AL1946">
        <v>77.847846170828802</v>
      </c>
      <c r="AM1946">
        <v>95.171536397085205</v>
      </c>
      <c r="AN1946">
        <v>0.999999957088609</v>
      </c>
    </row>
    <row r="1947" spans="1:40" x14ac:dyDescent="0.25">
      <c r="A1947" t="str">
        <f>"20190303162542162"</f>
        <v>20190303162542162</v>
      </c>
      <c r="B1947" t="str">
        <f>"1551601542154761"</f>
        <v>1551601542154761</v>
      </c>
      <c r="C1947" t="s">
        <v>40</v>
      </c>
      <c r="D1947">
        <v>5.1461839999999999</v>
      </c>
      <c r="E1947">
        <v>0.50170509999999902</v>
      </c>
      <c r="F1947" t="s">
        <v>48</v>
      </c>
      <c r="G1947">
        <v>-469.23419999999999</v>
      </c>
      <c r="H1947" s="1">
        <v>3.4141929999999999E-6</v>
      </c>
      <c r="I1947">
        <v>283.76979999999998</v>
      </c>
      <c r="J1947">
        <v>-456.74939999999998</v>
      </c>
      <c r="K1947">
        <v>1.12141</v>
      </c>
      <c r="L1947">
        <v>284.45670000000001</v>
      </c>
      <c r="M1947">
        <v>-0.99938610000000005</v>
      </c>
      <c r="N1947">
        <v>-1.4201170000000001E-2</v>
      </c>
      <c r="O1947">
        <v>3.2028729999999998E-2</v>
      </c>
      <c r="P1947">
        <v>-0.9789487</v>
      </c>
      <c r="Q1947">
        <v>0.1963172</v>
      </c>
      <c r="R1947">
        <v>-5.5848729999999999E-2</v>
      </c>
      <c r="S1947">
        <v>-3.1101990000000002</v>
      </c>
      <c r="T1947">
        <v>-0.2730185</v>
      </c>
      <c r="U1947">
        <v>-0.16497800000000001</v>
      </c>
      <c r="V1947">
        <v>-8.7184940000000002E-2</v>
      </c>
      <c r="W1947">
        <v>0.21016399999999999</v>
      </c>
      <c r="X1947">
        <v>0.97377100000000005</v>
      </c>
      <c r="Y1947">
        <v>-8.4466490000000005E-2</v>
      </c>
      <c r="Z1947">
        <v>-6.6497880000000002E-3</v>
      </c>
      <c r="AA1947">
        <v>0.99640410000000001</v>
      </c>
      <c r="AB1947">
        <v>29</v>
      </c>
      <c r="AC1947">
        <v>-12.4848</v>
      </c>
      <c r="AD1947">
        <v>-1.1214065858069999</v>
      </c>
      <c r="AE1947">
        <v>-0.68690000000003604</v>
      </c>
      <c r="AF1947">
        <v>-1.07779079608694</v>
      </c>
      <c r="AG1947">
        <v>-1.1214065858069999</v>
      </c>
      <c r="AH1947">
        <v>12.356995902080399</v>
      </c>
      <c r="AI1947">
        <v>95.165924611270299</v>
      </c>
      <c r="AJ1947">
        <v>94.984785932455495</v>
      </c>
      <c r="AK1947">
        <v>12.454498522817101</v>
      </c>
      <c r="AL1947">
        <v>77.868037265751695</v>
      </c>
      <c r="AM1947">
        <v>95.116238888462206</v>
      </c>
      <c r="AN1947">
        <v>1.0000000405499001</v>
      </c>
    </row>
    <row r="1948" spans="1:40" x14ac:dyDescent="0.25">
      <c r="A1948" t="str">
        <f>"20190303162542184"</f>
        <v>20190303162542184</v>
      </c>
      <c r="B1948" t="str">
        <f>"1551601542175256"</f>
        <v>1551601542175256</v>
      </c>
      <c r="C1948" t="s">
        <v>40</v>
      </c>
      <c r="D1948">
        <v>5.2021230000000003</v>
      </c>
      <c r="E1948">
        <v>0.50103240000000004</v>
      </c>
      <c r="F1948" t="s">
        <v>48</v>
      </c>
      <c r="G1948">
        <v>-469.85899999999998</v>
      </c>
      <c r="H1948" s="1">
        <v>3.7478910000000001E-6</v>
      </c>
      <c r="I1948">
        <v>283.74259999999998</v>
      </c>
      <c r="J1948">
        <v>-457.03719999999998</v>
      </c>
      <c r="K1948">
        <v>1.121424</v>
      </c>
      <c r="L1948">
        <v>284.46589999999998</v>
      </c>
      <c r="M1948">
        <v>-0.99938800000000005</v>
      </c>
      <c r="N1948">
        <v>-1.419802E-2</v>
      </c>
      <c r="O1948">
        <v>3.1973210000000002E-2</v>
      </c>
      <c r="P1948">
        <v>-0.97901740000000004</v>
      </c>
      <c r="Q1948">
        <v>0.19594339999999999</v>
      </c>
      <c r="R1948">
        <v>-5.5957590000000001E-2</v>
      </c>
      <c r="S1948">
        <v>-3.1081850000000002</v>
      </c>
      <c r="T1948">
        <v>-0.26587569999999999</v>
      </c>
      <c r="U1948">
        <v>-0.1693115</v>
      </c>
      <c r="V1948">
        <v>-8.7246509999999999E-2</v>
      </c>
      <c r="W1948">
        <v>0.20978640000000001</v>
      </c>
      <c r="X1948">
        <v>0.97384689999999996</v>
      </c>
      <c r="Y1948">
        <v>-8.5847530000000005E-2</v>
      </c>
      <c r="Z1948">
        <v>-6.5488719999999999E-3</v>
      </c>
      <c r="AA1948">
        <v>0.99628669999999997</v>
      </c>
      <c r="AB1948">
        <v>29</v>
      </c>
      <c r="AC1948">
        <v>-12.8218</v>
      </c>
      <c r="AD1948">
        <v>-1.121420252109</v>
      </c>
      <c r="AE1948">
        <v>-0.72329999999999395</v>
      </c>
      <c r="AF1948">
        <v>-1.1243519409043901</v>
      </c>
      <c r="AG1948">
        <v>-1.121420252109</v>
      </c>
      <c r="AH1948">
        <v>12.695308693922399</v>
      </c>
      <c r="AI1948">
        <v>95.028450086488704</v>
      </c>
      <c r="AJ1948">
        <v>95.061159192150896</v>
      </c>
      <c r="AK1948">
        <v>12.7942414195933</v>
      </c>
      <c r="AL1948">
        <v>77.890165404228497</v>
      </c>
      <c r="AM1948">
        <v>95.119435869502695</v>
      </c>
      <c r="AN1948">
        <v>1.0000000358858701</v>
      </c>
    </row>
    <row r="1949" spans="1:40" x14ac:dyDescent="0.25">
      <c r="A1949" t="str">
        <f>"20190303162542207"</f>
        <v>20190303162542207</v>
      </c>
      <c r="B1949" t="str">
        <f>"1551601542194777"</f>
        <v>1551601542194777</v>
      </c>
      <c r="C1949" t="s">
        <v>40</v>
      </c>
      <c r="D1949">
        <v>5.0902729999999998</v>
      </c>
      <c r="E1949">
        <v>0.50077309999999997</v>
      </c>
      <c r="F1949" t="s">
        <v>46</v>
      </c>
      <c r="G1949">
        <v>-470.61470000000003</v>
      </c>
      <c r="H1949" s="1">
        <v>6.2620399999999998E-6</v>
      </c>
      <c r="I1949">
        <v>283.7072</v>
      </c>
      <c r="J1949">
        <v>-457.32859999999999</v>
      </c>
      <c r="K1949">
        <v>1.1214360000000001</v>
      </c>
      <c r="L1949">
        <v>284.4751</v>
      </c>
      <c r="M1949">
        <v>-0.99939009999999995</v>
      </c>
      <c r="N1949">
        <v>-1.419492E-2</v>
      </c>
      <c r="O1949">
        <v>3.1909699999999999E-2</v>
      </c>
      <c r="P1949">
        <v>-0.97901199999999999</v>
      </c>
      <c r="Q1949">
        <v>0.19604569999999999</v>
      </c>
      <c r="R1949">
        <v>-5.5693630000000001E-2</v>
      </c>
      <c r="S1949">
        <v>-3.1057429999999999</v>
      </c>
      <c r="T1949">
        <v>-0.25651489999999999</v>
      </c>
      <c r="U1949">
        <v>-0.1735535</v>
      </c>
      <c r="V1949">
        <v>-8.6924219999999996E-2</v>
      </c>
      <c r="W1949">
        <v>0.2098843</v>
      </c>
      <c r="X1949">
        <v>0.97385460000000001</v>
      </c>
      <c r="Y1949">
        <v>-8.7207569999999998E-2</v>
      </c>
      <c r="Z1949">
        <v>-6.3905089999999999E-3</v>
      </c>
      <c r="AA1949">
        <v>0.99616970000000005</v>
      </c>
      <c r="AB1949">
        <v>29</v>
      </c>
      <c r="AC1949">
        <v>-13.286099999999999</v>
      </c>
      <c r="AD1949">
        <v>-1.12142973796</v>
      </c>
      <c r="AE1949">
        <v>-0.76789999999999703</v>
      </c>
      <c r="AF1949">
        <v>-1.1831061204089801</v>
      </c>
      <c r="AG1949">
        <v>-1.12142973796</v>
      </c>
      <c r="AH1949">
        <v>13.161371980436099</v>
      </c>
      <c r="AI1949">
        <v>94.850723967745296</v>
      </c>
      <c r="AJ1949">
        <v>95.136643851661802</v>
      </c>
      <c r="AK1949">
        <v>13.261940173169901</v>
      </c>
      <c r="AL1949">
        <v>77.884428113635096</v>
      </c>
      <c r="AM1949">
        <v>95.100584415426994</v>
      </c>
      <c r="AN1949">
        <v>1.0000000106751199</v>
      </c>
    </row>
    <row r="1950" spans="1:40" x14ac:dyDescent="0.25">
      <c r="A1950" t="str">
        <f>"20190303162542228"</f>
        <v>20190303162542228</v>
      </c>
      <c r="B1950" t="str">
        <f>"1551601542225033"</f>
        <v>1551601542225033</v>
      </c>
      <c r="C1950" t="s">
        <v>40</v>
      </c>
      <c r="D1950">
        <v>5.0247199999999896</v>
      </c>
      <c r="E1950">
        <v>0.53709240000000003</v>
      </c>
      <c r="F1950" t="s">
        <v>46</v>
      </c>
      <c r="G1950">
        <v>-471.4701</v>
      </c>
      <c r="H1950" s="1">
        <v>5.88041299999999E-6</v>
      </c>
      <c r="I1950">
        <v>283.68119999999999</v>
      </c>
      <c r="J1950">
        <v>-457.6198</v>
      </c>
      <c r="K1950">
        <v>1.1214379999999999</v>
      </c>
      <c r="L1950">
        <v>284.48430000000002</v>
      </c>
      <c r="M1950">
        <v>-0.99939219999999895</v>
      </c>
      <c r="N1950">
        <v>-1.419189E-2</v>
      </c>
      <c r="O1950">
        <v>3.1841649999999999E-2</v>
      </c>
      <c r="P1950">
        <v>-0.97902670000000003</v>
      </c>
      <c r="Q1950">
        <v>0.19641639999999999</v>
      </c>
      <c r="R1950">
        <v>-5.4104329999999999E-2</v>
      </c>
      <c r="S1950">
        <v>-3.103729</v>
      </c>
      <c r="T1950">
        <v>-0.24612629999999999</v>
      </c>
      <c r="U1950">
        <v>-0.17425539999999901</v>
      </c>
      <c r="V1950">
        <v>-8.5271940000000004E-2</v>
      </c>
      <c r="W1950">
        <v>0.2102521</v>
      </c>
      <c r="X1950">
        <v>0.97392129999999999</v>
      </c>
      <c r="Y1950">
        <v>-8.7431780000000001E-2</v>
      </c>
      <c r="Z1950">
        <v>-6.1490299999999998E-3</v>
      </c>
      <c r="AA1950">
        <v>0.99615149999999997</v>
      </c>
      <c r="AB1950">
        <v>29</v>
      </c>
      <c r="AC1950">
        <v>-13.850300000000001</v>
      </c>
      <c r="AD1950">
        <v>-1.1214321195869901</v>
      </c>
      <c r="AE1950">
        <v>-0.80310000000002901</v>
      </c>
      <c r="AF1950">
        <v>-1.2356797360332401</v>
      </c>
      <c r="AG1950">
        <v>-1.1214321195869901</v>
      </c>
      <c r="AH1950">
        <v>13.728003985406</v>
      </c>
      <c r="AI1950">
        <v>94.651365129567296</v>
      </c>
      <c r="AJ1950">
        <v>95.143424396553399</v>
      </c>
      <c r="AK1950">
        <v>13.8290494189661</v>
      </c>
      <c r="AL1950">
        <v>77.862873325895805</v>
      </c>
      <c r="AM1950">
        <v>95.003787120123405</v>
      </c>
      <c r="AN1950">
        <v>0.99999997394973095</v>
      </c>
    </row>
    <row r="1951" spans="1:40" x14ac:dyDescent="0.25">
      <c r="A1951" t="str">
        <f>"20190303162542252"</f>
        <v>20190303162542252</v>
      </c>
      <c r="B1951" t="str">
        <f>"1551601542244553"</f>
        <v>1551601542244553</v>
      </c>
      <c r="C1951" t="s">
        <v>40</v>
      </c>
      <c r="D1951">
        <v>5.0243789999999997</v>
      </c>
      <c r="E1951">
        <v>0.55551030000000001</v>
      </c>
      <c r="F1951" t="s">
        <v>46</v>
      </c>
      <c r="G1951">
        <v>-469.97879999999998</v>
      </c>
      <c r="H1951" s="1">
        <v>6.6531080000000001E-6</v>
      </c>
      <c r="I1951">
        <v>284.9547</v>
      </c>
      <c r="J1951">
        <v>-457.9264</v>
      </c>
      <c r="K1951">
        <v>1.1214299999999999</v>
      </c>
      <c r="L1951">
        <v>284.49400000000003</v>
      </c>
      <c r="M1951">
        <v>-0.99939460000000002</v>
      </c>
      <c r="N1951">
        <v>-1.418873E-2</v>
      </c>
      <c r="O1951">
        <v>3.1767370000000003E-2</v>
      </c>
      <c r="P1951">
        <v>-0.97932450000000004</v>
      </c>
      <c r="Q1951">
        <v>0.19584270000000001</v>
      </c>
      <c r="R1951">
        <v>-5.0686170000000003E-2</v>
      </c>
      <c r="S1951">
        <v>-3.1278079999999999</v>
      </c>
      <c r="T1951">
        <v>-0.28381060000000002</v>
      </c>
      <c r="U1951">
        <v>0.1190491</v>
      </c>
      <c r="V1951">
        <v>-8.1793060000000001E-2</v>
      </c>
      <c r="W1951">
        <v>0.20968100000000001</v>
      </c>
      <c r="X1951">
        <v>0.97434279999999995</v>
      </c>
      <c r="Y1951">
        <v>6.3298159999999899E-3</v>
      </c>
      <c r="Z1951">
        <v>-2.093302E-3</v>
      </c>
      <c r="AA1951">
        <v>0.99997780000000003</v>
      </c>
      <c r="AB1951">
        <v>29</v>
      </c>
      <c r="AC1951">
        <v>-12.052399999999899</v>
      </c>
      <c r="AD1951">
        <v>-1.1214233468920001</v>
      </c>
      <c r="AE1951">
        <v>0.46069999999997402</v>
      </c>
      <c r="AF1951">
        <v>7.6891134001915801E-2</v>
      </c>
      <c r="AG1951">
        <v>-1.1214233468920001</v>
      </c>
      <c r="AH1951">
        <v>11.957580880838799</v>
      </c>
      <c r="AI1951">
        <v>95.357615513946598</v>
      </c>
      <c r="AJ1951">
        <v>89.631574581510307</v>
      </c>
      <c r="AK1951">
        <v>12.010297377302701</v>
      </c>
      <c r="AL1951">
        <v>77.896342036148397</v>
      </c>
      <c r="AM1951">
        <v>94.7985523877079</v>
      </c>
      <c r="AN1951">
        <v>1.0000000591685001</v>
      </c>
    </row>
    <row r="1952" spans="1:40" x14ac:dyDescent="0.25">
      <c r="A1952" t="str">
        <f>"20190303162542286"</f>
        <v>20190303162542286</v>
      </c>
      <c r="B1952" t="str">
        <f>"1551601542274809"</f>
        <v>1551601542274809</v>
      </c>
      <c r="C1952" t="s">
        <v>40</v>
      </c>
      <c r="D1952">
        <v>4.9542039999999998</v>
      </c>
      <c r="E1952">
        <v>0.56283319999999903</v>
      </c>
      <c r="F1952" t="s">
        <v>46</v>
      </c>
      <c r="G1952">
        <v>-472.37970000000001</v>
      </c>
      <c r="H1952" s="1">
        <v>5.6602130000000002E-6</v>
      </c>
      <c r="I1952">
        <v>285.77629999999999</v>
      </c>
      <c r="J1952">
        <v>-458.34829999999999</v>
      </c>
      <c r="K1952">
        <v>1.12144</v>
      </c>
      <c r="L1952">
        <v>284.50740000000002</v>
      </c>
      <c r="M1952">
        <v>-0.99939789999999995</v>
      </c>
      <c r="N1952">
        <v>-1.418441E-2</v>
      </c>
      <c r="O1952">
        <v>3.166451E-2</v>
      </c>
      <c r="P1952">
        <v>-0.9795005</v>
      </c>
      <c r="Q1952">
        <v>0.19573289999999999</v>
      </c>
      <c r="R1952">
        <v>-4.7620639999999999E-2</v>
      </c>
      <c r="S1952">
        <v>-3.12616</v>
      </c>
      <c r="T1952">
        <v>-0.2425562</v>
      </c>
      <c r="U1952">
        <v>0.27734379999999997</v>
      </c>
      <c r="V1952">
        <v>-7.8634780000000001E-2</v>
      </c>
      <c r="W1952">
        <v>0.20957149999999999</v>
      </c>
      <c r="X1952">
        <v>0.97462629999999995</v>
      </c>
      <c r="Y1952">
        <v>5.6644859999999998E-2</v>
      </c>
      <c r="Z1952">
        <v>5.9395409999999998E-4</v>
      </c>
      <c r="AA1952">
        <v>0.99839420000000001</v>
      </c>
      <c r="AB1952">
        <v>29</v>
      </c>
      <c r="AC1952">
        <v>-14.0314</v>
      </c>
      <c r="AD1952">
        <v>-1.1214343397869999</v>
      </c>
      <c r="AE1952">
        <v>1.2688999999999699</v>
      </c>
      <c r="AF1952">
        <v>0.81873406034062601</v>
      </c>
      <c r="AG1952">
        <v>-1.1214343397869999</v>
      </c>
      <c r="AH1952">
        <v>13.97599519792</v>
      </c>
      <c r="AI1952">
        <v>94.579768339255494</v>
      </c>
      <c r="AJ1952">
        <v>86.647361847516393</v>
      </c>
      <c r="AK1952">
        <v>14.0447991161248</v>
      </c>
      <c r="AL1952">
        <v>77.902758171069493</v>
      </c>
      <c r="AM1952">
        <v>94.612745258787498</v>
      </c>
      <c r="AN1952">
        <v>1.00000003344479</v>
      </c>
    </row>
    <row r="1953" spans="1:40" x14ac:dyDescent="0.25">
      <c r="A1953" t="str">
        <f>"20190303162542311"</f>
        <v>20190303162542311</v>
      </c>
      <c r="B1953" t="str">
        <f>"1551601542305065"</f>
        <v>1551601542305065</v>
      </c>
      <c r="C1953" t="s">
        <v>40</v>
      </c>
      <c r="D1953">
        <v>4.9198599999999999</v>
      </c>
      <c r="E1953">
        <v>0.56534419999999996</v>
      </c>
      <c r="F1953" t="s">
        <v>46</v>
      </c>
      <c r="G1953">
        <v>-473.54309999999998</v>
      </c>
      <c r="H1953" s="1">
        <v>5.180271E-6</v>
      </c>
      <c r="I1953">
        <v>286.18779999999998</v>
      </c>
      <c r="J1953">
        <v>-458.68400000000003</v>
      </c>
      <c r="K1953">
        <v>1.1214379999999999</v>
      </c>
      <c r="L1953">
        <v>284.5179</v>
      </c>
      <c r="M1953">
        <v>-0.99940039999999997</v>
      </c>
      <c r="N1953">
        <v>-1.4180989999999999E-2</v>
      </c>
      <c r="O1953">
        <v>3.1584910000000001E-2</v>
      </c>
      <c r="P1953">
        <v>-0.97930150000000005</v>
      </c>
      <c r="Q1953">
        <v>0.1966753</v>
      </c>
      <c r="R1953">
        <v>-4.7828410000000002E-2</v>
      </c>
      <c r="S1953">
        <v>-3.1256710000000001</v>
      </c>
      <c r="T1953">
        <v>-0.2306869</v>
      </c>
      <c r="U1953">
        <v>0.345672599999999</v>
      </c>
      <c r="V1953">
        <v>-7.875799E-2</v>
      </c>
      <c r="W1953">
        <v>0.21050759999999999</v>
      </c>
      <c r="X1953">
        <v>0.97441460000000002</v>
      </c>
      <c r="Y1953">
        <v>7.8274029999999994E-2</v>
      </c>
      <c r="Z1953">
        <v>1.560171E-3</v>
      </c>
      <c r="AA1953">
        <v>0.99693069999999895</v>
      </c>
      <c r="AB1953">
        <v>29</v>
      </c>
      <c r="AC1953">
        <v>-14.8590999999999</v>
      </c>
      <c r="AD1953">
        <v>-1.121432819729</v>
      </c>
      <c r="AE1953">
        <v>1.66989999999998</v>
      </c>
      <c r="AF1953">
        <v>1.19298574377696</v>
      </c>
      <c r="AG1953">
        <v>-1.121432819729</v>
      </c>
      <c r="AH1953">
        <v>14.821067582109601</v>
      </c>
      <c r="AI1953">
        <v>94.313130442721899</v>
      </c>
      <c r="AJ1953">
        <v>85.398037423635799</v>
      </c>
      <c r="AK1953">
        <v>14.9112330418205</v>
      </c>
      <c r="AL1953">
        <v>77.847899962542002</v>
      </c>
      <c r="AM1953">
        <v>94.620940916233593</v>
      </c>
      <c r="AN1953">
        <v>1.00000004166987</v>
      </c>
    </row>
    <row r="1954" spans="1:40" x14ac:dyDescent="0.25">
      <c r="A1954" t="str">
        <f>"20190303162542330"</f>
        <v>20190303162542330</v>
      </c>
      <c r="B1954" t="str">
        <f>"1551601542324584"</f>
        <v>1551601542324584</v>
      </c>
      <c r="C1954" t="s">
        <v>40</v>
      </c>
      <c r="D1954">
        <v>4.955851</v>
      </c>
      <c r="E1954">
        <v>0.56641039999999998</v>
      </c>
      <c r="F1954" t="s">
        <v>46</v>
      </c>
      <c r="G1954">
        <v>-474.40469999999999</v>
      </c>
      <c r="H1954" s="1">
        <v>4.8122460000000003E-6</v>
      </c>
      <c r="I1954">
        <v>286.34870000000001</v>
      </c>
      <c r="J1954">
        <v>-458.93119999999999</v>
      </c>
      <c r="K1954">
        <v>1.1214409999999999</v>
      </c>
      <c r="L1954">
        <v>284.52569999999997</v>
      </c>
      <c r="M1954">
        <v>-0.99940249999999997</v>
      </c>
      <c r="N1954">
        <v>-1.4178299999999901E-2</v>
      </c>
      <c r="O1954">
        <v>3.1527350000000003E-2</v>
      </c>
      <c r="P1954">
        <v>-0.97910929999999996</v>
      </c>
      <c r="Q1954">
        <v>0.19712840000000001</v>
      </c>
      <c r="R1954">
        <v>-4.9857449999999998E-2</v>
      </c>
      <c r="S1954">
        <v>-3.126007</v>
      </c>
      <c r="T1954">
        <v>-0.2229921</v>
      </c>
      <c r="U1954">
        <v>0.36404419999999998</v>
      </c>
      <c r="V1954">
        <v>-8.0724119999999996E-2</v>
      </c>
      <c r="W1954">
        <v>0.21095369999999999</v>
      </c>
      <c r="X1954">
        <v>0.97415719999999995</v>
      </c>
      <c r="Y1954">
        <v>8.4096009999999999E-2</v>
      </c>
      <c r="Z1954">
        <v>1.7927570000000001E-3</v>
      </c>
      <c r="AA1954">
        <v>0.99645600000000001</v>
      </c>
      <c r="AB1954">
        <v>29</v>
      </c>
      <c r="AC1954">
        <v>-15.4735</v>
      </c>
      <c r="AD1954">
        <v>-1.121436187754</v>
      </c>
      <c r="AE1954">
        <v>1.8230000000000299</v>
      </c>
      <c r="AF1954">
        <v>1.32732973263437</v>
      </c>
      <c r="AG1954">
        <v>-1.121436187754</v>
      </c>
      <c r="AH1954">
        <v>15.4432801095708</v>
      </c>
      <c r="AI1954">
        <v>94.138122903544698</v>
      </c>
      <c r="AJ1954">
        <v>85.087575248964797</v>
      </c>
      <c r="AK1954">
        <v>15.5407311245323</v>
      </c>
      <c r="AL1954">
        <v>77.821753255001894</v>
      </c>
      <c r="AM1954">
        <v>94.737026287190005</v>
      </c>
      <c r="AN1954">
        <v>1.0000000487026499</v>
      </c>
    </row>
    <row r="1955" spans="1:40" x14ac:dyDescent="0.25">
      <c r="A1955" t="str">
        <f>"20190303162542351"</f>
        <v>20190303162542351</v>
      </c>
      <c r="B1955" t="str">
        <f>"1551601542345081"</f>
        <v>1551601542345081</v>
      </c>
      <c r="C1955" t="s">
        <v>40</v>
      </c>
      <c r="D1955">
        <v>4.9646480000000004</v>
      </c>
      <c r="E1955">
        <v>0.56681899999999996</v>
      </c>
      <c r="F1955" t="s">
        <v>46</v>
      </c>
      <c r="G1955">
        <v>-474.94540000000001</v>
      </c>
      <c r="H1955" s="1">
        <v>4.576524E-6</v>
      </c>
      <c r="I1955">
        <v>286.39510000000001</v>
      </c>
      <c r="J1955">
        <v>-459.21260000000001</v>
      </c>
      <c r="K1955">
        <v>1.1214379999999999</v>
      </c>
      <c r="L1955">
        <v>284.53449999999998</v>
      </c>
      <c r="M1955">
        <v>-0.99940450000000003</v>
      </c>
      <c r="N1955">
        <v>-1.417524E-2</v>
      </c>
      <c r="O1955">
        <v>3.146289E-2</v>
      </c>
      <c r="P1955">
        <v>-0.97886510000000004</v>
      </c>
      <c r="Q1955">
        <v>0.1974678</v>
      </c>
      <c r="R1955">
        <v>-5.3194480000000002E-2</v>
      </c>
      <c r="S1955">
        <v>-3.1266780000000001</v>
      </c>
      <c r="T1955">
        <v>-0.2189528</v>
      </c>
      <c r="U1955">
        <v>0.36499019999999999</v>
      </c>
      <c r="V1955">
        <v>-8.3988610000000005E-2</v>
      </c>
      <c r="W1955">
        <v>0.21128549999999999</v>
      </c>
      <c r="X1955">
        <v>0.97380919999999904</v>
      </c>
      <c r="Y1955">
        <v>8.4438219999999994E-2</v>
      </c>
      <c r="Z1955">
        <v>1.796775E-3</v>
      </c>
      <c r="AA1955">
        <v>0.99642710000000001</v>
      </c>
      <c r="AB1955">
        <v>29</v>
      </c>
      <c r="AC1955">
        <v>-15.7327999999999</v>
      </c>
      <c r="AD1955">
        <v>-1.1214334234759999</v>
      </c>
      <c r="AE1955">
        <v>1.86060000000003</v>
      </c>
      <c r="AF1955">
        <v>1.35782589616538</v>
      </c>
      <c r="AG1955">
        <v>-1.1214334234759999</v>
      </c>
      <c r="AH1955">
        <v>15.704861999881899</v>
      </c>
      <c r="AI1955">
        <v>94.069244317217695</v>
      </c>
      <c r="AJ1955">
        <v>85.058555231607102</v>
      </c>
      <c r="AK1955">
        <v>15.8032906232506</v>
      </c>
      <c r="AL1955">
        <v>77.802303578646402</v>
      </c>
      <c r="AM1955">
        <v>94.929419244139396</v>
      </c>
      <c r="AN1955">
        <v>1.00000000356231</v>
      </c>
    </row>
    <row r="1956" spans="1:40" x14ac:dyDescent="0.25">
      <c r="A1956" t="str">
        <f>"20190303162542374"</f>
        <v>20190303162542374</v>
      </c>
      <c r="B1956" t="str">
        <f>"1551601542365576"</f>
        <v>1551601542365576</v>
      </c>
      <c r="C1956" t="s">
        <v>40</v>
      </c>
      <c r="D1956">
        <v>5.0411640000000002</v>
      </c>
      <c r="E1956">
        <v>0.56727450000000001</v>
      </c>
      <c r="F1956" t="s">
        <v>46</v>
      </c>
      <c r="G1956">
        <v>-475.28089999999997</v>
      </c>
      <c r="H1956" s="1">
        <v>4.425039E-6</v>
      </c>
      <c r="I1956">
        <v>286.36419999999998</v>
      </c>
      <c r="J1956">
        <v>-459.49459999999999</v>
      </c>
      <c r="K1956">
        <v>1.1214409999999999</v>
      </c>
      <c r="L1956">
        <v>284.54329999999999</v>
      </c>
      <c r="M1956">
        <v>-0.99940640000000003</v>
      </c>
      <c r="N1956">
        <v>-1.417247E-2</v>
      </c>
      <c r="O1956">
        <v>3.1398660000000002E-2</v>
      </c>
      <c r="P1956">
        <v>-0.97814270000000003</v>
      </c>
      <c r="Q1956">
        <v>0.1986887</v>
      </c>
      <c r="R1956">
        <v>-6.131561E-2</v>
      </c>
      <c r="S1956">
        <v>-3.1282040000000002</v>
      </c>
      <c r="T1956">
        <v>-0.2183216</v>
      </c>
      <c r="U1956">
        <v>0.3562012</v>
      </c>
      <c r="V1956">
        <v>-9.2020320000000003E-2</v>
      </c>
      <c r="W1956">
        <v>0.2124887</v>
      </c>
      <c r="X1956">
        <v>0.97282109999999999</v>
      </c>
      <c r="Y1956">
        <v>8.1691979999999997E-2</v>
      </c>
      <c r="Z1956">
        <v>1.682701E-3</v>
      </c>
      <c r="AA1956">
        <v>0.99665619999999999</v>
      </c>
      <c r="AB1956">
        <v>29</v>
      </c>
      <c r="AC1956">
        <v>-15.786299999999899</v>
      </c>
      <c r="AD1956">
        <v>-1.121436574961</v>
      </c>
      <c r="AE1956">
        <v>1.82089999999999</v>
      </c>
      <c r="AF1956">
        <v>1.3177209845987301</v>
      </c>
      <c r="AG1956">
        <v>-1.121436574961</v>
      </c>
      <c r="AH1956">
        <v>15.7572199832917</v>
      </c>
      <c r="AI1956">
        <v>94.056746434756505</v>
      </c>
      <c r="AJ1956">
        <v>85.219677966894295</v>
      </c>
      <c r="AK1956">
        <v>15.851939634844699</v>
      </c>
      <c r="AL1956">
        <v>77.731764073435897</v>
      </c>
      <c r="AM1956">
        <v>95.403598867379102</v>
      </c>
      <c r="AN1956">
        <v>1.0000000397629001</v>
      </c>
    </row>
    <row r="1957" spans="1:40" x14ac:dyDescent="0.25">
      <c r="A1957" t="str">
        <f>"20190303162542420"</f>
        <v>20190303162542420</v>
      </c>
      <c r="B1957" t="str">
        <f>"1551601542404617"</f>
        <v>1551601542404617</v>
      </c>
      <c r="C1957" t="s">
        <v>40</v>
      </c>
      <c r="D1957">
        <v>4.9787720000000002</v>
      </c>
      <c r="E1957">
        <v>0.56334510000000004</v>
      </c>
      <c r="F1957" t="s">
        <v>46</v>
      </c>
      <c r="G1957">
        <v>-475.96710000000002</v>
      </c>
      <c r="H1957" s="1">
        <v>4.1157740000000002E-6</v>
      </c>
      <c r="I1957">
        <v>286.3073</v>
      </c>
      <c r="J1957">
        <v>-460.0779</v>
      </c>
      <c r="K1957">
        <v>1.121472</v>
      </c>
      <c r="L1957">
        <v>284.56130000000002</v>
      </c>
      <c r="M1957">
        <v>-0.99941069999999999</v>
      </c>
      <c r="N1957">
        <v>-1.416686E-2</v>
      </c>
      <c r="O1957">
        <v>3.1266149999999999E-2</v>
      </c>
      <c r="P1957">
        <v>-0.97339120000000001</v>
      </c>
      <c r="Q1957">
        <v>0.2056308</v>
      </c>
      <c r="R1957">
        <v>-0.101123</v>
      </c>
      <c r="S1957">
        <v>-3.131348</v>
      </c>
      <c r="T1957">
        <v>-0.21318029999999999</v>
      </c>
      <c r="U1957">
        <v>0.33532709999999999</v>
      </c>
      <c r="V1957">
        <v>-0.1315306</v>
      </c>
      <c r="W1957">
        <v>0.21933659999999999</v>
      </c>
      <c r="X1957">
        <v>0.96674260000000001</v>
      </c>
      <c r="Y1957">
        <v>7.5171500000000002E-2</v>
      </c>
      <c r="Z1957">
        <v>1.4059539999999901E-3</v>
      </c>
      <c r="AA1957">
        <v>0.99716959999999999</v>
      </c>
      <c r="AB1957">
        <v>29</v>
      </c>
      <c r="AC1957">
        <v>-15.889200000000001</v>
      </c>
      <c r="AD1957">
        <v>-1.121467884226</v>
      </c>
      <c r="AE1957">
        <v>1.74599999999998</v>
      </c>
      <c r="AF1957">
        <v>1.2421879677102201</v>
      </c>
      <c r="AG1957">
        <v>-1.121467884226</v>
      </c>
      <c r="AH1957">
        <v>15.857970608919199</v>
      </c>
      <c r="AI1957">
        <v>94.032881809237296</v>
      </c>
      <c r="AJ1957">
        <v>85.521047774216697</v>
      </c>
      <c r="AK1957">
        <v>15.9460325158272</v>
      </c>
      <c r="AL1957">
        <v>77.329929308186493</v>
      </c>
      <c r="AM1957">
        <v>97.747829909123695</v>
      </c>
      <c r="AN1957">
        <v>1.00000004874533</v>
      </c>
    </row>
    <row r="1958" spans="1:40" x14ac:dyDescent="0.25">
      <c r="A1958" t="str">
        <f>"20190303162542441"</f>
        <v>20190303162542441</v>
      </c>
      <c r="B1958" t="str">
        <f>"1551601542434873"</f>
        <v>1551601542434873</v>
      </c>
      <c r="C1958" t="s">
        <v>40</v>
      </c>
      <c r="D1958">
        <v>5.1937129999999998</v>
      </c>
      <c r="E1958">
        <v>0.4198074</v>
      </c>
      <c r="F1958" t="s">
        <v>46</v>
      </c>
      <c r="G1958">
        <v>-477.9624</v>
      </c>
      <c r="H1958" s="1">
        <v>3.1648440000000001E-6</v>
      </c>
      <c r="I1958">
        <v>285.55099999999999</v>
      </c>
      <c r="J1958">
        <v>-460.3682</v>
      </c>
      <c r="K1958">
        <v>1.1214900000000001</v>
      </c>
      <c r="L1958">
        <v>284.5702</v>
      </c>
      <c r="M1958">
        <v>-0.99941279999999999</v>
      </c>
      <c r="N1958">
        <v>-1.4164029999999999E-2</v>
      </c>
      <c r="O1958">
        <v>3.1199959999999999E-2</v>
      </c>
      <c r="P1958">
        <v>-0.97106590000000004</v>
      </c>
      <c r="Q1958">
        <v>0.20644090000000001</v>
      </c>
      <c r="R1958">
        <v>-0.120055</v>
      </c>
      <c r="S1958">
        <v>-3.141724</v>
      </c>
      <c r="T1958">
        <v>-0.1970065</v>
      </c>
      <c r="U1958">
        <v>0.1738586</v>
      </c>
      <c r="V1958">
        <v>-0.1503167</v>
      </c>
      <c r="W1958">
        <v>0.22010099999999999</v>
      </c>
      <c r="X1958">
        <v>0.96382590000000001</v>
      </c>
      <c r="Y1958">
        <v>2.4050559999999999E-2</v>
      </c>
      <c r="Z1958">
        <v>-5.8753760000000005E-4</v>
      </c>
      <c r="AA1958">
        <v>0.9997106</v>
      </c>
      <c r="AB1958">
        <v>29</v>
      </c>
      <c r="AC1958">
        <v>-17.594200000000001</v>
      </c>
      <c r="AD1958">
        <v>-1.1214868351559999</v>
      </c>
      <c r="AE1958">
        <v>0.98079999999998801</v>
      </c>
      <c r="AF1958">
        <v>0.42958898350614699</v>
      </c>
      <c r="AG1958">
        <v>-1.1214868351559999</v>
      </c>
      <c r="AH1958">
        <v>17.545171162437398</v>
      </c>
      <c r="AI1958">
        <v>93.656276108358199</v>
      </c>
      <c r="AJ1958">
        <v>88.5974078807848</v>
      </c>
      <c r="AK1958">
        <v>17.586225022312298</v>
      </c>
      <c r="AL1958">
        <v>77.285034244343294</v>
      </c>
      <c r="AM1958">
        <v>98.864346526233106</v>
      </c>
      <c r="AN1958">
        <v>0.99999996300534899</v>
      </c>
    </row>
    <row r="1959" spans="1:40" x14ac:dyDescent="0.25">
      <c r="A1959" t="str">
        <f>"20190303162542468"</f>
        <v>20190303162542468</v>
      </c>
      <c r="B1959" t="str">
        <f>"1551601542455369"</f>
        <v>1551601542455369</v>
      </c>
      <c r="C1959" t="s">
        <v>40</v>
      </c>
      <c r="D1959">
        <v>5.0885569999999998</v>
      </c>
      <c r="E1959">
        <v>0.41314879999999998</v>
      </c>
      <c r="F1959" t="s">
        <v>46</v>
      </c>
      <c r="G1959">
        <v>-474.49310000000003</v>
      </c>
      <c r="H1959" s="1">
        <v>4.1969219999999998E-6</v>
      </c>
      <c r="I1959">
        <v>279.75839999999999</v>
      </c>
      <c r="J1959">
        <v>-460.6977</v>
      </c>
      <c r="K1959">
        <v>1.121489</v>
      </c>
      <c r="L1959">
        <v>284.5804</v>
      </c>
      <c r="M1959">
        <v>-0.99941539999999995</v>
      </c>
      <c r="N1959">
        <v>-1.4160839999999999E-2</v>
      </c>
      <c r="O1959">
        <v>3.112471E-2</v>
      </c>
      <c r="P1959">
        <v>-0.96950099999999995</v>
      </c>
      <c r="Q1959">
        <v>0.20537430000000001</v>
      </c>
      <c r="R1959">
        <v>-0.1337527</v>
      </c>
      <c r="S1959">
        <v>-3.0133670000000001</v>
      </c>
      <c r="T1959">
        <v>-0.23925540000000001</v>
      </c>
      <c r="U1959">
        <v>-1.0265500000000001</v>
      </c>
      <c r="V1959">
        <v>-0.16388559999999999</v>
      </c>
      <c r="W1959">
        <v>0.21900259999999999</v>
      </c>
      <c r="X1959">
        <v>0.96186240000000001</v>
      </c>
      <c r="Y1959">
        <v>-0.35053269999999997</v>
      </c>
      <c r="Z1959">
        <v>-1.8043790000000001E-2</v>
      </c>
      <c r="AA1959">
        <v>0.93637669999999995</v>
      </c>
      <c r="AB1959">
        <v>29</v>
      </c>
      <c r="AC1959">
        <v>-13.795400000000001</v>
      </c>
      <c r="AD1959">
        <v>-1.121484803078</v>
      </c>
      <c r="AE1959">
        <v>-4.8220000000000001</v>
      </c>
      <c r="AF1959">
        <v>-5.2183521238024699</v>
      </c>
      <c r="AG1959">
        <v>-1.121484803078</v>
      </c>
      <c r="AH1959">
        <v>13.5587660876408</v>
      </c>
      <c r="AI1959">
        <v>94.414088053176201</v>
      </c>
      <c r="AJ1959">
        <v>111.050180911984</v>
      </c>
      <c r="AK1959">
        <v>14.571515531024399</v>
      </c>
      <c r="AL1959">
        <v>77.349541732723495</v>
      </c>
      <c r="AM1959">
        <v>99.669406529609304</v>
      </c>
      <c r="AN1959">
        <v>0.99999995261393804</v>
      </c>
    </row>
    <row r="1960" spans="1:40" x14ac:dyDescent="0.25">
      <c r="A1960" t="str">
        <f>"20190303162542491"</f>
        <v>20190303162542491</v>
      </c>
      <c r="B1960" t="str">
        <f>"1551601542484649"</f>
        <v>1551601542484649</v>
      </c>
      <c r="C1960" t="s">
        <v>40</v>
      </c>
      <c r="D1960">
        <v>4.967975</v>
      </c>
      <c r="E1960">
        <v>0.41174699999999997</v>
      </c>
      <c r="F1960" t="s">
        <v>46</v>
      </c>
      <c r="G1960">
        <v>-472.90690000000001</v>
      </c>
      <c r="H1960" s="1">
        <v>4.9231560000000002E-6</v>
      </c>
      <c r="I1960">
        <v>280.0197</v>
      </c>
      <c r="J1960">
        <v>-461.00259999999997</v>
      </c>
      <c r="K1960">
        <v>1.12148799999999</v>
      </c>
      <c r="L1960">
        <v>284.58969999999999</v>
      </c>
      <c r="M1960">
        <v>-0.99941749999999996</v>
      </c>
      <c r="N1960">
        <v>-1.415785E-2</v>
      </c>
      <c r="O1960">
        <v>3.1055180000000002E-2</v>
      </c>
      <c r="P1960">
        <v>-0.96816970000000002</v>
      </c>
      <c r="Q1960">
        <v>0.20495669999999999</v>
      </c>
      <c r="R1960">
        <v>-0.14366899999999999</v>
      </c>
      <c r="S1960">
        <v>-2.9981990000000001</v>
      </c>
      <c r="T1960">
        <v>-0.27540150000000002</v>
      </c>
      <c r="U1960">
        <v>-1.1199650000000001</v>
      </c>
      <c r="V1960">
        <v>-0.17368919999999999</v>
      </c>
      <c r="W1960">
        <v>0.21855830000000001</v>
      </c>
      <c r="X1960">
        <v>0.96024180000000003</v>
      </c>
      <c r="Y1960">
        <v>-0.37713570000000002</v>
      </c>
      <c r="Z1960">
        <v>-2.182015E-2</v>
      </c>
      <c r="AA1960">
        <v>0.92590090000000003</v>
      </c>
      <c r="AB1960">
        <v>29</v>
      </c>
      <c r="AC1960">
        <v>-11.904299999999999</v>
      </c>
      <c r="AD1960">
        <v>-1.1214830768439901</v>
      </c>
      <c r="AE1960">
        <v>-4.5699999999999896</v>
      </c>
      <c r="AF1960">
        <v>-4.8996228925132401</v>
      </c>
      <c r="AG1960">
        <v>-1.1214830768439901</v>
      </c>
      <c r="AH1960">
        <v>11.6663787688433</v>
      </c>
      <c r="AI1960">
        <v>95.0649114449416</v>
      </c>
      <c r="AJ1960">
        <v>112.781336188583</v>
      </c>
      <c r="AK1960">
        <v>12.703087119224399</v>
      </c>
      <c r="AL1960">
        <v>77.375630767088893</v>
      </c>
      <c r="AM1960">
        <v>100.252842473835</v>
      </c>
      <c r="AN1960">
        <v>0.99999999158138497</v>
      </c>
    </row>
    <row r="1961" spans="1:40" x14ac:dyDescent="0.25">
      <c r="A1961" t="str">
        <f>"20190303162542515"</f>
        <v>20190303162542515</v>
      </c>
      <c r="B1961" t="str">
        <f>"1551601542505146"</f>
        <v>1551601542505146</v>
      </c>
      <c r="C1961" t="s">
        <v>40</v>
      </c>
      <c r="D1961">
        <v>4.8610490000000004</v>
      </c>
      <c r="E1961">
        <v>0.41375030000000002</v>
      </c>
      <c r="F1961" t="s">
        <v>46</v>
      </c>
      <c r="G1961">
        <v>-472.23849999999999</v>
      </c>
      <c r="H1961" s="1">
        <v>5.2386080000000003E-6</v>
      </c>
      <c r="I1961">
        <v>280.23739999999998</v>
      </c>
      <c r="J1961">
        <v>-461.3075</v>
      </c>
      <c r="K1961">
        <v>1.1214839999999999</v>
      </c>
      <c r="L1961">
        <v>284.59910000000002</v>
      </c>
      <c r="M1961">
        <v>-0.99941959999999996</v>
      </c>
      <c r="N1961">
        <v>-1.415479E-2</v>
      </c>
      <c r="O1961">
        <v>3.0986179999999999E-2</v>
      </c>
      <c r="P1961">
        <v>-0.96707180000000004</v>
      </c>
      <c r="Q1961">
        <v>0.20418140000000001</v>
      </c>
      <c r="R1961">
        <v>-0.15192839999999999</v>
      </c>
      <c r="S1961">
        <v>-2.9899290000000001</v>
      </c>
      <c r="T1961">
        <v>-0.2984309</v>
      </c>
      <c r="U1961">
        <v>-1.1581729999999999</v>
      </c>
      <c r="V1961">
        <v>-0.18184349999999999</v>
      </c>
      <c r="W1961">
        <v>0.21776010000000001</v>
      </c>
      <c r="X1961">
        <v>0.95891269999999995</v>
      </c>
      <c r="Y1961">
        <v>-0.38788260000000002</v>
      </c>
      <c r="Z1961">
        <v>-2.4047969999999998E-2</v>
      </c>
      <c r="AA1961">
        <v>0.92139499999999996</v>
      </c>
      <c r="AB1961">
        <v>29</v>
      </c>
      <c r="AC1961">
        <v>-10.9309999999999</v>
      </c>
      <c r="AD1961">
        <v>-1.1214787613920001</v>
      </c>
      <c r="AE1961">
        <v>-4.3617000000000399</v>
      </c>
      <c r="AF1961">
        <v>-4.6560707797407304</v>
      </c>
      <c r="AG1961">
        <v>-1.1214787613920001</v>
      </c>
      <c r="AH1961">
        <v>10.693484673603701</v>
      </c>
      <c r="AI1961">
        <v>95.492420924008499</v>
      </c>
      <c r="AJ1961">
        <v>113.528883554435</v>
      </c>
      <c r="AK1961">
        <v>11.716967362880499</v>
      </c>
      <c r="AL1961">
        <v>77.422493678634893</v>
      </c>
      <c r="AM1961">
        <v>100.73778663076401</v>
      </c>
      <c r="AN1961">
        <v>1.00000004293277</v>
      </c>
    </row>
    <row r="1962" spans="1:40" x14ac:dyDescent="0.25">
      <c r="A1962" t="str">
        <f>"20190303162542553"</f>
        <v>20190303162542553</v>
      </c>
      <c r="B1962" t="str">
        <f>"1551601542545025"</f>
        <v>1551601542545025</v>
      </c>
      <c r="C1962" t="s">
        <v>40</v>
      </c>
      <c r="D1962">
        <v>4.7524089999999903</v>
      </c>
      <c r="E1962">
        <v>0.41929549999999999</v>
      </c>
      <c r="F1962" t="s">
        <v>46</v>
      </c>
      <c r="G1962">
        <v>-472.18430000000001</v>
      </c>
      <c r="H1962" s="1">
        <v>5.2730150000000004E-6</v>
      </c>
      <c r="I1962">
        <v>280.35590000000002</v>
      </c>
      <c r="J1962">
        <v>-461.79169999999999</v>
      </c>
      <c r="K1962">
        <v>1.1214710000000001</v>
      </c>
      <c r="L1962">
        <v>284.6139</v>
      </c>
      <c r="M1962">
        <v>-0.99942310000000001</v>
      </c>
      <c r="N1962">
        <v>-1.414958E-2</v>
      </c>
      <c r="O1962">
        <v>3.0875840000000002E-2</v>
      </c>
      <c r="P1962">
        <v>-0.96684689999999995</v>
      </c>
      <c r="Q1962">
        <v>0.20108110000000001</v>
      </c>
      <c r="R1962">
        <v>-0.1573967</v>
      </c>
      <c r="S1962">
        <v>-2.9842529999999998</v>
      </c>
      <c r="T1962">
        <v>-0.30769839999999998</v>
      </c>
      <c r="U1962">
        <v>-1.164215</v>
      </c>
      <c r="V1962">
        <v>-0.1871959</v>
      </c>
      <c r="W1962">
        <v>0.21464929999999999</v>
      </c>
      <c r="X1962">
        <v>0.95858410000000005</v>
      </c>
      <c r="Y1962">
        <v>-0.38985350000000002</v>
      </c>
      <c r="Z1962">
        <v>-2.4851649999999999E-2</v>
      </c>
      <c r="AA1962">
        <v>0.92054150000000001</v>
      </c>
      <c r="AB1962">
        <v>29</v>
      </c>
      <c r="AC1962">
        <v>-10.3926</v>
      </c>
      <c r="AD1962">
        <v>-1.1214657269849999</v>
      </c>
      <c r="AE1962">
        <v>-4.2579999999999796</v>
      </c>
      <c r="AF1962">
        <v>-4.5316971653602804</v>
      </c>
      <c r="AG1962">
        <v>-1.1214657269849999</v>
      </c>
      <c r="AH1962">
        <v>10.1549089243216</v>
      </c>
      <c r="AI1962">
        <v>95.758784528912699</v>
      </c>
      <c r="AJ1962">
        <v>114.04914266745401</v>
      </c>
      <c r="AK1962">
        <v>11.1765889177603</v>
      </c>
      <c r="AL1962">
        <v>77.605047326413001</v>
      </c>
      <c r="AM1962">
        <v>101.049870423388</v>
      </c>
      <c r="AN1962">
        <v>1.00000005187005</v>
      </c>
    </row>
    <row r="1963" spans="1:40" x14ac:dyDescent="0.25">
      <c r="A1963" t="str">
        <f>"20190303162542576"</f>
        <v>20190303162542576</v>
      </c>
      <c r="B1963" t="str">
        <f>"1551601542564545"</f>
        <v>1551601542564545</v>
      </c>
      <c r="C1963" t="s">
        <v>40</v>
      </c>
      <c r="D1963">
        <v>4.7118200000000003</v>
      </c>
      <c r="E1963">
        <v>0.4216954</v>
      </c>
      <c r="F1963" t="s">
        <v>46</v>
      </c>
      <c r="G1963">
        <v>-472.04669999999999</v>
      </c>
      <c r="H1963" s="1">
        <v>5.366177E-6</v>
      </c>
      <c r="I1963">
        <v>280.72370000000001</v>
      </c>
      <c r="J1963">
        <v>-462.08010000000002</v>
      </c>
      <c r="K1963">
        <v>1.121451</v>
      </c>
      <c r="L1963">
        <v>284.62270000000001</v>
      </c>
      <c r="M1963">
        <v>-0.99942520000000001</v>
      </c>
      <c r="N1963">
        <v>-1.4146590000000001E-2</v>
      </c>
      <c r="O1963">
        <v>3.0810009999999999E-2</v>
      </c>
      <c r="P1963">
        <v>-0.96720530000000005</v>
      </c>
      <c r="Q1963">
        <v>0.1992063</v>
      </c>
      <c r="R1963">
        <v>-0.15757789999999999</v>
      </c>
      <c r="S1963">
        <v>-2.9863590000000002</v>
      </c>
      <c r="T1963">
        <v>-0.32658350000000003</v>
      </c>
      <c r="U1963">
        <v>-1.1328739999999999</v>
      </c>
      <c r="V1963">
        <v>-0.1873243</v>
      </c>
      <c r="W1963">
        <v>0.2127772</v>
      </c>
      <c r="X1963">
        <v>0.9589763</v>
      </c>
      <c r="Y1963">
        <v>-0.38092680000000001</v>
      </c>
      <c r="Z1963">
        <v>-2.569987E-2</v>
      </c>
      <c r="AA1963">
        <v>0.92424799999999996</v>
      </c>
      <c r="AB1963">
        <v>29</v>
      </c>
      <c r="AC1963">
        <v>-9.9665999999999695</v>
      </c>
      <c r="AD1963">
        <v>-1.1214456338230001</v>
      </c>
      <c r="AE1963">
        <v>-3.899</v>
      </c>
      <c r="AF1963">
        <v>-4.1585875381231201</v>
      </c>
      <c r="AG1963">
        <v>-1.1214456338230001</v>
      </c>
      <c r="AH1963">
        <v>9.73483514963152</v>
      </c>
      <c r="AI1963">
        <v>96.047237786603603</v>
      </c>
      <c r="AJ1963">
        <v>113.13150634001001</v>
      </c>
      <c r="AK1963">
        <v>10.645116533526201</v>
      </c>
      <c r="AL1963">
        <v>77.714847360080597</v>
      </c>
      <c r="AM1963">
        <v>101.052852146973</v>
      </c>
      <c r="AN1963">
        <v>1.000000037086</v>
      </c>
    </row>
    <row r="1964" spans="1:40" x14ac:dyDescent="0.25">
      <c r="A1964" t="str">
        <f>"20190303162542602"</f>
        <v>20190303162542602</v>
      </c>
      <c r="B1964" t="str">
        <f>"1551601542595777"</f>
        <v>1551601542595777</v>
      </c>
      <c r="C1964" t="s">
        <v>40</v>
      </c>
      <c r="D1964">
        <v>4.6864019999999904</v>
      </c>
      <c r="E1964">
        <v>0.42491190000000001</v>
      </c>
      <c r="F1964" t="s">
        <v>46</v>
      </c>
      <c r="G1964">
        <v>-472.19060000000002</v>
      </c>
      <c r="H1964" s="1">
        <v>5.3144819999999996E-6</v>
      </c>
      <c r="I1964">
        <v>280.86219999999997</v>
      </c>
      <c r="J1964">
        <v>-462.42320000000001</v>
      </c>
      <c r="K1964">
        <v>1.1214409999999999</v>
      </c>
      <c r="L1964">
        <v>284.63319999999999</v>
      </c>
      <c r="M1964">
        <v>-0.99942770000000003</v>
      </c>
      <c r="N1964">
        <v>-1.4143040000000001E-2</v>
      </c>
      <c r="O1964">
        <v>3.073184E-2</v>
      </c>
      <c r="P1964">
        <v>-0.96804349999999995</v>
      </c>
      <c r="Q1964">
        <v>0.1966531</v>
      </c>
      <c r="R1964">
        <v>-0.1556255</v>
      </c>
      <c r="S1964">
        <v>-2.9888919999999999</v>
      </c>
      <c r="T1964">
        <v>-0.3315263</v>
      </c>
      <c r="U1964">
        <v>-1.111694</v>
      </c>
      <c r="V1964">
        <v>-0.1853233</v>
      </c>
      <c r="W1964">
        <v>0.21023439999999999</v>
      </c>
      <c r="X1964">
        <v>0.95992540000000004</v>
      </c>
      <c r="Y1964">
        <v>-0.3748128</v>
      </c>
      <c r="Z1964">
        <v>-2.567709E-2</v>
      </c>
      <c r="AA1964">
        <v>0.92674489999999998</v>
      </c>
      <c r="AB1964">
        <v>29</v>
      </c>
      <c r="AC1964">
        <v>-9.7674000000000092</v>
      </c>
      <c r="AD1964">
        <v>-1.1214356855180001</v>
      </c>
      <c r="AE1964">
        <v>-3.7710000000000101</v>
      </c>
      <c r="AF1964">
        <v>-4.0232627356906203</v>
      </c>
      <c r="AG1964">
        <v>-1.1214356855180001</v>
      </c>
      <c r="AH1964">
        <v>9.5374679642043798</v>
      </c>
      <c r="AI1964">
        <v>96.183160474676001</v>
      </c>
      <c r="AJ1964">
        <v>112.87184677696</v>
      </c>
      <c r="AK1964">
        <v>10.411894938260501</v>
      </c>
      <c r="AL1964">
        <v>77.863910979734797</v>
      </c>
      <c r="AM1964">
        <v>100.927093955405</v>
      </c>
      <c r="AN1964">
        <v>1.0000000010157</v>
      </c>
    </row>
    <row r="1965" spans="1:40" x14ac:dyDescent="0.25">
      <c r="A1965" t="str">
        <f>"20190303162542620"</f>
        <v>20190303162542620</v>
      </c>
      <c r="B1965" t="str">
        <f>"1551601542615296"</f>
        <v>1551601542615296</v>
      </c>
      <c r="C1965" t="s">
        <v>40</v>
      </c>
      <c r="D1965">
        <v>4.6372289999999996</v>
      </c>
      <c r="E1965">
        <v>0.42659580000000002</v>
      </c>
      <c r="F1965" t="s">
        <v>46</v>
      </c>
      <c r="G1965">
        <v>-472.27789999999999</v>
      </c>
      <c r="H1965" s="1">
        <v>5.2955420000000003E-6</v>
      </c>
      <c r="I1965">
        <v>281.0883</v>
      </c>
      <c r="J1965">
        <v>-462.64269999999999</v>
      </c>
      <c r="K1965">
        <v>1.1214379999999999</v>
      </c>
      <c r="L1965">
        <v>284.63990000000001</v>
      </c>
      <c r="M1965">
        <v>-0.99942920000000002</v>
      </c>
      <c r="N1965">
        <v>-1.4140700000000001E-2</v>
      </c>
      <c r="O1965">
        <v>3.068208E-2</v>
      </c>
      <c r="P1965">
        <v>-0.96871949999999996</v>
      </c>
      <c r="Q1965">
        <v>0.19542670000000001</v>
      </c>
      <c r="R1965">
        <v>-0.15294150000000001</v>
      </c>
      <c r="S1965">
        <v>-2.9950559999999999</v>
      </c>
      <c r="T1965">
        <v>-0.34083059999999998</v>
      </c>
      <c r="U1965">
        <v>-1.077393</v>
      </c>
      <c r="V1965">
        <v>-0.18261340000000001</v>
      </c>
      <c r="W1965">
        <v>0.2090166</v>
      </c>
      <c r="X1965">
        <v>0.96071030000000002</v>
      </c>
      <c r="Y1965">
        <v>-0.36469170000000001</v>
      </c>
      <c r="Z1965">
        <v>-2.5686279999999999E-2</v>
      </c>
      <c r="AA1965">
        <v>0.93077399999999999</v>
      </c>
      <c r="AB1965">
        <v>28</v>
      </c>
      <c r="AC1965">
        <v>-9.6351999999999904</v>
      </c>
      <c r="AD1965">
        <v>-1.1214327044579999</v>
      </c>
      <c r="AE1965">
        <v>-3.5516000000000001</v>
      </c>
      <c r="AF1965">
        <v>-3.8002630202752798</v>
      </c>
      <c r="AG1965">
        <v>-1.1214327044579999</v>
      </c>
      <c r="AH1965">
        <v>9.4094638491252098</v>
      </c>
      <c r="AI1965">
        <v>96.306098904136107</v>
      </c>
      <c r="AJ1965">
        <v>111.992633670586</v>
      </c>
      <c r="AK1965">
        <v>10.209682671948899</v>
      </c>
      <c r="AL1965">
        <v>77.935270498993404</v>
      </c>
      <c r="AM1965">
        <v>100.762482280184</v>
      </c>
      <c r="AN1965">
        <v>0.99999993673060295</v>
      </c>
    </row>
    <row r="1966" spans="1:40" x14ac:dyDescent="0.25">
      <c r="A1966" t="str">
        <f>"20190303162542644"</f>
        <v>20190303162542644</v>
      </c>
      <c r="B1966" t="str">
        <f>"1551601542634818"</f>
        <v>1551601542634818</v>
      </c>
      <c r="C1966" t="s">
        <v>40</v>
      </c>
      <c r="D1966">
        <v>4.6263069999999997</v>
      </c>
      <c r="E1966">
        <v>0.42797010000000002</v>
      </c>
      <c r="F1966" t="s">
        <v>46</v>
      </c>
      <c r="G1966">
        <v>-472.50790000000001</v>
      </c>
      <c r="H1966" s="1">
        <v>5.2004799999999999E-6</v>
      </c>
      <c r="I1966">
        <v>281.1678</v>
      </c>
      <c r="J1966">
        <v>-462.95589999999999</v>
      </c>
      <c r="K1966">
        <v>1.12144</v>
      </c>
      <c r="L1966">
        <v>284.64940000000001</v>
      </c>
      <c r="M1966">
        <v>-0.99943159999999998</v>
      </c>
      <c r="N1966">
        <v>-1.413731E-2</v>
      </c>
      <c r="O1966">
        <v>3.0610229999999999E-2</v>
      </c>
      <c r="P1966">
        <v>-0.96932289999999999</v>
      </c>
      <c r="Q1966">
        <v>0.1949256</v>
      </c>
      <c r="R1966">
        <v>-0.14972469999999999</v>
      </c>
      <c r="S1966">
        <v>-2.998993</v>
      </c>
      <c r="T1966">
        <v>-0.34091329999999997</v>
      </c>
      <c r="U1966">
        <v>-1.0555110000000001</v>
      </c>
      <c r="V1966">
        <v>-0.17934710000000001</v>
      </c>
      <c r="W1966">
        <v>0.20852270000000001</v>
      </c>
      <c r="X1966">
        <v>0.96143279999999998</v>
      </c>
      <c r="Y1966">
        <v>-0.35823899999999997</v>
      </c>
      <c r="Z1966">
        <v>-2.5277319999999999E-2</v>
      </c>
      <c r="AA1966">
        <v>0.93328770000000005</v>
      </c>
      <c r="AB1966">
        <v>28</v>
      </c>
      <c r="AC1966">
        <v>-9.5520000000000191</v>
      </c>
      <c r="AD1966">
        <v>-1.12143479952</v>
      </c>
      <c r="AE1966">
        <v>-3.48160000000001</v>
      </c>
      <c r="AF1966">
        <v>-3.727039113265</v>
      </c>
      <c r="AG1966">
        <v>-1.12143479952</v>
      </c>
      <c r="AH1966">
        <v>9.3274520086304094</v>
      </c>
      <c r="AI1966">
        <v>96.370493713896295</v>
      </c>
      <c r="AJ1966">
        <v>111.78053348206799</v>
      </c>
      <c r="AK1966">
        <v>10.1069183005842</v>
      </c>
      <c r="AL1966">
        <v>77.964208048297294</v>
      </c>
      <c r="AM1966">
        <v>100.56659225454401</v>
      </c>
      <c r="AN1966">
        <v>1.0000000638047599</v>
      </c>
    </row>
    <row r="1967" spans="1:40" x14ac:dyDescent="0.25">
      <c r="A1967" t="str">
        <f>"20190303162542666"</f>
        <v>20190303162542666</v>
      </c>
      <c r="B1967" t="str">
        <f>"1551601542655313"</f>
        <v>1551601542655313</v>
      </c>
      <c r="C1967" t="s">
        <v>40</v>
      </c>
      <c r="D1967">
        <v>4.5596649999999999</v>
      </c>
      <c r="E1967">
        <v>0.42900300000000002</v>
      </c>
      <c r="F1967" t="s">
        <v>46</v>
      </c>
      <c r="G1967">
        <v>-472.87990000000002</v>
      </c>
      <c r="H1967" s="1">
        <v>5.0408899999999996E-6</v>
      </c>
      <c r="I1967">
        <v>281.22919999999999</v>
      </c>
      <c r="J1967">
        <v>-463.2253</v>
      </c>
      <c r="K1967">
        <v>1.1214379999999999</v>
      </c>
      <c r="L1967">
        <v>284.6576</v>
      </c>
      <c r="M1967">
        <v>-0.99943340000000003</v>
      </c>
      <c r="N1967">
        <v>-1.41344E-2</v>
      </c>
      <c r="O1967">
        <v>3.0548869999999999E-2</v>
      </c>
      <c r="P1967">
        <v>-0.96986899999999998</v>
      </c>
      <c r="Q1967">
        <v>0.1934111</v>
      </c>
      <c r="R1967">
        <v>-0.148143</v>
      </c>
      <c r="S1967">
        <v>-3.0032960000000002</v>
      </c>
      <c r="T1967">
        <v>-0.33938040000000003</v>
      </c>
      <c r="U1967">
        <v>-1.035034</v>
      </c>
      <c r="V1967">
        <v>-0.17772349999999901</v>
      </c>
      <c r="W1967">
        <v>0.20701430000000001</v>
      </c>
      <c r="X1967">
        <v>0.96206000000000003</v>
      </c>
      <c r="Y1967">
        <v>-0.35214079999999998</v>
      </c>
      <c r="Z1967">
        <v>-2.4779800000000001E-2</v>
      </c>
      <c r="AA1967">
        <v>0.93561890000000003</v>
      </c>
      <c r="AB1967">
        <v>28</v>
      </c>
      <c r="AC1967">
        <v>-9.6546000000000092</v>
      </c>
      <c r="AD1967">
        <v>-1.1214329591099901</v>
      </c>
      <c r="AE1967">
        <v>-3.4284000000000101</v>
      </c>
      <c r="AF1967">
        <v>-3.6777027447889101</v>
      </c>
      <c r="AG1967">
        <v>-1.1214329591099901</v>
      </c>
      <c r="AH1967">
        <v>9.4323378972389804</v>
      </c>
      <c r="AI1967">
        <v>96.320897972088702</v>
      </c>
      <c r="AJ1967">
        <v>111.300990612164</v>
      </c>
      <c r="AK1967">
        <v>10.185877849674799</v>
      </c>
      <c r="AL1967">
        <v>78.052560308421405</v>
      </c>
      <c r="AM1967">
        <v>100.46638367213301</v>
      </c>
      <c r="AN1967">
        <v>1.00000000322837</v>
      </c>
    </row>
    <row r="1968" spans="1:40" x14ac:dyDescent="0.25">
      <c r="A1968" t="str">
        <f>"20190303162542699"</f>
        <v>20190303162542699</v>
      </c>
      <c r="B1968" t="str">
        <f>"1551601542684592"</f>
        <v>1551601542684592</v>
      </c>
      <c r="C1968" t="s">
        <v>40</v>
      </c>
      <c r="D1968">
        <v>4.479495</v>
      </c>
      <c r="E1968">
        <v>0.4301682</v>
      </c>
      <c r="F1968" t="s">
        <v>46</v>
      </c>
      <c r="G1968">
        <v>-473.12520000000001</v>
      </c>
      <c r="H1968" s="1">
        <v>4.9376419999999998E-6</v>
      </c>
      <c r="I1968">
        <v>281.29239999999999</v>
      </c>
      <c r="J1968">
        <v>-463.63799999999998</v>
      </c>
      <c r="K1968">
        <v>1.1214309999999901</v>
      </c>
      <c r="L1968">
        <v>284.67</v>
      </c>
      <c r="M1968">
        <v>-0.99943630000000006</v>
      </c>
      <c r="N1968">
        <v>-1.4129900000000001E-2</v>
      </c>
      <c r="O1968">
        <v>3.0454620000000002E-2</v>
      </c>
      <c r="P1968">
        <v>-0.97039739999999997</v>
      </c>
      <c r="Q1968">
        <v>0.19175539999999999</v>
      </c>
      <c r="R1968">
        <v>-0.14682979999999901</v>
      </c>
      <c r="S1968">
        <v>-3.005096</v>
      </c>
      <c r="T1968">
        <v>-0.34041189999999999</v>
      </c>
      <c r="U1968">
        <v>-1.021515</v>
      </c>
      <c r="V1968">
        <v>-0.17633589999999999</v>
      </c>
      <c r="W1968">
        <v>0.20536299999999999</v>
      </c>
      <c r="X1968">
        <v>0.96266910000000006</v>
      </c>
      <c r="Y1968">
        <v>-0.3481205</v>
      </c>
      <c r="Z1968">
        <v>-2.4589340000000001E-2</v>
      </c>
      <c r="AA1968">
        <v>0.9371273</v>
      </c>
      <c r="AB1968">
        <v>28</v>
      </c>
      <c r="AC1968">
        <v>-9.4871999999999694</v>
      </c>
      <c r="AD1968">
        <v>-1.1214260623579999</v>
      </c>
      <c r="AE1968">
        <v>-3.3776000000000201</v>
      </c>
      <c r="AF1968">
        <v>-3.6200999249199302</v>
      </c>
      <c r="AG1968">
        <v>-1.1214260623579999</v>
      </c>
      <c r="AH1968">
        <v>9.2650338361077296</v>
      </c>
      <c r="AI1968">
        <v>96.432270726019595</v>
      </c>
      <c r="AJ1968">
        <v>111.34193522194499</v>
      </c>
      <c r="AK1968">
        <v>10.0101734182761</v>
      </c>
      <c r="AL1968">
        <v>78.149251102607494</v>
      </c>
      <c r="AM1968">
        <v>100.38002243728999</v>
      </c>
      <c r="AN1968">
        <v>1.0000000537463001</v>
      </c>
    </row>
    <row r="1969" spans="1:40" x14ac:dyDescent="0.25">
      <c r="A1969" t="str">
        <f>"20190303162542724"</f>
        <v>20190303162542724</v>
      </c>
      <c r="B1969" t="str">
        <f>"1551601542714849"</f>
        <v>1551601542714849</v>
      </c>
      <c r="C1969" t="s">
        <v>40</v>
      </c>
      <c r="D1969">
        <v>4.4233419999999999</v>
      </c>
      <c r="E1969">
        <v>0.43092589999999997</v>
      </c>
      <c r="F1969" t="s">
        <v>46</v>
      </c>
      <c r="G1969">
        <v>-473.55399999999997</v>
      </c>
      <c r="H1969" s="1">
        <v>4.7521709999999998E-6</v>
      </c>
      <c r="I1969">
        <v>281.346</v>
      </c>
      <c r="J1969">
        <v>-463.97120000000001</v>
      </c>
      <c r="K1969">
        <v>1.121432</v>
      </c>
      <c r="L1969">
        <v>284.68009999999998</v>
      </c>
      <c r="M1969">
        <v>-0.99943879999999996</v>
      </c>
      <c r="N1969">
        <v>-1.412625E-2</v>
      </c>
      <c r="O1969">
        <v>3.037747E-2</v>
      </c>
      <c r="P1969">
        <v>-0.9704081</v>
      </c>
      <c r="Q1969">
        <v>0.19185659999999999</v>
      </c>
      <c r="R1969">
        <v>-0.14662709999999901</v>
      </c>
      <c r="S1969">
        <v>-3.0062259999999998</v>
      </c>
      <c r="T1969">
        <v>-0.33998260000000002</v>
      </c>
      <c r="U1969">
        <v>-1.0077510000000001</v>
      </c>
      <c r="V1969">
        <v>-0.17605850000000001</v>
      </c>
      <c r="W1969">
        <v>0.20546149999999999</v>
      </c>
      <c r="X1969">
        <v>0.96269879999999997</v>
      </c>
      <c r="Y1969">
        <v>-0.34411629999999999</v>
      </c>
      <c r="Z1969">
        <v>-2.4310109999999999E-2</v>
      </c>
      <c r="AA1969">
        <v>0.93861229999999995</v>
      </c>
      <c r="AB1969">
        <v>28</v>
      </c>
      <c r="AC1969">
        <v>-9.5828000000000095</v>
      </c>
      <c r="AD1969">
        <v>-1.1214272478289999</v>
      </c>
      <c r="AE1969">
        <v>-3.3340999999999701</v>
      </c>
      <c r="AF1969">
        <v>-3.5799582067898599</v>
      </c>
      <c r="AG1969">
        <v>-1.1214272478289999</v>
      </c>
      <c r="AH1969">
        <v>9.3627094957738599</v>
      </c>
      <c r="AI1969">
        <v>96.383508824393402</v>
      </c>
      <c r="AJ1969">
        <v>110.92502867251601</v>
      </c>
      <c r="AK1969">
        <v>10.0863288136362</v>
      </c>
      <c r="AL1969">
        <v>78.143483870013895</v>
      </c>
      <c r="AM1969">
        <v>100.36373460016701</v>
      </c>
      <c r="AN1969">
        <v>1.00000000146297</v>
      </c>
    </row>
    <row r="1970" spans="1:40" x14ac:dyDescent="0.25">
      <c r="A1970" t="str">
        <f>"20190303162542744"</f>
        <v>20190303162542744</v>
      </c>
      <c r="B1970" t="str">
        <f>"1551601542735345"</f>
        <v>1551601542735345</v>
      </c>
      <c r="C1970" t="s">
        <v>40</v>
      </c>
      <c r="D1970">
        <v>4.4570160000000003</v>
      </c>
      <c r="E1970">
        <v>0.43135390000000001</v>
      </c>
      <c r="F1970" t="s">
        <v>46</v>
      </c>
      <c r="G1970">
        <v>-474.08550000000002</v>
      </c>
      <c r="H1970" s="1">
        <v>4.5136399999999997E-6</v>
      </c>
      <c r="I1970">
        <v>281.31369999999998</v>
      </c>
      <c r="J1970">
        <v>-464.21190000000001</v>
      </c>
      <c r="K1970">
        <v>1.121437</v>
      </c>
      <c r="L1970">
        <v>284.68729999999999</v>
      </c>
      <c r="M1970">
        <v>-0.99944049999999995</v>
      </c>
      <c r="N1970">
        <v>-1.412363E-2</v>
      </c>
      <c r="O1970">
        <v>3.0322060000000001E-2</v>
      </c>
      <c r="P1970">
        <v>-0.97002770000000005</v>
      </c>
      <c r="Q1970">
        <v>0.1924157</v>
      </c>
      <c r="R1970">
        <v>-0.14839910000000001</v>
      </c>
      <c r="S1970">
        <v>-3.006195</v>
      </c>
      <c r="T1970">
        <v>-0.33331309999999997</v>
      </c>
      <c r="U1970">
        <v>-1.00058</v>
      </c>
      <c r="V1970">
        <v>-0.17776459999999999</v>
      </c>
      <c r="W1970">
        <v>0.20601169999999999</v>
      </c>
      <c r="X1970">
        <v>0.9622676</v>
      </c>
      <c r="Y1970">
        <v>-0.34215060000000003</v>
      </c>
      <c r="Z1970">
        <v>-2.3757710000000001E-2</v>
      </c>
      <c r="AA1970">
        <v>0.93934470000000003</v>
      </c>
      <c r="AB1970">
        <v>28</v>
      </c>
      <c r="AC1970">
        <v>-9.8736000000000104</v>
      </c>
      <c r="AD1970">
        <v>-1.12143248636</v>
      </c>
      <c r="AE1970">
        <v>-3.3736000000000099</v>
      </c>
      <c r="AF1970">
        <v>-3.6295392524288501</v>
      </c>
      <c r="AG1970">
        <v>-1.12143248636</v>
      </c>
      <c r="AH1970">
        <v>9.6552212596916593</v>
      </c>
      <c r="AI1970">
        <v>96.204816689555798</v>
      </c>
      <c r="AJ1970">
        <v>110.601976706171</v>
      </c>
      <c r="AK1970">
        <v>10.3756668980835</v>
      </c>
      <c r="AL1970">
        <v>78.111270634320704</v>
      </c>
      <c r="AM1970">
        <v>100.466541986566</v>
      </c>
      <c r="AN1970">
        <v>1.0000000037798999</v>
      </c>
    </row>
    <row r="1971" spans="1:40" x14ac:dyDescent="0.25">
      <c r="A1971" t="str">
        <f>"20190303162542770"</f>
        <v>20190303162542770</v>
      </c>
      <c r="B1971" t="str">
        <f>"1551601542764625"</f>
        <v>1551601542764625</v>
      </c>
      <c r="C1971" t="s">
        <v>40</v>
      </c>
      <c r="D1971">
        <v>4.4930810000000001</v>
      </c>
      <c r="E1971">
        <v>0.4318786</v>
      </c>
      <c r="F1971" t="s">
        <v>46</v>
      </c>
      <c r="G1971">
        <v>-474.49520000000001</v>
      </c>
      <c r="H1971" s="1">
        <v>4.3270350000000002E-6</v>
      </c>
      <c r="I1971">
        <v>281.25729999999999</v>
      </c>
      <c r="J1971">
        <v>-464.5471</v>
      </c>
      <c r="K1971">
        <v>1.121434</v>
      </c>
      <c r="L1971">
        <v>284.69740000000002</v>
      </c>
      <c r="M1971">
        <v>-0.99944290000000002</v>
      </c>
      <c r="N1971">
        <v>-1.4119929999999999E-2</v>
      </c>
      <c r="O1971">
        <v>3.0240400000000001E-2</v>
      </c>
      <c r="P1971">
        <v>-0.96960849999999998</v>
      </c>
      <c r="Q1971">
        <v>0.19265309999999999</v>
      </c>
      <c r="R1971">
        <v>-0.15081320000000001</v>
      </c>
      <c r="S1971">
        <v>-3.0043950000000001</v>
      </c>
      <c r="T1971">
        <v>-0.32764009999999999</v>
      </c>
      <c r="U1971">
        <v>-1.0021359999999999</v>
      </c>
      <c r="V1971">
        <v>-0.1800872</v>
      </c>
      <c r="W1971">
        <v>0.20623749999999999</v>
      </c>
      <c r="X1971">
        <v>0.96178719999999995</v>
      </c>
      <c r="Y1971">
        <v>-0.34274829999999901</v>
      </c>
      <c r="Z1971">
        <v>-2.342895E-2</v>
      </c>
      <c r="AA1971">
        <v>0.9391351</v>
      </c>
      <c r="AB1971">
        <v>28</v>
      </c>
      <c r="AC1971">
        <v>-9.9481000000000002</v>
      </c>
      <c r="AD1971">
        <v>-1.121429672965</v>
      </c>
      <c r="AE1971">
        <v>-3.4401000000000201</v>
      </c>
      <c r="AF1971">
        <v>-3.6974239287942101</v>
      </c>
      <c r="AG1971">
        <v>-1.121429672965</v>
      </c>
      <c r="AH1971">
        <v>9.7290807660708403</v>
      </c>
      <c r="AI1971">
        <v>96.149731653201499</v>
      </c>
      <c r="AJ1971">
        <v>110.808711683502</v>
      </c>
      <c r="AK1971">
        <v>10.468216694994201</v>
      </c>
      <c r="AL1971">
        <v>78.098048825792105</v>
      </c>
      <c r="AM1971">
        <v>100.605388214933</v>
      </c>
      <c r="AN1971">
        <v>0.99999996204696395</v>
      </c>
    </row>
    <row r="1972" spans="1:40" x14ac:dyDescent="0.25">
      <c r="A1972" t="str">
        <f>"20190303162542790"</f>
        <v>20190303162542790</v>
      </c>
      <c r="B1972" t="str">
        <f>"1551601542785121"</f>
        <v>1551601542785121</v>
      </c>
      <c r="C1972" t="s">
        <v>40</v>
      </c>
      <c r="D1972">
        <v>4.3987360000000004</v>
      </c>
      <c r="E1972">
        <v>0.43225710000000001</v>
      </c>
      <c r="F1972" t="s">
        <v>46</v>
      </c>
      <c r="G1972">
        <v>-475.00850000000003</v>
      </c>
      <c r="H1972" s="1">
        <v>4.0941299999999999E-6</v>
      </c>
      <c r="I1972">
        <v>281.19709999999998</v>
      </c>
      <c r="J1972">
        <v>-464.80110000000002</v>
      </c>
      <c r="K1972">
        <v>1.1214360000000001</v>
      </c>
      <c r="L1972">
        <v>284.70499999999998</v>
      </c>
      <c r="M1972">
        <v>-0.99944520000000003</v>
      </c>
      <c r="N1972">
        <v>-1.411712E-2</v>
      </c>
      <c r="O1972">
        <v>3.0166040000000002E-2</v>
      </c>
      <c r="P1972">
        <v>-0.96951940000000003</v>
      </c>
      <c r="Q1972">
        <v>0.19135269999999999</v>
      </c>
      <c r="R1972">
        <v>-0.15302279999999999</v>
      </c>
      <c r="S1972">
        <v>-3.0017399999999999</v>
      </c>
      <c r="T1972">
        <v>-0.32177559999999999</v>
      </c>
      <c r="U1972">
        <v>-1.0043329999999999</v>
      </c>
      <c r="V1972">
        <v>-0.18222459999999999</v>
      </c>
      <c r="W1972">
        <v>0.20492949999999999</v>
      </c>
      <c r="X1972">
        <v>0.96166419999999997</v>
      </c>
      <c r="Y1972">
        <v>-0.343613</v>
      </c>
      <c r="Z1972">
        <v>-2.310825E-2</v>
      </c>
      <c r="AA1972">
        <v>0.93882699999999997</v>
      </c>
      <c r="AB1972">
        <v>28</v>
      </c>
      <c r="AC1972">
        <v>-10.2074</v>
      </c>
      <c r="AD1972">
        <v>-1.12143190587</v>
      </c>
      <c r="AE1972">
        <v>-3.5078999999999998</v>
      </c>
      <c r="AF1972">
        <v>-3.7735146679263898</v>
      </c>
      <c r="AG1972">
        <v>-1.12143190587</v>
      </c>
      <c r="AH1972">
        <v>9.9890888196917906</v>
      </c>
      <c r="AI1972">
        <v>95.995334409325807</v>
      </c>
      <c r="AJ1972">
        <v>110.694742440441</v>
      </c>
      <c r="AK1972">
        <v>10.7368020339508</v>
      </c>
      <c r="AL1972">
        <v>78.174627552404701</v>
      </c>
      <c r="AM1972">
        <v>100.729695624551</v>
      </c>
      <c r="AN1972">
        <v>0.99999996918852396</v>
      </c>
    </row>
    <row r="1973" spans="1:40" x14ac:dyDescent="0.25">
      <c r="A1973" t="str">
        <f>"20190303162542813"</f>
        <v>20190303162542813</v>
      </c>
      <c r="B1973" t="str">
        <f>"1551601542804642"</f>
        <v>1551601542804642</v>
      </c>
      <c r="C1973" t="s">
        <v>40</v>
      </c>
      <c r="D1973">
        <v>4.4139989999999996</v>
      </c>
      <c r="E1973">
        <v>0.43251220000000001</v>
      </c>
      <c r="F1973" t="s">
        <v>46</v>
      </c>
      <c r="G1973">
        <v>-475.21230000000003</v>
      </c>
      <c r="H1973" s="1">
        <v>4.0051059999999997E-6</v>
      </c>
      <c r="I1973">
        <v>281.2124</v>
      </c>
      <c r="J1973">
        <v>-465.08249999999998</v>
      </c>
      <c r="K1973">
        <v>1.121448</v>
      </c>
      <c r="L1973">
        <v>284.7133</v>
      </c>
      <c r="M1973">
        <v>-0.99944869999999997</v>
      </c>
      <c r="N1973">
        <v>-1.411404E-2</v>
      </c>
      <c r="O1973">
        <v>3.0054239999999999E-2</v>
      </c>
      <c r="P1973">
        <v>-0.96972510000000001</v>
      </c>
      <c r="Q1973">
        <v>0.1883484</v>
      </c>
      <c r="R1973">
        <v>-0.1554305</v>
      </c>
      <c r="S1973">
        <v>-2.999298</v>
      </c>
      <c r="T1973">
        <v>-0.323069</v>
      </c>
      <c r="U1973">
        <v>-1.006165</v>
      </c>
      <c r="V1973">
        <v>-0.1845377</v>
      </c>
      <c r="W1973">
        <v>0.20191629999999999</v>
      </c>
      <c r="X1973">
        <v>0.96186050000000001</v>
      </c>
      <c r="Y1973">
        <v>-0.3442308</v>
      </c>
      <c r="Z1973">
        <v>-2.3233150000000001E-2</v>
      </c>
      <c r="AA1973">
        <v>0.93859760000000003</v>
      </c>
      <c r="AB1973">
        <v>28</v>
      </c>
      <c r="AC1973">
        <v>-10.129799999999999</v>
      </c>
      <c r="AD1973">
        <v>-1.121443994894</v>
      </c>
      <c r="AE1973">
        <v>-3.5009000000000001</v>
      </c>
      <c r="AF1973">
        <v>-3.76259743593429</v>
      </c>
      <c r="AG1973">
        <v>-1.121443994894</v>
      </c>
      <c r="AH1973">
        <v>9.9114806509648208</v>
      </c>
      <c r="AI1973">
        <v>96.038311038116106</v>
      </c>
      <c r="AJ1973">
        <v>110.787769266441</v>
      </c>
      <c r="AK1973">
        <v>10.6607797460145</v>
      </c>
      <c r="AL1973">
        <v>78.350958404962896</v>
      </c>
      <c r="AM1973">
        <v>100.860509954485</v>
      </c>
      <c r="AN1973">
        <v>0.99999998819361402</v>
      </c>
    </row>
    <row r="1974" spans="1:40" x14ac:dyDescent="0.25">
      <c r="A1974" t="str">
        <f>"20190303162542837"</f>
        <v>20190303162542837</v>
      </c>
      <c r="B1974" t="str">
        <f>"1551601542825137"</f>
        <v>1551601542825137</v>
      </c>
      <c r="C1974" t="s">
        <v>40</v>
      </c>
      <c r="D1974">
        <v>4.4490669999999897</v>
      </c>
      <c r="E1974">
        <v>0.43280089999999999</v>
      </c>
      <c r="F1974" t="s">
        <v>46</v>
      </c>
      <c r="G1974">
        <v>-475.2466</v>
      </c>
      <c r="H1974" s="1">
        <v>3.996568E-6</v>
      </c>
      <c r="I1974">
        <v>281.28879999999998</v>
      </c>
      <c r="J1974">
        <v>-465.38850000000002</v>
      </c>
      <c r="K1974">
        <v>1.12148</v>
      </c>
      <c r="L1974">
        <v>284.72239999999999</v>
      </c>
      <c r="M1974">
        <v>-0.99945439999999997</v>
      </c>
      <c r="N1974">
        <v>-1.411075E-2</v>
      </c>
      <c r="O1974">
        <v>2.9864060000000001E-2</v>
      </c>
      <c r="P1974">
        <v>-0.96976459999999998</v>
      </c>
      <c r="Q1974">
        <v>0.1861198</v>
      </c>
      <c r="R1974">
        <v>-0.1578492</v>
      </c>
      <c r="S1974">
        <v>-2.9960330000000002</v>
      </c>
      <c r="T1974">
        <v>-0.33056269999999999</v>
      </c>
      <c r="U1974">
        <v>-1.0094299999999901</v>
      </c>
      <c r="V1974">
        <v>-0.18679270000000001</v>
      </c>
      <c r="W1974">
        <v>0.19966619999999999</v>
      </c>
      <c r="X1974">
        <v>0.9618949</v>
      </c>
      <c r="Y1974">
        <v>-0.3451747</v>
      </c>
      <c r="Z1974">
        <v>-2.3779600000000001E-2</v>
      </c>
      <c r="AA1974">
        <v>0.93823719999999999</v>
      </c>
      <c r="AB1974">
        <v>28</v>
      </c>
      <c r="AC1974">
        <v>-9.8580999999999808</v>
      </c>
      <c r="AD1974">
        <v>-1.1214760034319999</v>
      </c>
      <c r="AE1974">
        <v>-3.43360000000001</v>
      </c>
      <c r="AF1974">
        <v>-3.6839813540505699</v>
      </c>
      <c r="AG1974">
        <v>-1.1214760034319999</v>
      </c>
      <c r="AH1974">
        <v>9.6398908911882195</v>
      </c>
      <c r="AI1974">
        <v>96.202096112519698</v>
      </c>
      <c r="AJ1974">
        <v>110.914859783328</v>
      </c>
      <c r="AK1974">
        <v>10.380603230895501</v>
      </c>
      <c r="AL1974">
        <v>78.482559431144296</v>
      </c>
      <c r="AM1974">
        <v>100.98962641349</v>
      </c>
      <c r="AN1974">
        <v>0.99999995142086795</v>
      </c>
    </row>
    <row r="1975" spans="1:40" x14ac:dyDescent="0.25">
      <c r="A1975" t="str">
        <f>"20190303162542856"</f>
        <v>20190303162542856</v>
      </c>
      <c r="B1975" t="str">
        <f>"1551601542844658"</f>
        <v>1551601542844658</v>
      </c>
      <c r="C1975" t="s">
        <v>40</v>
      </c>
      <c r="D1975">
        <v>4.4853180000000004</v>
      </c>
      <c r="E1975">
        <v>0.43294680000000002</v>
      </c>
      <c r="F1975" t="s">
        <v>46</v>
      </c>
      <c r="G1975">
        <v>-475.40469999999999</v>
      </c>
      <c r="H1975" s="1">
        <v>3.9299469999999997E-6</v>
      </c>
      <c r="I1975">
        <v>281.3288</v>
      </c>
      <c r="J1975">
        <v>-465.62450000000001</v>
      </c>
      <c r="K1975">
        <v>1.1215379999999999</v>
      </c>
      <c r="L1975">
        <v>284.72919999999999</v>
      </c>
      <c r="M1975">
        <v>-0.9994615</v>
      </c>
      <c r="N1975">
        <v>-1.4108539999999999E-2</v>
      </c>
      <c r="O1975">
        <v>2.9624259999999999E-2</v>
      </c>
      <c r="P1975">
        <v>-0.96954810000000002</v>
      </c>
      <c r="Q1975">
        <v>0.1859605</v>
      </c>
      <c r="R1975">
        <v>-0.159359</v>
      </c>
      <c r="S1975">
        <v>-2.992737</v>
      </c>
      <c r="T1975">
        <v>-0.33508470000000001</v>
      </c>
      <c r="U1975">
        <v>-1.0139469999999999</v>
      </c>
      <c r="V1975">
        <v>-0.1880936</v>
      </c>
      <c r="W1975">
        <v>0.19947319999999999</v>
      </c>
      <c r="X1975">
        <v>0.96168149999999997</v>
      </c>
      <c r="Y1975">
        <v>-0.34646280000000002</v>
      </c>
      <c r="Z1975">
        <v>-2.4149400000000001E-2</v>
      </c>
      <c r="AA1975">
        <v>0.93775280000000005</v>
      </c>
      <c r="AB1975">
        <v>28</v>
      </c>
      <c r="AC1975">
        <v>-9.7801999999999794</v>
      </c>
      <c r="AD1975">
        <v>-1.1215340700530001</v>
      </c>
      <c r="AE1975">
        <v>-3.4003999999999901</v>
      </c>
      <c r="AF1975">
        <v>-3.6458939687565199</v>
      </c>
      <c r="AG1975">
        <v>-1.1215340700530001</v>
      </c>
      <c r="AH1975">
        <v>9.5629702572905195</v>
      </c>
      <c r="AI1975">
        <v>96.253789283820495</v>
      </c>
      <c r="AJ1975">
        <v>110.869408256444</v>
      </c>
      <c r="AK1975">
        <v>10.2956681008824</v>
      </c>
      <c r="AL1975">
        <v>78.493845491598606</v>
      </c>
      <c r="AM1975">
        <v>101.066674904099</v>
      </c>
      <c r="AN1975">
        <v>1.00000003366072</v>
      </c>
    </row>
    <row r="1976" spans="1:40" x14ac:dyDescent="0.25">
      <c r="A1976" t="str">
        <f>"20190303162542877"</f>
        <v>20190303162542877</v>
      </c>
      <c r="B1976" t="str">
        <f>"1551601542865153"</f>
        <v>1551601542865153</v>
      </c>
      <c r="C1976" t="s">
        <v>40</v>
      </c>
      <c r="D1976">
        <v>4.4934089999999998</v>
      </c>
      <c r="E1976">
        <v>0.45323750000000002</v>
      </c>
      <c r="F1976" t="s">
        <v>46</v>
      </c>
      <c r="G1976">
        <v>-475.67689999999999</v>
      </c>
      <c r="H1976" s="1">
        <v>3.8081509999999999E-6</v>
      </c>
      <c r="I1976">
        <v>281.31670000000003</v>
      </c>
      <c r="J1976">
        <v>-465.88850000000002</v>
      </c>
      <c r="K1976">
        <v>1.1216410000000001</v>
      </c>
      <c r="L1976">
        <v>284.73660000000001</v>
      </c>
      <c r="M1976">
        <v>-0.99947359999999996</v>
      </c>
      <c r="N1976">
        <v>-1.4106250000000001E-2</v>
      </c>
      <c r="O1976">
        <v>2.921853E-2</v>
      </c>
      <c r="P1976">
        <v>-0.96960939999999995</v>
      </c>
      <c r="Q1976">
        <v>0.18580749999999999</v>
      </c>
      <c r="R1976">
        <v>-0.15916459999999999</v>
      </c>
      <c r="S1976">
        <v>-2.991333</v>
      </c>
      <c r="T1976">
        <v>-0.33373589999999997</v>
      </c>
      <c r="U1976">
        <v>-1.0154719999999999</v>
      </c>
      <c r="V1976">
        <v>-0.1875597</v>
      </c>
      <c r="W1976">
        <v>0.1992737</v>
      </c>
      <c r="X1976">
        <v>0.96182710000000005</v>
      </c>
      <c r="Y1976">
        <v>-0.34666190000000002</v>
      </c>
      <c r="Z1976">
        <v>-2.4042830000000001E-2</v>
      </c>
      <c r="AA1976">
        <v>0.93768200000000002</v>
      </c>
      <c r="AB1976">
        <v>28</v>
      </c>
      <c r="AC1976">
        <v>-9.7883999999999602</v>
      </c>
      <c r="AD1976">
        <v>-1.12163719184899</v>
      </c>
      <c r="AE1976">
        <v>-3.4198999999999802</v>
      </c>
      <c r="AF1976">
        <v>-3.6616221725998002</v>
      </c>
      <c r="AG1976">
        <v>-1.12163719184899</v>
      </c>
      <c r="AH1976">
        <v>9.5722703935666509</v>
      </c>
      <c r="AI1976">
        <v>96.245702467817793</v>
      </c>
      <c r="AJ1976">
        <v>110.93304696641</v>
      </c>
      <c r="AK1976">
        <v>10.309893666404401</v>
      </c>
      <c r="AL1976">
        <v>78.5055099022197</v>
      </c>
      <c r="AM1976">
        <v>101.034405010353</v>
      </c>
      <c r="AN1976">
        <v>1.00000000943509</v>
      </c>
    </row>
    <row r="1977" spans="1:40" x14ac:dyDescent="0.25">
      <c r="A1977" t="str">
        <f>"20190303162542909"</f>
        <v>20190303162542909</v>
      </c>
      <c r="B1977" t="str">
        <f>"1551601542905169"</f>
        <v>1551601542905169</v>
      </c>
      <c r="C1977" t="s">
        <v>40</v>
      </c>
      <c r="D1977">
        <v>4.4994550000000002</v>
      </c>
      <c r="E1977">
        <v>0.50467249999999997</v>
      </c>
      <c r="F1977" t="s">
        <v>46</v>
      </c>
      <c r="G1977">
        <v>-476.49160000000001</v>
      </c>
      <c r="H1977" s="1">
        <v>3.4826610000000001E-6</v>
      </c>
      <c r="I1977">
        <v>281.72590000000002</v>
      </c>
      <c r="J1977">
        <v>-466.2747</v>
      </c>
      <c r="K1977">
        <v>1.1218669999999999</v>
      </c>
      <c r="L1977">
        <v>284.74689999999998</v>
      </c>
      <c r="M1977">
        <v>-0.999502</v>
      </c>
      <c r="N1977">
        <v>-1.4104449999999999E-2</v>
      </c>
      <c r="O1977">
        <v>2.8231510000000001E-2</v>
      </c>
      <c r="P1977">
        <v>-0.9702018</v>
      </c>
      <c r="Q1977">
        <v>0.1846023</v>
      </c>
      <c r="R1977">
        <v>-0.15694259999999999</v>
      </c>
      <c r="S1977">
        <v>-3.014618</v>
      </c>
      <c r="T1977">
        <v>-0.31889709999999899</v>
      </c>
      <c r="U1977">
        <v>-0.85598750000000001</v>
      </c>
      <c r="V1977">
        <v>-0.1845125</v>
      </c>
      <c r="W1977">
        <v>0.19797729999999999</v>
      </c>
      <c r="X1977">
        <v>0.96268390000000004</v>
      </c>
      <c r="Y1977">
        <v>-0.298326599999999</v>
      </c>
      <c r="Z1977">
        <v>-2.011771E-2</v>
      </c>
      <c r="AA1977">
        <v>0.95425179999999998</v>
      </c>
      <c r="AB1977">
        <v>28</v>
      </c>
      <c r="AC1977">
        <v>-10.216900000000001</v>
      </c>
      <c r="AD1977">
        <v>-1.1218635173389999</v>
      </c>
      <c r="AE1977">
        <v>-3.0209999999999502</v>
      </c>
      <c r="AF1977">
        <v>-3.2719841288869298</v>
      </c>
      <c r="AG1977">
        <v>-1.1218635173389999</v>
      </c>
      <c r="AH1977">
        <v>10.0164716647857</v>
      </c>
      <c r="AI1977">
        <v>96.0771320635276</v>
      </c>
      <c r="AJ1977">
        <v>108.09016229024699</v>
      </c>
      <c r="AK1977">
        <v>10.596894002616001</v>
      </c>
      <c r="AL1977">
        <v>78.581299050243302</v>
      </c>
      <c r="AM1977">
        <v>100.849994741712</v>
      </c>
      <c r="AN1977">
        <v>1.0000000826453701</v>
      </c>
    </row>
    <row r="1978" spans="1:40" x14ac:dyDescent="0.25">
      <c r="A1978" t="str">
        <f>"20190303162542944"</f>
        <v>20190303162542944</v>
      </c>
      <c r="B1978" t="str">
        <f>"1551601542935425"</f>
        <v>1551601542935425</v>
      </c>
      <c r="C1978" t="s">
        <v>40</v>
      </c>
      <c r="D1978">
        <v>4.5984119999999997</v>
      </c>
      <c r="E1978">
        <v>0.54260030000000004</v>
      </c>
      <c r="F1978" t="s">
        <v>46</v>
      </c>
      <c r="G1978">
        <v>-474.20729999999998</v>
      </c>
      <c r="H1978" s="1">
        <v>4.659684E-6</v>
      </c>
      <c r="I1978">
        <v>283.60230000000001</v>
      </c>
      <c r="J1978">
        <v>-466.71679999999998</v>
      </c>
      <c r="K1978">
        <v>1.1221639999999999</v>
      </c>
      <c r="L1978">
        <v>284.7577</v>
      </c>
      <c r="M1978">
        <v>-0.99954889999999996</v>
      </c>
      <c r="N1978">
        <v>-1.410554E-2</v>
      </c>
      <c r="O1978">
        <v>2.6514860000000001E-2</v>
      </c>
      <c r="P1978">
        <v>-0.97202239999999995</v>
      </c>
      <c r="Q1978">
        <v>0.18113989999999999</v>
      </c>
      <c r="R1978">
        <v>-0.1495359</v>
      </c>
      <c r="S1978">
        <v>-3.10318</v>
      </c>
      <c r="T1978">
        <v>-0.43886409999999998</v>
      </c>
      <c r="U1978">
        <v>-0.44778440000000003</v>
      </c>
      <c r="V1978">
        <v>-0.1756452</v>
      </c>
      <c r="W1978">
        <v>0.19442380000000001</v>
      </c>
      <c r="X1978">
        <v>0.96506380000000003</v>
      </c>
      <c r="Y1978">
        <v>-0.16700880000000001</v>
      </c>
      <c r="Z1978">
        <v>-1.6225139999999999E-2</v>
      </c>
      <c r="AA1978">
        <v>0.98582190000000003</v>
      </c>
      <c r="AB1978">
        <v>28</v>
      </c>
      <c r="AC1978">
        <v>-7.4904999999999902</v>
      </c>
      <c r="AD1978">
        <v>-1.122159340316</v>
      </c>
      <c r="AE1978">
        <v>-1.15539999999998</v>
      </c>
      <c r="AF1978">
        <v>-1.32458577026242</v>
      </c>
      <c r="AG1978">
        <v>-1.122159340316</v>
      </c>
      <c r="AH1978">
        <v>7.2972588825795803</v>
      </c>
      <c r="AI1978">
        <v>98.603917834719397</v>
      </c>
      <c r="AJ1978">
        <v>100.28821149990399</v>
      </c>
      <c r="AK1978">
        <v>7.5009170270858601</v>
      </c>
      <c r="AL1978">
        <v>78.788934368790905</v>
      </c>
      <c r="AM1978">
        <v>100.31513641554901</v>
      </c>
      <c r="AN1978">
        <v>0.999999994179959</v>
      </c>
    </row>
    <row r="1979" spans="1:40" x14ac:dyDescent="0.25">
      <c r="A1979" t="str">
        <f>"20190303162542967"</f>
        <v>20190303162542967</v>
      </c>
      <c r="B1979" t="str">
        <f>"1551601542954946"</f>
        <v>1551601542954946</v>
      </c>
      <c r="C1979" t="s">
        <v>40</v>
      </c>
      <c r="D1979">
        <v>4.5762280000000004</v>
      </c>
      <c r="E1979">
        <v>0.54334709999999997</v>
      </c>
      <c r="F1979" t="s">
        <v>42</v>
      </c>
      <c r="G1979">
        <v>-467.56490000000002</v>
      </c>
      <c r="H1979">
        <v>0.89976819999999902</v>
      </c>
      <c r="I1979">
        <v>284.72359999999998</v>
      </c>
      <c r="J1979">
        <v>-467.00720000000001</v>
      </c>
      <c r="K1979">
        <v>1.122393</v>
      </c>
      <c r="L1979">
        <v>284.7638</v>
      </c>
      <c r="M1979">
        <v>-0.99958910000000001</v>
      </c>
      <c r="N1979">
        <v>-1.410727E-2</v>
      </c>
      <c r="O1979">
        <v>2.4953320000000001E-2</v>
      </c>
      <c r="P1979">
        <v>-0.97254680000000004</v>
      </c>
      <c r="Q1979">
        <v>0.1801188</v>
      </c>
      <c r="R1979">
        <v>-0.14734369999999999</v>
      </c>
      <c r="S1979">
        <v>-3.2238769999999999</v>
      </c>
      <c r="T1979">
        <v>-0.84553739999999999</v>
      </c>
      <c r="U1979">
        <v>-0.12991330000000001</v>
      </c>
      <c r="V1979">
        <v>-0.1720593</v>
      </c>
      <c r="W1979">
        <v>0.1933291</v>
      </c>
      <c r="X1979">
        <v>0.96592929999999999</v>
      </c>
      <c r="Y1979">
        <v>-6.2214699999999901E-2</v>
      </c>
      <c r="Z1979">
        <v>-1.45538E-2</v>
      </c>
      <c r="AA1979">
        <v>0.99795670000000003</v>
      </c>
      <c r="AB1979">
        <v>28</v>
      </c>
      <c r="AC1979">
        <v>-0.55770000000001096</v>
      </c>
      <c r="AD1979">
        <v>-0.22262480000000001</v>
      </c>
      <c r="AE1979">
        <v>-4.0200000000027103E-2</v>
      </c>
      <c r="AF1979">
        <v>-4.6701949331010101E-2</v>
      </c>
      <c r="AG1979">
        <v>-0.22262480000000001</v>
      </c>
      <c r="AH1979">
        <v>0.480372494396899</v>
      </c>
      <c r="AI1979">
        <v>114.76232879619801</v>
      </c>
      <c r="AJ1979">
        <v>95.552860902752997</v>
      </c>
      <c r="AK1979">
        <v>0.53150786167229502</v>
      </c>
      <c r="AL1979">
        <v>78.852868982982102</v>
      </c>
      <c r="AM1979">
        <v>100.100062427922</v>
      </c>
      <c r="AN1979">
        <v>0.99999997811089403</v>
      </c>
    </row>
    <row r="1980" spans="1:40" x14ac:dyDescent="0.25">
      <c r="A1980" t="str">
        <f>"20190303162542989"</f>
        <v>20190303162542989</v>
      </c>
      <c r="B1980" t="str">
        <f>"1551601542985203"</f>
        <v>1551601542985203</v>
      </c>
      <c r="C1980" t="s">
        <v>40</v>
      </c>
      <c r="D1980">
        <v>4.5573680000000003</v>
      </c>
      <c r="E1980">
        <v>0.54370689999999999</v>
      </c>
      <c r="F1980" t="s">
        <v>42</v>
      </c>
      <c r="G1980">
        <v>-467.81639999999999</v>
      </c>
      <c r="H1980">
        <v>0.90907789999999999</v>
      </c>
      <c r="I1980">
        <v>284.73520000000002</v>
      </c>
      <c r="J1980">
        <v>-467.27420000000001</v>
      </c>
      <c r="K1980">
        <v>1.1226149999999999</v>
      </c>
      <c r="L1980">
        <v>284.76870000000002</v>
      </c>
      <c r="M1980">
        <v>-0.9996313</v>
      </c>
      <c r="N1980">
        <v>-1.4110080000000001E-2</v>
      </c>
      <c r="O1980">
        <v>2.31979E-2</v>
      </c>
      <c r="P1980">
        <v>-0.97290929999999998</v>
      </c>
      <c r="Q1980">
        <v>0.17884169999999999</v>
      </c>
      <c r="R1980">
        <v>-0.146504299999999</v>
      </c>
      <c r="S1980">
        <v>-3.2245789999999999</v>
      </c>
      <c r="T1980">
        <v>-0.8505914</v>
      </c>
      <c r="U1980">
        <v>-0.1162415</v>
      </c>
      <c r="V1980">
        <v>-0.16962559999999999</v>
      </c>
      <c r="W1980">
        <v>0.1919806</v>
      </c>
      <c r="X1980">
        <v>0.9666285</v>
      </c>
      <c r="Y1980">
        <v>-5.6454709999999998E-2</v>
      </c>
      <c r="Z1980">
        <v>-1.3416610000000001E-2</v>
      </c>
      <c r="AA1980">
        <v>0.99831499999999995</v>
      </c>
      <c r="AB1980">
        <v>28</v>
      </c>
      <c r="AC1980">
        <v>-0.54219999999997903</v>
      </c>
      <c r="AD1980">
        <v>-0.21353709999999901</v>
      </c>
      <c r="AE1980">
        <v>-3.3500000000003603E-2</v>
      </c>
      <c r="AF1980">
        <v>-3.9904292798959497E-2</v>
      </c>
      <c r="AG1980">
        <v>-0.21353709999999901</v>
      </c>
      <c r="AH1980">
        <v>0.46883450965981799</v>
      </c>
      <c r="AI1980">
        <v>114.40963205614</v>
      </c>
      <c r="AJ1980">
        <v>94.864937086999106</v>
      </c>
      <c r="AK1980">
        <v>0.51671679197424703</v>
      </c>
      <c r="AL1980">
        <v>78.931607926070896</v>
      </c>
      <c r="AM1980">
        <v>99.9530218608013</v>
      </c>
      <c r="AN1980">
        <v>1.0000000259819799</v>
      </c>
    </row>
    <row r="1981" spans="1:40" x14ac:dyDescent="0.25">
      <c r="A1981" t="str">
        <f>"20190303162543011"</f>
        <v>20190303162543011</v>
      </c>
      <c r="B1981" t="str">
        <f>"1551601543004721"</f>
        <v>1551601543004721</v>
      </c>
      <c r="C1981" t="s">
        <v>40</v>
      </c>
      <c r="D1981">
        <v>4.5930109999999997</v>
      </c>
      <c r="E1981">
        <v>0.54414949999999995</v>
      </c>
      <c r="F1981" t="s">
        <v>42</v>
      </c>
      <c r="G1981">
        <v>-468.06560000000002</v>
      </c>
      <c r="H1981">
        <v>0.91312839999999995</v>
      </c>
      <c r="I1981">
        <v>284.74149999999997</v>
      </c>
      <c r="J1981">
        <v>-467.55500000000001</v>
      </c>
      <c r="K1981">
        <v>1.122873</v>
      </c>
      <c r="L1981">
        <v>284.77289999999999</v>
      </c>
      <c r="M1981">
        <v>-0.99968109999999999</v>
      </c>
      <c r="N1981">
        <v>-1.411507E-2</v>
      </c>
      <c r="O1981">
        <v>2.0945519999999999E-2</v>
      </c>
      <c r="P1981">
        <v>-0.97310750000000001</v>
      </c>
      <c r="Q1981">
        <v>0.17763789999999999</v>
      </c>
      <c r="R1981">
        <v>-0.146652</v>
      </c>
      <c r="S1981">
        <v>-3.2236940000000001</v>
      </c>
      <c r="T1981">
        <v>-0.85328040000000005</v>
      </c>
      <c r="U1981">
        <v>-0.11071780000000001</v>
      </c>
      <c r="V1981">
        <v>-0.16771449999999999</v>
      </c>
      <c r="W1981">
        <v>0.19068650000000001</v>
      </c>
      <c r="X1981">
        <v>0.96721789999999996</v>
      </c>
      <c r="Y1981">
        <v>-5.2693770000000001E-2</v>
      </c>
      <c r="Z1981">
        <v>-1.2390490000000001E-2</v>
      </c>
      <c r="AA1981">
        <v>0.99853380000000003</v>
      </c>
      <c r="AB1981">
        <v>28</v>
      </c>
      <c r="AC1981">
        <v>-0.51060000000001005</v>
      </c>
      <c r="AD1981">
        <v>-0.2097446</v>
      </c>
      <c r="AE1981">
        <v>-3.14000000000191E-2</v>
      </c>
      <c r="AF1981">
        <v>-3.6031826425260101E-2</v>
      </c>
      <c r="AG1981">
        <v>-0.2097446</v>
      </c>
      <c r="AH1981">
        <v>0.43645922656194103</v>
      </c>
      <c r="AI1981">
        <v>115.591166978647</v>
      </c>
      <c r="AJ1981">
        <v>94.719342706654501</v>
      </c>
      <c r="AK1981">
        <v>0.48557980414731799</v>
      </c>
      <c r="AL1981">
        <v>79.007149526180896</v>
      </c>
      <c r="AM1981">
        <v>99.837209896026494</v>
      </c>
      <c r="AN1981">
        <v>0.99999998043645399</v>
      </c>
    </row>
    <row r="1982" spans="1:40" x14ac:dyDescent="0.25">
      <c r="A1982" t="str">
        <f>"20190303162543033"</f>
        <v>20190303162543033</v>
      </c>
      <c r="B1982" t="str">
        <f>"1551601543025218"</f>
        <v>1551601543025218</v>
      </c>
      <c r="C1982" t="s">
        <v>40</v>
      </c>
      <c r="D1982">
        <v>4.6838509999999998</v>
      </c>
      <c r="E1982">
        <v>0.54443229999999998</v>
      </c>
      <c r="F1982" t="s">
        <v>42</v>
      </c>
      <c r="G1982">
        <v>-468.31610000000001</v>
      </c>
      <c r="H1982">
        <v>0.92133679999999996</v>
      </c>
      <c r="I1982">
        <v>284.7482</v>
      </c>
      <c r="J1982">
        <v>-467.82639999999998</v>
      </c>
      <c r="K1982">
        <v>1.123176</v>
      </c>
      <c r="L1982">
        <v>284.77609999999999</v>
      </c>
      <c r="M1982">
        <v>-0.99973230000000002</v>
      </c>
      <c r="N1982">
        <v>-1.412363E-2</v>
      </c>
      <c r="O1982">
        <v>1.833065E-2</v>
      </c>
      <c r="P1982">
        <v>-0.97317929999999997</v>
      </c>
      <c r="Q1982">
        <v>0.17651149999999999</v>
      </c>
      <c r="R1982">
        <v>-0.1475331</v>
      </c>
      <c r="S1982">
        <v>-3.2227779999999999</v>
      </c>
      <c r="T1982">
        <v>-0.85411289999999995</v>
      </c>
      <c r="U1982">
        <v>-0.1067505</v>
      </c>
      <c r="V1982">
        <v>-0.1661976</v>
      </c>
      <c r="W1982">
        <v>0.18945719999999999</v>
      </c>
      <c r="X1982">
        <v>0.96772119999999995</v>
      </c>
      <c r="Y1982">
        <v>-4.9069960000000003E-2</v>
      </c>
      <c r="Z1982">
        <v>-1.126304E-2</v>
      </c>
      <c r="AA1982">
        <v>0.99873190000000001</v>
      </c>
      <c r="AB1982">
        <v>28</v>
      </c>
      <c r="AC1982">
        <v>-0.489700000000027</v>
      </c>
      <c r="AD1982">
        <v>-0.201839199999999</v>
      </c>
      <c r="AE1982">
        <v>-2.7899999999988202E-2</v>
      </c>
      <c r="AF1982">
        <v>-3.1533107640457303E-2</v>
      </c>
      <c r="AG1982">
        <v>-0.201839199999999</v>
      </c>
      <c r="AH1982">
        <v>0.41827771610928299</v>
      </c>
      <c r="AI1982">
        <v>115.696062904832</v>
      </c>
      <c r="AJ1982">
        <v>94.311257355536299</v>
      </c>
      <c r="AK1982">
        <v>0.46549935266088399</v>
      </c>
      <c r="AL1982">
        <v>79.078891251757199</v>
      </c>
      <c r="AM1982">
        <v>99.744978559753704</v>
      </c>
      <c r="AN1982">
        <v>0.99999999690351904</v>
      </c>
    </row>
    <row r="1983" spans="1:40" x14ac:dyDescent="0.25">
      <c r="A1983" t="str">
        <f>"20190303162543055"</f>
        <v>20190303162543055</v>
      </c>
      <c r="B1983" t="str">
        <f>"1551601543045713"</f>
        <v>1551601543045713</v>
      </c>
      <c r="C1983" t="s">
        <v>40</v>
      </c>
      <c r="D1983">
        <v>4.730982</v>
      </c>
      <c r="E1983">
        <v>0.5445605</v>
      </c>
      <c r="F1983" t="s">
        <v>42</v>
      </c>
      <c r="G1983">
        <v>-468.56540000000001</v>
      </c>
      <c r="H1983">
        <v>0.92714739999999995</v>
      </c>
      <c r="I1983">
        <v>284.75209999999998</v>
      </c>
      <c r="J1983">
        <v>-468.10239999999999</v>
      </c>
      <c r="K1983">
        <v>1.1235389999999901</v>
      </c>
      <c r="L1983">
        <v>284.77800000000002</v>
      </c>
      <c r="M1983">
        <v>-0.99978469999999997</v>
      </c>
      <c r="N1983">
        <v>-1.4136839999999999E-2</v>
      </c>
      <c r="O1983">
        <v>1.5199249999999999E-2</v>
      </c>
      <c r="P1983">
        <v>-0.97333990000000004</v>
      </c>
      <c r="Q1983">
        <v>0.17509079999999999</v>
      </c>
      <c r="R1983">
        <v>-0.14816560000000001</v>
      </c>
      <c r="S1983">
        <v>-3.2218019999999998</v>
      </c>
      <c r="T1983">
        <v>-0.85482849999999999</v>
      </c>
      <c r="U1983">
        <v>-0.105072</v>
      </c>
      <c r="V1983">
        <v>-0.1639486</v>
      </c>
      <c r="W1983">
        <v>0.18792829999999999</v>
      </c>
      <c r="X1983">
        <v>0.96840269999999995</v>
      </c>
      <c r="Y1983">
        <v>-4.5648420000000002E-2</v>
      </c>
      <c r="Z1983">
        <v>-1.003186E-2</v>
      </c>
      <c r="AA1983">
        <v>0.9989072</v>
      </c>
      <c r="AB1983">
        <v>28</v>
      </c>
      <c r="AC1983">
        <v>-0.46300000000002201</v>
      </c>
      <c r="AD1983">
        <v>-0.196391599999999</v>
      </c>
      <c r="AE1983">
        <v>-2.5900000000035499E-2</v>
      </c>
      <c r="AF1983">
        <v>-2.7926118312575601E-2</v>
      </c>
      <c r="AG1983">
        <v>-0.196391599999999</v>
      </c>
      <c r="AH1983">
        <v>0.39220643960763601</v>
      </c>
      <c r="AI1983">
        <v>116.540787752331</v>
      </c>
      <c r="AJ1983">
        <v>94.072735097065404</v>
      </c>
      <c r="AK1983">
        <v>0.43951725780026701</v>
      </c>
      <c r="AL1983">
        <v>79.168093104720896</v>
      </c>
      <c r="AM1983">
        <v>99.608946587431802</v>
      </c>
      <c r="AN1983">
        <v>0.99999998937506895</v>
      </c>
    </row>
    <row r="1984" spans="1:40" x14ac:dyDescent="0.25">
      <c r="A1984" t="str">
        <f>"20190303162543082"</f>
        <v>20190303162543082</v>
      </c>
      <c r="B1984" t="str">
        <f>"1551601543074994"</f>
        <v>1551601543074994</v>
      </c>
      <c r="C1984" t="s">
        <v>40</v>
      </c>
      <c r="D1984">
        <v>4.6532260000000001</v>
      </c>
      <c r="E1984">
        <v>0.53497479999999997</v>
      </c>
      <c r="F1984" t="s">
        <v>42</v>
      </c>
      <c r="G1984">
        <v>-468.81439999999998</v>
      </c>
      <c r="H1984">
        <v>0.93316250000000001</v>
      </c>
      <c r="I1984">
        <v>284.75459999999998</v>
      </c>
      <c r="J1984">
        <v>-468.42489999999998</v>
      </c>
      <c r="K1984">
        <v>1.1239840000000001</v>
      </c>
      <c r="L1984">
        <v>284.77839999999998</v>
      </c>
      <c r="M1984">
        <v>-0.99984090000000003</v>
      </c>
      <c r="N1984">
        <v>-1.415806E-2</v>
      </c>
      <c r="O1984">
        <v>1.0863919999999999E-2</v>
      </c>
      <c r="P1984">
        <v>-0.97340400000000005</v>
      </c>
      <c r="Q1984">
        <v>0.17443359999999999</v>
      </c>
      <c r="R1984">
        <v>-0.1485187</v>
      </c>
      <c r="S1984">
        <v>-3.220917</v>
      </c>
      <c r="T1984">
        <v>-0.86165249999999904</v>
      </c>
      <c r="U1984">
        <v>-0.10684200000000001</v>
      </c>
      <c r="V1984">
        <v>-0.16029189999999999</v>
      </c>
      <c r="W1984">
        <v>0.18714800000000001</v>
      </c>
      <c r="X1984">
        <v>0.96916570000000002</v>
      </c>
      <c r="Y1984">
        <v>-4.2107459999999999E-2</v>
      </c>
      <c r="Z1984">
        <v>-8.5412449999999994E-3</v>
      </c>
      <c r="AA1984">
        <v>0.99907659999999998</v>
      </c>
      <c r="AB1984">
        <v>28</v>
      </c>
      <c r="AC1984">
        <v>-0.38949999999999801</v>
      </c>
      <c r="AD1984">
        <v>-0.19082150000000001</v>
      </c>
      <c r="AE1984">
        <v>-2.3799999999994201E-2</v>
      </c>
      <c r="AF1984">
        <v>-2.2621255230475899E-2</v>
      </c>
      <c r="AG1984">
        <v>-0.19082150000000001</v>
      </c>
      <c r="AH1984">
        <v>0.31410800321501797</v>
      </c>
      <c r="AI1984">
        <v>121.213076988007</v>
      </c>
      <c r="AJ1984">
        <v>94.119183961181193</v>
      </c>
      <c r="AK1984">
        <v>0.36822330688615801</v>
      </c>
      <c r="AL1984">
        <v>79.213608801108194</v>
      </c>
      <c r="AM1984">
        <v>99.391228059073498</v>
      </c>
      <c r="AN1984">
        <v>1.00000001058305</v>
      </c>
    </row>
    <row r="1985" spans="1:40" x14ac:dyDescent="0.25">
      <c r="A1985" t="str">
        <f>"20190303162543108"</f>
        <v>20190303162543108</v>
      </c>
      <c r="B1985" t="str">
        <f>"1551601543105250"</f>
        <v>1551601543105250</v>
      </c>
      <c r="C1985" t="s">
        <v>40</v>
      </c>
      <c r="D1985">
        <v>4.6963929999999996</v>
      </c>
      <c r="E1985">
        <v>0.53367500000000001</v>
      </c>
      <c r="F1985" t="s">
        <v>42</v>
      </c>
      <c r="G1985">
        <v>-469.26870000000002</v>
      </c>
      <c r="H1985">
        <v>0.84403150000000005</v>
      </c>
      <c r="I1985">
        <v>284.72910000000002</v>
      </c>
      <c r="J1985">
        <v>-468.74239999999998</v>
      </c>
      <c r="K1985">
        <v>1.1244190000000001</v>
      </c>
      <c r="L1985">
        <v>284.77659999999997</v>
      </c>
      <c r="M1985">
        <v>-0.9998823</v>
      </c>
      <c r="N1985">
        <v>-1.418433E-2</v>
      </c>
      <c r="O1985">
        <v>5.8752309999999999E-3</v>
      </c>
      <c r="P1985">
        <v>-0.97366390000000003</v>
      </c>
      <c r="Q1985">
        <v>0.1728809</v>
      </c>
      <c r="R1985">
        <v>-0.14863189999999901</v>
      </c>
      <c r="S1985">
        <v>-3.2460330000000002</v>
      </c>
      <c r="T1985">
        <v>-1.0770879999999901</v>
      </c>
      <c r="U1985">
        <v>-0.18991089999999999</v>
      </c>
      <c r="V1985">
        <v>-0.155747</v>
      </c>
      <c r="W1985">
        <v>0.185498</v>
      </c>
      <c r="X1985">
        <v>0.97022339999999996</v>
      </c>
      <c r="Y1985">
        <v>-6.0598010000000001E-2</v>
      </c>
      <c r="Z1985">
        <v>-1.2041339999999999E-2</v>
      </c>
      <c r="AA1985">
        <v>0.99808960000000002</v>
      </c>
      <c r="AB1985">
        <v>28</v>
      </c>
      <c r="AC1985">
        <v>-0.52630000000004795</v>
      </c>
      <c r="AD1985">
        <v>-0.28038750000000001</v>
      </c>
      <c r="AE1985">
        <v>-4.7499999999956799E-2</v>
      </c>
      <c r="AF1985">
        <v>-3.94774661342608E-2</v>
      </c>
      <c r="AG1985">
        <v>-0.28038750000000001</v>
      </c>
      <c r="AH1985">
        <v>0.41045555786698101</v>
      </c>
      <c r="AI1985">
        <v>124.214726965781</v>
      </c>
      <c r="AJ1985">
        <v>95.493788664170296</v>
      </c>
      <c r="AK1985">
        <v>0.49864755636875002</v>
      </c>
      <c r="AL1985">
        <v>79.309832182869897</v>
      </c>
      <c r="AM1985">
        <v>99.119712701236196</v>
      </c>
      <c r="AN1985">
        <v>1.0000000409602701</v>
      </c>
    </row>
    <row r="1986" spans="1:40" x14ac:dyDescent="0.25">
      <c r="A1986" t="str">
        <f>"20190303162543131"</f>
        <v>20190303162543131</v>
      </c>
      <c r="B1986" t="str">
        <f>"1551601543124770"</f>
        <v>1551601543124770</v>
      </c>
      <c r="C1986" t="s">
        <v>40</v>
      </c>
      <c r="D1986">
        <v>4.715344</v>
      </c>
      <c r="E1986">
        <v>0.53341899999999998</v>
      </c>
      <c r="F1986" t="s">
        <v>42</v>
      </c>
      <c r="G1986">
        <v>-469.52010000000001</v>
      </c>
      <c r="H1986">
        <v>0.8605931</v>
      </c>
      <c r="I1986">
        <v>284.7276</v>
      </c>
      <c r="J1986">
        <v>-469.0274</v>
      </c>
      <c r="K1986">
        <v>1.1247689999999999</v>
      </c>
      <c r="L1986">
        <v>284.7731</v>
      </c>
      <c r="M1986">
        <v>-0.99989870000000003</v>
      </c>
      <c r="N1986">
        <v>-1.420898E-2</v>
      </c>
      <c r="O1986">
        <v>8.8097700000000002E-4</v>
      </c>
      <c r="P1986">
        <v>-0.97406610000000005</v>
      </c>
      <c r="Q1986">
        <v>0.1705999</v>
      </c>
      <c r="R1986">
        <v>-0.14863170000000001</v>
      </c>
      <c r="S1986">
        <v>-3.2453310000000002</v>
      </c>
      <c r="T1986">
        <v>-1.1018250000000001</v>
      </c>
      <c r="U1986">
        <v>-0.20611570000000001</v>
      </c>
      <c r="V1986">
        <v>-0.1510311</v>
      </c>
      <c r="W1986">
        <v>0.18316160000000001</v>
      </c>
      <c r="X1986">
        <v>0.9714121</v>
      </c>
      <c r="Y1986">
        <v>-6.0678959999999997E-2</v>
      </c>
      <c r="Z1986">
        <v>-1.07327E-2</v>
      </c>
      <c r="AA1986">
        <v>0.99809959999999998</v>
      </c>
      <c r="AB1986">
        <v>28</v>
      </c>
      <c r="AC1986">
        <v>-0.49270000000001302</v>
      </c>
      <c r="AD1986">
        <v>-0.26417590000000002</v>
      </c>
      <c r="AE1986">
        <v>-4.5500000000004003E-2</v>
      </c>
      <c r="AF1986">
        <v>-3.5744755397931101E-2</v>
      </c>
      <c r="AG1986">
        <v>-0.26417590000000002</v>
      </c>
      <c r="AH1986">
        <v>0.38337547738576599</v>
      </c>
      <c r="AI1986">
        <v>124.45413630557501</v>
      </c>
      <c r="AJ1986">
        <v>95.326683451181395</v>
      </c>
      <c r="AK1986">
        <v>0.46695112200318301</v>
      </c>
      <c r="AL1986">
        <v>79.446031667404796</v>
      </c>
      <c r="AM1986">
        <v>98.837354344628096</v>
      </c>
      <c r="AN1986">
        <v>1.0000000164540801</v>
      </c>
    </row>
    <row r="1987" spans="1:40" x14ac:dyDescent="0.25">
      <c r="A1987" t="str">
        <f>"20190303162543152"</f>
        <v>20190303162543152</v>
      </c>
      <c r="B1987" t="str">
        <f>"1551601543145266"</f>
        <v>1551601543145266</v>
      </c>
      <c r="C1987" t="s">
        <v>40</v>
      </c>
      <c r="D1987">
        <v>4.7335019999999997</v>
      </c>
      <c r="E1987">
        <v>0.53390459999999995</v>
      </c>
      <c r="F1987" t="s">
        <v>42</v>
      </c>
      <c r="G1987">
        <v>-469.7679</v>
      </c>
      <c r="H1987">
        <v>0.86997039999999903</v>
      </c>
      <c r="I1987">
        <v>284.72399999999999</v>
      </c>
      <c r="J1987">
        <v>-469.2801</v>
      </c>
      <c r="K1987">
        <v>1.1250599999999999</v>
      </c>
      <c r="L1987">
        <v>284.76830000000001</v>
      </c>
      <c r="M1987">
        <v>-0.99989079999999997</v>
      </c>
      <c r="N1987">
        <v>-1.423049E-2</v>
      </c>
      <c r="O1987">
        <v>-3.9948630000000004E-3</v>
      </c>
      <c r="P1987">
        <v>-0.97441420000000001</v>
      </c>
      <c r="Q1987">
        <v>0.1687411</v>
      </c>
      <c r="R1987">
        <v>-0.14847050000000001</v>
      </c>
      <c r="S1987">
        <v>-3.24234</v>
      </c>
      <c r="T1987">
        <v>-1.116263</v>
      </c>
      <c r="U1987">
        <v>-0.21621699999999999</v>
      </c>
      <c r="V1987">
        <v>-0.14623710000000001</v>
      </c>
      <c r="W1987">
        <v>0.18127119999999999</v>
      </c>
      <c r="X1987">
        <v>0.97249960000000002</v>
      </c>
      <c r="Y1987">
        <v>-5.9216030000000003E-2</v>
      </c>
      <c r="Z1987">
        <v>-9.0518189999999991E-3</v>
      </c>
      <c r="AA1987">
        <v>0.99820419999999999</v>
      </c>
      <c r="AB1987">
        <v>28</v>
      </c>
      <c r="AC1987">
        <v>-0.48779999999999202</v>
      </c>
      <c r="AD1987">
        <v>-0.25508960000000003</v>
      </c>
      <c r="AE1987">
        <v>-4.43000000000211E-2</v>
      </c>
      <c r="AF1987">
        <v>-3.3314834399091497E-2</v>
      </c>
      <c r="AG1987">
        <v>-0.25508960000000003</v>
      </c>
      <c r="AH1987">
        <v>0.38385957755412398</v>
      </c>
      <c r="AI1987">
        <v>123.506555969513</v>
      </c>
      <c r="AJ1987">
        <v>94.960221078056904</v>
      </c>
      <c r="AK1987">
        <v>0.46209171979081098</v>
      </c>
      <c r="AL1987">
        <v>79.556187685577299</v>
      </c>
      <c r="AM1987">
        <v>98.551631966369698</v>
      </c>
      <c r="AN1987">
        <v>1.000000004683</v>
      </c>
    </row>
    <row r="1988" spans="1:40" x14ac:dyDescent="0.25">
      <c r="A1988" t="str">
        <f>"20190303162543173"</f>
        <v>20190303162543173</v>
      </c>
      <c r="B1988" t="str">
        <f>"1551601543164785"</f>
        <v>1551601543164785</v>
      </c>
      <c r="C1988" t="s">
        <v>40</v>
      </c>
      <c r="D1988">
        <v>4.7388190000000003</v>
      </c>
      <c r="E1988">
        <v>0.53425349999999905</v>
      </c>
      <c r="F1988" t="s">
        <v>42</v>
      </c>
      <c r="G1988">
        <v>-470.01229999999998</v>
      </c>
      <c r="H1988">
        <v>0.87195800000000001</v>
      </c>
      <c r="I1988">
        <v>284.71859999999998</v>
      </c>
      <c r="J1988">
        <v>-469.54379999999998</v>
      </c>
      <c r="K1988">
        <v>1.1253789999999999</v>
      </c>
      <c r="L1988">
        <v>284.76159999999999</v>
      </c>
      <c r="M1988">
        <v>-0.99985290000000004</v>
      </c>
      <c r="N1988">
        <v>-1.4255779999999999E-2</v>
      </c>
      <c r="O1988">
        <v>-9.5375679999999997E-3</v>
      </c>
      <c r="P1988">
        <v>-0.97448809999999997</v>
      </c>
      <c r="Q1988">
        <v>0.16756770000000001</v>
      </c>
      <c r="R1988">
        <v>-0.1493119</v>
      </c>
      <c r="S1988">
        <v>-3.239166</v>
      </c>
      <c r="T1988">
        <v>-1.11981</v>
      </c>
      <c r="U1988">
        <v>-0.21972659999999999</v>
      </c>
      <c r="V1988">
        <v>-0.14180190000000001</v>
      </c>
      <c r="W1988">
        <v>0.18006549999999999</v>
      </c>
      <c r="X1988">
        <v>0.97338000000000002</v>
      </c>
      <c r="Y1988">
        <v>-5.5327469999999997E-2</v>
      </c>
      <c r="Z1988">
        <v>-6.6220130000000004E-3</v>
      </c>
      <c r="AA1988">
        <v>0.99844630000000001</v>
      </c>
      <c r="AB1988">
        <v>28</v>
      </c>
      <c r="AC1988">
        <v>-0.46850000000000502</v>
      </c>
      <c r="AD1988">
        <v>-0.25342100000000001</v>
      </c>
      <c r="AE1988">
        <v>-4.3000000000006297E-2</v>
      </c>
      <c r="AF1988">
        <v>-2.98641505083873E-2</v>
      </c>
      <c r="AG1988">
        <v>-0.25342100000000001</v>
      </c>
      <c r="AH1988">
        <v>0.36343741327757201</v>
      </c>
      <c r="AI1988">
        <v>124.79725305827</v>
      </c>
      <c r="AJ1988">
        <v>94.697518963457995</v>
      </c>
      <c r="AK1988">
        <v>0.44407299410849199</v>
      </c>
      <c r="AL1988">
        <v>79.6264249173813</v>
      </c>
      <c r="AM1988">
        <v>98.288536707363505</v>
      </c>
      <c r="AN1988">
        <v>0.99999999376693005</v>
      </c>
    </row>
    <row r="1989" spans="1:40" x14ac:dyDescent="0.25">
      <c r="A1989" t="str">
        <f>"20190303162543212"</f>
        <v>20190303162543212</v>
      </c>
      <c r="B1989" t="str">
        <f>"1551601543204724"</f>
        <v>1551601543204724</v>
      </c>
      <c r="C1989" t="s">
        <v>40</v>
      </c>
      <c r="D1989">
        <v>4.6722299999999999</v>
      </c>
      <c r="E1989">
        <v>0.53372379999999997</v>
      </c>
      <c r="F1989" t="s">
        <v>42</v>
      </c>
      <c r="G1989">
        <v>-470.2577</v>
      </c>
      <c r="H1989">
        <v>0.87810900000000003</v>
      </c>
      <c r="I1989">
        <v>284.71210000000002</v>
      </c>
      <c r="J1989">
        <v>-470.01409999999998</v>
      </c>
      <c r="K1989">
        <v>1.125969</v>
      </c>
      <c r="L1989">
        <v>284.74459999999999</v>
      </c>
      <c r="M1989">
        <v>-0.99968619999999997</v>
      </c>
      <c r="N1989">
        <v>-1.4313569999999999E-2</v>
      </c>
      <c r="O1989">
        <v>-2.0560080000000001E-2</v>
      </c>
      <c r="P1989">
        <v>-0.97442090000000003</v>
      </c>
      <c r="Q1989">
        <v>0.1641341</v>
      </c>
      <c r="R1989">
        <v>-0.15350559999999999</v>
      </c>
      <c r="S1989">
        <v>-3.2368769999999998</v>
      </c>
      <c r="T1989">
        <v>-1.122662</v>
      </c>
      <c r="U1989">
        <v>-0.22674559999999999</v>
      </c>
      <c r="V1989">
        <v>-0.13545079999999901</v>
      </c>
      <c r="W1989">
        <v>0.1765803</v>
      </c>
      <c r="X1989">
        <v>0.97492179999999995</v>
      </c>
      <c r="Y1989">
        <v>-4.7564490000000001E-2</v>
      </c>
      <c r="Z1989">
        <v>-1.7231169999999999E-3</v>
      </c>
      <c r="AA1989">
        <v>0.9988667</v>
      </c>
      <c r="AB1989">
        <v>28</v>
      </c>
      <c r="AC1989">
        <v>-0.243600000000014</v>
      </c>
      <c r="AD1989">
        <v>-0.24786</v>
      </c>
      <c r="AE1989">
        <v>-3.24999999999704E-2</v>
      </c>
      <c r="AF1989">
        <v>-1.3625079433042499E-2</v>
      </c>
      <c r="AG1989">
        <v>-0.24786</v>
      </c>
      <c r="AH1989">
        <v>0.12106865932284799</v>
      </c>
      <c r="AI1989">
        <v>153.824069669235</v>
      </c>
      <c r="AJ1989">
        <v>96.4210557555392</v>
      </c>
      <c r="AK1989">
        <v>0.27618443594777098</v>
      </c>
      <c r="AL1989">
        <v>79.8293652607273</v>
      </c>
      <c r="AM1989">
        <v>97.909756949205303</v>
      </c>
      <c r="AN1989">
        <v>1.00000001884198</v>
      </c>
    </row>
    <row r="1990" spans="1:40" x14ac:dyDescent="0.25">
      <c r="A1990" t="str">
        <f>"20190303162543234"</f>
        <v>20190303162543234</v>
      </c>
      <c r="B1990" t="str">
        <f>"1551601543225220"</f>
        <v>1551601543225220</v>
      </c>
      <c r="C1990" t="s">
        <v>40</v>
      </c>
      <c r="D1990">
        <v>4.6749229999999997</v>
      </c>
      <c r="E1990">
        <v>0.53347639999999996</v>
      </c>
      <c r="F1990" t="s">
        <v>42</v>
      </c>
      <c r="G1990">
        <v>-470.73970000000003</v>
      </c>
      <c r="H1990">
        <v>0.87184200000000001</v>
      </c>
      <c r="I1990">
        <v>284.68740000000003</v>
      </c>
      <c r="J1990">
        <v>-470.27859999999998</v>
      </c>
      <c r="K1990">
        <v>1.1262749999999999</v>
      </c>
      <c r="L1990">
        <v>284.73200000000003</v>
      </c>
      <c r="M1990">
        <v>-0.99952419999999997</v>
      </c>
      <c r="N1990">
        <v>-1.4349199999999999E-2</v>
      </c>
      <c r="O1990">
        <v>-2.7304889999999998E-2</v>
      </c>
      <c r="P1990">
        <v>-0.97384099999999996</v>
      </c>
      <c r="Q1990">
        <v>0.16316539999999999</v>
      </c>
      <c r="R1990">
        <v>-0.1581486</v>
      </c>
      <c r="S1990">
        <v>-3.229187</v>
      </c>
      <c r="T1990">
        <v>-1.1318429999999999</v>
      </c>
      <c r="U1990">
        <v>-0.25552370000000002</v>
      </c>
      <c r="V1990">
        <v>-0.13363320000000001</v>
      </c>
      <c r="W1990">
        <v>0.17557349999999999</v>
      </c>
      <c r="X1990">
        <v>0.97535439999999995</v>
      </c>
      <c r="Y1990">
        <v>-5.0024979999999997E-2</v>
      </c>
      <c r="Z1990" s="1">
        <v>2.4987379999999999E-5</v>
      </c>
      <c r="AA1990">
        <v>0.99874790000000002</v>
      </c>
      <c r="AB1990">
        <v>27</v>
      </c>
      <c r="AC1990">
        <v>-0.46110000000004397</v>
      </c>
      <c r="AD1990">
        <v>-0.25443299999999902</v>
      </c>
      <c r="AE1990">
        <v>-4.4600000000002603E-2</v>
      </c>
      <c r="AF1990">
        <v>-2.4577753398570799E-2</v>
      </c>
      <c r="AG1990">
        <v>-0.25443299999999902</v>
      </c>
      <c r="AH1990">
        <v>0.35504455114425398</v>
      </c>
      <c r="AI1990">
        <v>125.56142592326199</v>
      </c>
      <c r="AJ1990">
        <v>93.959949825034101</v>
      </c>
      <c r="AK1990">
        <v>0.437489257866231</v>
      </c>
      <c r="AL1990">
        <v>79.887966485812797</v>
      </c>
      <c r="AM1990">
        <v>97.801514568793294</v>
      </c>
      <c r="AN1990">
        <v>1.00000004582192</v>
      </c>
    </row>
    <row r="1991" spans="1:40" x14ac:dyDescent="0.25">
      <c r="A1991" t="str">
        <f>"20190303162543256"</f>
        <v>20190303162543256</v>
      </c>
      <c r="B1991" t="str">
        <f>"1551601543244740"</f>
        <v>1551601543244740</v>
      </c>
      <c r="C1991" t="s">
        <v>40</v>
      </c>
      <c r="D1991">
        <v>4.6910959999999999</v>
      </c>
      <c r="E1991">
        <v>0.53342619999999996</v>
      </c>
      <c r="F1991" t="s">
        <v>42</v>
      </c>
      <c r="G1991">
        <v>-470.98349999999999</v>
      </c>
      <c r="H1991">
        <v>0.87816019999999995</v>
      </c>
      <c r="I1991">
        <v>284.67180000000002</v>
      </c>
      <c r="J1991">
        <v>-470.54849999999999</v>
      </c>
      <c r="K1991">
        <v>1.126571</v>
      </c>
      <c r="L1991">
        <v>284.71690000000001</v>
      </c>
      <c r="M1991">
        <v>-0.99929820000000003</v>
      </c>
      <c r="N1991">
        <v>-1.4378200000000001E-2</v>
      </c>
      <c r="O1991">
        <v>-3.4588649999999999E-2</v>
      </c>
      <c r="P1991">
        <v>-0.97273989999999999</v>
      </c>
      <c r="Q1991">
        <v>0.16288939999999999</v>
      </c>
      <c r="R1991">
        <v>-0.16505690000000001</v>
      </c>
      <c r="S1991">
        <v>-3.2260439999999999</v>
      </c>
      <c r="T1991">
        <v>-1.1361380000000001</v>
      </c>
      <c r="U1991">
        <v>-0.2763062</v>
      </c>
      <c r="V1991">
        <v>-0.1335693</v>
      </c>
      <c r="W1991">
        <v>0.17523259999999999</v>
      </c>
      <c r="X1991">
        <v>0.97542439999999997</v>
      </c>
      <c r="Y1991">
        <v>-4.9625599999999999E-2</v>
      </c>
      <c r="Z1991">
        <v>2.4794930000000001E-3</v>
      </c>
      <c r="AA1991">
        <v>0.99876480000000001</v>
      </c>
      <c r="AB1991">
        <v>27</v>
      </c>
      <c r="AC1991">
        <v>-0.435000000000002</v>
      </c>
      <c r="AD1991">
        <v>-0.24841079999999999</v>
      </c>
      <c r="AE1991">
        <v>-4.50999999999908E-2</v>
      </c>
      <c r="AF1991">
        <v>-2.2701094608462698E-2</v>
      </c>
      <c r="AG1991">
        <v>-0.24841079999999999</v>
      </c>
      <c r="AH1991">
        <v>0.32987023050379999</v>
      </c>
      <c r="AI1991">
        <v>126.91677703950801</v>
      </c>
      <c r="AJ1991">
        <v>93.936788747623396</v>
      </c>
      <c r="AK1991">
        <v>0.41356696462083697</v>
      </c>
      <c r="AL1991">
        <v>79.9078056385964</v>
      </c>
      <c r="AM1991">
        <v>97.797277272051005</v>
      </c>
      <c r="AN1991">
        <v>0.99999999106030402</v>
      </c>
    </row>
    <row r="1992" spans="1:40" x14ac:dyDescent="0.25">
      <c r="A1992" t="str">
        <f>"20190303162543279"</f>
        <v>20190303162543279</v>
      </c>
      <c r="B1992" t="str">
        <f>"1551601543274996"</f>
        <v>1551601543274996</v>
      </c>
      <c r="C1992" t="s">
        <v>40</v>
      </c>
      <c r="D1992">
        <v>4.6992839999999996</v>
      </c>
      <c r="E1992">
        <v>0.53347080000000002</v>
      </c>
      <c r="F1992" t="s">
        <v>42</v>
      </c>
      <c r="G1992">
        <v>-471.22809999999998</v>
      </c>
      <c r="H1992">
        <v>0.8870654</v>
      </c>
      <c r="I1992">
        <v>284.654</v>
      </c>
      <c r="J1992">
        <v>-470.81970000000001</v>
      </c>
      <c r="K1992">
        <v>1.126857</v>
      </c>
      <c r="L1992">
        <v>284.69929999999999</v>
      </c>
      <c r="M1992">
        <v>-0.99899919999999998</v>
      </c>
      <c r="N1992">
        <v>-1.4391610000000001E-2</v>
      </c>
      <c r="O1992">
        <v>-4.2353500000000002E-2</v>
      </c>
      <c r="P1992">
        <v>-0.97116959999999997</v>
      </c>
      <c r="Q1992">
        <v>0.16255749999999999</v>
      </c>
      <c r="R1992">
        <v>-0.17437030000000001</v>
      </c>
      <c r="S1992">
        <v>-3.223541</v>
      </c>
      <c r="T1992">
        <v>-1.137661</v>
      </c>
      <c r="U1992">
        <v>-0.30059809999999998</v>
      </c>
      <c r="V1992">
        <v>-0.1354571</v>
      </c>
      <c r="W1992">
        <v>0.1747927</v>
      </c>
      <c r="X1992">
        <v>0.97524299999999997</v>
      </c>
      <c r="Y1992">
        <v>-4.9809270000000003E-2</v>
      </c>
      <c r="Z1992">
        <v>4.9935680000000003E-3</v>
      </c>
      <c r="AA1992">
        <v>0.99874629999999998</v>
      </c>
      <c r="AB1992">
        <v>27</v>
      </c>
      <c r="AC1992">
        <v>-0.40839999999997101</v>
      </c>
      <c r="AD1992">
        <v>-0.23979159999999999</v>
      </c>
      <c r="AE1992">
        <v>-4.5299999999997398E-2</v>
      </c>
      <c r="AF1992">
        <v>-2.0857338707583401E-2</v>
      </c>
      <c r="AG1992">
        <v>-0.23979159999999999</v>
      </c>
      <c r="AH1992">
        <v>0.30580813999671702</v>
      </c>
      <c r="AI1992">
        <v>128.03631624470501</v>
      </c>
      <c r="AJ1992">
        <v>93.901758845184801</v>
      </c>
      <c r="AK1992">
        <v>0.38917047485231299</v>
      </c>
      <c r="AL1992">
        <v>79.933405358314602</v>
      </c>
      <c r="AM1992">
        <v>97.907547919290096</v>
      </c>
      <c r="AN1992">
        <v>1.0000000114813401</v>
      </c>
    </row>
    <row r="1993" spans="1:40" x14ac:dyDescent="0.25">
      <c r="A1993" t="str">
        <f>"20190303162543305"</f>
        <v>20190303162543305</v>
      </c>
      <c r="B1993" t="str">
        <f>"1551601543295492"</f>
        <v>1551601543295492</v>
      </c>
      <c r="C1993" t="s">
        <v>40</v>
      </c>
      <c r="D1993">
        <v>4.7043239999999997</v>
      </c>
      <c r="E1993">
        <v>0.53361769999999997</v>
      </c>
      <c r="F1993" t="s">
        <v>42</v>
      </c>
      <c r="G1993">
        <v>-471.68209999999999</v>
      </c>
      <c r="H1993">
        <v>0.82235930000000002</v>
      </c>
      <c r="I1993">
        <v>284.61200000000002</v>
      </c>
      <c r="J1993">
        <v>-471.13040000000001</v>
      </c>
      <c r="K1993">
        <v>1.127167</v>
      </c>
      <c r="L1993">
        <v>284.67570000000001</v>
      </c>
      <c r="M1993">
        <v>-0.99855280000000002</v>
      </c>
      <c r="N1993">
        <v>-1.436628E-2</v>
      </c>
      <c r="O1993">
        <v>-5.1827409999999997E-2</v>
      </c>
      <c r="P1993">
        <v>-0.96881170000000005</v>
      </c>
      <c r="Q1993">
        <v>0.16315170000000001</v>
      </c>
      <c r="R1993">
        <v>-0.18650929999999999</v>
      </c>
      <c r="S1993">
        <v>-3.2208860000000001</v>
      </c>
      <c r="T1993">
        <v>-1.1382330000000001</v>
      </c>
      <c r="U1993">
        <v>-0.32708739999999997</v>
      </c>
      <c r="V1993">
        <v>-0.1385702</v>
      </c>
      <c r="W1993">
        <v>0.1752031</v>
      </c>
      <c r="X1993">
        <v>0.97473189999999998</v>
      </c>
      <c r="Y1993">
        <v>-4.9113589999999999E-2</v>
      </c>
      <c r="Z1993">
        <v>8.2273190000000003E-3</v>
      </c>
      <c r="AA1993">
        <v>0.99875930000000002</v>
      </c>
      <c r="AB1993">
        <v>27</v>
      </c>
      <c r="AC1993">
        <v>-0.55169999999998198</v>
      </c>
      <c r="AD1993">
        <v>-0.30480769999999902</v>
      </c>
      <c r="AE1993">
        <v>-6.3699999999982895E-2</v>
      </c>
      <c r="AF1993">
        <v>-2.6911701170781701E-2</v>
      </c>
      <c r="AG1993">
        <v>-0.30480769999999902</v>
      </c>
      <c r="AH1993">
        <v>0.42595179795459298</v>
      </c>
      <c r="AI1993">
        <v>125.53321301862699</v>
      </c>
      <c r="AJ1993">
        <v>93.615151176177093</v>
      </c>
      <c r="AK1993">
        <v>0.52446821430849899</v>
      </c>
      <c r="AL1993">
        <v>79.909523041874607</v>
      </c>
      <c r="AM1993">
        <v>98.091087335640495</v>
      </c>
      <c r="AN1993">
        <v>1.00000005172762</v>
      </c>
    </row>
    <row r="1994" spans="1:40" x14ac:dyDescent="0.25">
      <c r="A1994" t="str">
        <f>"20190303162543329"</f>
        <v>20190303162543329</v>
      </c>
      <c r="B1994" t="str">
        <f>"1551601543324772"</f>
        <v>1551601543324772</v>
      </c>
      <c r="C1994" t="s">
        <v>40</v>
      </c>
      <c r="D1994">
        <v>4.7261749999999996</v>
      </c>
      <c r="E1994">
        <v>0.53375059999999996</v>
      </c>
      <c r="F1994" t="s">
        <v>42</v>
      </c>
      <c r="G1994">
        <v>-471.93029999999999</v>
      </c>
      <c r="H1994">
        <v>0.84517099999999901</v>
      </c>
      <c r="I1994">
        <v>284.58510000000001</v>
      </c>
      <c r="J1994">
        <v>-471.42939999999999</v>
      </c>
      <c r="K1994">
        <v>1.1274249999999999</v>
      </c>
      <c r="L1994">
        <v>284.64980000000003</v>
      </c>
      <c r="M1994">
        <v>-0.99801399999999996</v>
      </c>
      <c r="N1994">
        <v>-1.430991E-2</v>
      </c>
      <c r="O1994">
        <v>-6.1347239999999997E-2</v>
      </c>
      <c r="P1994">
        <v>-0.9665591</v>
      </c>
      <c r="Q1994">
        <v>0.16280910000000001</v>
      </c>
      <c r="R1994">
        <v>-0.1981338</v>
      </c>
      <c r="S1994">
        <v>-3.2174070000000001</v>
      </c>
      <c r="T1994">
        <v>-1.1347100000000001</v>
      </c>
      <c r="U1994">
        <v>-0.36489870000000002</v>
      </c>
      <c r="V1994">
        <v>-0.14110200000000001</v>
      </c>
      <c r="W1994">
        <v>0.17466880000000001</v>
      </c>
      <c r="X1994">
        <v>0.97446449999999996</v>
      </c>
      <c r="Y1994">
        <v>-5.1664509999999997E-2</v>
      </c>
      <c r="Z1994">
        <v>1.086113E-2</v>
      </c>
      <c r="AA1994">
        <v>0.99860539999999998</v>
      </c>
      <c r="AB1994">
        <v>27</v>
      </c>
      <c r="AC1994">
        <v>-0.50090000000000101</v>
      </c>
      <c r="AD1994">
        <v>-0.282254</v>
      </c>
      <c r="AE1994">
        <v>-6.4700000000016106E-2</v>
      </c>
      <c r="AF1994">
        <v>-2.5791178239960501E-2</v>
      </c>
      <c r="AG1994">
        <v>-0.282254</v>
      </c>
      <c r="AH1994">
        <v>0.38399785415883297</v>
      </c>
      <c r="AI1994">
        <v>126.255882866921</v>
      </c>
      <c r="AJ1994">
        <v>93.842494360352703</v>
      </c>
      <c r="AK1994">
        <v>0.47727021422836902</v>
      </c>
      <c r="AL1994">
        <v>79.940615234720298</v>
      </c>
      <c r="AM1994">
        <v>98.239137253670194</v>
      </c>
      <c r="AN1994">
        <v>1.00000001292884</v>
      </c>
    </row>
    <row r="1995" spans="1:40" x14ac:dyDescent="0.25">
      <c r="A1995" t="str">
        <f>"20190303162543368"</f>
        <v>20190303162543368</v>
      </c>
      <c r="B1995" t="str">
        <f>"1551601543364789"</f>
        <v>1551601543364789</v>
      </c>
      <c r="C1995" t="s">
        <v>40</v>
      </c>
      <c r="D1995">
        <v>4.728618</v>
      </c>
      <c r="E1995">
        <v>0.5338387</v>
      </c>
      <c r="F1995" t="s">
        <v>42</v>
      </c>
      <c r="G1995">
        <v>-472.1764</v>
      </c>
      <c r="H1995">
        <v>0.86398430000000004</v>
      </c>
      <c r="I1995">
        <v>284.55709999999999</v>
      </c>
      <c r="J1995">
        <v>-471.8897</v>
      </c>
      <c r="K1995">
        <v>1.127742</v>
      </c>
      <c r="L1995">
        <v>284.60340000000002</v>
      </c>
      <c r="M1995">
        <v>-0.99694349999999998</v>
      </c>
      <c r="N1995">
        <v>-1.4125499999999999E-2</v>
      </c>
      <c r="O1995">
        <v>-7.6838660000000003E-2</v>
      </c>
      <c r="P1995">
        <v>-0.96317730000000001</v>
      </c>
      <c r="Q1995">
        <v>0.15783239999999901</v>
      </c>
      <c r="R1995">
        <v>-0.21766650000000001</v>
      </c>
      <c r="S1995">
        <v>-3.2128299999999999</v>
      </c>
      <c r="T1995">
        <v>-1.1350899999999999</v>
      </c>
      <c r="U1995">
        <v>-0.40078740000000002</v>
      </c>
      <c r="V1995">
        <v>-0.1457359</v>
      </c>
      <c r="W1995">
        <v>0.16930590000000001</v>
      </c>
      <c r="X1995">
        <v>0.97472890000000001</v>
      </c>
      <c r="Y1995">
        <v>-4.836969E-2</v>
      </c>
      <c r="Z1995">
        <v>1.65351E-2</v>
      </c>
      <c r="AA1995">
        <v>0.99869260000000004</v>
      </c>
      <c r="AB1995">
        <v>27</v>
      </c>
      <c r="AC1995">
        <v>-0.28669999999999601</v>
      </c>
      <c r="AD1995">
        <v>-0.26375769999999998</v>
      </c>
      <c r="AE1995">
        <v>-4.6300000000030601E-2</v>
      </c>
      <c r="AF1995">
        <v>-1.3223705521378601E-2</v>
      </c>
      <c r="AG1995">
        <v>-0.26375769999999998</v>
      </c>
      <c r="AH1995">
        <v>0.15859417501046399</v>
      </c>
      <c r="AI1995">
        <v>148.89431363943501</v>
      </c>
      <c r="AJ1995">
        <v>94.766341248244302</v>
      </c>
      <c r="AK1995">
        <v>0.308050487816942</v>
      </c>
      <c r="AL1995">
        <v>80.252534275694899</v>
      </c>
      <c r="AM1995">
        <v>98.503546949521507</v>
      </c>
      <c r="AN1995">
        <v>0.99999993440941204</v>
      </c>
    </row>
    <row r="1996" spans="1:40" x14ac:dyDescent="0.25">
      <c r="A1996" t="str">
        <f>"20190303162543390"</f>
        <v>20190303162543390</v>
      </c>
      <c r="B1996" t="str">
        <f>"1551601543385284"</f>
        <v>1551601543385284</v>
      </c>
      <c r="C1996" t="s">
        <v>40</v>
      </c>
      <c r="D1996">
        <v>4.7838880000000001</v>
      </c>
      <c r="E1996">
        <v>0.53384549999999997</v>
      </c>
      <c r="F1996" t="s">
        <v>42</v>
      </c>
      <c r="G1996">
        <v>-472.64920000000001</v>
      </c>
      <c r="H1996">
        <v>0.85533539999999997</v>
      </c>
      <c r="I1996">
        <v>284.4957</v>
      </c>
      <c r="J1996">
        <v>-472.1617</v>
      </c>
      <c r="K1996">
        <v>1.12792</v>
      </c>
      <c r="L1996">
        <v>284.57220000000001</v>
      </c>
      <c r="M1996">
        <v>-0.99615929999999997</v>
      </c>
      <c r="N1996">
        <v>-1.3987329999999999E-2</v>
      </c>
      <c r="O1996">
        <v>-8.643526E-2</v>
      </c>
      <c r="P1996">
        <v>-0.9596633</v>
      </c>
      <c r="Q1996">
        <v>0.1571794</v>
      </c>
      <c r="R1996">
        <v>-0.23311219999999999</v>
      </c>
      <c r="S1996">
        <v>-3.2001949999999999</v>
      </c>
      <c r="T1996">
        <v>-1.1496500000000001</v>
      </c>
      <c r="U1996">
        <v>-0.45529170000000002</v>
      </c>
      <c r="V1996">
        <v>-0.15208820000000001</v>
      </c>
      <c r="W1996">
        <v>0.16832549999999999</v>
      </c>
      <c r="X1996">
        <v>0.97392800000000002</v>
      </c>
      <c r="Y1996">
        <v>-5.6042149999999999E-2</v>
      </c>
      <c r="Z1996">
        <v>1.8604530000000001E-2</v>
      </c>
      <c r="AA1996">
        <v>0.99825509999999995</v>
      </c>
      <c r="AB1996">
        <v>27</v>
      </c>
      <c r="AC1996">
        <v>-0.48750000000001098</v>
      </c>
      <c r="AD1996">
        <v>-0.27258460000000001</v>
      </c>
      <c r="AE1996">
        <v>-7.6500000000009893E-2</v>
      </c>
      <c r="AF1996">
        <v>-2.6106413580321602E-2</v>
      </c>
      <c r="AG1996">
        <v>-0.27258460000000001</v>
      </c>
      <c r="AH1996">
        <v>0.37719395731868299</v>
      </c>
      <c r="AI1996">
        <v>125.78932574078399</v>
      </c>
      <c r="AJ1996">
        <v>93.9592514489199</v>
      </c>
      <c r="AK1996">
        <v>0.46611070618997302</v>
      </c>
      <c r="AL1996">
        <v>80.3095258717577</v>
      </c>
      <c r="AM1996">
        <v>98.875602585489005</v>
      </c>
      <c r="AN1996">
        <v>1.00000002185674</v>
      </c>
    </row>
    <row r="1997" spans="1:40" x14ac:dyDescent="0.25">
      <c r="A1997" t="str">
        <f>"20190303162543412"</f>
        <v>20190303162543412</v>
      </c>
      <c r="B1997" t="str">
        <f>"1551601543404804"</f>
        <v>1551601543404804</v>
      </c>
      <c r="C1997" t="s">
        <v>40</v>
      </c>
      <c r="D1997">
        <v>4.7662180000000003</v>
      </c>
      <c r="E1997">
        <v>0.53388359999999901</v>
      </c>
      <c r="F1997" t="s">
        <v>42</v>
      </c>
      <c r="G1997">
        <v>-472.89060000000001</v>
      </c>
      <c r="H1997">
        <v>0.86554719999999996</v>
      </c>
      <c r="I1997">
        <v>284.45839999999998</v>
      </c>
      <c r="J1997">
        <v>-472.42110000000002</v>
      </c>
      <c r="K1997">
        <v>1.1280779999999999</v>
      </c>
      <c r="L1997">
        <v>284.53960000000001</v>
      </c>
      <c r="M1997">
        <v>-0.99529840000000003</v>
      </c>
      <c r="N1997">
        <v>-1.386109E-2</v>
      </c>
      <c r="O1997">
        <v>-9.586008E-2</v>
      </c>
      <c r="P1997">
        <v>-0.95461169999999995</v>
      </c>
      <c r="Q1997">
        <v>0.1573031</v>
      </c>
      <c r="R1997">
        <v>-0.25292759999999997</v>
      </c>
      <c r="S1997">
        <v>-3.1931759999999998</v>
      </c>
      <c r="T1997">
        <v>-1.1504110000000001</v>
      </c>
      <c r="U1997">
        <v>-0.49963380000000002</v>
      </c>
      <c r="V1997">
        <v>-0.16312779999999999</v>
      </c>
      <c r="W1997">
        <v>0.16804340000000001</v>
      </c>
      <c r="X1997">
        <v>0.97218859999999996</v>
      </c>
      <c r="Y1997">
        <v>-6.0698450000000001E-2</v>
      </c>
      <c r="Z1997">
        <v>2.093308E-2</v>
      </c>
      <c r="AA1997">
        <v>0.99793659999999995</v>
      </c>
      <c r="AB1997">
        <v>27</v>
      </c>
      <c r="AC1997">
        <v>-0.46949999999998199</v>
      </c>
      <c r="AD1997">
        <v>-0.26253080000000001</v>
      </c>
      <c r="AE1997">
        <v>-8.1200000000023906E-2</v>
      </c>
      <c r="AF1997">
        <v>-2.7474377459471701E-2</v>
      </c>
      <c r="AG1997">
        <v>-0.26253080000000001</v>
      </c>
      <c r="AH1997">
        <v>0.36447161844137799</v>
      </c>
      <c r="AI1997">
        <v>125.688453566085</v>
      </c>
      <c r="AJ1997">
        <v>94.310882555313498</v>
      </c>
      <c r="AK1997">
        <v>0.45001869185035298</v>
      </c>
      <c r="AL1997">
        <v>80.325922053705796</v>
      </c>
      <c r="AM1997">
        <v>99.525178552364096</v>
      </c>
      <c r="AN1997">
        <v>0.99999996869317898</v>
      </c>
    </row>
    <row r="1998" spans="1:40" x14ac:dyDescent="0.25">
      <c r="A1998" t="str">
        <f>"20190303162543435"</f>
        <v>20190303162543435</v>
      </c>
      <c r="B1998" t="str">
        <f>"1551601543425299"</f>
        <v>1551601543425299</v>
      </c>
      <c r="C1998" t="s">
        <v>40</v>
      </c>
      <c r="D1998">
        <v>5.0999410000000003</v>
      </c>
      <c r="E1998">
        <v>0.53386709999999904</v>
      </c>
      <c r="F1998" t="s">
        <v>42</v>
      </c>
      <c r="G1998">
        <v>-473.13010000000003</v>
      </c>
      <c r="H1998">
        <v>0.87217319999999998</v>
      </c>
      <c r="I1998">
        <v>284.4144</v>
      </c>
      <c r="J1998">
        <v>-472.68939999999998</v>
      </c>
      <c r="K1998">
        <v>1.128247</v>
      </c>
      <c r="L1998">
        <v>284.50299999999999</v>
      </c>
      <c r="M1998">
        <v>-0.99428150000000004</v>
      </c>
      <c r="N1998">
        <v>-1.3741720000000001E-2</v>
      </c>
      <c r="O1998">
        <v>-0.1059031</v>
      </c>
      <c r="P1998">
        <v>-0.94827930000000005</v>
      </c>
      <c r="Q1998">
        <v>0.15603610000000001</v>
      </c>
      <c r="R1998">
        <v>-0.27644099999999999</v>
      </c>
      <c r="S1998">
        <v>-3.1830750000000001</v>
      </c>
      <c r="T1998">
        <v>-1.1493610000000001</v>
      </c>
      <c r="U1998">
        <v>-0.56234740000000005</v>
      </c>
      <c r="V1998">
        <v>-0.177388299999999</v>
      </c>
      <c r="W1998">
        <v>0.16630249999999999</v>
      </c>
      <c r="X1998">
        <v>0.96998810000000002</v>
      </c>
      <c r="Y1998">
        <v>-7.0195519999999997E-2</v>
      </c>
      <c r="Z1998">
        <v>2.2565040000000001E-2</v>
      </c>
      <c r="AA1998">
        <v>0.997278</v>
      </c>
      <c r="AB1998">
        <v>27</v>
      </c>
      <c r="AC1998">
        <v>-0.440700000000049</v>
      </c>
      <c r="AD1998">
        <v>-0.25607379999999902</v>
      </c>
      <c r="AE1998">
        <v>-8.8599999999985302E-2</v>
      </c>
      <c r="AF1998">
        <v>-3.1276146873794701E-2</v>
      </c>
      <c r="AG1998">
        <v>-0.25607379999999902</v>
      </c>
      <c r="AH1998">
        <v>0.33793864571003301</v>
      </c>
      <c r="AI1998">
        <v>127.03556808732201</v>
      </c>
      <c r="AJ1998">
        <v>95.287648992542003</v>
      </c>
      <c r="AK1998">
        <v>0.42515234525290102</v>
      </c>
      <c r="AL1998">
        <v>80.427092517025898</v>
      </c>
      <c r="AM1998">
        <v>100.363547795806</v>
      </c>
      <c r="AN1998">
        <v>1.00000002231237</v>
      </c>
    </row>
    <row r="1999" spans="1:40" x14ac:dyDescent="0.25">
      <c r="A1999" t="str">
        <f>"20190303162543459"</f>
        <v>20190303162543459</v>
      </c>
      <c r="B1999" t="str">
        <f>"1551601543454581"</f>
        <v>1551601543454581</v>
      </c>
      <c r="C1999" t="s">
        <v>40</v>
      </c>
      <c r="D1999">
        <v>4.877173</v>
      </c>
      <c r="E1999">
        <v>0.50507939999999996</v>
      </c>
      <c r="F1999" t="s">
        <v>42</v>
      </c>
      <c r="G1999">
        <v>-473.36970000000002</v>
      </c>
      <c r="H1999">
        <v>0.88090749999999995</v>
      </c>
      <c r="I1999">
        <v>284.36669999999998</v>
      </c>
      <c r="J1999">
        <v>-472.96749999999997</v>
      </c>
      <c r="K1999">
        <v>1.128423</v>
      </c>
      <c r="L1999">
        <v>284.46199999999999</v>
      </c>
      <c r="M1999">
        <v>-0.99308350000000001</v>
      </c>
      <c r="N1999">
        <v>-1.363204E-2</v>
      </c>
      <c r="O1999">
        <v>-0.116617899999999</v>
      </c>
      <c r="P1999">
        <v>-0.9406603</v>
      </c>
      <c r="Q1999">
        <v>0.1542867</v>
      </c>
      <c r="R1999">
        <v>-0.30224869999999998</v>
      </c>
      <c r="S1999">
        <v>-3.1680600000000001</v>
      </c>
      <c r="T1999">
        <v>-1.1528719999999999</v>
      </c>
      <c r="U1999">
        <v>-0.63565059999999995</v>
      </c>
      <c r="V1999">
        <v>-0.19346350000000001</v>
      </c>
      <c r="W1999">
        <v>0.16403110000000001</v>
      </c>
      <c r="X1999">
        <v>0.9672982</v>
      </c>
      <c r="Y1999">
        <v>-8.2370009999999994E-2</v>
      </c>
      <c r="Z1999">
        <v>2.405216E-2</v>
      </c>
      <c r="AA1999">
        <v>0.99631150000000002</v>
      </c>
      <c r="AB1999">
        <v>27</v>
      </c>
      <c r="AC1999">
        <v>-0.40220000000005002</v>
      </c>
      <c r="AD1999">
        <v>-0.247515499999999</v>
      </c>
      <c r="AE1999">
        <v>-9.5300000000008794E-2</v>
      </c>
      <c r="AF1999">
        <v>-3.5140535918419098E-2</v>
      </c>
      <c r="AG1999">
        <v>-0.247515499999999</v>
      </c>
      <c r="AH1999">
        <v>0.30220307419574899</v>
      </c>
      <c r="AI1999">
        <v>129.13026090596301</v>
      </c>
      <c r="AJ1999">
        <v>96.632635004140795</v>
      </c>
      <c r="AK1999">
        <v>0.39220591282927503</v>
      </c>
      <c r="AL1999">
        <v>80.559046913068102</v>
      </c>
      <c r="AM1999">
        <v>101.310152318661</v>
      </c>
      <c r="AN1999">
        <v>1.0000000676613401</v>
      </c>
    </row>
    <row r="2000" spans="1:40" x14ac:dyDescent="0.25">
      <c r="A2000" t="str">
        <f>"20190303162543480"</f>
        <v>20190303162543480</v>
      </c>
      <c r="B2000" t="str">
        <f>"1551601543474697"</f>
        <v>1551601543474697</v>
      </c>
      <c r="C2000" t="s">
        <v>40</v>
      </c>
      <c r="D2000">
        <v>4.904407</v>
      </c>
      <c r="E2000">
        <v>0.44185099999999999</v>
      </c>
      <c r="F2000" t="s">
        <v>46</v>
      </c>
      <c r="G2000">
        <v>-480.08240000000001</v>
      </c>
      <c r="H2000" s="1">
        <v>2.0170610000000001E-6</v>
      </c>
      <c r="I2000">
        <v>282.29070000000002</v>
      </c>
      <c r="J2000">
        <v>-473.22280000000001</v>
      </c>
      <c r="K2000">
        <v>1.1285959999999999</v>
      </c>
      <c r="L2000">
        <v>284.42110000000002</v>
      </c>
      <c r="M2000">
        <v>-0.99184229999999995</v>
      </c>
      <c r="N2000">
        <v>-1.354667E-2</v>
      </c>
      <c r="O2000">
        <v>-0.12674859999999999</v>
      </c>
      <c r="P2000">
        <v>-0.93336209999999997</v>
      </c>
      <c r="Q2000">
        <v>0.15308720000000001</v>
      </c>
      <c r="R2000">
        <v>-0.32465309999999997</v>
      </c>
      <c r="S2000">
        <v>-2.9749759999999998</v>
      </c>
      <c r="T2000">
        <v>-0.47182629999999998</v>
      </c>
      <c r="U2000">
        <v>-0.90786739999999999</v>
      </c>
      <c r="V2000">
        <v>-0.20675789999999999</v>
      </c>
      <c r="W2000">
        <v>0.16237839999999901</v>
      </c>
      <c r="X2000">
        <v>0.96482349999999995</v>
      </c>
      <c r="Y2000">
        <v>-0.16740450000000001</v>
      </c>
      <c r="Z2000">
        <v>3.657647E-3</v>
      </c>
      <c r="AA2000">
        <v>0.98588149999999997</v>
      </c>
      <c r="AB2000">
        <v>27</v>
      </c>
      <c r="AC2000">
        <v>-6.8596000000000004</v>
      </c>
      <c r="AD2000">
        <v>-1.1285939829389999</v>
      </c>
      <c r="AE2000">
        <v>-2.1303999999999998</v>
      </c>
      <c r="AF2000">
        <v>-1.21372580044698</v>
      </c>
      <c r="AG2000">
        <v>-1.1285939829389999</v>
      </c>
      <c r="AH2000">
        <v>6.9038729961687499</v>
      </c>
      <c r="AI2000">
        <v>99.146327096806701</v>
      </c>
      <c r="AJ2000">
        <v>99.970914721409699</v>
      </c>
      <c r="AK2000">
        <v>7.1000223270229803</v>
      </c>
      <c r="AL2000">
        <v>80.655025700941195</v>
      </c>
      <c r="AM2000">
        <v>102.095325257279</v>
      </c>
      <c r="AN2000">
        <v>0.99999998007560897</v>
      </c>
    </row>
    <row r="2001" spans="1:40" x14ac:dyDescent="0.25">
      <c r="A2001" t="str">
        <f>"20190303162543503"</f>
        <v>20190303162543503</v>
      </c>
      <c r="B2001" t="str">
        <f>"1551601543495192"</f>
        <v>1551601543495192</v>
      </c>
      <c r="C2001" t="s">
        <v>40</v>
      </c>
      <c r="D2001">
        <v>4.8798629999999896</v>
      </c>
      <c r="E2001">
        <v>0.430313</v>
      </c>
      <c r="F2001" t="s">
        <v>46</v>
      </c>
      <c r="G2001">
        <v>-488.83690000000001</v>
      </c>
      <c r="H2001" s="1">
        <v>2.1384339999999998E-6</v>
      </c>
      <c r="I2001">
        <v>276.22809999999998</v>
      </c>
      <c r="J2001">
        <v>-473.488</v>
      </c>
      <c r="K2001">
        <v>1.1287739999999999</v>
      </c>
      <c r="L2001">
        <v>284.37549999999999</v>
      </c>
      <c r="M2001">
        <v>-0.99041029999999997</v>
      </c>
      <c r="N2001">
        <v>-1.347022E-2</v>
      </c>
      <c r="O2001">
        <v>-0.1374996</v>
      </c>
      <c r="P2001">
        <v>-0.92661349999999998</v>
      </c>
      <c r="Q2001">
        <v>0.1520763</v>
      </c>
      <c r="R2001">
        <v>-0.34389029999999998</v>
      </c>
      <c r="S2001">
        <v>-2.7456360000000002</v>
      </c>
      <c r="T2001">
        <v>-0.1984562</v>
      </c>
      <c r="U2001">
        <v>-1.440674</v>
      </c>
      <c r="V2001">
        <v>-0.21629129999999999</v>
      </c>
      <c r="W2001">
        <v>0.160994</v>
      </c>
      <c r="X2001">
        <v>0.96296360000000003</v>
      </c>
      <c r="Y2001">
        <v>-0.33779949999999997</v>
      </c>
      <c r="Z2001">
        <v>-6.4049019999999996E-3</v>
      </c>
      <c r="AA2001">
        <v>0.94119629999999999</v>
      </c>
      <c r="AB2001">
        <v>27</v>
      </c>
      <c r="AC2001">
        <v>-15.348899999999899</v>
      </c>
      <c r="AD2001">
        <v>-1.1287718615659901</v>
      </c>
      <c r="AE2001">
        <v>-8.1473999999999993</v>
      </c>
      <c r="AF2001">
        <v>-5.9343023334775902</v>
      </c>
      <c r="AG2001">
        <v>-1.1287718615659901</v>
      </c>
      <c r="AH2001">
        <v>16.254866957850499</v>
      </c>
      <c r="AI2001">
        <v>93.732170545533194</v>
      </c>
      <c r="AJ2001">
        <v>110.056050648378</v>
      </c>
      <c r="AK2001">
        <v>17.341014097162901</v>
      </c>
      <c r="AL2001">
        <v>80.735403250436804</v>
      </c>
      <c r="AM2001">
        <v>102.65911568104499</v>
      </c>
      <c r="AN2001">
        <v>0.99999994470832299</v>
      </c>
    </row>
    <row r="2002" spans="1:40" x14ac:dyDescent="0.25">
      <c r="A2002" t="str">
        <f>"20190303162543525"</f>
        <v>20190303162543525</v>
      </c>
      <c r="B2002" t="str">
        <f>"1551601543516664"</f>
        <v>1551601543516664</v>
      </c>
      <c r="C2002" t="s">
        <v>40</v>
      </c>
      <c r="D2002">
        <v>5.1267440000000004</v>
      </c>
      <c r="E2002">
        <v>0.35485709999999998</v>
      </c>
      <c r="F2002" t="s">
        <v>46</v>
      </c>
      <c r="G2002">
        <v>-491.4144</v>
      </c>
      <c r="H2002" s="1">
        <v>1.4780220000000001E-6</v>
      </c>
      <c r="I2002">
        <v>273.79750000000001</v>
      </c>
      <c r="J2002">
        <v>-473.75450000000001</v>
      </c>
      <c r="K2002">
        <v>1.1289439999999999</v>
      </c>
      <c r="L2002">
        <v>284.32650000000001</v>
      </c>
      <c r="M2002">
        <v>-0.98881520000000001</v>
      </c>
      <c r="N2002">
        <v>-1.340381E-2</v>
      </c>
      <c r="O2002">
        <v>-0.14854210000000001</v>
      </c>
      <c r="P2002">
        <v>-0.92015590000000003</v>
      </c>
      <c r="Q2002">
        <v>0.15222449999999901</v>
      </c>
      <c r="R2002">
        <v>-0.36075000000000002</v>
      </c>
      <c r="S2002">
        <v>-2.6786500000000002</v>
      </c>
      <c r="T2002">
        <v>-0.1686666</v>
      </c>
      <c r="U2002">
        <v>-1.580627</v>
      </c>
      <c r="V2002">
        <v>-0.22321150000000001</v>
      </c>
      <c r="W2002">
        <v>0.16083120000000001</v>
      </c>
      <c r="X2002">
        <v>0.9614104</v>
      </c>
      <c r="Y2002">
        <v>-0.3740655</v>
      </c>
      <c r="Z2002">
        <v>-6.9163310000000004E-3</v>
      </c>
      <c r="AA2002">
        <v>0.92737639999999999</v>
      </c>
      <c r="AB2002">
        <v>27</v>
      </c>
      <c r="AC2002">
        <v>-17.659899999999901</v>
      </c>
      <c r="AD2002">
        <v>-1.128942521978</v>
      </c>
      <c r="AE2002">
        <v>-10.5289999999999</v>
      </c>
      <c r="AF2002">
        <v>-7.7652847638638001</v>
      </c>
      <c r="AG2002">
        <v>-1.128942521978</v>
      </c>
      <c r="AH2002">
        <v>18.9708914041267</v>
      </c>
      <c r="AI2002">
        <v>93.1523238880647</v>
      </c>
      <c r="AJ2002">
        <v>112.26057603107</v>
      </c>
      <c r="AK2002">
        <v>20.529707239729301</v>
      </c>
      <c r="AL2002">
        <v>80.744854705484002</v>
      </c>
      <c r="AM2002">
        <v>103.070841455623</v>
      </c>
      <c r="AN2002">
        <v>1.00000000292692</v>
      </c>
    </row>
    <row r="2003" spans="1:40" x14ac:dyDescent="0.25">
      <c r="A2003" t="str">
        <f>"20190303162543547"</f>
        <v>20190303162543547</v>
      </c>
      <c r="B2003" t="str">
        <f>"1551601543535209"</f>
        <v>1551601543535209</v>
      </c>
      <c r="C2003" t="s">
        <v>40</v>
      </c>
      <c r="D2003">
        <v>5.0035990000000004</v>
      </c>
      <c r="E2003">
        <v>0.34950350000000002</v>
      </c>
      <c r="F2003" t="s">
        <v>42</v>
      </c>
      <c r="G2003">
        <v>-474.51679999999999</v>
      </c>
      <c r="H2003">
        <v>1.0143660000000001</v>
      </c>
      <c r="I2003">
        <v>283.6456</v>
      </c>
      <c r="J2003">
        <v>-474.02319999999997</v>
      </c>
      <c r="K2003">
        <v>1.129116</v>
      </c>
      <c r="L2003">
        <v>284.27379999999999</v>
      </c>
      <c r="M2003">
        <v>-0.98703859999999999</v>
      </c>
      <c r="N2003">
        <v>-1.334924E-2</v>
      </c>
      <c r="O2003">
        <v>-0.1599275</v>
      </c>
      <c r="P2003">
        <v>-0.91363110000000003</v>
      </c>
      <c r="Q2003">
        <v>0.15162909999999999</v>
      </c>
      <c r="R2003">
        <v>-0.37720959999999998</v>
      </c>
      <c r="S2003">
        <v>-2.4597470000000001</v>
      </c>
      <c r="T2003">
        <v>-0.36966450000000001</v>
      </c>
      <c r="U2003">
        <v>-2.1980590000000002</v>
      </c>
      <c r="V2003">
        <v>-0.2294387</v>
      </c>
      <c r="W2003">
        <v>0.1599477</v>
      </c>
      <c r="X2003">
        <v>0.96009089999999997</v>
      </c>
      <c r="Y2003">
        <v>-0.53557980000000005</v>
      </c>
      <c r="Z2003">
        <v>-2.0137869999999999E-2</v>
      </c>
      <c r="AA2003">
        <v>0.84424449999999995</v>
      </c>
      <c r="AB2003">
        <v>27</v>
      </c>
      <c r="AC2003">
        <v>-0.49360000000001403</v>
      </c>
      <c r="AD2003">
        <v>-0.11475</v>
      </c>
      <c r="AE2003">
        <v>-0.62819999999999199</v>
      </c>
      <c r="AF2003">
        <v>-0.53022707766240595</v>
      </c>
      <c r="AG2003">
        <v>-0.11475</v>
      </c>
      <c r="AH2003">
        <v>0.57584147551409604</v>
      </c>
      <c r="AI2003">
        <v>98.339824297880497</v>
      </c>
      <c r="AJ2003">
        <v>132.638453472832</v>
      </c>
      <c r="AK2003">
        <v>0.79113950812019596</v>
      </c>
      <c r="AL2003">
        <v>80.796139072388399</v>
      </c>
      <c r="AM2003">
        <v>103.440245878336</v>
      </c>
      <c r="AN2003">
        <v>0.99999996002789404</v>
      </c>
    </row>
    <row r="2004" spans="1:40" x14ac:dyDescent="0.25">
      <c r="A2004" t="str">
        <f>"20190303162543570"</f>
        <v>20190303162543570</v>
      </c>
      <c r="B2004" t="str">
        <f>"1551601543565464"</f>
        <v>1551601543565464</v>
      </c>
      <c r="C2004" t="s">
        <v>40</v>
      </c>
      <c r="D2004">
        <v>4.9254020000000001</v>
      </c>
      <c r="E2004">
        <v>0.35447909999999999</v>
      </c>
      <c r="F2004" t="s">
        <v>42</v>
      </c>
      <c r="G2004">
        <v>-474.74450000000002</v>
      </c>
      <c r="H2004">
        <v>1.0054259999999999</v>
      </c>
      <c r="I2004">
        <v>283.59160000000003</v>
      </c>
      <c r="J2004">
        <v>-474.27510000000001</v>
      </c>
      <c r="K2004">
        <v>1.1292690000000001</v>
      </c>
      <c r="L2004">
        <v>284.22120000000001</v>
      </c>
      <c r="M2004">
        <v>-0.98521040000000004</v>
      </c>
      <c r="N2004">
        <v>-1.3310570000000001E-2</v>
      </c>
      <c r="O2004">
        <v>-0.1708317</v>
      </c>
      <c r="P2004">
        <v>-0.90700689999999995</v>
      </c>
      <c r="Q2004">
        <v>0.15168980000000001</v>
      </c>
      <c r="R2004">
        <v>-0.3928469</v>
      </c>
      <c r="S2004">
        <v>-2.4107669999999999</v>
      </c>
      <c r="T2004">
        <v>-0.41340700000000002</v>
      </c>
      <c r="U2004">
        <v>-2.280151</v>
      </c>
      <c r="V2004">
        <v>-0.23538819999999999</v>
      </c>
      <c r="W2004">
        <v>0.1597411</v>
      </c>
      <c r="X2004">
        <v>0.95868410000000004</v>
      </c>
      <c r="Y2004">
        <v>-0.54937499999999995</v>
      </c>
      <c r="Z2004">
        <v>-2.1624770000000001E-2</v>
      </c>
      <c r="AA2004">
        <v>0.83529609999999999</v>
      </c>
      <c r="AB2004">
        <v>27</v>
      </c>
      <c r="AC2004">
        <v>-0.46940000000000698</v>
      </c>
      <c r="AD2004">
        <v>-0.12384299999999999</v>
      </c>
      <c r="AE2004">
        <v>-0.62959999999998195</v>
      </c>
      <c r="AF2004">
        <v>-0.52704125310867</v>
      </c>
      <c r="AG2004">
        <v>-0.12384299999999999</v>
      </c>
      <c r="AH2004">
        <v>0.55623132553425603</v>
      </c>
      <c r="AI2004">
        <v>99.180673096319296</v>
      </c>
      <c r="AJ2004">
        <v>133.45647035530899</v>
      </c>
      <c r="AK2004">
        <v>0.77621057621817602</v>
      </c>
      <c r="AL2004">
        <v>80.808131062143403</v>
      </c>
      <c r="AM2004">
        <v>103.79508490701799</v>
      </c>
      <c r="AN2004">
        <v>1.00000001366063</v>
      </c>
    </row>
    <row r="2005" spans="1:40" x14ac:dyDescent="0.25">
      <c r="A2005" t="str">
        <f>"20190303162543591"</f>
        <v>20190303162543591</v>
      </c>
      <c r="B2005" t="str">
        <f>"1551601543584985"</f>
        <v>1551601543584985</v>
      </c>
      <c r="C2005" t="s">
        <v>40</v>
      </c>
      <c r="D2005">
        <v>5.0203110000000004</v>
      </c>
      <c r="E2005">
        <v>0.35852669999999998</v>
      </c>
      <c r="F2005" t="s">
        <v>42</v>
      </c>
      <c r="G2005">
        <v>-474.9778</v>
      </c>
      <c r="H2005">
        <v>1.0044919999999999</v>
      </c>
      <c r="I2005">
        <v>283.55079999999998</v>
      </c>
      <c r="J2005">
        <v>-474.53390000000002</v>
      </c>
      <c r="K2005">
        <v>1.1294360000000001</v>
      </c>
      <c r="L2005">
        <v>284.16390000000001</v>
      </c>
      <c r="M2005">
        <v>-0.98315900000000001</v>
      </c>
      <c r="N2005">
        <v>-1.3285129999999999E-2</v>
      </c>
      <c r="O2005">
        <v>-0.18226909999999999</v>
      </c>
      <c r="P2005">
        <v>-0.90009589999999995</v>
      </c>
      <c r="Q2005">
        <v>0.15089439999999901</v>
      </c>
      <c r="R2005">
        <v>-0.40872779999999997</v>
      </c>
      <c r="S2005">
        <v>-2.390717</v>
      </c>
      <c r="T2005">
        <v>-0.42448370000000002</v>
      </c>
      <c r="U2005">
        <v>-2.2807309999999998</v>
      </c>
      <c r="V2005">
        <v>-0.2411296</v>
      </c>
      <c r="W2005">
        <v>0.15868940000000001</v>
      </c>
      <c r="X2005">
        <v>0.95743100000000003</v>
      </c>
      <c r="Y2005">
        <v>-0.54319659999999903</v>
      </c>
      <c r="Z2005">
        <v>-2.0131260000000002E-2</v>
      </c>
      <c r="AA2005">
        <v>0.8393642</v>
      </c>
      <c r="AB2005">
        <v>27</v>
      </c>
      <c r="AC2005">
        <v>-0.44389999999998497</v>
      </c>
      <c r="AD2005">
        <v>-0.124944</v>
      </c>
      <c r="AE2005">
        <v>-0.61310000000003095</v>
      </c>
      <c r="AF2005">
        <v>-0.50806809771557104</v>
      </c>
      <c r="AG2005">
        <v>-0.124944</v>
      </c>
      <c r="AH2005">
        <v>0.53368048672050294</v>
      </c>
      <c r="AI2005">
        <v>99.623821080957796</v>
      </c>
      <c r="AJ2005">
        <v>133.59161198804</v>
      </c>
      <c r="AK2005">
        <v>0.74736808666048404</v>
      </c>
      <c r="AL2005">
        <v>80.869167173870295</v>
      </c>
      <c r="AM2005">
        <v>104.1359959369</v>
      </c>
      <c r="AN2005">
        <v>0.99999996471475905</v>
      </c>
    </row>
    <row r="2006" spans="1:40" x14ac:dyDescent="0.25">
      <c r="A2006" t="str">
        <f>"20190303162543614"</f>
        <v>20190303162543614</v>
      </c>
      <c r="B2006" t="str">
        <f>"1551601543605481"</f>
        <v>1551601543605481</v>
      </c>
      <c r="C2006" t="s">
        <v>40</v>
      </c>
      <c r="D2006">
        <v>4.9977869999999998</v>
      </c>
      <c r="E2006">
        <v>0.36228650000000001</v>
      </c>
      <c r="F2006" t="s">
        <v>42</v>
      </c>
      <c r="G2006">
        <v>-475.21080000000001</v>
      </c>
      <c r="H2006">
        <v>1.0076270000000001</v>
      </c>
      <c r="I2006">
        <v>283.50799999999998</v>
      </c>
      <c r="J2006">
        <v>-474.79250000000002</v>
      </c>
      <c r="K2006">
        <v>1.1295900000000001</v>
      </c>
      <c r="L2006">
        <v>284.10329999999999</v>
      </c>
      <c r="M2006">
        <v>-0.98092840000000003</v>
      </c>
      <c r="N2006">
        <v>-1.327356E-2</v>
      </c>
      <c r="O2006">
        <v>-0.19391610000000001</v>
      </c>
      <c r="P2006">
        <v>-0.89323090000000005</v>
      </c>
      <c r="Q2006">
        <v>0.14953469999999999</v>
      </c>
      <c r="R2006">
        <v>-0.4240025</v>
      </c>
      <c r="S2006">
        <v>-2.3640439999999998</v>
      </c>
      <c r="T2006">
        <v>-0.42538520000000002</v>
      </c>
      <c r="U2006">
        <v>-2.2907709999999999</v>
      </c>
      <c r="V2006">
        <v>-0.2460832</v>
      </c>
      <c r="W2006">
        <v>0.15710550000000001</v>
      </c>
      <c r="X2006">
        <v>0.95643129999999998</v>
      </c>
      <c r="Y2006">
        <v>-0.5398714</v>
      </c>
      <c r="Z2006">
        <v>-1.8465789999999999E-2</v>
      </c>
      <c r="AA2006">
        <v>0.84154490000000004</v>
      </c>
      <c r="AB2006">
        <v>27</v>
      </c>
      <c r="AC2006">
        <v>-0.41829999999998702</v>
      </c>
      <c r="AD2006">
        <v>-0.121962999999999</v>
      </c>
      <c r="AE2006">
        <v>-0.59530000000000804</v>
      </c>
      <c r="AF2006">
        <v>-0.489131206085753</v>
      </c>
      <c r="AG2006">
        <v>-0.121962999999999</v>
      </c>
      <c r="AH2006">
        <v>0.51143550394961601</v>
      </c>
      <c r="AI2006">
        <v>99.7783690281356</v>
      </c>
      <c r="AJ2006">
        <v>133.72299317451299</v>
      </c>
      <c r="AK2006">
        <v>0.71811599678332005</v>
      </c>
      <c r="AL2006">
        <v>80.961070773460804</v>
      </c>
      <c r="AM2006">
        <v>104.428848672905</v>
      </c>
      <c r="AN2006">
        <v>0.999999955536089</v>
      </c>
    </row>
    <row r="2007" spans="1:40" x14ac:dyDescent="0.25">
      <c r="A2007" t="str">
        <f>"20190303162543636"</f>
        <v>20190303162543636</v>
      </c>
      <c r="B2007" t="str">
        <f>"1551601543625001"</f>
        <v>1551601543625001</v>
      </c>
      <c r="C2007" t="s">
        <v>40</v>
      </c>
      <c r="D2007">
        <v>5.1277470000000003</v>
      </c>
      <c r="E2007">
        <v>0.3656066</v>
      </c>
      <c r="F2007" t="s">
        <v>42</v>
      </c>
      <c r="G2007">
        <v>-475.44349999999997</v>
      </c>
      <c r="H2007">
        <v>1.0113110000000001</v>
      </c>
      <c r="I2007">
        <v>283.46260000000001</v>
      </c>
      <c r="J2007">
        <v>-475.05500000000001</v>
      </c>
      <c r="K2007">
        <v>1.129732</v>
      </c>
      <c r="L2007">
        <v>284.03840000000002</v>
      </c>
      <c r="M2007">
        <v>-0.97847340000000005</v>
      </c>
      <c r="N2007">
        <v>-1.3270789999999999E-2</v>
      </c>
      <c r="O2007">
        <v>-0.2059462</v>
      </c>
      <c r="P2007">
        <v>-0.88589699999999905</v>
      </c>
      <c r="Q2007">
        <v>0.14682579999999901</v>
      </c>
      <c r="R2007">
        <v>-0.4400326</v>
      </c>
      <c r="S2007">
        <v>-2.3373719999999998</v>
      </c>
      <c r="T2007">
        <v>-0.4245987</v>
      </c>
      <c r="U2007">
        <v>-2.3011170000000001</v>
      </c>
      <c r="V2007">
        <v>-0.25149379999999999</v>
      </c>
      <c r="W2007">
        <v>0.15417049999999999</v>
      </c>
      <c r="X2007">
        <v>0.95550109999999999</v>
      </c>
      <c r="Y2007">
        <v>-0.53631980000000001</v>
      </c>
      <c r="Z2007">
        <v>-1.6670290000000001E-2</v>
      </c>
      <c r="AA2007">
        <v>0.84385030000000005</v>
      </c>
      <c r="AB2007">
        <v>27</v>
      </c>
      <c r="AC2007">
        <v>-0.38849999999996399</v>
      </c>
      <c r="AD2007">
        <v>-0.118420999999999</v>
      </c>
      <c r="AE2007">
        <v>-0.57580000000001497</v>
      </c>
      <c r="AF2007">
        <v>-0.46978287724738299</v>
      </c>
      <c r="AG2007">
        <v>-0.118420999999999</v>
      </c>
      <c r="AH2007">
        <v>0.48467716650557802</v>
      </c>
      <c r="AI2007">
        <v>99.950805274401702</v>
      </c>
      <c r="AJ2007">
        <v>134.10597551040499</v>
      </c>
      <c r="AK2007">
        <v>0.685296607847804</v>
      </c>
      <c r="AL2007">
        <v>81.131308966157704</v>
      </c>
      <c r="AM2007">
        <v>104.746150474838</v>
      </c>
      <c r="AN2007">
        <v>1.00000001330495</v>
      </c>
    </row>
    <row r="2008" spans="1:40" x14ac:dyDescent="0.25">
      <c r="A2008" t="str">
        <f>"20190303162543660"</f>
        <v>20190303162543660</v>
      </c>
      <c r="B2008" t="str">
        <f>"1551601543645497"</f>
        <v>1551601543645497</v>
      </c>
      <c r="C2008" t="s">
        <v>40</v>
      </c>
      <c r="D2008">
        <v>5.1219539999999997</v>
      </c>
      <c r="E2008">
        <v>0.36873669999999997</v>
      </c>
      <c r="F2008" t="s">
        <v>42</v>
      </c>
      <c r="G2008">
        <v>-475.67579999999998</v>
      </c>
      <c r="H2008">
        <v>1.015757</v>
      </c>
      <c r="I2008">
        <v>283.41480000000001</v>
      </c>
      <c r="J2008">
        <v>-475.31189999999998</v>
      </c>
      <c r="K2008">
        <v>1.1298619999999999</v>
      </c>
      <c r="L2008">
        <v>283.97109999999998</v>
      </c>
      <c r="M2008">
        <v>-0.97587639999999998</v>
      </c>
      <c r="N2008">
        <v>-1.327777E-2</v>
      </c>
      <c r="O2008">
        <v>-0.2179198</v>
      </c>
      <c r="P2008">
        <v>-0.87947450000000005</v>
      </c>
      <c r="Q2008">
        <v>0.14423359999999999</v>
      </c>
      <c r="R2008">
        <v>-0.45356540000000001</v>
      </c>
      <c r="S2008">
        <v>-2.3059080000000001</v>
      </c>
      <c r="T2008">
        <v>-0.42339490000000002</v>
      </c>
      <c r="U2008">
        <v>-2.3165589999999998</v>
      </c>
      <c r="V2008">
        <v>-0.2543454</v>
      </c>
      <c r="W2008">
        <v>0.1514326</v>
      </c>
      <c r="X2008">
        <v>0.95518400000000003</v>
      </c>
      <c r="Y2008">
        <v>-0.53462180000000004</v>
      </c>
      <c r="Z2008">
        <v>-1.503287E-2</v>
      </c>
      <c r="AA2008">
        <v>0.84495769999999903</v>
      </c>
      <c r="AB2008">
        <v>27</v>
      </c>
      <c r="AC2008">
        <v>-0.363900000000001</v>
      </c>
      <c r="AD2008">
        <v>-0.114105</v>
      </c>
      <c r="AE2008">
        <v>-0.55629999999996405</v>
      </c>
      <c r="AF2008">
        <v>-0.45035072307217999</v>
      </c>
      <c r="AG2008">
        <v>-0.114105</v>
      </c>
      <c r="AH2008">
        <v>0.462757475953333</v>
      </c>
      <c r="AI2008">
        <v>100.021196769722</v>
      </c>
      <c r="AJ2008">
        <v>134.22154807298099</v>
      </c>
      <c r="AK2008">
        <v>0.65572875973784694</v>
      </c>
      <c r="AL2008">
        <v>81.2900425599545</v>
      </c>
      <c r="AM2008">
        <v>104.910675887533</v>
      </c>
      <c r="AN2008">
        <v>0.99999994434995798</v>
      </c>
    </row>
    <row r="2009" spans="1:40" x14ac:dyDescent="0.25">
      <c r="A2009" t="str">
        <f>"20190303162543681"</f>
        <v>20190303162543681</v>
      </c>
      <c r="B2009" t="str">
        <f>"1551601543675298"</f>
        <v>1551601543675298</v>
      </c>
      <c r="C2009" t="s">
        <v>40</v>
      </c>
      <c r="D2009">
        <v>5.0690010000000001</v>
      </c>
      <c r="E2009">
        <v>0.39688889999999999</v>
      </c>
      <c r="F2009" t="s">
        <v>42</v>
      </c>
      <c r="G2009">
        <v>-476.07960000000003</v>
      </c>
      <c r="H2009">
        <v>0.98834129999999998</v>
      </c>
      <c r="I2009">
        <v>283.1866</v>
      </c>
      <c r="J2009">
        <v>-475.56990000000002</v>
      </c>
      <c r="K2009">
        <v>1.129977</v>
      </c>
      <c r="L2009">
        <v>283.89980000000003</v>
      </c>
      <c r="M2009">
        <v>-0.97306899999999996</v>
      </c>
      <c r="N2009">
        <v>-1.32931E-2</v>
      </c>
      <c r="O2009">
        <v>-0.2301308</v>
      </c>
      <c r="P2009">
        <v>-0.8737492</v>
      </c>
      <c r="Q2009">
        <v>0.1436712</v>
      </c>
      <c r="R2009">
        <v>-0.46467310000000001</v>
      </c>
      <c r="S2009">
        <v>-2.278931</v>
      </c>
      <c r="T2009">
        <v>-0.42011759999999898</v>
      </c>
      <c r="U2009">
        <v>-2.3289179999999998</v>
      </c>
      <c r="V2009">
        <v>-0.25449260000000001</v>
      </c>
      <c r="W2009">
        <v>0.1508071</v>
      </c>
      <c r="X2009">
        <v>0.95524379999999998</v>
      </c>
      <c r="Y2009">
        <v>-0.53139939999999997</v>
      </c>
      <c r="Z2009">
        <v>-1.319335E-2</v>
      </c>
      <c r="AA2009">
        <v>0.84701870000000001</v>
      </c>
      <c r="AB2009">
        <v>27</v>
      </c>
      <c r="AC2009">
        <v>-0.50970000000000903</v>
      </c>
      <c r="AD2009">
        <v>-0.141635699999999</v>
      </c>
      <c r="AE2009">
        <v>-0.71320000000002803</v>
      </c>
      <c r="AF2009">
        <v>-0.56207289968938101</v>
      </c>
      <c r="AG2009">
        <v>-0.141635699999999</v>
      </c>
      <c r="AH2009">
        <v>0.64336549871415305</v>
      </c>
      <c r="AI2009">
        <v>99.413423309734995</v>
      </c>
      <c r="AJ2009">
        <v>131.14191727155401</v>
      </c>
      <c r="AK2009">
        <v>0.86597100471980604</v>
      </c>
      <c r="AL2009">
        <v>81.326297852894797</v>
      </c>
      <c r="AM2009">
        <v>104.918028300217</v>
      </c>
      <c r="AN2009">
        <v>0.99999999115180405</v>
      </c>
    </row>
    <row r="2010" spans="1:40" x14ac:dyDescent="0.25">
      <c r="A2010" t="str">
        <f>"20190303162543703"</f>
        <v>20190303162543703</v>
      </c>
      <c r="B2010" t="str">
        <f>"1551601543694819"</f>
        <v>1551601543694819</v>
      </c>
      <c r="C2010" t="s">
        <v>40</v>
      </c>
      <c r="D2010">
        <v>5.1256500000000003</v>
      </c>
      <c r="E2010">
        <v>0.40023789999999998</v>
      </c>
      <c r="F2010" t="s">
        <v>42</v>
      </c>
      <c r="G2010">
        <v>-476.33839999999998</v>
      </c>
      <c r="H2010">
        <v>1.0161100000000001</v>
      </c>
      <c r="I2010">
        <v>283.19200000000001</v>
      </c>
      <c r="J2010">
        <v>-475.82420000000002</v>
      </c>
      <c r="K2010">
        <v>1.1300859999999999</v>
      </c>
      <c r="L2010">
        <v>283.82600000000002</v>
      </c>
      <c r="M2010">
        <v>-0.97011099999999995</v>
      </c>
      <c r="N2010">
        <v>-1.331071E-2</v>
      </c>
      <c r="O2010">
        <v>-0.2422964</v>
      </c>
      <c r="P2010">
        <v>-0.86835049999999903</v>
      </c>
      <c r="Q2010">
        <v>0.14571970000000001</v>
      </c>
      <c r="R2010">
        <v>-0.47406039999999999</v>
      </c>
      <c r="S2010">
        <v>-2.3425600000000002</v>
      </c>
      <c r="T2010">
        <v>-0.34704040000000003</v>
      </c>
      <c r="U2010">
        <v>-2.15863</v>
      </c>
      <c r="V2010">
        <v>-0.25298589999999999</v>
      </c>
      <c r="W2010">
        <v>0.15284739999999999</v>
      </c>
      <c r="X2010">
        <v>0.95531980000000005</v>
      </c>
      <c r="Y2010">
        <v>-0.47727140000000001</v>
      </c>
      <c r="Z2010">
        <v>-6.9623239999999998E-3</v>
      </c>
      <c r="AA2010">
        <v>0.87872830000000002</v>
      </c>
      <c r="AB2010">
        <v>27</v>
      </c>
      <c r="AC2010">
        <v>-0.51419999999995902</v>
      </c>
      <c r="AD2010">
        <v>-0.11397599999999999</v>
      </c>
      <c r="AE2010">
        <v>-0.63399999999995704</v>
      </c>
      <c r="AF2010">
        <v>-0.48112554141051</v>
      </c>
      <c r="AG2010">
        <v>-0.11397599999999999</v>
      </c>
      <c r="AH2010">
        <v>0.64002754845199294</v>
      </c>
      <c r="AI2010">
        <v>98.101390136412405</v>
      </c>
      <c r="AJ2010">
        <v>126.933147449955</v>
      </c>
      <c r="AK2010">
        <v>0.80876917470377496</v>
      </c>
      <c r="AL2010">
        <v>81.208026713467902</v>
      </c>
      <c r="AM2010">
        <v>104.832484218868</v>
      </c>
      <c r="AN2010">
        <v>1.0000000567788001</v>
      </c>
    </row>
    <row r="2011" spans="1:40" x14ac:dyDescent="0.25">
      <c r="A2011" t="str">
        <f>"20190303162543726"</f>
        <v>20190303162543726</v>
      </c>
      <c r="B2011" t="str">
        <f>"1551601543715314"</f>
        <v>1551601543715314</v>
      </c>
      <c r="C2011" t="s">
        <v>40</v>
      </c>
      <c r="D2011">
        <v>5.0117760000000002</v>
      </c>
      <c r="E2011">
        <v>0.40210200000000001</v>
      </c>
      <c r="F2011" t="s">
        <v>42</v>
      </c>
      <c r="G2011">
        <v>-476.56830000000002</v>
      </c>
      <c r="H2011">
        <v>1.0239180000000001</v>
      </c>
      <c r="I2011">
        <v>283.13490000000002</v>
      </c>
      <c r="J2011">
        <v>-476.0813</v>
      </c>
      <c r="K2011">
        <v>1.130166</v>
      </c>
      <c r="L2011">
        <v>283.74770000000001</v>
      </c>
      <c r="M2011">
        <v>-0.96692540000000005</v>
      </c>
      <c r="N2011">
        <v>-1.332816E-2</v>
      </c>
      <c r="O2011">
        <v>-0.25471080000000001</v>
      </c>
      <c r="P2011">
        <v>-0.86165519999999995</v>
      </c>
      <c r="Q2011">
        <v>0.1486846</v>
      </c>
      <c r="R2011">
        <v>-0.48522510000000002</v>
      </c>
      <c r="S2011">
        <v>-2.3294069999999998</v>
      </c>
      <c r="T2011">
        <v>-0.33233980000000002</v>
      </c>
      <c r="U2011">
        <v>-2.1636660000000001</v>
      </c>
      <c r="V2011">
        <v>-0.25329299999999999</v>
      </c>
      <c r="W2011">
        <v>0.1557674</v>
      </c>
      <c r="X2011">
        <v>0.95476660000000002</v>
      </c>
      <c r="Y2011">
        <v>-0.46971550000000001</v>
      </c>
      <c r="Z2011">
        <v>-5.2085129999999997E-3</v>
      </c>
      <c r="AA2011">
        <v>0.88280249999999905</v>
      </c>
      <c r="AB2011">
        <v>27</v>
      </c>
      <c r="AC2011">
        <v>-0.48700000000002303</v>
      </c>
      <c r="AD2011">
        <v>-0.106247999999999</v>
      </c>
      <c r="AE2011">
        <v>-0.61279999999999202</v>
      </c>
      <c r="AF2011">
        <v>-0.46005304522388002</v>
      </c>
      <c r="AG2011">
        <v>-0.106247999999999</v>
      </c>
      <c r="AH2011">
        <v>0.61569127354072595</v>
      </c>
      <c r="AI2011">
        <v>97.870586586770898</v>
      </c>
      <c r="AJ2011">
        <v>126.767594671449</v>
      </c>
      <c r="AK2011">
        <v>0.77589508713354205</v>
      </c>
      <c r="AL2011">
        <v>81.03869475626</v>
      </c>
      <c r="AM2011">
        <v>104.85791787848601</v>
      </c>
      <c r="AN2011">
        <v>1.00000004361365</v>
      </c>
    </row>
    <row r="2012" spans="1:40" x14ac:dyDescent="0.25">
      <c r="A2012" t="str">
        <f>"20190303162543748"</f>
        <v>20190303162543748</v>
      </c>
      <c r="B2012" t="str">
        <f>"1551601543734835"</f>
        <v>1551601543734835</v>
      </c>
      <c r="C2012" t="s">
        <v>40</v>
      </c>
      <c r="D2012">
        <v>5.0458420000000004</v>
      </c>
      <c r="E2012">
        <v>0.40396159999999998</v>
      </c>
      <c r="F2012" t="s">
        <v>42</v>
      </c>
      <c r="G2012">
        <v>-476.79570000000001</v>
      </c>
      <c r="H2012">
        <v>1.0307660000000001</v>
      </c>
      <c r="I2012">
        <v>283.07150000000001</v>
      </c>
      <c r="J2012">
        <v>-476.33069999999998</v>
      </c>
      <c r="K2012">
        <v>1.1302080000000001</v>
      </c>
      <c r="L2012">
        <v>283.66829999999999</v>
      </c>
      <c r="M2012">
        <v>-0.96364649999999996</v>
      </c>
      <c r="N2012">
        <v>-1.3344109999999999E-2</v>
      </c>
      <c r="O2012">
        <v>-0.2668469</v>
      </c>
      <c r="P2012">
        <v>-0.85426709999999995</v>
      </c>
      <c r="Q2012">
        <v>0.14831659999999999</v>
      </c>
      <c r="R2012">
        <v>-0.49822640000000001</v>
      </c>
      <c r="S2012">
        <v>-2.3072509999999999</v>
      </c>
      <c r="T2012">
        <v>-0.32099889999999998</v>
      </c>
      <c r="U2012">
        <v>-2.183929</v>
      </c>
      <c r="V2012">
        <v>-0.2557586</v>
      </c>
      <c r="W2012">
        <v>0.15531619999999999</v>
      </c>
      <c r="X2012">
        <v>0.95418259999999999</v>
      </c>
      <c r="Y2012">
        <v>-0.46709079999999897</v>
      </c>
      <c r="Z2012">
        <v>-3.9340929999999996E-3</v>
      </c>
      <c r="AA2012">
        <v>0.884200599999999</v>
      </c>
      <c r="AB2012">
        <v>27</v>
      </c>
      <c r="AC2012">
        <v>-0.465000000000031</v>
      </c>
      <c r="AD2012">
        <v>-9.9442000000000003E-2</v>
      </c>
      <c r="AE2012">
        <v>-0.59679999999997302</v>
      </c>
      <c r="AF2012">
        <v>-0.44340040968817301</v>
      </c>
      <c r="AG2012">
        <v>-9.9442000000000003E-2</v>
      </c>
      <c r="AH2012">
        <v>0.59708864573131903</v>
      </c>
      <c r="AI2012">
        <v>97.615790643021398</v>
      </c>
      <c r="AJ2012">
        <v>126.597726892664</v>
      </c>
      <c r="AK2012">
        <v>0.75033824741705701</v>
      </c>
      <c r="AL2012">
        <v>81.064864808824794</v>
      </c>
      <c r="AM2012">
        <v>105.004826011717</v>
      </c>
      <c r="AN2012">
        <v>1.00000000879958</v>
      </c>
    </row>
    <row r="2013" spans="1:40" x14ac:dyDescent="0.25">
      <c r="A2013" t="str">
        <f>"20190303162543770"</f>
        <v>20190303162543770</v>
      </c>
      <c r="B2013" t="str">
        <f>"1551601543765092"</f>
        <v>1551601543765092</v>
      </c>
      <c r="C2013" t="s">
        <v>40</v>
      </c>
      <c r="D2013">
        <v>4.8940630000000001</v>
      </c>
      <c r="E2013">
        <v>0.40463789999999999</v>
      </c>
      <c r="F2013" t="s">
        <v>42</v>
      </c>
      <c r="G2013">
        <v>-477.02080000000001</v>
      </c>
      <c r="H2013">
        <v>1.0349469999999901</v>
      </c>
      <c r="I2013">
        <v>283.00209999999998</v>
      </c>
      <c r="J2013">
        <v>-476.58949999999999</v>
      </c>
      <c r="K2013">
        <v>1.1302319999999999</v>
      </c>
      <c r="L2013">
        <v>283.5822</v>
      </c>
      <c r="M2013">
        <v>-0.96005649999999998</v>
      </c>
      <c r="N2013">
        <v>-1.3359090000000001E-2</v>
      </c>
      <c r="O2013">
        <v>-0.2794874</v>
      </c>
      <c r="P2013">
        <v>-0.84652499999999997</v>
      </c>
      <c r="Q2013">
        <v>0.1456635</v>
      </c>
      <c r="R2013">
        <v>-0.51203299999999996</v>
      </c>
      <c r="S2013">
        <v>-2.2819820000000002</v>
      </c>
      <c r="T2013">
        <v>-0.31505559999999899</v>
      </c>
      <c r="U2013">
        <v>-2.2024840000000001</v>
      </c>
      <c r="V2013">
        <v>-0.25854519999999998</v>
      </c>
      <c r="W2013">
        <v>0.152583</v>
      </c>
      <c r="X2013">
        <v>0.95387250000000001</v>
      </c>
      <c r="Y2013">
        <v>-0.46417750000000002</v>
      </c>
      <c r="Z2013">
        <v>-2.6155409999999999E-3</v>
      </c>
      <c r="AA2013">
        <v>0.88573840000000004</v>
      </c>
      <c r="AB2013">
        <v>27</v>
      </c>
      <c r="AC2013">
        <v>-0.431300000000021</v>
      </c>
      <c r="AD2013">
        <v>-9.5284999999999995E-2</v>
      </c>
      <c r="AE2013">
        <v>-0.58010000000001505</v>
      </c>
      <c r="AF2013">
        <v>-0.428971253317385</v>
      </c>
      <c r="AG2013">
        <v>-9.5284999999999995E-2</v>
      </c>
      <c r="AH2013">
        <v>0.56641277744539298</v>
      </c>
      <c r="AI2013">
        <v>97.6381283739304</v>
      </c>
      <c r="AJ2013">
        <v>127.138373413275</v>
      </c>
      <c r="AK2013">
        <v>0.71688144197704795</v>
      </c>
      <c r="AL2013">
        <v>81.223354746072701</v>
      </c>
      <c r="AM2013">
        <v>105.165524532265</v>
      </c>
      <c r="AN2013">
        <v>0.99999996929414403</v>
      </c>
    </row>
    <row r="2014" spans="1:40" x14ac:dyDescent="0.25">
      <c r="A2014" t="str">
        <f>"20190303162543792"</f>
        <v>20190303162543792</v>
      </c>
      <c r="B2014" t="str">
        <f>"1551601543784935"</f>
        <v>1551601543784935</v>
      </c>
      <c r="C2014" t="s">
        <v>40</v>
      </c>
      <c r="D2014">
        <v>4.8942920000000001</v>
      </c>
      <c r="E2014">
        <v>0.35316259999999999</v>
      </c>
      <c r="F2014" t="s">
        <v>42</v>
      </c>
      <c r="G2014">
        <v>-477.24590000000001</v>
      </c>
      <c r="H2014">
        <v>1.038092</v>
      </c>
      <c r="I2014">
        <v>282.93169999999998</v>
      </c>
      <c r="J2014">
        <v>-476.83629999999999</v>
      </c>
      <c r="K2014">
        <v>1.130253</v>
      </c>
      <c r="L2014">
        <v>283.49639999999999</v>
      </c>
      <c r="M2014">
        <v>-0.95645259999999999</v>
      </c>
      <c r="N2014">
        <v>-1.337124E-2</v>
      </c>
      <c r="O2014">
        <v>-0.29158149999999999</v>
      </c>
      <c r="P2014">
        <v>-0.83802069999999995</v>
      </c>
      <c r="Q2014">
        <v>0.1451606</v>
      </c>
      <c r="R2014">
        <v>-0.52597539999999998</v>
      </c>
      <c r="S2014">
        <v>-2.2497250000000002</v>
      </c>
      <c r="T2014">
        <v>-0.31575930000000002</v>
      </c>
      <c r="U2014">
        <v>-2.229492</v>
      </c>
      <c r="V2014">
        <v>-0.26227349999999999</v>
      </c>
      <c r="W2014">
        <v>0.1519807</v>
      </c>
      <c r="X2014">
        <v>0.95295039999999998</v>
      </c>
      <c r="Y2014">
        <v>-0.46473249999999999</v>
      </c>
      <c r="Z2014">
        <v>-1.5007480000000001E-3</v>
      </c>
      <c r="AA2014">
        <v>0.88544990000000001</v>
      </c>
      <c r="AB2014">
        <v>27</v>
      </c>
      <c r="AC2014">
        <v>-0.40960000000001101</v>
      </c>
      <c r="AD2014">
        <v>-9.2161000000000104E-2</v>
      </c>
      <c r="AE2014">
        <v>-0.56470000000001597</v>
      </c>
      <c r="AF2014">
        <v>-0.41349780329911301</v>
      </c>
      <c r="AG2014">
        <v>-9.2161000000000104E-2</v>
      </c>
      <c r="AH2014">
        <v>0.54692331112093096</v>
      </c>
      <c r="AI2014">
        <v>97.655557721247902</v>
      </c>
      <c r="AJ2014">
        <v>127.090865712905</v>
      </c>
      <c r="AK2014">
        <v>0.69180863792068603</v>
      </c>
      <c r="AL2014">
        <v>81.258271435374596</v>
      </c>
      <c r="AM2014">
        <v>105.388108643875</v>
      </c>
      <c r="AN2014">
        <v>0.99999999341744905</v>
      </c>
    </row>
    <row r="2015" spans="1:40" x14ac:dyDescent="0.25">
      <c r="A2015" t="str">
        <f>"20190303162543816"</f>
        <v>20190303162543816</v>
      </c>
      <c r="B2015" t="str">
        <f>"1551601543805431"</f>
        <v>1551601543805431</v>
      </c>
      <c r="C2015" t="s">
        <v>40</v>
      </c>
      <c r="D2015">
        <v>4.9022930000000002</v>
      </c>
      <c r="E2015">
        <v>0.34503549999999999</v>
      </c>
      <c r="F2015" t="s">
        <v>42</v>
      </c>
      <c r="G2015">
        <v>-477.40949999999998</v>
      </c>
      <c r="H2015">
        <v>1.000475</v>
      </c>
      <c r="I2015">
        <v>282.75009999999997</v>
      </c>
      <c r="J2015">
        <v>-477.09120000000001</v>
      </c>
      <c r="K2015">
        <v>1.1302669999999999</v>
      </c>
      <c r="L2015">
        <v>283.40440000000001</v>
      </c>
      <c r="M2015">
        <v>-0.95255540000000005</v>
      </c>
      <c r="N2015">
        <v>-1.3380710000000001E-2</v>
      </c>
      <c r="O2015">
        <v>-0.30407119999999999</v>
      </c>
      <c r="P2015">
        <v>-0.82911250000000003</v>
      </c>
      <c r="Q2015">
        <v>0.14562349999999999</v>
      </c>
      <c r="R2015">
        <v>-0.53978359999999903</v>
      </c>
      <c r="S2015">
        <v>-2.013245</v>
      </c>
      <c r="T2015">
        <v>-0.45582590000000001</v>
      </c>
      <c r="U2015">
        <v>-2.621826</v>
      </c>
      <c r="V2015">
        <v>-0.26563009999999998</v>
      </c>
      <c r="W2015">
        <v>0.15235960000000001</v>
      </c>
      <c r="X2015">
        <v>0.95195969999999996</v>
      </c>
      <c r="Y2015">
        <v>-0.56706049999999997</v>
      </c>
      <c r="Z2015">
        <v>-6.9585460000000003E-3</v>
      </c>
      <c r="AA2015">
        <v>0.82364680000000001</v>
      </c>
      <c r="AB2015">
        <v>27</v>
      </c>
      <c r="AC2015">
        <v>-0.318299999999965</v>
      </c>
      <c r="AD2015">
        <v>-0.12979199999999899</v>
      </c>
      <c r="AE2015">
        <v>-0.65430000000003397</v>
      </c>
      <c r="AF2015">
        <v>-0.51028136369798005</v>
      </c>
      <c r="AG2015">
        <v>-0.12979199999999899</v>
      </c>
      <c r="AH2015">
        <v>0.48671024282217601</v>
      </c>
      <c r="AI2015">
        <v>100.42891431453801</v>
      </c>
      <c r="AJ2015">
        <v>136.354348614407</v>
      </c>
      <c r="AK2015">
        <v>0.71702154351838798</v>
      </c>
      <c r="AL2015">
        <v>81.236306623866497</v>
      </c>
      <c r="AM2015">
        <v>105.590964226853</v>
      </c>
      <c r="AN2015">
        <v>1.0000000340811199</v>
      </c>
    </row>
    <row r="2016" spans="1:40" x14ac:dyDescent="0.25">
      <c r="A2016" t="str">
        <f>"20190303162543837"</f>
        <v>20190303162543837</v>
      </c>
      <c r="B2016" t="str">
        <f>"1551601543824951"</f>
        <v>1551601543824951</v>
      </c>
      <c r="C2016" t="s">
        <v>40</v>
      </c>
      <c r="D2016">
        <v>4.8330630000000001</v>
      </c>
      <c r="E2016">
        <v>0.3443387</v>
      </c>
      <c r="F2016" t="s">
        <v>42</v>
      </c>
      <c r="G2016">
        <v>-477.62310000000002</v>
      </c>
      <c r="H2016">
        <v>1.008138</v>
      </c>
      <c r="I2016">
        <v>282.65969999999999</v>
      </c>
      <c r="J2016">
        <v>-477.33030000000002</v>
      </c>
      <c r="K2016">
        <v>1.1302460000000001</v>
      </c>
      <c r="L2016">
        <v>283.31439999999998</v>
      </c>
      <c r="M2016">
        <v>-0.94874009999999998</v>
      </c>
      <c r="N2016">
        <v>-1.3386169999999999E-2</v>
      </c>
      <c r="O2016">
        <v>-0.31577430000000001</v>
      </c>
      <c r="P2016">
        <v>-0.82021730000000004</v>
      </c>
      <c r="Q2016">
        <v>0.145509</v>
      </c>
      <c r="R2016">
        <v>-0.55323679999999997</v>
      </c>
      <c r="S2016">
        <v>-1.9336549999999999</v>
      </c>
      <c r="T2016">
        <v>-0.443967</v>
      </c>
      <c r="U2016">
        <v>-2.7074889999999998</v>
      </c>
      <c r="V2016">
        <v>-0.2694317</v>
      </c>
      <c r="W2016">
        <v>0.15215890000000001</v>
      </c>
      <c r="X2016">
        <v>0.95092279999999996</v>
      </c>
      <c r="Y2016">
        <v>-0.58538610000000002</v>
      </c>
      <c r="Z2016">
        <v>-7.136852E-3</v>
      </c>
      <c r="AA2016">
        <v>0.81072319999999998</v>
      </c>
      <c r="AB2016">
        <v>27</v>
      </c>
      <c r="AC2016">
        <v>-0.29279999999999901</v>
      </c>
      <c r="AD2016">
        <v>-0.122107999999999</v>
      </c>
      <c r="AE2016">
        <v>-0.65469999999999096</v>
      </c>
      <c r="AF2016">
        <v>-0.51383370898431102</v>
      </c>
      <c r="AG2016">
        <v>-0.122107999999999</v>
      </c>
      <c r="AH2016">
        <v>0.47092082511562999</v>
      </c>
      <c r="AI2016">
        <v>99.937028713089703</v>
      </c>
      <c r="AJ2016">
        <v>137.495213237196</v>
      </c>
      <c r="AK2016">
        <v>0.70760290253796998</v>
      </c>
      <c r="AL2016">
        <v>81.247940992365699</v>
      </c>
      <c r="AM2016">
        <v>105.81939325104899</v>
      </c>
      <c r="AN2016">
        <v>0.99999997168696897</v>
      </c>
    </row>
    <row r="2017" spans="1:40" x14ac:dyDescent="0.25">
      <c r="A2017" t="str">
        <f>"20190303162543861"</f>
        <v>20190303162543861</v>
      </c>
      <c r="B2017" t="str">
        <f>"1551601543855207"</f>
        <v>1551601543855207</v>
      </c>
      <c r="C2017" t="s">
        <v>40</v>
      </c>
      <c r="D2017">
        <v>4.8095160000000003</v>
      </c>
      <c r="E2017">
        <v>0.3445551</v>
      </c>
      <c r="F2017" t="s">
        <v>42</v>
      </c>
      <c r="G2017">
        <v>-477.84010000000001</v>
      </c>
      <c r="H2017">
        <v>1.0099450000000001</v>
      </c>
      <c r="I2017">
        <v>282.57459999999998</v>
      </c>
      <c r="J2017">
        <v>-477.58350000000002</v>
      </c>
      <c r="K2017">
        <v>1.1301969999999999</v>
      </c>
      <c r="L2017">
        <v>283.21550000000002</v>
      </c>
      <c r="M2017">
        <v>-0.94454280000000002</v>
      </c>
      <c r="N2017">
        <v>-1.3387609999999999E-2</v>
      </c>
      <c r="O2017">
        <v>-0.3281153</v>
      </c>
      <c r="P2017">
        <v>-0.81115249999999905</v>
      </c>
      <c r="Q2017">
        <v>0.14400569999999999</v>
      </c>
      <c r="R2017">
        <v>-0.56682829999999995</v>
      </c>
      <c r="S2017">
        <v>-1.8880619999999999</v>
      </c>
      <c r="T2017">
        <v>-0.44546989999999997</v>
      </c>
      <c r="U2017">
        <v>-2.74057</v>
      </c>
      <c r="V2017">
        <v>-0.27275189999999999</v>
      </c>
      <c r="W2017">
        <v>0.15059359999999999</v>
      </c>
      <c r="X2017">
        <v>0.95022519999999999</v>
      </c>
      <c r="Y2017">
        <v>-0.58857630000000005</v>
      </c>
      <c r="Z2017">
        <v>-5.7551669999999899E-3</v>
      </c>
      <c r="AA2017">
        <v>0.80842119999999995</v>
      </c>
      <c r="AB2017">
        <v>27</v>
      </c>
      <c r="AC2017">
        <v>-0.256599999999991</v>
      </c>
      <c r="AD2017">
        <v>-0.120251999999999</v>
      </c>
      <c r="AE2017">
        <v>-0.64090000000004399</v>
      </c>
      <c r="AF2017">
        <v>-0.50586132994628996</v>
      </c>
      <c r="AG2017">
        <v>-0.120251999999999</v>
      </c>
      <c r="AH2017">
        <v>0.43936835508182098</v>
      </c>
      <c r="AI2017">
        <v>100.174699004538</v>
      </c>
      <c r="AJ2017">
        <v>139.02389093666599</v>
      </c>
      <c r="AK2017">
        <v>0.68073546997812195</v>
      </c>
      <c r="AL2017">
        <v>81.338671730507698</v>
      </c>
      <c r="AM2017">
        <v>106.01555514729201</v>
      </c>
      <c r="AN2017">
        <v>0.99999998101480403</v>
      </c>
    </row>
    <row r="2018" spans="1:40" x14ac:dyDescent="0.25">
      <c r="A2018" t="str">
        <f>"20190303162543882"</f>
        <v>20190303162543882</v>
      </c>
      <c r="B2018" t="str">
        <f>"1551601543874727"</f>
        <v>1551601543874727</v>
      </c>
      <c r="C2018" t="s">
        <v>40</v>
      </c>
      <c r="D2018">
        <v>4.4348470000000004</v>
      </c>
      <c r="E2018">
        <v>0.34403359999999999</v>
      </c>
      <c r="F2018" t="s">
        <v>46</v>
      </c>
      <c r="G2018">
        <v>-482.1293</v>
      </c>
      <c r="H2018" s="1">
        <v>1.388464E-6</v>
      </c>
      <c r="I2018">
        <v>276.40660000000003</v>
      </c>
      <c r="J2018">
        <v>-477.82810000000001</v>
      </c>
      <c r="K2018">
        <v>1.130126</v>
      </c>
      <c r="L2018">
        <v>283.11630000000002</v>
      </c>
      <c r="M2018">
        <v>-0.94033789999999995</v>
      </c>
      <c r="N2018">
        <v>-1.338551E-2</v>
      </c>
      <c r="O2018">
        <v>-0.33997880000000003</v>
      </c>
      <c r="P2018">
        <v>-0.80214419999999897</v>
      </c>
      <c r="Q2018">
        <v>0.1424569</v>
      </c>
      <c r="R2018">
        <v>-0.57988859999999998</v>
      </c>
      <c r="S2018">
        <v>-1.8468629999999999</v>
      </c>
      <c r="T2018">
        <v>-0.4591672</v>
      </c>
      <c r="U2018">
        <v>-2.7662659999999999</v>
      </c>
      <c r="V2018">
        <v>-0.27603620000000001</v>
      </c>
      <c r="W2018">
        <v>0.1489887</v>
      </c>
      <c r="X2018">
        <v>0.94952959999999997</v>
      </c>
      <c r="Y2018">
        <v>-0.59009750000000005</v>
      </c>
      <c r="Z2018">
        <v>-4.1359889999999996E-3</v>
      </c>
      <c r="AA2018">
        <v>0.80732139999999997</v>
      </c>
      <c r="AB2018">
        <v>27</v>
      </c>
      <c r="AC2018">
        <v>-4.3011999999999899</v>
      </c>
      <c r="AD2018">
        <v>-1.130124611536</v>
      </c>
      <c r="AE2018">
        <v>-6.70969999999999</v>
      </c>
      <c r="AF2018">
        <v>-4.7519565113438196</v>
      </c>
      <c r="AG2018">
        <v>-1.130124611536</v>
      </c>
      <c r="AH2018">
        <v>6.2016099847424604</v>
      </c>
      <c r="AI2018">
        <v>98.230687204258402</v>
      </c>
      <c r="AJ2018">
        <v>127.460982923453</v>
      </c>
      <c r="AK2018">
        <v>7.8941901881168102</v>
      </c>
      <c r="AL2018">
        <v>81.431675533852399</v>
      </c>
      <c r="AM2018">
        <v>106.209589860284</v>
      </c>
      <c r="AN2018">
        <v>1.00000003885714</v>
      </c>
    </row>
    <row r="2019" spans="1:40" x14ac:dyDescent="0.25">
      <c r="A2019" t="str">
        <f>"20190303162543904"</f>
        <v>20190303162543904</v>
      </c>
      <c r="B2019" t="str">
        <f>"1551601543895223"</f>
        <v>1551601543895223</v>
      </c>
      <c r="C2019" t="s">
        <v>40</v>
      </c>
      <c r="D2019">
        <v>4.5102449999999896</v>
      </c>
      <c r="E2019">
        <v>0.34277750000000001</v>
      </c>
      <c r="F2019" t="s">
        <v>46</v>
      </c>
      <c r="G2019">
        <v>-482.16430000000003</v>
      </c>
      <c r="H2019" s="1">
        <v>1.3885910000000001E-6</v>
      </c>
      <c r="I2019">
        <v>276.3897</v>
      </c>
      <c r="J2019">
        <v>-478.07429999999999</v>
      </c>
      <c r="K2019">
        <v>1.1300619999999999</v>
      </c>
      <c r="L2019">
        <v>283.01280000000003</v>
      </c>
      <c r="M2019">
        <v>-0.93595620000000002</v>
      </c>
      <c r="N2019">
        <v>-1.3381509999999999E-2</v>
      </c>
      <c r="O2019">
        <v>-0.35186230000000002</v>
      </c>
      <c r="P2019">
        <v>-0.79282619999999904</v>
      </c>
      <c r="Q2019">
        <v>0.14260519999999999</v>
      </c>
      <c r="R2019">
        <v>-0.59252879999999997</v>
      </c>
      <c r="S2019">
        <v>-1.8022769999999999</v>
      </c>
      <c r="T2019">
        <v>-0.46971619999999997</v>
      </c>
      <c r="U2019">
        <v>-2.795776</v>
      </c>
      <c r="V2019">
        <v>-0.27905740000000001</v>
      </c>
      <c r="W2019">
        <v>0.14908629999999901</v>
      </c>
      <c r="X2019">
        <v>0.9486308</v>
      </c>
      <c r="Y2019">
        <v>-0.59278599999999904</v>
      </c>
      <c r="Z2019">
        <v>-2.5633499999999998E-3</v>
      </c>
      <c r="AA2019">
        <v>0.80535590000000001</v>
      </c>
      <c r="AB2019">
        <v>27</v>
      </c>
      <c r="AC2019">
        <v>-4.0900000000000301</v>
      </c>
      <c r="AD2019">
        <v>-1.1300606114089999</v>
      </c>
      <c r="AE2019">
        <v>-6.6231000000000204</v>
      </c>
      <c r="AF2019">
        <v>-4.6619870369495304</v>
      </c>
      <c r="AG2019">
        <v>-1.1300606114089999</v>
      </c>
      <c r="AH2019">
        <v>6.0319058610188101</v>
      </c>
      <c r="AI2019">
        <v>98.431754267389096</v>
      </c>
      <c r="AJ2019">
        <v>127.700002376117</v>
      </c>
      <c r="AK2019">
        <v>7.7068183081176</v>
      </c>
      <c r="AL2019">
        <v>81.426020626911097</v>
      </c>
      <c r="AM2019">
        <v>106.39222756397901</v>
      </c>
      <c r="AN2019">
        <v>1.0000000760255401</v>
      </c>
    </row>
    <row r="2020" spans="1:40" x14ac:dyDescent="0.25">
      <c r="A2020" t="str">
        <f>"20190303162543927"</f>
        <v>20190303162543927</v>
      </c>
      <c r="B2020" t="str">
        <f>"1551601543914742"</f>
        <v>1551601543914742</v>
      </c>
      <c r="C2020" t="s">
        <v>40</v>
      </c>
      <c r="D2020">
        <v>4.5639399999999997</v>
      </c>
      <c r="E2020">
        <v>0.34280260000000001</v>
      </c>
      <c r="F2020" t="s">
        <v>46</v>
      </c>
      <c r="G2020">
        <v>-482.28410000000002</v>
      </c>
      <c r="H2020" s="1">
        <v>1.3699480000000001E-6</v>
      </c>
      <c r="I2020">
        <v>276.2235</v>
      </c>
      <c r="J2020">
        <v>-478.31959999999998</v>
      </c>
      <c r="K2020">
        <v>1.1300140000000001</v>
      </c>
      <c r="L2020">
        <v>282.90620000000001</v>
      </c>
      <c r="M2020">
        <v>-0.9314422</v>
      </c>
      <c r="N2020">
        <v>-1.3376620000000001E-2</v>
      </c>
      <c r="O2020">
        <v>-0.36364390000000002</v>
      </c>
      <c r="P2020">
        <v>-0.78310279999999999</v>
      </c>
      <c r="Q2020">
        <v>0.14210519999999999</v>
      </c>
      <c r="R2020">
        <v>-0.60543910000000001</v>
      </c>
      <c r="S2020">
        <v>-1.7542420000000001</v>
      </c>
      <c r="T2020">
        <v>-0.47089550000000002</v>
      </c>
      <c r="U2020">
        <v>-2.8291019999999998</v>
      </c>
      <c r="V2020">
        <v>-0.28257310000000002</v>
      </c>
      <c r="W2020">
        <v>0.14852379999999901</v>
      </c>
      <c r="X2020">
        <v>0.94767780000000001</v>
      </c>
      <c r="Y2020">
        <v>-0.59679289999999996</v>
      </c>
      <c r="Z2020">
        <v>-1.214836E-3</v>
      </c>
      <c r="AA2020">
        <v>0.80239439999999995</v>
      </c>
      <c r="AB2020">
        <v>27</v>
      </c>
      <c r="AC2020">
        <v>-3.9645000000000401</v>
      </c>
      <c r="AD2020">
        <v>-1.1300126300519999</v>
      </c>
      <c r="AE2020">
        <v>-6.6827000000000103</v>
      </c>
      <c r="AF2020">
        <v>-4.6842393398310103</v>
      </c>
      <c r="AG2020">
        <v>-1.1300126300519999</v>
      </c>
      <c r="AH2020">
        <v>5.9965472054218303</v>
      </c>
      <c r="AI2020">
        <v>98.446982689318901</v>
      </c>
      <c r="AJ2020">
        <v>127.99539083328099</v>
      </c>
      <c r="AK2020">
        <v>7.6926981692869001</v>
      </c>
      <c r="AL2020">
        <v>81.458612086304697</v>
      </c>
      <c r="AM2020">
        <v>106.603224685673</v>
      </c>
      <c r="AN2020">
        <v>1.0000000443114401</v>
      </c>
    </row>
    <row r="2021" spans="1:40" x14ac:dyDescent="0.25">
      <c r="A2021" t="str">
        <f>"20190303162543949"</f>
        <v>20190303162543949</v>
      </c>
      <c r="B2021" t="str">
        <f>"1551601543944998"</f>
        <v>1551601543944998</v>
      </c>
      <c r="C2021" t="s">
        <v>40</v>
      </c>
      <c r="D2021">
        <v>4.5839489999999996</v>
      </c>
      <c r="E2021">
        <v>0.34378700000000001</v>
      </c>
      <c r="F2021" t="s">
        <v>46</v>
      </c>
      <c r="G2021">
        <v>-482.40629999999999</v>
      </c>
      <c r="H2021" s="1">
        <v>1.3562029999999999E-6</v>
      </c>
      <c r="I2021">
        <v>276.08390000000003</v>
      </c>
      <c r="J2021">
        <v>-478.56360000000001</v>
      </c>
      <c r="K2021">
        <v>1.129969</v>
      </c>
      <c r="L2021">
        <v>282.79669999999999</v>
      </c>
      <c r="M2021">
        <v>-0.92680830000000003</v>
      </c>
      <c r="N2021">
        <v>-1.3371060000000001E-2</v>
      </c>
      <c r="O2021">
        <v>-0.3752972</v>
      </c>
      <c r="P2021">
        <v>-0.77309729999999999</v>
      </c>
      <c r="Q2021">
        <v>0.14167869999999999</v>
      </c>
      <c r="R2021">
        <v>-0.61826219999999998</v>
      </c>
      <c r="S2021">
        <v>-1.7098690000000001</v>
      </c>
      <c r="T2021">
        <v>-0.4727999</v>
      </c>
      <c r="U2021">
        <v>-2.8544619999999998</v>
      </c>
      <c r="V2021">
        <v>-0.2862537</v>
      </c>
      <c r="W2021">
        <v>0.14802770000000001</v>
      </c>
      <c r="X2021">
        <v>0.9466502</v>
      </c>
      <c r="Y2021">
        <v>-0.59908879999999998</v>
      </c>
      <c r="Z2021">
        <v>3.264435E-4</v>
      </c>
      <c r="AA2021">
        <v>0.80068249999999996</v>
      </c>
      <c r="AB2021">
        <v>27</v>
      </c>
      <c r="AC2021">
        <v>-3.84269999999997</v>
      </c>
      <c r="AD2021">
        <v>-1.1299676437970001</v>
      </c>
      <c r="AE2021">
        <v>-6.7127999999999597</v>
      </c>
      <c r="AF2021">
        <v>-4.6798744558388297</v>
      </c>
      <c r="AG2021">
        <v>-1.1299676437970001</v>
      </c>
      <c r="AH2021">
        <v>5.9542112337153501</v>
      </c>
      <c r="AI2021">
        <v>98.486237997118096</v>
      </c>
      <c r="AJ2021">
        <v>128.16654042538499</v>
      </c>
      <c r="AK2021">
        <v>7.6570675336020804</v>
      </c>
      <c r="AL2021">
        <v>81.487353777999004</v>
      </c>
      <c r="AM2021">
        <v>106.82457792454601</v>
      </c>
      <c r="AN2021">
        <v>0.99999999094550995</v>
      </c>
    </row>
    <row r="2022" spans="1:40" x14ac:dyDescent="0.25">
      <c r="A2022" t="str">
        <f>"20190303162543972"</f>
        <v>20190303162543972</v>
      </c>
      <c r="B2022" t="str">
        <f>"1551601543964518"</f>
        <v>1551601543964518</v>
      </c>
      <c r="C2022" t="s">
        <v>40</v>
      </c>
      <c r="D2022">
        <v>4.7066559999999997</v>
      </c>
      <c r="E2022">
        <v>0.3450202</v>
      </c>
      <c r="F2022" t="s">
        <v>42</v>
      </c>
      <c r="G2022">
        <v>-479.06650000000002</v>
      </c>
      <c r="H2022">
        <v>0.99056759999999999</v>
      </c>
      <c r="I2022">
        <v>281.92989999999998</v>
      </c>
      <c r="J2022">
        <v>-478.80560000000003</v>
      </c>
      <c r="K2022">
        <v>1.1299269999999999</v>
      </c>
      <c r="L2022">
        <v>282.68439999999998</v>
      </c>
      <c r="M2022">
        <v>-0.92206339999999998</v>
      </c>
      <c r="N2022">
        <v>-1.336526E-2</v>
      </c>
      <c r="O2022">
        <v>-0.38680819999999999</v>
      </c>
      <c r="P2022">
        <v>-0.76371409999999995</v>
      </c>
      <c r="Q2022">
        <v>0.1418751</v>
      </c>
      <c r="R2022">
        <v>-0.62977190000000005</v>
      </c>
      <c r="S2022">
        <v>-1.66699199999999</v>
      </c>
      <c r="T2022">
        <v>-0.46215709999999999</v>
      </c>
      <c r="U2022">
        <v>-2.873688</v>
      </c>
      <c r="V2022">
        <v>-0.28865289999999999</v>
      </c>
      <c r="W2022">
        <v>0.14818190000000001</v>
      </c>
      <c r="X2022">
        <v>0.94589730000000005</v>
      </c>
      <c r="Y2022">
        <v>-0.60054879999999999</v>
      </c>
      <c r="Z2022">
        <v>1.6726219999999999E-3</v>
      </c>
      <c r="AA2022">
        <v>0.79958640000000003</v>
      </c>
      <c r="AB2022">
        <v>27</v>
      </c>
      <c r="AC2022">
        <v>-0.26089999999999203</v>
      </c>
      <c r="AD2022">
        <v>-0.13935939999999999</v>
      </c>
      <c r="AE2022">
        <v>-0.75450000000000705</v>
      </c>
      <c r="AF2022">
        <v>-0.577241910214078</v>
      </c>
      <c r="AG2022">
        <v>-0.13935939999999999</v>
      </c>
      <c r="AH2022">
        <v>0.51671526757885899</v>
      </c>
      <c r="AI2022">
        <v>100.19741380453701</v>
      </c>
      <c r="AJ2022">
        <v>138.166841493763</v>
      </c>
      <c r="AK2022">
        <v>0.78716194841026799</v>
      </c>
      <c r="AL2022">
        <v>81.478420643516799</v>
      </c>
      <c r="AM2022">
        <v>106.97025221036</v>
      </c>
      <c r="AN2022">
        <v>1.00000003715665</v>
      </c>
    </row>
    <row r="2023" spans="1:40" x14ac:dyDescent="0.25">
      <c r="A2023" t="str">
        <f>"20190303162543993"</f>
        <v>20190303162543993</v>
      </c>
      <c r="B2023" t="str">
        <f>"1551601543985015"</f>
        <v>1551601543985015</v>
      </c>
      <c r="C2023" t="s">
        <v>40</v>
      </c>
      <c r="D2023">
        <v>4.6908770000000004</v>
      </c>
      <c r="E2023">
        <v>0.3468869</v>
      </c>
      <c r="F2023" t="s">
        <v>42</v>
      </c>
      <c r="G2023">
        <v>-479.28219999999999</v>
      </c>
      <c r="H2023">
        <v>0.99695149999999999</v>
      </c>
      <c r="I2023">
        <v>281.83949999999999</v>
      </c>
      <c r="J2023">
        <v>-479.03870000000001</v>
      </c>
      <c r="K2023">
        <v>1.129901</v>
      </c>
      <c r="L2023">
        <v>282.5729</v>
      </c>
      <c r="M2023">
        <v>-0.91734760000000004</v>
      </c>
      <c r="N2023">
        <v>-1.336009E-2</v>
      </c>
      <c r="O2023">
        <v>-0.39786329999999998</v>
      </c>
      <c r="P2023">
        <v>-0.75439299999999998</v>
      </c>
      <c r="Q2023">
        <v>0.14172390000000001</v>
      </c>
      <c r="R2023">
        <v>-0.64094169999999995</v>
      </c>
      <c r="S2023">
        <v>-1.6293029999999999</v>
      </c>
      <c r="T2023">
        <v>-0.4546423</v>
      </c>
      <c r="U2023">
        <v>-2.8901979999999998</v>
      </c>
      <c r="V2023">
        <v>-0.2911802</v>
      </c>
      <c r="W2023">
        <v>0.14798049999999999</v>
      </c>
      <c r="X2023">
        <v>0.94515389999999999</v>
      </c>
      <c r="Y2023">
        <v>-0.60094369999999997</v>
      </c>
      <c r="Z2023">
        <v>3.0730850000000001E-3</v>
      </c>
      <c r="AA2023">
        <v>0.79928549999999998</v>
      </c>
      <c r="AB2023">
        <v>27</v>
      </c>
      <c r="AC2023">
        <v>-0.24349999999998301</v>
      </c>
      <c r="AD2023">
        <v>-0.1329495</v>
      </c>
      <c r="AE2023">
        <v>-0.73340000000001704</v>
      </c>
      <c r="AF2023">
        <v>-0.55939674515884097</v>
      </c>
      <c r="AG2023">
        <v>-0.1329495</v>
      </c>
      <c r="AH2023">
        <v>0.50040159941816298</v>
      </c>
      <c r="AI2023">
        <v>100.044944725725</v>
      </c>
      <c r="AJ2023">
        <v>138.18616076715901</v>
      </c>
      <c r="AK2023">
        <v>0.76223490391401805</v>
      </c>
      <c r="AL2023">
        <v>81.490088468821</v>
      </c>
      <c r="AM2023">
        <v>107.122862982279</v>
      </c>
      <c r="AN2023">
        <v>1.0000000159687401</v>
      </c>
    </row>
    <row r="2024" spans="1:40" x14ac:dyDescent="0.25">
      <c r="A2024" t="str">
        <f>"20190303162544016"</f>
        <v>20190303162544016</v>
      </c>
      <c r="B2024" t="str">
        <f>"1551601544004534"</f>
        <v>1551601544004534</v>
      </c>
      <c r="C2024" t="s">
        <v>40</v>
      </c>
      <c r="D2024">
        <v>4.8443050000000003</v>
      </c>
      <c r="E2024">
        <v>0.34749679999999999</v>
      </c>
      <c r="F2024" t="s">
        <v>42</v>
      </c>
      <c r="G2024">
        <v>-479.49560000000002</v>
      </c>
      <c r="H2024">
        <v>1.001727</v>
      </c>
      <c r="I2024">
        <v>281.74290000000002</v>
      </c>
      <c r="J2024">
        <v>-479.2756</v>
      </c>
      <c r="K2024">
        <v>1.1298790000000001</v>
      </c>
      <c r="L2024">
        <v>282.45609999999999</v>
      </c>
      <c r="M2024">
        <v>-0.91240010000000005</v>
      </c>
      <c r="N2024">
        <v>-1.335576E-2</v>
      </c>
      <c r="O2024">
        <v>-0.40908149999999999</v>
      </c>
      <c r="P2024">
        <v>-0.7451856</v>
      </c>
      <c r="Q2024">
        <v>0.14144860000000001</v>
      </c>
      <c r="R2024">
        <v>-0.65168319999999902</v>
      </c>
      <c r="S2024">
        <v>-1.596527</v>
      </c>
      <c r="T2024">
        <v>-0.44786910000000002</v>
      </c>
      <c r="U2024">
        <v>-2.9004819999999998</v>
      </c>
      <c r="V2024">
        <v>-0.293099</v>
      </c>
      <c r="W2024">
        <v>0.14766689999999999</v>
      </c>
      <c r="X2024">
        <v>0.9446097</v>
      </c>
      <c r="Y2024">
        <v>-0.59941099999999903</v>
      </c>
      <c r="Z2024">
        <v>4.667699E-3</v>
      </c>
      <c r="AA2024">
        <v>0.80042780000000002</v>
      </c>
      <c r="AB2024">
        <v>27</v>
      </c>
      <c r="AC2024">
        <v>-0.22000000000002701</v>
      </c>
      <c r="AD2024">
        <v>-0.12815199999999999</v>
      </c>
      <c r="AE2024">
        <v>-0.71319999999997197</v>
      </c>
      <c r="AF2024">
        <v>-0.54471663922092595</v>
      </c>
      <c r="AG2024">
        <v>-0.12815199999999999</v>
      </c>
      <c r="AH2024">
        <v>0.47842409861028801</v>
      </c>
      <c r="AI2024">
        <v>100.02431595423501</v>
      </c>
      <c r="AJ2024">
        <v>138.70719368047199</v>
      </c>
      <c r="AK2024">
        <v>0.73622603205755199</v>
      </c>
      <c r="AL2024">
        <v>81.508255978305996</v>
      </c>
      <c r="AM2024">
        <v>107.238375738603</v>
      </c>
      <c r="AN2024">
        <v>1.00000001124535</v>
      </c>
    </row>
    <row r="2025" spans="1:40" x14ac:dyDescent="0.25">
      <c r="A2025" t="str">
        <f>"20190303162544039"</f>
        <v>20190303162544039</v>
      </c>
      <c r="B2025" t="str">
        <f>"1551601544034791"</f>
        <v>1551601544034791</v>
      </c>
      <c r="C2025" t="s">
        <v>40</v>
      </c>
      <c r="D2025">
        <v>4.7646850000000001</v>
      </c>
      <c r="E2025">
        <v>0.31801940000000001</v>
      </c>
      <c r="F2025" t="s">
        <v>42</v>
      </c>
      <c r="G2025">
        <v>-479.70890000000003</v>
      </c>
      <c r="H2025">
        <v>1.005755</v>
      </c>
      <c r="I2025">
        <v>281.64519999999999</v>
      </c>
      <c r="J2025">
        <v>-479.51650000000001</v>
      </c>
      <c r="K2025">
        <v>1.1298490000000001</v>
      </c>
      <c r="L2025">
        <v>282.33350000000002</v>
      </c>
      <c r="M2025">
        <v>-0.9072055</v>
      </c>
      <c r="N2025">
        <v>-1.3352299999999999E-2</v>
      </c>
      <c r="O2025">
        <v>-0.42047570000000001</v>
      </c>
      <c r="P2025">
        <v>-0.73594700000000002</v>
      </c>
      <c r="Q2025">
        <v>0.14151859999999999</v>
      </c>
      <c r="R2025">
        <v>-0.66208310000000004</v>
      </c>
      <c r="S2025">
        <v>-1.5585020000000001</v>
      </c>
      <c r="T2025">
        <v>-0.44645479999999998</v>
      </c>
      <c r="U2025">
        <v>-2.918304</v>
      </c>
      <c r="V2025">
        <v>-0.29453869999999999</v>
      </c>
      <c r="W2025">
        <v>0.14770610000000001</v>
      </c>
      <c r="X2025">
        <v>0.94415559999999998</v>
      </c>
      <c r="Y2025">
        <v>-0.5996148</v>
      </c>
      <c r="Z2025">
        <v>6.2520730000000004E-3</v>
      </c>
      <c r="AA2025">
        <v>0.80026439999999999</v>
      </c>
      <c r="AB2025">
        <v>27</v>
      </c>
      <c r="AC2025">
        <v>-0.19240000000002</v>
      </c>
      <c r="AD2025">
        <v>-0.124093999999999</v>
      </c>
      <c r="AE2025">
        <v>-0.688300000000026</v>
      </c>
      <c r="AF2025">
        <v>-0.52766980903465599</v>
      </c>
      <c r="AG2025">
        <v>-0.124093999999999</v>
      </c>
      <c r="AH2025">
        <v>0.45042141158369797</v>
      </c>
      <c r="AI2025">
        <v>100.141217817705</v>
      </c>
      <c r="AJ2025">
        <v>139.51577391988201</v>
      </c>
      <c r="AK2025">
        <v>0.70477953731342202</v>
      </c>
      <c r="AL2025">
        <v>81.505984706397797</v>
      </c>
      <c r="AM2025">
        <v>107.325828749568</v>
      </c>
      <c r="AN2025">
        <v>0.99999996739312902</v>
      </c>
    </row>
    <row r="2026" spans="1:40" x14ac:dyDescent="0.25">
      <c r="A2026" t="str">
        <f>"20190303162544061"</f>
        <v>20190303162544061</v>
      </c>
      <c r="B2026" t="str">
        <f>"1551601544055287"</f>
        <v>1551601544055287</v>
      </c>
      <c r="C2026" t="s">
        <v>40</v>
      </c>
      <c r="D2026">
        <v>4.7123929999999996</v>
      </c>
      <c r="E2026">
        <v>0.32081279999999901</v>
      </c>
      <c r="F2026" t="s">
        <v>46</v>
      </c>
      <c r="G2026">
        <v>-482.63470000000001</v>
      </c>
      <c r="H2026" s="1">
        <v>1.224534E-6</v>
      </c>
      <c r="I2026">
        <v>275.22129999999999</v>
      </c>
      <c r="J2026">
        <v>-479.75659999999999</v>
      </c>
      <c r="K2026">
        <v>1.129839</v>
      </c>
      <c r="L2026">
        <v>282.20729999999998</v>
      </c>
      <c r="M2026">
        <v>-0.90184920000000002</v>
      </c>
      <c r="N2026">
        <v>-1.3349720000000001E-2</v>
      </c>
      <c r="O2026">
        <v>-0.43184460000000002</v>
      </c>
      <c r="P2026">
        <v>-0.72750289999999995</v>
      </c>
      <c r="Q2026">
        <v>0.14135610000000001</v>
      </c>
      <c r="R2026">
        <v>-0.67138520000000002</v>
      </c>
      <c r="S2026">
        <v>-1.3668819999999999</v>
      </c>
      <c r="T2026">
        <v>-0.49526599999999998</v>
      </c>
      <c r="U2026">
        <v>-3.117645</v>
      </c>
      <c r="V2026">
        <v>-0.2946549</v>
      </c>
      <c r="W2026">
        <v>0.14754339999999999</v>
      </c>
      <c r="X2026">
        <v>0.94414480000000001</v>
      </c>
      <c r="Y2026">
        <v>-0.64931240000000001</v>
      </c>
      <c r="Z2026">
        <v>4.1642040000000003E-3</v>
      </c>
      <c r="AA2026">
        <v>0.76051040000000003</v>
      </c>
      <c r="AB2026">
        <v>27</v>
      </c>
      <c r="AC2026">
        <v>-2.8781000000000101</v>
      </c>
      <c r="AD2026">
        <v>-1.1298377754660001</v>
      </c>
      <c r="AE2026">
        <v>-6.98599999999999</v>
      </c>
      <c r="AF2026">
        <v>-4.9472522126399303</v>
      </c>
      <c r="AG2026">
        <v>-1.1298377754660001</v>
      </c>
      <c r="AH2026">
        <v>5.4902125798661503</v>
      </c>
      <c r="AI2026">
        <v>98.692049418915701</v>
      </c>
      <c r="AJ2026">
        <v>132.02213882725201</v>
      </c>
      <c r="AK2026">
        <v>7.47624718869442</v>
      </c>
      <c r="AL2026">
        <v>81.515410142209205</v>
      </c>
      <c r="AM2026">
        <v>107.33244108229199</v>
      </c>
      <c r="AN2026">
        <v>0.99999998417230396</v>
      </c>
    </row>
    <row r="2027" spans="1:40" x14ac:dyDescent="0.25">
      <c r="A2027" t="str">
        <f>"20190303162544083"</f>
        <v>20190303162544083</v>
      </c>
      <c r="B2027" t="str">
        <f>"1551601544074807"</f>
        <v>1551601544074807</v>
      </c>
      <c r="C2027" t="s">
        <v>40</v>
      </c>
      <c r="D2027">
        <v>4.3049540000000004</v>
      </c>
      <c r="E2027">
        <v>0.32172060000000002</v>
      </c>
      <c r="F2027" t="s">
        <v>46</v>
      </c>
      <c r="G2027">
        <v>-482.89179999999999</v>
      </c>
      <c r="H2027" s="1">
        <v>1.194664E-6</v>
      </c>
      <c r="I2027">
        <v>274.92219999999998</v>
      </c>
      <c r="J2027">
        <v>-479.98590000000002</v>
      </c>
      <c r="K2027">
        <v>1.1298360000000001</v>
      </c>
      <c r="L2027">
        <v>282.08319999999998</v>
      </c>
      <c r="M2027">
        <v>-0.89656380000000002</v>
      </c>
      <c r="N2027">
        <v>-1.3348179999999999E-2</v>
      </c>
      <c r="O2027">
        <v>-0.44271349999999998</v>
      </c>
      <c r="P2027">
        <v>-0.71946969999999899</v>
      </c>
      <c r="Q2027">
        <v>0.139717799999999</v>
      </c>
      <c r="R2027">
        <v>-0.68032499999999996</v>
      </c>
      <c r="S2027">
        <v>-1.3413090000000001</v>
      </c>
      <c r="T2027">
        <v>-0.4833732</v>
      </c>
      <c r="U2027">
        <v>-3.1167600000000002</v>
      </c>
      <c r="V2027">
        <v>-0.29473359999999998</v>
      </c>
      <c r="W2027">
        <v>0.1459067</v>
      </c>
      <c r="X2027">
        <v>0.94437459999999995</v>
      </c>
      <c r="Y2027">
        <v>-0.64552589999999999</v>
      </c>
      <c r="Z2027">
        <v>5.9596299999999996E-3</v>
      </c>
      <c r="AA2027">
        <v>0.76371509999999998</v>
      </c>
      <c r="AB2027">
        <v>27</v>
      </c>
      <c r="AC2027">
        <v>-2.9058999999999702</v>
      </c>
      <c r="AD2027">
        <v>-1.1298348053359999</v>
      </c>
      <c r="AE2027">
        <v>-7.1609999999999996</v>
      </c>
      <c r="AF2027">
        <v>-5.0268275534185598</v>
      </c>
      <c r="AG2027">
        <v>-1.1298348053359999</v>
      </c>
      <c r="AH2027">
        <v>5.6552371830663901</v>
      </c>
      <c r="AI2027">
        <v>98.4927843677211</v>
      </c>
      <c r="AJ2027">
        <v>131.633256677953</v>
      </c>
      <c r="AK2027">
        <v>7.6503091137478396</v>
      </c>
      <c r="AL2027">
        <v>81.610212494701301</v>
      </c>
      <c r="AM2027">
        <v>107.332827115589</v>
      </c>
      <c r="AN2027">
        <v>1.0000000225995</v>
      </c>
    </row>
    <row r="2028" spans="1:40" x14ac:dyDescent="0.25">
      <c r="A2028" t="str">
        <f>"20190303162544107"</f>
        <v>20190303162544107</v>
      </c>
      <c r="B2028" t="str">
        <f>"1551601544095302"</f>
        <v>1551601544095302</v>
      </c>
      <c r="C2028" t="s">
        <v>40</v>
      </c>
      <c r="D2028">
        <v>4.7408419999999998</v>
      </c>
      <c r="E2028">
        <v>0.32828829999999998</v>
      </c>
      <c r="F2028" t="s">
        <v>46</v>
      </c>
      <c r="G2028">
        <v>-483.01679999999999</v>
      </c>
      <c r="H2028" s="1">
        <v>1.189662E-6</v>
      </c>
      <c r="I2028">
        <v>274.83080000000001</v>
      </c>
      <c r="J2028">
        <v>-480.22089999999997</v>
      </c>
      <c r="K2028">
        <v>1.129829</v>
      </c>
      <c r="L2028">
        <v>281.95229999999998</v>
      </c>
      <c r="M2028">
        <v>-0.89096739999999996</v>
      </c>
      <c r="N2028">
        <v>-1.33475E-2</v>
      </c>
      <c r="O2028">
        <v>-0.45387109999999897</v>
      </c>
      <c r="P2028">
        <v>-0.71071139999999999</v>
      </c>
      <c r="Q2028">
        <v>0.13801820000000001</v>
      </c>
      <c r="R2028">
        <v>-0.68981199999999998</v>
      </c>
      <c r="S2028">
        <v>-1.307037</v>
      </c>
      <c r="T2028">
        <v>-0.48722219999999999</v>
      </c>
      <c r="U2028">
        <v>-3.127472</v>
      </c>
      <c r="V2028">
        <v>-0.29528989999999999</v>
      </c>
      <c r="W2028">
        <v>0.14419309999999999</v>
      </c>
      <c r="X2028">
        <v>0.94446399999999997</v>
      </c>
      <c r="Y2028">
        <v>-0.64409759999999905</v>
      </c>
      <c r="Z2028">
        <v>8.0206840000000001E-3</v>
      </c>
      <c r="AA2028">
        <v>0.76490130000000001</v>
      </c>
      <c r="AB2028">
        <v>27</v>
      </c>
      <c r="AC2028">
        <v>-2.7959000000000098</v>
      </c>
      <c r="AD2028">
        <v>-1.1298278103379999</v>
      </c>
      <c r="AE2028">
        <v>-7.1214999999999602</v>
      </c>
      <c r="AF2028">
        <v>-4.96815052320978</v>
      </c>
      <c r="AG2028">
        <v>-1.1298278103379999</v>
      </c>
      <c r="AH2028">
        <v>5.6016452880588803</v>
      </c>
      <c r="AI2028">
        <v>98.581050209473403</v>
      </c>
      <c r="AJ2028">
        <v>131.57011264061501</v>
      </c>
      <c r="AK2028">
        <v>7.5721503178103298</v>
      </c>
      <c r="AL2028">
        <v>81.709443896681506</v>
      </c>
      <c r="AM2028">
        <v>107.362032566533</v>
      </c>
      <c r="AN2028">
        <v>1.00000001121281</v>
      </c>
    </row>
    <row r="2029" spans="1:40" x14ac:dyDescent="0.25">
      <c r="A2029" t="str">
        <f>"20190303162544130"</f>
        <v>20190303162544130</v>
      </c>
      <c r="B2029" t="str">
        <f>"1551601544125559"</f>
        <v>1551601544125559</v>
      </c>
      <c r="C2029" t="s">
        <v>40</v>
      </c>
      <c r="D2029">
        <v>4.6325649999999996</v>
      </c>
      <c r="E2029">
        <v>0.32735110000000001</v>
      </c>
      <c r="F2029" t="s">
        <v>46</v>
      </c>
      <c r="G2029">
        <v>-483.70139999999998</v>
      </c>
      <c r="H2029" s="1">
        <v>8.4915180000000002E-7</v>
      </c>
      <c r="I2029">
        <v>273.58819999999997</v>
      </c>
      <c r="J2029">
        <v>-480.46300000000002</v>
      </c>
      <c r="K2029">
        <v>1.1298349999999999</v>
      </c>
      <c r="L2029">
        <v>281.8134</v>
      </c>
      <c r="M2029">
        <v>-0.88499810000000001</v>
      </c>
      <c r="N2029">
        <v>-1.334803E-2</v>
      </c>
      <c r="O2029">
        <v>-0.46540310000000001</v>
      </c>
      <c r="P2029">
        <v>-0.7016057</v>
      </c>
      <c r="Q2029">
        <v>0.13776099999999999</v>
      </c>
      <c r="R2029">
        <v>-0.69912169999999996</v>
      </c>
      <c r="S2029">
        <v>-1.291077</v>
      </c>
      <c r="T2029">
        <v>-0.41909849999999998</v>
      </c>
      <c r="U2029">
        <v>-3.1025999999999998</v>
      </c>
      <c r="V2029">
        <v>-0.2954505</v>
      </c>
      <c r="W2029">
        <v>0.14392739999999901</v>
      </c>
      <c r="X2029">
        <v>0.94445429999999997</v>
      </c>
      <c r="Y2029">
        <v>-0.63605119999999904</v>
      </c>
      <c r="Z2029">
        <v>7.9000219999999996E-3</v>
      </c>
      <c r="AA2029">
        <v>0.77160640000000003</v>
      </c>
      <c r="AB2029">
        <v>27</v>
      </c>
      <c r="AC2029">
        <v>-3.2383999999999502</v>
      </c>
      <c r="AD2029">
        <v>-1.1298341508481999</v>
      </c>
      <c r="AE2029">
        <v>-8.2252000000000294</v>
      </c>
      <c r="AF2029">
        <v>-5.6798527746558003</v>
      </c>
      <c r="AG2029">
        <v>-1.1298341508481999</v>
      </c>
      <c r="AH2029">
        <v>6.5870021082520402</v>
      </c>
      <c r="AI2029">
        <v>97.401328596129503</v>
      </c>
      <c r="AJ2029">
        <v>130.77060378426501</v>
      </c>
      <c r="AK2029">
        <v>8.7707382542352192</v>
      </c>
      <c r="AL2029">
        <v>81.724827843111598</v>
      </c>
      <c r="AM2029">
        <v>107.37107501718999</v>
      </c>
      <c r="AN2029">
        <v>1.0000000096047399</v>
      </c>
    </row>
    <row r="2030" spans="1:40" x14ac:dyDescent="0.25">
      <c r="A2030" t="str">
        <f>"20190303162544150"</f>
        <v>20190303162544150</v>
      </c>
      <c r="B2030" t="str">
        <f>"1551601544145079"</f>
        <v>1551601544145079</v>
      </c>
      <c r="C2030" t="s">
        <v>40</v>
      </c>
      <c r="D2030">
        <v>4.6289030000000002</v>
      </c>
      <c r="E2030">
        <v>0.326580599999999</v>
      </c>
      <c r="F2030" t="s">
        <v>46</v>
      </c>
      <c r="G2030">
        <v>-483.7158</v>
      </c>
      <c r="H2030" s="1">
        <v>8.7103340000000004E-7</v>
      </c>
      <c r="I2030">
        <v>273.6465</v>
      </c>
      <c r="J2030">
        <v>-480.68369999999999</v>
      </c>
      <c r="K2030">
        <v>1.1298589999999999</v>
      </c>
      <c r="L2030">
        <v>281.68310000000002</v>
      </c>
      <c r="M2030">
        <v>-0.87937310000000002</v>
      </c>
      <c r="N2030">
        <v>-1.3344170000000001E-2</v>
      </c>
      <c r="O2030">
        <v>-0.47594639999999999</v>
      </c>
      <c r="P2030">
        <v>-0.69299219999999995</v>
      </c>
      <c r="Q2030">
        <v>0.1376715</v>
      </c>
      <c r="R2030">
        <v>-0.70767819999999904</v>
      </c>
      <c r="S2030">
        <v>-1.2453000000000001</v>
      </c>
      <c r="T2030">
        <v>-0.43254490000000001</v>
      </c>
      <c r="U2030">
        <v>-3.126617</v>
      </c>
      <c r="V2030">
        <v>-0.29574709999999899</v>
      </c>
      <c r="W2030">
        <v>0.143817</v>
      </c>
      <c r="X2030">
        <v>0.9443783</v>
      </c>
      <c r="Y2030">
        <v>-0.63856169999999901</v>
      </c>
      <c r="Z2030">
        <v>9.7257460000000004E-3</v>
      </c>
      <c r="AA2030">
        <v>0.7695092</v>
      </c>
      <c r="AB2030">
        <v>27</v>
      </c>
      <c r="AC2030">
        <v>-3.03210000000001</v>
      </c>
      <c r="AD2030">
        <v>-1.1298581289666001</v>
      </c>
      <c r="AE2030">
        <v>-8.0366000000000195</v>
      </c>
      <c r="AF2030">
        <v>-5.52889035719517</v>
      </c>
      <c r="AG2030">
        <v>-1.1298581289666001</v>
      </c>
      <c r="AH2030">
        <v>6.3815005983005904</v>
      </c>
      <c r="AI2030">
        <v>97.621725390444098</v>
      </c>
      <c r="AJ2030">
        <v>130.90544264478399</v>
      </c>
      <c r="AK2030">
        <v>8.5187298266577596</v>
      </c>
      <c r="AL2030">
        <v>81.731219926086098</v>
      </c>
      <c r="AM2030">
        <v>107.3887779758</v>
      </c>
      <c r="AN2030">
        <v>1.0000000250791401</v>
      </c>
    </row>
    <row r="2031" spans="1:40" x14ac:dyDescent="0.25">
      <c r="A2031" t="str">
        <f>"20190303162544172"</f>
        <v>20190303162544172</v>
      </c>
      <c r="B2031" t="str">
        <f>"1551601544164599"</f>
        <v>1551601544164599</v>
      </c>
      <c r="C2031" t="s">
        <v>40</v>
      </c>
      <c r="D2031">
        <v>4.6107480000000001</v>
      </c>
      <c r="E2031">
        <v>0.32739170000000001</v>
      </c>
      <c r="F2031" t="s">
        <v>46</v>
      </c>
      <c r="G2031">
        <v>-483.80309999999997</v>
      </c>
      <c r="H2031" s="1">
        <v>8.3039309999999998E-7</v>
      </c>
      <c r="I2031">
        <v>273.50959999999998</v>
      </c>
      <c r="J2031">
        <v>-480.899</v>
      </c>
      <c r="K2031">
        <v>1.129885</v>
      </c>
      <c r="L2031">
        <v>281.55250000000001</v>
      </c>
      <c r="M2031">
        <v>-0.87370029999999999</v>
      </c>
      <c r="N2031">
        <v>-1.333263E-2</v>
      </c>
      <c r="O2031">
        <v>-0.48628199999999999</v>
      </c>
      <c r="P2031">
        <v>-0.6854768</v>
      </c>
      <c r="Q2031">
        <v>0.13811519999999999</v>
      </c>
      <c r="R2031">
        <v>-0.71487469999999997</v>
      </c>
      <c r="S2031">
        <v>-1.201263</v>
      </c>
      <c r="T2031">
        <v>-0.43509969999999998</v>
      </c>
      <c r="U2031">
        <v>-3.1475520000000001</v>
      </c>
      <c r="V2031">
        <v>-0.29452909999999999</v>
      </c>
      <c r="W2031">
        <v>0.1442658</v>
      </c>
      <c r="X2031">
        <v>0.94469040000000004</v>
      </c>
      <c r="Y2031">
        <v>-0.64062549999999996</v>
      </c>
      <c r="Z2031">
        <v>1.1126870000000001E-2</v>
      </c>
      <c r="AA2031">
        <v>0.76777289999999998</v>
      </c>
      <c r="AB2031">
        <v>27</v>
      </c>
      <c r="AC2031">
        <v>-2.9040999999999699</v>
      </c>
      <c r="AD2031">
        <v>-1.1298841696069</v>
      </c>
      <c r="AE2031">
        <v>-8.0429000000000297</v>
      </c>
      <c r="AF2031">
        <v>-5.5190147373659304</v>
      </c>
      <c r="AG2031">
        <v>-1.1298841696069</v>
      </c>
      <c r="AH2031">
        <v>6.3383420778374999</v>
      </c>
      <c r="AI2031">
        <v>97.656902732453005</v>
      </c>
      <c r="AJ2031">
        <v>131.04722204241699</v>
      </c>
      <c r="AK2031">
        <v>8.4800201770795294</v>
      </c>
      <c r="AL2031">
        <v>81.705234235563495</v>
      </c>
      <c r="AM2031">
        <v>107.31607636330099</v>
      </c>
      <c r="AN2031">
        <v>0.99999998182430405</v>
      </c>
    </row>
    <row r="2032" spans="1:40" x14ac:dyDescent="0.25">
      <c r="A2032" t="str">
        <f>"20190303162544194"</f>
        <v>20190303162544194</v>
      </c>
      <c r="B2032" t="str">
        <f>"1551601544185095"</f>
        <v>1551601544185095</v>
      </c>
      <c r="C2032" t="s">
        <v>40</v>
      </c>
      <c r="D2032">
        <v>4.5950220000000002</v>
      </c>
      <c r="E2032">
        <v>0.3279957</v>
      </c>
      <c r="F2032" t="s">
        <v>46</v>
      </c>
      <c r="G2032">
        <v>-484.0027</v>
      </c>
      <c r="H2032" s="1">
        <v>7.2890540000000002E-7</v>
      </c>
      <c r="I2032">
        <v>273.17239999999998</v>
      </c>
      <c r="J2032">
        <v>-481.12479999999999</v>
      </c>
      <c r="K2032">
        <v>1.12992</v>
      </c>
      <c r="L2032">
        <v>281.41180000000003</v>
      </c>
      <c r="M2032">
        <v>-0.86755319999999903</v>
      </c>
      <c r="N2032">
        <v>-1.331778E-2</v>
      </c>
      <c r="O2032">
        <v>-0.49716579999999999</v>
      </c>
      <c r="P2032">
        <v>-0.67698369999999997</v>
      </c>
      <c r="Q2032">
        <v>0.13898869999999999</v>
      </c>
      <c r="R2032">
        <v>-0.72275519999999904</v>
      </c>
      <c r="S2032">
        <v>-1.169403</v>
      </c>
      <c r="T2032">
        <v>-0.4257127</v>
      </c>
      <c r="U2032">
        <v>-3.15741</v>
      </c>
      <c r="V2032">
        <v>-0.293763</v>
      </c>
      <c r="W2032">
        <v>0.1451231</v>
      </c>
      <c r="X2032">
        <v>0.94479760000000002</v>
      </c>
      <c r="Y2032">
        <v>-0.63876829999999996</v>
      </c>
      <c r="Z2032">
        <v>1.2384549999999999E-2</v>
      </c>
      <c r="AA2032">
        <v>0.76929939999999997</v>
      </c>
      <c r="AB2032">
        <v>27</v>
      </c>
      <c r="AC2032">
        <v>-2.8779000000000101</v>
      </c>
      <c r="AD2032">
        <v>-1.1299192710946</v>
      </c>
      <c r="AE2032">
        <v>-8.2394000000000407</v>
      </c>
      <c r="AF2032">
        <v>-5.6235731220861496</v>
      </c>
      <c r="AG2032">
        <v>-1.1299192710946</v>
      </c>
      <c r="AH2032">
        <v>6.4849675789083596</v>
      </c>
      <c r="AI2032">
        <v>97.499066760772607</v>
      </c>
      <c r="AJ2032">
        <v>130.93086711514499</v>
      </c>
      <c r="AK2032">
        <v>8.6577189096281799</v>
      </c>
      <c r="AL2032">
        <v>81.655591960604198</v>
      </c>
      <c r="AM2032">
        <v>107.271875384773</v>
      </c>
      <c r="AN2032">
        <v>0.99999995964418398</v>
      </c>
    </row>
    <row r="2033" spans="1:40" x14ac:dyDescent="0.25">
      <c r="A2033" t="str">
        <f>"20190303162544217"</f>
        <v>20190303162544217</v>
      </c>
      <c r="B2033" t="str">
        <f>"1551601544204615"</f>
        <v>1551601544204615</v>
      </c>
      <c r="C2033" t="s">
        <v>40</v>
      </c>
      <c r="D2033">
        <v>4.5871490000000001</v>
      </c>
      <c r="E2033">
        <v>0.32886700000000002</v>
      </c>
      <c r="F2033" t="s">
        <v>46</v>
      </c>
      <c r="G2033">
        <v>-484.18340000000001</v>
      </c>
      <c r="H2033" s="1">
        <v>6.2993519999999999E-7</v>
      </c>
      <c r="I2033">
        <v>272.84710000000001</v>
      </c>
      <c r="J2033">
        <v>-481.34930000000003</v>
      </c>
      <c r="K2033">
        <v>1.1299589999999999</v>
      </c>
      <c r="L2033">
        <v>281.2679</v>
      </c>
      <c r="M2033">
        <v>-0.86122699999999996</v>
      </c>
      <c r="N2033">
        <v>-1.330462E-2</v>
      </c>
      <c r="O2033">
        <v>-0.50804649999999996</v>
      </c>
      <c r="P2033">
        <v>-0.66841219999999901</v>
      </c>
      <c r="Q2033">
        <v>0.14036499999999999</v>
      </c>
      <c r="R2033">
        <v>-0.73042649999999998</v>
      </c>
      <c r="S2033">
        <v>-1.1322939999999999</v>
      </c>
      <c r="T2033">
        <v>-0.4182942</v>
      </c>
      <c r="U2033">
        <v>-3.1706240000000001</v>
      </c>
      <c r="V2033">
        <v>-0.29282909999999901</v>
      </c>
      <c r="W2033">
        <v>0.146484</v>
      </c>
      <c r="X2033">
        <v>0.94487759999999998</v>
      </c>
      <c r="Y2033">
        <v>-0.63820580000000005</v>
      </c>
      <c r="Z2033">
        <v>1.3559470000000001E-2</v>
      </c>
      <c r="AA2033">
        <v>0.76974639999999905</v>
      </c>
      <c r="AB2033">
        <v>27</v>
      </c>
      <c r="AC2033">
        <v>-2.8340999999999701</v>
      </c>
      <c r="AD2033">
        <v>-1.1299583700647999</v>
      </c>
      <c r="AE2033">
        <v>-8.4207999999999803</v>
      </c>
      <c r="AF2033">
        <v>-5.72035869864653</v>
      </c>
      <c r="AG2033">
        <v>-1.1299583700647999</v>
      </c>
      <c r="AH2033">
        <v>6.6126033841655598</v>
      </c>
      <c r="AI2033">
        <v>97.363743286792001</v>
      </c>
      <c r="AJ2033">
        <v>130.86206922534899</v>
      </c>
      <c r="AK2033">
        <v>8.8162255572063497</v>
      </c>
      <c r="AL2033">
        <v>81.576776725553501</v>
      </c>
      <c r="AM2033">
        <v>107.218846795614</v>
      </c>
      <c r="AN2033">
        <v>1.0000000615222799</v>
      </c>
    </row>
    <row r="2034" spans="1:40" x14ac:dyDescent="0.25">
      <c r="A2034" t="str">
        <f>"20190303162544240"</f>
        <v>20190303162544240</v>
      </c>
      <c r="B2034" t="str">
        <f>"1551601544234871"</f>
        <v>1551601544234871</v>
      </c>
      <c r="C2034" t="s">
        <v>40</v>
      </c>
      <c r="D2034">
        <v>4.5851800000000003</v>
      </c>
      <c r="E2034">
        <v>0.33014399999999999</v>
      </c>
      <c r="F2034" t="s">
        <v>42</v>
      </c>
      <c r="G2034">
        <v>-481.65120000000002</v>
      </c>
      <c r="H2034">
        <v>1.0180990000000001</v>
      </c>
      <c r="I2034">
        <v>280.39260000000002</v>
      </c>
      <c r="J2034">
        <v>-481.58120000000002</v>
      </c>
      <c r="K2034">
        <v>1.129996</v>
      </c>
      <c r="L2034">
        <v>281.11470000000003</v>
      </c>
      <c r="M2034">
        <v>-0.85444929999999997</v>
      </c>
      <c r="N2034">
        <v>-1.329367E-2</v>
      </c>
      <c r="O2034">
        <v>-0.51936479999999996</v>
      </c>
      <c r="P2034">
        <v>-0.65945109999999996</v>
      </c>
      <c r="Q2034">
        <v>0.14142550000000001</v>
      </c>
      <c r="R2034">
        <v>-0.7383248</v>
      </c>
      <c r="S2034">
        <v>-1.0967100000000001</v>
      </c>
      <c r="T2034">
        <v>-0.40646710000000003</v>
      </c>
      <c r="U2034">
        <v>-3.181702</v>
      </c>
      <c r="V2034">
        <v>-0.29175440000000002</v>
      </c>
      <c r="W2034">
        <v>0.1475311</v>
      </c>
      <c r="X2034">
        <v>0.94504710000000003</v>
      </c>
      <c r="Y2034">
        <v>-0.63671919999999904</v>
      </c>
      <c r="Z2034">
        <v>1.455335E-2</v>
      </c>
      <c r="AA2034">
        <v>0.77095839999999904</v>
      </c>
      <c r="AB2034">
        <v>27</v>
      </c>
      <c r="AC2034">
        <v>-6.9999999999993096E-2</v>
      </c>
      <c r="AD2034">
        <v>-0.111896999999999</v>
      </c>
      <c r="AE2034">
        <v>-0.72210000000001096</v>
      </c>
      <c r="AF2034">
        <v>-0.56720033108715096</v>
      </c>
      <c r="AG2034">
        <v>-0.111896999999999</v>
      </c>
      <c r="AH2034">
        <v>0.42477803935920699</v>
      </c>
      <c r="AI2034">
        <v>98.973295956795894</v>
      </c>
      <c r="AJ2034">
        <v>143.17034912640401</v>
      </c>
      <c r="AK2034">
        <v>0.71740751105367295</v>
      </c>
      <c r="AL2034">
        <v>81.516123140563295</v>
      </c>
      <c r="AM2034">
        <v>107.156473387492</v>
      </c>
      <c r="AN2034">
        <v>1.0000000383024801</v>
      </c>
    </row>
    <row r="2035" spans="1:40" x14ac:dyDescent="0.25">
      <c r="A2035" t="str">
        <f>"20190303162544262"</f>
        <v>20190303162544262</v>
      </c>
      <c r="B2035" t="str">
        <f>"1551601544255367"</f>
        <v>1551601544255367</v>
      </c>
      <c r="C2035" t="s">
        <v>40</v>
      </c>
      <c r="D2035">
        <v>4.5967659999999997</v>
      </c>
      <c r="E2035">
        <v>0.33070319999999997</v>
      </c>
      <c r="F2035" t="s">
        <v>46</v>
      </c>
      <c r="G2035">
        <v>-484.61619999999999</v>
      </c>
      <c r="H2035" s="1">
        <v>4.186278E-7</v>
      </c>
      <c r="I2035">
        <v>271.99329999999998</v>
      </c>
      <c r="J2035">
        <v>-481.7928</v>
      </c>
      <c r="K2035">
        <v>1.130036</v>
      </c>
      <c r="L2035">
        <v>280.97089999999997</v>
      </c>
      <c r="M2035">
        <v>-0.848046999999999</v>
      </c>
      <c r="N2035">
        <v>-1.328553E-2</v>
      </c>
      <c r="O2035">
        <v>-0.52975479999999997</v>
      </c>
      <c r="P2035">
        <v>-0.65113149999999997</v>
      </c>
      <c r="Q2035">
        <v>0.14172960000000001</v>
      </c>
      <c r="R2035">
        <v>-0.74561460000000002</v>
      </c>
      <c r="S2035">
        <v>-1.0616760000000001</v>
      </c>
      <c r="T2035">
        <v>-0.39527519999999999</v>
      </c>
      <c r="U2035">
        <v>-3.190674</v>
      </c>
      <c r="V2035">
        <v>-0.29078589999999999</v>
      </c>
      <c r="W2035">
        <v>0.1478254</v>
      </c>
      <c r="X2035">
        <v>0.94529949999999996</v>
      </c>
      <c r="Y2035">
        <v>-0.63570309999999997</v>
      </c>
      <c r="Z2035">
        <v>1.534262E-2</v>
      </c>
      <c r="AA2035">
        <v>0.7717811</v>
      </c>
      <c r="AB2035">
        <v>27</v>
      </c>
      <c r="AC2035">
        <v>-2.8233999999999901</v>
      </c>
      <c r="AD2035">
        <v>-1.1300355813722001</v>
      </c>
      <c r="AE2035">
        <v>-8.97759999999999</v>
      </c>
      <c r="AF2035">
        <v>-6.0312970524479503</v>
      </c>
      <c r="AG2035">
        <v>-1.1300355813722001</v>
      </c>
      <c r="AH2035">
        <v>7.0492961071191802</v>
      </c>
      <c r="AI2035">
        <v>96.944754926842904</v>
      </c>
      <c r="AJ2035">
        <v>130.54991755710299</v>
      </c>
      <c r="AK2035">
        <v>9.3459135538415996</v>
      </c>
      <c r="AL2035">
        <v>81.499073443893394</v>
      </c>
      <c r="AM2035">
        <v>107.098549353138</v>
      </c>
      <c r="AN2035">
        <v>0.99999996661210899</v>
      </c>
    </row>
    <row r="2036" spans="1:40" x14ac:dyDescent="0.25">
      <c r="A2036" t="str">
        <f>"20190303162544284"</f>
        <v>20190303162544284</v>
      </c>
      <c r="B2036" t="str">
        <f>"1551601544274887"</f>
        <v>1551601544274887</v>
      </c>
      <c r="C2036" t="s">
        <v>40</v>
      </c>
      <c r="D2036">
        <v>4.3779329999999996</v>
      </c>
      <c r="E2036">
        <v>0.33099460000000003</v>
      </c>
      <c r="F2036" t="s">
        <v>46</v>
      </c>
      <c r="G2036">
        <v>-484.77370000000002</v>
      </c>
      <c r="H2036" s="1">
        <v>3.6347159999999999E-7</v>
      </c>
      <c r="I2036">
        <v>271.68020000000001</v>
      </c>
      <c r="J2036">
        <v>-482.00959999999998</v>
      </c>
      <c r="K2036">
        <v>1.1300760000000001</v>
      </c>
      <c r="L2036">
        <v>280.81959999999998</v>
      </c>
      <c r="M2036">
        <v>-0.84126529999999999</v>
      </c>
      <c r="N2036">
        <v>-1.327827E-2</v>
      </c>
      <c r="O2036">
        <v>-0.54045959999999904</v>
      </c>
      <c r="P2036">
        <v>-0.64264809999999895</v>
      </c>
      <c r="Q2036">
        <v>0.14143900000000001</v>
      </c>
      <c r="R2036">
        <v>-0.75299349999999998</v>
      </c>
      <c r="S2036">
        <v>-1.0269469999999901</v>
      </c>
      <c r="T2036">
        <v>-0.3893025</v>
      </c>
      <c r="U2036">
        <v>-3.2007140000000001</v>
      </c>
      <c r="V2036">
        <v>-0.28955879999999901</v>
      </c>
      <c r="W2036">
        <v>0.1475349</v>
      </c>
      <c r="X2036">
        <v>0.94572149999999999</v>
      </c>
      <c r="Y2036">
        <v>-0.63430889999999995</v>
      </c>
      <c r="Z2036">
        <v>1.6477729999999999E-2</v>
      </c>
      <c r="AA2036">
        <v>0.77290409999999998</v>
      </c>
      <c r="AB2036">
        <v>27</v>
      </c>
      <c r="AC2036">
        <v>-2.76410000000004</v>
      </c>
      <c r="AD2036">
        <v>-1.1300756365283999</v>
      </c>
      <c r="AE2036">
        <v>-9.1393999999999593</v>
      </c>
      <c r="AF2036">
        <v>-6.1097375933512899</v>
      </c>
      <c r="AG2036">
        <v>-1.1300756365283999</v>
      </c>
      <c r="AH2036">
        <v>7.1650908872966301</v>
      </c>
      <c r="AI2036">
        <v>96.843463697313695</v>
      </c>
      <c r="AJ2036">
        <v>130.45452657921501</v>
      </c>
      <c r="AK2036">
        <v>9.4839069916942105</v>
      </c>
      <c r="AL2036">
        <v>81.515902684374495</v>
      </c>
      <c r="AM2036">
        <v>107.023418111637</v>
      </c>
      <c r="AN2036">
        <v>1.0000000004688501</v>
      </c>
    </row>
    <row r="2037" spans="1:40" x14ac:dyDescent="0.25">
      <c r="A2037" t="str">
        <f>"20190303162544307"</f>
        <v>20190303162544307</v>
      </c>
      <c r="B2037" t="str">
        <f>"1551601544295383"</f>
        <v>1551601544295383</v>
      </c>
      <c r="C2037" t="s">
        <v>40</v>
      </c>
      <c r="D2037">
        <v>4.5486079999999998</v>
      </c>
      <c r="E2037">
        <v>0.3314492</v>
      </c>
      <c r="F2037" t="s">
        <v>46</v>
      </c>
      <c r="G2037">
        <v>-484.88319999999999</v>
      </c>
      <c r="H2037" s="1">
        <v>3.3234900000000001E-7</v>
      </c>
      <c r="I2037">
        <v>271.5034</v>
      </c>
      <c r="J2037">
        <v>-482.22239999999999</v>
      </c>
      <c r="K2037">
        <v>1.130098</v>
      </c>
      <c r="L2037">
        <v>280.6671</v>
      </c>
      <c r="M2037">
        <v>-0.83439419999999898</v>
      </c>
      <c r="N2037">
        <v>-1.3271760000000001E-2</v>
      </c>
      <c r="O2037">
        <v>-0.55100859999999996</v>
      </c>
      <c r="P2037">
        <v>-0.63464419999999899</v>
      </c>
      <c r="Q2037">
        <v>0.1401134</v>
      </c>
      <c r="R2037">
        <v>-0.75999700000000003</v>
      </c>
      <c r="S2037">
        <v>-0.99066160000000003</v>
      </c>
      <c r="T2037">
        <v>-0.38959539999999998</v>
      </c>
      <c r="U2037">
        <v>-3.2117610000000001</v>
      </c>
      <c r="V2037">
        <v>-0.28784110000000002</v>
      </c>
      <c r="W2037">
        <v>0.14622879999999999</v>
      </c>
      <c r="X2037">
        <v>0.94644839999999997</v>
      </c>
      <c r="Y2037">
        <v>-0.63334659999999998</v>
      </c>
      <c r="Z2037">
        <v>1.7976430000000002E-2</v>
      </c>
      <c r="AA2037">
        <v>0.77365949999999994</v>
      </c>
      <c r="AB2037">
        <v>27</v>
      </c>
      <c r="AC2037">
        <v>-2.6607999999999898</v>
      </c>
      <c r="AD2037">
        <v>-1.1300976676509999</v>
      </c>
      <c r="AE2037">
        <v>-9.1637000000000004</v>
      </c>
      <c r="AF2037">
        <v>-6.09506792713242</v>
      </c>
      <c r="AG2037">
        <v>-1.1300976676509999</v>
      </c>
      <c r="AH2037">
        <v>7.1695126167831402</v>
      </c>
      <c r="AI2037">
        <v>96.848021156089601</v>
      </c>
      <c r="AJ2037">
        <v>130.36909322241101</v>
      </c>
      <c r="AK2037">
        <v>9.4778101340447396</v>
      </c>
      <c r="AL2037">
        <v>81.5915569732541</v>
      </c>
      <c r="AM2037">
        <v>106.915965109919</v>
      </c>
      <c r="AN2037">
        <v>0.99999996733060403</v>
      </c>
    </row>
    <row r="2038" spans="1:40" x14ac:dyDescent="0.25">
      <c r="A2038" t="str">
        <f>"20190303162544330"</f>
        <v>20190303162544330</v>
      </c>
      <c r="B2038" t="str">
        <f>"1551601544325639"</f>
        <v>1551601544325639</v>
      </c>
      <c r="C2038" t="s">
        <v>40</v>
      </c>
      <c r="D2038">
        <v>4.4321469999999996</v>
      </c>
      <c r="E2038">
        <v>0.332279299999999</v>
      </c>
      <c r="F2038" t="s">
        <v>46</v>
      </c>
      <c r="G2038">
        <v>-484.97449999999998</v>
      </c>
      <c r="H2038" s="1">
        <v>3.1430499999999998E-7</v>
      </c>
      <c r="I2038">
        <v>271.40100000000001</v>
      </c>
      <c r="J2038">
        <v>-482.45269999999999</v>
      </c>
      <c r="K2038">
        <v>1.13012</v>
      </c>
      <c r="L2038">
        <v>280.4973</v>
      </c>
      <c r="M2038">
        <v>-0.82670560000000004</v>
      </c>
      <c r="N2038">
        <v>-1.326537E-2</v>
      </c>
      <c r="O2038">
        <v>-0.56247849999999999</v>
      </c>
      <c r="P2038">
        <v>-0.62616830000000001</v>
      </c>
      <c r="Q2038">
        <v>0.13801720000000001</v>
      </c>
      <c r="R2038">
        <v>-0.76737509999999998</v>
      </c>
      <c r="S2038">
        <v>-0.95666499999999999</v>
      </c>
      <c r="T2038">
        <v>-0.39282630000000002</v>
      </c>
      <c r="U2038">
        <v>-3.220917</v>
      </c>
      <c r="V2038">
        <v>-0.28554940000000001</v>
      </c>
      <c r="W2038">
        <v>0.14417089999999999</v>
      </c>
      <c r="X2038">
        <v>0.94745780000000002</v>
      </c>
      <c r="Y2038">
        <v>-0.63080429999999998</v>
      </c>
      <c r="Z2038">
        <v>1.996947E-2</v>
      </c>
      <c r="AA2038">
        <v>0.77568499999999996</v>
      </c>
      <c r="AB2038">
        <v>27</v>
      </c>
      <c r="AC2038">
        <v>-2.5217999999999798</v>
      </c>
      <c r="AD2038">
        <v>-1.130119685695</v>
      </c>
      <c r="AE2038">
        <v>-9.0962999999999798</v>
      </c>
      <c r="AF2038">
        <v>-6.0158109204196997</v>
      </c>
      <c r="AG2038">
        <v>-1.130119685695</v>
      </c>
      <c r="AH2038">
        <v>7.1001208301799403</v>
      </c>
      <c r="AI2038">
        <v>96.924086009599094</v>
      </c>
      <c r="AJ2038">
        <v>130.27403577368199</v>
      </c>
      <c r="AK2038">
        <v>9.3743729036875507</v>
      </c>
      <c r="AL2038">
        <v>81.710729162800007</v>
      </c>
      <c r="AM2038">
        <v>106.772009517219</v>
      </c>
      <c r="AN2038">
        <v>0.99999999551400398</v>
      </c>
    </row>
    <row r="2039" spans="1:40" x14ac:dyDescent="0.25">
      <c r="A2039" t="str">
        <f>"20190303162544351"</f>
        <v>20190303162544351</v>
      </c>
      <c r="B2039" t="str">
        <f>"1551601544345159"</f>
        <v>1551601544345159</v>
      </c>
      <c r="C2039" t="s">
        <v>40</v>
      </c>
      <c r="D2039">
        <v>4.4617329999999997</v>
      </c>
      <c r="E2039">
        <v>0.33244210000000002</v>
      </c>
      <c r="F2039" t="s">
        <v>46</v>
      </c>
      <c r="G2039">
        <v>-485.05650000000003</v>
      </c>
      <c r="H2039" s="1">
        <v>3.1389559999999899E-7</v>
      </c>
      <c r="I2039">
        <v>271.39870000000002</v>
      </c>
      <c r="J2039">
        <v>-482.65469999999999</v>
      </c>
      <c r="K2039">
        <v>1.1301319999999999</v>
      </c>
      <c r="L2039">
        <v>280.34440000000001</v>
      </c>
      <c r="M2039">
        <v>-0.81974809999999998</v>
      </c>
      <c r="N2039">
        <v>-1.326042E-2</v>
      </c>
      <c r="O2039">
        <v>-0.57257069999999999</v>
      </c>
      <c r="P2039">
        <v>-0.61818130000000004</v>
      </c>
      <c r="Q2039">
        <v>0.1358144</v>
      </c>
      <c r="R2039">
        <v>-0.77421329999999999</v>
      </c>
      <c r="S2039">
        <v>-0.92370609999999997</v>
      </c>
      <c r="T2039">
        <v>-0.40091719999999997</v>
      </c>
      <c r="U2039">
        <v>-3.227814</v>
      </c>
      <c r="V2039">
        <v>-0.28402699999999997</v>
      </c>
      <c r="W2039">
        <v>0.14199339999999999</v>
      </c>
      <c r="X2039">
        <v>0.94824399999999998</v>
      </c>
      <c r="Y2039">
        <v>-0.62905089999999997</v>
      </c>
      <c r="Z2039">
        <v>2.21687E-2</v>
      </c>
      <c r="AA2039">
        <v>0.77704799999999996</v>
      </c>
      <c r="AB2039">
        <v>27</v>
      </c>
      <c r="AC2039">
        <v>-2.4018000000000299</v>
      </c>
      <c r="AD2039">
        <v>-1.1301316861044</v>
      </c>
      <c r="AE2039">
        <v>-8.9456999999999791</v>
      </c>
      <c r="AF2039">
        <v>-5.8711419008594401</v>
      </c>
      <c r="AG2039">
        <v>-1.1301316861044</v>
      </c>
      <c r="AH2039">
        <v>6.9875187135354899</v>
      </c>
      <c r="AI2039">
        <v>97.058870558380903</v>
      </c>
      <c r="AJ2039">
        <v>130.03807630042101</v>
      </c>
      <c r="AK2039">
        <v>9.1963537676610301</v>
      </c>
      <c r="AL2039">
        <v>81.836788426951998</v>
      </c>
      <c r="AM2039">
        <v>106.674506391542</v>
      </c>
      <c r="AN2039">
        <v>1.00000007295427</v>
      </c>
    </row>
    <row r="2040" spans="1:40" x14ac:dyDescent="0.25">
      <c r="A2040" t="str">
        <f>"20190303162544373"</f>
        <v>20190303162544373</v>
      </c>
      <c r="B2040" t="str">
        <f>"1551601544364682"</f>
        <v>1551601544364682</v>
      </c>
      <c r="C2040" t="s">
        <v>40</v>
      </c>
      <c r="D2040">
        <v>4.5757379999999896</v>
      </c>
      <c r="E2040">
        <v>0.33301130000000001</v>
      </c>
      <c r="F2040" t="s">
        <v>46</v>
      </c>
      <c r="G2040">
        <v>-485.11180000000002</v>
      </c>
      <c r="H2040" s="1">
        <v>3.179529E-7</v>
      </c>
      <c r="I2040">
        <v>271.42169999999999</v>
      </c>
      <c r="J2040">
        <v>-482.85919999999999</v>
      </c>
      <c r="K2040">
        <v>1.1301289999999999</v>
      </c>
      <c r="L2040">
        <v>280.18540000000002</v>
      </c>
      <c r="M2040">
        <v>-0.81249499999999997</v>
      </c>
      <c r="N2040">
        <v>-1.3255909999999999E-2</v>
      </c>
      <c r="O2040">
        <v>-0.58281769999999999</v>
      </c>
      <c r="P2040">
        <v>-0.60901319999999903</v>
      </c>
      <c r="Q2040">
        <v>0.13300100000000001</v>
      </c>
      <c r="R2040">
        <v>-0.7819294</v>
      </c>
      <c r="S2040">
        <v>-0.89096070000000005</v>
      </c>
      <c r="T2040">
        <v>-0.40978550000000002</v>
      </c>
      <c r="U2040">
        <v>-3.2353519999999998</v>
      </c>
      <c r="V2040">
        <v>-0.28363129999999998</v>
      </c>
      <c r="W2040">
        <v>0.13918059999999999</v>
      </c>
      <c r="X2040">
        <v>0.94877920000000004</v>
      </c>
      <c r="Y2040">
        <v>-0.62706680000000004</v>
      </c>
      <c r="Z2040">
        <v>2.4538480000000001E-2</v>
      </c>
      <c r="AA2040">
        <v>0.77857889999999996</v>
      </c>
      <c r="AB2040">
        <v>27</v>
      </c>
      <c r="AC2040">
        <v>-2.2526000000000201</v>
      </c>
      <c r="AD2040">
        <v>-1.1301286820470999</v>
      </c>
      <c r="AE2040">
        <v>-8.7637000000000196</v>
      </c>
      <c r="AF2040">
        <v>-5.7189076497767202</v>
      </c>
      <c r="AG2040">
        <v>-1.1301286820470999</v>
      </c>
      <c r="AH2040">
        <v>6.83190363802309</v>
      </c>
      <c r="AI2040">
        <v>97.2290238988883</v>
      </c>
      <c r="AJ2040">
        <v>129.932312085061</v>
      </c>
      <c r="AK2040">
        <v>8.9809800614350195</v>
      </c>
      <c r="AL2040">
        <v>81.999565808312497</v>
      </c>
      <c r="AM2040">
        <v>106.643689098953</v>
      </c>
      <c r="AN2040">
        <v>0.99999996205434405</v>
      </c>
    </row>
    <row r="2041" spans="1:40" x14ac:dyDescent="0.25">
      <c r="A2041" t="str">
        <f>"20190303162544395"</f>
        <v>20190303162544395</v>
      </c>
      <c r="B2041" t="str">
        <f>"1551601544385175"</f>
        <v>1551601544385175</v>
      </c>
      <c r="C2041" t="s">
        <v>40</v>
      </c>
      <c r="D2041">
        <v>4.5269000000000004</v>
      </c>
      <c r="E2041">
        <v>0.33387470000000002</v>
      </c>
      <c r="F2041" t="s">
        <v>46</v>
      </c>
      <c r="G2041">
        <v>-485.15140000000002</v>
      </c>
      <c r="H2041" s="1">
        <v>3.3188160000000001E-7</v>
      </c>
      <c r="I2041">
        <v>271.50080000000003</v>
      </c>
      <c r="J2041">
        <v>-483.06760000000003</v>
      </c>
      <c r="K2041">
        <v>1.130136</v>
      </c>
      <c r="L2041">
        <v>280.01929999999999</v>
      </c>
      <c r="M2041">
        <v>-0.80489219999999995</v>
      </c>
      <c r="N2041">
        <v>-1.3251489999999999E-2</v>
      </c>
      <c r="O2041">
        <v>-0.59327299999999905</v>
      </c>
      <c r="P2041">
        <v>-0.59868120000000002</v>
      </c>
      <c r="Q2041">
        <v>0.13283249999999999</v>
      </c>
      <c r="R2041">
        <v>-0.78989670000000001</v>
      </c>
      <c r="S2041">
        <v>-0.85568239999999995</v>
      </c>
      <c r="T2041">
        <v>-0.42187750000000002</v>
      </c>
      <c r="U2041">
        <v>-3.2419739999999999</v>
      </c>
      <c r="V2041">
        <v>-0.28386090000000003</v>
      </c>
      <c r="W2041">
        <v>0.13899410000000001</v>
      </c>
      <c r="X2041">
        <v>0.94873790000000002</v>
      </c>
      <c r="Y2041">
        <v>-0.62529239999999997</v>
      </c>
      <c r="Z2041">
        <v>2.7310930000000001E-2</v>
      </c>
      <c r="AA2041">
        <v>0.77991250000000001</v>
      </c>
      <c r="AB2041">
        <v>27</v>
      </c>
      <c r="AC2041">
        <v>-2.0837999999999899</v>
      </c>
      <c r="AD2041">
        <v>-1.1301356681183901</v>
      </c>
      <c r="AE2041">
        <v>-8.5184999999999498</v>
      </c>
      <c r="AF2041">
        <v>-5.5288866991324399</v>
      </c>
      <c r="AG2041">
        <v>-1.1301356681183901</v>
      </c>
      <c r="AH2041">
        <v>6.6216550226229698</v>
      </c>
      <c r="AI2041">
        <v>97.463746762290498</v>
      </c>
      <c r="AJ2041">
        <v>129.86088601176201</v>
      </c>
      <c r="AK2041">
        <v>8.7001212634551894</v>
      </c>
      <c r="AL2041">
        <v>82.010356552187801</v>
      </c>
      <c r="AM2041">
        <v>106.65710101414901</v>
      </c>
      <c r="AN2041">
        <v>0.99999998664001499</v>
      </c>
    </row>
    <row r="2042" spans="1:40" x14ac:dyDescent="0.25">
      <c r="A2042" t="str">
        <f>"20190303162544419"</f>
        <v>20190303162544419</v>
      </c>
      <c r="B2042" t="str">
        <f>"1551601544404696"</f>
        <v>1551601544404696</v>
      </c>
      <c r="C2042" t="s">
        <v>40</v>
      </c>
      <c r="D2042">
        <v>4.5639770000000004</v>
      </c>
      <c r="E2042">
        <v>0.33477590000000002</v>
      </c>
      <c r="F2042" t="s">
        <v>42</v>
      </c>
      <c r="G2042">
        <v>-483.29430000000002</v>
      </c>
      <c r="H2042">
        <v>1.013242</v>
      </c>
      <c r="I2042">
        <v>279.11759999999998</v>
      </c>
      <c r="J2042">
        <v>-483.27800000000002</v>
      </c>
      <c r="K2042">
        <v>1.130147</v>
      </c>
      <c r="L2042">
        <v>279.84690000000001</v>
      </c>
      <c r="M2042">
        <v>-0.7969868</v>
      </c>
      <c r="N2042">
        <v>-1.3247200000000001E-2</v>
      </c>
      <c r="O2042">
        <v>-0.60385159999999904</v>
      </c>
      <c r="P2042">
        <v>-0.58819909999999997</v>
      </c>
      <c r="Q2042">
        <v>0.1323445</v>
      </c>
      <c r="R2042">
        <v>-0.79781369999999996</v>
      </c>
      <c r="S2042">
        <v>-0.81719969999999997</v>
      </c>
      <c r="T2042">
        <v>-0.42131360000000001</v>
      </c>
      <c r="U2042">
        <v>-3.2494510000000001</v>
      </c>
      <c r="V2042">
        <v>-0.28391440000000001</v>
      </c>
      <c r="W2042">
        <v>0.13849639999999999</v>
      </c>
      <c r="X2042">
        <v>0.94879469999999999</v>
      </c>
      <c r="Y2042">
        <v>-0.62414729999999996</v>
      </c>
      <c r="Z2042">
        <v>2.8947540000000001E-2</v>
      </c>
      <c r="AA2042">
        <v>0.78077019999999997</v>
      </c>
      <c r="AB2042">
        <v>27</v>
      </c>
      <c r="AC2042">
        <v>-1.6300000000001001E-2</v>
      </c>
      <c r="AD2042">
        <v>-0.116905</v>
      </c>
      <c r="AE2042">
        <v>-0.72930000000002304</v>
      </c>
      <c r="AF2042">
        <v>-0.55714101820138295</v>
      </c>
      <c r="AG2042">
        <v>-0.116905</v>
      </c>
      <c r="AH2042">
        <v>0.44206624272077399</v>
      </c>
      <c r="AI2042">
        <v>99.334427847947794</v>
      </c>
      <c r="AJ2042">
        <v>141.569587258973</v>
      </c>
      <c r="AK2042">
        <v>0.72076033196946698</v>
      </c>
      <c r="AL2042">
        <v>82.039151356325902</v>
      </c>
      <c r="AM2042">
        <v>106.659124356373</v>
      </c>
      <c r="AN2042">
        <v>1.0000000110442</v>
      </c>
    </row>
    <row r="2043" spans="1:40" x14ac:dyDescent="0.25">
      <c r="A2043" t="str">
        <f>"20190303162544432"</f>
        <v>20190303162544432</v>
      </c>
      <c r="B2043" t="str">
        <f>"1551601544425192"</f>
        <v>1551601544425192</v>
      </c>
      <c r="C2043" t="s">
        <v>40</v>
      </c>
      <c r="D2043">
        <v>4.5925770000000004</v>
      </c>
      <c r="E2043">
        <v>0.3352078</v>
      </c>
      <c r="F2043" t="s">
        <v>46</v>
      </c>
      <c r="G2043">
        <v>-485.37349999999998</v>
      </c>
      <c r="H2043" s="1">
        <v>2.5878889999999998E-7</v>
      </c>
      <c r="I2043">
        <v>271.08580000000001</v>
      </c>
      <c r="J2043">
        <v>-483.40379999999999</v>
      </c>
      <c r="K2043">
        <v>1.1301479999999999</v>
      </c>
      <c r="L2043">
        <v>279.74110000000002</v>
      </c>
      <c r="M2043">
        <v>-0.79213990000000001</v>
      </c>
      <c r="N2043">
        <v>-1.324494E-2</v>
      </c>
      <c r="O2043">
        <v>-0.61019579999999995</v>
      </c>
      <c r="P2043">
        <v>-0.58188930000000005</v>
      </c>
      <c r="Q2043">
        <v>0.13201889999999999</v>
      </c>
      <c r="R2043">
        <v>-0.80248109999999995</v>
      </c>
      <c r="S2043">
        <v>-0.77874759999999998</v>
      </c>
      <c r="T2043">
        <v>-0.4199891</v>
      </c>
      <c r="U2043">
        <v>-3.2558289999999999</v>
      </c>
      <c r="V2043">
        <v>-0.28385690000000002</v>
      </c>
      <c r="W2043">
        <v>0.13816870000000001</v>
      </c>
      <c r="X2043">
        <v>0.94885969999999997</v>
      </c>
      <c r="Y2043">
        <v>-0.62697860000000005</v>
      </c>
      <c r="Z2043">
        <v>2.95775E-2</v>
      </c>
      <c r="AA2043">
        <v>0.77847480000000002</v>
      </c>
      <c r="AB2043">
        <v>27</v>
      </c>
      <c r="AC2043">
        <v>-1.96969999999998</v>
      </c>
      <c r="AD2043">
        <v>-1.1301477412110901</v>
      </c>
      <c r="AE2043">
        <v>-8.6553000000000093</v>
      </c>
      <c r="AF2043">
        <v>-5.5646008742916697</v>
      </c>
      <c r="AG2043">
        <v>-1.1301477412110901</v>
      </c>
      <c r="AH2043">
        <v>6.7331627666956502</v>
      </c>
      <c r="AI2043">
        <v>97.372061211720293</v>
      </c>
      <c r="AJ2043">
        <v>129.571920745071</v>
      </c>
      <c r="AK2043">
        <v>8.8078089017614793</v>
      </c>
      <c r="AL2043">
        <v>82.058109599356399</v>
      </c>
      <c r="AM2043">
        <v>106.65485957361</v>
      </c>
      <c r="AN2043">
        <v>1.0000000298106899</v>
      </c>
    </row>
    <row r="2044" spans="1:40" x14ac:dyDescent="0.25">
      <c r="A2044" t="str">
        <f>"20190303162544453"</f>
        <v>20190303162544453</v>
      </c>
      <c r="B2044" t="str">
        <f>"1551601544444711"</f>
        <v>1551601544444711</v>
      </c>
      <c r="C2044" t="s">
        <v>40</v>
      </c>
      <c r="D2044">
        <v>4.8376099999999997</v>
      </c>
      <c r="E2044">
        <v>0.35585909999999998</v>
      </c>
      <c r="F2044" t="s">
        <v>46</v>
      </c>
      <c r="G2044">
        <v>-485.43439999999998</v>
      </c>
      <c r="H2044" s="1">
        <v>2.4156489999999999E-7</v>
      </c>
      <c r="I2044">
        <v>270.988</v>
      </c>
      <c r="J2044">
        <v>-483.58350000000002</v>
      </c>
      <c r="K2044">
        <v>1.130145</v>
      </c>
      <c r="L2044">
        <v>279.58769999999998</v>
      </c>
      <c r="M2044">
        <v>-0.78508529999999999</v>
      </c>
      <c r="N2044">
        <v>-1.3241620000000001E-2</v>
      </c>
      <c r="O2044">
        <v>-0.61924639999999997</v>
      </c>
      <c r="P2044">
        <v>-0.57272800000000001</v>
      </c>
      <c r="Q2044">
        <v>0.1318703</v>
      </c>
      <c r="R2044">
        <v>-0.80906959999999895</v>
      </c>
      <c r="S2044">
        <v>-0.75613399999999997</v>
      </c>
      <c r="T2044">
        <v>-0.42082229999999998</v>
      </c>
      <c r="U2044">
        <v>-3.2593380000000001</v>
      </c>
      <c r="V2044">
        <v>-0.28377249999999998</v>
      </c>
      <c r="W2044">
        <v>0.13801759999999999</v>
      </c>
      <c r="X2044">
        <v>0.9489069</v>
      </c>
      <c r="Y2044">
        <v>-0.62339690000000003</v>
      </c>
      <c r="Z2044">
        <v>3.1318779999999997E-2</v>
      </c>
      <c r="AA2044">
        <v>0.78127809999999998</v>
      </c>
      <c r="AB2044">
        <v>27</v>
      </c>
      <c r="AC2044">
        <v>-1.85089999999996</v>
      </c>
      <c r="AD2044">
        <v>-1.1301447584351001</v>
      </c>
      <c r="AE2044">
        <v>-8.5996999999999808</v>
      </c>
      <c r="AF2044">
        <v>-5.5147993510870403</v>
      </c>
      <c r="AG2044">
        <v>-1.1301447584351001</v>
      </c>
      <c r="AH2044">
        <v>6.6689643715591904</v>
      </c>
      <c r="AI2044">
        <v>97.440453076925607</v>
      </c>
      <c r="AJ2044">
        <v>129.58853298000301</v>
      </c>
      <c r="AK2044">
        <v>8.7272747663227701</v>
      </c>
      <c r="AL2044">
        <v>82.066850478252505</v>
      </c>
      <c r="AM2044">
        <v>106.64939933566799</v>
      </c>
      <c r="AN2044">
        <v>0.99999999726680999</v>
      </c>
    </row>
    <row r="2045" spans="1:40" x14ac:dyDescent="0.25">
      <c r="A2045" t="str">
        <f>"20190303162544474"</f>
        <v>20190303162544474</v>
      </c>
      <c r="B2045" t="str">
        <f>"1551601544465208"</f>
        <v>1551601544465208</v>
      </c>
      <c r="C2045" t="s">
        <v>40</v>
      </c>
      <c r="D2045">
        <v>4.7438919999999998</v>
      </c>
      <c r="E2045">
        <v>0.4026748</v>
      </c>
      <c r="F2045" t="s">
        <v>42</v>
      </c>
      <c r="G2045">
        <v>-483.83</v>
      </c>
      <c r="H2045">
        <v>1.0123530000000001</v>
      </c>
      <c r="I2045">
        <v>278.6712</v>
      </c>
      <c r="J2045">
        <v>-483.77730000000003</v>
      </c>
      <c r="K2045">
        <v>1.1301479999999999</v>
      </c>
      <c r="L2045">
        <v>279.41800000000001</v>
      </c>
      <c r="M2045">
        <v>-0.77727519999999894</v>
      </c>
      <c r="N2045">
        <v>-1.3238389999999999E-2</v>
      </c>
      <c r="O2045">
        <v>-0.62902150000000001</v>
      </c>
      <c r="P2045">
        <v>-0.56342829999999999</v>
      </c>
      <c r="Q2045">
        <v>0.1312381</v>
      </c>
      <c r="R2045">
        <v>-0.81567489999999998</v>
      </c>
      <c r="S2045">
        <v>-0.85232540000000001</v>
      </c>
      <c r="T2045">
        <v>-0.40737570000000001</v>
      </c>
      <c r="U2045">
        <v>-3.1710509999999998</v>
      </c>
      <c r="V2045">
        <v>-0.28282560000000001</v>
      </c>
      <c r="W2045">
        <v>0.1374069</v>
      </c>
      <c r="X2045">
        <v>0.94927819999999996</v>
      </c>
      <c r="Y2045">
        <v>-0.58620079999999997</v>
      </c>
      <c r="Z2045">
        <v>3.4950050000000003E-2</v>
      </c>
      <c r="AA2045">
        <v>0.80941160000000001</v>
      </c>
      <c r="AB2045">
        <v>27</v>
      </c>
      <c r="AC2045">
        <v>-5.2699999999958801E-2</v>
      </c>
      <c r="AD2045">
        <v>-0.117794999999999</v>
      </c>
      <c r="AE2045">
        <v>-0.74680000000000701</v>
      </c>
      <c r="AF2045">
        <v>-0.53414414787736397</v>
      </c>
      <c r="AG2045">
        <v>-0.117794999999999</v>
      </c>
      <c r="AH2045">
        <v>0.49842128364049898</v>
      </c>
      <c r="AI2045">
        <v>99.159365509921003</v>
      </c>
      <c r="AJ2045">
        <v>136.98142731155801</v>
      </c>
      <c r="AK2045">
        <v>0.74000635721761099</v>
      </c>
      <c r="AL2045">
        <v>82.102177926855603</v>
      </c>
      <c r="AM2045">
        <v>106.590769063786</v>
      </c>
      <c r="AN2045">
        <v>1.0000000385890999</v>
      </c>
    </row>
    <row r="2046" spans="1:40" x14ac:dyDescent="0.25">
      <c r="A2046" t="str">
        <f>"20190303162544497"</f>
        <v>20190303162544497</v>
      </c>
      <c r="B2046" t="str">
        <f>"1551601544484727"</f>
        <v>1551601544484727</v>
      </c>
      <c r="C2046" t="s">
        <v>40</v>
      </c>
      <c r="D2046">
        <v>4.7118599999999997</v>
      </c>
      <c r="E2046">
        <v>0.41219359999999999</v>
      </c>
      <c r="F2046" t="s">
        <v>42</v>
      </c>
      <c r="G2046">
        <v>-484.0899</v>
      </c>
      <c r="H2046">
        <v>1.057464</v>
      </c>
      <c r="I2046">
        <v>278.58580000000001</v>
      </c>
      <c r="J2046">
        <v>-483.97559999999999</v>
      </c>
      <c r="K2046">
        <v>1.130144</v>
      </c>
      <c r="L2046">
        <v>279.24020000000002</v>
      </c>
      <c r="M2046">
        <v>-0.76907380000000003</v>
      </c>
      <c r="N2046">
        <v>-1.3235429999999999E-2</v>
      </c>
      <c r="O2046">
        <v>-0.63902289999999995</v>
      </c>
      <c r="P2046">
        <v>-0.55361130000000003</v>
      </c>
      <c r="Q2046">
        <v>0.13048209999999999</v>
      </c>
      <c r="R2046">
        <v>-0.82248960000000004</v>
      </c>
      <c r="S2046">
        <v>-1.1091</v>
      </c>
      <c r="T2046">
        <v>-0.25792359999999998</v>
      </c>
      <c r="U2046">
        <v>-2.9533390000000002</v>
      </c>
      <c r="V2046">
        <v>-0.28199849999999999</v>
      </c>
      <c r="W2046">
        <v>0.13667000000000001</v>
      </c>
      <c r="X2046">
        <v>0.94963059999999999</v>
      </c>
      <c r="Y2046">
        <v>-0.49490610000000002</v>
      </c>
      <c r="Z2046">
        <v>2.4375870000000001E-2</v>
      </c>
      <c r="AA2046">
        <v>0.8686045</v>
      </c>
      <c r="AB2046">
        <v>27</v>
      </c>
      <c r="AC2046">
        <v>-0.114300000000014</v>
      </c>
      <c r="AD2046">
        <v>-7.2679999999999995E-2</v>
      </c>
      <c r="AE2046">
        <v>-0.65440000000000897</v>
      </c>
      <c r="AF2046">
        <v>-0.42518977854068701</v>
      </c>
      <c r="AG2046">
        <v>-7.2679999999999995E-2</v>
      </c>
      <c r="AH2046">
        <v>0.500139424677156</v>
      </c>
      <c r="AI2046">
        <v>96.317876090788204</v>
      </c>
      <c r="AJ2046">
        <v>130.36927608583201</v>
      </c>
      <c r="AK2046">
        <v>0.66046057739419695</v>
      </c>
      <c r="AL2046">
        <v>82.144801473382699</v>
      </c>
      <c r="AM2046">
        <v>106.53910257438601</v>
      </c>
      <c r="AN2046">
        <v>1.0000000596792999</v>
      </c>
    </row>
    <row r="2047" spans="1:40" x14ac:dyDescent="0.25">
      <c r="A2047" t="str">
        <f>"20190303162544520"</f>
        <v>20190303162544520</v>
      </c>
      <c r="B2047" t="str">
        <f>"1551601544505225"</f>
        <v>1551601544505225</v>
      </c>
      <c r="C2047" t="s">
        <v>40</v>
      </c>
      <c r="D2047">
        <v>4.6844029999999997</v>
      </c>
      <c r="E2047">
        <v>0.41572290000000001</v>
      </c>
      <c r="F2047" t="s">
        <v>42</v>
      </c>
      <c r="G2047">
        <v>-484.2937</v>
      </c>
      <c r="H2047">
        <v>1.0667450000000001</v>
      </c>
      <c r="I2047">
        <v>278.42039999999997</v>
      </c>
      <c r="J2047">
        <v>-484.17849999999999</v>
      </c>
      <c r="K2047">
        <v>1.130142</v>
      </c>
      <c r="L2047">
        <v>279.05290000000002</v>
      </c>
      <c r="M2047">
        <v>-0.76043559999999999</v>
      </c>
      <c r="N2047">
        <v>-1.3232900000000001E-2</v>
      </c>
      <c r="O2047">
        <v>-0.64927840000000003</v>
      </c>
      <c r="P2047">
        <v>-0.54266789999999998</v>
      </c>
      <c r="Q2047">
        <v>0.130465</v>
      </c>
      <c r="R2047">
        <v>-0.82975350000000003</v>
      </c>
      <c r="S2047">
        <v>-1.132843</v>
      </c>
      <c r="T2047">
        <v>-0.22584129999999999</v>
      </c>
      <c r="U2047">
        <v>-2.9207459999999998</v>
      </c>
      <c r="V2047">
        <v>-0.2818446</v>
      </c>
      <c r="W2047">
        <v>0.136654</v>
      </c>
      <c r="X2047">
        <v>0.94967849999999998</v>
      </c>
      <c r="Y2047">
        <v>-0.4738734</v>
      </c>
      <c r="Z2047">
        <v>2.1818549999999999E-2</v>
      </c>
      <c r="AA2047">
        <v>0.88032259999999996</v>
      </c>
      <c r="AB2047">
        <v>27</v>
      </c>
      <c r="AC2047">
        <v>-0.115200000000015</v>
      </c>
      <c r="AD2047">
        <v>-6.3396999999999898E-2</v>
      </c>
      <c r="AE2047">
        <v>-0.63250000000005002</v>
      </c>
      <c r="AF2047">
        <v>-0.40230227021981402</v>
      </c>
      <c r="AG2047">
        <v>-6.3396999999999898E-2</v>
      </c>
      <c r="AH2047">
        <v>0.493515510750763</v>
      </c>
      <c r="AI2047">
        <v>95.686144520559594</v>
      </c>
      <c r="AJ2047">
        <v>129.186111723518</v>
      </c>
      <c r="AK2047">
        <v>0.63986237237753196</v>
      </c>
      <c r="AL2047">
        <v>82.145726209618303</v>
      </c>
      <c r="AM2047">
        <v>106.529780869867</v>
      </c>
      <c r="AN2047">
        <v>0.99999997381370398</v>
      </c>
    </row>
    <row r="2048" spans="1:40" x14ac:dyDescent="0.25">
      <c r="A2048" t="str">
        <f>"20190303162544543"</f>
        <v>20190303162544543</v>
      </c>
      <c r="B2048" t="str">
        <f>"1551601544535479"</f>
        <v>1551601544535479</v>
      </c>
      <c r="C2048" t="s">
        <v>40</v>
      </c>
      <c r="D2048">
        <v>4.6737019999999996</v>
      </c>
      <c r="E2048">
        <v>0.4191976</v>
      </c>
      <c r="F2048" t="s">
        <v>42</v>
      </c>
      <c r="G2048">
        <v>-484.55450000000002</v>
      </c>
      <c r="H2048">
        <v>1.052522</v>
      </c>
      <c r="I2048">
        <v>278.07159999999999</v>
      </c>
      <c r="J2048">
        <v>-484.37479999999999</v>
      </c>
      <c r="K2048">
        <v>1.1301429999999999</v>
      </c>
      <c r="L2048">
        <v>278.86689999999999</v>
      </c>
      <c r="M2048">
        <v>-0.75184569999999995</v>
      </c>
      <c r="N2048">
        <v>-1.3230779999999999E-2</v>
      </c>
      <c r="O2048">
        <v>-0.65920659999999998</v>
      </c>
      <c r="P2048">
        <v>-0.53156349999999997</v>
      </c>
      <c r="Q2048">
        <v>0.13101660000000001</v>
      </c>
      <c r="R2048">
        <v>-0.83682449999999997</v>
      </c>
      <c r="S2048">
        <v>-1.1183780000000001</v>
      </c>
      <c r="T2048">
        <v>-0.23089999999999999</v>
      </c>
      <c r="U2048">
        <v>-2.920471</v>
      </c>
      <c r="V2048">
        <v>-0.28197850000000002</v>
      </c>
      <c r="W2048">
        <v>0.1371995</v>
      </c>
      <c r="X2048">
        <v>0.94956010000000002</v>
      </c>
      <c r="Y2048">
        <v>-0.46608719999999998</v>
      </c>
      <c r="Z2048">
        <v>2.3708880000000002E-2</v>
      </c>
      <c r="AA2048">
        <v>0.88442109999999996</v>
      </c>
      <c r="AB2048">
        <v>27</v>
      </c>
      <c r="AC2048">
        <v>-0.17970000000002501</v>
      </c>
      <c r="AD2048">
        <v>-7.7621000000000107E-2</v>
      </c>
      <c r="AE2048">
        <v>-0.79529999999999701</v>
      </c>
      <c r="AF2048">
        <v>-0.475218450357763</v>
      </c>
      <c r="AG2048">
        <v>-7.7621000000000107E-2</v>
      </c>
      <c r="AH2048">
        <v>0.65350854761327004</v>
      </c>
      <c r="AI2048">
        <v>95.4871389561104</v>
      </c>
      <c r="AJ2048">
        <v>126.023904324882</v>
      </c>
      <c r="AK2048">
        <v>0.81174566029332096</v>
      </c>
      <c r="AL2048">
        <v>82.114174229755804</v>
      </c>
      <c r="AM2048">
        <v>106.539154441783</v>
      </c>
      <c r="AN2048">
        <v>0.99999998038725402</v>
      </c>
    </row>
    <row r="2049" spans="1:40" x14ac:dyDescent="0.25">
      <c r="A2049" t="str">
        <f>"20190303162544564"</f>
        <v>20190303162544564</v>
      </c>
      <c r="B2049" t="str">
        <f>"1551601544555000"</f>
        <v>1551601544555000</v>
      </c>
      <c r="C2049" t="s">
        <v>40</v>
      </c>
      <c r="D2049">
        <v>4.691891</v>
      </c>
      <c r="E2049">
        <v>0.42047400000000001</v>
      </c>
      <c r="F2049" t="s">
        <v>42</v>
      </c>
      <c r="G2049">
        <v>-484.73360000000002</v>
      </c>
      <c r="H2049">
        <v>1.0509139999999999</v>
      </c>
      <c r="I2049">
        <v>277.91759999999999</v>
      </c>
      <c r="J2049">
        <v>-484.5591</v>
      </c>
      <c r="K2049">
        <v>1.130139</v>
      </c>
      <c r="L2049">
        <v>278.68770000000001</v>
      </c>
      <c r="M2049">
        <v>-0.74356140000000004</v>
      </c>
      <c r="N2049">
        <v>-1.322883E-2</v>
      </c>
      <c r="O2049">
        <v>-0.66853699999999905</v>
      </c>
      <c r="P2049">
        <v>-0.52096200000000004</v>
      </c>
      <c r="Q2049">
        <v>0.13140959999999999</v>
      </c>
      <c r="R2049">
        <v>-0.84340380000000004</v>
      </c>
      <c r="S2049">
        <v>-1.1045229999999999</v>
      </c>
      <c r="T2049">
        <v>-0.24386079999999999</v>
      </c>
      <c r="U2049">
        <v>-2.9215089999999999</v>
      </c>
      <c r="V2049">
        <v>-0.28207510000000002</v>
      </c>
      <c r="W2049">
        <v>0.1375873</v>
      </c>
      <c r="X2049">
        <v>0.94947530000000002</v>
      </c>
      <c r="Y2049">
        <v>-0.45882260000000002</v>
      </c>
      <c r="Z2049">
        <v>2.6792449999999999E-2</v>
      </c>
      <c r="AA2049">
        <v>0.88812389999999997</v>
      </c>
      <c r="AB2049">
        <v>27</v>
      </c>
      <c r="AC2049">
        <v>-0.174500000000023</v>
      </c>
      <c r="AD2049">
        <v>-7.9225000000000101E-2</v>
      </c>
      <c r="AE2049">
        <v>-0.770100000000013</v>
      </c>
      <c r="AF2049">
        <v>-0.45145215429313001</v>
      </c>
      <c r="AG2049">
        <v>-7.9225000000000101E-2</v>
      </c>
      <c r="AH2049">
        <v>0.63822335558651599</v>
      </c>
      <c r="AI2049">
        <v>95.786753609376404</v>
      </c>
      <c r="AJ2049">
        <v>125.273969914085</v>
      </c>
      <c r="AK2049">
        <v>0.78575740521933402</v>
      </c>
      <c r="AL2049">
        <v>82.091742239515696</v>
      </c>
      <c r="AM2049">
        <v>106.545907563434</v>
      </c>
      <c r="AN2049">
        <v>0.99999998623569497</v>
      </c>
    </row>
    <row r="2050" spans="1:40" x14ac:dyDescent="0.25">
      <c r="A2050" t="str">
        <f>"20190303162544586"</f>
        <v>20190303162544586</v>
      </c>
      <c r="B2050" t="str">
        <f>"1551601544574521"</f>
        <v>1551601544574521</v>
      </c>
      <c r="C2050" t="s">
        <v>40</v>
      </c>
      <c r="D2050">
        <v>4.7536519999999998</v>
      </c>
      <c r="E2050">
        <v>0.42167539999999998</v>
      </c>
      <c r="F2050" t="s">
        <v>42</v>
      </c>
      <c r="G2050">
        <v>-484.90210000000002</v>
      </c>
      <c r="H2050">
        <v>1.052659</v>
      </c>
      <c r="I2050">
        <v>277.75510000000003</v>
      </c>
      <c r="J2050">
        <v>-484.73779999999999</v>
      </c>
      <c r="K2050">
        <v>1.130144</v>
      </c>
      <c r="L2050">
        <v>278.50959999999998</v>
      </c>
      <c r="M2050">
        <v>-0.73531650000000004</v>
      </c>
      <c r="N2050">
        <v>-1.322718E-2</v>
      </c>
      <c r="O2050">
        <v>-0.6775949</v>
      </c>
      <c r="P2050">
        <v>-0.51069469999999995</v>
      </c>
      <c r="Q2050">
        <v>0.13095509999999999</v>
      </c>
      <c r="R2050">
        <v>-0.84973050000000006</v>
      </c>
      <c r="S2050">
        <v>-1.0768740000000001</v>
      </c>
      <c r="T2050">
        <v>-0.2433012</v>
      </c>
      <c r="U2050">
        <v>-2.9298099999999998</v>
      </c>
      <c r="V2050">
        <v>-0.282001</v>
      </c>
      <c r="W2050">
        <v>0.13713429999999999</v>
      </c>
      <c r="X2050">
        <v>0.94956280000000004</v>
      </c>
      <c r="Y2050">
        <v>-0.45614949999999999</v>
      </c>
      <c r="Z2050">
        <v>2.7602809999999998E-2</v>
      </c>
      <c r="AA2050">
        <v>0.88947489999999996</v>
      </c>
      <c r="AB2050">
        <v>27</v>
      </c>
      <c r="AC2050">
        <v>-0.16430000000002501</v>
      </c>
      <c r="AD2050">
        <v>-7.7484999999999998E-2</v>
      </c>
      <c r="AE2050">
        <v>-0.75449999999994999</v>
      </c>
      <c r="AF2050">
        <v>-0.439084974074124</v>
      </c>
      <c r="AG2050">
        <v>-7.7484999999999998E-2</v>
      </c>
      <c r="AH2050">
        <v>0.625811661046489</v>
      </c>
      <c r="AI2050">
        <v>95.7875033024647</v>
      </c>
      <c r="AJ2050">
        <v>125.05445137832599</v>
      </c>
      <c r="AK2050">
        <v>0.76840079046317999</v>
      </c>
      <c r="AL2050">
        <v>82.117945286251995</v>
      </c>
      <c r="AM2050">
        <v>106.54035758727299</v>
      </c>
      <c r="AN2050">
        <v>0.99999994569066297</v>
      </c>
    </row>
    <row r="2051" spans="1:40" x14ac:dyDescent="0.25">
      <c r="A2051" t="str">
        <f>"20190303162544609"</f>
        <v>20190303162544609</v>
      </c>
      <c r="B2051" t="str">
        <f>"1551601544604777"</f>
        <v>1551601544604777</v>
      </c>
      <c r="C2051" t="s">
        <v>40</v>
      </c>
      <c r="D2051">
        <v>4.874225</v>
      </c>
      <c r="E2051">
        <v>0.42276219999999998</v>
      </c>
      <c r="F2051" t="s">
        <v>42</v>
      </c>
      <c r="G2051">
        <v>-485.06650000000002</v>
      </c>
      <c r="H2051">
        <v>1.0511600000000001</v>
      </c>
      <c r="I2051">
        <v>277.58890000000002</v>
      </c>
      <c r="J2051">
        <v>-484.93299999999999</v>
      </c>
      <c r="K2051">
        <v>1.130136</v>
      </c>
      <c r="L2051">
        <v>278.31009999999998</v>
      </c>
      <c r="M2051">
        <v>-0.72606579999999998</v>
      </c>
      <c r="N2051">
        <v>-1.3225600000000001E-2</v>
      </c>
      <c r="O2051">
        <v>-0.6874981</v>
      </c>
      <c r="P2051">
        <v>-0.49968410000000002</v>
      </c>
      <c r="Q2051">
        <v>0.1310402</v>
      </c>
      <c r="R2051">
        <v>-0.85623850000000001</v>
      </c>
      <c r="S2051">
        <v>-1.0492250000000001</v>
      </c>
      <c r="T2051">
        <v>-0.25209880000000001</v>
      </c>
      <c r="U2051">
        <v>-2.9387509999999999</v>
      </c>
      <c r="V2051">
        <v>-0.2813795</v>
      </c>
      <c r="W2051">
        <v>0.137235</v>
      </c>
      <c r="X2051">
        <v>0.94973269999999999</v>
      </c>
      <c r="Y2051">
        <v>-0.45238250000000002</v>
      </c>
      <c r="Z2051">
        <v>3.0047040000000001E-2</v>
      </c>
      <c r="AA2051">
        <v>0.89131769999999999</v>
      </c>
      <c r="AB2051">
        <v>27</v>
      </c>
      <c r="AC2051">
        <v>-0.133499999999969</v>
      </c>
      <c r="AD2051">
        <v>-7.8975999999999894E-2</v>
      </c>
      <c r="AE2051">
        <v>-0.72119999999995299</v>
      </c>
      <c r="AF2051">
        <v>-0.426945252146405</v>
      </c>
      <c r="AG2051">
        <v>-7.8975999999999894E-2</v>
      </c>
      <c r="AH2051">
        <v>0.58601080880202705</v>
      </c>
      <c r="AI2051">
        <v>96.216467875244803</v>
      </c>
      <c r="AJ2051">
        <v>126.075661550852</v>
      </c>
      <c r="AK2051">
        <v>0.72933402837051597</v>
      </c>
      <c r="AL2051">
        <v>82.112121238469001</v>
      </c>
      <c r="AM2051">
        <v>106.50309792499699</v>
      </c>
      <c r="AN2051">
        <v>1.00000003484726</v>
      </c>
    </row>
    <row r="2052" spans="1:40" x14ac:dyDescent="0.25">
      <c r="A2052" t="str">
        <f>"20190303162544622"</f>
        <v>20190303162544622</v>
      </c>
      <c r="B2052" t="str">
        <f>"1551601544614535"</f>
        <v>1551601544614535</v>
      </c>
      <c r="C2052" t="s">
        <v>40</v>
      </c>
      <c r="D2052">
        <v>4.8034179999999997</v>
      </c>
      <c r="E2052">
        <v>0.4233131</v>
      </c>
      <c r="F2052" t="s">
        <v>42</v>
      </c>
      <c r="G2052">
        <v>-485.23860000000002</v>
      </c>
      <c r="H2052">
        <v>1.054333</v>
      </c>
      <c r="I2052">
        <v>277.42599999999999</v>
      </c>
      <c r="J2052">
        <v>-485.0351</v>
      </c>
      <c r="K2052">
        <v>1.130134</v>
      </c>
      <c r="L2052">
        <v>278.2038</v>
      </c>
      <c r="M2052">
        <v>-0.72112919999999903</v>
      </c>
      <c r="N2052">
        <v>-1.3224799999999899E-2</v>
      </c>
      <c r="O2052">
        <v>-0.69267449999999997</v>
      </c>
      <c r="P2052">
        <v>-0.4940659</v>
      </c>
      <c r="Q2052">
        <v>0.1307673</v>
      </c>
      <c r="R2052">
        <v>-0.85953440000000003</v>
      </c>
      <c r="S2052">
        <v>-1.0181880000000001</v>
      </c>
      <c r="T2052">
        <v>-0.25267050000000002</v>
      </c>
      <c r="U2052">
        <v>-2.9481809999999999</v>
      </c>
      <c r="V2052">
        <v>-0.28082800000000002</v>
      </c>
      <c r="W2052">
        <v>0.13697699999999999</v>
      </c>
      <c r="X2052">
        <v>0.94993309999999997</v>
      </c>
      <c r="Y2052">
        <v>-0.4552601</v>
      </c>
      <c r="Z2052">
        <v>3.05046E-2</v>
      </c>
      <c r="AA2052">
        <v>0.88983579999999995</v>
      </c>
      <c r="AB2052">
        <v>27</v>
      </c>
      <c r="AC2052">
        <v>-0.203500000000019</v>
      </c>
      <c r="AD2052">
        <v>-7.5800999999999993E-2</v>
      </c>
      <c r="AE2052">
        <v>-0.77780000000001304</v>
      </c>
      <c r="AF2052">
        <v>-0.41627143528378202</v>
      </c>
      <c r="AG2052">
        <v>-7.5800999999999993E-2</v>
      </c>
      <c r="AH2052">
        <v>0.67953147675179504</v>
      </c>
      <c r="AI2052">
        <v>95.433637175752494</v>
      </c>
      <c r="AJ2052">
        <v>121.49105032989701</v>
      </c>
      <c r="AK2052">
        <v>0.80049405202705604</v>
      </c>
      <c r="AL2052">
        <v>82.127044038349794</v>
      </c>
      <c r="AM2052">
        <v>106.469220018934</v>
      </c>
      <c r="AN2052">
        <v>0.99999997929430395</v>
      </c>
    </row>
    <row r="2053" spans="1:40" x14ac:dyDescent="0.25">
      <c r="A2053" t="str">
        <f>"20190303162544642"</f>
        <v>20190303162544642</v>
      </c>
      <c r="B2053" t="str">
        <f>"1551601544635032"</f>
        <v>1551601544635032</v>
      </c>
      <c r="C2053" t="s">
        <v>40</v>
      </c>
      <c r="D2053">
        <v>4.8291380000000004</v>
      </c>
      <c r="E2053">
        <v>0.42457539999999999</v>
      </c>
      <c r="F2053" t="s">
        <v>42</v>
      </c>
      <c r="G2053">
        <v>-485.36439999999999</v>
      </c>
      <c r="H2053">
        <v>1.0474270000000001</v>
      </c>
      <c r="I2053">
        <v>277.23390000000001</v>
      </c>
      <c r="J2053">
        <v>-485.20299999999997</v>
      </c>
      <c r="K2053">
        <v>1.1301319999999999</v>
      </c>
      <c r="L2053">
        <v>278.02510000000001</v>
      </c>
      <c r="M2053">
        <v>-0.71283090000000005</v>
      </c>
      <c r="N2053">
        <v>-1.322359E-2</v>
      </c>
      <c r="O2053">
        <v>-0.70121140000000004</v>
      </c>
      <c r="P2053">
        <v>-0.48452410000000001</v>
      </c>
      <c r="Q2053">
        <v>0.13093540000000001</v>
      </c>
      <c r="R2053">
        <v>-0.86492329999999995</v>
      </c>
      <c r="S2053">
        <v>-1.0024409999999999</v>
      </c>
      <c r="T2053">
        <v>-0.2517662</v>
      </c>
      <c r="U2053">
        <v>-2.9523619999999999</v>
      </c>
      <c r="V2053">
        <v>-0.28001330000000002</v>
      </c>
      <c r="W2053">
        <v>0.13716600000000001</v>
      </c>
      <c r="X2053">
        <v>0.9501463</v>
      </c>
      <c r="Y2053">
        <v>-0.44931280000000001</v>
      </c>
      <c r="Z2053">
        <v>3.1368779999999999E-2</v>
      </c>
      <c r="AA2053">
        <v>0.89282359999999905</v>
      </c>
      <c r="AB2053">
        <v>27</v>
      </c>
      <c r="AC2053">
        <v>-0.16139999999995699</v>
      </c>
      <c r="AD2053">
        <v>-8.2704999999999806E-2</v>
      </c>
      <c r="AE2053">
        <v>-0.79120000000000301</v>
      </c>
      <c r="AF2053">
        <v>-0.44617519424239099</v>
      </c>
      <c r="AG2053">
        <v>-8.2704999999999806E-2</v>
      </c>
      <c r="AH2053">
        <v>0.66295335657439503</v>
      </c>
      <c r="AI2053">
        <v>95.908856391386394</v>
      </c>
      <c r="AJ2053">
        <v>123.94100488606701</v>
      </c>
      <c r="AK2053">
        <v>0.80338009309136604</v>
      </c>
      <c r="AL2053">
        <v>82.116111919932905</v>
      </c>
      <c r="AM2053">
        <v>106.420533001398</v>
      </c>
      <c r="AN2053">
        <v>0.99999997556828901</v>
      </c>
    </row>
    <row r="2054" spans="1:40" x14ac:dyDescent="0.25">
      <c r="A2054" t="str">
        <f>"20190303162544664"</f>
        <v>20190303162544664</v>
      </c>
      <c r="B2054" t="str">
        <f>"1551601544654552"</f>
        <v>1551601544654552</v>
      </c>
      <c r="C2054" t="s">
        <v>40</v>
      </c>
      <c r="D2054">
        <v>4.8222670000000001</v>
      </c>
      <c r="E2054">
        <v>0.42588959999999998</v>
      </c>
      <c r="F2054" t="s">
        <v>42</v>
      </c>
      <c r="G2054">
        <v>-485.52210000000002</v>
      </c>
      <c r="H2054">
        <v>1.04826</v>
      </c>
      <c r="I2054">
        <v>277.06169999999997</v>
      </c>
      <c r="J2054">
        <v>-485.37459999999999</v>
      </c>
      <c r="K2054">
        <v>1.1301319999999999</v>
      </c>
      <c r="L2054">
        <v>277.8381</v>
      </c>
      <c r="M2054">
        <v>-0.70413800000000004</v>
      </c>
      <c r="N2054">
        <v>-1.3222579999999999E-2</v>
      </c>
      <c r="O2054">
        <v>-0.70994009999999996</v>
      </c>
      <c r="P2054">
        <v>-0.47477950000000002</v>
      </c>
      <c r="Q2054">
        <v>0.13141429999999901</v>
      </c>
      <c r="R2054">
        <v>-0.87023839999999997</v>
      </c>
      <c r="S2054">
        <v>-0.97930910000000004</v>
      </c>
      <c r="T2054">
        <v>-0.25134289999999998</v>
      </c>
      <c r="U2054">
        <v>-2.9579770000000001</v>
      </c>
      <c r="V2054">
        <v>-0.2789372</v>
      </c>
      <c r="W2054">
        <v>0.1376723</v>
      </c>
      <c r="X2054">
        <v>0.95038959999999995</v>
      </c>
      <c r="Y2054">
        <v>-0.44511729999999999</v>
      </c>
      <c r="Z2054">
        <v>3.2268810000000002E-2</v>
      </c>
      <c r="AA2054">
        <v>0.89489069999999904</v>
      </c>
      <c r="AB2054">
        <v>27</v>
      </c>
      <c r="AC2054">
        <v>-0.14750000000003599</v>
      </c>
      <c r="AD2054">
        <v>-8.1871999999999903E-2</v>
      </c>
      <c r="AE2054">
        <v>-0.77640000000002296</v>
      </c>
      <c r="AF2054">
        <v>-0.43732163767878801</v>
      </c>
      <c r="AG2054">
        <v>-8.1871999999999903E-2</v>
      </c>
      <c r="AH2054">
        <v>0.64815871498498701</v>
      </c>
      <c r="AI2054">
        <v>95.977640831633906</v>
      </c>
      <c r="AJ2054">
        <v>124.008083686144</v>
      </c>
      <c r="AK2054">
        <v>0.78616980289060201</v>
      </c>
      <c r="AL2054">
        <v>82.086825478793997</v>
      </c>
      <c r="AM2054">
        <v>106.356844679228</v>
      </c>
      <c r="AN2054">
        <v>1.00000000775964</v>
      </c>
    </row>
    <row r="2055" spans="1:40" x14ac:dyDescent="0.25">
      <c r="A2055" t="str">
        <f>"20190303162544687"</f>
        <v>20190303162544687</v>
      </c>
      <c r="B2055" t="str">
        <f>"1551601544675048"</f>
        <v>1551601544675048</v>
      </c>
      <c r="C2055" t="s">
        <v>40</v>
      </c>
      <c r="D2055">
        <v>4.8111119999999996</v>
      </c>
      <c r="E2055">
        <v>0.42723060000000002</v>
      </c>
      <c r="F2055" t="s">
        <v>42</v>
      </c>
      <c r="G2055">
        <v>-485.68040000000002</v>
      </c>
      <c r="H2055">
        <v>1.050907</v>
      </c>
      <c r="I2055">
        <v>276.88909999999998</v>
      </c>
      <c r="J2055">
        <v>-485.55900000000003</v>
      </c>
      <c r="K2055">
        <v>1.130134</v>
      </c>
      <c r="L2055">
        <v>277.63170000000002</v>
      </c>
      <c r="M2055">
        <v>-0.69453310000000001</v>
      </c>
      <c r="N2055">
        <v>-1.322158E-2</v>
      </c>
      <c r="O2055">
        <v>-0.71933910000000001</v>
      </c>
      <c r="P2055">
        <v>-0.46404390000000001</v>
      </c>
      <c r="Q2055">
        <v>0.1317885</v>
      </c>
      <c r="R2055">
        <v>-0.87595369999999995</v>
      </c>
      <c r="S2055">
        <v>-0.9550476</v>
      </c>
      <c r="T2055">
        <v>-0.24743080000000001</v>
      </c>
      <c r="U2055">
        <v>-2.9636840000000002</v>
      </c>
      <c r="V2055">
        <v>-0.27781689999999998</v>
      </c>
      <c r="W2055">
        <v>0.13807559999999999</v>
      </c>
      <c r="X2055">
        <v>0.95065920000000004</v>
      </c>
      <c r="Y2055">
        <v>-0.44023370000000001</v>
      </c>
      <c r="Z2055">
        <v>3.2632750000000002E-2</v>
      </c>
      <c r="AA2055">
        <v>0.89729009999999998</v>
      </c>
      <c r="AB2055">
        <v>27</v>
      </c>
      <c r="AC2055">
        <v>-0.121399999999994</v>
      </c>
      <c r="AD2055">
        <v>-7.9226999999999895E-2</v>
      </c>
      <c r="AE2055">
        <v>-0.74260000000003801</v>
      </c>
      <c r="AF2055">
        <v>-0.42377199800453502</v>
      </c>
      <c r="AG2055">
        <v>-7.9226999999999895E-2</v>
      </c>
      <c r="AH2055">
        <v>0.61176947966197603</v>
      </c>
      <c r="AI2055">
        <v>96.076719791169197</v>
      </c>
      <c r="AJ2055">
        <v>124.710299979618</v>
      </c>
      <c r="AK2055">
        <v>0.74841266696097597</v>
      </c>
      <c r="AL2055">
        <v>82.063495283571598</v>
      </c>
      <c r="AM2055">
        <v>106.29026628570701</v>
      </c>
      <c r="AN2055">
        <v>1.0000000078928</v>
      </c>
    </row>
    <row r="2056" spans="1:40" x14ac:dyDescent="0.25">
      <c r="A2056" t="str">
        <f>"20190303162544699"</f>
        <v>20190303162544699</v>
      </c>
      <c r="B2056" t="str">
        <f>"1551601544694568"</f>
        <v>1551601544694568</v>
      </c>
      <c r="C2056" t="s">
        <v>40</v>
      </c>
      <c r="D2056">
        <v>4.8513039999999998</v>
      </c>
      <c r="E2056">
        <v>0.4284733</v>
      </c>
      <c r="F2056" t="s">
        <v>42</v>
      </c>
      <c r="G2056">
        <v>-485.84710000000001</v>
      </c>
      <c r="H2056">
        <v>1.0544500000000001</v>
      </c>
      <c r="I2056">
        <v>276.70920000000001</v>
      </c>
      <c r="J2056">
        <v>-485.65039999999999</v>
      </c>
      <c r="K2056">
        <v>1.1301330000000001</v>
      </c>
      <c r="L2056">
        <v>277.52780000000001</v>
      </c>
      <c r="M2056">
        <v>-0.68968859999999999</v>
      </c>
      <c r="N2056">
        <v>-1.3221139999999999E-2</v>
      </c>
      <c r="O2056">
        <v>-0.7239854</v>
      </c>
      <c r="P2056">
        <v>-0.45854529999999899</v>
      </c>
      <c r="Q2056">
        <v>0.1320461</v>
      </c>
      <c r="R2056">
        <v>-0.87880609999999904</v>
      </c>
      <c r="S2056">
        <v>-0.92736819999999998</v>
      </c>
      <c r="T2056">
        <v>-0.2436844</v>
      </c>
      <c r="U2056">
        <v>-2.9702449999999998</v>
      </c>
      <c r="V2056">
        <v>-0.27737070000000003</v>
      </c>
      <c r="W2056">
        <v>0.1383443</v>
      </c>
      <c r="X2056">
        <v>0.9507504</v>
      </c>
      <c r="Y2056">
        <v>-0.44238309999999997</v>
      </c>
      <c r="Z2056">
        <v>3.2319639999999997E-2</v>
      </c>
      <c r="AA2056">
        <v>0.89624359999999903</v>
      </c>
      <c r="AB2056">
        <v>27</v>
      </c>
      <c r="AC2056">
        <v>-0.196700000000021</v>
      </c>
      <c r="AD2056">
        <v>-7.5682999999999903E-2</v>
      </c>
      <c r="AE2056">
        <v>-0.81860000000000299</v>
      </c>
      <c r="AF2056">
        <v>-0.41882346846993002</v>
      </c>
      <c r="AG2056">
        <v>-7.5682999999999903E-2</v>
      </c>
      <c r="AH2056">
        <v>0.72254086597400602</v>
      </c>
      <c r="AI2056">
        <v>95.178106088367599</v>
      </c>
      <c r="AJ2056">
        <v>120.098882859276</v>
      </c>
      <c r="AK2056">
        <v>0.83857397838989101</v>
      </c>
      <c r="AL2056">
        <v>82.047950557270795</v>
      </c>
      <c r="AM2056">
        <v>106.26400906073501</v>
      </c>
      <c r="AN2056">
        <v>0.99999998683056901</v>
      </c>
    </row>
    <row r="2057" spans="1:40" x14ac:dyDescent="0.25">
      <c r="A2057" t="str">
        <f>"20190303162544721"</f>
        <v>20190303162544721</v>
      </c>
      <c r="B2057" t="str">
        <f>"1551601544715063"</f>
        <v>1551601544715063</v>
      </c>
      <c r="C2057" t="s">
        <v>40</v>
      </c>
      <c r="D2057">
        <v>4.8297019999999904</v>
      </c>
      <c r="E2057">
        <v>0.44696419999999998</v>
      </c>
      <c r="F2057" t="s">
        <v>42</v>
      </c>
      <c r="G2057">
        <v>-485.96140000000003</v>
      </c>
      <c r="H2057">
        <v>1.0479290000000001</v>
      </c>
      <c r="I2057">
        <v>276.52069999999998</v>
      </c>
      <c r="J2057">
        <v>-485.82150000000001</v>
      </c>
      <c r="K2057">
        <v>1.1301410000000001</v>
      </c>
      <c r="L2057">
        <v>277.32839999999999</v>
      </c>
      <c r="M2057">
        <v>-0.68039320000000003</v>
      </c>
      <c r="N2057">
        <v>-1.3220330000000001E-2</v>
      </c>
      <c r="O2057">
        <v>-0.73272799999999905</v>
      </c>
      <c r="P2057">
        <v>-0.44749860000000002</v>
      </c>
      <c r="Q2057">
        <v>0.1326273</v>
      </c>
      <c r="R2057">
        <v>-0.88439509999999899</v>
      </c>
      <c r="S2057">
        <v>-0.91720579999999996</v>
      </c>
      <c r="T2057">
        <v>-0.2424849</v>
      </c>
      <c r="U2057">
        <v>-2.971527</v>
      </c>
      <c r="V2057">
        <v>-0.2771033</v>
      </c>
      <c r="W2057">
        <v>0.13893229999999901</v>
      </c>
      <c r="X2057">
        <v>0.95074270000000005</v>
      </c>
      <c r="Y2057">
        <v>-0.43385220000000002</v>
      </c>
      <c r="Z2057">
        <v>3.3200479999999997E-2</v>
      </c>
      <c r="AA2057">
        <v>0.90037210000000001</v>
      </c>
      <c r="AB2057">
        <v>27</v>
      </c>
      <c r="AC2057">
        <v>-0.13990000000001099</v>
      </c>
      <c r="AD2057">
        <v>-8.2211999999999896E-2</v>
      </c>
      <c r="AE2057">
        <v>-0.80770000000001096</v>
      </c>
      <c r="AF2057">
        <v>-0.44263180495340598</v>
      </c>
      <c r="AG2057">
        <v>-8.2211999999999896E-2</v>
      </c>
      <c r="AH2057">
        <v>0.680229379236582</v>
      </c>
      <c r="AI2057">
        <v>95.784375504535703</v>
      </c>
      <c r="AJ2057">
        <v>123.052440766023</v>
      </c>
      <c r="AK2057">
        <v>0.81571670086917802</v>
      </c>
      <c r="AL2057">
        <v>82.0139326504396</v>
      </c>
      <c r="AM2057">
        <v>106.249282023707</v>
      </c>
      <c r="AN2057">
        <v>1.00000005222873</v>
      </c>
    </row>
    <row r="2058" spans="1:40" x14ac:dyDescent="0.25">
      <c r="A2058" t="str">
        <f>"20190303162544744"</f>
        <v>20190303162544744</v>
      </c>
      <c r="B2058" t="str">
        <f>"1551601544734583"</f>
        <v>1551601544734583</v>
      </c>
      <c r="C2058" t="s">
        <v>40</v>
      </c>
      <c r="D2058">
        <v>4.8177729999999999</v>
      </c>
      <c r="E2058">
        <v>0.44724190000000003</v>
      </c>
      <c r="F2058" t="s">
        <v>41</v>
      </c>
      <c r="G2058">
        <v>-491.23390000000001</v>
      </c>
      <c r="H2058" s="1">
        <v>-1.2414629999999999E-6</v>
      </c>
      <c r="I2058">
        <v>261.71769999999998</v>
      </c>
      <c r="J2058">
        <v>-485.9948</v>
      </c>
      <c r="K2058">
        <v>1.130145</v>
      </c>
      <c r="L2058">
        <v>277.12119999999999</v>
      </c>
      <c r="M2058">
        <v>-0.67072529999999997</v>
      </c>
      <c r="N2058">
        <v>-1.3219430000000001E-2</v>
      </c>
      <c r="O2058">
        <v>-0.74158819999999903</v>
      </c>
      <c r="P2058">
        <v>-0.43590960000000001</v>
      </c>
      <c r="Q2058">
        <v>0.13313159999999999</v>
      </c>
      <c r="R2058">
        <v>-0.89008949999999998</v>
      </c>
      <c r="S2058">
        <v>-1.0098879999999999</v>
      </c>
      <c r="T2058">
        <v>-0.21087239999999999</v>
      </c>
      <c r="U2058">
        <v>-2.9127809999999998</v>
      </c>
      <c r="V2058">
        <v>-0.27701219999999999</v>
      </c>
      <c r="W2058">
        <v>0.13943800000000001</v>
      </c>
      <c r="X2058">
        <v>0.95069519999999996</v>
      </c>
      <c r="Y2058">
        <v>-0.39070149999999998</v>
      </c>
      <c r="Z2058">
        <v>2.9725379999999999E-2</v>
      </c>
      <c r="AA2058">
        <v>0.92003740000000001</v>
      </c>
      <c r="AB2058">
        <v>27</v>
      </c>
      <c r="AC2058">
        <v>-5.2390999999999996</v>
      </c>
      <c r="AD2058">
        <v>-1.1301462414629999</v>
      </c>
      <c r="AE2058">
        <v>-15.403499999999999</v>
      </c>
      <c r="AF2058">
        <v>-6.4158689894499501</v>
      </c>
      <c r="AG2058">
        <v>-1.1301462414629999</v>
      </c>
      <c r="AH2058">
        <v>14.866624178275901</v>
      </c>
      <c r="AI2058">
        <v>93.992581961527193</v>
      </c>
      <c r="AJ2058">
        <v>113.343188917286</v>
      </c>
      <c r="AK2058">
        <v>16.2313622310322</v>
      </c>
      <c r="AL2058">
        <v>81.984673270821105</v>
      </c>
      <c r="AM2058">
        <v>106.24499049666299</v>
      </c>
      <c r="AN2058">
        <v>1.00000003904793</v>
      </c>
    </row>
    <row r="2059" spans="1:40" x14ac:dyDescent="0.25">
      <c r="A2059" t="str">
        <f>"20190303162544765"</f>
        <v>20190303162544765</v>
      </c>
      <c r="B2059" t="str">
        <f>"1551601544755079"</f>
        <v>1551601544755079</v>
      </c>
      <c r="C2059" t="s">
        <v>40</v>
      </c>
      <c r="D2059">
        <v>4.7413400000000001</v>
      </c>
      <c r="E2059">
        <v>0.44857730000000001</v>
      </c>
      <c r="F2059" t="s">
        <v>41</v>
      </c>
      <c r="G2059">
        <v>-491.04489999999998</v>
      </c>
      <c r="H2059" s="1">
        <v>-1.2973409999999999E-6</v>
      </c>
      <c r="I2059">
        <v>261.96519999999998</v>
      </c>
      <c r="J2059">
        <v>-486.15289999999999</v>
      </c>
      <c r="K2059">
        <v>1.130145</v>
      </c>
      <c r="L2059">
        <v>276.9273</v>
      </c>
      <c r="M2059">
        <v>-0.66167039999999999</v>
      </c>
      <c r="N2059">
        <v>-1.3218840000000001E-2</v>
      </c>
      <c r="O2059">
        <v>-0.74967839999999997</v>
      </c>
      <c r="P2059">
        <v>-0.42574149999999999</v>
      </c>
      <c r="Q2059">
        <v>0.1339851</v>
      </c>
      <c r="R2059">
        <v>-0.89487030000000001</v>
      </c>
      <c r="S2059">
        <v>-0.97485350000000004</v>
      </c>
      <c r="T2059">
        <v>-0.21815970000000001</v>
      </c>
      <c r="U2059">
        <v>-2.925659</v>
      </c>
      <c r="V2059">
        <v>-0.27623160000000002</v>
      </c>
      <c r="W2059">
        <v>0.14031150000000001</v>
      </c>
      <c r="X2059">
        <v>0.95079369999999996</v>
      </c>
      <c r="Y2059">
        <v>-0.3906712</v>
      </c>
      <c r="Z2059">
        <v>3.1756119999999999E-2</v>
      </c>
      <c r="AA2059">
        <v>0.91998239999999998</v>
      </c>
      <c r="AB2059">
        <v>27</v>
      </c>
      <c r="AC2059">
        <v>-4.8919999999999897</v>
      </c>
      <c r="AD2059">
        <v>-1.1301462973409999</v>
      </c>
      <c r="AE2059">
        <v>-14.9621</v>
      </c>
      <c r="AF2059">
        <v>-6.2011331830874701</v>
      </c>
      <c r="AG2059">
        <v>-1.1301462973409999</v>
      </c>
      <c r="AH2059">
        <v>14.380792794977101</v>
      </c>
      <c r="AI2059">
        <v>94.127533818119602</v>
      </c>
      <c r="AJ2059">
        <v>113.32616011566</v>
      </c>
      <c r="AK2059">
        <v>15.7015440266187</v>
      </c>
      <c r="AL2059">
        <v>81.934127683252299</v>
      </c>
      <c r="AM2059">
        <v>106.20002750398601</v>
      </c>
      <c r="AN2059">
        <v>0.99999993691524802</v>
      </c>
    </row>
    <row r="2060" spans="1:40" x14ac:dyDescent="0.25">
      <c r="A2060" t="str">
        <f>"20190303162544780"</f>
        <v>20190303162544780</v>
      </c>
      <c r="B2060" t="str">
        <f>"1551601544764839"</f>
        <v>1551601544764839</v>
      </c>
      <c r="C2060" t="s">
        <v>40</v>
      </c>
      <c r="D2060">
        <v>4.7299509999999998</v>
      </c>
      <c r="E2060">
        <v>0.44901600000000003</v>
      </c>
      <c r="F2060" t="s">
        <v>41</v>
      </c>
      <c r="G2060">
        <v>-491.05869999999999</v>
      </c>
      <c r="H2060" s="1">
        <v>-1.2361009999999999E-6</v>
      </c>
      <c r="I2060">
        <v>261.81380000000001</v>
      </c>
      <c r="J2060">
        <v>-486.25799999999998</v>
      </c>
      <c r="K2060">
        <v>1.1301479999999999</v>
      </c>
      <c r="L2060">
        <v>276.79610000000002</v>
      </c>
      <c r="M2060">
        <v>-0.65553159999999999</v>
      </c>
      <c r="N2060">
        <v>-1.321846E-2</v>
      </c>
      <c r="O2060">
        <v>-0.75505219999999995</v>
      </c>
      <c r="P2060">
        <v>-0.41874030000000001</v>
      </c>
      <c r="Q2060">
        <v>0.13447709999999999</v>
      </c>
      <c r="R2060">
        <v>-0.8980939</v>
      </c>
      <c r="S2060">
        <v>-0.95187379999999999</v>
      </c>
      <c r="T2060">
        <v>-0.2192829</v>
      </c>
      <c r="U2060">
        <v>-2.9324650000000001</v>
      </c>
      <c r="V2060">
        <v>-0.27586090000000002</v>
      </c>
      <c r="W2060">
        <v>0.1408124</v>
      </c>
      <c r="X2060">
        <v>0.95082739999999999</v>
      </c>
      <c r="Y2060">
        <v>-0.39031450000000001</v>
      </c>
      <c r="Z2060">
        <v>3.2415930000000003E-2</v>
      </c>
      <c r="AA2060">
        <v>0.92011080000000001</v>
      </c>
      <c r="AB2060">
        <v>27</v>
      </c>
      <c r="AC2060">
        <v>-4.8006999999999396</v>
      </c>
      <c r="AD2060">
        <v>-1.1301492361009999</v>
      </c>
      <c r="AE2060">
        <v>-14.9823</v>
      </c>
      <c r="AF2060">
        <v>-6.16531830574168</v>
      </c>
      <c r="AG2060">
        <v>-1.1301492361009999</v>
      </c>
      <c r="AH2060">
        <v>14.3864535826864</v>
      </c>
      <c r="AI2060">
        <v>94.1298949451607</v>
      </c>
      <c r="AJ2060">
        <v>113.197565444253</v>
      </c>
      <c r="AK2060">
        <v>15.6926235471882</v>
      </c>
      <c r="AL2060">
        <v>81.905141409841093</v>
      </c>
      <c r="AM2060">
        <v>106.178881922025</v>
      </c>
      <c r="AN2060">
        <v>1.00000005636666</v>
      </c>
    </row>
    <row r="2061" spans="1:40" x14ac:dyDescent="0.25">
      <c r="A2061" t="str">
        <f>"20190303162544794"</f>
        <v>20190303162544794</v>
      </c>
      <c r="B2061" t="str">
        <f>"1551601544785335"</f>
        <v>1551601544785335</v>
      </c>
      <c r="C2061" t="s">
        <v>40</v>
      </c>
      <c r="D2061">
        <v>4.8018400000000003</v>
      </c>
      <c r="E2061">
        <v>0.45009959999999999</v>
      </c>
      <c r="F2061" t="s">
        <v>41</v>
      </c>
      <c r="G2061">
        <v>-491.06920000000002</v>
      </c>
      <c r="H2061" s="1">
        <v>-1.161093E-6</v>
      </c>
      <c r="I2061">
        <v>261.63249999999999</v>
      </c>
      <c r="J2061">
        <v>-486.36750000000001</v>
      </c>
      <c r="K2061">
        <v>1.1301490000000001</v>
      </c>
      <c r="L2061">
        <v>276.65640000000002</v>
      </c>
      <c r="M2061">
        <v>-0.64899929999999995</v>
      </c>
      <c r="N2061">
        <v>-1.3218000000000001E-2</v>
      </c>
      <c r="O2061">
        <v>-0.76067430000000003</v>
      </c>
      <c r="P2061">
        <v>-0.41147539999999999</v>
      </c>
      <c r="Q2061">
        <v>0.13442270000000001</v>
      </c>
      <c r="R2061">
        <v>-0.90145339999999996</v>
      </c>
      <c r="S2061">
        <v>-0.93234249999999996</v>
      </c>
      <c r="T2061">
        <v>-0.21900510000000001</v>
      </c>
      <c r="U2061">
        <v>-2.9384769999999998</v>
      </c>
      <c r="V2061">
        <v>-0.27534500000000001</v>
      </c>
      <c r="W2061">
        <v>0.140771799999999</v>
      </c>
      <c r="X2061">
        <v>0.95098289999999996</v>
      </c>
      <c r="Y2061">
        <v>-0.38848480000000002</v>
      </c>
      <c r="Z2061">
        <v>3.285627E-2</v>
      </c>
      <c r="AA2061">
        <v>0.92086920000000005</v>
      </c>
      <c r="AB2061">
        <v>27</v>
      </c>
      <c r="AC2061">
        <v>-4.7017000000000104</v>
      </c>
      <c r="AD2061">
        <v>-1.130150161093</v>
      </c>
      <c r="AE2061">
        <v>-15.023899999999999</v>
      </c>
      <c r="AF2061">
        <v>-6.1429175118769601</v>
      </c>
      <c r="AG2061">
        <v>-1.130150161093</v>
      </c>
      <c r="AH2061">
        <v>14.4067086088904</v>
      </c>
      <c r="AI2061">
        <v>94.1273178488984</v>
      </c>
      <c r="AJ2061">
        <v>113.093053065429</v>
      </c>
      <c r="AK2061">
        <v>15.7024178993498</v>
      </c>
      <c r="AL2061">
        <v>81.907490745667801</v>
      </c>
      <c r="AM2061">
        <v>106.147700648807</v>
      </c>
      <c r="AN2061">
        <v>1.0000000223963199</v>
      </c>
    </row>
    <row r="2062" spans="1:40" x14ac:dyDescent="0.25">
      <c r="A2062" t="str">
        <f>"20190303162544813"</f>
        <v>20190303162544813</v>
      </c>
      <c r="B2062" t="str">
        <f>"1551601544804856"</f>
        <v>1551601544804856</v>
      </c>
      <c r="C2062" t="s">
        <v>40</v>
      </c>
      <c r="D2062">
        <v>4.7561999999999998</v>
      </c>
      <c r="E2062">
        <v>0.4509358</v>
      </c>
      <c r="F2062" t="s">
        <v>41</v>
      </c>
      <c r="G2062">
        <v>-491.27600000000001</v>
      </c>
      <c r="H2062" s="1">
        <v>-8.9500699999999999E-7</v>
      </c>
      <c r="I2062">
        <v>260.88400000000001</v>
      </c>
      <c r="J2062">
        <v>-486.50310000000002</v>
      </c>
      <c r="K2062">
        <v>1.130152</v>
      </c>
      <c r="L2062">
        <v>276.48020000000002</v>
      </c>
      <c r="M2062">
        <v>-0.64074949999999997</v>
      </c>
      <c r="N2062">
        <v>-1.321759E-2</v>
      </c>
      <c r="O2062">
        <v>-0.7676364</v>
      </c>
      <c r="P2062">
        <v>-0.4018023</v>
      </c>
      <c r="Q2062">
        <v>0.13446140000000001</v>
      </c>
      <c r="R2062">
        <v>-0.90580090000000002</v>
      </c>
      <c r="S2062">
        <v>-0.91543580000000002</v>
      </c>
      <c r="T2062">
        <v>-0.2107735</v>
      </c>
      <c r="U2062">
        <v>-2.9415589999999998</v>
      </c>
      <c r="V2062">
        <v>-0.27525500000000003</v>
      </c>
      <c r="W2062">
        <v>0.14081289999999999</v>
      </c>
      <c r="X2062">
        <v>0.95100280000000004</v>
      </c>
      <c r="Y2062">
        <v>-0.38363340000000001</v>
      </c>
      <c r="Z2062">
        <v>3.1875769999999998E-2</v>
      </c>
      <c r="AA2062">
        <v>0.92293519999999896</v>
      </c>
      <c r="AB2062">
        <v>27</v>
      </c>
      <c r="AC2062">
        <v>-4.7728999999999902</v>
      </c>
      <c r="AD2062">
        <v>-1.1301528950069999</v>
      </c>
      <c r="AE2062">
        <v>-15.5962</v>
      </c>
      <c r="AF2062">
        <v>-6.2997110271001304</v>
      </c>
      <c r="AG2062">
        <v>-1.1301528950069999</v>
      </c>
      <c r="AH2062">
        <v>14.9599284374286</v>
      </c>
      <c r="AI2062">
        <v>93.982730641835005</v>
      </c>
      <c r="AJ2062">
        <v>112.836236491189</v>
      </c>
      <c r="AK2062">
        <v>16.271541520213901</v>
      </c>
      <c r="AL2062">
        <v>81.905111661598497</v>
      </c>
      <c r="AM2062">
        <v>106.14237732506901</v>
      </c>
      <c r="AN2062">
        <v>0.99999995671962405</v>
      </c>
    </row>
    <row r="2063" spans="1:40" x14ac:dyDescent="0.25">
      <c r="A2063" t="str">
        <f>"20190303162544833"</f>
        <v>20190303162544833</v>
      </c>
      <c r="B2063" t="str">
        <f>"1551601544825352"</f>
        <v>1551601544825352</v>
      </c>
      <c r="C2063" t="s">
        <v>40</v>
      </c>
      <c r="D2063">
        <v>4.7297650000000004</v>
      </c>
      <c r="E2063">
        <v>0.45196320000000001</v>
      </c>
      <c r="F2063" t="s">
        <v>41</v>
      </c>
      <c r="G2063">
        <v>-491.17399999999998</v>
      </c>
      <c r="H2063" s="1">
        <v>-9.232359E-7</v>
      </c>
      <c r="I2063">
        <v>261.01299999999998</v>
      </c>
      <c r="J2063">
        <v>-486.649</v>
      </c>
      <c r="K2063">
        <v>1.1301490000000001</v>
      </c>
      <c r="L2063">
        <v>276.286</v>
      </c>
      <c r="M2063">
        <v>-0.63165209999999905</v>
      </c>
      <c r="N2063">
        <v>-1.3217029999999999E-2</v>
      </c>
      <c r="O2063">
        <v>-0.77513949999999998</v>
      </c>
      <c r="P2063">
        <v>-0.39088200000000001</v>
      </c>
      <c r="Q2063">
        <v>0.13449239999999901</v>
      </c>
      <c r="R2063">
        <v>-0.91056230000000005</v>
      </c>
      <c r="S2063">
        <v>-0.89056399999999902</v>
      </c>
      <c r="T2063">
        <v>-0.21547369999999999</v>
      </c>
      <c r="U2063">
        <v>-2.948944</v>
      </c>
      <c r="V2063">
        <v>-0.2754722</v>
      </c>
      <c r="W2063">
        <v>0.140838299999999</v>
      </c>
      <c r="X2063">
        <v>0.95093620000000001</v>
      </c>
      <c r="Y2063">
        <v>-0.38052849999999999</v>
      </c>
      <c r="Z2063">
        <v>3.351755E-2</v>
      </c>
      <c r="AA2063">
        <v>0.92416160000000003</v>
      </c>
      <c r="AB2063">
        <v>27</v>
      </c>
      <c r="AC2063">
        <v>-4.5250000000000297</v>
      </c>
      <c r="AD2063">
        <v>-1.1301499232359</v>
      </c>
      <c r="AE2063">
        <v>-15.273</v>
      </c>
      <c r="AF2063">
        <v>-6.1094986070195896</v>
      </c>
      <c r="AG2063">
        <v>-1.1301499232359</v>
      </c>
      <c r="AH2063">
        <v>14.6245978388976</v>
      </c>
      <c r="AI2063">
        <v>94.078591989856605</v>
      </c>
      <c r="AJ2063">
        <v>112.672976045241</v>
      </c>
      <c r="AK2063">
        <v>15.889684516303401</v>
      </c>
      <c r="AL2063">
        <v>81.903642118454997</v>
      </c>
      <c r="AM2063">
        <v>106.15552326993701</v>
      </c>
      <c r="AN2063">
        <v>1.0000000080950799</v>
      </c>
    </row>
    <row r="2064" spans="1:40" x14ac:dyDescent="0.25">
      <c r="A2064" t="str">
        <f>"20190303162544854"</f>
        <v>20190303162544854</v>
      </c>
      <c r="B2064" t="str">
        <f>"1551601544844871"</f>
        <v>1551601544844871</v>
      </c>
      <c r="C2064" t="s">
        <v>40</v>
      </c>
      <c r="D2064">
        <v>4.7245520000000001</v>
      </c>
      <c r="E2064">
        <v>0.45301629999999998</v>
      </c>
      <c r="F2064" t="s">
        <v>41</v>
      </c>
      <c r="G2064">
        <v>-491.27319999999997</v>
      </c>
      <c r="H2064" s="1">
        <v>-7.0587919999999897E-7</v>
      </c>
      <c r="I2064">
        <v>260.44490000000002</v>
      </c>
      <c r="J2064">
        <v>-486.7971</v>
      </c>
      <c r="K2064">
        <v>1.1301460000000001</v>
      </c>
      <c r="L2064">
        <v>276.08409999999998</v>
      </c>
      <c r="M2064">
        <v>-0.62218169999999995</v>
      </c>
      <c r="N2064">
        <v>-1.3216489999999999E-2</v>
      </c>
      <c r="O2064">
        <v>-0.78276119999999905</v>
      </c>
      <c r="P2064">
        <v>-0.37921460000000001</v>
      </c>
      <c r="Q2064">
        <v>0.13409949999999901</v>
      </c>
      <c r="R2064">
        <v>-0.91554020000000003</v>
      </c>
      <c r="S2064">
        <v>-0.8627319</v>
      </c>
      <c r="T2064">
        <v>-0.2108517</v>
      </c>
      <c r="U2064">
        <v>-2.9554749999999999</v>
      </c>
      <c r="V2064">
        <v>-0.27609050000000002</v>
      </c>
      <c r="W2064">
        <v>0.14042950000000001</v>
      </c>
      <c r="X2064">
        <v>0.95081729999999998</v>
      </c>
      <c r="Y2064">
        <v>-0.37785429999999998</v>
      </c>
      <c r="Z2064">
        <v>3.322E-2</v>
      </c>
      <c r="AA2064">
        <v>0.92526889999999995</v>
      </c>
      <c r="AB2064">
        <v>27</v>
      </c>
      <c r="AC2064">
        <v>-4.4760999999999704</v>
      </c>
      <c r="AD2064">
        <v>-1.1301467058792001</v>
      </c>
      <c r="AE2064">
        <v>-15.639199999999899</v>
      </c>
      <c r="AF2064">
        <v>-6.1973385731188904</v>
      </c>
      <c r="AG2064">
        <v>-1.1301467058792001</v>
      </c>
      <c r="AH2064">
        <v>14.955833487156299</v>
      </c>
      <c r="AI2064">
        <v>93.993311854522403</v>
      </c>
      <c r="AJ2064">
        <v>112.507943936426</v>
      </c>
      <c r="AK2064">
        <v>16.228406953925699</v>
      </c>
      <c r="AL2064">
        <v>81.927299467905698</v>
      </c>
      <c r="AM2064">
        <v>106.19180535055401</v>
      </c>
      <c r="AN2064">
        <v>0.99999997331989399</v>
      </c>
    </row>
    <row r="2065" spans="1:40" x14ac:dyDescent="0.25">
      <c r="A2065" t="str">
        <f>"20190303162544878"</f>
        <v>20190303162544878</v>
      </c>
      <c r="B2065" t="str">
        <f>"1551601544865368"</f>
        <v>1551601544865368</v>
      </c>
      <c r="C2065" t="s">
        <v>40</v>
      </c>
      <c r="D2065">
        <v>4.6908390000000004</v>
      </c>
      <c r="E2065">
        <v>0.45404879999999997</v>
      </c>
      <c r="F2065" t="s">
        <v>41</v>
      </c>
      <c r="G2065">
        <v>-491.3021</v>
      </c>
      <c r="H2065" s="1">
        <v>-5.4583859999999997E-7</v>
      </c>
      <c r="I2065">
        <v>260.0539</v>
      </c>
      <c r="J2065">
        <v>-486.95510000000002</v>
      </c>
      <c r="K2065">
        <v>1.13015</v>
      </c>
      <c r="L2065">
        <v>275.863</v>
      </c>
      <c r="M2065">
        <v>-0.61180100000000004</v>
      </c>
      <c r="N2065">
        <v>-1.321603E-2</v>
      </c>
      <c r="O2065">
        <v>-0.79090150000000004</v>
      </c>
      <c r="P2065">
        <v>-0.36696020000000001</v>
      </c>
      <c r="Q2065">
        <v>0.13408889999999901</v>
      </c>
      <c r="R2065">
        <v>-0.9205219</v>
      </c>
      <c r="S2065">
        <v>-0.83255000000000001</v>
      </c>
      <c r="T2065">
        <v>-0.20885919999999999</v>
      </c>
      <c r="U2065">
        <v>-2.962494</v>
      </c>
      <c r="V2065">
        <v>-0.27623880000000001</v>
      </c>
      <c r="W2065">
        <v>0.14041529999999999</v>
      </c>
      <c r="X2065">
        <v>0.95077630000000002</v>
      </c>
      <c r="Y2065">
        <v>-0.37494929999999999</v>
      </c>
      <c r="Z2065">
        <v>3.3506670000000002E-2</v>
      </c>
      <c r="AA2065">
        <v>0.92643960000000003</v>
      </c>
      <c r="AB2065">
        <v>27</v>
      </c>
      <c r="AC2065">
        <v>-4.34699999999998</v>
      </c>
      <c r="AD2065">
        <v>-1.1301505458386001</v>
      </c>
      <c r="AE2065">
        <v>-15.809100000000001</v>
      </c>
      <c r="AF2065">
        <v>-6.2050364497630497</v>
      </c>
      <c r="AG2065">
        <v>-1.1301505458386001</v>
      </c>
      <c r="AH2065">
        <v>15.092553946444401</v>
      </c>
      <c r="AI2065">
        <v>93.961781214496199</v>
      </c>
      <c r="AJ2065">
        <v>112.349146959444</v>
      </c>
      <c r="AK2065">
        <v>16.357411232388898</v>
      </c>
      <c r="AL2065">
        <v>81.9281210357845</v>
      </c>
      <c r="AM2065">
        <v>106.20070854046701</v>
      </c>
      <c r="AN2065">
        <v>0.99999995187060797</v>
      </c>
    </row>
    <row r="2066" spans="1:40" x14ac:dyDescent="0.25">
      <c r="A2066" t="str">
        <f>"20190303162544912"</f>
        <v>20190303162544912</v>
      </c>
      <c r="B2066" t="str">
        <f>"1551601544905384"</f>
        <v>1551601544905384</v>
      </c>
      <c r="C2066" t="s">
        <v>40</v>
      </c>
      <c r="D2066">
        <v>4.6890080000000003</v>
      </c>
      <c r="E2066">
        <v>0.46473209999999998</v>
      </c>
      <c r="F2066" t="s">
        <v>41</v>
      </c>
      <c r="G2066">
        <v>-491.28489999999999</v>
      </c>
      <c r="H2066" s="1">
        <v>-4.3060149999999999E-7</v>
      </c>
      <c r="I2066">
        <v>259.79599999999999</v>
      </c>
      <c r="J2066">
        <v>-487.18669999999997</v>
      </c>
      <c r="K2066">
        <v>1.130152</v>
      </c>
      <c r="L2066">
        <v>275.5265</v>
      </c>
      <c r="M2066">
        <v>-0.59599630000000003</v>
      </c>
      <c r="N2066">
        <v>-1.321546E-2</v>
      </c>
      <c r="O2066">
        <v>-0.8028786</v>
      </c>
      <c r="P2066">
        <v>-0.349213</v>
      </c>
      <c r="Q2066">
        <v>0.13496830000000001</v>
      </c>
      <c r="R2066">
        <v>-0.92727230000000005</v>
      </c>
      <c r="S2066">
        <v>-0.80044559999999998</v>
      </c>
      <c r="T2066">
        <v>-0.2089328</v>
      </c>
      <c r="U2066">
        <v>-2.9703369999999998</v>
      </c>
      <c r="V2066">
        <v>-0.27558719999999998</v>
      </c>
      <c r="W2066">
        <v>0.1413104</v>
      </c>
      <c r="X2066">
        <v>0.95083280000000003</v>
      </c>
      <c r="Y2066">
        <v>-0.36651610000000001</v>
      </c>
      <c r="Z2066">
        <v>3.4666820000000001E-2</v>
      </c>
      <c r="AA2066">
        <v>0.92976559999999997</v>
      </c>
      <c r="AB2066">
        <v>27</v>
      </c>
      <c r="AC2066">
        <v>-4.0982000000000198</v>
      </c>
      <c r="AD2066">
        <v>-1.1301524306015001</v>
      </c>
      <c r="AE2066">
        <v>-15.730499999999999</v>
      </c>
      <c r="AF2066">
        <v>-6.0562200491957299</v>
      </c>
      <c r="AG2066">
        <v>-1.1301524306015001</v>
      </c>
      <c r="AH2066">
        <v>15.0009994842283</v>
      </c>
      <c r="AI2066">
        <v>93.996191665059797</v>
      </c>
      <c r="AJ2066">
        <v>111.984969414227</v>
      </c>
      <c r="AK2066">
        <v>16.216813229685201</v>
      </c>
      <c r="AL2066">
        <v>81.876319246915003</v>
      </c>
      <c r="AM2066">
        <v>106.163581378358</v>
      </c>
      <c r="AN2066">
        <v>0.99999997375391902</v>
      </c>
    </row>
    <row r="2067" spans="1:40" x14ac:dyDescent="0.25">
      <c r="A2067" t="str">
        <f>"20190303162544934"</f>
        <v>20190303162544934</v>
      </c>
      <c r="B2067" t="str">
        <f>"1551601544924905"</f>
        <v>1551601544924905</v>
      </c>
      <c r="C2067" t="s">
        <v>40</v>
      </c>
      <c r="D2067">
        <v>4.6729209999999997</v>
      </c>
      <c r="E2067">
        <v>0.46500580000000002</v>
      </c>
      <c r="F2067" t="s">
        <v>41</v>
      </c>
      <c r="G2067">
        <v>-491.1046</v>
      </c>
      <c r="H2067" s="1">
        <v>-1.1018E-6</v>
      </c>
      <c r="I2067">
        <v>261.47239999999999</v>
      </c>
      <c r="J2067">
        <v>-487.33089999999999</v>
      </c>
      <c r="K2067">
        <v>1.1301509999999999</v>
      </c>
      <c r="L2067">
        <v>275.31</v>
      </c>
      <c r="M2067">
        <v>-0.58580739999999998</v>
      </c>
      <c r="N2067">
        <v>-1.3214999999999999E-2</v>
      </c>
      <c r="O2067">
        <v>-0.81034259999999902</v>
      </c>
      <c r="P2067">
        <v>-0.33784779999999998</v>
      </c>
      <c r="Q2067">
        <v>0.13427120000000001</v>
      </c>
      <c r="R2067">
        <v>-0.93157429999999997</v>
      </c>
      <c r="S2067">
        <v>-0.824951199999999</v>
      </c>
      <c r="T2067">
        <v>-0.23796610000000001</v>
      </c>
      <c r="U2067">
        <v>-2.9592589999999999</v>
      </c>
      <c r="V2067">
        <v>-0.2752462</v>
      </c>
      <c r="W2067">
        <v>0.140624</v>
      </c>
      <c r="X2067">
        <v>0.95103340000000003</v>
      </c>
      <c r="Y2067">
        <v>-0.3467288</v>
      </c>
      <c r="Z2067">
        <v>4.2445179999999999E-2</v>
      </c>
      <c r="AA2067">
        <v>0.93700459999999997</v>
      </c>
      <c r="AB2067">
        <v>27</v>
      </c>
      <c r="AC2067">
        <v>-3.77370000000001</v>
      </c>
      <c r="AD2067">
        <v>-1.1301521018</v>
      </c>
      <c r="AE2067">
        <v>-13.8376</v>
      </c>
      <c r="AF2067">
        <v>-5.0174675637924802</v>
      </c>
      <c r="AG2067">
        <v>-1.1301521018</v>
      </c>
      <c r="AH2067">
        <v>13.3421929087883</v>
      </c>
      <c r="AI2067">
        <v>94.533167994336097</v>
      </c>
      <c r="AJ2067">
        <v>110.60928188626301</v>
      </c>
      <c r="AK2067">
        <v>14.299172568447201</v>
      </c>
      <c r="AL2067">
        <v>81.916044402813597</v>
      </c>
      <c r="AM2067">
        <v>106.141395799824</v>
      </c>
      <c r="AN2067">
        <v>1.0000000539529901</v>
      </c>
    </row>
    <row r="2068" spans="1:40" x14ac:dyDescent="0.25">
      <c r="A2068" t="str">
        <f>"20190303162544958"</f>
        <v>20190303162544958</v>
      </c>
      <c r="B2068" t="str">
        <f>"1551601544945399"</f>
        <v>1551601544945399</v>
      </c>
      <c r="C2068" t="s">
        <v>40</v>
      </c>
      <c r="D2068">
        <v>4.6983079999999999</v>
      </c>
      <c r="E2068">
        <v>0.4659006</v>
      </c>
      <c r="F2068" t="s">
        <v>41</v>
      </c>
      <c r="G2068">
        <v>-491.02620000000002</v>
      </c>
      <c r="H2068" s="1">
        <v>-1.0702679999999999E-6</v>
      </c>
      <c r="I2068">
        <v>261.44749999999999</v>
      </c>
      <c r="J2068">
        <v>-487.47750000000002</v>
      </c>
      <c r="K2068">
        <v>1.130139</v>
      </c>
      <c r="L2068">
        <v>275.08370000000002</v>
      </c>
      <c r="M2068">
        <v>-0.57514849999999995</v>
      </c>
      <c r="N2068">
        <v>-1.321461E-2</v>
      </c>
      <c r="O2068">
        <v>-0.81794230000000001</v>
      </c>
      <c r="P2068">
        <v>-0.32634679999999999</v>
      </c>
      <c r="Q2068">
        <v>0.1333124</v>
      </c>
      <c r="R2068">
        <v>-0.93580220000000003</v>
      </c>
      <c r="S2068">
        <v>-0.79122919999999997</v>
      </c>
      <c r="T2068">
        <v>-0.24198990000000001</v>
      </c>
      <c r="U2068">
        <v>-2.9682620000000002</v>
      </c>
      <c r="V2068">
        <v>-0.27456589999999997</v>
      </c>
      <c r="W2068">
        <v>0.1396849</v>
      </c>
      <c r="X2068">
        <v>0.95136829999999994</v>
      </c>
      <c r="Y2068">
        <v>-0.34511150000000002</v>
      </c>
      <c r="Z2068">
        <v>4.4084850000000002E-2</v>
      </c>
      <c r="AA2068">
        <v>0.93752579999999996</v>
      </c>
      <c r="AB2068">
        <v>27</v>
      </c>
      <c r="AC2068">
        <v>-3.54869999999999</v>
      </c>
      <c r="AD2068">
        <v>-1.130140070268</v>
      </c>
      <c r="AE2068">
        <v>-13.636200000000001</v>
      </c>
      <c r="AF2068">
        <v>-4.9090591467039202</v>
      </c>
      <c r="AG2068">
        <v>-1.130140070268</v>
      </c>
      <c r="AH2068">
        <v>13.1114593694037</v>
      </c>
      <c r="AI2068">
        <v>94.615045600413595</v>
      </c>
      <c r="AJ2068">
        <v>110.526393612877</v>
      </c>
      <c r="AK2068">
        <v>14.0458693244593</v>
      </c>
      <c r="AL2068">
        <v>81.9703866009244</v>
      </c>
      <c r="AM2068">
        <v>106.09819599641099</v>
      </c>
      <c r="AN2068">
        <v>0.99999997348785397</v>
      </c>
    </row>
    <row r="2069" spans="1:40" x14ac:dyDescent="0.25">
      <c r="A2069" t="str">
        <f>"20190303162544991"</f>
        <v>20190303162544991</v>
      </c>
      <c r="B2069" t="str">
        <f>"1551601544974681"</f>
        <v>1551601544974681</v>
      </c>
      <c r="C2069" t="s">
        <v>40</v>
      </c>
      <c r="D2069">
        <v>4.693289</v>
      </c>
      <c r="E2069">
        <v>0.46740419999999999</v>
      </c>
      <c r="F2069" t="s">
        <v>41</v>
      </c>
      <c r="G2069">
        <v>-490.98919999999998</v>
      </c>
      <c r="H2069" s="1">
        <v>-1.023237E-6</v>
      </c>
      <c r="I2069">
        <v>261.36079999999998</v>
      </c>
      <c r="J2069">
        <v>-487.68979999999999</v>
      </c>
      <c r="K2069">
        <v>1.130142</v>
      </c>
      <c r="L2069">
        <v>274.74310000000003</v>
      </c>
      <c r="M2069">
        <v>-0.55910499999999996</v>
      </c>
      <c r="N2069">
        <v>-1.3213859999999999E-2</v>
      </c>
      <c r="O2069">
        <v>-0.82899149999999999</v>
      </c>
      <c r="P2069">
        <v>-0.3090889</v>
      </c>
      <c r="Q2069">
        <v>0.1338606</v>
      </c>
      <c r="R2069">
        <v>-0.94156550000000006</v>
      </c>
      <c r="S2069">
        <v>-0.76135249999999999</v>
      </c>
      <c r="T2069">
        <v>-0.24501970000000001</v>
      </c>
      <c r="U2069">
        <v>-2.9751889999999999</v>
      </c>
      <c r="V2069">
        <v>-0.27348719999999999</v>
      </c>
      <c r="W2069">
        <v>0.14026240000000001</v>
      </c>
      <c r="X2069">
        <v>0.9515941</v>
      </c>
      <c r="Y2069">
        <v>-0.33619890000000002</v>
      </c>
      <c r="Z2069">
        <v>4.6052709999999997E-2</v>
      </c>
      <c r="AA2069">
        <v>0.94066439999999996</v>
      </c>
      <c r="AB2069">
        <v>27</v>
      </c>
      <c r="AC2069">
        <v>-3.2993999999999901</v>
      </c>
      <c r="AD2069">
        <v>-1.130143023237</v>
      </c>
      <c r="AE2069">
        <v>-13.382300000000001</v>
      </c>
      <c r="AF2069">
        <v>-4.7156466428848001</v>
      </c>
      <c r="AG2069">
        <v>-1.130143023237</v>
      </c>
      <c r="AH2069">
        <v>12.8532391260668</v>
      </c>
      <c r="AI2069">
        <v>94.718867894043697</v>
      </c>
      <c r="AJ2069">
        <v>110.147274722688</v>
      </c>
      <c r="AK2069">
        <v>13.737550820483801</v>
      </c>
      <c r="AL2069">
        <v>81.936970005711501</v>
      </c>
      <c r="AM2069">
        <v>106.034598495884</v>
      </c>
      <c r="AN2069">
        <v>1.0000000602862</v>
      </c>
    </row>
    <row r="2070" spans="1:40" x14ac:dyDescent="0.25">
      <c r="A2070" t="str">
        <f>"20190303162545012"</f>
        <v>20190303162545012</v>
      </c>
      <c r="B2070" t="str">
        <f>"1551601545004935"</f>
        <v>1551601545004935</v>
      </c>
      <c r="C2070" t="s">
        <v>40</v>
      </c>
      <c r="D2070">
        <v>4.6999820000000003</v>
      </c>
      <c r="E2070">
        <v>0.46844350000000001</v>
      </c>
      <c r="F2070" t="s">
        <v>41</v>
      </c>
      <c r="G2070">
        <v>-491.04629999999997</v>
      </c>
      <c r="H2070" s="1">
        <v>-7.9057680000000001E-7</v>
      </c>
      <c r="I2070">
        <v>260.78300000000002</v>
      </c>
      <c r="J2070">
        <v>-487.82459999999998</v>
      </c>
      <c r="K2070">
        <v>1.130145</v>
      </c>
      <c r="L2070">
        <v>274.51929999999999</v>
      </c>
      <c r="M2070">
        <v>-0.54854360000000002</v>
      </c>
      <c r="N2070">
        <v>-1.3213320000000001E-2</v>
      </c>
      <c r="O2070">
        <v>-0.83601749999999997</v>
      </c>
      <c r="P2070">
        <v>-0.2972728</v>
      </c>
      <c r="Q2070">
        <v>0.134298</v>
      </c>
      <c r="R2070">
        <v>-0.94530049999999999</v>
      </c>
      <c r="S2070">
        <v>-0.71768189999999998</v>
      </c>
      <c r="T2070">
        <v>-0.2416422</v>
      </c>
      <c r="U2070">
        <v>-2.9848940000000002</v>
      </c>
      <c r="V2070">
        <v>-0.27330789999999999</v>
      </c>
      <c r="W2070">
        <v>0.14070429999999901</v>
      </c>
      <c r="X2070">
        <v>0.95158030000000005</v>
      </c>
      <c r="Y2070">
        <v>-0.33794940000000001</v>
      </c>
      <c r="Z2070">
        <v>4.5851820000000001E-2</v>
      </c>
      <c r="AA2070">
        <v>0.94004670000000001</v>
      </c>
      <c r="AB2070">
        <v>27</v>
      </c>
      <c r="AC2070">
        <v>-3.22169999999999</v>
      </c>
      <c r="AD2070">
        <v>-1.1301457905768</v>
      </c>
      <c r="AE2070">
        <v>-13.7362999999999</v>
      </c>
      <c r="AF2070">
        <v>-4.8111159751389003</v>
      </c>
      <c r="AG2070">
        <v>-1.1301457905768</v>
      </c>
      <c r="AH2070">
        <v>13.1677017212559</v>
      </c>
      <c r="AI2070">
        <v>94.608915827310497</v>
      </c>
      <c r="AJ2070">
        <v>110.070912992556</v>
      </c>
      <c r="AK2070">
        <v>14.064580870191699</v>
      </c>
      <c r="AL2070">
        <v>81.911396809313203</v>
      </c>
      <c r="AM2070">
        <v>106.024846421381</v>
      </c>
      <c r="AN2070">
        <v>0.99999998779449495</v>
      </c>
    </row>
    <row r="2071" spans="1:40" x14ac:dyDescent="0.25">
      <c r="A2071" t="str">
        <f>"20190303162545035"</f>
        <v>20190303162545035</v>
      </c>
      <c r="B2071" t="str">
        <f>"1551601545025431"</f>
        <v>1551601545025431</v>
      </c>
      <c r="C2071" t="s">
        <v>40</v>
      </c>
      <c r="D2071">
        <v>4.6993470000000004</v>
      </c>
      <c r="E2071">
        <v>0.46883979999999997</v>
      </c>
      <c r="F2071" t="s">
        <v>41</v>
      </c>
      <c r="G2071">
        <v>-491.04860000000002</v>
      </c>
      <c r="H2071" s="1">
        <v>-6.7315259999999997E-7</v>
      </c>
      <c r="I2071">
        <v>260.50790000000001</v>
      </c>
      <c r="J2071">
        <v>-487.95519999999999</v>
      </c>
      <c r="K2071">
        <v>1.130142</v>
      </c>
      <c r="L2071">
        <v>274.2962</v>
      </c>
      <c r="M2071">
        <v>-0.53801549999999998</v>
      </c>
      <c r="N2071">
        <v>-1.3212689999999999E-2</v>
      </c>
      <c r="O2071">
        <v>-0.84283159999999901</v>
      </c>
      <c r="P2071">
        <v>-0.28564109999999998</v>
      </c>
      <c r="Q2071">
        <v>0.1346405</v>
      </c>
      <c r="R2071">
        <v>-0.9488316</v>
      </c>
      <c r="S2071">
        <v>-0.6882935</v>
      </c>
      <c r="T2071">
        <v>-0.2412812</v>
      </c>
      <c r="U2071">
        <v>-2.9913639999999999</v>
      </c>
      <c r="V2071">
        <v>-0.27304099999999998</v>
      </c>
      <c r="W2071">
        <v>0.1410546</v>
      </c>
      <c r="X2071">
        <v>0.95160509999999998</v>
      </c>
      <c r="Y2071">
        <v>-0.33536739999999998</v>
      </c>
      <c r="Z2071">
        <v>4.6455169999999997E-2</v>
      </c>
      <c r="AA2071">
        <v>0.94094129999999998</v>
      </c>
      <c r="AB2071">
        <v>27</v>
      </c>
      <c r="AC2071">
        <v>-3.0934000000000301</v>
      </c>
      <c r="AD2071">
        <v>-1.1301426731526001</v>
      </c>
      <c r="AE2071">
        <v>-13.7882999999999</v>
      </c>
      <c r="AF2071">
        <v>-4.7809433878006002</v>
      </c>
      <c r="AG2071">
        <v>-1.1301426731526001</v>
      </c>
      <c r="AH2071">
        <v>13.202226190818299</v>
      </c>
      <c r="AI2071">
        <v>94.6016702454328</v>
      </c>
      <c r="AJ2071">
        <v>109.90692259511</v>
      </c>
      <c r="AK2071">
        <v>14.086639717568</v>
      </c>
      <c r="AL2071">
        <v>81.891124231758297</v>
      </c>
      <c r="AM2071">
        <v>106.00960374876701</v>
      </c>
      <c r="AN2071">
        <v>1.0000000271040801</v>
      </c>
    </row>
    <row r="2072" spans="1:40" x14ac:dyDescent="0.25">
      <c r="A2072" t="str">
        <f>"20190303162545056"</f>
        <v>20190303162545056</v>
      </c>
      <c r="B2072" t="str">
        <f>"1551601545044952"</f>
        <v>1551601545044952</v>
      </c>
      <c r="C2072" t="s">
        <v>40</v>
      </c>
      <c r="D2072">
        <v>4.6739850000000001</v>
      </c>
      <c r="E2072">
        <v>0.47021279999999999</v>
      </c>
      <c r="F2072" t="s">
        <v>41</v>
      </c>
      <c r="G2072">
        <v>-491.03719999999998</v>
      </c>
      <c r="H2072" s="1">
        <v>-5.3184600000000004E-7</v>
      </c>
      <c r="I2072">
        <v>260.18560000000002</v>
      </c>
      <c r="J2072">
        <v>-488.0822</v>
      </c>
      <c r="K2072">
        <v>1.130144</v>
      </c>
      <c r="L2072">
        <v>274.07299999999998</v>
      </c>
      <c r="M2072">
        <v>-0.52746910000000002</v>
      </c>
      <c r="N2072">
        <v>-1.3212140000000001E-2</v>
      </c>
      <c r="O2072">
        <v>-0.84947139999999999</v>
      </c>
      <c r="P2072">
        <v>-0.2748138</v>
      </c>
      <c r="Q2072">
        <v>0.1347612</v>
      </c>
      <c r="R2072">
        <v>-0.95200680000000004</v>
      </c>
      <c r="S2072">
        <v>-0.65496829999999995</v>
      </c>
      <c r="T2072">
        <v>-0.24016889999999999</v>
      </c>
      <c r="U2072">
        <v>-2.998688</v>
      </c>
      <c r="V2072">
        <v>-0.27201130000000001</v>
      </c>
      <c r="W2072">
        <v>0.14120369999999999</v>
      </c>
      <c r="X2072">
        <v>0.9518778</v>
      </c>
      <c r="Y2072">
        <v>-0.33409050000000001</v>
      </c>
      <c r="Z2072">
        <v>4.681826E-2</v>
      </c>
      <c r="AA2072">
        <v>0.94137749999999998</v>
      </c>
      <c r="AB2072">
        <v>27</v>
      </c>
      <c r="AC2072">
        <v>-2.9549999999999801</v>
      </c>
      <c r="AD2072">
        <v>-1.1301445318459999</v>
      </c>
      <c r="AE2072">
        <v>-13.8873999999999</v>
      </c>
      <c r="AF2072">
        <v>-4.7850900951222499</v>
      </c>
      <c r="AG2072">
        <v>-1.1301445318459999</v>
      </c>
      <c r="AH2072">
        <v>13.2726951347938</v>
      </c>
      <c r="AI2072">
        <v>94.579696366486203</v>
      </c>
      <c r="AJ2072">
        <v>109.825316455608</v>
      </c>
      <c r="AK2072">
        <v>14.154107178571101</v>
      </c>
      <c r="AL2072">
        <v>81.882494753636294</v>
      </c>
      <c r="AM2072">
        <v>105.94796767207001</v>
      </c>
      <c r="AN2072">
        <v>0.99999998917710997</v>
      </c>
    </row>
    <row r="2073" spans="1:40" x14ac:dyDescent="0.25">
      <c r="A2073" t="str">
        <f>"20190303162545081"</f>
        <v>20190303162545081</v>
      </c>
      <c r="B2073" t="str">
        <f>"1551601545075208"</f>
        <v>1551601545075208</v>
      </c>
      <c r="C2073" t="s">
        <v>40</v>
      </c>
      <c r="D2073">
        <v>4.7020269999999904</v>
      </c>
      <c r="E2073">
        <v>0.48144609999999899</v>
      </c>
      <c r="F2073" t="s">
        <v>41</v>
      </c>
      <c r="G2073">
        <v>-491.04219999999998</v>
      </c>
      <c r="H2073" s="1">
        <v>-4.5010360000000002E-7</v>
      </c>
      <c r="I2073">
        <v>259.99189999999999</v>
      </c>
      <c r="J2073">
        <v>-488.21730000000002</v>
      </c>
      <c r="K2073">
        <v>1.130136</v>
      </c>
      <c r="L2073">
        <v>273.82799999999997</v>
      </c>
      <c r="M2073">
        <v>-0.51590290000000005</v>
      </c>
      <c r="N2073">
        <v>-1.321083E-2</v>
      </c>
      <c r="O2073">
        <v>-0.85654529999999995</v>
      </c>
      <c r="P2073">
        <v>-0.26459329999999998</v>
      </c>
      <c r="Q2073">
        <v>0.13472200000000001</v>
      </c>
      <c r="R2073">
        <v>-0.95490350000000002</v>
      </c>
      <c r="S2073">
        <v>-0.63128660000000003</v>
      </c>
      <c r="T2073">
        <v>-0.24102689999999999</v>
      </c>
      <c r="U2073">
        <v>-3.003082</v>
      </c>
      <c r="V2073">
        <v>-0.26930219999999999</v>
      </c>
      <c r="W2073">
        <v>0.14123959999999999</v>
      </c>
      <c r="X2073">
        <v>0.95264249999999995</v>
      </c>
      <c r="Y2073">
        <v>-0.32870480000000002</v>
      </c>
      <c r="Z2073">
        <v>4.7823749999999998E-2</v>
      </c>
      <c r="AA2073">
        <v>0.94322110000000003</v>
      </c>
      <c r="AB2073">
        <v>27</v>
      </c>
      <c r="AC2073">
        <v>-2.8248999999999498</v>
      </c>
      <c r="AD2073">
        <v>-1.1301364501036</v>
      </c>
      <c r="AE2073">
        <v>-13.836099999999901</v>
      </c>
      <c r="AF2073">
        <v>-4.6888103027229002</v>
      </c>
      <c r="AG2073">
        <v>-1.1301364501036</v>
      </c>
      <c r="AH2073">
        <v>13.225078330184299</v>
      </c>
      <c r="AI2073">
        <v>94.604768809125801</v>
      </c>
      <c r="AJ2073">
        <v>109.52141813509699</v>
      </c>
      <c r="AK2073">
        <v>14.077103654171299</v>
      </c>
      <c r="AL2073">
        <v>81.880417232654594</v>
      </c>
      <c r="AM2073">
        <v>105.785049904218</v>
      </c>
      <c r="AN2073">
        <v>1.0000000161696201</v>
      </c>
    </row>
    <row r="2074" spans="1:40" x14ac:dyDescent="0.25">
      <c r="A2074" t="str">
        <f>"20190303162545102"</f>
        <v>20190303162545102</v>
      </c>
      <c r="B2074" t="str">
        <f>"1551601545094727"</f>
        <v>1551601545094727</v>
      </c>
      <c r="C2074" t="s">
        <v>40</v>
      </c>
      <c r="D2074">
        <v>4.6788740000000004</v>
      </c>
      <c r="E2074">
        <v>0.48291469999999997</v>
      </c>
      <c r="F2074" t="s">
        <v>41</v>
      </c>
      <c r="G2074">
        <v>-491.21429999999998</v>
      </c>
      <c r="H2074" s="1">
        <v>-8.3083050000000005E-7</v>
      </c>
      <c r="I2074">
        <v>260.77269999999999</v>
      </c>
      <c r="J2074">
        <v>-488.3433</v>
      </c>
      <c r="K2074">
        <v>1.1301159999999999</v>
      </c>
      <c r="L2074">
        <v>273.59190000000001</v>
      </c>
      <c r="M2074">
        <v>-0.50476499999999902</v>
      </c>
      <c r="N2074">
        <v>-1.320842E-2</v>
      </c>
      <c r="O2074">
        <v>-0.86315569999999897</v>
      </c>
      <c r="P2074">
        <v>-0.25573430000000003</v>
      </c>
      <c r="Q2074">
        <v>0.135480399999999</v>
      </c>
      <c r="R2074">
        <v>-0.95720680000000002</v>
      </c>
      <c r="S2074">
        <v>-0.68594359999999999</v>
      </c>
      <c r="T2074">
        <v>-0.25866260000000002</v>
      </c>
      <c r="U2074">
        <v>-2.9880680000000002</v>
      </c>
      <c r="V2074">
        <v>-0.26574059999999999</v>
      </c>
      <c r="W2074">
        <v>0.14209630000000001</v>
      </c>
      <c r="X2074">
        <v>0.95351490000000005</v>
      </c>
      <c r="Y2074">
        <v>-0.29899569999999998</v>
      </c>
      <c r="Z2074">
        <v>5.3714339999999999E-2</v>
      </c>
      <c r="AA2074">
        <v>0.95274150000000002</v>
      </c>
      <c r="AB2074">
        <v>27</v>
      </c>
      <c r="AC2074">
        <v>-2.87099999999998</v>
      </c>
      <c r="AD2074">
        <v>-1.1301168308305001</v>
      </c>
      <c r="AE2074">
        <v>-12.8192</v>
      </c>
      <c r="AF2074">
        <v>-3.9635788664490201</v>
      </c>
      <c r="AG2074">
        <v>-1.1301168308305001</v>
      </c>
      <c r="AH2074">
        <v>12.4232975660015</v>
      </c>
      <c r="AI2074">
        <v>94.953088706304996</v>
      </c>
      <c r="AJ2074">
        <v>107.69497234223201</v>
      </c>
      <c r="AK2074">
        <v>13.089134573962699</v>
      </c>
      <c r="AL2074">
        <v>81.830832065808806</v>
      </c>
      <c r="AM2074">
        <v>105.572930522942</v>
      </c>
      <c r="AN2074">
        <v>1.0000000447420201</v>
      </c>
    </row>
    <row r="2075" spans="1:40" x14ac:dyDescent="0.25">
      <c r="A2075" t="str">
        <f>"20190303162545124"</f>
        <v>20190303162545124</v>
      </c>
      <c r="B2075" t="str">
        <f>"1551601545115224"</f>
        <v>1551601545115224</v>
      </c>
      <c r="C2075" t="s">
        <v>40</v>
      </c>
      <c r="D2075">
        <v>4.7094880000000003</v>
      </c>
      <c r="E2075">
        <v>0.48371219999999998</v>
      </c>
      <c r="F2075" t="s">
        <v>41</v>
      </c>
      <c r="G2075">
        <v>-491.25560000000002</v>
      </c>
      <c r="H2075" s="1">
        <v>-7.5908559999999897E-7</v>
      </c>
      <c r="I2075">
        <v>260.57979999999998</v>
      </c>
      <c r="J2075">
        <v>-488.46100000000001</v>
      </c>
      <c r="K2075">
        <v>1.1301000000000001</v>
      </c>
      <c r="L2075">
        <v>273.36470000000003</v>
      </c>
      <c r="M2075">
        <v>-0.49405529999999998</v>
      </c>
      <c r="N2075">
        <v>-1.32052E-2</v>
      </c>
      <c r="O2075">
        <v>-0.86933050000000001</v>
      </c>
      <c r="P2075">
        <v>-0.2466478</v>
      </c>
      <c r="Q2075">
        <v>0.134984299999999</v>
      </c>
      <c r="R2075">
        <v>-0.95965840000000002</v>
      </c>
      <c r="S2075">
        <v>-0.6696472</v>
      </c>
      <c r="T2075">
        <v>-0.25985380000000002</v>
      </c>
      <c r="U2075">
        <v>-2.991943</v>
      </c>
      <c r="V2075">
        <v>-0.26300420000000002</v>
      </c>
      <c r="W2075">
        <v>0.14167959999999999</v>
      </c>
      <c r="X2075">
        <v>0.95433520000000005</v>
      </c>
      <c r="Y2075">
        <v>-0.29241409999999901</v>
      </c>
      <c r="Z2075">
        <v>5.478587E-2</v>
      </c>
      <c r="AA2075">
        <v>0.95472120000000005</v>
      </c>
      <c r="AB2075">
        <v>27</v>
      </c>
      <c r="AC2075">
        <v>-2.7946</v>
      </c>
      <c r="AD2075">
        <v>-1.1301007590856</v>
      </c>
      <c r="AE2075">
        <v>-12.7849</v>
      </c>
      <c r="AF2075">
        <v>-3.8585806981259898</v>
      </c>
      <c r="AG2075">
        <v>-1.1301007590856</v>
      </c>
      <c r="AH2075">
        <v>12.4035819926701</v>
      </c>
      <c r="AI2075">
        <v>94.972123381131496</v>
      </c>
      <c r="AJ2075">
        <v>107.280186529687</v>
      </c>
      <c r="AK2075">
        <v>13.038965410588601</v>
      </c>
      <c r="AL2075">
        <v>81.854950837759205</v>
      </c>
      <c r="AM2075">
        <v>105.40761638264399</v>
      </c>
      <c r="AN2075">
        <v>0.99999999611641999</v>
      </c>
    </row>
    <row r="2076" spans="1:40" x14ac:dyDescent="0.25">
      <c r="A2076" t="str">
        <f>"20190303162545147"</f>
        <v>20190303162545147</v>
      </c>
      <c r="B2076" t="str">
        <f>"1551601545134744"</f>
        <v>1551601545134744</v>
      </c>
      <c r="C2076" t="s">
        <v>40</v>
      </c>
      <c r="D2076">
        <v>4.679233</v>
      </c>
      <c r="E2076">
        <v>0.4846357</v>
      </c>
      <c r="F2076" t="s">
        <v>41</v>
      </c>
      <c r="G2076">
        <v>-491.27050000000003</v>
      </c>
      <c r="H2076" s="1">
        <v>-6.7219840000000002E-7</v>
      </c>
      <c r="I2076">
        <v>260.36799999999999</v>
      </c>
      <c r="J2076">
        <v>-488.58249999999998</v>
      </c>
      <c r="K2076">
        <v>1.130064</v>
      </c>
      <c r="L2076">
        <v>273.12270000000001</v>
      </c>
      <c r="M2076">
        <v>-0.48267300000000002</v>
      </c>
      <c r="N2076">
        <v>-1.320064E-2</v>
      </c>
      <c r="O2076">
        <v>-0.87570139999999996</v>
      </c>
      <c r="P2076">
        <v>-0.2373951</v>
      </c>
      <c r="Q2076">
        <v>0.13271369999999999</v>
      </c>
      <c r="R2076">
        <v>-0.96230519999999997</v>
      </c>
      <c r="S2076">
        <v>-0.64770509999999903</v>
      </c>
      <c r="T2076">
        <v>-0.26053880000000001</v>
      </c>
      <c r="U2076">
        <v>-2.9963069999999998</v>
      </c>
      <c r="V2076">
        <v>-0.25983129999999999</v>
      </c>
      <c r="W2076">
        <v>0.13950650000000001</v>
      </c>
      <c r="X2076">
        <v>0.95552380000000003</v>
      </c>
      <c r="Y2076">
        <v>-0.28691549999999999</v>
      </c>
      <c r="Z2076">
        <v>5.5736430000000003E-2</v>
      </c>
      <c r="AA2076">
        <v>0.95633310000000005</v>
      </c>
      <c r="AB2076">
        <v>27</v>
      </c>
      <c r="AC2076">
        <v>-2.6880000000000401</v>
      </c>
      <c r="AD2076">
        <v>-1.1300646721984</v>
      </c>
      <c r="AE2076">
        <v>-12.7547</v>
      </c>
      <c r="AF2076">
        <v>-3.7744254690698602</v>
      </c>
      <c r="AG2076">
        <v>-1.1300646721984</v>
      </c>
      <c r="AH2076">
        <v>12.374806888987299</v>
      </c>
      <c r="AI2076">
        <v>94.991953477700207</v>
      </c>
      <c r="AJ2076">
        <v>106.96216916596801</v>
      </c>
      <c r="AK2076">
        <v>12.9868848968735</v>
      </c>
      <c r="AL2076">
        <v>81.980709860643501</v>
      </c>
      <c r="AM2076">
        <v>105.212352871468</v>
      </c>
      <c r="AN2076">
        <v>1.0000000501841799</v>
      </c>
    </row>
    <row r="2077" spans="1:40" x14ac:dyDescent="0.25">
      <c r="A2077" t="str">
        <f>"20190303162545169"</f>
        <v>20190303162545169</v>
      </c>
      <c r="B2077" t="str">
        <f>"1551601545165000"</f>
        <v>1551601545165000</v>
      </c>
      <c r="C2077" t="s">
        <v>40</v>
      </c>
      <c r="D2077">
        <v>4.9797979999999997</v>
      </c>
      <c r="E2077">
        <v>0.49581350000000002</v>
      </c>
      <c r="F2077" t="s">
        <v>41</v>
      </c>
      <c r="G2077">
        <v>-491.27100000000002</v>
      </c>
      <c r="H2077" s="1">
        <v>-6.2135169999999896E-7</v>
      </c>
      <c r="I2077">
        <v>260.24919999999997</v>
      </c>
      <c r="J2077">
        <v>-488.6986</v>
      </c>
      <c r="K2077">
        <v>1.130017</v>
      </c>
      <c r="L2077">
        <v>272.88400000000001</v>
      </c>
      <c r="M2077">
        <v>-0.47147939999999999</v>
      </c>
      <c r="N2077">
        <v>-1.319436E-2</v>
      </c>
      <c r="O2077">
        <v>-0.88177850000000002</v>
      </c>
      <c r="P2077">
        <v>-0.22970009999999999</v>
      </c>
      <c r="Q2077">
        <v>0.12958419999999901</v>
      </c>
      <c r="R2077">
        <v>-0.96459620000000001</v>
      </c>
      <c r="S2077">
        <v>-0.62637330000000002</v>
      </c>
      <c r="T2077">
        <v>-0.26328249999999997</v>
      </c>
      <c r="U2077">
        <v>-2.9992679999999998</v>
      </c>
      <c r="V2077">
        <v>-0.25540099999999999</v>
      </c>
      <c r="W2077">
        <v>0.13651269999999999</v>
      </c>
      <c r="X2077">
        <v>0.95714920000000003</v>
      </c>
      <c r="Y2077">
        <v>-0.28143170000000001</v>
      </c>
      <c r="Z2077">
        <v>5.7228649999999999E-2</v>
      </c>
      <c r="AA2077">
        <v>0.95787319999999998</v>
      </c>
      <c r="AB2077">
        <v>27</v>
      </c>
      <c r="AC2077">
        <v>-2.5723999999999498</v>
      </c>
      <c r="AD2077">
        <v>-1.1300176213516999</v>
      </c>
      <c r="AE2077">
        <v>-12.6348</v>
      </c>
      <c r="AF2077">
        <v>-3.6609632400902501</v>
      </c>
      <c r="AG2077">
        <v>-1.1300176213516999</v>
      </c>
      <c r="AH2077">
        <v>12.2608321828182</v>
      </c>
      <c r="AI2077">
        <v>95.046817703500295</v>
      </c>
      <c r="AJ2077">
        <v>106.625104771964</v>
      </c>
      <c r="AK2077">
        <v>12.8455283069669</v>
      </c>
      <c r="AL2077">
        <v>82.153898815560495</v>
      </c>
      <c r="AM2077">
        <v>104.940426481495</v>
      </c>
      <c r="AN2077">
        <v>0.99999998956146496</v>
      </c>
    </row>
    <row r="2078" spans="1:40" x14ac:dyDescent="0.25">
      <c r="A2078" t="str">
        <f>"20190303162545192"</f>
        <v>20190303162545192</v>
      </c>
      <c r="B2078" t="str">
        <f>"1551601545185496"</f>
        <v>1551601545185496</v>
      </c>
      <c r="C2078" t="s">
        <v>40</v>
      </c>
      <c r="D2078">
        <v>4.8946370000000003</v>
      </c>
      <c r="E2078">
        <v>0.53685509999999903</v>
      </c>
      <c r="F2078" t="s">
        <v>41</v>
      </c>
      <c r="G2078">
        <v>-491.64049999999997</v>
      </c>
      <c r="H2078" s="1">
        <v>-6.7847749999999996E-7</v>
      </c>
      <c r="I2078">
        <v>260.15320000000003</v>
      </c>
      <c r="J2078">
        <v>-488.81540000000001</v>
      </c>
      <c r="K2078">
        <v>1.129958</v>
      </c>
      <c r="L2078">
        <v>272.63630000000001</v>
      </c>
      <c r="M2078">
        <v>-0.45992810000000001</v>
      </c>
      <c r="N2078">
        <v>-1.318477E-2</v>
      </c>
      <c r="O2078">
        <v>-0.887858499999999</v>
      </c>
      <c r="P2078">
        <v>-0.2220886</v>
      </c>
      <c r="Q2078">
        <v>0.1273118</v>
      </c>
      <c r="R2078">
        <v>-0.96667910000000001</v>
      </c>
      <c r="S2078">
        <v>-0.68899540000000004</v>
      </c>
      <c r="T2078">
        <v>-0.26465429999999901</v>
      </c>
      <c r="U2078">
        <v>-2.981598</v>
      </c>
      <c r="V2078">
        <v>-0.2505116</v>
      </c>
      <c r="W2078">
        <v>0.1343924</v>
      </c>
      <c r="X2078">
        <v>0.95874009999999998</v>
      </c>
      <c r="Y2078">
        <v>-0.24848329999999999</v>
      </c>
      <c r="Z2078">
        <v>5.9088790000000002E-2</v>
      </c>
      <c r="AA2078">
        <v>0.96683220000000003</v>
      </c>
      <c r="AB2078">
        <v>27</v>
      </c>
      <c r="AC2078">
        <v>-2.82509999999996</v>
      </c>
      <c r="AD2078">
        <v>-1.1299586784775</v>
      </c>
      <c r="AE2078">
        <v>-12.483099999999901</v>
      </c>
      <c r="AF2078">
        <v>-3.2083126559813602</v>
      </c>
      <c r="AG2078">
        <v>-1.1299586784775</v>
      </c>
      <c r="AH2078">
        <v>12.287865606049101</v>
      </c>
      <c r="AI2078">
        <v>95.084476110934006</v>
      </c>
      <c r="AJ2078">
        <v>104.633020854067</v>
      </c>
      <c r="AK2078">
        <v>12.7499693280385</v>
      </c>
      <c r="AL2078">
        <v>82.276513035266902</v>
      </c>
      <c r="AM2078">
        <v>104.643560147505</v>
      </c>
      <c r="AN2078">
        <v>0.99999997913016403</v>
      </c>
    </row>
    <row r="2079" spans="1:40" x14ac:dyDescent="0.25">
      <c r="A2079" t="str">
        <f>"20190303162545214"</f>
        <v>20190303162545214</v>
      </c>
      <c r="B2079" t="str">
        <f>"1551601545205016"</f>
        <v>1551601545205016</v>
      </c>
      <c r="C2079" t="s">
        <v>40</v>
      </c>
      <c r="D2079">
        <v>4.7259209999999996</v>
      </c>
      <c r="E2079">
        <v>0.54659069999999899</v>
      </c>
      <c r="F2079" t="s">
        <v>41</v>
      </c>
      <c r="G2079">
        <v>-490.98200000000003</v>
      </c>
      <c r="H2079" s="1">
        <v>-3.1118800000000001E-6</v>
      </c>
      <c r="I2079">
        <v>266.23390000000001</v>
      </c>
      <c r="J2079">
        <v>-488.92239999999998</v>
      </c>
      <c r="K2079">
        <v>1.129899</v>
      </c>
      <c r="L2079">
        <v>272.40179999999998</v>
      </c>
      <c r="M2079">
        <v>-0.44906449999999998</v>
      </c>
      <c r="N2079">
        <v>-1.3172669999999999E-2</v>
      </c>
      <c r="O2079">
        <v>-0.89340219999999904</v>
      </c>
      <c r="P2079">
        <v>-0.2141131</v>
      </c>
      <c r="Q2079">
        <v>0.127246</v>
      </c>
      <c r="R2079">
        <v>-0.96848540000000005</v>
      </c>
      <c r="S2079">
        <v>-0.99594119999999997</v>
      </c>
      <c r="T2079">
        <v>-0.51942310000000003</v>
      </c>
      <c r="U2079">
        <v>-2.9430540000000001</v>
      </c>
      <c r="V2079">
        <v>-0.24669360000000001</v>
      </c>
      <c r="W2079">
        <v>0.13445099999999999</v>
      </c>
      <c r="X2079">
        <v>0.95972139999999995</v>
      </c>
      <c r="Y2079">
        <v>-0.14185610000000001</v>
      </c>
      <c r="Z2079">
        <v>0.1301649</v>
      </c>
      <c r="AA2079">
        <v>0.98129189999999999</v>
      </c>
      <c r="AB2079">
        <v>27</v>
      </c>
      <c r="AC2079">
        <v>-2.0595999999999801</v>
      </c>
      <c r="AD2079">
        <v>-1.1299021118799999</v>
      </c>
      <c r="AE2079">
        <v>-6.1678999999999702</v>
      </c>
      <c r="AF2079">
        <v>-0.90256399830327105</v>
      </c>
      <c r="AG2079">
        <v>-1.1299021118799999</v>
      </c>
      <c r="AH2079">
        <v>6.2472486064722998</v>
      </c>
      <c r="AI2079">
        <v>100.14876862413399</v>
      </c>
      <c r="AJ2079">
        <v>98.220859085334993</v>
      </c>
      <c r="AK2079">
        <v>6.4124422574034998</v>
      </c>
      <c r="AL2079">
        <v>82.273124794100397</v>
      </c>
      <c r="AM2079">
        <v>104.41562665795099</v>
      </c>
      <c r="AN2079">
        <v>0.99999998464995898</v>
      </c>
    </row>
    <row r="2080" spans="1:40" x14ac:dyDescent="0.25">
      <c r="A2080" t="str">
        <f>"20190303162545236"</f>
        <v>20190303162545236</v>
      </c>
      <c r="B2080" t="str">
        <f>"1551601545225512"</f>
        <v>1551601545225512</v>
      </c>
      <c r="C2080" t="s">
        <v>40</v>
      </c>
      <c r="D2080">
        <v>4.8297179999999997</v>
      </c>
      <c r="E2080">
        <v>0.54347999999999996</v>
      </c>
      <c r="F2080" t="s">
        <v>42</v>
      </c>
      <c r="G2080">
        <v>-489.17180000000002</v>
      </c>
      <c r="H2080">
        <v>0.96205010000000002</v>
      </c>
      <c r="I2080">
        <v>271.70359999999999</v>
      </c>
      <c r="J2080">
        <v>-489.02359999999999</v>
      </c>
      <c r="K2080">
        <v>1.129823</v>
      </c>
      <c r="L2080">
        <v>272.1728</v>
      </c>
      <c r="M2080">
        <v>-0.43854530000000003</v>
      </c>
      <c r="N2080">
        <v>-1.315829E-2</v>
      </c>
      <c r="O2080">
        <v>-0.89861290000000005</v>
      </c>
      <c r="P2080">
        <v>-0.20626320000000001</v>
      </c>
      <c r="Q2080">
        <v>0.1265445</v>
      </c>
      <c r="R2080">
        <v>-0.97027960000000002</v>
      </c>
      <c r="S2080">
        <v>-1.0554809999999999</v>
      </c>
      <c r="T2080">
        <v>-0.71314500000000003</v>
      </c>
      <c r="U2080">
        <v>-2.9579770000000001</v>
      </c>
      <c r="V2080">
        <v>-0.24319060000000001</v>
      </c>
      <c r="W2080">
        <v>0.13387070000000001</v>
      </c>
      <c r="X2080">
        <v>0.96069610000000005</v>
      </c>
      <c r="Y2080">
        <v>-0.1170786</v>
      </c>
      <c r="Z2080">
        <v>0.1818013</v>
      </c>
      <c r="AA2080">
        <v>0.9763406</v>
      </c>
      <c r="AB2080">
        <v>27</v>
      </c>
      <c r="AC2080">
        <v>-0.148200000000031</v>
      </c>
      <c r="AD2080">
        <v>-0.1677729</v>
      </c>
      <c r="AE2080">
        <v>-0.46920000000000001</v>
      </c>
      <c r="AF2080">
        <v>-6.5036234463135098E-2</v>
      </c>
      <c r="AG2080">
        <v>-0.1677729</v>
      </c>
      <c r="AH2080">
        <v>0.43597726374177498</v>
      </c>
      <c r="AI2080">
        <v>110.83726549253301</v>
      </c>
      <c r="AJ2080">
        <v>98.484444526031396</v>
      </c>
      <c r="AK2080">
        <v>0.471649904343592</v>
      </c>
      <c r="AL2080">
        <v>82.306677091407906</v>
      </c>
      <c r="AM2080">
        <v>104.205443243902</v>
      </c>
      <c r="AN2080">
        <v>1.0000000144010299</v>
      </c>
    </row>
    <row r="2081" spans="1:40" x14ac:dyDescent="0.25">
      <c r="A2081" t="str">
        <f>"20190303162545259"</f>
        <v>20190303162545259</v>
      </c>
      <c r="B2081" t="str">
        <f>"1551601545254792"</f>
        <v>1551601545254792</v>
      </c>
      <c r="C2081" t="s">
        <v>40</v>
      </c>
      <c r="D2081">
        <v>4.7345600000000001</v>
      </c>
      <c r="E2081">
        <v>0.5417592</v>
      </c>
      <c r="F2081" t="s">
        <v>42</v>
      </c>
      <c r="G2081">
        <v>-489.2527</v>
      </c>
      <c r="H2081">
        <v>0.93588450000000001</v>
      </c>
      <c r="I2081">
        <v>271.49619999999999</v>
      </c>
      <c r="J2081">
        <v>-489.13299999999998</v>
      </c>
      <c r="K2081">
        <v>1.129726</v>
      </c>
      <c r="L2081">
        <v>271.91770000000002</v>
      </c>
      <c r="M2081">
        <v>-0.42694090000000001</v>
      </c>
      <c r="N2081">
        <v>-1.3139410000000001E-2</v>
      </c>
      <c r="O2081">
        <v>-0.90418419999999999</v>
      </c>
      <c r="P2081">
        <v>-0.19758300000000001</v>
      </c>
      <c r="Q2081">
        <v>0.12576129999999999</v>
      </c>
      <c r="R2081">
        <v>-0.97218570000000004</v>
      </c>
      <c r="S2081">
        <v>-1.0114749999999999</v>
      </c>
      <c r="T2081">
        <v>-0.85747969999999896</v>
      </c>
      <c r="U2081">
        <v>-2.9886780000000002</v>
      </c>
      <c r="V2081">
        <v>-0.23939569999999999</v>
      </c>
      <c r="W2081">
        <v>0.13322329999999999</v>
      </c>
      <c r="X2081">
        <v>0.9617386</v>
      </c>
      <c r="Y2081">
        <v>-0.12292160000000001</v>
      </c>
      <c r="Z2081">
        <v>0.21903719999999999</v>
      </c>
      <c r="AA2081">
        <v>0.96794270000000004</v>
      </c>
      <c r="AB2081">
        <v>27</v>
      </c>
      <c r="AC2081">
        <v>-0.119699999999966</v>
      </c>
      <c r="AD2081">
        <v>-0.1938415</v>
      </c>
      <c r="AE2081">
        <v>-0.42150000000003701</v>
      </c>
      <c r="AF2081">
        <v>-5.9990209644433801E-2</v>
      </c>
      <c r="AG2081">
        <v>-0.1938415</v>
      </c>
      <c r="AH2081">
        <v>0.36150533510196498</v>
      </c>
      <c r="AI2081">
        <v>117.877610533346</v>
      </c>
      <c r="AJ2081">
        <v>99.422118477036904</v>
      </c>
      <c r="AK2081">
        <v>0.41455935604279598</v>
      </c>
      <c r="AL2081">
        <v>82.344105086945802</v>
      </c>
      <c r="AM2081">
        <v>103.977973933358</v>
      </c>
      <c r="AN2081">
        <v>0.99999994178566798</v>
      </c>
    </row>
    <row r="2082" spans="1:40" x14ac:dyDescent="0.25">
      <c r="A2082" t="str">
        <f>"20190303162545282"</f>
        <v>20190303162545282</v>
      </c>
      <c r="B2082" t="str">
        <f>"1551601545275289"</f>
        <v>1551601545275289</v>
      </c>
      <c r="C2082" t="s">
        <v>40</v>
      </c>
      <c r="D2082">
        <v>4.769234</v>
      </c>
      <c r="E2082">
        <v>0.54174129999999998</v>
      </c>
      <c r="F2082" t="s">
        <v>42</v>
      </c>
      <c r="G2082">
        <v>-489.40410000000003</v>
      </c>
      <c r="H2082">
        <v>0.8640428</v>
      </c>
      <c r="I2082">
        <v>271.07839999999999</v>
      </c>
      <c r="J2082">
        <v>-489.2371</v>
      </c>
      <c r="K2082">
        <v>1.1296120000000001</v>
      </c>
      <c r="L2082">
        <v>271.66559999999998</v>
      </c>
      <c r="M2082">
        <v>-0.41562339999999998</v>
      </c>
      <c r="N2082">
        <v>-1.3118060000000001E-2</v>
      </c>
      <c r="O2082">
        <v>-0.90944219999999998</v>
      </c>
      <c r="P2082">
        <v>-0.18825910000000001</v>
      </c>
      <c r="Q2082">
        <v>0.1257308</v>
      </c>
      <c r="R2082">
        <v>-0.97403830000000002</v>
      </c>
      <c r="S2082">
        <v>-0.9721069</v>
      </c>
      <c r="T2082">
        <v>-0.95446209999999998</v>
      </c>
      <c r="U2082">
        <v>-3.011749</v>
      </c>
      <c r="V2082">
        <v>-0.23656859999999999</v>
      </c>
      <c r="W2082">
        <v>0.13330320000000001</v>
      </c>
      <c r="X2082">
        <v>0.96242689999999997</v>
      </c>
      <c r="Y2082">
        <v>-0.12612519999999999</v>
      </c>
      <c r="Z2082">
        <v>0.24403569999999999</v>
      </c>
      <c r="AA2082">
        <v>0.96152950000000004</v>
      </c>
      <c r="AB2082">
        <v>27</v>
      </c>
      <c r="AC2082">
        <v>-0.16700000000003001</v>
      </c>
      <c r="AD2082">
        <v>-0.26556920000000001</v>
      </c>
      <c r="AE2082">
        <v>-0.58719999999999495</v>
      </c>
      <c r="AF2082">
        <v>-7.7516257867028496E-2</v>
      </c>
      <c r="AG2082">
        <v>-0.26556920000000001</v>
      </c>
      <c r="AH2082">
        <v>0.50745634926304595</v>
      </c>
      <c r="AI2082">
        <v>117.35402471798599</v>
      </c>
      <c r="AJ2082">
        <v>98.685053150271003</v>
      </c>
      <c r="AK2082">
        <v>0.577968612149246</v>
      </c>
      <c r="AL2082">
        <v>82.339486339321297</v>
      </c>
      <c r="AM2082">
        <v>103.809762140396</v>
      </c>
      <c r="AN2082">
        <v>0.99999999173990495</v>
      </c>
    </row>
    <row r="2083" spans="1:40" x14ac:dyDescent="0.25">
      <c r="A2083" t="str">
        <f>"20190303162545304"</f>
        <v>20190303162545304</v>
      </c>
      <c r="B2083" t="str">
        <f>"1551601545295464"</f>
        <v>1551601545295464</v>
      </c>
      <c r="C2083" t="s">
        <v>40</v>
      </c>
      <c r="D2083">
        <v>4.7810360000000003</v>
      </c>
      <c r="E2083">
        <v>0.541973699999999</v>
      </c>
      <c r="F2083" t="s">
        <v>42</v>
      </c>
      <c r="G2083">
        <v>-489.488</v>
      </c>
      <c r="H2083">
        <v>0.86671480000000001</v>
      </c>
      <c r="I2083">
        <v>270.85719999999998</v>
      </c>
      <c r="J2083">
        <v>-489.33370000000002</v>
      </c>
      <c r="K2083">
        <v>1.1295170000000001</v>
      </c>
      <c r="L2083">
        <v>271.42399999999998</v>
      </c>
      <c r="M2083">
        <v>-0.4048892</v>
      </c>
      <c r="N2083">
        <v>-1.3097279999999999E-2</v>
      </c>
      <c r="O2083">
        <v>-0.91427219999999998</v>
      </c>
      <c r="P2083">
        <v>-0.17968619999999999</v>
      </c>
      <c r="Q2083">
        <v>0.1263425</v>
      </c>
      <c r="R2083">
        <v>-0.97557720000000003</v>
      </c>
      <c r="S2083">
        <v>-0.93887330000000002</v>
      </c>
      <c r="T2083">
        <v>-0.98489369999999998</v>
      </c>
      <c r="U2083">
        <v>-3.0256349999999999</v>
      </c>
      <c r="V2083">
        <v>-0.23364660000000001</v>
      </c>
      <c r="W2083">
        <v>0.1340201</v>
      </c>
      <c r="X2083">
        <v>0.96304089999999998</v>
      </c>
      <c r="Y2083">
        <v>-0.1260059</v>
      </c>
      <c r="Z2083">
        <v>0.25288569999999999</v>
      </c>
      <c r="AA2083">
        <v>0.95925559999999999</v>
      </c>
      <c r="AB2083">
        <v>27</v>
      </c>
      <c r="AC2083">
        <v>-0.15430000000003399</v>
      </c>
      <c r="AD2083">
        <v>-0.26280219999999999</v>
      </c>
      <c r="AE2083">
        <v>-0.56680000000005704</v>
      </c>
      <c r="AF2083">
        <v>-7.3679754028812897E-2</v>
      </c>
      <c r="AG2083">
        <v>-0.26280219999999999</v>
      </c>
      <c r="AH2083">
        <v>0.48388521524423</v>
      </c>
      <c r="AI2083">
        <v>118.232236697814</v>
      </c>
      <c r="AJ2083">
        <v>98.657754955070303</v>
      </c>
      <c r="AK2083">
        <v>0.55555252137897904</v>
      </c>
      <c r="AL2083">
        <v>82.298038749483695</v>
      </c>
      <c r="AM2083">
        <v>103.63722924014699</v>
      </c>
      <c r="AN2083">
        <v>0.99999994798418801</v>
      </c>
    </row>
    <row r="2084" spans="1:40" x14ac:dyDescent="0.25">
      <c r="A2084" t="str">
        <f>"20190303162545324"</f>
        <v>20190303162545324</v>
      </c>
      <c r="B2084" t="str">
        <f>"1551601545314983"</f>
        <v>1551601545314983</v>
      </c>
      <c r="C2084" t="s">
        <v>40</v>
      </c>
      <c r="D2084">
        <v>4.7959709999999998</v>
      </c>
      <c r="E2084">
        <v>0.54247829999999997</v>
      </c>
      <c r="F2084" t="s">
        <v>42</v>
      </c>
      <c r="G2084">
        <v>-489.57100000000003</v>
      </c>
      <c r="H2084">
        <v>0.86977280000000001</v>
      </c>
      <c r="I2084">
        <v>270.63549999999998</v>
      </c>
      <c r="J2084">
        <v>-489.42380000000003</v>
      </c>
      <c r="K2084">
        <v>1.129434</v>
      </c>
      <c r="L2084">
        <v>271.19130000000001</v>
      </c>
      <c r="M2084">
        <v>-0.39465790000000001</v>
      </c>
      <c r="N2084">
        <v>-1.3077739999999999E-2</v>
      </c>
      <c r="O2084">
        <v>-0.91873530000000003</v>
      </c>
      <c r="P2084">
        <v>-0.1712784</v>
      </c>
      <c r="Q2084">
        <v>0.1257305</v>
      </c>
      <c r="R2084">
        <v>-0.97716740000000002</v>
      </c>
      <c r="S2084">
        <v>-0.91278079999999995</v>
      </c>
      <c r="T2084">
        <v>-1.0015620000000001</v>
      </c>
      <c r="U2084">
        <v>-3.0366819999999999</v>
      </c>
      <c r="V2084">
        <v>-0.23117370000000001</v>
      </c>
      <c r="W2084">
        <v>0.13350020000000001</v>
      </c>
      <c r="X2084">
        <v>0.9637097</v>
      </c>
      <c r="Y2084">
        <v>-0.1238567</v>
      </c>
      <c r="Z2084">
        <v>0.25838070000000002</v>
      </c>
      <c r="AA2084">
        <v>0.95807050000000005</v>
      </c>
      <c r="AB2084">
        <v>27</v>
      </c>
      <c r="AC2084">
        <v>-0.14719999999994099</v>
      </c>
      <c r="AD2084">
        <v>-0.25966119999999898</v>
      </c>
      <c r="AE2084">
        <v>-0.55580000000003305</v>
      </c>
      <c r="AF2084">
        <v>-6.98698532930834E-2</v>
      </c>
      <c r="AG2084">
        <v>-0.25966119999999898</v>
      </c>
      <c r="AH2084">
        <v>0.47242211100965398</v>
      </c>
      <c r="AI2084">
        <v>118.53397366445699</v>
      </c>
      <c r="AJ2084">
        <v>98.412892609207503</v>
      </c>
      <c r="AK2084">
        <v>0.543588434530624</v>
      </c>
      <c r="AL2084">
        <v>82.328097219285894</v>
      </c>
      <c r="AM2084">
        <v>103.489176816305</v>
      </c>
      <c r="AN2084">
        <v>0.99999998442290905</v>
      </c>
    </row>
    <row r="2085" spans="1:40" x14ac:dyDescent="0.25">
      <c r="A2085" t="str">
        <f>"20190303162545353"</f>
        <v>20190303162545353</v>
      </c>
      <c r="B2085" t="str">
        <f>"1551601545345240"</f>
        <v>1551601545345240</v>
      </c>
      <c r="C2085" t="s">
        <v>40</v>
      </c>
      <c r="D2085">
        <v>4.8055859999999999</v>
      </c>
      <c r="E2085">
        <v>0.54307499999999997</v>
      </c>
      <c r="F2085" t="s">
        <v>42</v>
      </c>
      <c r="G2085">
        <v>-489.6515</v>
      </c>
      <c r="H2085">
        <v>0.87048700000000001</v>
      </c>
      <c r="I2085">
        <v>270.41289999999998</v>
      </c>
      <c r="J2085">
        <v>-489.53719999999998</v>
      </c>
      <c r="K2085">
        <v>1.129308</v>
      </c>
      <c r="L2085">
        <v>270.88780000000003</v>
      </c>
      <c r="M2085">
        <v>-0.38148609999999999</v>
      </c>
      <c r="N2085">
        <v>-1.305097E-2</v>
      </c>
      <c r="O2085">
        <v>-0.92428239999999995</v>
      </c>
      <c r="P2085">
        <v>-0.1609864</v>
      </c>
      <c r="Q2085">
        <v>0.12510180000000001</v>
      </c>
      <c r="R2085">
        <v>-0.97899590000000003</v>
      </c>
      <c r="S2085">
        <v>-0.88931269999999996</v>
      </c>
      <c r="T2085">
        <v>-1.0140169999999999</v>
      </c>
      <c r="U2085">
        <v>-3.0446780000000002</v>
      </c>
      <c r="V2085">
        <v>-0.22751170000000001</v>
      </c>
      <c r="W2085">
        <v>0.13299929999999999</v>
      </c>
      <c r="X2085">
        <v>0.96465000000000001</v>
      </c>
      <c r="Y2085">
        <v>-0.117525</v>
      </c>
      <c r="Z2085">
        <v>0.26362819999999998</v>
      </c>
      <c r="AA2085">
        <v>0.95743829999999996</v>
      </c>
      <c r="AB2085">
        <v>27</v>
      </c>
      <c r="AC2085">
        <v>-0.114300000000014</v>
      </c>
      <c r="AD2085">
        <v>-0.25882099999999902</v>
      </c>
      <c r="AE2085">
        <v>-0.47490000000004701</v>
      </c>
      <c r="AF2085">
        <v>-5.8971686987404001E-2</v>
      </c>
      <c r="AG2085">
        <v>-0.25882099999999902</v>
      </c>
      <c r="AH2085">
        <v>0.37679649026374401</v>
      </c>
      <c r="AI2085">
        <v>124.162282526697</v>
      </c>
      <c r="AJ2085">
        <v>98.895091847095301</v>
      </c>
      <c r="AK2085">
        <v>0.46091383683093701</v>
      </c>
      <c r="AL2085">
        <v>82.357055064423193</v>
      </c>
      <c r="AM2085">
        <v>103.270638674485</v>
      </c>
      <c r="AN2085">
        <v>1.0000000049686899</v>
      </c>
    </row>
    <row r="2086" spans="1:40" x14ac:dyDescent="0.25">
      <c r="A2086" t="str">
        <f>"20190303162545374"</f>
        <v>20190303162545374</v>
      </c>
      <c r="B2086" t="str">
        <f>"1551601545364760"</f>
        <v>1551601545364760</v>
      </c>
      <c r="C2086" t="s">
        <v>40</v>
      </c>
      <c r="D2086">
        <v>4.8686389999999999</v>
      </c>
      <c r="E2086">
        <v>0.54351539999999998</v>
      </c>
      <c r="F2086" t="s">
        <v>42</v>
      </c>
      <c r="G2086">
        <v>-489.73599999999999</v>
      </c>
      <c r="H2086">
        <v>0.89235830000000005</v>
      </c>
      <c r="I2086">
        <v>270.18209999999999</v>
      </c>
      <c r="J2086">
        <v>-489.6241</v>
      </c>
      <c r="K2086">
        <v>1.1292120000000001</v>
      </c>
      <c r="L2086">
        <v>270.64640000000003</v>
      </c>
      <c r="M2086">
        <v>-0.37114829999999999</v>
      </c>
      <c r="N2086">
        <v>-1.302795E-2</v>
      </c>
      <c r="O2086">
        <v>-0.92848240000000004</v>
      </c>
      <c r="P2086">
        <v>-0.15487970000000001</v>
      </c>
      <c r="Q2086">
        <v>0.1245289</v>
      </c>
      <c r="R2086">
        <v>-0.98005370000000003</v>
      </c>
      <c r="S2086">
        <v>-0.85934449999999996</v>
      </c>
      <c r="T2086">
        <v>-1.0269629999999901</v>
      </c>
      <c r="U2086">
        <v>-3.0542910000000001</v>
      </c>
      <c r="V2086">
        <v>-0.22273480000000001</v>
      </c>
      <c r="W2086">
        <v>0.13257060000000001</v>
      </c>
      <c r="X2086">
        <v>0.96582310000000005</v>
      </c>
      <c r="Y2086">
        <v>-0.1162511</v>
      </c>
      <c r="Z2086">
        <v>0.26825919999999998</v>
      </c>
      <c r="AA2086">
        <v>0.95630680000000001</v>
      </c>
      <c r="AB2086">
        <v>27</v>
      </c>
      <c r="AC2086">
        <v>-0.11189999999999101</v>
      </c>
      <c r="AD2086">
        <v>-0.2368537</v>
      </c>
      <c r="AE2086">
        <v>-0.46430000000003702</v>
      </c>
      <c r="AF2086">
        <v>-5.4924279201022802E-2</v>
      </c>
      <c r="AG2086">
        <v>-0.2368537</v>
      </c>
      <c r="AH2086">
        <v>0.37936260315319598</v>
      </c>
      <c r="AI2086">
        <v>121.712084501036</v>
      </c>
      <c r="AJ2086">
        <v>98.238065229446406</v>
      </c>
      <c r="AK2086">
        <v>0.45059109658382202</v>
      </c>
      <c r="AL2086">
        <v>82.381837236022093</v>
      </c>
      <c r="AM2086">
        <v>102.986311357064</v>
      </c>
      <c r="AN2086">
        <v>1.0000000078044999</v>
      </c>
    </row>
    <row r="2087" spans="1:40" x14ac:dyDescent="0.25">
      <c r="A2087" t="str">
        <f>"20190303162545395"</f>
        <v>20190303162545395</v>
      </c>
      <c r="B2087" t="str">
        <f>"1551601545384842"</f>
        <v>1551601545384842</v>
      </c>
      <c r="C2087" t="s">
        <v>40</v>
      </c>
      <c r="D2087">
        <v>4.8354249999999999</v>
      </c>
      <c r="E2087">
        <v>0.54383419999999905</v>
      </c>
      <c r="F2087" t="s">
        <v>42</v>
      </c>
      <c r="G2087">
        <v>-489.81369999999998</v>
      </c>
      <c r="H2087">
        <v>0.8966423</v>
      </c>
      <c r="I2087">
        <v>269.95679999999999</v>
      </c>
      <c r="J2087">
        <v>-489.70639999999997</v>
      </c>
      <c r="K2087">
        <v>1.1291199999999999</v>
      </c>
      <c r="L2087">
        <v>270.40989999999999</v>
      </c>
      <c r="M2087">
        <v>-0.36114839999999998</v>
      </c>
      <c r="N2087">
        <v>-1.3004409999999999E-2</v>
      </c>
      <c r="O2087">
        <v>-0.93241779999999996</v>
      </c>
      <c r="P2087">
        <v>-0.15041779999999999</v>
      </c>
      <c r="Q2087">
        <v>0.125863</v>
      </c>
      <c r="R2087">
        <v>-0.98057780000000005</v>
      </c>
      <c r="S2087">
        <v>-0.84045409999999898</v>
      </c>
      <c r="T2087">
        <v>-1.033339</v>
      </c>
      <c r="U2087">
        <v>-3.0595400000000001</v>
      </c>
      <c r="V2087">
        <v>-0.2166698</v>
      </c>
      <c r="W2087">
        <v>0.13407349999999901</v>
      </c>
      <c r="X2087">
        <v>0.96699460000000004</v>
      </c>
      <c r="Y2087">
        <v>-0.1116969</v>
      </c>
      <c r="Z2087">
        <v>0.27145760000000002</v>
      </c>
      <c r="AA2087">
        <v>0.95594699999999999</v>
      </c>
      <c r="AB2087">
        <v>27</v>
      </c>
      <c r="AC2087">
        <v>-0.107300000000009</v>
      </c>
      <c r="AD2087">
        <v>-0.23247770000000001</v>
      </c>
      <c r="AE2087">
        <v>-0.453100000000006</v>
      </c>
      <c r="AF2087">
        <v>-5.0904177570394803E-2</v>
      </c>
      <c r="AG2087">
        <v>-0.23247770000000001</v>
      </c>
      <c r="AH2087">
        <v>0.36922930732255399</v>
      </c>
      <c r="AI2087">
        <v>121.95302210251999</v>
      </c>
      <c r="AJ2087">
        <v>97.849658141387394</v>
      </c>
      <c r="AK2087">
        <v>0.439280545525637</v>
      </c>
      <c r="AL2087">
        <v>82.294951934155094</v>
      </c>
      <c r="AM2087">
        <v>102.629391859061</v>
      </c>
      <c r="AN2087">
        <v>1.0000000310317201</v>
      </c>
    </row>
    <row r="2088" spans="1:40" x14ac:dyDescent="0.25">
      <c r="A2088" t="str">
        <f>"20190303162545415"</f>
        <v>20190303162545415</v>
      </c>
      <c r="B2088" t="str">
        <f>"1551601545405336"</f>
        <v>1551601545405336</v>
      </c>
      <c r="C2088" t="s">
        <v>40</v>
      </c>
      <c r="D2088">
        <v>4.8230570000000004</v>
      </c>
      <c r="E2088">
        <v>0.54418809999999995</v>
      </c>
      <c r="F2088" t="s">
        <v>42</v>
      </c>
      <c r="G2088">
        <v>-489.88889999999998</v>
      </c>
      <c r="H2088">
        <v>0.90003690000000003</v>
      </c>
      <c r="I2088">
        <v>269.73079999999999</v>
      </c>
      <c r="J2088">
        <v>-489.78230000000002</v>
      </c>
      <c r="K2088">
        <v>1.129033</v>
      </c>
      <c r="L2088">
        <v>270.1841</v>
      </c>
      <c r="M2088">
        <v>-0.35171010000000003</v>
      </c>
      <c r="N2088">
        <v>-1.298172E-2</v>
      </c>
      <c r="O2088">
        <v>-0.93601889999999999</v>
      </c>
      <c r="P2088">
        <v>-0.14686199999999999</v>
      </c>
      <c r="Q2088">
        <v>0.12764020000000001</v>
      </c>
      <c r="R2088">
        <v>-0.98088710000000001</v>
      </c>
      <c r="S2088">
        <v>-0.82412719999999995</v>
      </c>
      <c r="T2088">
        <v>-1.0339259999999999</v>
      </c>
      <c r="U2088">
        <v>-3.065674</v>
      </c>
      <c r="V2088">
        <v>-0.2103149</v>
      </c>
      <c r="W2088">
        <v>0.1360219</v>
      </c>
      <c r="X2088">
        <v>0.96812480000000001</v>
      </c>
      <c r="Y2088">
        <v>-0.10696840000000001</v>
      </c>
      <c r="Z2088">
        <v>0.27296859999999901</v>
      </c>
      <c r="AA2088">
        <v>0.9560575</v>
      </c>
      <c r="AB2088">
        <v>27</v>
      </c>
      <c r="AC2088">
        <v>-0.10659999999995701</v>
      </c>
      <c r="AD2088">
        <v>-0.22899609999999901</v>
      </c>
      <c r="AE2088">
        <v>-0.45330000000001203</v>
      </c>
      <c r="AF2088">
        <v>-4.8038512052722103E-2</v>
      </c>
      <c r="AG2088">
        <v>-0.22899609999999901</v>
      </c>
      <c r="AH2088">
        <v>0.37189396524143398</v>
      </c>
      <c r="AI2088">
        <v>121.411690982325</v>
      </c>
      <c r="AJ2088">
        <v>97.360288783039493</v>
      </c>
      <c r="AK2088">
        <v>0.43937686994019898</v>
      </c>
      <c r="AL2088">
        <v>82.182284219295198</v>
      </c>
      <c r="AM2088">
        <v>102.25646553158001</v>
      </c>
      <c r="AN2088">
        <v>0.99999997140832897</v>
      </c>
    </row>
    <row r="2089" spans="1:40" x14ac:dyDescent="0.25">
      <c r="A2089" t="str">
        <f>"20190303162545438"</f>
        <v>20190303162545438</v>
      </c>
      <c r="B2089" t="str">
        <f>"1551601545424858"</f>
        <v>1551601545424858</v>
      </c>
      <c r="C2089" t="s">
        <v>40</v>
      </c>
      <c r="D2089">
        <v>4.749352</v>
      </c>
      <c r="E2089">
        <v>0.54449840000000005</v>
      </c>
      <c r="F2089" t="s">
        <v>42</v>
      </c>
      <c r="G2089">
        <v>-489.96269999999998</v>
      </c>
      <c r="H2089">
        <v>0.90156760000000002</v>
      </c>
      <c r="I2089">
        <v>269.5052</v>
      </c>
      <c r="J2089">
        <v>-489.8673</v>
      </c>
      <c r="K2089">
        <v>1.128935</v>
      </c>
      <c r="L2089">
        <v>269.92349999999999</v>
      </c>
      <c r="M2089">
        <v>-0.34094400000000002</v>
      </c>
      <c r="N2089">
        <v>-1.2955980000000001E-2</v>
      </c>
      <c r="O2089">
        <v>-0.93999429999999995</v>
      </c>
      <c r="P2089">
        <v>-0.13938510000000001</v>
      </c>
      <c r="Q2089">
        <v>0.12975909999999999</v>
      </c>
      <c r="R2089">
        <v>-0.98169969999999995</v>
      </c>
      <c r="S2089">
        <v>-0.81420899999999996</v>
      </c>
      <c r="T2089">
        <v>-1.0306329999999999</v>
      </c>
      <c r="U2089">
        <v>-3.0706479999999998</v>
      </c>
      <c r="V2089">
        <v>-0.20648089999999999</v>
      </c>
      <c r="W2089">
        <v>0.13825599999999999</v>
      </c>
      <c r="X2089">
        <v>0.96863350000000004</v>
      </c>
      <c r="Y2089">
        <v>-9.8855349999999995E-2</v>
      </c>
      <c r="Z2089">
        <v>0.2737559</v>
      </c>
      <c r="AA2089">
        <v>0.95670549999999999</v>
      </c>
      <c r="AB2089">
        <v>27</v>
      </c>
      <c r="AC2089">
        <v>-9.5399999999983706E-2</v>
      </c>
      <c r="AD2089">
        <v>-0.2273674</v>
      </c>
      <c r="AE2089">
        <v>-0.41829999999998702</v>
      </c>
      <c r="AF2089">
        <v>-4.1336826105849198E-2</v>
      </c>
      <c r="AG2089">
        <v>-0.2273674</v>
      </c>
      <c r="AH2089">
        <v>0.33240794192214701</v>
      </c>
      <c r="AI2089">
        <v>124.16759597612401</v>
      </c>
      <c r="AJ2089">
        <v>97.088666379336701</v>
      </c>
      <c r="AK2089">
        <v>0.40484528850930501</v>
      </c>
      <c r="AL2089">
        <v>82.053058732723699</v>
      </c>
      <c r="AM2089">
        <v>102.033470954321</v>
      </c>
      <c r="AN2089">
        <v>0.999999970461529</v>
      </c>
    </row>
    <row r="2090" spans="1:40" x14ac:dyDescent="0.25">
      <c r="A2090" t="str">
        <f>"20190303162545461"</f>
        <v>20190303162545461</v>
      </c>
      <c r="B2090" t="str">
        <f>"1551601545455114"</f>
        <v>1551601545455114</v>
      </c>
      <c r="C2090" t="s">
        <v>40</v>
      </c>
      <c r="D2090">
        <v>4.7123280000000003</v>
      </c>
      <c r="E2090">
        <v>0.54501149999999998</v>
      </c>
      <c r="F2090" t="s">
        <v>42</v>
      </c>
      <c r="G2090">
        <v>-490.0351</v>
      </c>
      <c r="H2090">
        <v>0.91299859999999999</v>
      </c>
      <c r="I2090">
        <v>269.27429999999998</v>
      </c>
      <c r="J2090">
        <v>-489.94979999999998</v>
      </c>
      <c r="K2090">
        <v>1.128843</v>
      </c>
      <c r="L2090">
        <v>269.65960000000001</v>
      </c>
      <c r="M2090">
        <v>-0.33021529999999999</v>
      </c>
      <c r="N2090">
        <v>-1.2929619999999999E-2</v>
      </c>
      <c r="O2090">
        <v>-0.94381720000000002</v>
      </c>
      <c r="P2090">
        <v>-0.13346830000000001</v>
      </c>
      <c r="Q2090">
        <v>0.13239709999999999</v>
      </c>
      <c r="R2090">
        <v>-0.98216970000000003</v>
      </c>
      <c r="S2090">
        <v>-0.79510499999999995</v>
      </c>
      <c r="T2090">
        <v>-1.0245120000000001</v>
      </c>
      <c r="U2090">
        <v>-3.07843</v>
      </c>
      <c r="V2090">
        <v>-0.20116829999999999</v>
      </c>
      <c r="W2090">
        <v>0.14103949999999901</v>
      </c>
      <c r="X2090">
        <v>0.96934989999999999</v>
      </c>
      <c r="Y2090">
        <v>-9.3623769999999995E-2</v>
      </c>
      <c r="Z2090">
        <v>0.27354590000000001</v>
      </c>
      <c r="AA2090">
        <v>0.95729160000000002</v>
      </c>
      <c r="AB2090">
        <v>27</v>
      </c>
      <c r="AC2090">
        <v>-8.5300000000017903E-2</v>
      </c>
      <c r="AD2090">
        <v>-0.21584439999999999</v>
      </c>
      <c r="AE2090">
        <v>-0.38530000000002901</v>
      </c>
      <c r="AF2090">
        <v>-3.59680536224979E-2</v>
      </c>
      <c r="AG2090">
        <v>-0.21584439999999999</v>
      </c>
      <c r="AH2090">
        <v>0.30162020769683101</v>
      </c>
      <c r="AI2090">
        <v>125.396914026354</v>
      </c>
      <c r="AJ2090">
        <v>96.800378591724197</v>
      </c>
      <c r="AK2090">
        <v>0.37263555330085002</v>
      </c>
      <c r="AL2090">
        <v>81.891998134123995</v>
      </c>
      <c r="AM2090">
        <v>101.72411874454799</v>
      </c>
      <c r="AN2090">
        <v>1.00000002705757</v>
      </c>
    </row>
    <row r="2091" spans="1:40" x14ac:dyDescent="0.25">
      <c r="A2091" t="str">
        <f>"20190303162545485"</f>
        <v>20190303162545485</v>
      </c>
      <c r="B2091" t="str">
        <f>"1551601545475609"</f>
        <v>1551601545475609</v>
      </c>
      <c r="C2091" t="s">
        <v>40</v>
      </c>
      <c r="D2091">
        <v>4.7136199999999997</v>
      </c>
      <c r="E2091">
        <v>0.54523459999999901</v>
      </c>
      <c r="F2091" t="s">
        <v>42</v>
      </c>
      <c r="G2091">
        <v>-490.15730000000002</v>
      </c>
      <c r="H2091">
        <v>0.85908510000000005</v>
      </c>
      <c r="I2091">
        <v>268.83969999999999</v>
      </c>
      <c r="J2091">
        <v>-490.029</v>
      </c>
      <c r="K2091">
        <v>1.1287469999999999</v>
      </c>
      <c r="L2091">
        <v>269.39640000000003</v>
      </c>
      <c r="M2091">
        <v>-0.31966919999999999</v>
      </c>
      <c r="N2091">
        <v>-1.2902250000000001E-2</v>
      </c>
      <c r="O2091">
        <v>-0.94744130000000004</v>
      </c>
      <c r="P2091">
        <v>-0.12610080000000001</v>
      </c>
      <c r="Q2091">
        <v>0.13560999999999901</v>
      </c>
      <c r="R2091">
        <v>-0.98270460000000004</v>
      </c>
      <c r="S2091">
        <v>-0.77984619999999905</v>
      </c>
      <c r="T2091">
        <v>-1.0162340000000001</v>
      </c>
      <c r="U2091">
        <v>-3.08548</v>
      </c>
      <c r="V2091">
        <v>-0.19749800000000001</v>
      </c>
      <c r="W2091">
        <v>0.14435870000000001</v>
      </c>
      <c r="X2091">
        <v>0.96961589999999998</v>
      </c>
      <c r="Y2091">
        <v>-8.7401969999999995E-2</v>
      </c>
      <c r="Z2091">
        <v>0.27271030000000002</v>
      </c>
      <c r="AA2091">
        <v>0.95811789999999997</v>
      </c>
      <c r="AB2091">
        <v>27</v>
      </c>
      <c r="AC2091">
        <v>-0.12830000000002401</v>
      </c>
      <c r="AD2091">
        <v>-0.26966189999999901</v>
      </c>
      <c r="AE2091">
        <v>-0.55670000000003395</v>
      </c>
      <c r="AF2091">
        <v>-4.6129931089310398E-2</v>
      </c>
      <c r="AG2091">
        <v>-0.26966189999999901</v>
      </c>
      <c r="AH2091">
        <v>0.46491661441290499</v>
      </c>
      <c r="AI2091">
        <v>119.99301917739101</v>
      </c>
      <c r="AJ2091">
        <v>95.666451898996698</v>
      </c>
      <c r="AK2091">
        <v>0.53943764163346297</v>
      </c>
      <c r="AL2091">
        <v>81.6998548333694</v>
      </c>
      <c r="AM2091">
        <v>101.512903533051</v>
      </c>
      <c r="AN2091">
        <v>0.99999994390124802</v>
      </c>
    </row>
    <row r="2092" spans="1:40" x14ac:dyDescent="0.25">
      <c r="A2092" t="str">
        <f>"20190303162545506"</f>
        <v>20190303162545506</v>
      </c>
      <c r="B2092" t="str">
        <f>"1551601545495128"</f>
        <v>1551601545495128</v>
      </c>
      <c r="C2092" t="s">
        <v>40</v>
      </c>
      <c r="D2092">
        <v>4.9533209999999999</v>
      </c>
      <c r="E2092">
        <v>0.5454618</v>
      </c>
      <c r="F2092" t="s">
        <v>42</v>
      </c>
      <c r="G2092">
        <v>-490.22250000000003</v>
      </c>
      <c r="H2092">
        <v>0.87177549999999904</v>
      </c>
      <c r="I2092">
        <v>268.60599999999999</v>
      </c>
      <c r="J2092">
        <v>-490.10309999999998</v>
      </c>
      <c r="K2092">
        <v>1.128638</v>
      </c>
      <c r="L2092">
        <v>269.14080000000001</v>
      </c>
      <c r="M2092">
        <v>-0.30957750000000001</v>
      </c>
      <c r="N2092">
        <v>-1.287516E-2</v>
      </c>
      <c r="O2092">
        <v>-0.95078720000000005</v>
      </c>
      <c r="P2092">
        <v>-0.1176929</v>
      </c>
      <c r="Q2092">
        <v>0.13766039999999999</v>
      </c>
      <c r="R2092">
        <v>-0.98346230000000001</v>
      </c>
      <c r="S2092">
        <v>-0.75653079999999995</v>
      </c>
      <c r="T2092">
        <v>-1.0073890000000001</v>
      </c>
      <c r="U2092">
        <v>-3.0946959999999999</v>
      </c>
      <c r="V2092">
        <v>-0.1953859</v>
      </c>
      <c r="W2092">
        <v>0.14647979999999899</v>
      </c>
      <c r="X2092">
        <v>0.96972570000000002</v>
      </c>
      <c r="Y2092">
        <v>-8.4163109999999999E-2</v>
      </c>
      <c r="Z2092">
        <v>0.2714279</v>
      </c>
      <c r="AA2092">
        <v>0.95877179999999995</v>
      </c>
      <c r="AB2092">
        <v>27</v>
      </c>
      <c r="AC2092">
        <v>-0.119400000000041</v>
      </c>
      <c r="AD2092">
        <v>-0.25686249999999999</v>
      </c>
      <c r="AE2092">
        <v>-0.53480000000001804</v>
      </c>
      <c r="AF2092">
        <v>-4.2667047381146302E-2</v>
      </c>
      <c r="AG2092">
        <v>-0.25686249999999999</v>
      </c>
      <c r="AH2092">
        <v>0.44722094691605202</v>
      </c>
      <c r="AI2092">
        <v>119.759037905084</v>
      </c>
      <c r="AJ2092">
        <v>95.449800347243993</v>
      </c>
      <c r="AK2092">
        <v>0.517499175070807</v>
      </c>
      <c r="AL2092">
        <v>81.577019109157405</v>
      </c>
      <c r="AM2092">
        <v>101.391761553617</v>
      </c>
      <c r="AN2092">
        <v>0.99999995748366899</v>
      </c>
    </row>
    <row r="2093" spans="1:40" x14ac:dyDescent="0.25">
      <c r="A2093" t="str">
        <f>"20190303162545528"</f>
        <v>20190303162545528</v>
      </c>
      <c r="B2093" t="str">
        <f>"1551601545525385"</f>
        <v>1551601545525385</v>
      </c>
      <c r="C2093" t="s">
        <v>40</v>
      </c>
      <c r="D2093">
        <v>4.630827</v>
      </c>
      <c r="E2093">
        <v>0.51057710000000001</v>
      </c>
      <c r="F2093" t="s">
        <v>42</v>
      </c>
      <c r="G2093">
        <v>-490.28410000000002</v>
      </c>
      <c r="H2093">
        <v>0.88153199999999998</v>
      </c>
      <c r="I2093">
        <v>268.3723</v>
      </c>
      <c r="J2093">
        <v>-490.1703</v>
      </c>
      <c r="K2093">
        <v>1.1285179999999999</v>
      </c>
      <c r="L2093">
        <v>268.90069999999997</v>
      </c>
      <c r="M2093">
        <v>-0.30025639999999998</v>
      </c>
      <c r="N2093">
        <v>-1.2849030000000001E-2</v>
      </c>
      <c r="O2093">
        <v>-0.95377210000000001</v>
      </c>
      <c r="P2093">
        <v>-0.108554399999999</v>
      </c>
      <c r="Q2093">
        <v>0.13815569999999999</v>
      </c>
      <c r="R2093">
        <v>-0.98444339999999997</v>
      </c>
      <c r="S2093">
        <v>-0.72958369999999995</v>
      </c>
      <c r="T2093">
        <v>-0.99891660000000004</v>
      </c>
      <c r="U2093">
        <v>-3.1029659999999999</v>
      </c>
      <c r="V2093">
        <v>-0.19484309999999999</v>
      </c>
      <c r="W2093">
        <v>0.14701700000000001</v>
      </c>
      <c r="X2093">
        <v>0.96975370000000005</v>
      </c>
      <c r="Y2093">
        <v>-8.275441E-2</v>
      </c>
      <c r="Z2093">
        <v>0.27013769999999998</v>
      </c>
      <c r="AA2093">
        <v>0.95925870000000002</v>
      </c>
      <c r="AB2093">
        <v>27</v>
      </c>
      <c r="AC2093">
        <v>-0.11380000000002601</v>
      </c>
      <c r="AD2093">
        <v>-0.24698600000000001</v>
      </c>
      <c r="AE2093">
        <v>-0.528399999999976</v>
      </c>
      <c r="AF2093">
        <v>-4.1462930978799897E-2</v>
      </c>
      <c r="AG2093">
        <v>-0.24698600000000001</v>
      </c>
      <c r="AH2093">
        <v>0.44522433646380799</v>
      </c>
      <c r="AI2093">
        <v>118.91428413523001</v>
      </c>
      <c r="AJ2093">
        <v>95.320505601271606</v>
      </c>
      <c r="AK2093">
        <v>0.51082870771031597</v>
      </c>
      <c r="AL2093">
        <v>81.5459036089986</v>
      </c>
      <c r="AM2093">
        <v>101.360618819959</v>
      </c>
      <c r="AN2093">
        <v>1.0000000352851399</v>
      </c>
    </row>
    <row r="2094" spans="1:40" x14ac:dyDescent="0.25">
      <c r="A2094" t="str">
        <f>"20190303162545551"</f>
        <v>20190303162545551</v>
      </c>
      <c r="B2094" t="str">
        <f>"1551601545544906"</f>
        <v>1551601545544906</v>
      </c>
      <c r="C2094" t="s">
        <v>40</v>
      </c>
      <c r="D2094">
        <v>4.5057390000000002</v>
      </c>
      <c r="E2094">
        <v>0.4903556</v>
      </c>
      <c r="F2094" t="s">
        <v>41</v>
      </c>
      <c r="G2094">
        <v>-491.14019999999999</v>
      </c>
      <c r="H2094" s="1">
        <v>-1.244786E-6</v>
      </c>
      <c r="I2094">
        <v>261.78359999999998</v>
      </c>
      <c r="J2094">
        <v>-490.24259999999998</v>
      </c>
      <c r="K2094">
        <v>1.128341</v>
      </c>
      <c r="L2094">
        <v>268.63240000000002</v>
      </c>
      <c r="M2094">
        <v>-0.29007919999999998</v>
      </c>
      <c r="N2094">
        <v>-1.28164E-2</v>
      </c>
      <c r="O2094">
        <v>-0.95691709999999996</v>
      </c>
      <c r="P2094">
        <v>-9.7561670000000003E-2</v>
      </c>
      <c r="Q2094">
        <v>0.13600300000000001</v>
      </c>
      <c r="R2094">
        <v>-0.98589309999999997</v>
      </c>
      <c r="S2094">
        <v>-0.41830440000000002</v>
      </c>
      <c r="T2094">
        <v>-0.4867281</v>
      </c>
      <c r="U2094">
        <v>-3.0695800000000002</v>
      </c>
      <c r="V2094">
        <v>-0.1953231</v>
      </c>
      <c r="W2094">
        <v>0.1449037</v>
      </c>
      <c r="X2094">
        <v>0.96997520000000004</v>
      </c>
      <c r="Y2094">
        <v>-0.159275</v>
      </c>
      <c r="Z2094">
        <v>0.13255330000000001</v>
      </c>
      <c r="AA2094">
        <v>0.97829500000000003</v>
      </c>
      <c r="AB2094">
        <v>27</v>
      </c>
      <c r="AC2094">
        <v>-0.89760000000001094</v>
      </c>
      <c r="AD2094">
        <v>-1.1283422447859901</v>
      </c>
      <c r="AE2094">
        <v>-6.8488000000000397</v>
      </c>
      <c r="AF2094">
        <v>-1.0985440501667401</v>
      </c>
      <c r="AG2094">
        <v>-1.1283422447859901</v>
      </c>
      <c r="AH2094">
        <v>6.6375482433016604</v>
      </c>
      <c r="AI2094">
        <v>99.520607970992401</v>
      </c>
      <c r="AJ2094">
        <v>99.397521987836996</v>
      </c>
      <c r="AK2094">
        <v>6.8218034223863704</v>
      </c>
      <c r="AL2094">
        <v>81.668297643071597</v>
      </c>
      <c r="AM2094">
        <v>101.38534296575099</v>
      </c>
      <c r="AN2094">
        <v>1.0000000421411599</v>
      </c>
    </row>
    <row r="2095" spans="1:40" x14ac:dyDescent="0.25">
      <c r="A2095" t="str">
        <f>"20190303162545573"</f>
        <v>20190303162545573</v>
      </c>
      <c r="B2095" t="str">
        <f>"1551601545565401"</f>
        <v>1551601545565401</v>
      </c>
      <c r="C2095" t="s">
        <v>40</v>
      </c>
      <c r="D2095">
        <v>4.6527699999999896</v>
      </c>
      <c r="E2095">
        <v>0.4759892</v>
      </c>
      <c r="F2095" t="s">
        <v>41</v>
      </c>
      <c r="G2095">
        <v>-490.92259999999999</v>
      </c>
      <c r="H2095" s="1">
        <v>-4.3403089999999901E-6</v>
      </c>
      <c r="I2095">
        <v>259.26010000000002</v>
      </c>
      <c r="J2095">
        <v>-490.30889999999999</v>
      </c>
      <c r="K2095">
        <v>1.12812</v>
      </c>
      <c r="L2095">
        <v>268.37689999999998</v>
      </c>
      <c r="M2095">
        <v>-0.28066809999999998</v>
      </c>
      <c r="N2095">
        <v>-1.277936E-2</v>
      </c>
      <c r="O2095">
        <v>-0.95972020000000002</v>
      </c>
      <c r="P2095">
        <v>-8.655823E-2</v>
      </c>
      <c r="Q2095">
        <v>0.13191310000000001</v>
      </c>
      <c r="R2095">
        <v>-0.9874754</v>
      </c>
      <c r="S2095">
        <v>-0.2229004</v>
      </c>
      <c r="T2095">
        <v>-0.36982720000000002</v>
      </c>
      <c r="U2095">
        <v>-3.0718990000000002</v>
      </c>
      <c r="V2095">
        <v>-0.196631</v>
      </c>
      <c r="W2095">
        <v>0.14085249999999999</v>
      </c>
      <c r="X2095">
        <v>0.97030760000000005</v>
      </c>
      <c r="Y2095">
        <v>-0.21065449999999999</v>
      </c>
      <c r="Z2095">
        <v>9.8312800000000006E-2</v>
      </c>
      <c r="AA2095">
        <v>0.97260440000000004</v>
      </c>
      <c r="AB2095">
        <v>27</v>
      </c>
      <c r="AC2095">
        <v>-0.61369999999999403</v>
      </c>
      <c r="AD2095">
        <v>-1.128124340309</v>
      </c>
      <c r="AE2095">
        <v>-9.1167999999999498</v>
      </c>
      <c r="AF2095">
        <v>-1.9403976188712999</v>
      </c>
      <c r="AG2095">
        <v>-1.128124340309</v>
      </c>
      <c r="AH2095">
        <v>8.7885854566781898</v>
      </c>
      <c r="AI2095">
        <v>97.144408632148597</v>
      </c>
      <c r="AJ2095">
        <v>102.45037303061299</v>
      </c>
      <c r="AK2095">
        <v>9.0706693124517805</v>
      </c>
      <c r="AL2095">
        <v>81.902820323772602</v>
      </c>
      <c r="AM2095">
        <v>101.45574776041801</v>
      </c>
      <c r="AN2095">
        <v>1.0000000077675</v>
      </c>
    </row>
    <row r="2096" spans="1:40" x14ac:dyDescent="0.25">
      <c r="A2096" t="str">
        <f>"20190303162545596"</f>
        <v>20190303162545596</v>
      </c>
      <c r="B2096" t="str">
        <f>"1551601545584932"</f>
        <v>1551601545584932</v>
      </c>
      <c r="C2096" t="s">
        <v>40</v>
      </c>
      <c r="D2096">
        <v>4.6095639999999998</v>
      </c>
      <c r="E2096">
        <v>0.47044829999999999</v>
      </c>
      <c r="F2096" t="s">
        <v>41</v>
      </c>
      <c r="G2096">
        <v>-490.59449999999998</v>
      </c>
      <c r="H2096" s="1">
        <v>-3.3005899999999999E-6</v>
      </c>
      <c r="I2096">
        <v>256.91410000000002</v>
      </c>
      <c r="J2096">
        <v>-490.37470000000002</v>
      </c>
      <c r="K2096">
        <v>1.127845</v>
      </c>
      <c r="L2096">
        <v>268.11439999999999</v>
      </c>
      <c r="M2096">
        <v>-0.27133659999999998</v>
      </c>
      <c r="N2096">
        <v>-1.273582E-2</v>
      </c>
      <c r="O2096">
        <v>-0.96240029999999999</v>
      </c>
      <c r="P2096">
        <v>-7.5031819999999999E-2</v>
      </c>
      <c r="Q2096">
        <v>0.12677339999999901</v>
      </c>
      <c r="R2096">
        <v>-0.98909009999999997</v>
      </c>
      <c r="S2096">
        <v>-7.6538090000000003E-2</v>
      </c>
      <c r="T2096">
        <v>-0.30230319999999999</v>
      </c>
      <c r="U2096">
        <v>-3.0716860000000001</v>
      </c>
      <c r="V2096">
        <v>-0.1985392</v>
      </c>
      <c r="W2096">
        <v>0.1357621</v>
      </c>
      <c r="X2096">
        <v>0.97064450000000002</v>
      </c>
      <c r="Y2096">
        <v>-0.2471807</v>
      </c>
      <c r="Z2096">
        <v>7.8273679999999998E-2</v>
      </c>
      <c r="AA2096">
        <v>0.96580270000000001</v>
      </c>
      <c r="AB2096">
        <v>27</v>
      </c>
      <c r="AC2096">
        <v>-0.219799999999963</v>
      </c>
      <c r="AD2096">
        <v>-1.12784830059</v>
      </c>
      <c r="AE2096">
        <v>-11.200299999999899</v>
      </c>
      <c r="AF2096">
        <v>-2.7993699972585202</v>
      </c>
      <c r="AG2096">
        <v>-1.12784830059</v>
      </c>
      <c r="AH2096">
        <v>10.730919854540501</v>
      </c>
      <c r="AI2096">
        <v>95.806967468659195</v>
      </c>
      <c r="AJ2096">
        <v>104.620871991095</v>
      </c>
      <c r="AK2096">
        <v>11.1472487679815</v>
      </c>
      <c r="AL2096">
        <v>82.197308898512205</v>
      </c>
      <c r="AM2096">
        <v>101.560033316524</v>
      </c>
      <c r="AN2096">
        <v>0.99999995355664795</v>
      </c>
    </row>
    <row r="2097" spans="1:40" x14ac:dyDescent="0.25">
      <c r="A2097" t="str">
        <f>"20190303162545617"</f>
        <v>20190303162545617</v>
      </c>
      <c r="B2097" t="str">
        <f>"1551601545605410"</f>
        <v>1551601545605410</v>
      </c>
      <c r="C2097" t="s">
        <v>40</v>
      </c>
      <c r="D2097">
        <v>4.5872679999999999</v>
      </c>
      <c r="E2097">
        <v>0.46773379999999998</v>
      </c>
      <c r="F2097" t="s">
        <v>41</v>
      </c>
      <c r="G2097">
        <v>-490.3691</v>
      </c>
      <c r="H2097" s="1">
        <v>-2.9370489999999999E-6</v>
      </c>
      <c r="I2097">
        <v>256.20650000000001</v>
      </c>
      <c r="J2097">
        <v>-490.43290000000002</v>
      </c>
      <c r="K2097">
        <v>1.1275500000000001</v>
      </c>
      <c r="L2097">
        <v>267.87400000000002</v>
      </c>
      <c r="M2097">
        <v>-0.26314559999999998</v>
      </c>
      <c r="N2097">
        <v>-1.269211E-2</v>
      </c>
      <c r="O2097">
        <v>-0.96467270000000005</v>
      </c>
      <c r="P2097">
        <v>-6.4351439999999996E-2</v>
      </c>
      <c r="Q2097">
        <v>0.1226496</v>
      </c>
      <c r="R2097">
        <v>-0.99036150000000001</v>
      </c>
      <c r="S2097">
        <v>1.4343260000000001E-3</v>
      </c>
      <c r="T2097">
        <v>-0.29081649999999998</v>
      </c>
      <c r="U2097">
        <v>-3.070465</v>
      </c>
      <c r="V2097">
        <v>-0.20074529999999999</v>
      </c>
      <c r="W2097">
        <v>0.1316901</v>
      </c>
      <c r="X2097">
        <v>0.97075180000000005</v>
      </c>
      <c r="Y2097">
        <v>-0.263412799999999</v>
      </c>
      <c r="Z2097">
        <v>7.5005059999999998E-2</v>
      </c>
      <c r="AA2097">
        <v>0.96176300000000003</v>
      </c>
      <c r="AB2097">
        <v>27</v>
      </c>
      <c r="AC2097">
        <v>6.3800000000014706E-2</v>
      </c>
      <c r="AD2097">
        <v>-1.1275529370490001</v>
      </c>
      <c r="AE2097">
        <v>-11.6675</v>
      </c>
      <c r="AF2097">
        <v>-3.1030696132092501</v>
      </c>
      <c r="AG2097">
        <v>-1.1275529370490001</v>
      </c>
      <c r="AH2097">
        <v>11.135439664218399</v>
      </c>
      <c r="AI2097">
        <v>95.571096378002693</v>
      </c>
      <c r="AJ2097">
        <v>105.57135168846899</v>
      </c>
      <c r="AK2097">
        <v>11.614578475593399</v>
      </c>
      <c r="AL2097">
        <v>82.432732400375201</v>
      </c>
      <c r="AM2097">
        <v>101.683714792928</v>
      </c>
      <c r="AN2097">
        <v>1.00000000755667</v>
      </c>
    </row>
    <row r="2098" spans="1:40" x14ac:dyDescent="0.25">
      <c r="A2098" t="str">
        <f>"20190303162545639"</f>
        <v>20190303162545639</v>
      </c>
      <c r="B2098" t="str">
        <f>"1551601545624930"</f>
        <v>1551601545624930</v>
      </c>
      <c r="C2098" t="s">
        <v>40</v>
      </c>
      <c r="D2098">
        <v>4.5916709999999998</v>
      </c>
      <c r="E2098">
        <v>0.46629310000000002</v>
      </c>
      <c r="F2098" t="s">
        <v>41</v>
      </c>
      <c r="G2098">
        <v>-490.2115</v>
      </c>
      <c r="H2098" s="1">
        <v>-2.6133090000000001E-6</v>
      </c>
      <c r="I2098">
        <v>255.5496</v>
      </c>
      <c r="J2098">
        <v>-490.49279999999999</v>
      </c>
      <c r="K2098">
        <v>1.127235</v>
      </c>
      <c r="L2098">
        <v>267.61919999999998</v>
      </c>
      <c r="M2098">
        <v>-0.25484839999999997</v>
      </c>
      <c r="N2098">
        <v>-1.26441E-2</v>
      </c>
      <c r="O2098">
        <v>-0.96689860000000005</v>
      </c>
      <c r="P2098">
        <v>-5.3407910000000003E-2</v>
      </c>
      <c r="Q2098">
        <v>0.1199691</v>
      </c>
      <c r="R2098">
        <v>-0.9913402</v>
      </c>
      <c r="S2098">
        <v>5.5114749999999997E-2</v>
      </c>
      <c r="T2098">
        <v>-0.2806498</v>
      </c>
      <c r="U2098">
        <v>-3.0675659999999998</v>
      </c>
      <c r="V2098">
        <v>-0.20307259999999999</v>
      </c>
      <c r="W2098">
        <v>0.12907379999999999</v>
      </c>
      <c r="X2098">
        <v>0.97061909999999896</v>
      </c>
      <c r="Y2098">
        <v>-0.27194810000000003</v>
      </c>
      <c r="Z2098">
        <v>7.2246660000000004E-2</v>
      </c>
      <c r="AA2098">
        <v>0.95959609999999995</v>
      </c>
      <c r="AB2098">
        <v>27</v>
      </c>
      <c r="AC2098">
        <v>0.281299999999987</v>
      </c>
      <c r="AD2098">
        <v>-1.1272376133090001</v>
      </c>
      <c r="AE2098">
        <v>-12.0695999999999</v>
      </c>
      <c r="AF2098">
        <v>-3.31923706089235</v>
      </c>
      <c r="AG2098">
        <v>-1.1272376133090001</v>
      </c>
      <c r="AH2098">
        <v>11.499067795994</v>
      </c>
      <c r="AI2098">
        <v>95.380439877590902</v>
      </c>
      <c r="AJ2098">
        <v>106.100927647587</v>
      </c>
      <c r="AK2098">
        <v>12.021504044008999</v>
      </c>
      <c r="AL2098">
        <v>82.583925815046896</v>
      </c>
      <c r="AM2098">
        <v>101.816950765499</v>
      </c>
      <c r="AN2098">
        <v>0.99999998200100404</v>
      </c>
    </row>
    <row r="2099" spans="1:40" x14ac:dyDescent="0.25">
      <c r="A2099" t="str">
        <f>"20190303162545663"</f>
        <v>20190303162545663</v>
      </c>
      <c r="B2099" t="str">
        <f>"1551601545655186"</f>
        <v>1551601545655186</v>
      </c>
      <c r="C2099" t="s">
        <v>40</v>
      </c>
      <c r="D2099">
        <v>4.5479190000000003</v>
      </c>
      <c r="E2099">
        <v>0.4657559</v>
      </c>
      <c r="F2099" t="s">
        <v>41</v>
      </c>
      <c r="G2099">
        <v>-490.06990000000002</v>
      </c>
      <c r="H2099" s="1">
        <v>-2.185995E-6</v>
      </c>
      <c r="I2099">
        <v>254.6413</v>
      </c>
      <c r="J2099">
        <v>-490.56</v>
      </c>
      <c r="K2099">
        <v>1.1268849999999999</v>
      </c>
      <c r="L2099">
        <v>267.32209999999998</v>
      </c>
      <c r="M2099">
        <v>-0.2456962</v>
      </c>
      <c r="N2099">
        <v>-1.258865E-2</v>
      </c>
      <c r="O2099">
        <v>-0.9692653</v>
      </c>
      <c r="P2099">
        <v>-4.247778E-2</v>
      </c>
      <c r="Q2099">
        <v>0.11929339999999999</v>
      </c>
      <c r="R2099">
        <v>-0.9919502</v>
      </c>
      <c r="S2099">
        <v>9.9822999999999995E-2</v>
      </c>
      <c r="T2099">
        <v>-0.26611319999999999</v>
      </c>
      <c r="U2099">
        <v>-3.0637509999999999</v>
      </c>
      <c r="V2099">
        <v>-0.2044974</v>
      </c>
      <c r="W2099">
        <v>0.1284903</v>
      </c>
      <c r="X2099">
        <v>0.97039739999999997</v>
      </c>
      <c r="Y2099">
        <v>-0.27687979999999901</v>
      </c>
      <c r="Z2099">
        <v>6.8240699999999904E-2</v>
      </c>
      <c r="AA2099">
        <v>0.95847839999999995</v>
      </c>
      <c r="AB2099">
        <v>27</v>
      </c>
      <c r="AC2099">
        <v>0.49009999999998399</v>
      </c>
      <c r="AD2099">
        <v>-1.126887185995</v>
      </c>
      <c r="AE2099">
        <v>-12.6807999999999</v>
      </c>
      <c r="AF2099">
        <v>-3.5628510502118802</v>
      </c>
      <c r="AG2099">
        <v>-1.126887185995</v>
      </c>
      <c r="AH2099">
        <v>12.076380125688701</v>
      </c>
      <c r="AI2099">
        <v>95.114319248978703</v>
      </c>
      <c r="AJ2099">
        <v>106.437451148939</v>
      </c>
      <c r="AK2099">
        <v>12.6413108211168</v>
      </c>
      <c r="AL2099">
        <v>82.617638980670307</v>
      </c>
      <c r="AM2099">
        <v>101.900146629376</v>
      </c>
      <c r="AN2099">
        <v>1.0000000288638</v>
      </c>
    </row>
    <row r="2100" spans="1:40" x14ac:dyDescent="0.25">
      <c r="A2100" t="str">
        <f>"20190303162545687"</f>
        <v>20190303162545687</v>
      </c>
      <c r="B2100" t="str">
        <f>"1551601545674705"</f>
        <v>1551601545674705</v>
      </c>
      <c r="C2100" t="s">
        <v>40</v>
      </c>
      <c r="D2100">
        <v>4.5899590000000003</v>
      </c>
      <c r="E2100">
        <v>0.46551720000000002</v>
      </c>
      <c r="F2100" t="s">
        <v>41</v>
      </c>
      <c r="G2100">
        <v>-489.94690000000003</v>
      </c>
      <c r="H2100" s="1">
        <v>-1.7448269999999999E-6</v>
      </c>
      <c r="I2100">
        <v>253.678</v>
      </c>
      <c r="J2100">
        <v>-490.61770000000001</v>
      </c>
      <c r="K2100">
        <v>1.126638</v>
      </c>
      <c r="L2100">
        <v>267.05919999999998</v>
      </c>
      <c r="M2100">
        <v>-0.23794390000000001</v>
      </c>
      <c r="N2100">
        <v>-1.254359E-2</v>
      </c>
      <c r="O2100">
        <v>-0.97119789999999995</v>
      </c>
      <c r="P2100">
        <v>-3.4207599999999998E-2</v>
      </c>
      <c r="Q2100">
        <v>0.1196401</v>
      </c>
      <c r="R2100">
        <v>-0.99222770000000005</v>
      </c>
      <c r="S2100">
        <v>0.13754269999999999</v>
      </c>
      <c r="T2100">
        <v>-0.25278430000000002</v>
      </c>
      <c r="U2100">
        <v>-3.060638</v>
      </c>
      <c r="V2100">
        <v>-0.2047475</v>
      </c>
      <c r="W2100">
        <v>0.1289149</v>
      </c>
      <c r="X2100">
        <v>0.97028829999999999</v>
      </c>
      <c r="Y2100">
        <v>-0.28104499999999999</v>
      </c>
      <c r="Z2100">
        <v>6.4489550000000007E-2</v>
      </c>
      <c r="AA2100">
        <v>0.95752539999999997</v>
      </c>
      <c r="AB2100">
        <v>27</v>
      </c>
      <c r="AC2100">
        <v>0.67079999999998496</v>
      </c>
      <c r="AD2100">
        <v>-1.126639744827</v>
      </c>
      <c r="AE2100">
        <v>-13.3811999999999</v>
      </c>
      <c r="AF2100">
        <v>-3.8088234774010599</v>
      </c>
      <c r="AG2100">
        <v>-1.126639744827</v>
      </c>
      <c r="AH2100">
        <v>12.747054189732999</v>
      </c>
      <c r="AI2100">
        <v>94.840528844536607</v>
      </c>
      <c r="AJ2100">
        <v>106.636160705075</v>
      </c>
      <c r="AK2100">
        <v>13.3515483713543</v>
      </c>
      <c r="AL2100">
        <v>82.593106860991199</v>
      </c>
      <c r="AM2100">
        <v>101.91558616184101</v>
      </c>
      <c r="AN2100">
        <v>0.99999998765757403</v>
      </c>
    </row>
    <row r="2101" spans="1:40" x14ac:dyDescent="0.25">
      <c r="A2101" t="str">
        <f>"20190303162545706"</f>
        <v>20190303162545706</v>
      </c>
      <c r="B2101" t="str">
        <f>"1551601545695202"</f>
        <v>1551601545695202</v>
      </c>
      <c r="C2101" t="s">
        <v>40</v>
      </c>
      <c r="D2101">
        <v>4.5775180000000004</v>
      </c>
      <c r="E2101">
        <v>0.46566590000000002</v>
      </c>
      <c r="F2101" t="s">
        <v>41</v>
      </c>
      <c r="G2101">
        <v>-489.8494</v>
      </c>
      <c r="H2101" s="1">
        <v>-1.4369820000000001E-6</v>
      </c>
      <c r="I2101">
        <v>252.92009999999999</v>
      </c>
      <c r="J2101">
        <v>-490.66719999999998</v>
      </c>
      <c r="K2101">
        <v>1.126457</v>
      </c>
      <c r="L2101">
        <v>266.82619999999997</v>
      </c>
      <c r="M2101">
        <v>-0.23133809999999999</v>
      </c>
      <c r="N2101">
        <v>-1.2506969999999999E-2</v>
      </c>
      <c r="O2101">
        <v>-0.97279309999999997</v>
      </c>
      <c r="P2101">
        <v>-2.8233669999999999E-2</v>
      </c>
      <c r="Q2101">
        <v>0.12118909999999999</v>
      </c>
      <c r="R2101">
        <v>-0.992228</v>
      </c>
      <c r="S2101">
        <v>0.1661987</v>
      </c>
      <c r="T2101">
        <v>-0.2437221</v>
      </c>
      <c r="U2101">
        <v>-3.0586549999999999</v>
      </c>
      <c r="V2101">
        <v>-0.20391119999999999</v>
      </c>
      <c r="W2101">
        <v>0.13053329999999999</v>
      </c>
      <c r="X2101">
        <v>0.970248</v>
      </c>
      <c r="Y2101">
        <v>-0.28351340000000003</v>
      </c>
      <c r="Z2101">
        <v>6.1957249999999998E-2</v>
      </c>
      <c r="AA2101">
        <v>0.9569647</v>
      </c>
      <c r="AB2101">
        <v>27</v>
      </c>
      <c r="AC2101">
        <v>0.81779999999997699</v>
      </c>
      <c r="AD2101">
        <v>-1.1264584369820001</v>
      </c>
      <c r="AE2101">
        <v>-13.906099999999901</v>
      </c>
      <c r="AF2101">
        <v>-3.9868042560951</v>
      </c>
      <c r="AG2101">
        <v>-1.1264584369820001</v>
      </c>
      <c r="AH2101">
        <v>13.2529493347193</v>
      </c>
      <c r="AI2101">
        <v>94.653257706851605</v>
      </c>
      <c r="AJ2101">
        <v>106.74254404798801</v>
      </c>
      <c r="AK2101">
        <v>13.8853945876703</v>
      </c>
      <c r="AL2101">
        <v>82.499588868002107</v>
      </c>
      <c r="AM2101">
        <v>101.868778410427</v>
      </c>
      <c r="AN2101">
        <v>0.99999995069916303</v>
      </c>
    </row>
    <row r="2102" spans="1:40" x14ac:dyDescent="0.25">
      <c r="A2102" t="str">
        <f>"20190303162545729"</f>
        <v>20190303162545729</v>
      </c>
      <c r="B2102" t="str">
        <f>"1551601545714721"</f>
        <v>1551601545714721</v>
      </c>
      <c r="C2102" t="s">
        <v>40</v>
      </c>
      <c r="D2102">
        <v>4.6355719999999998</v>
      </c>
      <c r="E2102">
        <v>0.4658003</v>
      </c>
      <c r="F2102" t="s">
        <v>41</v>
      </c>
      <c r="G2102">
        <v>-489.75470000000001</v>
      </c>
      <c r="H2102" s="1">
        <v>-9.2718139999999996E-7</v>
      </c>
      <c r="I2102">
        <v>251.6926</v>
      </c>
      <c r="J2102">
        <v>-490.7208</v>
      </c>
      <c r="K2102">
        <v>1.126287</v>
      </c>
      <c r="L2102">
        <v>266.56610000000001</v>
      </c>
      <c r="M2102">
        <v>-0.22424279999999999</v>
      </c>
      <c r="N2102">
        <v>-1.2467870000000001E-2</v>
      </c>
      <c r="O2102">
        <v>-0.97445360000000003</v>
      </c>
      <c r="P2102">
        <v>-2.3607380000000001E-2</v>
      </c>
      <c r="Q2102">
        <v>0.1237471</v>
      </c>
      <c r="R2102">
        <v>-0.9920329</v>
      </c>
      <c r="S2102">
        <v>0.18429570000000001</v>
      </c>
      <c r="T2102">
        <v>-0.2275075</v>
      </c>
      <c r="U2102">
        <v>-3.0564879999999999</v>
      </c>
      <c r="V2102">
        <v>-0.201263</v>
      </c>
      <c r="W2102">
        <v>0.1331832</v>
      </c>
      <c r="X2102">
        <v>0.97044090000000005</v>
      </c>
      <c r="Y2102">
        <v>-0.28223979999999999</v>
      </c>
      <c r="Z2102">
        <v>5.7292299999999997E-2</v>
      </c>
      <c r="AA2102">
        <v>0.95763160000000003</v>
      </c>
      <c r="AB2102">
        <v>27</v>
      </c>
      <c r="AC2102">
        <v>0.96609999999998297</v>
      </c>
      <c r="AD2102">
        <v>-1.1262879271813999</v>
      </c>
      <c r="AE2102">
        <v>-14.8735</v>
      </c>
      <c r="AF2102">
        <v>-4.2527435270052001</v>
      </c>
      <c r="AG2102">
        <v>-1.1262879271813999</v>
      </c>
      <c r="AH2102">
        <v>14.196937730201199</v>
      </c>
      <c r="AI2102">
        <v>94.345937318847803</v>
      </c>
      <c r="AJ2102">
        <v>106.67577533139399</v>
      </c>
      <c r="AK2102">
        <v>14.862953707679001</v>
      </c>
      <c r="AL2102">
        <v>82.346424140525599</v>
      </c>
      <c r="AM2102">
        <v>101.716663099545</v>
      </c>
      <c r="AN2102">
        <v>1.0000000501620201</v>
      </c>
    </row>
    <row r="2103" spans="1:40" x14ac:dyDescent="0.25">
      <c r="A2103" t="str">
        <f>"20190303162545752"</f>
        <v>20190303162545752</v>
      </c>
      <c r="B2103" t="str">
        <f>"1551601545744977"</f>
        <v>1551601545744977</v>
      </c>
      <c r="C2103" t="s">
        <v>40</v>
      </c>
      <c r="D2103">
        <v>4.7066739999999996</v>
      </c>
      <c r="E2103">
        <v>0.46639249999999999</v>
      </c>
      <c r="F2103" t="s">
        <v>41</v>
      </c>
      <c r="G2103">
        <v>-489.66180000000003</v>
      </c>
      <c r="H2103" s="1">
        <v>-3.5045389999999998E-7</v>
      </c>
      <c r="I2103">
        <v>250.3098</v>
      </c>
      <c r="J2103">
        <v>-490.77510000000001</v>
      </c>
      <c r="K2103">
        <v>1.126125</v>
      </c>
      <c r="L2103">
        <v>266.29410000000001</v>
      </c>
      <c r="M2103">
        <v>-0.2170861</v>
      </c>
      <c r="N2103">
        <v>-1.2428079999999999E-2</v>
      </c>
      <c r="O2103">
        <v>-0.97607339999999998</v>
      </c>
      <c r="P2103">
        <v>-1.954359E-2</v>
      </c>
      <c r="Q2103">
        <v>0.1257759</v>
      </c>
      <c r="R2103">
        <v>-0.99186640000000004</v>
      </c>
      <c r="S2103">
        <v>0.19903560000000001</v>
      </c>
      <c r="T2103">
        <v>-0.21167659999999999</v>
      </c>
      <c r="U2103">
        <v>-3.055237</v>
      </c>
      <c r="V2103">
        <v>-0.19802310000000001</v>
      </c>
      <c r="W2103">
        <v>0.1353066</v>
      </c>
      <c r="X2103">
        <v>0.97081360000000005</v>
      </c>
      <c r="Y2103">
        <v>-0.27985520000000003</v>
      </c>
      <c r="Z2103">
        <v>5.2698330000000002E-2</v>
      </c>
      <c r="AA2103">
        <v>0.95859479999999997</v>
      </c>
      <c r="AB2103">
        <v>27</v>
      </c>
      <c r="AC2103">
        <v>1.11329999999998</v>
      </c>
      <c r="AD2103">
        <v>-1.1261253504538999</v>
      </c>
      <c r="AE2103">
        <v>-15.984299999999999</v>
      </c>
      <c r="AF2103">
        <v>-4.5345848858618396</v>
      </c>
      <c r="AG2103">
        <v>-1.1261253504538999</v>
      </c>
      <c r="AH2103">
        <v>15.285848878842801</v>
      </c>
      <c r="AI2103">
        <v>94.040026626738495</v>
      </c>
      <c r="AJ2103">
        <v>106.52312002642699</v>
      </c>
      <c r="AK2103">
        <v>15.983985558641001</v>
      </c>
      <c r="AL2103">
        <v>82.223650825478998</v>
      </c>
      <c r="AM2103">
        <v>101.52883431165201</v>
      </c>
      <c r="AN2103">
        <v>1.0000000350410601</v>
      </c>
    </row>
    <row r="2104" spans="1:40" x14ac:dyDescent="0.25">
      <c r="A2104" t="str">
        <f>"20190303162545778"</f>
        <v>20190303162545778</v>
      </c>
      <c r="B2104" t="str">
        <f>"1551601545765473"</f>
        <v>1551601545765473</v>
      </c>
      <c r="C2104" t="s">
        <v>40</v>
      </c>
      <c r="D2104">
        <v>4.6777220000000002</v>
      </c>
      <c r="E2104">
        <v>0.46681739999999999</v>
      </c>
      <c r="F2104" t="s">
        <v>41</v>
      </c>
      <c r="G2104">
        <v>-489.55349999999999</v>
      </c>
      <c r="H2104" s="1">
        <v>-3.8218569999999997E-6</v>
      </c>
      <c r="I2104">
        <v>248.357</v>
      </c>
      <c r="J2104">
        <v>-490.83199999999999</v>
      </c>
      <c r="K2104">
        <v>1.1259539999999999</v>
      </c>
      <c r="L2104">
        <v>265.99860000000001</v>
      </c>
      <c r="M2104">
        <v>-0.20954980000000001</v>
      </c>
      <c r="N2104">
        <v>-1.2387540000000001E-2</v>
      </c>
      <c r="O2104">
        <v>-0.97771969999999997</v>
      </c>
      <c r="P2104">
        <v>-1.503407E-2</v>
      </c>
      <c r="Q2104">
        <v>0.12770870000000001</v>
      </c>
      <c r="R2104">
        <v>-0.99169799999999997</v>
      </c>
      <c r="S2104">
        <v>0.2079163</v>
      </c>
      <c r="T2104">
        <v>-0.19167439999999999</v>
      </c>
      <c r="U2104">
        <v>-3.0530089999999999</v>
      </c>
      <c r="V2104">
        <v>-0.19485269999999999</v>
      </c>
      <c r="W2104">
        <v>0.1373318</v>
      </c>
      <c r="X2104">
        <v>0.97117070000000005</v>
      </c>
      <c r="Y2104">
        <v>-0.27530450000000001</v>
      </c>
      <c r="Z2104">
        <v>4.6831480000000002E-2</v>
      </c>
      <c r="AA2104">
        <v>0.96021570000000001</v>
      </c>
      <c r="AB2104">
        <v>27</v>
      </c>
      <c r="AC2104">
        <v>1.2785</v>
      </c>
      <c r="AD2104">
        <v>-1.1259578218569899</v>
      </c>
      <c r="AE2104">
        <v>-17.6416</v>
      </c>
      <c r="AF2104">
        <v>-4.9272208361554002</v>
      </c>
      <c r="AG2104">
        <v>-1.1259578218569899</v>
      </c>
      <c r="AH2104">
        <v>16.913393354161101</v>
      </c>
      <c r="AI2104">
        <v>93.657086830453395</v>
      </c>
      <c r="AJ2104">
        <v>106.241932300503</v>
      </c>
      <c r="AK2104">
        <v>17.652426488656602</v>
      </c>
      <c r="AL2104">
        <v>82.106522218218998</v>
      </c>
      <c r="AM2104">
        <v>101.345017540882</v>
      </c>
      <c r="AN2104">
        <v>1.0000000632635</v>
      </c>
    </row>
    <row r="2105" spans="1:40" x14ac:dyDescent="0.25">
      <c r="A2105" t="str">
        <f>"20190303162545797"</f>
        <v>20190303162545797</v>
      </c>
      <c r="B2105" t="str">
        <f>"1551601545784994"</f>
        <v>1551601545784994</v>
      </c>
      <c r="C2105" t="s">
        <v>40</v>
      </c>
      <c r="D2105">
        <v>4.75997</v>
      </c>
      <c r="E2105">
        <v>0.46737220000000002</v>
      </c>
      <c r="F2105" t="s">
        <v>41</v>
      </c>
      <c r="G2105">
        <v>-489.43920000000003</v>
      </c>
      <c r="H2105" s="1">
        <v>-3.0975820000000001E-6</v>
      </c>
      <c r="I2105">
        <v>246.62139999999999</v>
      </c>
      <c r="J2105">
        <v>-490.87709999999998</v>
      </c>
      <c r="K2105">
        <v>1.1258140000000001</v>
      </c>
      <c r="L2105">
        <v>265.75630000000001</v>
      </c>
      <c r="M2105">
        <v>-0.20354369999999999</v>
      </c>
      <c r="N2105">
        <v>-1.2357480000000001E-2</v>
      </c>
      <c r="O2105">
        <v>-0.97898810000000003</v>
      </c>
      <c r="P2105">
        <v>-1.215023E-2</v>
      </c>
      <c r="Q2105">
        <v>0.12848189999999901</v>
      </c>
      <c r="R2105">
        <v>-0.99163780000000001</v>
      </c>
      <c r="S2105">
        <v>0.21932979999999999</v>
      </c>
      <c r="T2105">
        <v>-0.1773013</v>
      </c>
      <c r="U2105">
        <v>-3.0512700000000001</v>
      </c>
      <c r="V2105">
        <v>-0.1916504</v>
      </c>
      <c r="W2105">
        <v>0.13818710000000001</v>
      </c>
      <c r="X2105">
        <v>0.97168639999999995</v>
      </c>
      <c r="Y2105">
        <v>-0.27303840000000001</v>
      </c>
      <c r="Z2105">
        <v>4.2578829999999998E-2</v>
      </c>
      <c r="AA2105">
        <v>0.96106040000000004</v>
      </c>
      <c r="AB2105">
        <v>27</v>
      </c>
      <c r="AC2105">
        <v>1.43789999999995</v>
      </c>
      <c r="AD2105">
        <v>-1.1258170975820001</v>
      </c>
      <c r="AE2105">
        <v>-19.134899999999998</v>
      </c>
      <c r="AF2105">
        <v>-5.28468803945381</v>
      </c>
      <c r="AG2105">
        <v>-1.1258170975820001</v>
      </c>
      <c r="AH2105">
        <v>18.378305887731202</v>
      </c>
      <c r="AI2105">
        <v>93.369247396977897</v>
      </c>
      <c r="AJ2105">
        <v>106.042607144665</v>
      </c>
      <c r="AK2105">
        <v>19.156135286496902</v>
      </c>
      <c r="AL2105">
        <v>82.057044949341503</v>
      </c>
      <c r="AM2105">
        <v>101.15751266309999</v>
      </c>
      <c r="AN2105">
        <v>1.00000000518576</v>
      </c>
    </row>
    <row r="2106" spans="1:40" x14ac:dyDescent="0.25">
      <c r="A2106" t="str">
        <f>"20190303162545822"</f>
        <v>20190303162545822</v>
      </c>
      <c r="B2106" t="str">
        <f>"1551601545815249"</f>
        <v>1551601545815249</v>
      </c>
      <c r="C2106" t="s">
        <v>40</v>
      </c>
      <c r="D2106">
        <v>4.7081939999999998</v>
      </c>
      <c r="E2106">
        <v>0.46818850000000001</v>
      </c>
      <c r="F2106" t="s">
        <v>41</v>
      </c>
      <c r="G2106">
        <v>-489.3716</v>
      </c>
      <c r="H2106" s="1">
        <v>-2.5291949999999999E-6</v>
      </c>
      <c r="I2106">
        <v>245.26859999999999</v>
      </c>
      <c r="J2106">
        <v>-490.92700000000002</v>
      </c>
      <c r="K2106">
        <v>1.1256740000000001</v>
      </c>
      <c r="L2106">
        <v>265.47840000000002</v>
      </c>
      <c r="M2106">
        <v>-0.19683300000000001</v>
      </c>
      <c r="N2106">
        <v>-1.232603E-2</v>
      </c>
      <c r="O2106">
        <v>-0.98035950000000005</v>
      </c>
      <c r="P2106">
        <v>-1.033879E-2</v>
      </c>
      <c r="Q2106">
        <v>0.1282586</v>
      </c>
      <c r="R2106">
        <v>-0.99168710000000004</v>
      </c>
      <c r="S2106">
        <v>0.2240906</v>
      </c>
      <c r="T2106">
        <v>-0.16758429999999999</v>
      </c>
      <c r="U2106">
        <v>-3.0497130000000001</v>
      </c>
      <c r="V2106">
        <v>-0.18671090000000001</v>
      </c>
      <c r="W2106">
        <v>0.13807329999999901</v>
      </c>
      <c r="X2106">
        <v>0.97266379999999997</v>
      </c>
      <c r="Y2106">
        <v>-0.26799050000000002</v>
      </c>
      <c r="Z2106">
        <v>3.9779259999999997E-2</v>
      </c>
      <c r="AA2106">
        <v>0.96260000000000001</v>
      </c>
      <c r="AB2106">
        <v>27</v>
      </c>
      <c r="AC2106">
        <v>1.5553999999999599</v>
      </c>
      <c r="AD2106">
        <v>-1.1256765291949999</v>
      </c>
      <c r="AE2106">
        <v>-20.209800000000001</v>
      </c>
      <c r="AF2106">
        <v>-5.4863043514580099</v>
      </c>
      <c r="AG2106">
        <v>-1.1256765291949999</v>
      </c>
      <c r="AH2106">
        <v>19.448216646671501</v>
      </c>
      <c r="AI2106">
        <v>93.188456868390801</v>
      </c>
      <c r="AJ2106">
        <v>105.753656758281</v>
      </c>
      <c r="AK2106">
        <v>20.2385724254721</v>
      </c>
      <c r="AL2106">
        <v>82.0636285315652</v>
      </c>
      <c r="AM2106">
        <v>100.866221629092</v>
      </c>
      <c r="AN2106">
        <v>1.00000003209106</v>
      </c>
    </row>
    <row r="2107" spans="1:40" x14ac:dyDescent="0.25">
      <c r="A2107" t="str">
        <f>"20190303162545842"</f>
        <v>20190303162545842</v>
      </c>
      <c r="B2107" t="str">
        <f>"1551601545834769"</f>
        <v>1551601545834769</v>
      </c>
      <c r="C2107" t="s">
        <v>40</v>
      </c>
      <c r="D2107">
        <v>4.8147409999999997</v>
      </c>
      <c r="E2107">
        <v>0.4687074</v>
      </c>
      <c r="F2107" t="s">
        <v>41</v>
      </c>
      <c r="G2107">
        <v>-489.35719999999998</v>
      </c>
      <c r="H2107" s="1">
        <v>-2.0715220000000002E-6</v>
      </c>
      <c r="I2107">
        <v>244.19569999999999</v>
      </c>
      <c r="J2107">
        <v>-490.96980000000002</v>
      </c>
      <c r="K2107">
        <v>1.1255550000000001</v>
      </c>
      <c r="L2107">
        <v>265.2319</v>
      </c>
      <c r="M2107">
        <v>-0.19102250000000001</v>
      </c>
      <c r="N2107">
        <v>-1.2300230000000001E-2</v>
      </c>
      <c r="O2107">
        <v>-0.98150859999999995</v>
      </c>
      <c r="P2107">
        <v>-1.0169279999999999E-2</v>
      </c>
      <c r="Q2107">
        <v>0.1274827</v>
      </c>
      <c r="R2107">
        <v>-0.99178860000000002</v>
      </c>
      <c r="S2107">
        <v>0.22485350000000001</v>
      </c>
      <c r="T2107">
        <v>-0.16123370000000001</v>
      </c>
      <c r="U2107">
        <v>-3.0483699999999998</v>
      </c>
      <c r="V2107">
        <v>-0.18107190000000001</v>
      </c>
      <c r="W2107">
        <v>0.13740639999999901</v>
      </c>
      <c r="X2107">
        <v>0.97382360000000001</v>
      </c>
      <c r="Y2107">
        <v>-0.26256230000000003</v>
      </c>
      <c r="Z2107">
        <v>3.7986640000000002E-2</v>
      </c>
      <c r="AA2107">
        <v>0.96416710000000005</v>
      </c>
      <c r="AB2107">
        <v>27</v>
      </c>
      <c r="AC2107">
        <v>1.61260000000004</v>
      </c>
      <c r="AD2107">
        <v>-1.12555707152199</v>
      </c>
      <c r="AE2107">
        <v>-21.036200000000001</v>
      </c>
      <c r="AF2107">
        <v>-5.5856943314612399</v>
      </c>
      <c r="AG2107">
        <v>-1.12555707152199</v>
      </c>
      <c r="AH2107">
        <v>20.282978746235699</v>
      </c>
      <c r="AI2107">
        <v>93.062463920634102</v>
      </c>
      <c r="AJ2107">
        <v>105.396931088329</v>
      </c>
      <c r="AK2107">
        <v>21.068129644228499</v>
      </c>
      <c r="AL2107">
        <v>82.102206366104696</v>
      </c>
      <c r="AM2107">
        <v>100.53323619709499</v>
      </c>
      <c r="AN2107">
        <v>0.99999997782376404</v>
      </c>
    </row>
    <row r="2108" spans="1:40" x14ac:dyDescent="0.25">
      <c r="A2108" t="str">
        <f>"20190303162545864"</f>
        <v>20190303162545864</v>
      </c>
      <c r="B2108" t="str">
        <f>"1551601545855266"</f>
        <v>1551601545855266</v>
      </c>
      <c r="C2108" t="s">
        <v>40</v>
      </c>
      <c r="D2108">
        <v>4.7070210000000001</v>
      </c>
      <c r="E2108">
        <v>0.4690435</v>
      </c>
      <c r="F2108" t="s">
        <v>41</v>
      </c>
      <c r="G2108">
        <v>-489.40069999999997</v>
      </c>
      <c r="H2108" s="1">
        <v>-1.8605039999999999E-6</v>
      </c>
      <c r="I2108">
        <v>243.7218</v>
      </c>
      <c r="J2108">
        <v>-491.01459999999997</v>
      </c>
      <c r="K2108">
        <v>1.1254420000000001</v>
      </c>
      <c r="L2108">
        <v>264.96570000000003</v>
      </c>
      <c r="M2108">
        <v>-0.18487239999999999</v>
      </c>
      <c r="N2108">
        <v>-1.2274510000000001E-2</v>
      </c>
      <c r="O2108">
        <v>-0.98268599999999995</v>
      </c>
      <c r="P2108">
        <v>-9.2965180000000001E-3</v>
      </c>
      <c r="Q2108">
        <v>0.12731429999999999</v>
      </c>
      <c r="R2108">
        <v>-0.99181889999999995</v>
      </c>
      <c r="S2108">
        <v>0.22232060000000001</v>
      </c>
      <c r="T2108">
        <v>-0.15947220000000001</v>
      </c>
      <c r="U2108">
        <v>-3.0476070000000002</v>
      </c>
      <c r="V2108">
        <v>-0.17578389999999999</v>
      </c>
      <c r="W2108">
        <v>0.1373336</v>
      </c>
      <c r="X2108">
        <v>0.97480230000000001</v>
      </c>
      <c r="Y2108">
        <v>-0.25573970000000001</v>
      </c>
      <c r="Z2108">
        <v>3.7621450000000001E-2</v>
      </c>
      <c r="AA2108">
        <v>0.96601340000000002</v>
      </c>
      <c r="AB2108">
        <v>27</v>
      </c>
      <c r="AC2108">
        <v>1.6138999999999999</v>
      </c>
      <c r="AD2108">
        <v>-1.125443860504</v>
      </c>
      <c r="AE2108">
        <v>-21.2439</v>
      </c>
      <c r="AF2108">
        <v>-5.4984391057792497</v>
      </c>
      <c r="AG2108">
        <v>-1.125443860504</v>
      </c>
      <c r="AH2108">
        <v>20.5219990309986</v>
      </c>
      <c r="AI2108">
        <v>93.032264247594995</v>
      </c>
      <c r="AJ2108">
        <v>104.998921667178</v>
      </c>
      <c r="AK2108">
        <v>21.275617516570801</v>
      </c>
      <c r="AL2108">
        <v>82.106417681231207</v>
      </c>
      <c r="AM2108">
        <v>100.222161727895</v>
      </c>
      <c r="AN2108">
        <v>1.0000000106367299</v>
      </c>
    </row>
    <row r="2109" spans="1:40" x14ac:dyDescent="0.25">
      <c r="A2109" t="str">
        <f>"20190303162545885"</f>
        <v>20190303162545885</v>
      </c>
      <c r="B2109" t="str">
        <f>"1551601545874785"</f>
        <v>1551601545874785</v>
      </c>
      <c r="C2109" t="s">
        <v>40</v>
      </c>
      <c r="D2109">
        <v>4.7084729999999997</v>
      </c>
      <c r="E2109">
        <v>0.46930509999999998</v>
      </c>
      <c r="F2109" t="s">
        <v>41</v>
      </c>
      <c r="G2109">
        <v>-489.3997</v>
      </c>
      <c r="H2109" s="1">
        <v>-1.520374E-6</v>
      </c>
      <c r="I2109">
        <v>242.92859999999999</v>
      </c>
      <c r="J2109">
        <v>-491.05549999999999</v>
      </c>
      <c r="K2109">
        <v>1.125353</v>
      </c>
      <c r="L2109">
        <v>264.71370000000002</v>
      </c>
      <c r="M2109">
        <v>-0.17917539999999901</v>
      </c>
      <c r="N2109">
        <v>-1.22522E-2</v>
      </c>
      <c r="O2109">
        <v>-0.98374090000000003</v>
      </c>
      <c r="P2109">
        <v>-8.4031119999999904E-3</v>
      </c>
      <c r="Q2109">
        <v>0.1277065</v>
      </c>
      <c r="R2109">
        <v>-0.99177669999999996</v>
      </c>
      <c r="S2109">
        <v>0.22326660000000001</v>
      </c>
      <c r="T2109">
        <v>-0.15560199999999999</v>
      </c>
      <c r="U2109">
        <v>-3.0468139999999999</v>
      </c>
      <c r="V2109">
        <v>-0.17096649999999999</v>
      </c>
      <c r="W2109">
        <v>0.13780789999999901</v>
      </c>
      <c r="X2109">
        <v>0.97559180000000001</v>
      </c>
      <c r="Y2109">
        <v>-0.25045879999999998</v>
      </c>
      <c r="Z2109">
        <v>3.6564029999999997E-2</v>
      </c>
      <c r="AA2109">
        <v>0.96743659999999998</v>
      </c>
      <c r="AB2109">
        <v>27</v>
      </c>
      <c r="AC2109">
        <v>1.6557999999999899</v>
      </c>
      <c r="AD2109">
        <v>-1.1253545203740001</v>
      </c>
      <c r="AE2109">
        <v>-21.7851</v>
      </c>
      <c r="AF2109">
        <v>-5.5180072313189097</v>
      </c>
      <c r="AG2109">
        <v>-1.1253545203740001</v>
      </c>
      <c r="AH2109">
        <v>21.0798731175333</v>
      </c>
      <c r="AI2109">
        <v>92.956423451253897</v>
      </c>
      <c r="AJ2109">
        <v>104.668986249326</v>
      </c>
      <c r="AK2109">
        <v>21.819163074066701</v>
      </c>
      <c r="AL2109">
        <v>82.078981030473599</v>
      </c>
      <c r="AM2109">
        <v>99.939803460658496</v>
      </c>
      <c r="AN2109">
        <v>0.999999960825949</v>
      </c>
    </row>
    <row r="2110" spans="1:40" x14ac:dyDescent="0.25">
      <c r="A2110" t="str">
        <f>"20190303162545907"</f>
        <v>20190303162545907</v>
      </c>
      <c r="B2110" t="str">
        <f>"1551601545895281"</f>
        <v>1551601545895281</v>
      </c>
      <c r="C2110" t="s">
        <v>40</v>
      </c>
      <c r="D2110">
        <v>4.6835000000000004</v>
      </c>
      <c r="E2110">
        <v>0.46957270000000001</v>
      </c>
      <c r="F2110" t="s">
        <v>41</v>
      </c>
      <c r="G2110">
        <v>-489.39640000000003</v>
      </c>
      <c r="H2110" s="1">
        <v>-1.195238E-6</v>
      </c>
      <c r="I2110">
        <v>242.16929999999999</v>
      </c>
      <c r="J2110">
        <v>-491.09589999999997</v>
      </c>
      <c r="K2110">
        <v>1.125251</v>
      </c>
      <c r="L2110">
        <v>264.45589999999999</v>
      </c>
      <c r="M2110">
        <v>-0.1734966</v>
      </c>
      <c r="N2110">
        <v>-1.2230110000000001E-2</v>
      </c>
      <c r="O2110">
        <v>-0.98475880000000005</v>
      </c>
      <c r="P2110">
        <v>-7.7776410000000001E-3</v>
      </c>
      <c r="Q2110">
        <v>0.12790960000000001</v>
      </c>
      <c r="R2110">
        <v>-0.99175550000000001</v>
      </c>
      <c r="S2110">
        <v>0.2241821</v>
      </c>
      <c r="T2110">
        <v>-0.15206549999999999</v>
      </c>
      <c r="U2110">
        <v>-3.0463559999999998</v>
      </c>
      <c r="V2110">
        <v>-0.16590350000000001</v>
      </c>
      <c r="W2110">
        <v>0.13809830000000001</v>
      </c>
      <c r="X2110">
        <v>0.97642450000000003</v>
      </c>
      <c r="Y2110">
        <v>-0.24517649999999999</v>
      </c>
      <c r="Z2110">
        <v>3.5596089999999997E-2</v>
      </c>
      <c r="AA2110">
        <v>0.96882469999999998</v>
      </c>
      <c r="AB2110">
        <v>27</v>
      </c>
      <c r="AC2110">
        <v>1.6994999999999401</v>
      </c>
      <c r="AD2110">
        <v>-1.1252521952379999</v>
      </c>
      <c r="AE2110">
        <v>-22.2866</v>
      </c>
      <c r="AF2110">
        <v>-5.5266524449193897</v>
      </c>
      <c r="AG2110">
        <v>-1.1252521952379999</v>
      </c>
      <c r="AH2110">
        <v>21.5989389243307</v>
      </c>
      <c r="AI2110">
        <v>92.889352852363999</v>
      </c>
      <c r="AJ2110">
        <v>104.352674491108</v>
      </c>
      <c r="AK2110">
        <v>22.3231772471302</v>
      </c>
      <c r="AL2110">
        <v>82.062181690437001</v>
      </c>
      <c r="AM2110">
        <v>99.642988588834896</v>
      </c>
      <c r="AN2110">
        <v>0.99999995798769403</v>
      </c>
    </row>
    <row r="2111" spans="1:40" x14ac:dyDescent="0.25">
      <c r="A2111" t="str">
        <f>"20190303162545931"</f>
        <v>20190303162545931</v>
      </c>
      <c r="B2111" t="str">
        <f>"1551601545925537"</f>
        <v>1551601545925537</v>
      </c>
      <c r="C2111" t="s">
        <v>40</v>
      </c>
      <c r="D2111">
        <v>4.7501989999999896</v>
      </c>
      <c r="E2111">
        <v>0.47002959999999999</v>
      </c>
      <c r="F2111" t="s">
        <v>41</v>
      </c>
      <c r="G2111">
        <v>-489.38729999999998</v>
      </c>
      <c r="H2111" s="1">
        <v>-8.3820290000000001E-7</v>
      </c>
      <c r="I2111">
        <v>241.33330000000001</v>
      </c>
      <c r="J2111">
        <v>-491.13850000000002</v>
      </c>
      <c r="K2111">
        <v>1.125119</v>
      </c>
      <c r="L2111">
        <v>264.17529999999999</v>
      </c>
      <c r="M2111">
        <v>-0.1675227</v>
      </c>
      <c r="N2111">
        <v>-1.220512E-2</v>
      </c>
      <c r="O2111">
        <v>-0.98579280000000002</v>
      </c>
      <c r="P2111">
        <v>-6.4206519999999998E-3</v>
      </c>
      <c r="Q2111">
        <v>0.1297953</v>
      </c>
      <c r="R2111">
        <v>-0.99152050000000003</v>
      </c>
      <c r="S2111">
        <v>0.22506709999999999</v>
      </c>
      <c r="T2111">
        <v>-0.1482213</v>
      </c>
      <c r="U2111">
        <v>-3.045776</v>
      </c>
      <c r="V2111">
        <v>-0.16123970000000001</v>
      </c>
      <c r="W2111">
        <v>0.1400721</v>
      </c>
      <c r="X2111">
        <v>0.97692449999999997</v>
      </c>
      <c r="Y2111">
        <v>-0.23959539999999999</v>
      </c>
      <c r="Z2111">
        <v>3.4532769999999997E-2</v>
      </c>
      <c r="AA2111">
        <v>0.97025850000000002</v>
      </c>
      <c r="AB2111">
        <v>27</v>
      </c>
      <c r="AC2111">
        <v>1.7512000000000301</v>
      </c>
      <c r="AD2111">
        <v>-1.12511983820289</v>
      </c>
      <c r="AE2111">
        <v>-22.841999999999899</v>
      </c>
      <c r="AF2111">
        <v>-5.53992426013225</v>
      </c>
      <c r="AG2111">
        <v>-1.12511983820289</v>
      </c>
      <c r="AH2111">
        <v>22.172285541156601</v>
      </c>
      <c r="AI2111">
        <v>92.818450983733101</v>
      </c>
      <c r="AJ2111">
        <v>104.028589057462</v>
      </c>
      <c r="AK2111">
        <v>22.881584332753299</v>
      </c>
      <c r="AL2111">
        <v>81.947981262865696</v>
      </c>
      <c r="AM2111">
        <v>99.372077520507503</v>
      </c>
      <c r="AN2111">
        <v>0.99999995637737304</v>
      </c>
    </row>
    <row r="2112" spans="1:40" x14ac:dyDescent="0.25">
      <c r="A2112" t="str">
        <f>"20190303162545953"</f>
        <v>20190303162545953</v>
      </c>
      <c r="B2112" t="str">
        <f>"1551601545945058"</f>
        <v>1551601545945058</v>
      </c>
      <c r="C2112" t="s">
        <v>40</v>
      </c>
      <c r="D2112">
        <v>4.813542</v>
      </c>
      <c r="E2112">
        <v>0.4703041</v>
      </c>
      <c r="F2112" t="s">
        <v>41</v>
      </c>
      <c r="G2112">
        <v>-489.30119999999999</v>
      </c>
      <c r="H2112" s="1">
        <v>-4.319681E-6</v>
      </c>
      <c r="I2112">
        <v>239.41309999999999</v>
      </c>
      <c r="J2112">
        <v>-491.17739999999998</v>
      </c>
      <c r="K2112">
        <v>1.124959</v>
      </c>
      <c r="L2112">
        <v>263.90989999999999</v>
      </c>
      <c r="M2112">
        <v>-0.16211619999999999</v>
      </c>
      <c r="N2112">
        <v>-1.218025E-2</v>
      </c>
      <c r="O2112">
        <v>-0.98669660000000003</v>
      </c>
      <c r="P2112">
        <v>-6.7409499999999999E-3</v>
      </c>
      <c r="Q2112">
        <v>0.13241820000000001</v>
      </c>
      <c r="R2112">
        <v>-0.99117120000000003</v>
      </c>
      <c r="S2112">
        <v>0.22595209999999999</v>
      </c>
      <c r="T2112">
        <v>-0.13836670000000001</v>
      </c>
      <c r="U2112">
        <v>-3.0452270000000001</v>
      </c>
      <c r="V2112">
        <v>-0.15546689999999999</v>
      </c>
      <c r="W2112">
        <v>0.14280190000000001</v>
      </c>
      <c r="X2112">
        <v>0.97746489999999997</v>
      </c>
      <c r="Y2112">
        <v>-0.23457810000000001</v>
      </c>
      <c r="Z2112">
        <v>3.1549920000000002E-2</v>
      </c>
      <c r="AA2112">
        <v>0.97158520000000004</v>
      </c>
      <c r="AB2112">
        <v>27</v>
      </c>
      <c r="AC2112">
        <v>1.8761999999999801</v>
      </c>
      <c r="AD2112">
        <v>-1.1249633196810001</v>
      </c>
      <c r="AE2112">
        <v>-24.4968</v>
      </c>
      <c r="AF2112">
        <v>-5.81081664171412</v>
      </c>
      <c r="AG2112">
        <v>-1.1249633196810001</v>
      </c>
      <c r="AH2112">
        <v>23.8185767742868</v>
      </c>
      <c r="AI2112">
        <v>92.627160844658604</v>
      </c>
      <c r="AJ2112">
        <v>103.710157000599</v>
      </c>
      <c r="AK2112">
        <v>24.542936500485101</v>
      </c>
      <c r="AL2112">
        <v>81.7899871461739</v>
      </c>
      <c r="AM2112">
        <v>99.037260055692798</v>
      </c>
      <c r="AN2112">
        <v>0.99999998518561395</v>
      </c>
    </row>
    <row r="2113" spans="1:40" x14ac:dyDescent="0.25">
      <c r="A2113" t="str">
        <f>"20190303162545988"</f>
        <v>20190303162545988</v>
      </c>
      <c r="B2113" t="str">
        <f>"1551601545975313"</f>
        <v>1551601545975313</v>
      </c>
      <c r="C2113" t="s">
        <v>40</v>
      </c>
      <c r="D2113">
        <v>4.8185849999999997</v>
      </c>
      <c r="E2113">
        <v>0.47060210000000002</v>
      </c>
      <c r="F2113" t="s">
        <v>41</v>
      </c>
      <c r="G2113">
        <v>-489.21969999999999</v>
      </c>
      <c r="H2113" s="1">
        <v>-3.3326870000000001E-6</v>
      </c>
      <c r="I2113">
        <v>237.0787</v>
      </c>
      <c r="J2113">
        <v>-491.23410000000001</v>
      </c>
      <c r="K2113">
        <v>1.124619</v>
      </c>
      <c r="L2113">
        <v>263.50830000000002</v>
      </c>
      <c r="M2113">
        <v>-0.15451960000000001</v>
      </c>
      <c r="N2113">
        <v>-1.213876E-2</v>
      </c>
      <c r="O2113">
        <v>-0.98791519999999999</v>
      </c>
      <c r="P2113">
        <v>-1.4303300000000001E-3</v>
      </c>
      <c r="Q2113">
        <v>0.13166020000000001</v>
      </c>
      <c r="R2113">
        <v>-0.9912938</v>
      </c>
      <c r="S2113">
        <v>0.22219849999999999</v>
      </c>
      <c r="T2113">
        <v>-0.12768099999999999</v>
      </c>
      <c r="U2113">
        <v>-3.0452880000000002</v>
      </c>
      <c r="V2113">
        <v>-0.1530687</v>
      </c>
      <c r="W2113">
        <v>0.14215910000000001</v>
      </c>
      <c r="X2113">
        <v>0.97793699999999995</v>
      </c>
      <c r="Y2113">
        <v>-0.2259129</v>
      </c>
      <c r="Z2113">
        <v>2.8339260000000002E-2</v>
      </c>
      <c r="AA2113">
        <v>0.97373520000000002</v>
      </c>
      <c r="AB2113">
        <v>27</v>
      </c>
      <c r="AC2113">
        <v>2.0144000000000202</v>
      </c>
      <c r="AD2113">
        <v>-1.124622332687</v>
      </c>
      <c r="AE2113">
        <v>-26.429600000000001</v>
      </c>
      <c r="AF2113">
        <v>-6.0634794726249597</v>
      </c>
      <c r="AG2113">
        <v>-1.124622332687</v>
      </c>
      <c r="AH2113">
        <v>25.754476184659399</v>
      </c>
      <c r="AI2113">
        <v>92.433888788497896</v>
      </c>
      <c r="AJ2113">
        <v>103.24811417191999</v>
      </c>
      <c r="AK2113">
        <v>26.482515028831902</v>
      </c>
      <c r="AL2113">
        <v>81.827196672597694</v>
      </c>
      <c r="AM2113">
        <v>98.895874125876205</v>
      </c>
      <c r="AN2113">
        <v>1.0000000063007499</v>
      </c>
    </row>
    <row r="2114" spans="1:40" x14ac:dyDescent="0.25">
      <c r="A2114" t="str">
        <f>"20190303162546007"</f>
        <v>20190303162546007</v>
      </c>
      <c r="B2114" t="str">
        <f>"1551601545994834"</f>
        <v>1551601545994834</v>
      </c>
      <c r="C2114" t="s">
        <v>40</v>
      </c>
      <c r="D2114">
        <v>4.8058199999999998</v>
      </c>
      <c r="E2114">
        <v>0.47084989999999999</v>
      </c>
      <c r="F2114" t="s">
        <v>41</v>
      </c>
      <c r="G2114">
        <v>-489.17070000000001</v>
      </c>
      <c r="H2114" s="1">
        <v>-3.1455920000000002E-6</v>
      </c>
      <c r="I2114">
        <v>236.6223</v>
      </c>
      <c r="J2114">
        <v>-491.26760000000002</v>
      </c>
      <c r="K2114">
        <v>1.1243799999999999</v>
      </c>
      <c r="L2114">
        <v>263.26299999999998</v>
      </c>
      <c r="M2114">
        <v>-0.15024309999999999</v>
      </c>
      <c r="N2114">
        <v>-1.21081E-2</v>
      </c>
      <c r="O2114">
        <v>-0.98857499999999998</v>
      </c>
      <c r="P2114">
        <v>2.1610539999999999E-3</v>
      </c>
      <c r="Q2114">
        <v>0.12981589999999901</v>
      </c>
      <c r="R2114">
        <v>-0.99153579999999997</v>
      </c>
      <c r="S2114">
        <v>0.2335815</v>
      </c>
      <c r="T2114">
        <v>-0.12731339999999999</v>
      </c>
      <c r="U2114">
        <v>-3.0436399999999999</v>
      </c>
      <c r="V2114">
        <v>-0.1523187</v>
      </c>
      <c r="W2114">
        <v>0.1403809</v>
      </c>
      <c r="X2114">
        <v>0.97831089999999998</v>
      </c>
      <c r="Y2114">
        <v>-0.2253578</v>
      </c>
      <c r="Z2114">
        <v>2.8312159999999999E-2</v>
      </c>
      <c r="AA2114">
        <v>0.97386459999999997</v>
      </c>
      <c r="AB2114">
        <v>27</v>
      </c>
      <c r="AC2114">
        <v>2.0969000000000002</v>
      </c>
      <c r="AD2114">
        <v>-1.1243831455919999</v>
      </c>
      <c r="AE2114">
        <v>-26.640699999999899</v>
      </c>
      <c r="AF2114">
        <v>-6.0652318095786599</v>
      </c>
      <c r="AG2114">
        <v>-1.1243831455919999</v>
      </c>
      <c r="AH2114">
        <v>25.977202944733499</v>
      </c>
      <c r="AI2114">
        <v>92.413578082558899</v>
      </c>
      <c r="AJ2114">
        <v>103.142147287391</v>
      </c>
      <c r="AK2114">
        <v>26.699557059881901</v>
      </c>
      <c r="AL2114">
        <v>81.930112121312206</v>
      </c>
      <c r="AM2114">
        <v>98.849648629900898</v>
      </c>
      <c r="AN2114">
        <v>1.00000000025665</v>
      </c>
    </row>
    <row r="2115" spans="1:40" x14ac:dyDescent="0.25">
      <c r="A2115" t="str">
        <f>"20190303162546029"</f>
        <v>20190303162546029</v>
      </c>
      <c r="B2115" t="str">
        <f>"1551601546025090"</f>
        <v>1551601546025090</v>
      </c>
      <c r="C2115" t="s">
        <v>40</v>
      </c>
      <c r="D2115">
        <v>4.8745820000000002</v>
      </c>
      <c r="E2115">
        <v>0.47122940000000002</v>
      </c>
      <c r="F2115" t="s">
        <v>41</v>
      </c>
      <c r="G2115">
        <v>-489.21050000000002</v>
      </c>
      <c r="H2115" s="1">
        <v>-3.420119E-6</v>
      </c>
      <c r="I2115">
        <v>237.27869999999999</v>
      </c>
      <c r="J2115">
        <v>-491.30360000000002</v>
      </c>
      <c r="K2115">
        <v>1.124118</v>
      </c>
      <c r="L2115">
        <v>262.99270000000001</v>
      </c>
      <c r="M2115">
        <v>-0.1458535</v>
      </c>
      <c r="N2115">
        <v>-1.2072940000000001E-2</v>
      </c>
      <c r="O2115">
        <v>-0.98923260000000002</v>
      </c>
      <c r="P2115">
        <v>6.2458110000000004E-3</v>
      </c>
      <c r="Q2115">
        <v>0.1291369</v>
      </c>
      <c r="R2115">
        <v>-0.99160720000000002</v>
      </c>
      <c r="S2115">
        <v>0.24084469999999999</v>
      </c>
      <c r="T2115">
        <v>-0.1316466</v>
      </c>
      <c r="U2115">
        <v>-3.0423279999999999</v>
      </c>
      <c r="V2115">
        <v>-0.15192710000000001</v>
      </c>
      <c r="W2115">
        <v>0.13976469999999999</v>
      </c>
      <c r="X2115">
        <v>0.97846</v>
      </c>
      <c r="Y2115">
        <v>-0.22337119999999999</v>
      </c>
      <c r="Z2115">
        <v>2.979002E-2</v>
      </c>
      <c r="AA2115">
        <v>0.97427819999999998</v>
      </c>
      <c r="AB2115">
        <v>27</v>
      </c>
      <c r="AC2115">
        <v>2.09309999999999</v>
      </c>
      <c r="AD2115">
        <v>-1.124121420119</v>
      </c>
      <c r="AE2115">
        <v>-25.713999999999999</v>
      </c>
      <c r="AF2115">
        <v>-5.8104322079075699</v>
      </c>
      <c r="AG2115">
        <v>-1.124121420119</v>
      </c>
      <c r="AH2115">
        <v>25.0860443735267</v>
      </c>
      <c r="AI2115">
        <v>92.499656105192997</v>
      </c>
      <c r="AJ2115">
        <v>103.040894641238</v>
      </c>
      <c r="AK2115">
        <v>25.7746851332933</v>
      </c>
      <c r="AL2115">
        <v>81.965769262214096</v>
      </c>
      <c r="AM2115">
        <v>98.825931674209599</v>
      </c>
      <c r="AN2115">
        <v>0.99999999334025003</v>
      </c>
    </row>
    <row r="2116" spans="1:40" x14ac:dyDescent="0.25">
      <c r="A2116" t="str">
        <f>"20190303162546054"</f>
        <v>20190303162546054</v>
      </c>
      <c r="B2116" t="str">
        <f>"1551601546045585"</f>
        <v>1551601546045585</v>
      </c>
      <c r="C2116" t="s">
        <v>40</v>
      </c>
      <c r="D2116">
        <v>4.8189469999999996</v>
      </c>
      <c r="E2116">
        <v>0.47143659999999998</v>
      </c>
      <c r="F2116" t="s">
        <v>41</v>
      </c>
      <c r="G2116">
        <v>-489.17750000000001</v>
      </c>
      <c r="H2116" s="1">
        <v>-3.3339750000000001E-6</v>
      </c>
      <c r="I2116">
        <v>237.0643</v>
      </c>
      <c r="J2116">
        <v>-491.34120000000001</v>
      </c>
      <c r="K2116">
        <v>1.12385</v>
      </c>
      <c r="L2116">
        <v>262.70499999999998</v>
      </c>
      <c r="M2116">
        <v>-0.1416056</v>
      </c>
      <c r="N2116">
        <v>-1.2036959999999999E-2</v>
      </c>
      <c r="O2116">
        <v>-0.98985020000000001</v>
      </c>
      <c r="P2116">
        <v>9.1151349999999999E-3</v>
      </c>
      <c r="Q2116">
        <v>0.12836710000000001</v>
      </c>
      <c r="R2116">
        <v>-0.99168509999999999</v>
      </c>
      <c r="S2116">
        <v>0.2493591</v>
      </c>
      <c r="T2116">
        <v>-0.13184109999999999</v>
      </c>
      <c r="U2116">
        <v>-3.040985</v>
      </c>
      <c r="V2116">
        <v>-0.15046970000000001</v>
      </c>
      <c r="W2116">
        <v>0.13907539999999999</v>
      </c>
      <c r="X2116">
        <v>0.97878339999999997</v>
      </c>
      <c r="Y2116">
        <v>-0.22193109999999999</v>
      </c>
      <c r="Z2116">
        <v>2.9948610000000001E-2</v>
      </c>
      <c r="AA2116">
        <v>0.97460230000000003</v>
      </c>
      <c r="AB2116">
        <v>27</v>
      </c>
      <c r="AC2116">
        <v>2.1637</v>
      </c>
      <c r="AD2116">
        <v>-1.1238533339749901</v>
      </c>
      <c r="AE2116">
        <v>-25.640699999999899</v>
      </c>
      <c r="AF2116">
        <v>-5.7620311030150999</v>
      </c>
      <c r="AG2116">
        <v>-1.1238533339749901</v>
      </c>
      <c r="AH2116">
        <v>25.0281283515232</v>
      </c>
      <c r="AI2116">
        <v>92.505603065933201</v>
      </c>
      <c r="AJ2116">
        <v>102.964856130968</v>
      </c>
      <c r="AK2116">
        <v>25.7074163915536</v>
      </c>
      <c r="AL2116">
        <v>82.005652994233401</v>
      </c>
      <c r="AM2116">
        <v>98.739736838324703</v>
      </c>
      <c r="AN2116">
        <v>1.0000000208094</v>
      </c>
    </row>
    <row r="2117" spans="1:40" x14ac:dyDescent="0.25">
      <c r="A2117" t="str">
        <f>"20190303162546075"</f>
        <v>20190303162546075</v>
      </c>
      <c r="B2117" t="str">
        <f>"1551601546065106"</f>
        <v>1551601546065106</v>
      </c>
      <c r="C2117" t="s">
        <v>40</v>
      </c>
      <c r="D2117">
        <v>4.8696789999999996</v>
      </c>
      <c r="E2117">
        <v>0.47166619999999998</v>
      </c>
      <c r="F2117" t="s">
        <v>41</v>
      </c>
      <c r="G2117">
        <v>-489.17439999999999</v>
      </c>
      <c r="H2117" s="1">
        <v>-3.3217980000000001E-6</v>
      </c>
      <c r="I2117">
        <v>237.03460000000001</v>
      </c>
      <c r="J2117">
        <v>-491.37380000000002</v>
      </c>
      <c r="K2117">
        <v>1.123591</v>
      </c>
      <c r="L2117">
        <v>262.4495</v>
      </c>
      <c r="M2117">
        <v>-0.13822799999999999</v>
      </c>
      <c r="N2117">
        <v>-1.200562E-2</v>
      </c>
      <c r="O2117">
        <v>-0.99032779999999998</v>
      </c>
      <c r="P2117">
        <v>9.3190200000000008E-3</v>
      </c>
      <c r="Q2117">
        <v>0.1294556</v>
      </c>
      <c r="R2117">
        <v>-0.99154140000000002</v>
      </c>
      <c r="S2117">
        <v>0.25659179999999998</v>
      </c>
      <c r="T2117">
        <v>-0.1330906</v>
      </c>
      <c r="U2117">
        <v>-3.0399780000000001</v>
      </c>
      <c r="V2117">
        <v>-0.14722660000000001</v>
      </c>
      <c r="W2117">
        <v>0.1402525</v>
      </c>
      <c r="X2117">
        <v>0.9791086</v>
      </c>
      <c r="Y2117">
        <v>-0.22093260000000001</v>
      </c>
      <c r="Z2117">
        <v>3.0423809999999999E-2</v>
      </c>
      <c r="AA2117">
        <v>0.97481439999999997</v>
      </c>
      <c r="AB2117">
        <v>27</v>
      </c>
      <c r="AC2117">
        <v>2.1994000000000198</v>
      </c>
      <c r="AD2117">
        <v>-1.123594321798</v>
      </c>
      <c r="AE2117">
        <v>-25.4148999999999</v>
      </c>
      <c r="AF2117">
        <v>-5.6805668916505203</v>
      </c>
      <c r="AG2117">
        <v>-1.123594321798</v>
      </c>
      <c r="AH2117">
        <v>24.818703881230501</v>
      </c>
      <c r="AI2117">
        <v>92.526874052761002</v>
      </c>
      <c r="AJ2117">
        <v>102.891938344669</v>
      </c>
      <c r="AK2117">
        <v>25.485277451004901</v>
      </c>
      <c r="AL2117">
        <v>81.937542756984399</v>
      </c>
      <c r="AM2117">
        <v>98.551385260584098</v>
      </c>
      <c r="AN2117">
        <v>1.00000004304888</v>
      </c>
    </row>
    <row r="2118" spans="1:40" x14ac:dyDescent="0.25">
      <c r="A2118" t="str">
        <f>"20190303162546097"</f>
        <v>20190303162546097</v>
      </c>
      <c r="B2118" t="str">
        <f>"1551601546085601"</f>
        <v>1551601546085601</v>
      </c>
      <c r="C2118" t="s">
        <v>40</v>
      </c>
      <c r="D2118">
        <v>4.9403370000000004</v>
      </c>
      <c r="E2118">
        <v>0.47187289999999998</v>
      </c>
      <c r="F2118" t="s">
        <v>41</v>
      </c>
      <c r="G2118">
        <v>-489.13319999999999</v>
      </c>
      <c r="H2118" s="1">
        <v>-2.8088589999999998E-6</v>
      </c>
      <c r="I2118">
        <v>235.8219</v>
      </c>
      <c r="J2118">
        <v>-491.4058</v>
      </c>
      <c r="K2118">
        <v>1.1233329999999999</v>
      </c>
      <c r="L2118">
        <v>262.19529999999997</v>
      </c>
      <c r="M2118">
        <v>-0.13521269999999999</v>
      </c>
      <c r="N2118">
        <v>-1.1970919999999999E-2</v>
      </c>
      <c r="O2118">
        <v>-0.99074430000000002</v>
      </c>
      <c r="P2118">
        <v>8.9674419999999904E-3</v>
      </c>
      <c r="Q2118">
        <v>0.131221</v>
      </c>
      <c r="R2118">
        <v>-0.99131270000000005</v>
      </c>
      <c r="S2118">
        <v>0.25579829999999998</v>
      </c>
      <c r="T2118">
        <v>-0.12827659999999999</v>
      </c>
      <c r="U2118">
        <v>-3.0399780000000001</v>
      </c>
      <c r="V2118">
        <v>-0.14378250000000001</v>
      </c>
      <c r="W2118">
        <v>0.14210059999999999</v>
      </c>
      <c r="X2118">
        <v>0.97935380000000005</v>
      </c>
      <c r="Y2118">
        <v>-0.2177173</v>
      </c>
      <c r="Z2118">
        <v>2.896758E-2</v>
      </c>
      <c r="AA2118">
        <v>0.9755819</v>
      </c>
      <c r="AB2118">
        <v>27</v>
      </c>
      <c r="AC2118">
        <v>2.2726000000000099</v>
      </c>
      <c r="AD2118">
        <v>-1.123335808859</v>
      </c>
      <c r="AE2118">
        <v>-26.373399999999901</v>
      </c>
      <c r="AF2118">
        <v>-5.8075424399837301</v>
      </c>
      <c r="AG2118">
        <v>-1.123335808859</v>
      </c>
      <c r="AH2118">
        <v>25.777440203605099</v>
      </c>
      <c r="AI2118">
        <v>92.434331086446505</v>
      </c>
      <c r="AJ2118">
        <v>102.696500003753</v>
      </c>
      <c r="AK2118">
        <v>26.447416811138901</v>
      </c>
      <c r="AL2118">
        <v>81.830582197369097</v>
      </c>
      <c r="AM2118">
        <v>98.352135248392699</v>
      </c>
      <c r="AN2118">
        <v>0.99999992670052196</v>
      </c>
    </row>
    <row r="2119" spans="1:40" x14ac:dyDescent="0.25">
      <c r="A2119" t="str">
        <f>"20190303162546121"</f>
        <v>20190303162546121</v>
      </c>
      <c r="B2119" t="str">
        <f>"1551601546114881"</f>
        <v>1551601546114881</v>
      </c>
      <c r="C2119" t="s">
        <v>40</v>
      </c>
      <c r="D2119">
        <v>4.9378120000000001</v>
      </c>
      <c r="E2119">
        <v>0.47218700000000002</v>
      </c>
      <c r="F2119" t="s">
        <v>41</v>
      </c>
      <c r="G2119">
        <v>-489.07409999999999</v>
      </c>
      <c r="H2119" s="1">
        <v>-2.1177239999999999E-6</v>
      </c>
      <c r="I2119">
        <v>234.18639999999999</v>
      </c>
      <c r="J2119">
        <v>-491.44159999999999</v>
      </c>
      <c r="K2119">
        <v>1.123054</v>
      </c>
      <c r="L2119">
        <v>261.90629999999999</v>
      </c>
      <c r="M2119">
        <v>-0.13217699999999999</v>
      </c>
      <c r="N2119">
        <v>-1.191648E-2</v>
      </c>
      <c r="O2119">
        <v>-0.99115469999999894</v>
      </c>
      <c r="P2119">
        <v>7.709367E-3</v>
      </c>
      <c r="Q2119">
        <v>0.13238989999999901</v>
      </c>
      <c r="R2119">
        <v>-0.99116800000000005</v>
      </c>
      <c r="S2119">
        <v>0.25308229999999998</v>
      </c>
      <c r="T2119">
        <v>-0.12192989999999999</v>
      </c>
      <c r="U2119">
        <v>-3.0401609999999999</v>
      </c>
      <c r="V2119">
        <v>-0.13941799999999999</v>
      </c>
      <c r="W2119">
        <v>0.14334279999999999</v>
      </c>
      <c r="X2119">
        <v>0.9798038</v>
      </c>
      <c r="Y2119">
        <v>-0.2138641</v>
      </c>
      <c r="Z2119">
        <v>2.7039279999999999E-2</v>
      </c>
      <c r="AA2119">
        <v>0.9764891</v>
      </c>
      <c r="AB2119">
        <v>27</v>
      </c>
      <c r="AC2119">
        <v>2.3675000000000002</v>
      </c>
      <c r="AD2119">
        <v>-1.1230561177239999</v>
      </c>
      <c r="AE2119">
        <v>-27.719899999999999</v>
      </c>
      <c r="AF2119">
        <v>-6.0011385141055298</v>
      </c>
      <c r="AG2119">
        <v>-1.1230561177239999</v>
      </c>
      <c r="AH2119">
        <v>27.119511262334299</v>
      </c>
      <c r="AI2119">
        <v>92.315393532811896</v>
      </c>
      <c r="AJ2119">
        <v>102.477620585965</v>
      </c>
      <c r="AK2119">
        <v>27.798251916566901</v>
      </c>
      <c r="AL2119">
        <v>81.7586739334008</v>
      </c>
      <c r="AM2119">
        <v>98.098353263695003</v>
      </c>
      <c r="AN2119">
        <v>1.00000001176514</v>
      </c>
    </row>
    <row r="2120" spans="1:40" x14ac:dyDescent="0.25">
      <c r="A2120" t="str">
        <f>"20190303162546143"</f>
        <v>20190303162546143</v>
      </c>
      <c r="B2120" t="str">
        <f>"1551601546135378"</f>
        <v>1551601546135378</v>
      </c>
      <c r="C2120" t="s">
        <v>40</v>
      </c>
      <c r="D2120">
        <v>5.0023160000000004</v>
      </c>
      <c r="E2120">
        <v>0.47236020000000001</v>
      </c>
      <c r="F2120" t="s">
        <v>41</v>
      </c>
      <c r="G2120">
        <v>-489.0761</v>
      </c>
      <c r="H2120" s="1">
        <v>-1.454716E-6</v>
      </c>
      <c r="I2120">
        <v>232.64169999999999</v>
      </c>
      <c r="J2120">
        <v>-491.47379999999998</v>
      </c>
      <c r="K2120">
        <v>1.1228340000000001</v>
      </c>
      <c r="L2120">
        <v>261.64280000000002</v>
      </c>
      <c r="M2120">
        <v>-0.12970019999999999</v>
      </c>
      <c r="N2120">
        <v>-1.1855600000000001E-2</v>
      </c>
      <c r="O2120">
        <v>-0.99148239999999999</v>
      </c>
      <c r="P2120">
        <v>5.2985940000000002E-3</v>
      </c>
      <c r="Q2120">
        <v>0.13299029999999901</v>
      </c>
      <c r="R2120">
        <v>-0.99110310000000001</v>
      </c>
      <c r="S2120">
        <v>0.24575810000000001</v>
      </c>
      <c r="T2120">
        <v>-0.1166782</v>
      </c>
      <c r="U2120">
        <v>-3.0404049999999998</v>
      </c>
      <c r="V2120">
        <v>-0.13449179999999999</v>
      </c>
      <c r="W2120">
        <v>0.14398929999999999</v>
      </c>
      <c r="X2120">
        <v>0.98039739999999997</v>
      </c>
      <c r="Y2120">
        <v>-0.2090854</v>
      </c>
      <c r="Z2120">
        <v>2.5464339999999999E-2</v>
      </c>
      <c r="AA2120">
        <v>0.97756580000000004</v>
      </c>
      <c r="AB2120">
        <v>27</v>
      </c>
      <c r="AC2120">
        <v>2.39769999999998</v>
      </c>
      <c r="AD2120">
        <v>-1.122835454716</v>
      </c>
      <c r="AE2120">
        <v>-29.001100000000001</v>
      </c>
      <c r="AF2120">
        <v>-6.1300305703948803</v>
      </c>
      <c r="AG2120">
        <v>-1.122835454716</v>
      </c>
      <c r="AH2120">
        <v>28.402809593375999</v>
      </c>
      <c r="AI2120">
        <v>92.212967971104604</v>
      </c>
      <c r="AJ2120">
        <v>102.17904185123299</v>
      </c>
      <c r="AK2120">
        <v>29.078473602476301</v>
      </c>
      <c r="AL2120">
        <v>81.721243926092995</v>
      </c>
      <c r="AM2120">
        <v>97.811132037782798</v>
      </c>
      <c r="AN2120">
        <v>1.0000000123542401</v>
      </c>
    </row>
    <row r="2121" spans="1:40" x14ac:dyDescent="0.25">
      <c r="A2121" t="str">
        <f>"20190303162546165"</f>
        <v>20190303162546165</v>
      </c>
      <c r="B2121" t="str">
        <f>"1551601546154898"</f>
        <v>1551601546154898</v>
      </c>
      <c r="C2121" t="s">
        <v>40</v>
      </c>
      <c r="D2121">
        <v>5.0037390000000004</v>
      </c>
      <c r="E2121">
        <v>0.47252650000000002</v>
      </c>
      <c r="F2121" t="s">
        <v>41</v>
      </c>
      <c r="G2121">
        <v>-489.11840000000001</v>
      </c>
      <c r="H2121" s="1">
        <v>-1.0115490000000001E-6</v>
      </c>
      <c r="I2121">
        <v>231.62620000000001</v>
      </c>
      <c r="J2121">
        <v>-491.50689999999997</v>
      </c>
      <c r="K2121">
        <v>1.1226590000000001</v>
      </c>
      <c r="L2121">
        <v>261.36810000000003</v>
      </c>
      <c r="M2121">
        <v>-0.1273348</v>
      </c>
      <c r="N2121">
        <v>-1.1786619999999999E-2</v>
      </c>
      <c r="O2121">
        <v>-0.99178980000000005</v>
      </c>
      <c r="P2121">
        <v>3.8900330000000002E-3</v>
      </c>
      <c r="Q2121">
        <v>0.1342226</v>
      </c>
      <c r="R2121">
        <v>-0.99094369999999998</v>
      </c>
      <c r="S2121">
        <v>0.23861689999999999</v>
      </c>
      <c r="T2121">
        <v>-0.11375209999999999</v>
      </c>
      <c r="U2121">
        <v>-3.040924</v>
      </c>
      <c r="V2121">
        <v>-0.13067500000000001</v>
      </c>
      <c r="W2121">
        <v>0.1452311</v>
      </c>
      <c r="X2121">
        <v>0.9807304</v>
      </c>
      <c r="Y2121">
        <v>-0.20446059999999999</v>
      </c>
      <c r="Z2121">
        <v>2.4632870000000001E-2</v>
      </c>
      <c r="AA2121">
        <v>0.97856480000000001</v>
      </c>
      <c r="AB2121">
        <v>27</v>
      </c>
      <c r="AC2121">
        <v>2.3884999999999601</v>
      </c>
      <c r="AD2121">
        <v>-1.122660011549</v>
      </c>
      <c r="AE2121">
        <v>-29.741900000000001</v>
      </c>
      <c r="AF2121">
        <v>-6.1477928790523002</v>
      </c>
      <c r="AG2121">
        <v>-1.122660011549</v>
      </c>
      <c r="AH2121">
        <v>29.154327334643501</v>
      </c>
      <c r="AI2121">
        <v>92.157820021779102</v>
      </c>
      <c r="AJ2121">
        <v>101.907550062007</v>
      </c>
      <c r="AK2121">
        <v>29.816614917203399</v>
      </c>
      <c r="AL2121">
        <v>81.649338708479704</v>
      </c>
      <c r="AM2121">
        <v>97.589531550674394</v>
      </c>
      <c r="AN2121">
        <v>1.0000000727581799</v>
      </c>
    </row>
    <row r="2122" spans="1:40" x14ac:dyDescent="0.25">
      <c r="A2122" t="str">
        <f>"20190303162546188"</f>
        <v>20190303162546188</v>
      </c>
      <c r="B2122" t="str">
        <f>"1551601546175395"</f>
        <v>1551601546175395</v>
      </c>
      <c r="C2122" t="s">
        <v>40</v>
      </c>
      <c r="D2122">
        <v>4.8506479999999996</v>
      </c>
      <c r="E2122">
        <v>0.47272059999999999</v>
      </c>
      <c r="F2122" t="s">
        <v>41</v>
      </c>
      <c r="G2122">
        <v>-489.08870000000002</v>
      </c>
      <c r="H2122" s="1">
        <v>-3.462104E-7</v>
      </c>
      <c r="I2122">
        <v>229.9529</v>
      </c>
      <c r="J2122">
        <v>-491.53789999999998</v>
      </c>
      <c r="K2122">
        <v>1.1225309999999999</v>
      </c>
      <c r="L2122">
        <v>261.10739999999998</v>
      </c>
      <c r="M2122">
        <v>-0.12525059999999999</v>
      </c>
      <c r="N2122">
        <v>-1.1706070000000001E-2</v>
      </c>
      <c r="O2122">
        <v>-0.99205620000000005</v>
      </c>
      <c r="P2122">
        <v>2.896844E-3</v>
      </c>
      <c r="Q2122">
        <v>0.1350344</v>
      </c>
      <c r="R2122">
        <v>-0.99083690000000002</v>
      </c>
      <c r="S2122">
        <v>0.23410030000000001</v>
      </c>
      <c r="T2122">
        <v>-0.1086819</v>
      </c>
      <c r="U2122">
        <v>-3.041229</v>
      </c>
      <c r="V2122">
        <v>-0.12757299999999999</v>
      </c>
      <c r="W2122">
        <v>0.14601700000000001</v>
      </c>
      <c r="X2122">
        <v>0.98102199999999995</v>
      </c>
      <c r="Y2122">
        <v>-0.20095660000000001</v>
      </c>
      <c r="Z2122">
        <v>2.3117370000000002E-2</v>
      </c>
      <c r="AA2122">
        <v>0.97932730000000001</v>
      </c>
      <c r="AB2122">
        <v>27</v>
      </c>
      <c r="AC2122">
        <v>2.4491999999999599</v>
      </c>
      <c r="AD2122">
        <v>-1.1225313462103901</v>
      </c>
      <c r="AE2122">
        <v>-31.154499999999899</v>
      </c>
      <c r="AF2122">
        <v>-6.3241371281677301</v>
      </c>
      <c r="AG2122">
        <v>-1.1225313462103901</v>
      </c>
      <c r="AH2122">
        <v>30.562909814937299</v>
      </c>
      <c r="AI2122">
        <v>92.059848402894502</v>
      </c>
      <c r="AJ2122">
        <v>101.690765063622</v>
      </c>
      <c r="AK2122">
        <v>31.230533831413901</v>
      </c>
      <c r="AL2122">
        <v>81.603824159870499</v>
      </c>
      <c r="AM2122">
        <v>97.409217499011007</v>
      </c>
      <c r="AN2122">
        <v>0.99999999955099905</v>
      </c>
    </row>
    <row r="2123" spans="1:40" x14ac:dyDescent="0.25">
      <c r="A2123" t="str">
        <f>"20190303162546209"</f>
        <v>20190303162546209</v>
      </c>
      <c r="B2123" t="str">
        <f>"1551601546194914"</f>
        <v>1551601546194914</v>
      </c>
      <c r="C2123" t="s">
        <v>40</v>
      </c>
      <c r="D2123">
        <v>5.1218909999999997</v>
      </c>
      <c r="E2123">
        <v>0.47291319999999998</v>
      </c>
      <c r="F2123" t="s">
        <v>46</v>
      </c>
      <c r="G2123">
        <v>-489.09070000000003</v>
      </c>
      <c r="H2123" s="1">
        <v>6.1673149999999996E-6</v>
      </c>
      <c r="I2123">
        <v>228.85830000000001</v>
      </c>
      <c r="J2123">
        <v>-491.5684</v>
      </c>
      <c r="K2123">
        <v>1.1224259999999999</v>
      </c>
      <c r="L2123">
        <v>260.84809999999999</v>
      </c>
      <c r="M2123">
        <v>-0.12329610000000001</v>
      </c>
      <c r="N2123">
        <v>-1.1610270000000001E-2</v>
      </c>
      <c r="O2123">
        <v>-0.99230209999999996</v>
      </c>
      <c r="P2123">
        <v>1.9159800000000001E-3</v>
      </c>
      <c r="Q2123">
        <v>0.13472300000000001</v>
      </c>
      <c r="R2123">
        <v>-0.99088160000000003</v>
      </c>
      <c r="S2123">
        <v>0.23080439999999999</v>
      </c>
      <c r="T2123">
        <v>-0.1058687</v>
      </c>
      <c r="U2123">
        <v>-3.0415040000000002</v>
      </c>
      <c r="V2123">
        <v>-0.1246367</v>
      </c>
      <c r="W2123">
        <v>0.1456547</v>
      </c>
      <c r="X2123">
        <v>0.98145320000000003</v>
      </c>
      <c r="Y2123">
        <v>-0.1979679</v>
      </c>
      <c r="Z2123">
        <v>2.2335049999999999E-2</v>
      </c>
      <c r="AA2123">
        <v>0.97995399999999999</v>
      </c>
      <c r="AB2123">
        <v>27</v>
      </c>
      <c r="AC2123">
        <v>2.4776999999999698</v>
      </c>
      <c r="AD2123">
        <v>-1.1224198326849999</v>
      </c>
      <c r="AE2123">
        <v>-31.989799999999899</v>
      </c>
      <c r="AF2123">
        <v>-6.3954491091565098</v>
      </c>
      <c r="AG2123">
        <v>-1.1224198326849999</v>
      </c>
      <c r="AH2123">
        <v>31.4017435349522</v>
      </c>
      <c r="AI2123">
        <v>92.005955634626702</v>
      </c>
      <c r="AJ2123">
        <v>101.511724757743</v>
      </c>
      <c r="AK2123">
        <v>32.066042671703798</v>
      </c>
      <c r="AL2123">
        <v>81.624806679550701</v>
      </c>
      <c r="AM2123">
        <v>97.237365683421402</v>
      </c>
      <c r="AN2123">
        <v>0.99999999120461003</v>
      </c>
    </row>
    <row r="2124" spans="1:40" x14ac:dyDescent="0.25">
      <c r="A2124" t="str">
        <f>"20190303162546231"</f>
        <v>20190303162546231</v>
      </c>
      <c r="B2124" t="str">
        <f>"1551601546225170"</f>
        <v>1551601546225170</v>
      </c>
      <c r="C2124" t="s">
        <v>40</v>
      </c>
      <c r="D2124">
        <v>4.9960879999999896</v>
      </c>
      <c r="E2124">
        <v>0.47313850000000002</v>
      </c>
      <c r="F2124" t="s">
        <v>46</v>
      </c>
      <c r="G2124">
        <v>-489.16759999999999</v>
      </c>
      <c r="H2124" s="1">
        <v>6.1305309999999998E-6</v>
      </c>
      <c r="I2124">
        <v>228.67349999999999</v>
      </c>
      <c r="J2124">
        <v>-491.6001</v>
      </c>
      <c r="K2124">
        <v>1.1223339999999999</v>
      </c>
      <c r="L2124">
        <v>260.57380000000001</v>
      </c>
      <c r="M2124">
        <v>-0.1213042</v>
      </c>
      <c r="N2124">
        <v>-1.150022E-2</v>
      </c>
      <c r="O2124">
        <v>-0.99254880000000001</v>
      </c>
      <c r="P2124">
        <v>2.6401769999999998E-4</v>
      </c>
      <c r="Q2124">
        <v>0.13322590000000001</v>
      </c>
      <c r="R2124">
        <v>-0.99108569999999996</v>
      </c>
      <c r="S2124">
        <v>0.2269592</v>
      </c>
      <c r="T2124">
        <v>-0.10610799999999999</v>
      </c>
      <c r="U2124">
        <v>-3.0416259999999999</v>
      </c>
      <c r="V2124">
        <v>-0.12101820000000001</v>
      </c>
      <c r="W2124">
        <v>0.14409069999999999</v>
      </c>
      <c r="X2124">
        <v>0.98213669999999997</v>
      </c>
      <c r="Y2124">
        <v>-0.19476560000000001</v>
      </c>
      <c r="Z2124">
        <v>2.254838E-2</v>
      </c>
      <c r="AA2124">
        <v>0.98059059999999998</v>
      </c>
      <c r="AB2124">
        <v>27</v>
      </c>
      <c r="AC2124">
        <v>2.4325000000000001</v>
      </c>
      <c r="AD2124">
        <v>-1.122327869469</v>
      </c>
      <c r="AE2124">
        <v>-31.900300000000001</v>
      </c>
      <c r="AF2124">
        <v>-6.2767062657997696</v>
      </c>
      <c r="AG2124">
        <v>-1.122327869469</v>
      </c>
      <c r="AH2124">
        <v>31.331047826514599</v>
      </c>
      <c r="AI2124">
        <v>92.011612340027995</v>
      </c>
      <c r="AJ2124">
        <v>101.328388542135</v>
      </c>
      <c r="AK2124">
        <v>31.973289153621099</v>
      </c>
      <c r="AL2124">
        <v>81.715372940985802</v>
      </c>
      <c r="AM2124">
        <v>97.024537666845106</v>
      </c>
      <c r="AN2124">
        <v>1.0000000160223099</v>
      </c>
    </row>
    <row r="2125" spans="1:40" x14ac:dyDescent="0.25">
      <c r="A2125" t="str">
        <f>"20190303162546254"</f>
        <v>20190303162546254</v>
      </c>
      <c r="B2125" t="str">
        <f>"1551601546244689"</f>
        <v>1551601546244689</v>
      </c>
      <c r="C2125" t="s">
        <v>40</v>
      </c>
      <c r="D2125">
        <v>5.1172309999999896</v>
      </c>
      <c r="E2125">
        <v>0.47329359999999998</v>
      </c>
      <c r="F2125" t="s">
        <v>46</v>
      </c>
      <c r="G2125">
        <v>-489.35700000000003</v>
      </c>
      <c r="H2125" s="1">
        <v>6.4676779999999997E-6</v>
      </c>
      <c r="I2125">
        <v>229.5992</v>
      </c>
      <c r="J2125">
        <v>-491.63130000000001</v>
      </c>
      <c r="K2125">
        <v>1.1222669999999999</v>
      </c>
      <c r="L2125">
        <v>260.29989999999998</v>
      </c>
      <c r="M2125">
        <v>-0.1193514</v>
      </c>
      <c r="N2125">
        <v>-1.138728E-2</v>
      </c>
      <c r="O2125">
        <v>-0.99278679999999997</v>
      </c>
      <c r="P2125">
        <v>-4.755901E-4</v>
      </c>
      <c r="Q2125">
        <v>0.1323848</v>
      </c>
      <c r="R2125">
        <v>-0.99119820000000003</v>
      </c>
      <c r="S2125">
        <v>0.2202759</v>
      </c>
      <c r="T2125">
        <v>-0.1102142</v>
      </c>
      <c r="U2125">
        <v>-3.0417480000000001</v>
      </c>
      <c r="V2125">
        <v>-0.1183414</v>
      </c>
      <c r="W2125">
        <v>0.14316719999999999</v>
      </c>
      <c r="X2125">
        <v>0.98259779999999997</v>
      </c>
      <c r="Y2125">
        <v>-0.1906861</v>
      </c>
      <c r="Z2125">
        <v>2.4011210000000002E-2</v>
      </c>
      <c r="AA2125">
        <v>0.98135729999999999</v>
      </c>
      <c r="AB2125">
        <v>27</v>
      </c>
      <c r="AC2125">
        <v>2.27430000000003</v>
      </c>
      <c r="AD2125">
        <v>-1.1222605323219901</v>
      </c>
      <c r="AE2125">
        <v>-30.700699999999902</v>
      </c>
      <c r="AF2125">
        <v>-5.9145900793864703</v>
      </c>
      <c r="AG2125">
        <v>-1.1222605323219901</v>
      </c>
      <c r="AH2125">
        <v>30.1696721934468</v>
      </c>
      <c r="AI2125">
        <v>92.090564789661897</v>
      </c>
      <c r="AJ2125">
        <v>101.091835818367</v>
      </c>
      <c r="AK2125">
        <v>30.764443189656799</v>
      </c>
      <c r="AL2125">
        <v>81.768839707103993</v>
      </c>
      <c r="AM2125">
        <v>96.867470405719502</v>
      </c>
      <c r="AN2125">
        <v>0.99999998533731904</v>
      </c>
    </row>
    <row r="2126" spans="1:40" x14ac:dyDescent="0.25">
      <c r="A2126" t="str">
        <f>"20190303162546275"</f>
        <v>20190303162546275</v>
      </c>
      <c r="B2126" t="str">
        <f>"1551601546265186"</f>
        <v>1551601546265186</v>
      </c>
      <c r="C2126" t="s">
        <v>40</v>
      </c>
      <c r="D2126">
        <v>5.0597519999999996</v>
      </c>
      <c r="E2126">
        <v>0.47339049999999999</v>
      </c>
      <c r="F2126" t="s">
        <v>41</v>
      </c>
      <c r="G2126">
        <v>-489.45859999999999</v>
      </c>
      <c r="H2126" s="1">
        <v>-2.5505889999999999E-7</v>
      </c>
      <c r="I2126">
        <v>229.9743</v>
      </c>
      <c r="J2126">
        <v>-491.66140000000001</v>
      </c>
      <c r="K2126">
        <v>1.122228</v>
      </c>
      <c r="L2126">
        <v>260.03160000000003</v>
      </c>
      <c r="M2126">
        <v>-0.11744739999999999</v>
      </c>
      <c r="N2126">
        <v>-1.127848E-2</v>
      </c>
      <c r="O2126">
        <v>-0.99301499999999998</v>
      </c>
      <c r="P2126" s="1">
        <v>-5.7037979999999997E-5</v>
      </c>
      <c r="Q2126">
        <v>0.1342816</v>
      </c>
      <c r="R2126">
        <v>-0.99094329999999997</v>
      </c>
      <c r="S2126">
        <v>0.21792600000000001</v>
      </c>
      <c r="T2126">
        <v>-0.11256670000000001</v>
      </c>
      <c r="U2126">
        <v>-3.0417480000000001</v>
      </c>
      <c r="V2126">
        <v>-0.1168344</v>
      </c>
      <c r="W2126">
        <v>0.14497070000000001</v>
      </c>
      <c r="X2126">
        <v>0.98251370000000005</v>
      </c>
      <c r="Y2126">
        <v>-0.18804760000000001</v>
      </c>
      <c r="Z2126">
        <v>2.4900530000000001E-2</v>
      </c>
      <c r="AA2126">
        <v>0.98184419999999994</v>
      </c>
      <c r="AB2126">
        <v>27</v>
      </c>
      <c r="AC2126">
        <v>2.2028000000000199</v>
      </c>
      <c r="AD2126">
        <v>-1.1222282550589</v>
      </c>
      <c r="AE2126">
        <v>-30.057300000000001</v>
      </c>
      <c r="AF2126">
        <v>-5.7100119592012399</v>
      </c>
      <c r="AG2126">
        <v>-1.1222282550589</v>
      </c>
      <c r="AH2126">
        <v>29.549548406526601</v>
      </c>
      <c r="AI2126">
        <v>92.135459290788404</v>
      </c>
      <c r="AJ2126">
        <v>100.9367635215</v>
      </c>
      <c r="AK2126">
        <v>30.117095541574599</v>
      </c>
      <c r="AL2126">
        <v>81.664417301754199</v>
      </c>
      <c r="AM2126">
        <v>96.781412170478902</v>
      </c>
      <c r="AN2126">
        <v>0.99999997578476896</v>
      </c>
    </row>
    <row r="2127" spans="1:40" x14ac:dyDescent="0.25">
      <c r="A2127" t="str">
        <f>"20190303162546299"</f>
        <v>20190303162546299</v>
      </c>
      <c r="B2127" t="str">
        <f>"1551601546284706"</f>
        <v>1551601546284706</v>
      </c>
      <c r="C2127" t="s">
        <v>40</v>
      </c>
      <c r="D2127">
        <v>5.1201540000000003</v>
      </c>
      <c r="E2127">
        <v>0.47350500000000001</v>
      </c>
      <c r="F2127" t="s">
        <v>46</v>
      </c>
      <c r="G2127">
        <v>-489.35120000000001</v>
      </c>
      <c r="H2127" s="1">
        <v>5.9711380000000001E-6</v>
      </c>
      <c r="I2127">
        <v>228.00129999999999</v>
      </c>
      <c r="J2127">
        <v>-491.6909</v>
      </c>
      <c r="K2127">
        <v>1.122207</v>
      </c>
      <c r="L2127">
        <v>259.76400000000001</v>
      </c>
      <c r="M2127">
        <v>-0.1155489</v>
      </c>
      <c r="N2127">
        <v>-1.1176999999999999E-2</v>
      </c>
      <c r="O2127">
        <v>-0.99323899999999998</v>
      </c>
      <c r="P2127">
        <v>5.1726949999999995E-4</v>
      </c>
      <c r="Q2127">
        <v>0.13659930000000001</v>
      </c>
      <c r="R2127">
        <v>-0.99062649999999997</v>
      </c>
      <c r="S2127">
        <v>0.2193909</v>
      </c>
      <c r="T2127">
        <v>-0.10657469999999999</v>
      </c>
      <c r="U2127">
        <v>-3.0418400000000001</v>
      </c>
      <c r="V2127">
        <v>-0.1154884</v>
      </c>
      <c r="W2127">
        <v>0.14719579999999999</v>
      </c>
      <c r="X2127">
        <v>0.98234200000000005</v>
      </c>
      <c r="Y2127">
        <v>-0.18664430000000001</v>
      </c>
      <c r="Z2127">
        <v>2.3091279999999999E-2</v>
      </c>
      <c r="AA2127">
        <v>0.98215620000000003</v>
      </c>
      <c r="AB2127">
        <v>27</v>
      </c>
      <c r="AC2127">
        <v>2.3396999999999899</v>
      </c>
      <c r="AD2127">
        <v>-1.1222010288619999</v>
      </c>
      <c r="AE2127">
        <v>-31.762699999999999</v>
      </c>
      <c r="AF2127">
        <v>-5.9869672338029902</v>
      </c>
      <c r="AG2127">
        <v>-1.1222010288619999</v>
      </c>
      <c r="AH2127">
        <v>31.240767326817299</v>
      </c>
      <c r="AI2127">
        <v>92.0205034022012</v>
      </c>
      <c r="AJ2127">
        <v>100.84860714017699</v>
      </c>
      <c r="AK2127">
        <v>31.829053629917201</v>
      </c>
      <c r="AL2127">
        <v>81.535546054773206</v>
      </c>
      <c r="AM2127">
        <v>96.705162665159406</v>
      </c>
      <c r="AN2127">
        <v>0.99999998951809999</v>
      </c>
    </row>
    <row r="2128" spans="1:40" x14ac:dyDescent="0.25">
      <c r="A2128" t="str">
        <f>"20190303162546320"</f>
        <v>20190303162546320</v>
      </c>
      <c r="B2128" t="str">
        <f>"1551601546314962"</f>
        <v>1551601546314962</v>
      </c>
      <c r="C2128" t="s">
        <v>40</v>
      </c>
      <c r="D2128">
        <v>5.1246119999999999</v>
      </c>
      <c r="E2128">
        <v>0.47365040000000003</v>
      </c>
      <c r="F2128" t="s">
        <v>46</v>
      </c>
      <c r="G2128">
        <v>-489.2124</v>
      </c>
      <c r="H2128" s="1">
        <v>5.1533040000000004E-6</v>
      </c>
      <c r="I2128">
        <v>225.48050000000001</v>
      </c>
      <c r="J2128">
        <v>-491.7208</v>
      </c>
      <c r="K2128">
        <v>1.122198</v>
      </c>
      <c r="L2128">
        <v>259.48750000000001</v>
      </c>
      <c r="M2128">
        <v>-0.1135921</v>
      </c>
      <c r="N2128">
        <v>-1.1082369999999999E-2</v>
      </c>
      <c r="O2128">
        <v>-0.99346570000000001</v>
      </c>
      <c r="P2128">
        <v>8.5742030000000001E-4</v>
      </c>
      <c r="Q2128">
        <v>0.13659579999999999</v>
      </c>
      <c r="R2128">
        <v>-0.99062669999999997</v>
      </c>
      <c r="S2128">
        <v>0.21990970000000001</v>
      </c>
      <c r="T2128">
        <v>-9.9573369999999994E-2</v>
      </c>
      <c r="U2128">
        <v>-3.041992</v>
      </c>
      <c r="V2128">
        <v>-0.1138858</v>
      </c>
      <c r="W2128">
        <v>0.14710899999999999</v>
      </c>
      <c r="X2128">
        <v>0.98254209999999997</v>
      </c>
      <c r="Y2128">
        <v>-0.1848786</v>
      </c>
      <c r="Z2128">
        <v>2.0949490000000001E-2</v>
      </c>
      <c r="AA2128">
        <v>0.98253800000000002</v>
      </c>
      <c r="AB2128">
        <v>27</v>
      </c>
      <c r="AC2128">
        <v>2.5083999999999902</v>
      </c>
      <c r="AD2128">
        <v>-1.1221928466960001</v>
      </c>
      <c r="AE2128">
        <v>-34.006999999999998</v>
      </c>
      <c r="AF2128">
        <v>-6.3484503535411099</v>
      </c>
      <c r="AG2128">
        <v>-1.1221928466960001</v>
      </c>
      <c r="AH2128">
        <v>33.465665238336399</v>
      </c>
      <c r="AI2128">
        <v>91.886933610546095</v>
      </c>
      <c r="AJ2128">
        <v>100.74139890652501</v>
      </c>
      <c r="AK2128">
        <v>34.080975463166403</v>
      </c>
      <c r="AL2128">
        <v>81.540574202973602</v>
      </c>
      <c r="AM2128">
        <v>96.611612013233795</v>
      </c>
      <c r="AN2128">
        <v>1.00000000579752</v>
      </c>
    </row>
    <row r="2129" spans="1:40" x14ac:dyDescent="0.25">
      <c r="A2129" t="str">
        <f>"20190303162546343"</f>
        <v>20190303162546343</v>
      </c>
      <c r="B2129" t="str">
        <f>"1551601546335458"</f>
        <v>1551601546335458</v>
      </c>
      <c r="C2129" t="s">
        <v>40</v>
      </c>
      <c r="D2129">
        <v>5.1195629999999896</v>
      </c>
      <c r="E2129">
        <v>0.47376370000000001</v>
      </c>
      <c r="F2129" t="s">
        <v>46</v>
      </c>
      <c r="G2129">
        <v>-489.25819999999999</v>
      </c>
      <c r="H2129" s="1">
        <v>5.1238209999999999E-6</v>
      </c>
      <c r="I2129">
        <v>225.346</v>
      </c>
      <c r="J2129">
        <v>-491.75009999999997</v>
      </c>
      <c r="K2129">
        <v>1.122187</v>
      </c>
      <c r="L2129">
        <v>259.21300000000002</v>
      </c>
      <c r="M2129">
        <v>-0.1116542</v>
      </c>
      <c r="N2129">
        <v>-1.099751E-2</v>
      </c>
      <c r="O2129">
        <v>-0.99368630000000002</v>
      </c>
      <c r="P2129">
        <v>2.1315319999999998E-3</v>
      </c>
      <c r="Q2129">
        <v>0.13614039999999999</v>
      </c>
      <c r="R2129">
        <v>-0.99068750000000005</v>
      </c>
      <c r="S2129">
        <v>0.21942139999999999</v>
      </c>
      <c r="T2129">
        <v>-9.9987859999999998E-2</v>
      </c>
      <c r="U2129">
        <v>-3.0420229999999999</v>
      </c>
      <c r="V2129">
        <v>-0.11323660000000001</v>
      </c>
      <c r="W2129">
        <v>0.14657409999999901</v>
      </c>
      <c r="X2129">
        <v>0.98269709999999999</v>
      </c>
      <c r="Y2129">
        <v>-0.1828041</v>
      </c>
      <c r="Z2129">
        <v>2.1186030000000002E-2</v>
      </c>
      <c r="AA2129">
        <v>0.98292109999999999</v>
      </c>
      <c r="AB2129">
        <v>27</v>
      </c>
      <c r="AC2129">
        <v>2.4918999999999798</v>
      </c>
      <c r="AD2129">
        <v>-1.1221818761789999</v>
      </c>
      <c r="AE2129">
        <v>-33.866999999999898</v>
      </c>
      <c r="AF2129">
        <v>-6.2511116127212203</v>
      </c>
      <c r="AG2129">
        <v>-1.1221818761789999</v>
      </c>
      <c r="AH2129">
        <v>33.340551785834997</v>
      </c>
      <c r="AI2129">
        <v>91.894751939787497</v>
      </c>
      <c r="AJ2129">
        <v>100.619253776259</v>
      </c>
      <c r="AK2129">
        <v>33.940066027364601</v>
      </c>
      <c r="AL2129">
        <v>81.571557884962104</v>
      </c>
      <c r="AM2129">
        <v>96.573225859324793</v>
      </c>
      <c r="AN2129">
        <v>1.00000004235938</v>
      </c>
    </row>
    <row r="2130" spans="1:40" x14ac:dyDescent="0.25">
      <c r="A2130" t="str">
        <f>"20190303162546365"</f>
        <v>20190303162546365</v>
      </c>
      <c r="B2130" t="str">
        <f>"1551601546354978"</f>
        <v>1551601546354978</v>
      </c>
      <c r="C2130" t="s">
        <v>40</v>
      </c>
      <c r="D2130">
        <v>5.1244319999999997</v>
      </c>
      <c r="E2130">
        <v>0.47385070000000001</v>
      </c>
      <c r="F2130" t="s">
        <v>46</v>
      </c>
      <c r="G2130">
        <v>-489.30829999999997</v>
      </c>
      <c r="H2130" s="1">
        <v>5.2467629999999999E-6</v>
      </c>
      <c r="I2130">
        <v>225.69990000000001</v>
      </c>
      <c r="J2130">
        <v>-491.77800000000002</v>
      </c>
      <c r="K2130">
        <v>1.122177</v>
      </c>
      <c r="L2130">
        <v>258.94600000000003</v>
      </c>
      <c r="M2130">
        <v>-0.1097851</v>
      </c>
      <c r="N2130">
        <v>-1.0923459999999999E-2</v>
      </c>
      <c r="O2130">
        <v>-0.99389559999999999</v>
      </c>
      <c r="P2130">
        <v>4.8279050000000004E-3</v>
      </c>
      <c r="Q2130">
        <v>0.13653979999999999</v>
      </c>
      <c r="R2130">
        <v>-0.99062349999999999</v>
      </c>
      <c r="S2130">
        <v>0.2216187</v>
      </c>
      <c r="T2130">
        <v>-0.10185039999999999</v>
      </c>
      <c r="U2130">
        <v>-3.041687</v>
      </c>
      <c r="V2130">
        <v>-0.114057199999999</v>
      </c>
      <c r="W2130">
        <v>0.14689720000000001</v>
      </c>
      <c r="X2130">
        <v>0.98255389999999998</v>
      </c>
      <c r="Y2130">
        <v>-0.18166789999999999</v>
      </c>
      <c r="Z2130">
        <v>2.1877190000000001E-2</v>
      </c>
      <c r="AA2130">
        <v>0.98311660000000001</v>
      </c>
      <c r="AB2130">
        <v>27</v>
      </c>
      <c r="AC2130">
        <v>2.46970000000004</v>
      </c>
      <c r="AD2130">
        <v>-1.1221717532369999</v>
      </c>
      <c r="AE2130">
        <v>-33.246099999999899</v>
      </c>
      <c r="AF2130">
        <v>-6.0980036075419104</v>
      </c>
      <c r="AG2130">
        <v>-1.1221717532369999</v>
      </c>
      <c r="AH2130">
        <v>32.736870198376302</v>
      </c>
      <c r="AI2130">
        <v>91.930073041389406</v>
      </c>
      <c r="AJ2130">
        <v>100.551740423363</v>
      </c>
      <c r="AK2130">
        <v>33.318877349434999</v>
      </c>
      <c r="AL2130">
        <v>81.552842678867094</v>
      </c>
      <c r="AM2130">
        <v>96.621395487647902</v>
      </c>
      <c r="AN2130">
        <v>0.99999999932244499</v>
      </c>
    </row>
    <row r="2131" spans="1:40" x14ac:dyDescent="0.25">
      <c r="A2131" t="str">
        <f>"20190303162546388"</f>
        <v>20190303162546388</v>
      </c>
      <c r="B2131" t="str">
        <f>"1551601546375473"</f>
        <v>1551601546375473</v>
      </c>
      <c r="C2131" t="s">
        <v>40</v>
      </c>
      <c r="D2131">
        <v>5.1345090000000004</v>
      </c>
      <c r="E2131">
        <v>0.4737903</v>
      </c>
      <c r="F2131" t="s">
        <v>46</v>
      </c>
      <c r="G2131">
        <v>-489.23250000000002</v>
      </c>
      <c r="H2131" s="1">
        <v>5.0506439999999999E-6</v>
      </c>
      <c r="I2131">
        <v>225.1319</v>
      </c>
      <c r="J2131">
        <v>-491.80650000000003</v>
      </c>
      <c r="K2131">
        <v>1.1221570000000001</v>
      </c>
      <c r="L2131">
        <v>258.6696</v>
      </c>
      <c r="M2131">
        <v>-0.1078863</v>
      </c>
      <c r="N2131">
        <v>-1.085535E-2</v>
      </c>
      <c r="O2131">
        <v>-0.99410410000000005</v>
      </c>
      <c r="P2131">
        <v>7.8195139999999996E-3</v>
      </c>
      <c r="Q2131">
        <v>0.13636180000000001</v>
      </c>
      <c r="R2131">
        <v>-0.99062830000000002</v>
      </c>
      <c r="S2131">
        <v>0.2289429</v>
      </c>
      <c r="T2131">
        <v>-0.1009269</v>
      </c>
      <c r="U2131">
        <v>-3.0411990000000002</v>
      </c>
      <c r="V2131">
        <v>-0.1151455</v>
      </c>
      <c r="W2131">
        <v>0.146652</v>
      </c>
      <c r="X2131">
        <v>0.98246359999999999</v>
      </c>
      <c r="Y2131">
        <v>-0.1821564</v>
      </c>
      <c r="Z2131">
        <v>2.1658509999999999E-2</v>
      </c>
      <c r="AA2131">
        <v>0.98303099999999999</v>
      </c>
      <c r="AB2131">
        <v>27</v>
      </c>
      <c r="AC2131">
        <v>2.5740000000000101</v>
      </c>
      <c r="AD2131">
        <v>-1.1221519493559999</v>
      </c>
      <c r="AE2131">
        <v>-33.537700000000001</v>
      </c>
      <c r="AF2131">
        <v>-6.1705778043551804</v>
      </c>
      <c r="AG2131">
        <v>-1.1221519493559999</v>
      </c>
      <c r="AH2131">
        <v>33.027450932357503</v>
      </c>
      <c r="AI2131">
        <v>91.912878415517895</v>
      </c>
      <c r="AJ2131">
        <v>100.58266550366599</v>
      </c>
      <c r="AK2131">
        <v>33.617670510110102</v>
      </c>
      <c r="AL2131">
        <v>81.567045513502904</v>
      </c>
      <c r="AM2131">
        <v>96.684614673282596</v>
      </c>
      <c r="AN2131">
        <v>1.0000000102996001</v>
      </c>
    </row>
    <row r="2132" spans="1:40" x14ac:dyDescent="0.25">
      <c r="A2132" t="str">
        <f>"20190303162546411"</f>
        <v>20190303162546411</v>
      </c>
      <c r="B2132" t="str">
        <f>"1551601546404753"</f>
        <v>1551601546404753</v>
      </c>
      <c r="C2132" t="s">
        <v>40</v>
      </c>
      <c r="D2132">
        <v>5.2465970000000004</v>
      </c>
      <c r="E2132">
        <v>0.47363149999999998</v>
      </c>
      <c r="F2132" t="s">
        <v>46</v>
      </c>
      <c r="G2132">
        <v>-489.17610000000002</v>
      </c>
      <c r="H2132" s="1">
        <v>5.0261729999999997E-6</v>
      </c>
      <c r="I2132">
        <v>225.10130000000001</v>
      </c>
      <c r="J2132">
        <v>-491.83539999999999</v>
      </c>
      <c r="K2132">
        <v>1.122107</v>
      </c>
      <c r="L2132">
        <v>258.38279999999997</v>
      </c>
      <c r="M2132">
        <v>-0.1059742</v>
      </c>
      <c r="N2132">
        <v>-1.0792879999999999E-2</v>
      </c>
      <c r="O2132">
        <v>-0.99431049999999999</v>
      </c>
      <c r="P2132">
        <v>1.208594E-2</v>
      </c>
      <c r="Q2132">
        <v>0.1359802</v>
      </c>
      <c r="R2132">
        <v>-0.99063840000000003</v>
      </c>
      <c r="S2132">
        <v>0.23825070000000001</v>
      </c>
      <c r="T2132">
        <v>-0.1016415</v>
      </c>
      <c r="U2132">
        <v>-3.040527</v>
      </c>
      <c r="V2132">
        <v>-0.11748169999999999</v>
      </c>
      <c r="W2132">
        <v>0.14620900000000001</v>
      </c>
      <c r="X2132">
        <v>0.98225300000000004</v>
      </c>
      <c r="Y2132">
        <v>-0.1832723</v>
      </c>
      <c r="Z2132">
        <v>2.1960790000000001E-2</v>
      </c>
      <c r="AA2132">
        <v>0.98281689999999999</v>
      </c>
      <c r="AB2132">
        <v>27</v>
      </c>
      <c r="AC2132">
        <v>2.6592999999999698</v>
      </c>
      <c r="AD2132">
        <v>-1.1221019738269999</v>
      </c>
      <c r="AE2132">
        <v>-33.281499999999902</v>
      </c>
      <c r="AF2132">
        <v>-6.1645455185052898</v>
      </c>
      <c r="AG2132">
        <v>-1.1221019738269999</v>
      </c>
      <c r="AH2132">
        <v>32.775212154668601</v>
      </c>
      <c r="AI2132">
        <v>91.927065849831294</v>
      </c>
      <c r="AJ2132">
        <v>100.65206485480201</v>
      </c>
      <c r="AK2132">
        <v>33.368776814155602</v>
      </c>
      <c r="AL2132">
        <v>81.5927039365274</v>
      </c>
      <c r="AM2132">
        <v>96.820423276065895</v>
      </c>
      <c r="AN2132">
        <v>0.999999988762445</v>
      </c>
    </row>
    <row r="2133" spans="1:40" x14ac:dyDescent="0.25">
      <c r="A2133" t="str">
        <f>"20190303162546434"</f>
        <v>20190303162546434</v>
      </c>
      <c r="B2133" t="str">
        <f>"1551601546425251"</f>
        <v>1551601546425251</v>
      </c>
      <c r="C2133" t="s">
        <v>40</v>
      </c>
      <c r="D2133">
        <v>5.1256649999999997</v>
      </c>
      <c r="E2133">
        <v>0.47354190000000002</v>
      </c>
      <c r="F2133" t="s">
        <v>46</v>
      </c>
      <c r="G2133">
        <v>-489.09289999999999</v>
      </c>
      <c r="H2133" s="1">
        <v>5.0479070000000004E-6</v>
      </c>
      <c r="I2133">
        <v>225.24289999999999</v>
      </c>
      <c r="J2133">
        <v>-491.86180000000002</v>
      </c>
      <c r="K2133">
        <v>1.122052</v>
      </c>
      <c r="L2133">
        <v>258.11759999999998</v>
      </c>
      <c r="M2133">
        <v>-0.10427599999999999</v>
      </c>
      <c r="N2133">
        <v>-1.0742089999999999E-2</v>
      </c>
      <c r="O2133">
        <v>-0.9944906</v>
      </c>
      <c r="P2133">
        <v>1.668126E-2</v>
      </c>
      <c r="Q2133">
        <v>0.13505059999999999</v>
      </c>
      <c r="R2133">
        <v>-0.99069850000000004</v>
      </c>
      <c r="S2133">
        <v>0.25152590000000002</v>
      </c>
      <c r="T2133">
        <v>-0.1029122</v>
      </c>
      <c r="U2133">
        <v>-3.0393829999999999</v>
      </c>
      <c r="V2133">
        <v>-0.1203587</v>
      </c>
      <c r="W2133">
        <v>0.14523159999999999</v>
      </c>
      <c r="X2133">
        <v>0.98204970000000003</v>
      </c>
      <c r="Y2133">
        <v>-0.18588489999999999</v>
      </c>
      <c r="Z2133">
        <v>2.242713E-2</v>
      </c>
      <c r="AA2133">
        <v>0.98231550000000001</v>
      </c>
      <c r="AB2133">
        <v>28</v>
      </c>
      <c r="AC2133">
        <v>2.7689000000000301</v>
      </c>
      <c r="AD2133">
        <v>-1.1220469520929901</v>
      </c>
      <c r="AE2133">
        <v>-32.874699999999898</v>
      </c>
      <c r="AF2133">
        <v>-6.17489996699772</v>
      </c>
      <c r="AG2133">
        <v>-1.1220469520929901</v>
      </c>
      <c r="AH2133">
        <v>32.369270939278799</v>
      </c>
      <c r="AI2133">
        <v>91.950164166713705</v>
      </c>
      <c r="AJ2133">
        <v>100.80022424411401</v>
      </c>
      <c r="AK2133">
        <v>32.9720803120696</v>
      </c>
      <c r="AL2133">
        <v>81.649309341742295</v>
      </c>
      <c r="AM2133">
        <v>96.987248988155599</v>
      </c>
      <c r="AN2133">
        <v>1.00000002378716</v>
      </c>
    </row>
    <row r="2134" spans="1:40" x14ac:dyDescent="0.25">
      <c r="A2134" t="str">
        <f>"20190303162546457"</f>
        <v>20190303162546457</v>
      </c>
      <c r="B2134" t="str">
        <f>"1551601546444770"</f>
        <v>1551601546444770</v>
      </c>
      <c r="C2134" t="s">
        <v>40</v>
      </c>
      <c r="D2134">
        <v>5.1909070000000002</v>
      </c>
      <c r="E2134">
        <v>0.47345019999999999</v>
      </c>
      <c r="F2134" t="s">
        <v>46</v>
      </c>
      <c r="G2134">
        <v>-489.02429999999998</v>
      </c>
      <c r="H2134" s="1">
        <v>5.2045930000000001E-6</v>
      </c>
      <c r="I2134">
        <v>225.80760000000001</v>
      </c>
      <c r="J2134">
        <v>-491.89019999999999</v>
      </c>
      <c r="K2134">
        <v>1.1219939999999999</v>
      </c>
      <c r="L2134">
        <v>257.82839999999999</v>
      </c>
      <c r="M2134">
        <v>-0.1025066</v>
      </c>
      <c r="N2134">
        <v>-1.069374E-2</v>
      </c>
      <c r="O2134">
        <v>-0.99467470000000002</v>
      </c>
      <c r="P2134">
        <v>2.0496819999999999E-2</v>
      </c>
      <c r="Q2134">
        <v>0.13486519999999999</v>
      </c>
      <c r="R2134">
        <v>-0.99065170000000002</v>
      </c>
      <c r="S2134">
        <v>0.26681519999999997</v>
      </c>
      <c r="T2134">
        <v>-0.1055056</v>
      </c>
      <c r="U2134">
        <v>-3.0380859999999998</v>
      </c>
      <c r="V2134">
        <v>-0.1223779</v>
      </c>
      <c r="W2134">
        <v>0.145007</v>
      </c>
      <c r="X2134">
        <v>0.98183330000000002</v>
      </c>
      <c r="Y2134">
        <v>-0.18907499999999999</v>
      </c>
      <c r="Z2134">
        <v>2.3316099999999999E-2</v>
      </c>
      <c r="AA2134">
        <v>0.98168580000000005</v>
      </c>
      <c r="AB2134">
        <v>28</v>
      </c>
      <c r="AC2134">
        <v>2.8659000000000101</v>
      </c>
      <c r="AD2134">
        <v>-1.121988795407</v>
      </c>
      <c r="AE2134">
        <v>-32.020799999999902</v>
      </c>
      <c r="AF2134">
        <v>-6.12587180906805</v>
      </c>
      <c r="AG2134">
        <v>-1.121988795407</v>
      </c>
      <c r="AH2134">
        <v>31.519923615548301</v>
      </c>
      <c r="AI2134">
        <v>92.001236628302294</v>
      </c>
      <c r="AJ2134">
        <v>100.998282235118</v>
      </c>
      <c r="AK2134">
        <v>32.129281800378799</v>
      </c>
      <c r="AL2134">
        <v>81.662315496163103</v>
      </c>
      <c r="AM2134">
        <v>97.104832574398998</v>
      </c>
      <c r="AN2134">
        <v>1.0000000047231401</v>
      </c>
    </row>
    <row r="2135" spans="1:40" x14ac:dyDescent="0.25">
      <c r="A2135" t="str">
        <f>"20190303162546477"</f>
        <v>20190303162546477</v>
      </c>
      <c r="B2135" t="str">
        <f>"1551601546465266"</f>
        <v>1551601546465266</v>
      </c>
      <c r="C2135" t="s">
        <v>40</v>
      </c>
      <c r="D2135">
        <v>5.1916989999999998</v>
      </c>
      <c r="E2135">
        <v>0.47336230000000001</v>
      </c>
      <c r="F2135" t="s">
        <v>46</v>
      </c>
      <c r="G2135">
        <v>-488.94510000000002</v>
      </c>
      <c r="H2135" s="1">
        <v>5.1651720000000002E-6</v>
      </c>
      <c r="I2135">
        <v>225.7484</v>
      </c>
      <c r="J2135">
        <v>-491.91489999999999</v>
      </c>
      <c r="K2135">
        <v>1.12195</v>
      </c>
      <c r="L2135">
        <v>257.57369999999997</v>
      </c>
      <c r="M2135">
        <v>-0.1010262</v>
      </c>
      <c r="N2135">
        <v>-1.06569E-2</v>
      </c>
      <c r="O2135">
        <v>-0.99482689999999996</v>
      </c>
      <c r="P2135">
        <v>2.2884359999999999E-2</v>
      </c>
      <c r="Q2135">
        <v>0.13520090000000001</v>
      </c>
      <c r="R2135">
        <v>-0.99055400000000005</v>
      </c>
      <c r="S2135">
        <v>0.27880860000000002</v>
      </c>
      <c r="T2135">
        <v>-0.1062174</v>
      </c>
      <c r="U2135">
        <v>-3.036972</v>
      </c>
      <c r="V2135">
        <v>-0.1232622</v>
      </c>
      <c r="W2135">
        <v>0.1453179</v>
      </c>
      <c r="X2135">
        <v>0.98167669999999996</v>
      </c>
      <c r="Y2135">
        <v>-0.19148889999999999</v>
      </c>
      <c r="Z2135">
        <v>2.3587440000000001E-2</v>
      </c>
      <c r="AA2135">
        <v>0.98121130000000001</v>
      </c>
      <c r="AB2135">
        <v>28</v>
      </c>
      <c r="AC2135">
        <v>2.9697999999999598</v>
      </c>
      <c r="AD2135">
        <v>-1.1219448348279999</v>
      </c>
      <c r="AE2135">
        <v>-31.825299999999899</v>
      </c>
      <c r="AF2135">
        <v>-6.1623826759022</v>
      </c>
      <c r="AG2135">
        <v>-1.1219448348279999</v>
      </c>
      <c r="AH2135">
        <v>31.323818356675002</v>
      </c>
      <c r="AI2135">
        <v>92.012773848438101</v>
      </c>
      <c r="AJ2135">
        <v>101.12975289206101</v>
      </c>
      <c r="AK2135">
        <v>31.943940221873401</v>
      </c>
      <c r="AL2135">
        <v>81.644311520099706</v>
      </c>
      <c r="AM2135">
        <v>97.156771291946399</v>
      </c>
      <c r="AN2135">
        <v>1.00000000266606</v>
      </c>
    </row>
    <row r="2136" spans="1:40" x14ac:dyDescent="0.25">
      <c r="A2136" t="str">
        <f>"20190303162546501"</f>
        <v>20190303162546501</v>
      </c>
      <c r="B2136" t="str">
        <f>"1551601546495522"</f>
        <v>1551601546495522</v>
      </c>
      <c r="C2136" t="s">
        <v>40</v>
      </c>
      <c r="D2136">
        <v>5.1276469999999996</v>
      </c>
      <c r="E2136">
        <v>0.47323999999999999</v>
      </c>
      <c r="F2136" t="s">
        <v>46</v>
      </c>
      <c r="G2136">
        <v>-488.83260000000001</v>
      </c>
      <c r="H2136" s="1">
        <v>4.9297399999999998E-6</v>
      </c>
      <c r="I2136">
        <v>225.04740000000001</v>
      </c>
      <c r="J2136">
        <v>-491.94130000000001</v>
      </c>
      <c r="K2136">
        <v>1.121899</v>
      </c>
      <c r="L2136">
        <v>257.29649999999998</v>
      </c>
      <c r="M2136">
        <v>-9.9486889999999994E-2</v>
      </c>
      <c r="N2136">
        <v>-1.062283E-2</v>
      </c>
      <c r="O2136">
        <v>-0.99498209999999998</v>
      </c>
      <c r="P2136">
        <v>2.4909870000000001E-2</v>
      </c>
      <c r="Q2136">
        <v>0.13560659999999999</v>
      </c>
      <c r="R2136">
        <v>-0.99044960000000004</v>
      </c>
      <c r="S2136">
        <v>0.28771970000000002</v>
      </c>
      <c r="T2136">
        <v>-0.1047308</v>
      </c>
      <c r="U2136">
        <v>-3.0362550000000001</v>
      </c>
      <c r="V2136">
        <v>-0.1237303</v>
      </c>
      <c r="W2136">
        <v>0.14570150000000001</v>
      </c>
      <c r="X2136">
        <v>0.98156089999999996</v>
      </c>
      <c r="Y2136">
        <v>-0.19284750000000001</v>
      </c>
      <c r="Z2136">
        <v>2.3148160000000001E-2</v>
      </c>
      <c r="AA2136">
        <v>0.98095569999999999</v>
      </c>
      <c r="AB2136">
        <v>28</v>
      </c>
      <c r="AC2136">
        <v>3.10869999999999</v>
      </c>
      <c r="AD2136">
        <v>-1.12189407026</v>
      </c>
      <c r="AE2136">
        <v>-32.249099999999899</v>
      </c>
      <c r="AF2136">
        <v>-6.2942721216900601</v>
      </c>
      <c r="AG2136">
        <v>-1.12189407026</v>
      </c>
      <c r="AH2136">
        <v>31.741736449170599</v>
      </c>
      <c r="AI2136">
        <v>91.985614536878998</v>
      </c>
      <c r="AJ2136">
        <v>101.216046999363</v>
      </c>
      <c r="AK2136">
        <v>32.379226992863401</v>
      </c>
      <c r="AL2136">
        <v>81.622096037194495</v>
      </c>
      <c r="AM2136">
        <v>97.184505051100999</v>
      </c>
      <c r="AN2136">
        <v>0.99999995732457403</v>
      </c>
    </row>
    <row r="2137" spans="1:40" x14ac:dyDescent="0.25">
      <c r="A2137" t="str">
        <f>"20190303162546523"</f>
        <v>20190303162546523</v>
      </c>
      <c r="B2137" t="str">
        <f>"1551601546515042"</f>
        <v>1551601546515042</v>
      </c>
      <c r="C2137" t="s">
        <v>40</v>
      </c>
      <c r="D2137">
        <v>5.1829850000000004</v>
      </c>
      <c r="E2137">
        <v>0.47323330000000002</v>
      </c>
      <c r="F2137" t="s">
        <v>46</v>
      </c>
      <c r="G2137">
        <v>-488.73399999999998</v>
      </c>
      <c r="H2137" s="1">
        <v>4.7234109999999996E-6</v>
      </c>
      <c r="I2137">
        <v>224.32849999999999</v>
      </c>
      <c r="J2137">
        <v>-491.96800000000002</v>
      </c>
      <c r="K2137">
        <v>1.1218649999999999</v>
      </c>
      <c r="L2137">
        <v>257.012</v>
      </c>
      <c r="M2137">
        <v>-9.7964620000000002E-2</v>
      </c>
      <c r="N2137">
        <v>-1.059889E-2</v>
      </c>
      <c r="O2137">
        <v>-0.99513359999999995</v>
      </c>
      <c r="P2137">
        <v>2.607286E-2</v>
      </c>
      <c r="Q2137">
        <v>0.135564299999999</v>
      </c>
      <c r="R2137">
        <v>-0.99042560000000002</v>
      </c>
      <c r="S2137">
        <v>0.29531859999999999</v>
      </c>
      <c r="T2137">
        <v>-0.1033024</v>
      </c>
      <c r="U2137">
        <v>-3.0356450000000001</v>
      </c>
      <c r="V2137">
        <v>-0.12336900000000001</v>
      </c>
      <c r="W2137">
        <v>0.1456472</v>
      </c>
      <c r="X2137">
        <v>0.98161449999999995</v>
      </c>
      <c r="Y2137">
        <v>-0.19379930000000001</v>
      </c>
      <c r="Z2137">
        <v>2.271801E-2</v>
      </c>
      <c r="AA2137">
        <v>0.98077820000000004</v>
      </c>
      <c r="AB2137">
        <v>28</v>
      </c>
      <c r="AC2137">
        <v>3.23399999999998</v>
      </c>
      <c r="AD2137">
        <v>-1.12186027658899</v>
      </c>
      <c r="AE2137">
        <v>-32.683500000000002</v>
      </c>
      <c r="AF2137">
        <v>-6.4129659200337299</v>
      </c>
      <c r="AG2137">
        <v>-1.12186027658899</v>
      </c>
      <c r="AH2137">
        <v>32.171898513750598</v>
      </c>
      <c r="AI2137">
        <v>91.958638696975299</v>
      </c>
      <c r="AJ2137">
        <v>101.273258199708</v>
      </c>
      <c r="AK2137">
        <v>32.824011886891199</v>
      </c>
      <c r="AL2137">
        <v>81.625241288028704</v>
      </c>
      <c r="AM2137">
        <v>97.163357027238106</v>
      </c>
      <c r="AN2137">
        <v>1.00000002181954</v>
      </c>
    </row>
    <row r="2138" spans="1:40" x14ac:dyDescent="0.25">
      <c r="A2138" t="str">
        <f>"20190303162546545"</f>
        <v>20190303162546545</v>
      </c>
      <c r="B2138" t="str">
        <f>"1551601546535538"</f>
        <v>1551601546535538</v>
      </c>
      <c r="C2138" t="s">
        <v>40</v>
      </c>
      <c r="D2138">
        <v>5.180968</v>
      </c>
      <c r="E2138">
        <v>0.47322520000000001</v>
      </c>
      <c r="F2138" t="s">
        <v>46</v>
      </c>
      <c r="G2138">
        <v>-488.70909999999998</v>
      </c>
      <c r="H2138" s="1">
        <v>4.607318E-6</v>
      </c>
      <c r="I2138">
        <v>223.9716</v>
      </c>
      <c r="J2138">
        <v>-491.99259999999998</v>
      </c>
      <c r="K2138">
        <v>1.121853</v>
      </c>
      <c r="L2138">
        <v>256.74639999999999</v>
      </c>
      <c r="M2138">
        <v>-9.6575939999999999E-2</v>
      </c>
      <c r="N2138">
        <v>-1.058386E-2</v>
      </c>
      <c r="O2138">
        <v>-0.99526939999999997</v>
      </c>
      <c r="P2138">
        <v>2.6597740000000002E-2</v>
      </c>
      <c r="Q2138">
        <v>0.13653709999999999</v>
      </c>
      <c r="R2138">
        <v>-0.9902782</v>
      </c>
      <c r="S2138">
        <v>0.29937740000000002</v>
      </c>
      <c r="T2138">
        <v>-0.10305880000000001</v>
      </c>
      <c r="U2138">
        <v>-3.0352329999999998</v>
      </c>
      <c r="V2138">
        <v>-0.12250129999999999</v>
      </c>
      <c r="W2138">
        <v>0.14661279999999999</v>
      </c>
      <c r="X2138">
        <v>0.98157939999999999</v>
      </c>
      <c r="Y2138">
        <v>-0.19374259999999999</v>
      </c>
      <c r="Z2138">
        <v>2.2663989999999998E-2</v>
      </c>
      <c r="AA2138">
        <v>0.98079059999999996</v>
      </c>
      <c r="AB2138">
        <v>28</v>
      </c>
      <c r="AC2138">
        <v>3.2835000000000001</v>
      </c>
      <c r="AD2138">
        <v>-1.121848392682</v>
      </c>
      <c r="AE2138">
        <v>-32.774799999999999</v>
      </c>
      <c r="AF2138">
        <v>-6.4261300002408603</v>
      </c>
      <c r="AG2138">
        <v>-1.121848392682</v>
      </c>
      <c r="AH2138">
        <v>32.267026912566202</v>
      </c>
      <c r="AI2138">
        <v>91.952915319551494</v>
      </c>
      <c r="AJ2138">
        <v>101.263355454329</v>
      </c>
      <c r="AK2138">
        <v>32.919822544668001</v>
      </c>
      <c r="AL2138">
        <v>81.569315963233294</v>
      </c>
      <c r="AM2138">
        <v>97.113744181096706</v>
      </c>
      <c r="AN2138">
        <v>1.0000000000649401</v>
      </c>
    </row>
    <row r="2139" spans="1:40" x14ac:dyDescent="0.25">
      <c r="A2139" t="str">
        <f>"20190303162546567"</f>
        <v>20190303162546567</v>
      </c>
      <c r="B2139" t="str">
        <f>"1551601546555058"</f>
        <v>1551601546555058</v>
      </c>
      <c r="C2139" t="s">
        <v>40</v>
      </c>
      <c r="D2139">
        <v>5.12134</v>
      </c>
      <c r="E2139">
        <v>0.47322330000000001</v>
      </c>
      <c r="F2139" t="s">
        <v>46</v>
      </c>
      <c r="G2139">
        <v>-488.60730000000001</v>
      </c>
      <c r="H2139" s="1">
        <v>4.1929460000000001E-6</v>
      </c>
      <c r="I2139">
        <v>222.70679999999999</v>
      </c>
      <c r="J2139">
        <v>-492.01760000000002</v>
      </c>
      <c r="K2139">
        <v>1.121848</v>
      </c>
      <c r="L2139">
        <v>256.4735</v>
      </c>
      <c r="M2139">
        <v>-9.5166470000000003E-2</v>
      </c>
      <c r="N2139">
        <v>-1.057219E-2</v>
      </c>
      <c r="O2139">
        <v>-0.99540550000000005</v>
      </c>
      <c r="P2139">
        <v>2.6626629999999998E-2</v>
      </c>
      <c r="Q2139">
        <v>0.13727439999999999</v>
      </c>
      <c r="R2139">
        <v>-0.99017549999999999</v>
      </c>
      <c r="S2139">
        <v>0.30184939999999999</v>
      </c>
      <c r="T2139">
        <v>-0.1000288</v>
      </c>
      <c r="U2139">
        <v>-3.03511</v>
      </c>
      <c r="V2139">
        <v>-0.1211262</v>
      </c>
      <c r="W2139">
        <v>0.1473458</v>
      </c>
      <c r="X2139">
        <v>0.98164030000000002</v>
      </c>
      <c r="Y2139">
        <v>-0.1931515</v>
      </c>
      <c r="Z2139">
        <v>2.170654E-2</v>
      </c>
      <c r="AA2139">
        <v>0.98092880000000005</v>
      </c>
      <c r="AB2139">
        <v>28</v>
      </c>
      <c r="AC2139">
        <v>3.4102999999999999</v>
      </c>
      <c r="AD2139">
        <v>-1.121843807054</v>
      </c>
      <c r="AE2139">
        <v>-33.7667</v>
      </c>
      <c r="AF2139">
        <v>-6.6012437374888</v>
      </c>
      <c r="AG2139">
        <v>-1.121843807054</v>
      </c>
      <c r="AH2139">
        <v>33.252530857700201</v>
      </c>
      <c r="AI2139">
        <v>91.895302392190402</v>
      </c>
      <c r="AJ2139">
        <v>101.228292302714</v>
      </c>
      <c r="AK2139">
        <v>33.919990578587502</v>
      </c>
      <c r="AL2139">
        <v>81.526857116987102</v>
      </c>
      <c r="AM2139">
        <v>97.034263572886005</v>
      </c>
      <c r="AN2139">
        <v>1.00000000984408</v>
      </c>
    </row>
    <row r="2140" spans="1:40" x14ac:dyDescent="0.25">
      <c r="A2140" t="str">
        <f>"20190303162546591"</f>
        <v>20190303162546591</v>
      </c>
      <c r="B2140" t="str">
        <f>"1551601546585314"</f>
        <v>1551601546585314</v>
      </c>
      <c r="C2140" t="s">
        <v>40</v>
      </c>
      <c r="D2140">
        <v>5.1855840000000004</v>
      </c>
      <c r="E2140">
        <v>0.47324579999999999</v>
      </c>
      <c r="F2140" t="s">
        <v>46</v>
      </c>
      <c r="G2140">
        <v>-488.56880000000001</v>
      </c>
      <c r="H2140" s="1">
        <v>3.8833730000000003E-6</v>
      </c>
      <c r="I2140">
        <v>221.73509999999999</v>
      </c>
      <c r="J2140">
        <v>-492.04349999999999</v>
      </c>
      <c r="K2140">
        <v>1.1218379999999999</v>
      </c>
      <c r="L2140">
        <v>256.18520000000001</v>
      </c>
      <c r="M2140">
        <v>-9.3681379999999995E-2</v>
      </c>
      <c r="N2140">
        <v>-1.0562480000000001E-2</v>
      </c>
      <c r="O2140">
        <v>-0.99554620000000005</v>
      </c>
      <c r="P2140">
        <v>2.5767499999999999E-2</v>
      </c>
      <c r="Q2140">
        <v>0.13777429999999999</v>
      </c>
      <c r="R2140">
        <v>-0.99012869999999997</v>
      </c>
      <c r="S2140">
        <v>0.301330599999999</v>
      </c>
      <c r="T2140">
        <v>-9.8020319999999994E-2</v>
      </c>
      <c r="U2140">
        <v>-3.0352480000000002</v>
      </c>
      <c r="V2140">
        <v>-0.1188004</v>
      </c>
      <c r="W2140">
        <v>0.14784520000000001</v>
      </c>
      <c r="X2140">
        <v>0.98184939999999998</v>
      </c>
      <c r="Y2140">
        <v>-0.19151960000000001</v>
      </c>
      <c r="Z2140">
        <v>2.107941E-2</v>
      </c>
      <c r="AA2140">
        <v>0.98126239999999998</v>
      </c>
      <c r="AB2140">
        <v>28</v>
      </c>
      <c r="AC2140">
        <v>3.4746999999999799</v>
      </c>
      <c r="AD2140">
        <v>-1.1218341166269901</v>
      </c>
      <c r="AE2140">
        <v>-34.450099999999999</v>
      </c>
      <c r="AF2140">
        <v>-6.6799181493837096</v>
      </c>
      <c r="AG2140">
        <v>-1.1218341166269901</v>
      </c>
      <c r="AH2140">
        <v>33.937421201769197</v>
      </c>
      <c r="AI2140">
        <v>91.857660422375204</v>
      </c>
      <c r="AJ2140">
        <v>101.135209791124</v>
      </c>
      <c r="AK2140">
        <v>34.6067677787739</v>
      </c>
      <c r="AL2140">
        <v>81.4979265944677</v>
      </c>
      <c r="AM2140">
        <v>96.899054901756998</v>
      </c>
      <c r="AN2140">
        <v>0.99999999124177896</v>
      </c>
    </row>
    <row r="2141" spans="1:40" x14ac:dyDescent="0.25">
      <c r="A2141" t="str">
        <f>"20190303162546613"</f>
        <v>20190303162546613</v>
      </c>
      <c r="B2141" t="str">
        <f>"1551601546605071"</f>
        <v>1551601546605071</v>
      </c>
      <c r="C2141" t="s">
        <v>40</v>
      </c>
      <c r="D2141">
        <v>5.2397470000000004</v>
      </c>
      <c r="E2141">
        <v>0.4732229</v>
      </c>
      <c r="F2141" t="s">
        <v>46</v>
      </c>
      <c r="G2141">
        <v>-488.58370000000002</v>
      </c>
      <c r="H2141" s="1">
        <v>3.6421389999999998E-6</v>
      </c>
      <c r="I2141">
        <v>220.94569999999999</v>
      </c>
      <c r="J2141">
        <v>-492.06849999999997</v>
      </c>
      <c r="K2141">
        <v>1.1218440000000001</v>
      </c>
      <c r="L2141">
        <v>255.90180000000001</v>
      </c>
      <c r="M2141">
        <v>-9.2213089999999998E-2</v>
      </c>
      <c r="N2141">
        <v>-1.0555520000000001E-2</v>
      </c>
      <c r="O2141">
        <v>-0.9956834</v>
      </c>
      <c r="P2141">
        <v>2.454102E-2</v>
      </c>
      <c r="Q2141">
        <v>0.13795839999999901</v>
      </c>
      <c r="R2141">
        <v>-0.99013399999999996</v>
      </c>
      <c r="S2141">
        <v>0.29803469999999999</v>
      </c>
      <c r="T2141">
        <v>-9.6637249999999994E-2</v>
      </c>
      <c r="U2141">
        <v>-3.0355989999999999</v>
      </c>
      <c r="V2141">
        <v>-0.116130399999999</v>
      </c>
      <c r="W2141">
        <v>0.14803189999999999</v>
      </c>
      <c r="X2141">
        <v>0.98214069999999998</v>
      </c>
      <c r="Y2141">
        <v>-0.18900729999999999</v>
      </c>
      <c r="Z2141">
        <v>2.0653270000000001E-2</v>
      </c>
      <c r="AA2141">
        <v>0.98175849999999998</v>
      </c>
      <c r="AB2141">
        <v>28</v>
      </c>
      <c r="AC2141">
        <v>3.4847999999999399</v>
      </c>
      <c r="AD2141">
        <v>-1.1218403578609999</v>
      </c>
      <c r="AE2141">
        <v>-34.956099999999999</v>
      </c>
      <c r="AF2141">
        <v>-6.6867208394841198</v>
      </c>
      <c r="AG2141">
        <v>-1.1218403578609999</v>
      </c>
      <c r="AH2141">
        <v>34.450650447399397</v>
      </c>
      <c r="AI2141">
        <v>91.830956870844204</v>
      </c>
      <c r="AJ2141">
        <v>100.984282317652</v>
      </c>
      <c r="AK2141">
        <v>35.111509190329798</v>
      </c>
      <c r="AL2141">
        <v>81.487110823469095</v>
      </c>
      <c r="AM2141">
        <v>96.743463607981496</v>
      </c>
      <c r="AN2141">
        <v>1.00000003390912</v>
      </c>
    </row>
    <row r="2142" spans="1:40" x14ac:dyDescent="0.25">
      <c r="A2142" t="str">
        <f>"20190303162546634"</f>
        <v>20190303162546634</v>
      </c>
      <c r="B2142" t="str">
        <f>"1551601546625567"</f>
        <v>1551601546625567</v>
      </c>
      <c r="C2142" t="s">
        <v>40</v>
      </c>
      <c r="D2142">
        <v>5.2882870000000004</v>
      </c>
      <c r="E2142">
        <v>0.47329680000000002</v>
      </c>
      <c r="F2142" t="s">
        <v>46</v>
      </c>
      <c r="G2142">
        <v>-488.6576</v>
      </c>
      <c r="H2142" s="1">
        <v>3.5668089999999999E-6</v>
      </c>
      <c r="I2142">
        <v>220.64959999999999</v>
      </c>
      <c r="J2142">
        <v>-492.09089999999998</v>
      </c>
      <c r="K2142">
        <v>1.121848</v>
      </c>
      <c r="L2142">
        <v>255.64340000000001</v>
      </c>
      <c r="M2142">
        <v>-9.0854119999999997E-2</v>
      </c>
      <c r="N2142">
        <v>-1.055117E-2</v>
      </c>
      <c r="O2142">
        <v>-0.99580840000000004</v>
      </c>
      <c r="P2142">
        <v>2.2857820000000001E-2</v>
      </c>
      <c r="Q2142">
        <v>0.13740869999999999</v>
      </c>
      <c r="R2142">
        <v>-0.99025059999999998</v>
      </c>
      <c r="S2142">
        <v>0.29376219999999997</v>
      </c>
      <c r="T2142">
        <v>-9.6618770000000007E-2</v>
      </c>
      <c r="U2142">
        <v>-3.0361020000000001</v>
      </c>
      <c r="V2142">
        <v>-0.11312410000000001</v>
      </c>
      <c r="W2142">
        <v>0.14748820000000001</v>
      </c>
      <c r="X2142">
        <v>0.98257320000000004</v>
      </c>
      <c r="Y2142">
        <v>-0.18628259999999999</v>
      </c>
      <c r="Z2142">
        <v>2.0664249999999999E-2</v>
      </c>
      <c r="AA2142">
        <v>0.98227889999999995</v>
      </c>
      <c r="AB2142">
        <v>28</v>
      </c>
      <c r="AC2142">
        <v>3.4332999999999698</v>
      </c>
      <c r="AD2142">
        <v>-1.121844433191</v>
      </c>
      <c r="AE2142">
        <v>-34.9938</v>
      </c>
      <c r="AF2142">
        <v>-6.5918964815442802</v>
      </c>
      <c r="AG2142">
        <v>-1.121844433191</v>
      </c>
      <c r="AH2142">
        <v>34.501989165481</v>
      </c>
      <c r="AI2142">
        <v>91.829271580669698</v>
      </c>
      <c r="AJ2142">
        <v>100.816487287238</v>
      </c>
      <c r="AK2142">
        <v>35.143973744166203</v>
      </c>
      <c r="AL2142">
        <v>81.518607665900802</v>
      </c>
      <c r="AM2142">
        <v>96.567573275696304</v>
      </c>
      <c r="AN2142">
        <v>0.999999962249144</v>
      </c>
    </row>
    <row r="2143" spans="1:40" x14ac:dyDescent="0.25">
      <c r="A2143" t="str">
        <f>"20190303162546655"</f>
        <v>20190303162546655</v>
      </c>
      <c r="B2143" t="str">
        <f>"1551601546645089"</f>
        <v>1551601546645089</v>
      </c>
      <c r="C2143" t="s">
        <v>40</v>
      </c>
      <c r="D2143">
        <v>5.4186800000000002</v>
      </c>
      <c r="E2143">
        <v>0.5180053</v>
      </c>
      <c r="F2143" t="s">
        <v>46</v>
      </c>
      <c r="G2143">
        <v>-488.82159999999999</v>
      </c>
      <c r="H2143" s="1">
        <v>3.7659069999999998E-6</v>
      </c>
      <c r="I2143">
        <v>221.17500000000001</v>
      </c>
      <c r="J2143">
        <v>-492.11360000000002</v>
      </c>
      <c r="K2143">
        <v>1.121853</v>
      </c>
      <c r="L2143">
        <v>255.3794</v>
      </c>
      <c r="M2143">
        <v>-8.9437710000000004E-2</v>
      </c>
      <c r="N2143">
        <v>-1.0548299999999899E-2</v>
      </c>
      <c r="O2143">
        <v>-0.99593690000000001</v>
      </c>
      <c r="P2143">
        <v>2.0875390000000001E-2</v>
      </c>
      <c r="Q2143">
        <v>0.1365808</v>
      </c>
      <c r="R2143">
        <v>-0.99040950000000005</v>
      </c>
      <c r="S2143">
        <v>0.28802489999999997</v>
      </c>
      <c r="T2143">
        <v>-9.8831649999999993E-2</v>
      </c>
      <c r="U2143">
        <v>-3.036575</v>
      </c>
      <c r="V2143">
        <v>-0.1097669</v>
      </c>
      <c r="W2143">
        <v>0.14666750000000001</v>
      </c>
      <c r="X2143">
        <v>0.98307679999999997</v>
      </c>
      <c r="Y2143">
        <v>-0.1830291</v>
      </c>
      <c r="Z2143">
        <v>2.1398239999999999E-2</v>
      </c>
      <c r="AA2143">
        <v>0.98287460000000004</v>
      </c>
      <c r="AB2143">
        <v>28</v>
      </c>
      <c r="AC2143">
        <v>3.29200000000003</v>
      </c>
      <c r="AD2143">
        <v>-1.121849234093</v>
      </c>
      <c r="AE2143">
        <v>-34.2043999999999</v>
      </c>
      <c r="AF2143">
        <v>-6.3313895686091302</v>
      </c>
      <c r="AG2143">
        <v>-1.121849234093</v>
      </c>
      <c r="AH2143">
        <v>33.736903780222299</v>
      </c>
      <c r="AI2143">
        <v>91.871893134006996</v>
      </c>
      <c r="AJ2143">
        <v>100.629039590063</v>
      </c>
      <c r="AK2143">
        <v>34.344194796930402</v>
      </c>
      <c r="AL2143">
        <v>81.566148154320501</v>
      </c>
      <c r="AM2143">
        <v>96.371056450500802</v>
      </c>
      <c r="AN2143">
        <v>1.0000000612950399</v>
      </c>
    </row>
    <row r="2144" spans="1:40" x14ac:dyDescent="0.25">
      <c r="A2144" t="str">
        <f>"20190303162546679"</f>
        <v>20190303162546679</v>
      </c>
      <c r="B2144" t="str">
        <f>"1551601546665582"</f>
        <v>1551601546665582</v>
      </c>
      <c r="C2144" t="s">
        <v>40</v>
      </c>
      <c r="D2144">
        <v>4.9786989999999998</v>
      </c>
      <c r="E2144">
        <v>0.53789949999999997</v>
      </c>
      <c r="F2144" t="s">
        <v>41</v>
      </c>
      <c r="G2144">
        <v>-492.49549999999999</v>
      </c>
      <c r="H2144" s="1">
        <v>-4.6923279999999999E-6</v>
      </c>
      <c r="I2144">
        <v>239.47460000000001</v>
      </c>
      <c r="J2144">
        <v>-492.137</v>
      </c>
      <c r="K2144">
        <v>1.121875</v>
      </c>
      <c r="L2144">
        <v>255.09989999999999</v>
      </c>
      <c r="M2144">
        <v>-8.7897909999999996E-2</v>
      </c>
      <c r="N2144">
        <v>-1.054647E-2</v>
      </c>
      <c r="O2144">
        <v>-0.99607380000000001</v>
      </c>
      <c r="P2144">
        <v>1.9381820000000001E-2</v>
      </c>
      <c r="Q2144">
        <v>0.13592589999999999</v>
      </c>
      <c r="R2144">
        <v>-0.99052980000000002</v>
      </c>
      <c r="S2144">
        <v>-7.3486330000000002E-2</v>
      </c>
      <c r="T2144">
        <v>-0.2158678</v>
      </c>
      <c r="U2144">
        <v>-3.0603940000000001</v>
      </c>
      <c r="V2144">
        <v>-0.1067757</v>
      </c>
      <c r="W2144">
        <v>0.14601610000000001</v>
      </c>
      <c r="X2144">
        <v>0.98350300000000002</v>
      </c>
      <c r="Y2144">
        <v>-6.3980179999999998E-2</v>
      </c>
      <c r="Z2144">
        <v>5.9357890000000003E-2</v>
      </c>
      <c r="AA2144">
        <v>0.99618430000000002</v>
      </c>
      <c r="AB2144">
        <v>28</v>
      </c>
      <c r="AC2144">
        <v>-0.358500000000049</v>
      </c>
      <c r="AD2144">
        <v>-1.1218796923280001</v>
      </c>
      <c r="AE2144">
        <v>-15.6252999999999</v>
      </c>
      <c r="AF2144">
        <v>-1.0111851351202701</v>
      </c>
      <c r="AG2144">
        <v>-1.1218796923280001</v>
      </c>
      <c r="AH2144">
        <v>15.516382330530201</v>
      </c>
      <c r="AI2144">
        <v>94.126732188306207</v>
      </c>
      <c r="AJ2144">
        <v>93.728628817102006</v>
      </c>
      <c r="AK2144">
        <v>15.589715521738601</v>
      </c>
      <c r="AL2144">
        <v>81.603875876602302</v>
      </c>
      <c r="AM2144">
        <v>96.196147089010793</v>
      </c>
      <c r="AN2144">
        <v>0.99999995128934804</v>
      </c>
    </row>
    <row r="2145" spans="1:40" x14ac:dyDescent="0.25">
      <c r="A2145" t="str">
        <f>"20190303162546701"</f>
        <v>20190303162546701</v>
      </c>
      <c r="B2145" t="str">
        <f>"1551601546695314"</f>
        <v>1551601546695314</v>
      </c>
      <c r="C2145" t="s">
        <v>40</v>
      </c>
      <c r="D2145">
        <v>5.0429659999999998</v>
      </c>
      <c r="E2145">
        <v>0.55016309999999902</v>
      </c>
      <c r="F2145" t="s">
        <v>42</v>
      </c>
      <c r="G2145">
        <v>-492.21050000000002</v>
      </c>
      <c r="H2145">
        <v>1.0142230000000001</v>
      </c>
      <c r="I2145">
        <v>254.1412</v>
      </c>
      <c r="J2145">
        <v>-492.16030000000001</v>
      </c>
      <c r="K2145">
        <v>1.1219140000000001</v>
      </c>
      <c r="L2145">
        <v>254.81630000000001</v>
      </c>
      <c r="M2145">
        <v>-8.6273840000000004E-2</v>
      </c>
      <c r="N2145">
        <v>-1.0545870000000001E-2</v>
      </c>
      <c r="O2145">
        <v>-0.99621559999999998</v>
      </c>
      <c r="P2145">
        <v>1.7809640000000002E-2</v>
      </c>
      <c r="Q2145">
        <v>0.1354235</v>
      </c>
      <c r="R2145">
        <v>-0.99062740000000005</v>
      </c>
      <c r="S2145">
        <v>-0.2354126</v>
      </c>
      <c r="T2145">
        <v>-0.3460588</v>
      </c>
      <c r="U2145">
        <v>-3.0807799999999999</v>
      </c>
      <c r="V2145">
        <v>-0.10362440000000001</v>
      </c>
      <c r="W2145">
        <v>0.14551610000000001</v>
      </c>
      <c r="X2145">
        <v>0.98391410000000001</v>
      </c>
      <c r="Y2145">
        <v>-1.0500590000000001E-2</v>
      </c>
      <c r="Z2145">
        <v>0.1003904</v>
      </c>
      <c r="AA2145">
        <v>0.99489269999999996</v>
      </c>
      <c r="AB2145">
        <v>28</v>
      </c>
      <c r="AC2145">
        <v>-5.0200000000018001E-2</v>
      </c>
      <c r="AD2145">
        <v>-0.107690999999999</v>
      </c>
      <c r="AE2145">
        <v>-0.67510000000001402</v>
      </c>
      <c r="AF2145">
        <v>-8.0306781225617397E-3</v>
      </c>
      <c r="AG2145">
        <v>-0.107690999999999</v>
      </c>
      <c r="AH2145">
        <v>0.66020641906733402</v>
      </c>
      <c r="AI2145">
        <v>99.263660727842804</v>
      </c>
      <c r="AJ2145">
        <v>90.696905177578202</v>
      </c>
      <c r="AK2145">
        <v>0.66898008867964098</v>
      </c>
      <c r="AL2145">
        <v>81.6328330794679</v>
      </c>
      <c r="AM2145">
        <v>96.012144527649099</v>
      </c>
      <c r="AN2145">
        <v>0.99999995390668805</v>
      </c>
    </row>
    <row r="2146" spans="1:40" x14ac:dyDescent="0.25">
      <c r="A2146" t="str">
        <f>"20190303162546723"</f>
        <v>20190303162546723</v>
      </c>
      <c r="B2146" t="str">
        <f>"1551601546714835"</f>
        <v>1551601546714835</v>
      </c>
      <c r="C2146" t="s">
        <v>40</v>
      </c>
      <c r="D2146">
        <v>4.9431000000000003</v>
      </c>
      <c r="E2146">
        <v>0.55349919999999997</v>
      </c>
      <c r="F2146" t="s">
        <v>42</v>
      </c>
      <c r="G2146">
        <v>-492.25810000000001</v>
      </c>
      <c r="H2146">
        <v>0.97493920000000001</v>
      </c>
      <c r="I2146">
        <v>253.91499999999999</v>
      </c>
      <c r="J2146">
        <v>-492.18270000000001</v>
      </c>
      <c r="K2146">
        <v>1.1219669999999999</v>
      </c>
      <c r="L2146">
        <v>254.53729999999999</v>
      </c>
      <c r="M2146">
        <v>-8.4622890000000006E-2</v>
      </c>
      <c r="N2146">
        <v>-1.054618E-2</v>
      </c>
      <c r="O2146">
        <v>-0.99635720000000005</v>
      </c>
      <c r="P2146">
        <v>1.6347069999999998E-2</v>
      </c>
      <c r="Q2146">
        <v>0.1353886</v>
      </c>
      <c r="R2146">
        <v>-0.99065789999999998</v>
      </c>
      <c r="S2146">
        <v>-0.33621220000000002</v>
      </c>
      <c r="T2146">
        <v>-0.5062392</v>
      </c>
      <c r="U2146">
        <v>-3.1036220000000001</v>
      </c>
      <c r="V2146">
        <v>-0.1005523</v>
      </c>
      <c r="W2146">
        <v>0.145482</v>
      </c>
      <c r="X2146">
        <v>0.9842379</v>
      </c>
      <c r="Y2146">
        <v>2.194513E-2</v>
      </c>
      <c r="Z2146">
        <v>0.14928279999999999</v>
      </c>
      <c r="AA2146">
        <v>0.98855099999999996</v>
      </c>
      <c r="AB2146">
        <v>28</v>
      </c>
      <c r="AC2146">
        <v>-7.5400000000001896E-2</v>
      </c>
      <c r="AD2146">
        <v>-0.14702779999999899</v>
      </c>
      <c r="AE2146">
        <v>-0.62229999999999497</v>
      </c>
      <c r="AF2146">
        <v>2.12942837018615E-2</v>
      </c>
      <c r="AG2146">
        <v>-0.14702779999999899</v>
      </c>
      <c r="AH2146">
        <v>0.593782412324667</v>
      </c>
      <c r="AI2146">
        <v>103.89882294272201</v>
      </c>
      <c r="AJ2146">
        <v>87.946133262482704</v>
      </c>
      <c r="AK2146">
        <v>0.61208510329636001</v>
      </c>
      <c r="AL2146">
        <v>81.634808358165898</v>
      </c>
      <c r="AM2146">
        <v>95.833247563722594</v>
      </c>
      <c r="AN2146">
        <v>1.0000000105778499</v>
      </c>
    </row>
    <row r="2147" spans="1:40" x14ac:dyDescent="0.25">
      <c r="A2147" t="str">
        <f>"20190303162546745"</f>
        <v>20190303162546745</v>
      </c>
      <c r="B2147" t="str">
        <f>"1551601546735331"</f>
        <v>1551601546735331</v>
      </c>
      <c r="C2147" t="s">
        <v>40</v>
      </c>
      <c r="D2147">
        <v>4.9621599999999999</v>
      </c>
      <c r="E2147">
        <v>0.55548949999999997</v>
      </c>
      <c r="F2147" t="s">
        <v>42</v>
      </c>
      <c r="G2147">
        <v>-492.28519999999997</v>
      </c>
      <c r="H2147">
        <v>0.9669297</v>
      </c>
      <c r="I2147">
        <v>253.6711</v>
      </c>
      <c r="J2147">
        <v>-492.2038</v>
      </c>
      <c r="K2147">
        <v>1.122017</v>
      </c>
      <c r="L2147">
        <v>254.26759999999999</v>
      </c>
      <c r="M2147">
        <v>-8.2958390000000007E-2</v>
      </c>
      <c r="N2147">
        <v>-1.054717E-2</v>
      </c>
      <c r="O2147">
        <v>-0.99649719999999997</v>
      </c>
      <c r="P2147">
        <v>1.507239E-2</v>
      </c>
      <c r="Q2147">
        <v>0.13515639999999901</v>
      </c>
      <c r="R2147">
        <v>-0.99070939999999996</v>
      </c>
      <c r="S2147">
        <v>-0.366394</v>
      </c>
      <c r="T2147">
        <v>-0.55705459999999996</v>
      </c>
      <c r="U2147">
        <v>-3.1105040000000002</v>
      </c>
      <c r="V2147">
        <v>-9.7657579999999994E-2</v>
      </c>
      <c r="W2147">
        <v>0.14525089999999999</v>
      </c>
      <c r="X2147">
        <v>0.98456339999999998</v>
      </c>
      <c r="Y2147">
        <v>3.2556300000000003E-2</v>
      </c>
      <c r="Z2147">
        <v>0.16440979999999999</v>
      </c>
      <c r="AA2147">
        <v>0.98585469999999997</v>
      </c>
      <c r="AB2147">
        <v>28</v>
      </c>
      <c r="AC2147">
        <v>-8.1399999999973702E-2</v>
      </c>
      <c r="AD2147">
        <v>-0.15508730000000001</v>
      </c>
      <c r="AE2147">
        <v>-0.59649999999999104</v>
      </c>
      <c r="AF2147">
        <v>2.96634315622137E-2</v>
      </c>
      <c r="AG2147">
        <v>-0.15508730000000001</v>
      </c>
      <c r="AH2147">
        <v>0.56378313819782599</v>
      </c>
      <c r="AI2147">
        <v>105.360444596706</v>
      </c>
      <c r="AJ2147">
        <v>86.988161626300993</v>
      </c>
      <c r="AK2147">
        <v>0.58547708470061</v>
      </c>
      <c r="AL2147">
        <v>81.648191126399198</v>
      </c>
      <c r="AM2147">
        <v>95.664566561057299</v>
      </c>
      <c r="AN2147">
        <v>0.99999995775091199</v>
      </c>
    </row>
    <row r="2148" spans="1:40" x14ac:dyDescent="0.25">
      <c r="A2148" t="str">
        <f>"20190303162546767"</f>
        <v>20190303162546767</v>
      </c>
      <c r="B2148" t="str">
        <f>"1551601546754852"</f>
        <v>1551601546754852</v>
      </c>
      <c r="C2148" t="s">
        <v>40</v>
      </c>
      <c r="D2148">
        <v>4.9426889999999997</v>
      </c>
      <c r="E2148">
        <v>0.55679069999999997</v>
      </c>
      <c r="F2148" t="s">
        <v>42</v>
      </c>
      <c r="G2148">
        <v>-492.30770000000001</v>
      </c>
      <c r="H2148">
        <v>0.96259189999999994</v>
      </c>
      <c r="I2148">
        <v>253.4247</v>
      </c>
      <c r="J2148">
        <v>-492.2244</v>
      </c>
      <c r="K2148">
        <v>1.122082</v>
      </c>
      <c r="L2148">
        <v>253.9984</v>
      </c>
      <c r="M2148">
        <v>-8.1202449999999995E-2</v>
      </c>
      <c r="N2148">
        <v>-1.055097E-2</v>
      </c>
      <c r="O2148">
        <v>-0.99664180000000002</v>
      </c>
      <c r="P2148">
        <v>1.459675E-2</v>
      </c>
      <c r="Q2148">
        <v>0.13530449999999999</v>
      </c>
      <c r="R2148">
        <v>-0.99069649999999998</v>
      </c>
      <c r="S2148">
        <v>-0.38427729999999999</v>
      </c>
      <c r="T2148">
        <v>-0.589036</v>
      </c>
      <c r="U2148">
        <v>-3.1143040000000002</v>
      </c>
      <c r="V2148">
        <v>-9.5468919999999999E-2</v>
      </c>
      <c r="W2148">
        <v>0.1453962</v>
      </c>
      <c r="X2148">
        <v>0.98475659999999998</v>
      </c>
      <c r="Y2148">
        <v>3.9548460000000001E-2</v>
      </c>
      <c r="Z2148">
        <v>0.1738632</v>
      </c>
      <c r="AA2148">
        <v>0.98397539999999994</v>
      </c>
      <c r="AB2148">
        <v>28</v>
      </c>
      <c r="AC2148">
        <v>-8.3300000000008298E-2</v>
      </c>
      <c r="AD2148">
        <v>-0.1594901</v>
      </c>
      <c r="AE2148">
        <v>-0.57370000000000199</v>
      </c>
      <c r="AF2148">
        <v>3.3872633314968398E-2</v>
      </c>
      <c r="AG2148">
        <v>-0.1594901</v>
      </c>
      <c r="AH2148">
        <v>0.53785933025084398</v>
      </c>
      <c r="AI2148">
        <v>106.48565875715801</v>
      </c>
      <c r="AJ2148">
        <v>86.396456880390502</v>
      </c>
      <c r="AK2148">
        <v>0.56202945334171495</v>
      </c>
      <c r="AL2148">
        <v>81.639776788369105</v>
      </c>
      <c r="AM2148">
        <v>95.537333173744898</v>
      </c>
      <c r="AN2148">
        <v>0.999999965451982</v>
      </c>
    </row>
    <row r="2149" spans="1:40" x14ac:dyDescent="0.25">
      <c r="A2149" t="str">
        <f>"20190303162546792"</f>
        <v>20190303162546792</v>
      </c>
      <c r="B2149" t="str">
        <f>"1551601546785107"</f>
        <v>1551601546785107</v>
      </c>
      <c r="C2149" t="s">
        <v>40</v>
      </c>
      <c r="D2149">
        <v>4.9655690000000003</v>
      </c>
      <c r="E2149">
        <v>0.55799129999999997</v>
      </c>
      <c r="F2149" t="s">
        <v>42</v>
      </c>
      <c r="G2149">
        <v>-492.32859999999999</v>
      </c>
      <c r="H2149">
        <v>0.96152439999999995</v>
      </c>
      <c r="I2149">
        <v>253.1765</v>
      </c>
      <c r="J2149">
        <v>-492.24740000000003</v>
      </c>
      <c r="K2149">
        <v>1.1221859999999999</v>
      </c>
      <c r="L2149">
        <v>253.68770000000001</v>
      </c>
      <c r="M2149">
        <v>-7.9022060000000005E-2</v>
      </c>
      <c r="N2149">
        <v>-1.0562899999999899E-2</v>
      </c>
      <c r="O2149">
        <v>-0.99681719999999896</v>
      </c>
      <c r="P2149">
        <v>1.5391129999999999E-2</v>
      </c>
      <c r="Q2149">
        <v>0.1358993</v>
      </c>
      <c r="R2149">
        <v>-0.99060340000000002</v>
      </c>
      <c r="S2149">
        <v>-0.39297490000000002</v>
      </c>
      <c r="T2149">
        <v>-0.60945329999999998</v>
      </c>
      <c r="U2149">
        <v>-3.1172029999999999</v>
      </c>
      <c r="V2149">
        <v>-9.4134079999999995E-2</v>
      </c>
      <c r="W2149">
        <v>0.145984</v>
      </c>
      <c r="X2149">
        <v>0.98479819999999996</v>
      </c>
      <c r="Y2149">
        <v>4.4184880000000003E-2</v>
      </c>
      <c r="Z2149">
        <v>0.179848799999999</v>
      </c>
      <c r="AA2149">
        <v>0.98270139999999995</v>
      </c>
      <c r="AB2149">
        <v>28</v>
      </c>
      <c r="AC2149">
        <v>-8.1199999999967007E-2</v>
      </c>
      <c r="AD2149">
        <v>-0.16066159999999999</v>
      </c>
      <c r="AE2149">
        <v>-0.51120000000000199</v>
      </c>
      <c r="AF2149">
        <v>3.6984524034374702E-2</v>
      </c>
      <c r="AG2149">
        <v>-0.16066159999999999</v>
      </c>
      <c r="AH2149">
        <v>0.470672141300221</v>
      </c>
      <c r="AI2149">
        <v>108.793237760254</v>
      </c>
      <c r="AJ2149">
        <v>85.507038445684699</v>
      </c>
      <c r="AK2149">
        <v>0.498710606793905</v>
      </c>
      <c r="AL2149">
        <v>81.605735607161506</v>
      </c>
      <c r="AM2149">
        <v>95.460152513868707</v>
      </c>
      <c r="AN2149">
        <v>1.00000002399834</v>
      </c>
    </row>
    <row r="2150" spans="1:40" x14ac:dyDescent="0.25">
      <c r="A2150" t="str">
        <f>"20190303162546815"</f>
        <v>20190303162546815</v>
      </c>
      <c r="B2150" t="str">
        <f>"1551601546805603"</f>
        <v>1551601546805603</v>
      </c>
      <c r="C2150" t="s">
        <v>40</v>
      </c>
      <c r="D2150">
        <v>4.9327170000000002</v>
      </c>
      <c r="E2150">
        <v>0.55836200000000002</v>
      </c>
      <c r="F2150" t="s">
        <v>42</v>
      </c>
      <c r="G2150">
        <v>-492.34480000000002</v>
      </c>
      <c r="H2150">
        <v>0.96856249999999999</v>
      </c>
      <c r="I2150">
        <v>252.9237</v>
      </c>
      <c r="J2150">
        <v>-492.2672</v>
      </c>
      <c r="K2150">
        <v>1.122317</v>
      </c>
      <c r="L2150">
        <v>253.4102</v>
      </c>
      <c r="M2150">
        <v>-7.6910119999999998E-2</v>
      </c>
      <c r="N2150">
        <v>-1.0577319999999999E-2</v>
      </c>
      <c r="O2150">
        <v>-0.99698189999999998</v>
      </c>
      <c r="P2150">
        <v>1.6554559999999999E-2</v>
      </c>
      <c r="Q2150">
        <v>0.1373521</v>
      </c>
      <c r="R2150">
        <v>-0.99038400000000004</v>
      </c>
      <c r="S2150">
        <v>-0.39767459999999999</v>
      </c>
      <c r="T2150">
        <v>-0.62763930000000001</v>
      </c>
      <c r="U2150">
        <v>-3.120743</v>
      </c>
      <c r="V2150">
        <v>-9.3235289999999998E-2</v>
      </c>
      <c r="W2150">
        <v>0.14742640000000001</v>
      </c>
      <c r="X2150">
        <v>0.98466880000000001</v>
      </c>
      <c r="Y2150">
        <v>4.7490570000000003E-2</v>
      </c>
      <c r="Z2150">
        <v>0.18510750000000001</v>
      </c>
      <c r="AA2150">
        <v>0.9815701</v>
      </c>
      <c r="AB2150">
        <v>28</v>
      </c>
      <c r="AC2150">
        <v>-7.7600000000018099E-2</v>
      </c>
      <c r="AD2150">
        <v>-0.15375449999999999</v>
      </c>
      <c r="AE2150">
        <v>-0.48650000000000598</v>
      </c>
      <c r="AF2150">
        <v>3.6405227385057103E-2</v>
      </c>
      <c r="AG2150">
        <v>-0.15375449999999999</v>
      </c>
      <c r="AH2150">
        <v>0.447444337798449</v>
      </c>
      <c r="AI2150">
        <v>108.906149783042</v>
      </c>
      <c r="AJ2150">
        <v>85.348513366107994</v>
      </c>
      <c r="AK2150">
        <v>0.47452315252166599</v>
      </c>
      <c r="AL2150">
        <v>81.522188038737895</v>
      </c>
      <c r="AM2150">
        <v>95.409036223393898</v>
      </c>
      <c r="AN2150">
        <v>1.0000000042058901</v>
      </c>
    </row>
    <row r="2151" spans="1:40" x14ac:dyDescent="0.25">
      <c r="A2151" t="str">
        <f>"20190303162546834"</f>
        <v>20190303162546834</v>
      </c>
      <c r="B2151" t="str">
        <f>"1551601546825124"</f>
        <v>1551601546825124</v>
      </c>
      <c r="C2151" t="s">
        <v>40</v>
      </c>
      <c r="D2151">
        <v>4.9936439999999997</v>
      </c>
      <c r="E2151">
        <v>0.55864729999999996</v>
      </c>
      <c r="F2151" t="s">
        <v>42</v>
      </c>
      <c r="G2151">
        <v>-492.36079999999998</v>
      </c>
      <c r="H2151">
        <v>0.97242960000000001</v>
      </c>
      <c r="I2151">
        <v>252.67230000000001</v>
      </c>
      <c r="J2151">
        <v>-492.2851</v>
      </c>
      <c r="K2151">
        <v>1.1224590000000001</v>
      </c>
      <c r="L2151">
        <v>253.149</v>
      </c>
      <c r="M2151">
        <v>-7.4756649999999994E-2</v>
      </c>
      <c r="N2151">
        <v>-1.0591659999999999E-2</v>
      </c>
      <c r="O2151">
        <v>-0.99714570000000002</v>
      </c>
      <c r="P2151">
        <v>1.9836610000000001E-2</v>
      </c>
      <c r="Q2151">
        <v>0.13989699999999999</v>
      </c>
      <c r="R2151">
        <v>-0.98996719999999905</v>
      </c>
      <c r="S2151">
        <v>-0.39523320000000001</v>
      </c>
      <c r="T2151">
        <v>-0.63479140000000001</v>
      </c>
      <c r="U2151">
        <v>-3.1237789999999999</v>
      </c>
      <c r="V2151">
        <v>-9.4403840000000003E-2</v>
      </c>
      <c r="W2151">
        <v>0.1499463</v>
      </c>
      <c r="X2151">
        <v>0.98417679999999996</v>
      </c>
      <c r="Y2151">
        <v>4.8723799999999998E-2</v>
      </c>
      <c r="Z2151">
        <v>0.1871042</v>
      </c>
      <c r="AA2151">
        <v>0.98113099999999998</v>
      </c>
      <c r="AB2151">
        <v>28</v>
      </c>
      <c r="AC2151">
        <v>-7.5699999999983406E-2</v>
      </c>
      <c r="AD2151">
        <v>-0.15002940000000001</v>
      </c>
      <c r="AE2151">
        <v>-0.47669999999999302</v>
      </c>
      <c r="AF2151">
        <v>3.6338777751197003E-2</v>
      </c>
      <c r="AG2151">
        <v>-0.15002940000000001</v>
      </c>
      <c r="AH2151">
        <v>0.43864543413958901</v>
      </c>
      <c r="AI2151">
        <v>108.822251804304</v>
      </c>
      <c r="AJ2151">
        <v>85.264250111340601</v>
      </c>
      <c r="AK2151">
        <v>0.46501520891721299</v>
      </c>
      <c r="AL2151">
        <v>81.376185210444106</v>
      </c>
      <c r="AM2151">
        <v>95.479140980273996</v>
      </c>
      <c r="AN2151">
        <v>0.99999997577433697</v>
      </c>
    </row>
    <row r="2152" spans="1:40" x14ac:dyDescent="0.25">
      <c r="A2152" t="str">
        <f>"20190303162546856"</f>
        <v>20190303162546856</v>
      </c>
      <c r="B2152" t="str">
        <f>"1551601546845619"</f>
        <v>1551601546845619</v>
      </c>
      <c r="C2152" t="s">
        <v>40</v>
      </c>
      <c r="D2152">
        <v>5.2260169999999997</v>
      </c>
      <c r="E2152">
        <v>0.55863600000000002</v>
      </c>
      <c r="F2152" t="s">
        <v>42</v>
      </c>
      <c r="G2152">
        <v>-492.37479999999999</v>
      </c>
      <c r="H2152">
        <v>0.97442070000000003</v>
      </c>
      <c r="I2152">
        <v>252.42140000000001</v>
      </c>
      <c r="J2152">
        <v>-492.30220000000003</v>
      </c>
      <c r="K2152">
        <v>1.1226069999999999</v>
      </c>
      <c r="L2152">
        <v>252.88829999999999</v>
      </c>
      <c r="M2152">
        <v>-7.2440980000000002E-2</v>
      </c>
      <c r="N2152">
        <v>-1.0606249999999999E-2</v>
      </c>
      <c r="O2152">
        <v>-0.99731639999999999</v>
      </c>
      <c r="P2152">
        <v>2.3233460000000001E-2</v>
      </c>
      <c r="Q2152">
        <v>0.141204</v>
      </c>
      <c r="R2152">
        <v>-0.98970809999999998</v>
      </c>
      <c r="S2152">
        <v>-0.38549800000000001</v>
      </c>
      <c r="T2152">
        <v>-0.63644029999999996</v>
      </c>
      <c r="U2152">
        <v>-3.1280519999999998</v>
      </c>
      <c r="V2152">
        <v>-9.5539349999999995E-2</v>
      </c>
      <c r="W2152">
        <v>0.15122849999999999</v>
      </c>
      <c r="X2152">
        <v>0.98387100000000005</v>
      </c>
      <c r="Y2152">
        <v>4.7863259999999998E-2</v>
      </c>
      <c r="Z2152">
        <v>0.18741340000000001</v>
      </c>
      <c r="AA2152">
        <v>0.98111429999999999</v>
      </c>
      <c r="AB2152">
        <v>28</v>
      </c>
      <c r="AC2152">
        <v>-7.2599999999965803E-2</v>
      </c>
      <c r="AD2152">
        <v>-0.14818629999999899</v>
      </c>
      <c r="AE2152">
        <v>-0.466899999999981</v>
      </c>
      <c r="AF2152">
        <v>3.5129509784482399E-2</v>
      </c>
      <c r="AG2152">
        <v>-0.14818629999999899</v>
      </c>
      <c r="AH2152">
        <v>0.42876214021465198</v>
      </c>
      <c r="AI2152">
        <v>109.006781195904</v>
      </c>
      <c r="AJ2152">
        <v>85.316081683662105</v>
      </c>
      <c r="AK2152">
        <v>0.45500575254257702</v>
      </c>
      <c r="AL2152">
        <v>81.301873238269806</v>
      </c>
      <c r="AM2152">
        <v>95.546349616489806</v>
      </c>
      <c r="AN2152">
        <v>0.99999998562583603</v>
      </c>
    </row>
    <row r="2153" spans="1:40" x14ac:dyDescent="0.25">
      <c r="A2153" t="str">
        <f>"20190303162546879"</f>
        <v>20190303162546879</v>
      </c>
      <c r="B2153" t="str">
        <f>"1551601546874899"</f>
        <v>1551601546874899</v>
      </c>
      <c r="C2153" t="s">
        <v>40</v>
      </c>
      <c r="D2153">
        <v>5.3414270000000004</v>
      </c>
      <c r="E2153">
        <v>0.50592219999999999</v>
      </c>
      <c r="F2153" t="s">
        <v>42</v>
      </c>
      <c r="G2153">
        <v>-492.38819999999998</v>
      </c>
      <c r="H2153">
        <v>0.97740269999999996</v>
      </c>
      <c r="I2153">
        <v>252.17</v>
      </c>
      <c r="J2153">
        <v>-492.32069999999999</v>
      </c>
      <c r="K2153">
        <v>1.1227609999999999</v>
      </c>
      <c r="L2153">
        <v>252.59229999999999</v>
      </c>
      <c r="M2153">
        <v>-6.9628499999999996E-2</v>
      </c>
      <c r="N2153">
        <v>-1.0622680000000001E-2</v>
      </c>
      <c r="O2153">
        <v>-0.99751630000000002</v>
      </c>
      <c r="P2153">
        <v>2.6346580000000001E-2</v>
      </c>
      <c r="Q2153">
        <v>0.1422775</v>
      </c>
      <c r="R2153">
        <v>-0.98947609999999997</v>
      </c>
      <c r="S2153">
        <v>-0.37280269999999999</v>
      </c>
      <c r="T2153">
        <v>-0.63352059999999999</v>
      </c>
      <c r="U2153">
        <v>-3.1303100000000001</v>
      </c>
      <c r="V2153">
        <v>-9.5908839999999995E-2</v>
      </c>
      <c r="W2153">
        <v>0.15228050000000001</v>
      </c>
      <c r="X2153">
        <v>0.98367280000000001</v>
      </c>
      <c r="Y2153">
        <v>4.6694680000000002E-2</v>
      </c>
      <c r="Z2153">
        <v>0.1864944</v>
      </c>
      <c r="AA2153">
        <v>0.98134569999999999</v>
      </c>
      <c r="AB2153">
        <v>28</v>
      </c>
      <c r="AC2153">
        <v>-6.7499999999995397E-2</v>
      </c>
      <c r="AD2153">
        <v>-0.1453583</v>
      </c>
      <c r="AE2153">
        <v>-0.422300000000007</v>
      </c>
      <c r="AF2153">
        <v>3.4002224604269597E-2</v>
      </c>
      <c r="AG2153">
        <v>-0.1453583</v>
      </c>
      <c r="AH2153">
        <v>0.38186020607762999</v>
      </c>
      <c r="AI2153">
        <v>110.764636060881</v>
      </c>
      <c r="AJ2153">
        <v>84.911594901893096</v>
      </c>
      <c r="AK2153">
        <v>0.41000293126095999</v>
      </c>
      <c r="AL2153">
        <v>81.240892076290905</v>
      </c>
      <c r="AM2153">
        <v>95.5687798901062</v>
      </c>
      <c r="AN2153">
        <v>1.00000001686511</v>
      </c>
    </row>
    <row r="2154" spans="1:40" x14ac:dyDescent="0.25">
      <c r="A2154" t="str">
        <f>"20190303162546902"</f>
        <v>20190303162546902</v>
      </c>
      <c r="B2154" t="str">
        <f>"1551601546894789"</f>
        <v>1551601546894789</v>
      </c>
      <c r="C2154" t="s">
        <v>40</v>
      </c>
      <c r="D2154">
        <v>5.2672639999999999</v>
      </c>
      <c r="E2154">
        <v>0.4967937</v>
      </c>
      <c r="F2154" t="s">
        <v>46</v>
      </c>
      <c r="G2154">
        <v>-491.93310000000002</v>
      </c>
      <c r="H2154" s="1">
        <v>5.4274550000000004E-6</v>
      </c>
      <c r="I2154">
        <v>227.13910000000001</v>
      </c>
      <c r="J2154">
        <v>-492.33730000000003</v>
      </c>
      <c r="K2154">
        <v>1.122876</v>
      </c>
      <c r="L2154">
        <v>252.31010000000001</v>
      </c>
      <c r="M2154">
        <v>-6.6793959999999999E-2</v>
      </c>
      <c r="N2154">
        <v>-1.0637290000000001E-2</v>
      </c>
      <c r="O2154">
        <v>-0.99771019999999999</v>
      </c>
      <c r="P2154">
        <v>3.0368240000000001E-2</v>
      </c>
      <c r="Q2154">
        <v>0.1424713</v>
      </c>
      <c r="R2154">
        <v>-0.98933289999999996</v>
      </c>
      <c r="S2154">
        <v>4.6447750000000003E-2</v>
      </c>
      <c r="T2154">
        <v>-0.13453960000000001</v>
      </c>
      <c r="U2154">
        <v>-3.050049</v>
      </c>
      <c r="V2154">
        <v>-9.7154270000000001E-2</v>
      </c>
      <c r="W2154">
        <v>0.15245439999999999</v>
      </c>
      <c r="X2154">
        <v>0.98352360000000005</v>
      </c>
      <c r="Y2154">
        <v>-8.1950339999999997E-2</v>
      </c>
      <c r="Z2154">
        <v>3.3208670000000003E-2</v>
      </c>
      <c r="AA2154">
        <v>0.99608300000000005</v>
      </c>
      <c r="AB2154">
        <v>28</v>
      </c>
      <c r="AC2154">
        <v>0.404200000000003</v>
      </c>
      <c r="AD2154">
        <v>-1.1228705725449999</v>
      </c>
      <c r="AE2154">
        <v>-25.1709999999999</v>
      </c>
      <c r="AF2154">
        <v>-2.0805237111129098</v>
      </c>
      <c r="AG2154">
        <v>-1.1228705725449999</v>
      </c>
      <c r="AH2154">
        <v>25.037968538339101</v>
      </c>
      <c r="AI2154">
        <v>92.558999156650401</v>
      </c>
      <c r="AJ2154">
        <v>94.750065822456193</v>
      </c>
      <c r="AK2154">
        <v>25.1493396685091</v>
      </c>
      <c r="AL2154">
        <v>81.230810338143797</v>
      </c>
      <c r="AM2154">
        <v>95.641480400970806</v>
      </c>
      <c r="AN2154">
        <v>0.99999998400777601</v>
      </c>
    </row>
    <row r="2155" spans="1:40" x14ac:dyDescent="0.25">
      <c r="A2155" t="str">
        <f>"20190303162546925"</f>
        <v>20190303162546925</v>
      </c>
      <c r="B2155" t="str">
        <f>"1551601546915285"</f>
        <v>1551601546915285</v>
      </c>
      <c r="C2155" t="s">
        <v>40</v>
      </c>
      <c r="D2155">
        <v>5.2063119999999996</v>
      </c>
      <c r="E2155">
        <v>0.49416959999999999</v>
      </c>
      <c r="F2155" t="s">
        <v>46</v>
      </c>
      <c r="G2155">
        <v>-490.709</v>
      </c>
      <c r="H2155" s="1">
        <v>3.159509E-6</v>
      </c>
      <c r="I2155">
        <v>214.07509999999999</v>
      </c>
      <c r="J2155">
        <v>-492.35329999999999</v>
      </c>
      <c r="K2155">
        <v>1.1229530000000001</v>
      </c>
      <c r="L2155">
        <v>252.02379999999999</v>
      </c>
      <c r="M2155">
        <v>-6.3818390000000003E-2</v>
      </c>
      <c r="N2155">
        <v>-1.065001E-2</v>
      </c>
      <c r="O2155">
        <v>-0.99790480000000004</v>
      </c>
      <c r="P2155">
        <v>3.5713689999999999E-2</v>
      </c>
      <c r="Q2155">
        <v>0.1424087</v>
      </c>
      <c r="R2155">
        <v>-0.98916349999999997</v>
      </c>
      <c r="S2155">
        <v>0.12951660000000001</v>
      </c>
      <c r="T2155">
        <v>-8.9312429999999998E-2</v>
      </c>
      <c r="U2155">
        <v>-3.0411830000000002</v>
      </c>
      <c r="V2155">
        <v>-9.956864E-2</v>
      </c>
      <c r="W2155">
        <v>0.15237139999999999</v>
      </c>
      <c r="X2155">
        <v>0.98329500000000003</v>
      </c>
      <c r="Y2155">
        <v>-0.1061965</v>
      </c>
      <c r="Z2155">
        <v>1.8507429999999998E-2</v>
      </c>
      <c r="AA2155">
        <v>0.99417290000000003</v>
      </c>
      <c r="AB2155">
        <v>28</v>
      </c>
      <c r="AC2155">
        <v>1.6442999999999801</v>
      </c>
      <c r="AD2155">
        <v>-1.1229498404909899</v>
      </c>
      <c r="AE2155">
        <v>-37.948700000000002</v>
      </c>
      <c r="AF2155">
        <v>-4.0593619241663301</v>
      </c>
      <c r="AG2155">
        <v>-1.1229498404909899</v>
      </c>
      <c r="AH2155">
        <v>37.733412313263898</v>
      </c>
      <c r="AI2155">
        <v>91.694850894439696</v>
      </c>
      <c r="AJ2155">
        <v>96.140266741983893</v>
      </c>
      <c r="AK2155">
        <v>37.967747370345897</v>
      </c>
      <c r="AL2155">
        <v>81.235622310136407</v>
      </c>
      <c r="AM2155">
        <v>95.782072948377007</v>
      </c>
      <c r="AN2155">
        <v>1.0000000073172</v>
      </c>
    </row>
    <row r="2156" spans="1:40" x14ac:dyDescent="0.25">
      <c r="A2156" t="str">
        <f>"20190303162546944"</f>
        <v>20190303162546944</v>
      </c>
      <c r="B2156" t="str">
        <f>"1551601546934804"</f>
        <v>1551601546934804</v>
      </c>
      <c r="C2156" t="s">
        <v>40</v>
      </c>
      <c r="D2156">
        <v>5.1380470000000003</v>
      </c>
      <c r="E2156">
        <v>0.49279339999999999</v>
      </c>
      <c r="F2156" t="s">
        <v>46</v>
      </c>
      <c r="G2156">
        <v>-490.06760000000003</v>
      </c>
      <c r="H2156" s="1">
        <v>3.072782E-6</v>
      </c>
      <c r="I2156">
        <v>209.57400000000001</v>
      </c>
      <c r="J2156">
        <v>-492.36660000000001</v>
      </c>
      <c r="K2156">
        <v>1.122989</v>
      </c>
      <c r="L2156">
        <v>251.77260000000001</v>
      </c>
      <c r="M2156">
        <v>-6.1159289999999998E-2</v>
      </c>
      <c r="N2156">
        <v>-1.065963E-2</v>
      </c>
      <c r="O2156">
        <v>-0.99807120000000005</v>
      </c>
      <c r="P2156">
        <v>4.184061E-2</v>
      </c>
      <c r="Q2156">
        <v>0.1424232</v>
      </c>
      <c r="R2156">
        <v>-0.98892119999999994</v>
      </c>
      <c r="S2156">
        <v>0.16360469999999999</v>
      </c>
      <c r="T2156">
        <v>-8.0379129999999993E-2</v>
      </c>
      <c r="U2156">
        <v>-3.0384980000000001</v>
      </c>
      <c r="V2156">
        <v>-0.10305979999999999</v>
      </c>
      <c r="W2156">
        <v>0.1523629</v>
      </c>
      <c r="X2156">
        <v>0.98293649999999999</v>
      </c>
      <c r="Y2156">
        <v>-0.1147104</v>
      </c>
      <c r="Z2156">
        <v>1.558877E-2</v>
      </c>
      <c r="AA2156">
        <v>0.99327670000000001</v>
      </c>
      <c r="AB2156">
        <v>28</v>
      </c>
      <c r="AC2156">
        <v>2.2989999999999702</v>
      </c>
      <c r="AD2156">
        <v>-1.1229859272180001</v>
      </c>
      <c r="AE2156">
        <v>-42.198599999999999</v>
      </c>
      <c r="AF2156">
        <v>-4.8722383325977701</v>
      </c>
      <c r="AG2156">
        <v>-1.1229859272180001</v>
      </c>
      <c r="AH2156">
        <v>41.9493624584427</v>
      </c>
      <c r="AI2156">
        <v>91.523209198345796</v>
      </c>
      <c r="AJ2156">
        <v>96.624975273935405</v>
      </c>
      <c r="AK2156">
        <v>42.246287581658201</v>
      </c>
      <c r="AL2156">
        <v>81.236114742494607</v>
      </c>
      <c r="AM2156">
        <v>95.985529207030595</v>
      </c>
      <c r="AN2156">
        <v>0.99999996935234903</v>
      </c>
    </row>
    <row r="2157" spans="1:40" x14ac:dyDescent="0.25">
      <c r="A2157" t="str">
        <f>"20190303162546967"</f>
        <v>20190303162546967</v>
      </c>
      <c r="B2157" t="str">
        <f>"1551601546955300"</f>
        <v>1551601546955300</v>
      </c>
      <c r="C2157" t="s">
        <v>40</v>
      </c>
      <c r="D2157">
        <v>4.9463819999999998</v>
      </c>
      <c r="E2157">
        <v>0.49164720000000001</v>
      </c>
      <c r="F2157" t="s">
        <v>46</v>
      </c>
      <c r="G2157">
        <v>-489.58670000000001</v>
      </c>
      <c r="H2157" s="1">
        <v>2.3678699999999998E-6</v>
      </c>
      <c r="I2157">
        <v>207.47229999999999</v>
      </c>
      <c r="J2157">
        <v>-492.38080000000002</v>
      </c>
      <c r="K2157">
        <v>1.1230020000000001</v>
      </c>
      <c r="L2157">
        <v>251.48609999999999</v>
      </c>
      <c r="M2157">
        <v>-5.8112150000000001E-2</v>
      </c>
      <c r="N2157">
        <v>-1.0669120000000001E-2</v>
      </c>
      <c r="O2157">
        <v>-0.99825330000000001</v>
      </c>
      <c r="P2157">
        <v>4.915605E-2</v>
      </c>
      <c r="Q2157">
        <v>0.14264350000000001</v>
      </c>
      <c r="R2157">
        <v>-0.98855349999999997</v>
      </c>
      <c r="S2157">
        <v>0.19055179999999999</v>
      </c>
      <c r="T2157">
        <v>-7.6977729999999994E-2</v>
      </c>
      <c r="U2157">
        <v>-3.036667</v>
      </c>
      <c r="V2157">
        <v>-0.1073437</v>
      </c>
      <c r="W2157">
        <v>0.15256040000000001</v>
      </c>
      <c r="X2157">
        <v>0.98244730000000002</v>
      </c>
      <c r="Y2157">
        <v>-0.1204929</v>
      </c>
      <c r="Z2157">
        <v>1.4473359999999999E-2</v>
      </c>
      <c r="AA2157">
        <v>0.99260870000000001</v>
      </c>
      <c r="AB2157">
        <v>28</v>
      </c>
      <c r="AC2157">
        <v>2.79410000000001</v>
      </c>
      <c r="AD2157">
        <v>-1.12299963213</v>
      </c>
      <c r="AE2157">
        <v>-44.013800000000003</v>
      </c>
      <c r="AF2157">
        <v>-5.34379424562559</v>
      </c>
      <c r="AG2157">
        <v>-1.12299963213</v>
      </c>
      <c r="AH2157">
        <v>43.748664470404599</v>
      </c>
      <c r="AI2157">
        <v>91.459578893784695</v>
      </c>
      <c r="AJ2157">
        <v>96.964043935985899</v>
      </c>
      <c r="AK2157">
        <v>44.088126610884601</v>
      </c>
      <c r="AL2157">
        <v>81.224665431405398</v>
      </c>
      <c r="AM2157">
        <v>96.235490052051006</v>
      </c>
      <c r="AN2157">
        <v>1.0000000214275599</v>
      </c>
    </row>
    <row r="2158" spans="1:40" x14ac:dyDescent="0.25">
      <c r="A2158" t="str">
        <f>"20190303162546992"</f>
        <v>20190303162546992</v>
      </c>
      <c r="B2158" t="str">
        <f>"1551601546985558"</f>
        <v>1551601546985558</v>
      </c>
      <c r="C2158" t="s">
        <v>40</v>
      </c>
      <c r="D2158">
        <v>5.0689010000000003</v>
      </c>
      <c r="E2158">
        <v>0.4906258</v>
      </c>
      <c r="F2158" t="s">
        <v>46</v>
      </c>
      <c r="G2158">
        <v>-489.14600000000002</v>
      </c>
      <c r="H2158" s="1">
        <v>2.103131E-6</v>
      </c>
      <c r="I2158">
        <v>206.87010000000001</v>
      </c>
      <c r="J2158">
        <v>-492.39490000000001</v>
      </c>
      <c r="K2158">
        <v>1.122984</v>
      </c>
      <c r="L2158">
        <v>251.18350000000001</v>
      </c>
      <c r="M2158">
        <v>-5.4931720000000003E-2</v>
      </c>
      <c r="N2158">
        <v>-1.067748E-2</v>
      </c>
      <c r="O2158">
        <v>-0.99843309999999996</v>
      </c>
      <c r="P2158">
        <v>5.6416380000000002E-2</v>
      </c>
      <c r="Q2158">
        <v>0.14284189999999999</v>
      </c>
      <c r="R2158">
        <v>-0.98813649999999997</v>
      </c>
      <c r="S2158">
        <v>0.2200317</v>
      </c>
      <c r="T2158">
        <v>-7.6387049999999998E-2</v>
      </c>
      <c r="U2158">
        <v>-3.034805</v>
      </c>
      <c r="V2158">
        <v>-0.11143160000000001</v>
      </c>
      <c r="W2158">
        <v>0.152742299999999</v>
      </c>
      <c r="X2158">
        <v>0.98196380000000005</v>
      </c>
      <c r="Y2158">
        <v>-0.1269631</v>
      </c>
      <c r="Z2158">
        <v>1.427397E-2</v>
      </c>
      <c r="AA2158">
        <v>0.99180469999999998</v>
      </c>
      <c r="AB2158">
        <v>28</v>
      </c>
      <c r="AC2158">
        <v>3.2489000000000399</v>
      </c>
      <c r="AD2158">
        <v>-1.122981896869</v>
      </c>
      <c r="AE2158">
        <v>-44.313400000000001</v>
      </c>
      <c r="AF2158">
        <v>-5.6747189690003896</v>
      </c>
      <c r="AG2158">
        <v>-1.122981896869</v>
      </c>
      <c r="AH2158">
        <v>44.039874810287102</v>
      </c>
      <c r="AI2158">
        <v>91.448708379848199</v>
      </c>
      <c r="AJ2158">
        <v>97.342339282136294</v>
      </c>
      <c r="AK2158">
        <v>44.418173049142702</v>
      </c>
      <c r="AL2158">
        <v>81.214120059606799</v>
      </c>
      <c r="AM2158">
        <v>96.474133608719399</v>
      </c>
      <c r="AN2158">
        <v>1.0000000580991399</v>
      </c>
    </row>
    <row r="2159" spans="1:40" x14ac:dyDescent="0.25">
      <c r="A2159" t="str">
        <f>"20190303162547016"</f>
        <v>20190303162547016</v>
      </c>
      <c r="B2159" t="str">
        <f>"1551601547005077"</f>
        <v>1551601547005077</v>
      </c>
      <c r="C2159" t="s">
        <v>40</v>
      </c>
      <c r="D2159">
        <v>5.0016049999999996</v>
      </c>
      <c r="E2159">
        <v>0.4904367</v>
      </c>
      <c r="F2159" t="s">
        <v>46</v>
      </c>
      <c r="G2159">
        <v>-488.92110000000002</v>
      </c>
      <c r="H2159" s="1">
        <v>2.720707E-6</v>
      </c>
      <c r="I2159">
        <v>208.9924</v>
      </c>
      <c r="J2159">
        <v>-492.40809999999999</v>
      </c>
      <c r="K2159">
        <v>1.122935</v>
      </c>
      <c r="L2159">
        <v>250.88470000000001</v>
      </c>
      <c r="M2159">
        <v>-5.1878979999999998E-2</v>
      </c>
      <c r="N2159">
        <v>-1.0683929999999999E-2</v>
      </c>
      <c r="O2159">
        <v>-0.99859640000000005</v>
      </c>
      <c r="P2159">
        <v>6.3103339999999994E-2</v>
      </c>
      <c r="Q2159">
        <v>0.14190329999999901</v>
      </c>
      <c r="R2159">
        <v>-0.98786739999999995</v>
      </c>
      <c r="S2159">
        <v>0.2497559</v>
      </c>
      <c r="T2159">
        <v>-8.0739140000000001E-2</v>
      </c>
      <c r="U2159">
        <v>-3.033417</v>
      </c>
      <c r="V2159">
        <v>-0.1150687</v>
      </c>
      <c r="W2159">
        <v>0.1517993</v>
      </c>
      <c r="X2159">
        <v>0.98169050000000002</v>
      </c>
      <c r="Y2159">
        <v>-0.13361689999999901</v>
      </c>
      <c r="Z2159">
        <v>1.5684980000000001E-2</v>
      </c>
      <c r="AA2159">
        <v>0.99090889999999998</v>
      </c>
      <c r="AB2159">
        <v>28</v>
      </c>
      <c r="AC2159">
        <v>3.4869999999999601</v>
      </c>
      <c r="AD2159">
        <v>-1.1229322792929901</v>
      </c>
      <c r="AE2159">
        <v>-41.892299999999999</v>
      </c>
      <c r="AF2159">
        <v>-5.6517243324651298</v>
      </c>
      <c r="AG2159">
        <v>-1.1229322792929901</v>
      </c>
      <c r="AH2159">
        <v>41.6252654453261</v>
      </c>
      <c r="AI2159">
        <v>91.531260448482897</v>
      </c>
      <c r="AJ2159">
        <v>97.732125598968594</v>
      </c>
      <c r="AK2159">
        <v>42.022204704512099</v>
      </c>
      <c r="AL2159">
        <v>81.268787266773501</v>
      </c>
      <c r="AM2159">
        <v>96.685409643410495</v>
      </c>
      <c r="AN2159">
        <v>1.0000000354952101</v>
      </c>
    </row>
    <row r="2160" spans="1:40" x14ac:dyDescent="0.25">
      <c r="A2160" t="str">
        <f>"20190303162547036"</f>
        <v>20190303162547036</v>
      </c>
      <c r="B2160" t="str">
        <f>"1551601547025572"</f>
        <v>1551601547025572</v>
      </c>
      <c r="C2160" t="s">
        <v>40</v>
      </c>
      <c r="D2160">
        <v>4.9981869999999997</v>
      </c>
      <c r="E2160">
        <v>0.49041709999999999</v>
      </c>
      <c r="F2160" t="s">
        <v>46</v>
      </c>
      <c r="G2160">
        <v>-488.90730000000002</v>
      </c>
      <c r="H2160" s="1">
        <v>3.008512E-6</v>
      </c>
      <c r="I2160">
        <v>211.83510000000001</v>
      </c>
      <c r="J2160">
        <v>-492.4187</v>
      </c>
      <c r="K2160">
        <v>1.12287</v>
      </c>
      <c r="L2160">
        <v>250.6284</v>
      </c>
      <c r="M2160">
        <v>-4.9364459999999999E-2</v>
      </c>
      <c r="N2160">
        <v>-1.068788E-2</v>
      </c>
      <c r="O2160">
        <v>-0.99872360000000004</v>
      </c>
      <c r="P2160">
        <v>6.8791199999999997E-2</v>
      </c>
      <c r="Q2160">
        <v>0.1412871</v>
      </c>
      <c r="R2160">
        <v>-0.9875758</v>
      </c>
      <c r="S2160">
        <v>0.27182009999999901</v>
      </c>
      <c r="T2160">
        <v>-8.7190149999999994E-2</v>
      </c>
      <c r="U2160">
        <v>-3.0320130000000001</v>
      </c>
      <c r="V2160">
        <v>-0.1182348</v>
      </c>
      <c r="W2160">
        <v>0.1511837</v>
      </c>
      <c r="X2160">
        <v>0.98140919999999998</v>
      </c>
      <c r="Y2160">
        <v>-0.13830990000000001</v>
      </c>
      <c r="Z2160">
        <v>1.778807E-2</v>
      </c>
      <c r="AA2160">
        <v>0.99022920000000003</v>
      </c>
      <c r="AB2160">
        <v>28</v>
      </c>
      <c r="AC2160">
        <v>3.5113999999999801</v>
      </c>
      <c r="AD2160">
        <v>-1.1228669914880001</v>
      </c>
      <c r="AE2160">
        <v>-38.793299999999903</v>
      </c>
      <c r="AF2160">
        <v>-5.4177361789333798</v>
      </c>
      <c r="AG2160">
        <v>-1.1228669914880001</v>
      </c>
      <c r="AH2160">
        <v>38.540623616437202</v>
      </c>
      <c r="AI2160">
        <v>91.652580631823696</v>
      </c>
      <c r="AJ2160">
        <v>98.001756346709698</v>
      </c>
      <c r="AK2160">
        <v>38.935746613221298</v>
      </c>
      <c r="AL2160">
        <v>81.3044700579688</v>
      </c>
      <c r="AM2160">
        <v>96.869573818129496</v>
      </c>
      <c r="AN2160">
        <v>0.99999999846068499</v>
      </c>
    </row>
    <row r="2161" spans="1:40" x14ac:dyDescent="0.25">
      <c r="A2161" t="str">
        <f>"20190303162547058"</f>
        <v>20190303162547058</v>
      </c>
      <c r="B2161" t="str">
        <f>"1551601547045093"</f>
        <v>1551601547045093</v>
      </c>
      <c r="C2161" t="s">
        <v>40</v>
      </c>
      <c r="D2161">
        <v>4.9098870000000003</v>
      </c>
      <c r="E2161">
        <v>0.49059350000000002</v>
      </c>
      <c r="F2161" t="s">
        <v>46</v>
      </c>
      <c r="G2161">
        <v>-488.8682</v>
      </c>
      <c r="H2161" s="1">
        <v>3.0668340000000001E-6</v>
      </c>
      <c r="I2161">
        <v>213.3279</v>
      </c>
      <c r="J2161">
        <v>-492.42959999999999</v>
      </c>
      <c r="K2161">
        <v>1.1227929999999999</v>
      </c>
      <c r="L2161">
        <v>250.34950000000001</v>
      </c>
      <c r="M2161">
        <v>-4.675199E-2</v>
      </c>
      <c r="N2161">
        <v>-1.069136E-2</v>
      </c>
      <c r="O2161">
        <v>-0.99884949999999995</v>
      </c>
      <c r="P2161">
        <v>7.5721140000000006E-2</v>
      </c>
      <c r="Q2161">
        <v>0.14083399999999999</v>
      </c>
      <c r="R2161">
        <v>-0.98713340000000005</v>
      </c>
      <c r="S2161">
        <v>0.28848269999999998</v>
      </c>
      <c r="T2161">
        <v>-9.1234919999999997E-2</v>
      </c>
      <c r="U2161">
        <v>-3.0307309999999998</v>
      </c>
      <c r="V2161">
        <v>-0.12253260000000001</v>
      </c>
      <c r="W2161">
        <v>0.1507307</v>
      </c>
      <c r="X2161">
        <v>0.98095160000000003</v>
      </c>
      <c r="Y2161">
        <v>-0.1411501</v>
      </c>
      <c r="Z2161">
        <v>1.911028E-2</v>
      </c>
      <c r="AA2161">
        <v>0.98980369999999995</v>
      </c>
      <c r="AB2161">
        <v>28</v>
      </c>
      <c r="AC2161">
        <v>3.5613999999999901</v>
      </c>
      <c r="AD2161">
        <v>-1.1227899331659901</v>
      </c>
      <c r="AE2161">
        <v>-37.021599999999999</v>
      </c>
      <c r="AF2161">
        <v>-5.2836221011882296</v>
      </c>
      <c r="AG2161">
        <v>-1.1227899331659901</v>
      </c>
      <c r="AH2161">
        <v>36.7810807626403</v>
      </c>
      <c r="AI2161">
        <v>91.730729539123303</v>
      </c>
      <c r="AJ2161">
        <v>98.174646520474695</v>
      </c>
      <c r="AK2161">
        <v>37.175599817757501</v>
      </c>
      <c r="AL2161">
        <v>81.330726047028307</v>
      </c>
      <c r="AM2161">
        <v>97.120050326024895</v>
      </c>
      <c r="AN2161">
        <v>1.0000000117639001</v>
      </c>
    </row>
    <row r="2162" spans="1:40" x14ac:dyDescent="0.25">
      <c r="A2162" t="str">
        <f>"20190303162547091"</f>
        <v>20190303162547091</v>
      </c>
      <c r="B2162" t="str">
        <f>"1551601547085109"</f>
        <v>1551601547085109</v>
      </c>
      <c r="C2162" t="s">
        <v>40</v>
      </c>
      <c r="D2162">
        <v>4.9836049999999998</v>
      </c>
      <c r="E2162">
        <v>0.49132730000000002</v>
      </c>
      <c r="F2162" t="s">
        <v>46</v>
      </c>
      <c r="G2162">
        <v>-488.7516</v>
      </c>
      <c r="H2162" s="1">
        <v>3.078421E-6</v>
      </c>
      <c r="I2162">
        <v>214.066</v>
      </c>
      <c r="J2162">
        <v>-492.44529999999997</v>
      </c>
      <c r="K2162">
        <v>1.1226560000000001</v>
      </c>
      <c r="L2162">
        <v>249.92089999999999</v>
      </c>
      <c r="M2162">
        <v>-4.3014379999999998E-2</v>
      </c>
      <c r="N2162">
        <v>-1.0695410000000001E-2</v>
      </c>
      <c r="O2162">
        <v>-0.99901740000000006</v>
      </c>
      <c r="P2162">
        <v>8.1676490000000004E-2</v>
      </c>
      <c r="Q2162">
        <v>0.14231460000000001</v>
      </c>
      <c r="R2162">
        <v>-0.98644609999999999</v>
      </c>
      <c r="S2162">
        <v>0.30703740000000002</v>
      </c>
      <c r="T2162">
        <v>-9.3730450000000007E-2</v>
      </c>
      <c r="U2162">
        <v>-3.0289459999999999</v>
      </c>
      <c r="V2162">
        <v>-0.12473099999999999</v>
      </c>
      <c r="W2162">
        <v>0.1522414</v>
      </c>
      <c r="X2162">
        <v>0.98044109999999995</v>
      </c>
      <c r="Y2162">
        <v>-0.1435032</v>
      </c>
      <c r="Z2162">
        <v>1.993325E-2</v>
      </c>
      <c r="AA2162">
        <v>0.98944909999999997</v>
      </c>
      <c r="AB2162">
        <v>28</v>
      </c>
      <c r="AC2162">
        <v>3.69369999999997</v>
      </c>
      <c r="AD2162">
        <v>-1.122652921579</v>
      </c>
      <c r="AE2162">
        <v>-35.854900000000001</v>
      </c>
      <c r="AF2162">
        <v>-5.2275739422596503</v>
      </c>
      <c r="AG2162">
        <v>-1.122652921579</v>
      </c>
      <c r="AH2162">
        <v>35.628257162103999</v>
      </c>
      <c r="AI2162">
        <v>91.7856967191492</v>
      </c>
      <c r="AJ2162">
        <v>98.347191624134993</v>
      </c>
      <c r="AK2162">
        <v>36.027220088609901</v>
      </c>
      <c r="AL2162">
        <v>81.243158695447207</v>
      </c>
      <c r="AM2162">
        <v>97.250180480462305</v>
      </c>
      <c r="AN2162">
        <v>1.0000000084020799</v>
      </c>
    </row>
    <row r="2163" spans="1:40" x14ac:dyDescent="0.25">
      <c r="A2163" t="str">
        <f>"20190303162547114"</f>
        <v>20190303162547114</v>
      </c>
      <c r="B2163" t="str">
        <f>"1551601547105605"</f>
        <v>1551601547105605</v>
      </c>
      <c r="C2163" t="s">
        <v>40</v>
      </c>
      <c r="D2163">
        <v>4.9221269999999997</v>
      </c>
      <c r="E2163">
        <v>0.49168780000000001</v>
      </c>
      <c r="F2163" t="s">
        <v>46</v>
      </c>
      <c r="G2163">
        <v>-488.50150000000002</v>
      </c>
      <c r="H2163" s="1">
        <v>2.9623649999999999E-6</v>
      </c>
      <c r="I2163">
        <v>212.42599999999999</v>
      </c>
      <c r="J2163">
        <v>-492.45490000000001</v>
      </c>
      <c r="K2163">
        <v>1.1225719999999999</v>
      </c>
      <c r="L2163">
        <v>249.63839999999999</v>
      </c>
      <c r="M2163">
        <v>-4.0692890000000002E-2</v>
      </c>
      <c r="N2163">
        <v>-1.069792E-2</v>
      </c>
      <c r="O2163">
        <v>-0.99911439999999996</v>
      </c>
      <c r="P2163">
        <v>8.4954719999999997E-2</v>
      </c>
      <c r="Q2163">
        <v>0.14211170000000001</v>
      </c>
      <c r="R2163">
        <v>-0.98619840000000003</v>
      </c>
      <c r="S2163">
        <v>0.31848140000000003</v>
      </c>
      <c r="T2163">
        <v>-9.0661050000000007E-2</v>
      </c>
      <c r="U2163">
        <v>-3.0279389999999999</v>
      </c>
      <c r="V2163">
        <v>-0.12568309999999999</v>
      </c>
      <c r="W2163">
        <v>0.15206129999999901</v>
      </c>
      <c r="X2163">
        <v>0.98034750000000004</v>
      </c>
      <c r="Y2163">
        <v>-0.14493909999999999</v>
      </c>
      <c r="Z2163">
        <v>1.8933459999999999E-2</v>
      </c>
      <c r="AA2163">
        <v>0.98925940000000001</v>
      </c>
      <c r="AB2163">
        <v>28</v>
      </c>
      <c r="AC2163">
        <v>3.9533999999999798</v>
      </c>
      <c r="AD2163">
        <v>-1.1225690376349999</v>
      </c>
      <c r="AE2163">
        <v>-37.212400000000002</v>
      </c>
      <c r="AF2163">
        <v>-5.4595789580133101</v>
      </c>
      <c r="AG2163">
        <v>-1.1225690376349999</v>
      </c>
      <c r="AH2163">
        <v>36.987405400671697</v>
      </c>
      <c r="AI2163">
        <v>91.719772681129101</v>
      </c>
      <c r="AJ2163">
        <v>98.396595206146799</v>
      </c>
      <c r="AK2163">
        <v>37.405017336136503</v>
      </c>
      <c r="AL2163">
        <v>81.253599594754505</v>
      </c>
      <c r="AM2163">
        <v>97.305617112003105</v>
      </c>
      <c r="AN2163">
        <v>1.0000000506697699</v>
      </c>
    </row>
    <row r="2164" spans="1:40" x14ac:dyDescent="0.25">
      <c r="A2164" t="str">
        <f>"20190303162547135"</f>
        <v>20190303162547135</v>
      </c>
      <c r="B2164" t="str">
        <f>"1551601547125125"</f>
        <v>1551601547125125</v>
      </c>
      <c r="C2164" t="s">
        <v>40</v>
      </c>
      <c r="D2164">
        <v>4.2466160000000004</v>
      </c>
      <c r="E2164">
        <v>0.49220439999999999</v>
      </c>
      <c r="F2164" t="s">
        <v>46</v>
      </c>
      <c r="G2164">
        <v>-488.43700000000001</v>
      </c>
      <c r="H2164" s="1">
        <v>2.9443980000000001E-6</v>
      </c>
      <c r="I2164">
        <v>212.27680000000001</v>
      </c>
      <c r="J2164">
        <v>-492.46339999999998</v>
      </c>
      <c r="K2164">
        <v>1.122492</v>
      </c>
      <c r="L2164">
        <v>249.37289999999999</v>
      </c>
      <c r="M2164">
        <v>-3.863258E-2</v>
      </c>
      <c r="N2164">
        <v>-1.069995E-2</v>
      </c>
      <c r="O2164">
        <v>-0.99919619999999998</v>
      </c>
      <c r="P2164">
        <v>8.8305919999999996E-2</v>
      </c>
      <c r="Q2164">
        <v>0.14161260000000001</v>
      </c>
      <c r="R2164">
        <v>-0.98597559999999995</v>
      </c>
      <c r="S2164">
        <v>0.32553100000000001</v>
      </c>
      <c r="T2164">
        <v>-9.0950610000000001E-2</v>
      </c>
      <c r="U2164">
        <v>-3.0270389999999998</v>
      </c>
      <c r="V2164">
        <v>-0.1269672</v>
      </c>
      <c r="W2164">
        <v>0.15158060000000001</v>
      </c>
      <c r="X2164">
        <v>0.98025640000000003</v>
      </c>
      <c r="Y2164">
        <v>-0.14520720000000001</v>
      </c>
      <c r="Z2164">
        <v>1.903498E-2</v>
      </c>
      <c r="AA2164">
        <v>0.98921820000000005</v>
      </c>
      <c r="AB2164">
        <v>28</v>
      </c>
      <c r="AC2164">
        <v>4.0264000000000202</v>
      </c>
      <c r="AD2164">
        <v>-1.122489055602</v>
      </c>
      <c r="AE2164">
        <v>-37.0960999999999</v>
      </c>
      <c r="AF2164">
        <v>-5.4516605262057096</v>
      </c>
      <c r="AG2164">
        <v>-1.122489055602</v>
      </c>
      <c r="AH2164">
        <v>36.879471021552703</v>
      </c>
      <c r="AI2164">
        <v>91.724625911423303</v>
      </c>
      <c r="AJ2164">
        <v>98.408778906916794</v>
      </c>
      <c r="AK2164">
        <v>37.297130814614697</v>
      </c>
      <c r="AL2164">
        <v>81.281464056520804</v>
      </c>
      <c r="AM2164">
        <v>97.380117978331896</v>
      </c>
      <c r="AN2164">
        <v>0.99999997895657899</v>
      </c>
    </row>
    <row r="2165" spans="1:40" x14ac:dyDescent="0.25">
      <c r="A2165" t="str">
        <f>"20190303162547159"</f>
        <v>20190303162547159</v>
      </c>
      <c r="B2165" t="str">
        <f>"1551601547145621"</f>
        <v>1551601547145621</v>
      </c>
      <c r="C2165" t="s">
        <v>40</v>
      </c>
      <c r="D2165">
        <v>4.8383799999999999</v>
      </c>
      <c r="E2165">
        <v>0.49265799999999998</v>
      </c>
      <c r="F2165" t="s">
        <v>46</v>
      </c>
      <c r="G2165">
        <v>-488.51170000000002</v>
      </c>
      <c r="H2165" s="1">
        <v>2.9979799999999998E-6</v>
      </c>
      <c r="I2165">
        <v>213.19929999999999</v>
      </c>
      <c r="J2165">
        <v>-492.47239999999999</v>
      </c>
      <c r="K2165">
        <v>1.1224130000000001</v>
      </c>
      <c r="L2165">
        <v>249.08099999999999</v>
      </c>
      <c r="M2165">
        <v>-3.6491919999999997E-2</v>
      </c>
      <c r="N2165">
        <v>-1.0701550000000001E-2</v>
      </c>
      <c r="O2165">
        <v>-0.99927690000000002</v>
      </c>
      <c r="P2165">
        <v>9.2546340000000005E-2</v>
      </c>
      <c r="Q2165">
        <v>0.1420265</v>
      </c>
      <c r="R2165">
        <v>-0.98552720000000005</v>
      </c>
      <c r="S2165">
        <v>0.33062740000000002</v>
      </c>
      <c r="T2165">
        <v>-9.3915219999999994E-2</v>
      </c>
      <c r="U2165">
        <v>-3.026535</v>
      </c>
      <c r="V2165">
        <v>-0.12905559999999999</v>
      </c>
      <c r="W2165">
        <v>0.15201039999999999</v>
      </c>
      <c r="X2165">
        <v>0.97991700000000004</v>
      </c>
      <c r="Y2165">
        <v>-0.14474870000000001</v>
      </c>
      <c r="Z2165">
        <v>2.0010549999999998E-2</v>
      </c>
      <c r="AA2165">
        <v>0.98926610000000004</v>
      </c>
      <c r="AB2165">
        <v>28</v>
      </c>
      <c r="AC2165">
        <v>3.9606999999999699</v>
      </c>
      <c r="AD2165">
        <v>-1.1224100020200001</v>
      </c>
      <c r="AE2165">
        <v>-35.881699999999903</v>
      </c>
      <c r="AF2165">
        <v>-5.2624411766267096</v>
      </c>
      <c r="AG2165">
        <v>-1.1224100020200001</v>
      </c>
      <c r="AH2165">
        <v>35.678765291419801</v>
      </c>
      <c r="AI2165">
        <v>91.782587451562193</v>
      </c>
      <c r="AJ2165">
        <v>98.390349290248494</v>
      </c>
      <c r="AK2165">
        <v>36.082230863269999</v>
      </c>
      <c r="AL2165">
        <v>81.256549084294093</v>
      </c>
      <c r="AM2165">
        <v>97.502705825677495</v>
      </c>
      <c r="AN2165">
        <v>0.99999991824425605</v>
      </c>
    </row>
    <row r="2166" spans="1:40" x14ac:dyDescent="0.25">
      <c r="A2166" t="str">
        <f>"20190303162547181"</f>
        <v>20190303162547181</v>
      </c>
      <c r="B2166" t="str">
        <f>"1551601547174901"</f>
        <v>1551601547174901</v>
      </c>
      <c r="C2166" t="s">
        <v>40</v>
      </c>
      <c r="D2166">
        <v>4.7699790000000002</v>
      </c>
      <c r="E2166">
        <v>0.49334620000000001</v>
      </c>
      <c r="F2166" t="s">
        <v>46</v>
      </c>
      <c r="G2166">
        <v>-488.35489999999999</v>
      </c>
      <c r="H2166" s="1">
        <v>2.9302030000000002E-6</v>
      </c>
      <c r="I2166">
        <v>212.28540000000001</v>
      </c>
      <c r="J2166">
        <v>-492.48070000000001</v>
      </c>
      <c r="K2166">
        <v>1.1223350000000001</v>
      </c>
      <c r="L2166">
        <v>248.7877</v>
      </c>
      <c r="M2166">
        <v>-3.4456479999999998E-2</v>
      </c>
      <c r="N2166">
        <v>-1.070287E-2</v>
      </c>
      <c r="O2166">
        <v>-0.99934889999999998</v>
      </c>
      <c r="P2166">
        <v>9.6441959999999993E-2</v>
      </c>
      <c r="Q2166">
        <v>0.14296220000000001</v>
      </c>
      <c r="R2166">
        <v>-0.98501810000000001</v>
      </c>
      <c r="S2166">
        <v>0.33856199999999997</v>
      </c>
      <c r="T2166">
        <v>-9.2290399999999995E-2</v>
      </c>
      <c r="U2166">
        <v>-3.025528</v>
      </c>
      <c r="V2166">
        <v>-0.13090639999999901</v>
      </c>
      <c r="W2166">
        <v>0.15296100000000001</v>
      </c>
      <c r="X2166">
        <v>0.97952360000000005</v>
      </c>
      <c r="Y2166">
        <v>-0.145333399999999</v>
      </c>
      <c r="Z2166">
        <v>1.9486259999999998E-2</v>
      </c>
      <c r="AA2166">
        <v>0.98919080000000004</v>
      </c>
      <c r="AB2166">
        <v>28</v>
      </c>
      <c r="AC2166">
        <v>4.1258000000000203</v>
      </c>
      <c r="AD2166">
        <v>-1.1223320697970001</v>
      </c>
      <c r="AE2166">
        <v>-36.502299999999899</v>
      </c>
      <c r="AF2166">
        <v>-5.3761442751977304</v>
      </c>
      <c r="AG2166">
        <v>-1.1223320697970001</v>
      </c>
      <c r="AH2166">
        <v>36.304565389418002</v>
      </c>
      <c r="AI2166">
        <v>91.751608596772499</v>
      </c>
      <c r="AJ2166">
        <v>98.423401869082397</v>
      </c>
      <c r="AK2166">
        <v>36.717625531305401</v>
      </c>
      <c r="AL2166">
        <v>81.201440121974898</v>
      </c>
      <c r="AM2166">
        <v>97.612071174726907</v>
      </c>
      <c r="AN2166">
        <v>1.0000000180194599</v>
      </c>
    </row>
    <row r="2167" spans="1:40" x14ac:dyDescent="0.25">
      <c r="A2167" t="str">
        <f>"20190303162547204"</f>
        <v>20190303162547204</v>
      </c>
      <c r="B2167" t="str">
        <f>"1551601547194967"</f>
        <v>1551601547194967</v>
      </c>
      <c r="C2167" t="s">
        <v>40</v>
      </c>
      <c r="D2167">
        <v>4.8308309999999999</v>
      </c>
      <c r="E2167">
        <v>0.4938632</v>
      </c>
      <c r="F2167" t="s">
        <v>46</v>
      </c>
      <c r="G2167">
        <v>-488.3227</v>
      </c>
      <c r="H2167" s="1">
        <v>2.9215700000000001E-6</v>
      </c>
      <c r="I2167">
        <v>212.2183</v>
      </c>
      <c r="J2167">
        <v>-492.48849999999999</v>
      </c>
      <c r="K2167">
        <v>1.1222760000000001</v>
      </c>
      <c r="L2167">
        <v>248.4984</v>
      </c>
      <c r="M2167">
        <v>-3.2516570000000002E-2</v>
      </c>
      <c r="N2167">
        <v>-1.070433E-2</v>
      </c>
      <c r="O2167">
        <v>-0.99941400000000002</v>
      </c>
      <c r="P2167">
        <v>0.1000952</v>
      </c>
      <c r="Q2167">
        <v>0.1443122</v>
      </c>
      <c r="R2167">
        <v>-0.98445680000000002</v>
      </c>
      <c r="S2167">
        <v>0.34399410000000002</v>
      </c>
      <c r="T2167">
        <v>-9.2851160000000002E-2</v>
      </c>
      <c r="U2167">
        <v>-3.0254059999999998</v>
      </c>
      <c r="V2167">
        <v>-0.13261529999999999</v>
      </c>
      <c r="W2167">
        <v>0.15432219999999999</v>
      </c>
      <c r="X2167">
        <v>0.97908010000000001</v>
      </c>
      <c r="Y2167">
        <v>-0.14517049999999901</v>
      </c>
      <c r="Z2167">
        <v>1.9670590000000002E-2</v>
      </c>
      <c r="AA2167">
        <v>0.98921110000000001</v>
      </c>
      <c r="AB2167">
        <v>28</v>
      </c>
      <c r="AC2167">
        <v>4.1657999999999902</v>
      </c>
      <c r="AD2167">
        <v>-1.1222730784299999</v>
      </c>
      <c r="AE2167">
        <v>-36.280099999999997</v>
      </c>
      <c r="AF2167">
        <v>-5.3383270149618998</v>
      </c>
      <c r="AG2167">
        <v>-1.1222730784299999</v>
      </c>
      <c r="AH2167">
        <v>36.091361579374002</v>
      </c>
      <c r="AI2167">
        <v>91.761901007294199</v>
      </c>
      <c r="AJ2167">
        <v>98.413700183081204</v>
      </c>
      <c r="AK2167">
        <v>36.5012823450677</v>
      </c>
      <c r="AL2167">
        <v>81.122511804427504</v>
      </c>
      <c r="AM2167">
        <v>97.7137046858101</v>
      </c>
      <c r="AN2167">
        <v>1.00000000071147</v>
      </c>
    </row>
    <row r="2168" spans="1:40" x14ac:dyDescent="0.25">
      <c r="A2168" t="str">
        <f>"20190303162547227"</f>
        <v>20190303162547227</v>
      </c>
      <c r="B2168" t="str">
        <f>"1551601547215463"</f>
        <v>1551601547215463</v>
      </c>
      <c r="C2168" t="s">
        <v>40</v>
      </c>
      <c r="D2168">
        <v>4.8641420000000002</v>
      </c>
      <c r="E2168">
        <v>0.49433559999999999</v>
      </c>
      <c r="F2168" t="s">
        <v>46</v>
      </c>
      <c r="G2168">
        <v>-488.20100000000002</v>
      </c>
      <c r="H2168" s="1">
        <v>2.8702079999999999E-6</v>
      </c>
      <c r="I2168">
        <v>211.53729999999999</v>
      </c>
      <c r="J2168">
        <v>-492.4957</v>
      </c>
      <c r="K2168">
        <v>1.1222369999999999</v>
      </c>
      <c r="L2168">
        <v>248.21430000000001</v>
      </c>
      <c r="M2168">
        <v>-3.0659780000000001E-2</v>
      </c>
      <c r="N2168">
        <v>-1.0705889999999999E-2</v>
      </c>
      <c r="O2168">
        <v>-0.99947249999999999</v>
      </c>
      <c r="P2168">
        <v>0.1036984</v>
      </c>
      <c r="Q2168">
        <v>0.1447321</v>
      </c>
      <c r="R2168">
        <v>-0.9840219</v>
      </c>
      <c r="S2168">
        <v>0.3509216</v>
      </c>
      <c r="T2168">
        <v>-9.1854329999999998E-2</v>
      </c>
      <c r="U2168">
        <v>-3.0251459999999999</v>
      </c>
      <c r="V2168">
        <v>-0.13436609999999999</v>
      </c>
      <c r="W2168">
        <v>0.1547481</v>
      </c>
      <c r="X2168">
        <v>0.97877409999999998</v>
      </c>
      <c r="Y2168">
        <v>-0.1455786</v>
      </c>
      <c r="Z2168">
        <v>1.9344130000000001E-2</v>
      </c>
      <c r="AA2168">
        <v>0.98915759999999997</v>
      </c>
      <c r="AB2168">
        <v>28</v>
      </c>
      <c r="AC2168">
        <v>4.2947000000000299</v>
      </c>
      <c r="AD2168">
        <v>-1.122234129792</v>
      </c>
      <c r="AE2168">
        <v>-36.677</v>
      </c>
      <c r="AF2168">
        <v>-5.41225544230391</v>
      </c>
      <c r="AG2168">
        <v>-1.122234129792</v>
      </c>
      <c r="AH2168">
        <v>36.494368529421301</v>
      </c>
      <c r="AI2168">
        <v>91.742296961272302</v>
      </c>
      <c r="AJ2168">
        <v>98.435698422364496</v>
      </c>
      <c r="AK2168">
        <v>36.910579144413802</v>
      </c>
      <c r="AL2168">
        <v>81.097812653769296</v>
      </c>
      <c r="AM2168">
        <v>97.816704478680606</v>
      </c>
      <c r="AN2168">
        <v>0.99999998105681398</v>
      </c>
    </row>
    <row r="2169" spans="1:40" x14ac:dyDescent="0.25">
      <c r="A2169" t="str">
        <f>"20190303162547247"</f>
        <v>20190303162547247</v>
      </c>
      <c r="B2169" t="str">
        <f>"1551601547234985"</f>
        <v>1551601547234985</v>
      </c>
      <c r="C2169" t="s">
        <v>40</v>
      </c>
      <c r="D2169">
        <v>4.8908120000000004</v>
      </c>
      <c r="E2169">
        <v>0.49482769999999998</v>
      </c>
      <c r="F2169" t="s">
        <v>46</v>
      </c>
      <c r="G2169">
        <v>-488.17309999999998</v>
      </c>
      <c r="H2169" s="1">
        <v>2.8744139999999999E-6</v>
      </c>
      <c r="I2169">
        <v>211.74680000000001</v>
      </c>
      <c r="J2169">
        <v>-492.5018</v>
      </c>
      <c r="K2169">
        <v>1.1222080000000001</v>
      </c>
      <c r="L2169">
        <v>247.9521</v>
      </c>
      <c r="M2169">
        <v>-2.897423E-2</v>
      </c>
      <c r="N2169">
        <v>-1.0707400000000001E-2</v>
      </c>
      <c r="O2169">
        <v>-0.99952300000000005</v>
      </c>
      <c r="P2169">
        <v>0.106977</v>
      </c>
      <c r="Q2169">
        <v>0.14559800000000001</v>
      </c>
      <c r="R2169">
        <v>-0.98354350000000001</v>
      </c>
      <c r="S2169">
        <v>0.35852050000000002</v>
      </c>
      <c r="T2169">
        <v>-9.3078969999999997E-2</v>
      </c>
      <c r="U2169">
        <v>-3.0246430000000002</v>
      </c>
      <c r="V2169">
        <v>-0.13596949999999999</v>
      </c>
      <c r="W2169">
        <v>0.15561440000000001</v>
      </c>
      <c r="X2169">
        <v>0.97841529999999999</v>
      </c>
      <c r="Y2169">
        <v>-0.14637890000000001</v>
      </c>
      <c r="Z2169">
        <v>1.9744950000000001E-2</v>
      </c>
      <c r="AA2169">
        <v>0.98903160000000001</v>
      </c>
      <c r="AB2169">
        <v>28</v>
      </c>
      <c r="AC2169">
        <v>4.32870000000002</v>
      </c>
      <c r="AD2169">
        <v>-1.1222051255859999</v>
      </c>
      <c r="AE2169">
        <v>-36.205300000000001</v>
      </c>
      <c r="AF2169">
        <v>-5.3708758263303098</v>
      </c>
      <c r="AG2169">
        <v>-1.1222051255859999</v>
      </c>
      <c r="AH2169">
        <v>36.030542182198403</v>
      </c>
      <c r="AI2169">
        <v>91.764470994374506</v>
      </c>
      <c r="AJ2169">
        <v>98.478339360741202</v>
      </c>
      <c r="AK2169">
        <v>36.445927364095503</v>
      </c>
      <c r="AL2169">
        <v>81.047569039561196</v>
      </c>
      <c r="AM2169">
        <v>97.911671800642907</v>
      </c>
      <c r="AN2169">
        <v>1.0000000228458401</v>
      </c>
    </row>
    <row r="2170" spans="1:40" x14ac:dyDescent="0.25">
      <c r="A2170" t="str">
        <f>"20190303162547281"</f>
        <v>20190303162547281</v>
      </c>
      <c r="B2170" t="str">
        <f>"1551601547274999"</f>
        <v>1551601547274999</v>
      </c>
      <c r="C2170" t="s">
        <v>40</v>
      </c>
      <c r="D2170">
        <v>4.9287130000000001</v>
      </c>
      <c r="E2170">
        <v>0.49558790000000003</v>
      </c>
      <c r="F2170" t="s">
        <v>46</v>
      </c>
      <c r="G2170">
        <v>-488.08440000000002</v>
      </c>
      <c r="H2170" s="1">
        <v>2.8412060000000002E-6</v>
      </c>
      <c r="I2170">
        <v>211.34700000000001</v>
      </c>
      <c r="J2170">
        <v>-492.51119999999997</v>
      </c>
      <c r="K2170">
        <v>1.1221939999999999</v>
      </c>
      <c r="L2170">
        <v>247.51750000000001</v>
      </c>
      <c r="M2170">
        <v>-2.6208749999999999E-2</v>
      </c>
      <c r="N2170">
        <v>-1.0710229999999999E-2</v>
      </c>
      <c r="O2170">
        <v>-0.99959929999999997</v>
      </c>
      <c r="P2170">
        <v>0.112028</v>
      </c>
      <c r="Q2170">
        <v>0.1479251</v>
      </c>
      <c r="R2170">
        <v>-0.98263350000000005</v>
      </c>
      <c r="S2170">
        <v>0.3649597</v>
      </c>
      <c r="T2170">
        <v>-9.2713710000000005E-2</v>
      </c>
      <c r="U2170">
        <v>-3.024216</v>
      </c>
      <c r="V2170">
        <v>-0.13828379999999901</v>
      </c>
      <c r="W2170">
        <v>0.1579352</v>
      </c>
      <c r="X2170">
        <v>0.9777188</v>
      </c>
      <c r="Y2170">
        <v>-0.145735</v>
      </c>
      <c r="Z2170">
        <v>1.9629480000000001E-2</v>
      </c>
      <c r="AA2170">
        <v>0.98912889999999998</v>
      </c>
      <c r="AB2170">
        <v>29</v>
      </c>
      <c r="AC2170">
        <v>4.4267999999999503</v>
      </c>
      <c r="AD2170">
        <v>-1.1221911587940001</v>
      </c>
      <c r="AE2170">
        <v>-36.170499999999997</v>
      </c>
      <c r="AF2170">
        <v>-5.36822602974852</v>
      </c>
      <c r="AG2170">
        <v>-1.1221911587940001</v>
      </c>
      <c r="AH2170">
        <v>36.0078981622936</v>
      </c>
      <c r="AI2170">
        <v>91.765552756503894</v>
      </c>
      <c r="AJ2170">
        <v>98.479468871854493</v>
      </c>
      <c r="AK2170">
        <v>36.423150519545302</v>
      </c>
      <c r="AL2170">
        <v>80.912931833412102</v>
      </c>
      <c r="AM2170">
        <v>98.050241506811403</v>
      </c>
      <c r="AN2170">
        <v>0.99999999430746001</v>
      </c>
    </row>
    <row r="2171" spans="1:40" x14ac:dyDescent="0.25">
      <c r="A2171" t="str">
        <f>"20190303162547304"</f>
        <v>20190303162547304</v>
      </c>
      <c r="B2171" t="str">
        <f>"1551601547295663"</f>
        <v>1551601547295663</v>
      </c>
      <c r="C2171" t="s">
        <v>40</v>
      </c>
      <c r="D2171">
        <v>4.8843930000000002</v>
      </c>
      <c r="E2171">
        <v>0.5075539</v>
      </c>
      <c r="F2171" t="s">
        <v>46</v>
      </c>
      <c r="G2171">
        <v>-487.78219999999999</v>
      </c>
      <c r="H2171" s="1">
        <v>2.6399540000000001E-6</v>
      </c>
      <c r="I2171">
        <v>209.38390000000001</v>
      </c>
      <c r="J2171">
        <v>-492.51670000000001</v>
      </c>
      <c r="K2171">
        <v>1.122193</v>
      </c>
      <c r="L2171">
        <v>247.2296</v>
      </c>
      <c r="M2171">
        <v>-2.437684E-2</v>
      </c>
      <c r="N2171">
        <v>-1.071211E-2</v>
      </c>
      <c r="O2171">
        <v>-0.99964529999999996</v>
      </c>
      <c r="P2171">
        <v>0.1155414</v>
      </c>
      <c r="Q2171">
        <v>0.14893290000000001</v>
      </c>
      <c r="R2171">
        <v>-0.98207390000000006</v>
      </c>
      <c r="S2171">
        <v>0.37496950000000001</v>
      </c>
      <c r="T2171">
        <v>-8.8980080000000003E-2</v>
      </c>
      <c r="U2171">
        <v>-3.023666</v>
      </c>
      <c r="V2171">
        <v>-0.13999</v>
      </c>
      <c r="W2171">
        <v>0.1589361</v>
      </c>
      <c r="X2171">
        <v>0.97731369999999895</v>
      </c>
      <c r="Y2171">
        <v>-0.1471729</v>
      </c>
      <c r="Z2171">
        <v>1.8405080000000001E-2</v>
      </c>
      <c r="AA2171">
        <v>0.98893949999999997</v>
      </c>
      <c r="AB2171">
        <v>29</v>
      </c>
      <c r="AC2171">
        <v>4.7345000000000201</v>
      </c>
      <c r="AD2171">
        <v>-1.1221903600459999</v>
      </c>
      <c r="AE2171">
        <v>-37.845700000000001</v>
      </c>
      <c r="AF2171">
        <v>-5.6508128039577796</v>
      </c>
      <c r="AG2171">
        <v>-1.1221903600459999</v>
      </c>
      <c r="AH2171">
        <v>37.686409456007098</v>
      </c>
      <c r="AI2171">
        <v>91.686750655336098</v>
      </c>
      <c r="AJ2171">
        <v>98.527570861439401</v>
      </c>
      <c r="AK2171">
        <v>38.124223982074398</v>
      </c>
      <c r="AL2171">
        <v>80.854850713964197</v>
      </c>
      <c r="AM2171">
        <v>98.151574772033001</v>
      </c>
      <c r="AN2171">
        <v>0.99999997609544899</v>
      </c>
    </row>
    <row r="2172" spans="1:40" x14ac:dyDescent="0.25">
      <c r="A2172" t="str">
        <f>"20190303162547325"</f>
        <v>20190303162547325</v>
      </c>
      <c r="B2172" t="str">
        <f>"1551601547315183"</f>
        <v>1551601547315183</v>
      </c>
      <c r="C2172" t="s">
        <v>40</v>
      </c>
      <c r="D2172">
        <v>5.1623979999999996</v>
      </c>
      <c r="E2172">
        <v>0.507017099999999</v>
      </c>
      <c r="F2172" t="s">
        <v>46</v>
      </c>
      <c r="G2172">
        <v>-490.01740000000001</v>
      </c>
      <c r="H2172" s="1">
        <v>3.9588159999999997E-6</v>
      </c>
      <c r="I2172">
        <v>221.01859999999999</v>
      </c>
      <c r="J2172">
        <v>-492.5215</v>
      </c>
      <c r="K2172">
        <v>1.122196</v>
      </c>
      <c r="L2172">
        <v>246.9539</v>
      </c>
      <c r="M2172">
        <v>-2.2615989999999999E-2</v>
      </c>
      <c r="N2172">
        <v>-1.071398E-2</v>
      </c>
      <c r="O2172">
        <v>-0.99968699999999999</v>
      </c>
      <c r="P2172">
        <v>0.1189065</v>
      </c>
      <c r="Q2172">
        <v>0.14878250000000001</v>
      </c>
      <c r="R2172">
        <v>-0.98169490000000004</v>
      </c>
      <c r="S2172">
        <v>0.28991699999999998</v>
      </c>
      <c r="T2172">
        <v>-0.13016989999999901</v>
      </c>
      <c r="U2172">
        <v>-3.040375</v>
      </c>
      <c r="V2172">
        <v>-0.1416203</v>
      </c>
      <c r="W2172">
        <v>0.15877929999999901</v>
      </c>
      <c r="X2172">
        <v>0.97710430000000004</v>
      </c>
      <c r="Y2172">
        <v>-0.11733440000000001</v>
      </c>
      <c r="Z2172">
        <v>3.1795999999999998E-2</v>
      </c>
      <c r="AA2172">
        <v>0.99258329999999995</v>
      </c>
      <c r="AB2172">
        <v>29</v>
      </c>
      <c r="AC2172">
        <v>2.50409999999999</v>
      </c>
      <c r="AD2172">
        <v>-1.1221920411839901</v>
      </c>
      <c r="AE2172">
        <v>-25.935300000000002</v>
      </c>
      <c r="AF2172">
        <v>-3.0843243546208901</v>
      </c>
      <c r="AG2172">
        <v>-1.1221920411839901</v>
      </c>
      <c r="AH2172">
        <v>25.824128381479699</v>
      </c>
      <c r="AI2172">
        <v>92.470695027797802</v>
      </c>
      <c r="AJ2172">
        <v>96.810901542500602</v>
      </c>
      <c r="AK2172">
        <v>26.031864673222199</v>
      </c>
      <c r="AL2172">
        <v>80.863950410439102</v>
      </c>
      <c r="AM2172">
        <v>98.246951483886505</v>
      </c>
      <c r="AN2172">
        <v>0.99999999427953501</v>
      </c>
    </row>
    <row r="2173" spans="1:40" x14ac:dyDescent="0.25">
      <c r="A2173" t="str">
        <f>"20190303162547348"</f>
        <v>20190303162547348</v>
      </c>
      <c r="B2173" t="str">
        <f>"1551601547335679"</f>
        <v>1551601547335679</v>
      </c>
      <c r="C2173" t="s">
        <v>40</v>
      </c>
      <c r="D2173">
        <v>5.0787779999999998</v>
      </c>
      <c r="E2173">
        <v>0.48052499999999998</v>
      </c>
      <c r="F2173" t="s">
        <v>46</v>
      </c>
      <c r="G2173">
        <v>-489.8947</v>
      </c>
      <c r="H2173" s="1">
        <v>3.8469969999999999E-6</v>
      </c>
      <c r="I2173">
        <v>220.6686</v>
      </c>
      <c r="J2173">
        <v>-492.52589999999998</v>
      </c>
      <c r="K2173">
        <v>1.1222000000000001</v>
      </c>
      <c r="L2173">
        <v>246.6711</v>
      </c>
      <c r="M2173">
        <v>-2.0801420000000001E-2</v>
      </c>
      <c r="N2173">
        <v>-1.071589E-2</v>
      </c>
      <c r="O2173">
        <v>-0.99972629999999996</v>
      </c>
      <c r="P2173">
        <v>0.1226068</v>
      </c>
      <c r="Q2173">
        <v>0.14826739999999999</v>
      </c>
      <c r="R2173">
        <v>-0.98131780000000002</v>
      </c>
      <c r="S2173">
        <v>0.30368040000000002</v>
      </c>
      <c r="T2173">
        <v>-0.1297363</v>
      </c>
      <c r="U2173">
        <v>-3.038834</v>
      </c>
      <c r="V2173">
        <v>-0.1435341</v>
      </c>
      <c r="W2173">
        <v>0.15825719999999999</v>
      </c>
      <c r="X2173">
        <v>0.97690980000000005</v>
      </c>
      <c r="Y2173">
        <v>-0.1200319</v>
      </c>
      <c r="Z2173">
        <v>3.1660819999999999E-2</v>
      </c>
      <c r="AA2173">
        <v>0.99226499999999995</v>
      </c>
      <c r="AB2173">
        <v>29</v>
      </c>
      <c r="AC2173">
        <v>2.63119999999997</v>
      </c>
      <c r="AD2173">
        <v>-1.122196153003</v>
      </c>
      <c r="AE2173">
        <v>-26.002500000000001</v>
      </c>
      <c r="AF2173">
        <v>-3.1657140108948298</v>
      </c>
      <c r="AG2173">
        <v>-1.122196153003</v>
      </c>
      <c r="AH2173">
        <v>25.894396581663901</v>
      </c>
      <c r="AI2173">
        <v>92.463181566428602</v>
      </c>
      <c r="AJ2173">
        <v>96.9700952541818</v>
      </c>
      <c r="AK2173">
        <v>26.111316392190499</v>
      </c>
      <c r="AL2173">
        <v>80.894248293394895</v>
      </c>
      <c r="AM2173">
        <v>98.358474209681106</v>
      </c>
      <c r="AN2173">
        <v>1.00000006827534</v>
      </c>
    </row>
    <row r="2174" spans="1:40" x14ac:dyDescent="0.25">
      <c r="A2174" t="str">
        <f>"20190303162547370"</f>
        <v>20190303162547370</v>
      </c>
      <c r="B2174" t="str">
        <f>"1551601547364959"</f>
        <v>1551601547364959</v>
      </c>
      <c r="C2174" t="s">
        <v>40</v>
      </c>
      <c r="D2174">
        <v>5.1545870000000003</v>
      </c>
      <c r="E2174">
        <v>0.4588622</v>
      </c>
      <c r="F2174" t="s">
        <v>46</v>
      </c>
      <c r="G2174">
        <v>-488.58</v>
      </c>
      <c r="H2174" s="1">
        <v>4.5881290000000003E-6</v>
      </c>
      <c r="I2174">
        <v>224.00210000000001</v>
      </c>
      <c r="J2174">
        <v>-492.53</v>
      </c>
      <c r="K2174">
        <v>1.122196</v>
      </c>
      <c r="L2174">
        <v>246.37989999999999</v>
      </c>
      <c r="M2174">
        <v>-1.89263E-2</v>
      </c>
      <c r="N2174">
        <v>-1.071795E-2</v>
      </c>
      <c r="O2174">
        <v>-0.99976339999999997</v>
      </c>
      <c r="P2174">
        <v>0.1260193</v>
      </c>
      <c r="Q2174">
        <v>0.14758769999999999</v>
      </c>
      <c r="R2174">
        <v>-0.98098770000000002</v>
      </c>
      <c r="S2174">
        <v>0.52465819999999996</v>
      </c>
      <c r="T2174">
        <v>-0.14920839999999999</v>
      </c>
      <c r="U2174">
        <v>-3.0140989999999999</v>
      </c>
      <c r="V2174">
        <v>-0.1451026</v>
      </c>
      <c r="W2174">
        <v>0.15757209999999999</v>
      </c>
      <c r="X2174">
        <v>0.97678880000000001</v>
      </c>
      <c r="Y2174">
        <v>-0.18992220000000001</v>
      </c>
      <c r="Z2174">
        <v>3.788979E-2</v>
      </c>
      <c r="AA2174">
        <v>0.98106780000000005</v>
      </c>
      <c r="AB2174">
        <v>29</v>
      </c>
      <c r="AC2174">
        <v>3.9499999999999802</v>
      </c>
      <c r="AD2174">
        <v>-1.1221914118709999</v>
      </c>
      <c r="AE2174">
        <v>-22.377799999999901</v>
      </c>
      <c r="AF2174">
        <v>-4.36220719685533</v>
      </c>
      <c r="AG2174">
        <v>-1.1221914118709999</v>
      </c>
      <c r="AH2174">
        <v>22.2447777649618</v>
      </c>
      <c r="AI2174">
        <v>92.834087111935403</v>
      </c>
      <c r="AJ2174">
        <v>101.094928614228</v>
      </c>
      <c r="AK2174">
        <v>22.696217812792302</v>
      </c>
      <c r="AL2174">
        <v>80.934000201090598</v>
      </c>
      <c r="AM2174">
        <v>98.449533437036706</v>
      </c>
      <c r="AN2174">
        <v>1.0000000455153</v>
      </c>
    </row>
    <row r="2175" spans="1:40" x14ac:dyDescent="0.25">
      <c r="A2175" t="str">
        <f>"20190303162547395"</f>
        <v>20190303162547395</v>
      </c>
      <c r="B2175" t="str">
        <f>"1551601547385456"</f>
        <v>1551601547385456</v>
      </c>
      <c r="C2175" t="s">
        <v>40</v>
      </c>
      <c r="D2175">
        <v>5.0212329999999996</v>
      </c>
      <c r="E2175">
        <v>0.45618829999999999</v>
      </c>
      <c r="F2175" t="s">
        <v>46</v>
      </c>
      <c r="G2175">
        <v>-488.14510000000001</v>
      </c>
      <c r="H2175" s="1">
        <v>5.5863390000000002E-6</v>
      </c>
      <c r="I2175">
        <v>227.79509999999999</v>
      </c>
      <c r="J2175">
        <v>-492.53370000000001</v>
      </c>
      <c r="K2175">
        <v>1.1222000000000001</v>
      </c>
      <c r="L2175">
        <v>246.071</v>
      </c>
      <c r="M2175">
        <v>-1.6932200000000001E-2</v>
      </c>
      <c r="N2175">
        <v>-1.072009E-2</v>
      </c>
      <c r="O2175">
        <v>-0.9997992</v>
      </c>
      <c r="P2175">
        <v>0.12994</v>
      </c>
      <c r="Q2175">
        <v>0.14723910000000001</v>
      </c>
      <c r="R2175">
        <v>-0.98052850000000003</v>
      </c>
      <c r="S2175">
        <v>0.70654300000000003</v>
      </c>
      <c r="T2175">
        <v>-0.1808186</v>
      </c>
      <c r="U2175">
        <v>-2.9945680000000001</v>
      </c>
      <c r="V2175">
        <v>-0.14706279999999999</v>
      </c>
      <c r="W2175">
        <v>0.15721559999999901</v>
      </c>
      <c r="X2175">
        <v>0.976553</v>
      </c>
      <c r="Y2175">
        <v>-0.2457307</v>
      </c>
      <c r="Z2175">
        <v>4.7809230000000001E-2</v>
      </c>
      <c r="AA2175">
        <v>0.96815839999999997</v>
      </c>
      <c r="AB2175">
        <v>29</v>
      </c>
      <c r="AC2175">
        <v>4.3885999999999896</v>
      </c>
      <c r="AD2175">
        <v>-1.122194413661</v>
      </c>
      <c r="AE2175">
        <v>-18.2759</v>
      </c>
      <c r="AF2175">
        <v>-4.6807539348726603</v>
      </c>
      <c r="AG2175">
        <v>-1.122194413661</v>
      </c>
      <c r="AH2175">
        <v>18.134322060684401</v>
      </c>
      <c r="AI2175">
        <v>93.428979245421502</v>
      </c>
      <c r="AJ2175">
        <v>104.47304565578</v>
      </c>
      <c r="AK2175">
        <v>18.7622603729269</v>
      </c>
      <c r="AL2175">
        <v>80.954683415254195</v>
      </c>
      <c r="AM2175">
        <v>98.564034727527101</v>
      </c>
      <c r="AN2175">
        <v>0.99999998691809899</v>
      </c>
    </row>
    <row r="2176" spans="1:40" x14ac:dyDescent="0.25">
      <c r="A2176" t="str">
        <f>"20190303162547417"</f>
        <v>20190303162547417</v>
      </c>
      <c r="B2176" t="str">
        <f>"1551601547404976"</f>
        <v>1551601547404976</v>
      </c>
      <c r="C2176" t="s">
        <v>40</v>
      </c>
      <c r="D2176">
        <v>5.123939</v>
      </c>
      <c r="E2176">
        <v>0.45548870000000002</v>
      </c>
      <c r="F2176" t="s">
        <v>46</v>
      </c>
      <c r="G2176">
        <v>-487.95949999999999</v>
      </c>
      <c r="H2176" s="1">
        <v>5.4656130000000004E-6</v>
      </c>
      <c r="I2176">
        <v>227.56479999999999</v>
      </c>
      <c r="J2176">
        <v>-492.53649999999999</v>
      </c>
      <c r="K2176">
        <v>1.1222000000000001</v>
      </c>
      <c r="L2176">
        <v>245.78280000000001</v>
      </c>
      <c r="M2176">
        <v>-1.507058E-2</v>
      </c>
      <c r="N2176">
        <v>-1.072216E-2</v>
      </c>
      <c r="O2176">
        <v>-0.99982899999999997</v>
      </c>
      <c r="P2176">
        <v>0.13359279999999901</v>
      </c>
      <c r="Q2176">
        <v>0.1474317</v>
      </c>
      <c r="R2176">
        <v>-0.98000869999999995</v>
      </c>
      <c r="S2176">
        <v>0.73876949999999997</v>
      </c>
      <c r="T2176">
        <v>-0.18124409999999999</v>
      </c>
      <c r="U2176">
        <v>-2.9889070000000002</v>
      </c>
      <c r="V2176">
        <v>-0.148887299999999</v>
      </c>
      <c r="W2176">
        <v>0.15739929999999999</v>
      </c>
      <c r="X2176">
        <v>0.97624690000000003</v>
      </c>
      <c r="Y2176">
        <v>-0.25418390000000002</v>
      </c>
      <c r="Z2176">
        <v>4.7918259999999997E-2</v>
      </c>
      <c r="AA2176">
        <v>0.9659681</v>
      </c>
      <c r="AB2176">
        <v>29</v>
      </c>
      <c r="AC2176">
        <v>4.5769999999999902</v>
      </c>
      <c r="AD2176">
        <v>-1.1221945343869999</v>
      </c>
      <c r="AE2176">
        <v>-18.218</v>
      </c>
      <c r="AF2176">
        <v>-4.8337996477478402</v>
      </c>
      <c r="AG2176">
        <v>-1.1221945343869999</v>
      </c>
      <c r="AH2176">
        <v>18.082411694369402</v>
      </c>
      <c r="AI2176">
        <v>93.431048330854495</v>
      </c>
      <c r="AJ2176">
        <v>104.96638719942101</v>
      </c>
      <c r="AK2176">
        <v>18.750961369813599</v>
      </c>
      <c r="AL2176">
        <v>80.944025502479604</v>
      </c>
      <c r="AM2176">
        <v>98.671354808745903</v>
      </c>
      <c r="AN2176">
        <v>0.99999998875069496</v>
      </c>
    </row>
    <row r="2177" spans="1:40" x14ac:dyDescent="0.25">
      <c r="A2177" t="str">
        <f>"20190303162547439"</f>
        <v>20190303162547439</v>
      </c>
      <c r="B2177" t="str">
        <f>"1551601547425472"</f>
        <v>1551601547425472</v>
      </c>
      <c r="C2177" t="s">
        <v>40</v>
      </c>
      <c r="D2177">
        <v>5.1859289999999998</v>
      </c>
      <c r="E2177">
        <v>0.45544180000000001</v>
      </c>
      <c r="F2177" t="s">
        <v>46</v>
      </c>
      <c r="G2177">
        <v>-487.81920000000002</v>
      </c>
      <c r="H2177" s="1">
        <v>5.2896309999999999E-6</v>
      </c>
      <c r="I2177">
        <v>227.1172</v>
      </c>
      <c r="J2177">
        <v>-492.53870000000001</v>
      </c>
      <c r="K2177">
        <v>1.122204</v>
      </c>
      <c r="L2177">
        <v>245.5223</v>
      </c>
      <c r="M2177">
        <v>-1.338782E-2</v>
      </c>
      <c r="N2177">
        <v>-1.0723969999999999E-2</v>
      </c>
      <c r="O2177">
        <v>-0.99985310000000005</v>
      </c>
      <c r="P2177">
        <v>0.13691489999999901</v>
      </c>
      <c r="Q2177">
        <v>0.1479171</v>
      </c>
      <c r="R2177">
        <v>-0.9794773</v>
      </c>
      <c r="S2177">
        <v>0.75448609999999905</v>
      </c>
      <c r="T2177">
        <v>-0.17948410000000001</v>
      </c>
      <c r="U2177">
        <v>-2.985382</v>
      </c>
      <c r="V2177">
        <v>-0.15055869999999999</v>
      </c>
      <c r="W2177">
        <v>0.1578763</v>
      </c>
      <c r="X2177">
        <v>0.97591349999999999</v>
      </c>
      <c r="Y2177">
        <v>-0.25761240000000002</v>
      </c>
      <c r="Z2177">
        <v>4.7355700000000001E-2</v>
      </c>
      <c r="AA2177">
        <v>0.96508720000000003</v>
      </c>
      <c r="AB2177">
        <v>29</v>
      </c>
      <c r="AC2177">
        <v>4.7194999999999796</v>
      </c>
      <c r="AD2177">
        <v>-1.1221987103690001</v>
      </c>
      <c r="AE2177">
        <v>-18.405100000000001</v>
      </c>
      <c r="AF2177">
        <v>-4.9482346254343597</v>
      </c>
      <c r="AG2177">
        <v>-1.1221987103690001</v>
      </c>
      <c r="AH2177">
        <v>18.276510005361299</v>
      </c>
      <c r="AI2177">
        <v>93.391801981814694</v>
      </c>
      <c r="AJ2177">
        <v>105.149238551072</v>
      </c>
      <c r="AK2177">
        <v>18.967740345913001</v>
      </c>
      <c r="AL2177">
        <v>80.916349518936599</v>
      </c>
      <c r="AM2177">
        <v>98.770143301906003</v>
      </c>
      <c r="AN2177">
        <v>1.00000000386481</v>
      </c>
    </row>
    <row r="2178" spans="1:40" x14ac:dyDescent="0.25">
      <c r="A2178" t="str">
        <f>"20190303162547462"</f>
        <v>20190303162547462</v>
      </c>
      <c r="B2178" t="str">
        <f>"1551601547455727"</f>
        <v>1551601547455727</v>
      </c>
      <c r="C2178" t="s">
        <v>40</v>
      </c>
      <c r="D2178">
        <v>5.1305269999999998</v>
      </c>
      <c r="E2178">
        <v>0.45575100000000002</v>
      </c>
      <c r="F2178" t="s">
        <v>46</v>
      </c>
      <c r="G2178">
        <v>-487.66320000000002</v>
      </c>
      <c r="H2178" s="1">
        <v>5.06445999999999E-6</v>
      </c>
      <c r="I2178">
        <v>226.52440000000001</v>
      </c>
      <c r="J2178">
        <v>-492.54059999999998</v>
      </c>
      <c r="K2178">
        <v>1.1222129999999999</v>
      </c>
      <c r="L2178">
        <v>245.2183</v>
      </c>
      <c r="M2178">
        <v>-1.1424399999999999E-2</v>
      </c>
      <c r="N2178">
        <v>-1.0726090000000001E-2</v>
      </c>
      <c r="O2178">
        <v>-0.99987720000000002</v>
      </c>
      <c r="P2178">
        <v>0.14056869999999999</v>
      </c>
      <c r="Q2178">
        <v>0.1476257</v>
      </c>
      <c r="R2178">
        <v>-0.97900310000000001</v>
      </c>
      <c r="S2178">
        <v>0.76541139999999996</v>
      </c>
      <c r="T2178">
        <v>-0.17617449999999901</v>
      </c>
      <c r="U2178">
        <v>-2.9824980000000001</v>
      </c>
      <c r="V2178">
        <v>-0.15228810000000001</v>
      </c>
      <c r="W2178">
        <v>0.15757679999999999</v>
      </c>
      <c r="X2178">
        <v>0.97569349999999999</v>
      </c>
      <c r="Y2178">
        <v>-0.25926919999999998</v>
      </c>
      <c r="Z2178">
        <v>4.6305199999999998E-2</v>
      </c>
      <c r="AA2178">
        <v>0.96469439999999995</v>
      </c>
      <c r="AB2178">
        <v>29</v>
      </c>
      <c r="AC2178">
        <v>4.8773999999999598</v>
      </c>
      <c r="AD2178">
        <v>-1.1222079355400001</v>
      </c>
      <c r="AE2178">
        <v>-18.6938999999999</v>
      </c>
      <c r="AF2178">
        <v>-5.0735423814941596</v>
      </c>
      <c r="AG2178">
        <v>-1.1222079355400001</v>
      </c>
      <c r="AH2178">
        <v>18.574285569982401</v>
      </c>
      <c r="AI2178">
        <v>93.335549182832807</v>
      </c>
      <c r="AJ2178">
        <v>105.27759187445901</v>
      </c>
      <c r="AK2178">
        <v>19.287412148410802</v>
      </c>
      <c r="AL2178">
        <v>80.933726718860797</v>
      </c>
      <c r="AM2178">
        <v>98.8712572967152</v>
      </c>
      <c r="AN2178">
        <v>0.99999995962104904</v>
      </c>
    </row>
    <row r="2179" spans="1:40" x14ac:dyDescent="0.25">
      <c r="A2179" t="str">
        <f>"20190303162547485"</f>
        <v>20190303162547485</v>
      </c>
      <c r="B2179" t="str">
        <f>"1551601547475249"</f>
        <v>1551601547475249</v>
      </c>
      <c r="C2179" t="s">
        <v>40</v>
      </c>
      <c r="D2179">
        <v>5.1361039999999996</v>
      </c>
      <c r="E2179">
        <v>0.45599010000000001</v>
      </c>
      <c r="F2179" t="s">
        <v>46</v>
      </c>
      <c r="G2179">
        <v>-487.59300000000002</v>
      </c>
      <c r="H2179" s="1">
        <v>4.944062E-6</v>
      </c>
      <c r="I2179">
        <v>226.196</v>
      </c>
      <c r="J2179">
        <v>-492.5419</v>
      </c>
      <c r="K2179">
        <v>1.1222179999999999</v>
      </c>
      <c r="L2179">
        <v>244.92400000000001</v>
      </c>
      <c r="M2179">
        <v>-9.5237710000000003E-3</v>
      </c>
      <c r="N2179">
        <v>-1.072816E-2</v>
      </c>
      <c r="O2179">
        <v>-0.99989740000000005</v>
      </c>
      <c r="P2179">
        <v>0.14352210000000001</v>
      </c>
      <c r="Q2179">
        <v>0.14698699999999901</v>
      </c>
      <c r="R2179">
        <v>-0.97867099999999996</v>
      </c>
      <c r="S2179">
        <v>0.77496339999999997</v>
      </c>
      <c r="T2179">
        <v>-0.17577789999999999</v>
      </c>
      <c r="U2179">
        <v>-2.979584</v>
      </c>
      <c r="V2179">
        <v>-0.15337909999999999</v>
      </c>
      <c r="W2179">
        <v>0.15693499999999999</v>
      </c>
      <c r="X2179">
        <v>0.97562610000000005</v>
      </c>
      <c r="Y2179">
        <v>-0.26056040000000003</v>
      </c>
      <c r="Z2179">
        <v>4.6200539999999998E-2</v>
      </c>
      <c r="AA2179">
        <v>0.96435150000000003</v>
      </c>
      <c r="AB2179">
        <v>29</v>
      </c>
      <c r="AC2179">
        <v>4.9488999999999796</v>
      </c>
      <c r="AD2179">
        <v>-1.1222130559379999</v>
      </c>
      <c r="AE2179">
        <v>-18.728000000000002</v>
      </c>
      <c r="AF2179">
        <v>-5.1098968637439803</v>
      </c>
      <c r="AG2179">
        <v>-1.1222130559379999</v>
      </c>
      <c r="AH2179">
        <v>18.617530680517799</v>
      </c>
      <c r="AI2179">
        <v>93.326719213669506</v>
      </c>
      <c r="AJ2179">
        <v>105.347853181182</v>
      </c>
      <c r="AK2179">
        <v>19.338636372325698</v>
      </c>
      <c r="AL2179">
        <v>80.970962945549999</v>
      </c>
      <c r="AM2179">
        <v>98.934397128838199</v>
      </c>
      <c r="AN2179">
        <v>1.00000001477151</v>
      </c>
    </row>
    <row r="2180" spans="1:40" x14ac:dyDescent="0.25">
      <c r="A2180" t="str">
        <f>"20190303162547507"</f>
        <v>20190303162547507</v>
      </c>
      <c r="B2180" t="str">
        <f>"1551601547495744"</f>
        <v>1551601547495744</v>
      </c>
      <c r="C2180" t="s">
        <v>40</v>
      </c>
      <c r="D2180">
        <v>5.1061030000000001</v>
      </c>
      <c r="E2180">
        <v>0.45629370000000002</v>
      </c>
      <c r="F2180" t="s">
        <v>46</v>
      </c>
      <c r="G2180">
        <v>-487.5822</v>
      </c>
      <c r="H2180" s="1">
        <v>4.8985130000000003E-6</v>
      </c>
      <c r="I2180">
        <v>226.0582</v>
      </c>
      <c r="J2180">
        <v>-492.54259999999999</v>
      </c>
      <c r="K2180">
        <v>1.122214</v>
      </c>
      <c r="L2180">
        <v>244.63149999999999</v>
      </c>
      <c r="M2180">
        <v>-7.6350810000000002E-3</v>
      </c>
      <c r="N2180">
        <v>-1.073027E-2</v>
      </c>
      <c r="O2180">
        <v>-0.99991359999999996</v>
      </c>
      <c r="P2180">
        <v>0.1464385</v>
      </c>
      <c r="Q2180">
        <v>0.14628250000000001</v>
      </c>
      <c r="R2180">
        <v>-0.97834460000000001</v>
      </c>
      <c r="S2180">
        <v>0.7826843</v>
      </c>
      <c r="T2180">
        <v>-0.17709620000000001</v>
      </c>
      <c r="U2180">
        <v>-2.9772029999999998</v>
      </c>
      <c r="V2180">
        <v>-0.1544452</v>
      </c>
      <c r="W2180">
        <v>0.15622710000000001</v>
      </c>
      <c r="X2180">
        <v>0.97557150000000004</v>
      </c>
      <c r="Y2180">
        <v>-0.26125930000000003</v>
      </c>
      <c r="Z2180">
        <v>4.6648349999999998E-2</v>
      </c>
      <c r="AA2180">
        <v>0.96414080000000002</v>
      </c>
      <c r="AB2180">
        <v>29</v>
      </c>
      <c r="AC2180">
        <v>4.9603999999999902</v>
      </c>
      <c r="AD2180">
        <v>-1.1222091014869999</v>
      </c>
      <c r="AE2180">
        <v>-18.5732999999999</v>
      </c>
      <c r="AF2180">
        <v>-5.0847454425414398</v>
      </c>
      <c r="AG2180">
        <v>-1.1222091014869999</v>
      </c>
      <c r="AH2180">
        <v>18.471938559135001</v>
      </c>
      <c r="AI2180">
        <v>93.352183074848398</v>
      </c>
      <c r="AJ2180">
        <v>105.39056013547101</v>
      </c>
      <c r="AK2180">
        <v>19.191834295224801</v>
      </c>
      <c r="AL2180">
        <v>81.012028942813501</v>
      </c>
      <c r="AM2180">
        <v>98.995981062373104</v>
      </c>
      <c r="AN2180">
        <v>0.99999998909484999</v>
      </c>
    </row>
    <row r="2181" spans="1:40" x14ac:dyDescent="0.25">
      <c r="A2181" t="str">
        <f>"20190303162547527"</f>
        <v>20190303162547527</v>
      </c>
      <c r="B2181" t="str">
        <f>"1551601547515263"</f>
        <v>1551601547515263</v>
      </c>
      <c r="C2181" t="s">
        <v>40</v>
      </c>
      <c r="D2181">
        <v>5.1071580000000001</v>
      </c>
      <c r="E2181">
        <v>0.45649299999999998</v>
      </c>
      <c r="F2181" t="s">
        <v>46</v>
      </c>
      <c r="G2181">
        <v>-487.62529999999998</v>
      </c>
      <c r="H2181" s="1">
        <v>4.9134640000000003E-6</v>
      </c>
      <c r="I2181">
        <v>226.06950000000001</v>
      </c>
      <c r="J2181">
        <v>-492.5428</v>
      </c>
      <c r="K2181">
        <v>1.1222080000000001</v>
      </c>
      <c r="L2181">
        <v>244.36959999999999</v>
      </c>
      <c r="M2181">
        <v>-5.9444509999999999E-3</v>
      </c>
      <c r="N2181">
        <v>-1.0732210000000001E-2</v>
      </c>
      <c r="O2181">
        <v>-0.99992499999999995</v>
      </c>
      <c r="P2181">
        <v>0.1490418</v>
      </c>
      <c r="Q2181">
        <v>0.14615889999999901</v>
      </c>
      <c r="R2181">
        <v>-0.97796970000000005</v>
      </c>
      <c r="S2181">
        <v>0.78820800000000002</v>
      </c>
      <c r="T2181">
        <v>-0.1798804</v>
      </c>
      <c r="U2181">
        <v>-2.9753270000000001</v>
      </c>
      <c r="V2181">
        <v>-0.155394</v>
      </c>
      <c r="W2181">
        <v>0.15609999999999999</v>
      </c>
      <c r="X2181">
        <v>0.97544120000000001</v>
      </c>
      <c r="Y2181">
        <v>-0.261437799999999</v>
      </c>
      <c r="Z2181">
        <v>4.7569559999999997E-2</v>
      </c>
      <c r="AA2181">
        <v>0.9640474</v>
      </c>
      <c r="AB2181">
        <v>29</v>
      </c>
      <c r="AC2181">
        <v>4.9175000000000102</v>
      </c>
      <c r="AD2181">
        <v>-1.122203086536</v>
      </c>
      <c r="AE2181">
        <v>-18.300099999999901</v>
      </c>
      <c r="AF2181">
        <v>-5.00863723331803</v>
      </c>
      <c r="AG2181">
        <v>-1.122203086536</v>
      </c>
      <c r="AH2181">
        <v>18.2066891077694</v>
      </c>
      <c r="AI2181">
        <v>93.401035803215095</v>
      </c>
      <c r="AJ2181">
        <v>105.38151074266899</v>
      </c>
      <c r="AK2181">
        <v>18.916376898586599</v>
      </c>
      <c r="AL2181">
        <v>81.019401970528307</v>
      </c>
      <c r="AM2181">
        <v>99.0515228512199</v>
      </c>
      <c r="AN2181">
        <v>1.0000000199467101</v>
      </c>
    </row>
    <row r="2182" spans="1:40" x14ac:dyDescent="0.25">
      <c r="A2182" t="str">
        <f>"20190303162547549"</f>
        <v>20190303162547549</v>
      </c>
      <c r="B2182" t="str">
        <f>"1551601547535759"</f>
        <v>1551601547535759</v>
      </c>
      <c r="C2182" t="s">
        <v>40</v>
      </c>
      <c r="D2182">
        <v>5.2878119999999997</v>
      </c>
      <c r="E2182">
        <v>0.45667930000000001</v>
      </c>
      <c r="F2182" t="s">
        <v>46</v>
      </c>
      <c r="G2182">
        <v>-487.60930000000002</v>
      </c>
      <c r="H2182" s="1">
        <v>4.856277E-6</v>
      </c>
      <c r="I2182">
        <v>225.89859999999999</v>
      </c>
      <c r="J2182">
        <v>-492.54250000000002</v>
      </c>
      <c r="K2182">
        <v>1.1222129999999999</v>
      </c>
      <c r="L2182">
        <v>244.08709999999999</v>
      </c>
      <c r="M2182">
        <v>-4.1212289999999997E-3</v>
      </c>
      <c r="N2182">
        <v>-1.073436E-2</v>
      </c>
      <c r="O2182">
        <v>-0.99993379999999998</v>
      </c>
      <c r="P2182">
        <v>0.15133849999999999</v>
      </c>
      <c r="Q2182">
        <v>0.1462147</v>
      </c>
      <c r="R2182">
        <v>-0.97760829999999999</v>
      </c>
      <c r="S2182">
        <v>0.79422000000000004</v>
      </c>
      <c r="T2182">
        <v>-0.18065580000000001</v>
      </c>
      <c r="U2182">
        <v>-2.9735109999999998</v>
      </c>
      <c r="V2182">
        <v>-0.15590889999999999</v>
      </c>
      <c r="W2182">
        <v>0.15615409999999999</v>
      </c>
      <c r="X2182">
        <v>0.97535039999999995</v>
      </c>
      <c r="Y2182">
        <v>-0.26164029999999999</v>
      </c>
      <c r="Z2182">
        <v>4.783921E-2</v>
      </c>
      <c r="AA2182">
        <v>0.96397909999999998</v>
      </c>
      <c r="AB2182">
        <v>29</v>
      </c>
      <c r="AC2182">
        <v>4.9331999999999896</v>
      </c>
      <c r="AD2182">
        <v>-1.12220814372299</v>
      </c>
      <c r="AE2182">
        <v>-18.188500000000001</v>
      </c>
      <c r="AF2182">
        <v>-4.9904259001315303</v>
      </c>
      <c r="AG2182">
        <v>-1.12220814372299</v>
      </c>
      <c r="AH2182">
        <v>18.103819350985599</v>
      </c>
      <c r="AI2182">
        <v>93.419844182050198</v>
      </c>
      <c r="AJ2182">
        <v>105.41118726929599</v>
      </c>
      <c r="AK2182">
        <v>18.8125483886597</v>
      </c>
      <c r="AL2182">
        <v>81.016264015972098</v>
      </c>
      <c r="AM2182">
        <v>99.081847538400496</v>
      </c>
      <c r="AN2182">
        <v>1.00000004541308</v>
      </c>
    </row>
    <row r="2183" spans="1:40" x14ac:dyDescent="0.25">
      <c r="A2183" t="str">
        <f>"20190303162547573"</f>
        <v>20190303162547573</v>
      </c>
      <c r="B2183" t="str">
        <f>"1551601547565039"</f>
        <v>1551601547565039</v>
      </c>
      <c r="C2183" t="s">
        <v>40</v>
      </c>
      <c r="D2183">
        <v>5.2266579999999996</v>
      </c>
      <c r="E2183">
        <v>0.45695570000000002</v>
      </c>
      <c r="F2183" t="s">
        <v>46</v>
      </c>
      <c r="G2183">
        <v>-487.61689999999999</v>
      </c>
      <c r="H2183" s="1">
        <v>4.8151510000000002E-6</v>
      </c>
      <c r="I2183">
        <v>225.7483</v>
      </c>
      <c r="J2183">
        <v>-492.54160000000002</v>
      </c>
      <c r="K2183">
        <v>1.122214</v>
      </c>
      <c r="L2183">
        <v>243.77760000000001</v>
      </c>
      <c r="M2183">
        <v>-2.1242610000000001E-3</v>
      </c>
      <c r="N2183">
        <v>-1.07367E-2</v>
      </c>
      <c r="O2183">
        <v>-0.9999403</v>
      </c>
      <c r="P2183">
        <v>0.15397829999999901</v>
      </c>
      <c r="Q2183">
        <v>0.14538110000000001</v>
      </c>
      <c r="R2183">
        <v>-0.97732059999999998</v>
      </c>
      <c r="S2183">
        <v>0.79833980000000004</v>
      </c>
      <c r="T2183">
        <v>-0.1818862</v>
      </c>
      <c r="U2183">
        <v>-2.972321</v>
      </c>
      <c r="V2183">
        <v>-0.15659479999999901</v>
      </c>
      <c r="W2183">
        <v>0.1553195</v>
      </c>
      <c r="X2183">
        <v>0.97537370000000001</v>
      </c>
      <c r="Y2183">
        <v>-0.26105030000000001</v>
      </c>
      <c r="Z2183">
        <v>4.8255050000000001E-2</v>
      </c>
      <c r="AA2183">
        <v>0.96411840000000004</v>
      </c>
      <c r="AB2183">
        <v>29</v>
      </c>
      <c r="AC2183">
        <v>4.9247000000000298</v>
      </c>
      <c r="AD2183">
        <v>-1.1222091848489999</v>
      </c>
      <c r="AE2183">
        <v>-18.029299999999999</v>
      </c>
      <c r="AF2183">
        <v>-4.9451613475003997</v>
      </c>
      <c r="AG2183">
        <v>-1.1222091848489999</v>
      </c>
      <c r="AH2183">
        <v>17.954067970558299</v>
      </c>
      <c r="AI2183">
        <v>93.448498610126407</v>
      </c>
      <c r="AJ2183">
        <v>105.399368497729</v>
      </c>
      <c r="AK2183">
        <v>18.656434034905999</v>
      </c>
      <c r="AL2183">
        <v>81.064673029524499</v>
      </c>
      <c r="AM2183">
        <v>99.120917477551501</v>
      </c>
      <c r="AN2183">
        <v>0.99999996655948897</v>
      </c>
    </row>
    <row r="2184" spans="1:40" x14ac:dyDescent="0.25">
      <c r="A2184" t="str">
        <f>"20190303162547596"</f>
        <v>20190303162547596</v>
      </c>
      <c r="B2184" t="str">
        <f>"1551601547585535"</f>
        <v>1551601547585535</v>
      </c>
      <c r="C2184" t="s">
        <v>40</v>
      </c>
      <c r="D2184">
        <v>5.0839860000000003</v>
      </c>
      <c r="E2184">
        <v>0.45705010000000001</v>
      </c>
      <c r="F2184" t="s">
        <v>46</v>
      </c>
      <c r="G2184">
        <v>-487.6549</v>
      </c>
      <c r="H2184" s="1">
        <v>4.8190050000000003E-6</v>
      </c>
      <c r="I2184">
        <v>225.7277</v>
      </c>
      <c r="J2184">
        <v>-492.54020000000003</v>
      </c>
      <c r="K2184">
        <v>1.1222129999999999</v>
      </c>
      <c r="L2184">
        <v>243.4819</v>
      </c>
      <c r="M2184">
        <v>-2.1634289999999999E-4</v>
      </c>
      <c r="N2184">
        <v>-1.0738869999999999E-2</v>
      </c>
      <c r="O2184">
        <v>-0.99994240000000001</v>
      </c>
      <c r="P2184">
        <v>0.15640960000000001</v>
      </c>
      <c r="Q2184">
        <v>0.14461660000000001</v>
      </c>
      <c r="R2184">
        <v>-0.97704789999999997</v>
      </c>
      <c r="S2184">
        <v>0.804199199999999</v>
      </c>
      <c r="T2184">
        <v>-0.1846787</v>
      </c>
      <c r="U2184">
        <v>-2.9704280000000001</v>
      </c>
      <c r="V2184">
        <v>-0.15715989999999999</v>
      </c>
      <c r="W2184">
        <v>0.15455450000000001</v>
      </c>
      <c r="X2184">
        <v>0.97540439999999995</v>
      </c>
      <c r="Y2184">
        <v>-0.26112229999999997</v>
      </c>
      <c r="Z2184">
        <v>4.9179569999999999E-2</v>
      </c>
      <c r="AA2184">
        <v>0.96405209999999997</v>
      </c>
      <c r="AB2184">
        <v>29</v>
      </c>
      <c r="AC2184">
        <v>4.8853000000000204</v>
      </c>
      <c r="AD2184">
        <v>-1.122208180995</v>
      </c>
      <c r="AE2184">
        <v>-17.754199999999901</v>
      </c>
      <c r="AF2184">
        <v>-4.8710497881513497</v>
      </c>
      <c r="AG2184">
        <v>-1.122208180995</v>
      </c>
      <c r="AH2184">
        <v>17.687450579324601</v>
      </c>
      <c r="AI2184">
        <v>93.500383398717403</v>
      </c>
      <c r="AJ2184">
        <v>105.3973329232</v>
      </c>
      <c r="AK2184">
        <v>18.380217224945699</v>
      </c>
      <c r="AL2184">
        <v>81.109040682917396</v>
      </c>
      <c r="AM2184">
        <v>99.152992511729295</v>
      </c>
      <c r="AN2184">
        <v>1.0000000355887999</v>
      </c>
    </row>
    <row r="2185" spans="1:40" x14ac:dyDescent="0.25">
      <c r="A2185" t="str">
        <f>"20190303162547622"</f>
        <v>20190303162547622</v>
      </c>
      <c r="B2185" t="str">
        <f>"1551601547615791"</f>
        <v>1551601547615791</v>
      </c>
      <c r="C2185" t="s">
        <v>40</v>
      </c>
      <c r="D2185">
        <v>5.2300040000000001</v>
      </c>
      <c r="E2185">
        <v>0.45728649999999998</v>
      </c>
      <c r="F2185" t="s">
        <v>46</v>
      </c>
      <c r="G2185">
        <v>-487.68759999999997</v>
      </c>
      <c r="H2185" s="1">
        <v>4.8207530000000003E-6</v>
      </c>
      <c r="I2185">
        <v>225.70269999999999</v>
      </c>
      <c r="J2185">
        <v>-492.53800000000001</v>
      </c>
      <c r="K2185">
        <v>1.1222190000000001</v>
      </c>
      <c r="L2185">
        <v>243.1542</v>
      </c>
      <c r="M2185">
        <v>1.897103E-3</v>
      </c>
      <c r="N2185">
        <v>-1.074139E-2</v>
      </c>
      <c r="O2185">
        <v>-0.99994070000000002</v>
      </c>
      <c r="P2185">
        <v>0.15914420000000001</v>
      </c>
      <c r="Q2185">
        <v>0.14436099999999999</v>
      </c>
      <c r="R2185">
        <v>-0.97664399999999996</v>
      </c>
      <c r="S2185">
        <v>0.81021119999999902</v>
      </c>
      <c r="T2185">
        <v>-0.18736900000000001</v>
      </c>
      <c r="U2185">
        <v>-2.9684910000000002</v>
      </c>
      <c r="V2185">
        <v>-0.1578299</v>
      </c>
      <c r="W2185">
        <v>0.1542972</v>
      </c>
      <c r="X2185">
        <v>0.97533689999999995</v>
      </c>
      <c r="Y2185">
        <v>-0.2610461</v>
      </c>
      <c r="Z2185">
        <v>5.0072770000000003E-2</v>
      </c>
      <c r="AA2185">
        <v>0.96402670000000001</v>
      </c>
      <c r="AB2185">
        <v>29</v>
      </c>
      <c r="AC2185">
        <v>4.8504000000000298</v>
      </c>
      <c r="AD2185">
        <v>-1.122214179247</v>
      </c>
      <c r="AE2185">
        <v>-17.451499999999999</v>
      </c>
      <c r="AF2185">
        <v>-4.7988612813358298</v>
      </c>
      <c r="AG2185">
        <v>-1.122214179247</v>
      </c>
      <c r="AH2185">
        <v>17.393903015526501</v>
      </c>
      <c r="AI2185">
        <v>93.558873427632705</v>
      </c>
      <c r="AJ2185">
        <v>105.42382410242401</v>
      </c>
      <c r="AK2185">
        <v>18.078614337806599</v>
      </c>
      <c r="AL2185">
        <v>81.123961430668302</v>
      </c>
      <c r="AM2185">
        <v>99.191973920101205</v>
      </c>
      <c r="AN2185">
        <v>0.999999985881729</v>
      </c>
    </row>
    <row r="2186" spans="1:40" x14ac:dyDescent="0.25">
      <c r="A2186" t="str">
        <f>"20190303162547640"</f>
        <v>20190303162547640</v>
      </c>
      <c r="B2186" t="str">
        <f>"1551601547625552"</f>
        <v>1551601547625552</v>
      </c>
      <c r="C2186" t="s">
        <v>40</v>
      </c>
      <c r="D2186">
        <v>5.0566579999999997</v>
      </c>
      <c r="E2186">
        <v>0.45743240000000002</v>
      </c>
      <c r="F2186" t="s">
        <v>46</v>
      </c>
      <c r="G2186">
        <v>-487.673</v>
      </c>
      <c r="H2186" s="1">
        <v>4.7675989999999997E-6</v>
      </c>
      <c r="I2186">
        <v>225.477</v>
      </c>
      <c r="J2186">
        <v>-492.53590000000003</v>
      </c>
      <c r="K2186">
        <v>1.1222190000000001</v>
      </c>
      <c r="L2186">
        <v>242.91679999999999</v>
      </c>
      <c r="M2186">
        <v>3.4278860000000002E-3</v>
      </c>
      <c r="N2186">
        <v>-1.0743229999999999E-2</v>
      </c>
      <c r="O2186">
        <v>-0.99993639999999995</v>
      </c>
      <c r="P2186">
        <v>0.1615888</v>
      </c>
      <c r="Q2186">
        <v>0.1445312</v>
      </c>
      <c r="R2186">
        <v>-0.97621720000000001</v>
      </c>
      <c r="S2186">
        <v>0.81643679999999996</v>
      </c>
      <c r="T2186">
        <v>-0.18832779999999999</v>
      </c>
      <c r="U2186">
        <v>-2.9665530000000002</v>
      </c>
      <c r="V2186">
        <v>-0.15878139999999999</v>
      </c>
      <c r="W2186">
        <v>0.15446309999999999</v>
      </c>
      <c r="X2186">
        <v>0.97515620000000003</v>
      </c>
      <c r="Y2186">
        <v>-0.26160509999999998</v>
      </c>
      <c r="Z2186">
        <v>5.0399960000000001E-2</v>
      </c>
      <c r="AA2186">
        <v>0.9638582</v>
      </c>
      <c r="AB2186">
        <v>29</v>
      </c>
      <c r="AC2186">
        <v>4.8629000000000202</v>
      </c>
      <c r="AD2186">
        <v>-1.122214232401</v>
      </c>
      <c r="AE2186">
        <v>-17.439799999999899</v>
      </c>
      <c r="AF2186">
        <v>-4.7847038088197698</v>
      </c>
      <c r="AG2186">
        <v>-1.122214232401</v>
      </c>
      <c r="AH2186">
        <v>17.389558405472702</v>
      </c>
      <c r="AI2186">
        <v>93.560438098099894</v>
      </c>
      <c r="AJ2186">
        <v>105.384139408416</v>
      </c>
      <c r="AK2186">
        <v>18.070680586488301</v>
      </c>
      <c r="AL2186">
        <v>81.114340834508198</v>
      </c>
      <c r="AM2186">
        <v>99.248118481842397</v>
      </c>
      <c r="AN2186">
        <v>0.99999999832300501</v>
      </c>
    </row>
    <row r="2187" spans="1:40" x14ac:dyDescent="0.25">
      <c r="A2187" t="str">
        <f>"20190303162547662"</f>
        <v>20190303162547662</v>
      </c>
      <c r="B2187" t="str">
        <f>"1551601547654832"</f>
        <v>1551601547654832</v>
      </c>
      <c r="C2187" t="s">
        <v>40</v>
      </c>
      <c r="D2187">
        <v>5.1693259999999999</v>
      </c>
      <c r="E2187">
        <v>0.45787630000000001</v>
      </c>
      <c r="F2187" t="s">
        <v>46</v>
      </c>
      <c r="G2187">
        <v>-487.62909999999999</v>
      </c>
      <c r="H2187" s="1">
        <v>4.6997070000000001E-6</v>
      </c>
      <c r="I2187">
        <v>225.214</v>
      </c>
      <c r="J2187">
        <v>-492.53280000000001</v>
      </c>
      <c r="K2187">
        <v>1.1222160000000001</v>
      </c>
      <c r="L2187">
        <v>242.62260000000001</v>
      </c>
      <c r="M2187">
        <v>5.3255230000000004E-3</v>
      </c>
      <c r="N2187">
        <v>-1.074551E-2</v>
      </c>
      <c r="O2187">
        <v>-0.99992829999999999</v>
      </c>
      <c r="P2187">
        <v>0.16447579999999901</v>
      </c>
      <c r="Q2187">
        <v>0.14435709999999999</v>
      </c>
      <c r="R2187">
        <v>-0.97576059999999998</v>
      </c>
      <c r="S2187">
        <v>0.82180789999999904</v>
      </c>
      <c r="T2187">
        <v>-0.18794920000000001</v>
      </c>
      <c r="U2187">
        <v>-2.96489</v>
      </c>
      <c r="V2187">
        <v>-0.15981719999999999</v>
      </c>
      <c r="W2187">
        <v>0.15428499999999901</v>
      </c>
      <c r="X2187">
        <v>0.97501519999999997</v>
      </c>
      <c r="Y2187">
        <v>-0.26153579999999998</v>
      </c>
      <c r="Z2187">
        <v>5.0296309999999997E-2</v>
      </c>
      <c r="AA2187">
        <v>0.96388240000000003</v>
      </c>
      <c r="AB2187">
        <v>29</v>
      </c>
      <c r="AC2187">
        <v>4.9037000000000104</v>
      </c>
      <c r="AD2187">
        <v>-1.1222113002930001</v>
      </c>
      <c r="AE2187">
        <v>-17.4085999999999</v>
      </c>
      <c r="AF2187">
        <v>-4.7924642118521303</v>
      </c>
      <c r="AG2187">
        <v>-1.1222113002930001</v>
      </c>
      <c r="AH2187">
        <v>17.367604017775101</v>
      </c>
      <c r="AI2187">
        <v>93.564194406426694</v>
      </c>
      <c r="AJ2187">
        <v>105.42645638629401</v>
      </c>
      <c r="AK2187">
        <v>18.051613244877299</v>
      </c>
      <c r="AL2187">
        <v>81.124669211168396</v>
      </c>
      <c r="AM2187">
        <v>99.308717972079805</v>
      </c>
      <c r="AN2187">
        <v>1.00000001943593</v>
      </c>
    </row>
    <row r="2188" spans="1:40" x14ac:dyDescent="0.25">
      <c r="A2188" t="str">
        <f>"20190303162547685"</f>
        <v>20190303162547685</v>
      </c>
      <c r="B2188" t="str">
        <f>"1551601547675327"</f>
        <v>1551601547675327</v>
      </c>
      <c r="C2188" t="s">
        <v>40</v>
      </c>
      <c r="D2188">
        <v>4.962917</v>
      </c>
      <c r="E2188">
        <v>0.45811839999999998</v>
      </c>
      <c r="F2188" t="s">
        <v>46</v>
      </c>
      <c r="G2188">
        <v>-487.59840000000003</v>
      </c>
      <c r="H2188" s="1">
        <v>4.6316029999999997E-6</v>
      </c>
      <c r="I2188">
        <v>224.9367</v>
      </c>
      <c r="J2188">
        <v>-492.52940000000001</v>
      </c>
      <c r="K2188">
        <v>1.122207</v>
      </c>
      <c r="L2188">
        <v>242.3434</v>
      </c>
      <c r="M2188">
        <v>7.1262829999999997E-3</v>
      </c>
      <c r="N2188">
        <v>-1.0747659999999999E-2</v>
      </c>
      <c r="O2188">
        <v>-0.9999169</v>
      </c>
      <c r="P2188">
        <v>0.1674872</v>
      </c>
      <c r="Q2188">
        <v>0.14410780000000001</v>
      </c>
      <c r="R2188">
        <v>-0.97528499999999996</v>
      </c>
      <c r="S2188">
        <v>0.826690699999999</v>
      </c>
      <c r="T2188">
        <v>-0.18800929999999999</v>
      </c>
      <c r="U2188">
        <v>-2.9629970000000001</v>
      </c>
      <c r="V2188">
        <v>-0.1610723</v>
      </c>
      <c r="W2188">
        <v>0.154031</v>
      </c>
      <c r="X2188">
        <v>0.97484879999999996</v>
      </c>
      <c r="Y2188">
        <v>-0.26142989999999999</v>
      </c>
      <c r="Z2188">
        <v>5.03404E-2</v>
      </c>
      <c r="AA2188">
        <v>0.96390889999999996</v>
      </c>
      <c r="AB2188">
        <v>29</v>
      </c>
      <c r="AC2188">
        <v>4.9309999999999796</v>
      </c>
      <c r="AD2188">
        <v>-1.1222023683969999</v>
      </c>
      <c r="AE2188">
        <v>-17.406700000000001</v>
      </c>
      <c r="AF2188">
        <v>-4.7883988789909804</v>
      </c>
      <c r="AG2188">
        <v>-1.1222023683969999</v>
      </c>
      <c r="AH2188">
        <v>17.374549999639601</v>
      </c>
      <c r="AI2188">
        <v>93.563058472885103</v>
      </c>
      <c r="AJ2188">
        <v>105.408123740297</v>
      </c>
      <c r="AK2188">
        <v>18.057217107570398</v>
      </c>
      <c r="AL2188">
        <v>81.139398313889799</v>
      </c>
      <c r="AM2188">
        <v>99.382100839473694</v>
      </c>
      <c r="AN2188">
        <v>1.00000000882486</v>
      </c>
    </row>
    <row r="2189" spans="1:40" x14ac:dyDescent="0.25">
      <c r="A2189" t="str">
        <f>"20190303162547707"</f>
        <v>20190303162547707</v>
      </c>
      <c r="B2189" t="str">
        <f>"1551601547694847"</f>
        <v>1551601547694847</v>
      </c>
      <c r="C2189" t="s">
        <v>40</v>
      </c>
      <c r="D2189">
        <v>4.9173369999999998</v>
      </c>
      <c r="E2189">
        <v>0.45829500000000001</v>
      </c>
      <c r="F2189" t="s">
        <v>46</v>
      </c>
      <c r="G2189">
        <v>-487.5385</v>
      </c>
      <c r="H2189" s="1">
        <v>4.5507279999999901E-6</v>
      </c>
      <c r="I2189">
        <v>224.6309</v>
      </c>
      <c r="J2189">
        <v>-492.52530000000002</v>
      </c>
      <c r="K2189">
        <v>1.1222019999999999</v>
      </c>
      <c r="L2189">
        <v>242.054</v>
      </c>
      <c r="M2189">
        <v>8.9925909999999994E-3</v>
      </c>
      <c r="N2189">
        <v>-1.074992E-2</v>
      </c>
      <c r="O2189">
        <v>-0.99990179999999995</v>
      </c>
      <c r="P2189">
        <v>0.17090329999999901</v>
      </c>
      <c r="Q2189">
        <v>0.14316699999999999</v>
      </c>
      <c r="R2189">
        <v>-0.974831</v>
      </c>
      <c r="S2189">
        <v>0.83416749999999995</v>
      </c>
      <c r="T2189">
        <v>-0.1875647</v>
      </c>
      <c r="U2189">
        <v>-2.9604490000000001</v>
      </c>
      <c r="V2189">
        <v>-0.16266749999999999</v>
      </c>
      <c r="W2189">
        <v>0.15308440000000001</v>
      </c>
      <c r="X2189">
        <v>0.97473299999999996</v>
      </c>
      <c r="Y2189">
        <v>-0.26210169999999999</v>
      </c>
      <c r="Z2189">
        <v>5.022008E-2</v>
      </c>
      <c r="AA2189">
        <v>0.9637327</v>
      </c>
      <c r="AB2189">
        <v>29</v>
      </c>
      <c r="AC2189">
        <v>4.9868000000000103</v>
      </c>
      <c r="AD2189">
        <v>-1.1221974492719999</v>
      </c>
      <c r="AE2189">
        <v>-17.423100000000002</v>
      </c>
      <c r="AF2189">
        <v>-4.8114616248806401</v>
      </c>
      <c r="AG2189">
        <v>-1.1221974492719999</v>
      </c>
      <c r="AH2189">
        <v>17.400522494076299</v>
      </c>
      <c r="AI2189">
        <v>93.556906367681293</v>
      </c>
      <c r="AJ2189">
        <v>105.456785966647</v>
      </c>
      <c r="AK2189">
        <v>18.088329750137401</v>
      </c>
      <c r="AL2189">
        <v>81.1942852698796</v>
      </c>
      <c r="AM2189">
        <v>99.474446552778204</v>
      </c>
      <c r="AN2189">
        <v>0.999999985184304</v>
      </c>
    </row>
    <row r="2190" spans="1:40" x14ac:dyDescent="0.25">
      <c r="A2190" t="str">
        <f>"20190303162547729"</f>
        <v>20190303162547729</v>
      </c>
      <c r="B2190" t="str">
        <f>"1551601547715343"</f>
        <v>1551601547715343</v>
      </c>
      <c r="C2190" t="s">
        <v>40</v>
      </c>
      <c r="D2190">
        <v>4.8661450000000004</v>
      </c>
      <c r="E2190">
        <v>0.45846199999999998</v>
      </c>
      <c r="F2190" t="s">
        <v>46</v>
      </c>
      <c r="G2190">
        <v>-487.53629999999998</v>
      </c>
      <c r="H2190" s="1">
        <v>4.5250870000000004E-6</v>
      </c>
      <c r="I2190">
        <v>224.5455</v>
      </c>
      <c r="J2190">
        <v>-492.52080000000001</v>
      </c>
      <c r="K2190">
        <v>1.122207</v>
      </c>
      <c r="L2190">
        <v>241.76859999999999</v>
      </c>
      <c r="M2190">
        <v>1.083249E-2</v>
      </c>
      <c r="N2190">
        <v>-1.0752060000000001E-2</v>
      </c>
      <c r="O2190">
        <v>-0.99988339999999998</v>
      </c>
      <c r="P2190">
        <v>0.1746772</v>
      </c>
      <c r="Q2190">
        <v>0.14281240000000001</v>
      </c>
      <c r="R2190">
        <v>-0.97421349999999995</v>
      </c>
      <c r="S2190">
        <v>0.84274289999999996</v>
      </c>
      <c r="T2190">
        <v>-0.1895635</v>
      </c>
      <c r="U2190">
        <v>-2.9575499999999999</v>
      </c>
      <c r="V2190">
        <v>-0.16465050000000001</v>
      </c>
      <c r="W2190">
        <v>0.15272160000000001</v>
      </c>
      <c r="X2190">
        <v>0.97445700000000002</v>
      </c>
      <c r="Y2190">
        <v>-0.26314850000000001</v>
      </c>
      <c r="Z2190">
        <v>5.0891579999999999E-2</v>
      </c>
      <c r="AA2190">
        <v>0.96341209999999999</v>
      </c>
      <c r="AB2190">
        <v>29</v>
      </c>
      <c r="AC2190">
        <v>4.9845000000000201</v>
      </c>
      <c r="AD2190">
        <v>-1.122202474913</v>
      </c>
      <c r="AE2190">
        <v>-17.223099999999899</v>
      </c>
      <c r="AF2190">
        <v>-4.7789071837475596</v>
      </c>
      <c r="AG2190">
        <v>-1.122202474913</v>
      </c>
      <c r="AH2190">
        <v>17.208675310226599</v>
      </c>
      <c r="AI2190">
        <v>93.595373167019602</v>
      </c>
      <c r="AJ2190">
        <v>105.52015323546701</v>
      </c>
      <c r="AK2190">
        <v>17.89513336632</v>
      </c>
      <c r="AL2190">
        <v>81.2153201750656</v>
      </c>
      <c r="AM2190">
        <v>99.590478499026602</v>
      </c>
      <c r="AN2190">
        <v>1.0000000595528999</v>
      </c>
    </row>
    <row r="2191" spans="1:40" x14ac:dyDescent="0.25">
      <c r="A2191" t="str">
        <f>"20190303162547751"</f>
        <v>20190303162547751</v>
      </c>
      <c r="B2191" t="str">
        <f>"1551601547745600"</f>
        <v>1551601547745600</v>
      </c>
      <c r="C2191" t="s">
        <v>40</v>
      </c>
      <c r="D2191">
        <v>4.9044860000000003</v>
      </c>
      <c r="E2191">
        <v>0.45874979999999999</v>
      </c>
      <c r="F2191" t="s">
        <v>46</v>
      </c>
      <c r="G2191">
        <v>-487.52460000000002</v>
      </c>
      <c r="H2191" s="1">
        <v>4.4936789999999999E-6</v>
      </c>
      <c r="I2191">
        <v>224.45249999999999</v>
      </c>
      <c r="J2191">
        <v>-492.51560000000001</v>
      </c>
      <c r="K2191">
        <v>1.122215</v>
      </c>
      <c r="L2191">
        <v>241.48079999999999</v>
      </c>
      <c r="M2191">
        <v>1.268797E-2</v>
      </c>
      <c r="N2191">
        <v>-1.075429E-2</v>
      </c>
      <c r="O2191">
        <v>-0.99986169999999996</v>
      </c>
      <c r="P2191">
        <v>0.17913899999999999</v>
      </c>
      <c r="Q2191">
        <v>0.14255129999999999</v>
      </c>
      <c r="R2191">
        <v>-0.97344149999999996</v>
      </c>
      <c r="S2191">
        <v>0.85247799999999996</v>
      </c>
      <c r="T2191">
        <v>-0.1914796</v>
      </c>
      <c r="U2191">
        <v>-2.9546049999999999</v>
      </c>
      <c r="V2191">
        <v>-0.16730980000000001</v>
      </c>
      <c r="W2191">
        <v>0.15244779999999999</v>
      </c>
      <c r="X2191">
        <v>0.97404679999999999</v>
      </c>
      <c r="Y2191">
        <v>-0.26453359999999998</v>
      </c>
      <c r="Z2191">
        <v>5.1530760000000002E-2</v>
      </c>
      <c r="AA2191">
        <v>0.96299869999999999</v>
      </c>
      <c r="AB2191">
        <v>29</v>
      </c>
      <c r="AC2191">
        <v>4.9909999999999801</v>
      </c>
      <c r="AD2191">
        <v>-1.1222105063209999</v>
      </c>
      <c r="AE2191">
        <v>-17.028300000000002</v>
      </c>
      <c r="AF2191">
        <v>-4.7555111601256996</v>
      </c>
      <c r="AG2191">
        <v>-1.1222105063209999</v>
      </c>
      <c r="AH2191">
        <v>17.022177096975099</v>
      </c>
      <c r="AI2191">
        <v>93.633122997575697</v>
      </c>
      <c r="AJ2191">
        <v>105.608848615285</v>
      </c>
      <c r="AK2191">
        <v>17.7095667912956</v>
      </c>
      <c r="AL2191">
        <v>81.231193411204799</v>
      </c>
      <c r="AM2191">
        <v>99.746454626634105</v>
      </c>
      <c r="AN2191">
        <v>1.00000003474555</v>
      </c>
    </row>
    <row r="2192" spans="1:40" x14ac:dyDescent="0.25">
      <c r="A2192" t="str">
        <f>"20190303162547774"</f>
        <v>20190303162547774</v>
      </c>
      <c r="B2192" t="str">
        <f>"1551601547766096"</f>
        <v>1551601547766096</v>
      </c>
      <c r="C2192" t="s">
        <v>40</v>
      </c>
      <c r="D2192">
        <v>4.7407430000000002</v>
      </c>
      <c r="E2192">
        <v>0.45900469999999999</v>
      </c>
      <c r="F2192" t="s">
        <v>46</v>
      </c>
      <c r="G2192">
        <v>-487.51560000000001</v>
      </c>
      <c r="H2192" s="1">
        <v>4.4696439999999999E-6</v>
      </c>
      <c r="I2192">
        <v>224.38140000000001</v>
      </c>
      <c r="J2192">
        <v>-492.50970000000001</v>
      </c>
      <c r="K2192">
        <v>1.122214</v>
      </c>
      <c r="L2192">
        <v>241.17689999999999</v>
      </c>
      <c r="M2192">
        <v>1.4647E-2</v>
      </c>
      <c r="N2192">
        <v>-1.0756689999999999E-2</v>
      </c>
      <c r="O2192">
        <v>-0.99983500000000003</v>
      </c>
      <c r="P2192">
        <v>0.1835917</v>
      </c>
      <c r="Q2192">
        <v>0.14264089999999999</v>
      </c>
      <c r="R2192">
        <v>-0.97259859999999998</v>
      </c>
      <c r="S2192">
        <v>0.86300659999999896</v>
      </c>
      <c r="T2192">
        <v>-0.19369529999999999</v>
      </c>
      <c r="U2192">
        <v>-2.9513850000000001</v>
      </c>
      <c r="V2192">
        <v>-0.16986399999999999</v>
      </c>
      <c r="W2192">
        <v>0.1525251</v>
      </c>
      <c r="X2192">
        <v>0.97359249999999997</v>
      </c>
      <c r="Y2192">
        <v>-0.26607920000000002</v>
      </c>
      <c r="Z2192">
        <v>5.2268389999999998E-2</v>
      </c>
      <c r="AA2192">
        <v>0.96253310000000003</v>
      </c>
      <c r="AB2192">
        <v>29</v>
      </c>
      <c r="AC2192">
        <v>4.9941000000000004</v>
      </c>
      <c r="AD2192">
        <v>-1.122209530356</v>
      </c>
      <c r="AE2192">
        <v>-16.795499999999901</v>
      </c>
      <c r="AF2192">
        <v>-4.7281527009462998</v>
      </c>
      <c r="AG2192">
        <v>-1.122209530356</v>
      </c>
      <c r="AH2192">
        <v>16.7979501999374</v>
      </c>
      <c r="AI2192">
        <v>93.679479604753396</v>
      </c>
      <c r="AJ2192">
        <v>105.720424615133</v>
      </c>
      <c r="AK2192">
        <v>17.4867353474874</v>
      </c>
      <c r="AL2192">
        <v>81.226711913118606</v>
      </c>
      <c r="AM2192">
        <v>99.896853630539496</v>
      </c>
      <c r="AN2192">
        <v>1.0000000203411199</v>
      </c>
    </row>
    <row r="2193" spans="1:40" x14ac:dyDescent="0.25">
      <c r="A2193" t="str">
        <f>"20190303162547799"</f>
        <v>20190303162547799</v>
      </c>
      <c r="B2193" t="str">
        <f>"1551601547785616"</f>
        <v>1551601547785616</v>
      </c>
      <c r="C2193" t="s">
        <v>40</v>
      </c>
      <c r="D2193">
        <v>4.7636479999999999</v>
      </c>
      <c r="E2193">
        <v>0.45925349999999998</v>
      </c>
      <c r="F2193" t="s">
        <v>46</v>
      </c>
      <c r="G2193">
        <v>-487.4796</v>
      </c>
      <c r="H2193" s="1">
        <v>4.408407E-6</v>
      </c>
      <c r="I2193">
        <v>224.20949999999999</v>
      </c>
      <c r="J2193">
        <v>-492.50299999999999</v>
      </c>
      <c r="K2193">
        <v>1.12222</v>
      </c>
      <c r="L2193">
        <v>240.86519999999999</v>
      </c>
      <c r="M2193">
        <v>1.6656259999999999E-2</v>
      </c>
      <c r="N2193">
        <v>-1.0759090000000001E-2</v>
      </c>
      <c r="O2193">
        <v>-0.99980349999999996</v>
      </c>
      <c r="P2193">
        <v>0.18871019999999999</v>
      </c>
      <c r="Q2193">
        <v>0.14262839999999999</v>
      </c>
      <c r="R2193">
        <v>-0.97162020000000004</v>
      </c>
      <c r="S2193">
        <v>0.87399289999999996</v>
      </c>
      <c r="T2193">
        <v>-0.1949863</v>
      </c>
      <c r="U2193">
        <v>-2.9481199999999999</v>
      </c>
      <c r="V2193">
        <v>-0.17303829999999901</v>
      </c>
      <c r="W2193">
        <v>0.15249679999999999</v>
      </c>
      <c r="X2193">
        <v>0.97303770000000001</v>
      </c>
      <c r="Y2193">
        <v>-0.26772180000000001</v>
      </c>
      <c r="Z2193">
        <v>5.2704609999999999E-2</v>
      </c>
      <c r="AA2193">
        <v>0.96205370000000001</v>
      </c>
      <c r="AB2193">
        <v>29</v>
      </c>
      <c r="AC2193">
        <v>5.0234000000000298</v>
      </c>
      <c r="AD2193">
        <v>-1.1222155915930001</v>
      </c>
      <c r="AE2193">
        <v>-16.6556999999999</v>
      </c>
      <c r="AF2193">
        <v>-4.7256012792789299</v>
      </c>
      <c r="AG2193">
        <v>-1.1222155915930001</v>
      </c>
      <c r="AH2193">
        <v>16.667707746452599</v>
      </c>
      <c r="AI2193">
        <v>93.706192184196198</v>
      </c>
      <c r="AJ2193">
        <v>105.82900727956201</v>
      </c>
      <c r="AK2193">
        <v>17.360966470962701</v>
      </c>
      <c r="AL2193">
        <v>81.228351923219094</v>
      </c>
      <c r="AM2193">
        <v>100.08366997265099</v>
      </c>
      <c r="AN2193">
        <v>0.99999994644920798</v>
      </c>
    </row>
    <row r="2194" spans="1:40" x14ac:dyDescent="0.25">
      <c r="A2194" t="str">
        <f>"20190303162547824"</f>
        <v>20190303162547824</v>
      </c>
      <c r="B2194" t="str">
        <f>"1551601547816847"</f>
        <v>1551601547816847</v>
      </c>
      <c r="C2194" t="s">
        <v>40</v>
      </c>
      <c r="D2194">
        <v>4.8148650000000002</v>
      </c>
      <c r="E2194">
        <v>0.45965080000000003</v>
      </c>
      <c r="F2194" t="s">
        <v>46</v>
      </c>
      <c r="G2194">
        <v>-487.43520000000001</v>
      </c>
      <c r="H2194" s="1">
        <v>4.3463539999999996E-6</v>
      </c>
      <c r="I2194">
        <v>224.041</v>
      </c>
      <c r="J2194">
        <v>-492.49520000000001</v>
      </c>
      <c r="K2194">
        <v>1.1222240000000001</v>
      </c>
      <c r="L2194">
        <v>240.53970000000001</v>
      </c>
      <c r="M2194">
        <v>1.8753800000000001E-2</v>
      </c>
      <c r="N2194">
        <v>-1.076146E-2</v>
      </c>
      <c r="O2194">
        <v>-0.9997663</v>
      </c>
      <c r="P2194">
        <v>0.1943993</v>
      </c>
      <c r="Q2194">
        <v>0.1426895</v>
      </c>
      <c r="R2194">
        <v>-0.97048900000000005</v>
      </c>
      <c r="S2194">
        <v>0.88687130000000003</v>
      </c>
      <c r="T2194">
        <v>-0.1963878</v>
      </c>
      <c r="U2194">
        <v>-2.944229</v>
      </c>
      <c r="V2194">
        <v>-0.17670369999999999</v>
      </c>
      <c r="W2194">
        <v>0.1525387</v>
      </c>
      <c r="X2194">
        <v>0.97237220000000002</v>
      </c>
      <c r="Y2194">
        <v>-0.26990039999999998</v>
      </c>
      <c r="Z2194">
        <v>5.3178320000000001E-2</v>
      </c>
      <c r="AA2194">
        <v>0.96141869999999996</v>
      </c>
      <c r="AB2194">
        <v>29</v>
      </c>
      <c r="AC2194">
        <v>5.0599999999999996</v>
      </c>
      <c r="AD2194">
        <v>-1.1222196536459901</v>
      </c>
      <c r="AE2194">
        <v>-16.498699999999999</v>
      </c>
      <c r="AF2194">
        <v>-4.7296780093427504</v>
      </c>
      <c r="AG2194">
        <v>-1.1222196536459901</v>
      </c>
      <c r="AH2194">
        <v>16.520834755026801</v>
      </c>
      <c r="AI2194">
        <v>93.7363434311887</v>
      </c>
      <c r="AJ2194">
        <v>105.97565769192001</v>
      </c>
      <c r="AK2194">
        <v>17.2211269092934</v>
      </c>
      <c r="AL2194">
        <v>81.225923054395906</v>
      </c>
      <c r="AM2194">
        <v>100.299641910603</v>
      </c>
      <c r="AN2194">
        <v>0.99999997396210905</v>
      </c>
    </row>
    <row r="2195" spans="1:40" x14ac:dyDescent="0.25">
      <c r="A2195" t="str">
        <f>"20190303162547844"</f>
        <v>20190303162547844</v>
      </c>
      <c r="B2195" t="str">
        <f>"1551601547835392"</f>
        <v>1551601547835392</v>
      </c>
      <c r="C2195" t="s">
        <v>40</v>
      </c>
      <c r="D2195">
        <v>4.7148389999999996</v>
      </c>
      <c r="E2195">
        <v>0.45960960000000001</v>
      </c>
      <c r="F2195" t="s">
        <v>46</v>
      </c>
      <c r="G2195">
        <v>-487.35090000000002</v>
      </c>
      <c r="H2195" s="1">
        <v>4.2344179999999997E-6</v>
      </c>
      <c r="I2195">
        <v>223.74</v>
      </c>
      <c r="J2195">
        <v>-492.48849999999999</v>
      </c>
      <c r="K2195">
        <v>1.1222240000000001</v>
      </c>
      <c r="L2195">
        <v>240.27619999999999</v>
      </c>
      <c r="M2195">
        <v>2.0452370000000001E-2</v>
      </c>
      <c r="N2195">
        <v>-1.07635E-2</v>
      </c>
      <c r="O2195">
        <v>-0.99973319999999999</v>
      </c>
      <c r="P2195">
        <v>0.19970099999999999</v>
      </c>
      <c r="Q2195">
        <v>0.14275079999999901</v>
      </c>
      <c r="R2195">
        <v>-0.96940300000000001</v>
      </c>
      <c r="S2195">
        <v>0.90020750000000005</v>
      </c>
      <c r="T2195">
        <v>-0.19637869999999999</v>
      </c>
      <c r="U2195">
        <v>-2.9398040000000001</v>
      </c>
      <c r="V2195">
        <v>-0.18037300000000001</v>
      </c>
      <c r="W2195">
        <v>0.15258070000000001</v>
      </c>
      <c r="X2195">
        <v>0.97169170000000005</v>
      </c>
      <c r="Y2195">
        <v>-0.27265430000000002</v>
      </c>
      <c r="Z2195">
        <v>5.3198660000000002E-2</v>
      </c>
      <c r="AA2195">
        <v>0.96064020000000006</v>
      </c>
      <c r="AB2195">
        <v>29</v>
      </c>
      <c r="AC2195">
        <v>5.13759999999996</v>
      </c>
      <c r="AD2195">
        <v>-1.1222197655820001</v>
      </c>
      <c r="AE2195">
        <v>-16.536199999999901</v>
      </c>
      <c r="AF2195">
        <v>-4.7782319662907797</v>
      </c>
      <c r="AG2195">
        <v>-1.1222197655820001</v>
      </c>
      <c r="AH2195">
        <v>16.568233744004399</v>
      </c>
      <c r="AI2195">
        <v>93.723603267208503</v>
      </c>
      <c r="AJ2195">
        <v>106.087412331959</v>
      </c>
      <c r="AK2195">
        <v>17.2799666470139</v>
      </c>
      <c r="AL2195">
        <v>81.223488575986096</v>
      </c>
      <c r="AM2195">
        <v>100.51599460592701</v>
      </c>
      <c r="AN2195">
        <v>1.0000000244951801</v>
      </c>
    </row>
    <row r="2196" spans="1:40" x14ac:dyDescent="0.25">
      <c r="A2196" t="str">
        <f>"20190303162547863"</f>
        <v>20190303162547863</v>
      </c>
      <c r="B2196" t="str">
        <f>"1551601547855888"</f>
        <v>1551601547855888</v>
      </c>
      <c r="C2196" t="s">
        <v>40</v>
      </c>
      <c r="D2196">
        <v>4.6834020000000001</v>
      </c>
      <c r="E2196">
        <v>0.41995349999999998</v>
      </c>
      <c r="F2196" t="s">
        <v>46</v>
      </c>
      <c r="G2196">
        <v>-487.2158</v>
      </c>
      <c r="H2196" s="1">
        <v>4.0982680000000002E-6</v>
      </c>
      <c r="I2196">
        <v>223.3972</v>
      </c>
      <c r="J2196">
        <v>-492.48129999999998</v>
      </c>
      <c r="K2196">
        <v>1.122228</v>
      </c>
      <c r="L2196">
        <v>240.01400000000001</v>
      </c>
      <c r="M2196">
        <v>2.2147509999999999E-2</v>
      </c>
      <c r="N2196">
        <v>-1.0765739999999999E-2</v>
      </c>
      <c r="O2196">
        <v>-0.99969669999999999</v>
      </c>
      <c r="P2196">
        <v>0.20384269999999999</v>
      </c>
      <c r="Q2196">
        <v>0.14135980000000001</v>
      </c>
      <c r="R2196">
        <v>-0.96874420000000006</v>
      </c>
      <c r="S2196">
        <v>0.91671749999999996</v>
      </c>
      <c r="T2196">
        <v>-0.19510959999999999</v>
      </c>
      <c r="U2196">
        <v>-2.9345859999999999</v>
      </c>
      <c r="V2196">
        <v>-0.1828745</v>
      </c>
      <c r="W2196">
        <v>0.1511786</v>
      </c>
      <c r="X2196">
        <v>0.97144319999999895</v>
      </c>
      <c r="Y2196">
        <v>-0.27643640000000003</v>
      </c>
      <c r="Z2196">
        <v>5.2805879999999999E-2</v>
      </c>
      <c r="AA2196">
        <v>0.9595804</v>
      </c>
      <c r="AB2196">
        <v>29</v>
      </c>
      <c r="AC2196">
        <v>5.2654999999999701</v>
      </c>
      <c r="AD2196">
        <v>-1.1222239017319999</v>
      </c>
      <c r="AE2196">
        <v>-16.616800000000001</v>
      </c>
      <c r="AF2196">
        <v>-4.8759560887557996</v>
      </c>
      <c r="AG2196">
        <v>-1.1222239017319999</v>
      </c>
      <c r="AH2196">
        <v>16.660293681486099</v>
      </c>
      <c r="AI2196">
        <v>93.698874482935494</v>
      </c>
      <c r="AJ2196">
        <v>106.31313199934699</v>
      </c>
      <c r="AK2196">
        <v>17.3953936379278</v>
      </c>
      <c r="AL2196">
        <v>81.304765426447403</v>
      </c>
      <c r="AM2196">
        <v>100.661180135031</v>
      </c>
      <c r="AN2196">
        <v>0.99999997133722396</v>
      </c>
    </row>
    <row r="2197" spans="1:40" x14ac:dyDescent="0.25">
      <c r="A2197" t="str">
        <f>"20190303162547886"</f>
        <v>20190303162547886</v>
      </c>
      <c r="B2197" t="str">
        <f>"1551601547875408"</f>
        <v>1551601547875408</v>
      </c>
      <c r="C2197" t="s">
        <v>40</v>
      </c>
      <c r="D2197">
        <v>4.6632619999999996</v>
      </c>
      <c r="E2197">
        <v>0.4136879</v>
      </c>
      <c r="F2197" t="s">
        <v>46</v>
      </c>
      <c r="G2197">
        <v>-486.19229999999999</v>
      </c>
      <c r="H2197" s="1">
        <v>4.4353730000000002E-6</v>
      </c>
      <c r="I2197">
        <v>225.45930000000001</v>
      </c>
      <c r="J2197">
        <v>-492.47300000000001</v>
      </c>
      <c r="K2197">
        <v>1.1222350000000001</v>
      </c>
      <c r="L2197">
        <v>239.72720000000001</v>
      </c>
      <c r="M2197">
        <v>2.4015740000000001E-2</v>
      </c>
      <c r="N2197">
        <v>-1.076834E-2</v>
      </c>
      <c r="O2197">
        <v>-0.99965360000000003</v>
      </c>
      <c r="P2197">
        <v>0.2074154</v>
      </c>
      <c r="Q2197">
        <v>0.14058039999999999</v>
      </c>
      <c r="R2197">
        <v>-0.96809920000000005</v>
      </c>
      <c r="S2197">
        <v>1.2393799999999999</v>
      </c>
      <c r="T2197">
        <v>-0.2211555</v>
      </c>
      <c r="U2197">
        <v>-2.868271</v>
      </c>
      <c r="V2197">
        <v>-0.184644</v>
      </c>
      <c r="W2197">
        <v>0.15038799999999999</v>
      </c>
      <c r="X2197">
        <v>0.97123119999999996</v>
      </c>
      <c r="Y2197">
        <v>-0.37361739999999999</v>
      </c>
      <c r="Z2197">
        <v>6.022015E-2</v>
      </c>
      <c r="AA2197">
        <v>0.92562599999999995</v>
      </c>
      <c r="AB2197">
        <v>29</v>
      </c>
      <c r="AC2197">
        <v>6.2807000000000199</v>
      </c>
      <c r="AD2197">
        <v>-1.1222305646269899</v>
      </c>
      <c r="AE2197">
        <v>-14.2678999999999</v>
      </c>
      <c r="AF2197">
        <v>-5.9056096806473599</v>
      </c>
      <c r="AG2197">
        <v>-1.1222305646269899</v>
      </c>
      <c r="AH2197">
        <v>14.3403130948279</v>
      </c>
      <c r="AI2197">
        <v>94.138777748898207</v>
      </c>
      <c r="AJ2197">
        <v>112.382782147341</v>
      </c>
      <c r="AK2197">
        <v>15.5492831602627</v>
      </c>
      <c r="AL2197">
        <v>81.3505876166424</v>
      </c>
      <c r="AM2197">
        <v>100.764234181737</v>
      </c>
      <c r="AN2197">
        <v>1.00000000056672</v>
      </c>
    </row>
    <row r="2198" spans="1:40" x14ac:dyDescent="0.25">
      <c r="A2198" t="str">
        <f>"20190303162547909"</f>
        <v>20190303162547909</v>
      </c>
      <c r="B2198" t="str">
        <f>"1551601547905663"</f>
        <v>1551601547905663</v>
      </c>
      <c r="C2198" t="s">
        <v>40</v>
      </c>
      <c r="D2198">
        <v>4.56731</v>
      </c>
      <c r="E2198">
        <v>0.41262549999999998</v>
      </c>
      <c r="F2198" t="s">
        <v>46</v>
      </c>
      <c r="G2198">
        <v>-485.74169999999998</v>
      </c>
      <c r="H2198" s="1">
        <v>4.2201100000000003E-6</v>
      </c>
      <c r="I2198">
        <v>224.9376</v>
      </c>
      <c r="J2198">
        <v>-492.46339999999998</v>
      </c>
      <c r="K2198">
        <v>1.1222589999999999</v>
      </c>
      <c r="L2198">
        <v>239.42099999999999</v>
      </c>
      <c r="M2198">
        <v>2.6040199999999999E-2</v>
      </c>
      <c r="N2198">
        <v>-1.0771380000000001E-2</v>
      </c>
      <c r="O2198">
        <v>-0.99960289999999996</v>
      </c>
      <c r="P2198">
        <v>0.2111914</v>
      </c>
      <c r="Q2198">
        <v>0.14157620000000001</v>
      </c>
      <c r="R2198">
        <v>-0.96713720000000003</v>
      </c>
      <c r="S2198">
        <v>1.2981259999999999</v>
      </c>
      <c r="T2198">
        <v>-0.21642210000000001</v>
      </c>
      <c r="U2198">
        <v>-2.8521730000000001</v>
      </c>
      <c r="V2198">
        <v>-0.18648419999999999</v>
      </c>
      <c r="W2198">
        <v>0.15136520000000001</v>
      </c>
      <c r="X2198">
        <v>0.97072769999999997</v>
      </c>
      <c r="Y2198">
        <v>-0.38953710000000003</v>
      </c>
      <c r="Z2198">
        <v>5.8551840000000001E-2</v>
      </c>
      <c r="AA2198">
        <v>0.91914770000000001</v>
      </c>
      <c r="AB2198">
        <v>29</v>
      </c>
      <c r="AC2198">
        <v>6.7216999999999896</v>
      </c>
      <c r="AD2198">
        <v>-1.12225477989</v>
      </c>
      <c r="AE2198">
        <v>-14.4833999999999</v>
      </c>
      <c r="AF2198">
        <v>-6.3110711386171801</v>
      </c>
      <c r="AG2198">
        <v>-1.12225477989</v>
      </c>
      <c r="AH2198">
        <v>14.581499886209</v>
      </c>
      <c r="AI2198">
        <v>94.040228716040502</v>
      </c>
      <c r="AJ2198">
        <v>113.403616205573</v>
      </c>
      <c r="AK2198">
        <v>15.9282520585024</v>
      </c>
      <c r="AL2198">
        <v>81.293950029599301</v>
      </c>
      <c r="AM2198">
        <v>100.874472841819</v>
      </c>
      <c r="AN2198">
        <v>1.0000000240839799</v>
      </c>
    </row>
    <row r="2199" spans="1:40" x14ac:dyDescent="0.25">
      <c r="A2199" t="str">
        <f>"20190303162547931"</f>
        <v>20190303162547931</v>
      </c>
      <c r="B2199" t="str">
        <f>"1551601547925184"</f>
        <v>1551601547925184</v>
      </c>
      <c r="C2199" t="s">
        <v>40</v>
      </c>
      <c r="D2199">
        <v>4.5858439999999998</v>
      </c>
      <c r="E2199">
        <v>0.41281259999999997</v>
      </c>
      <c r="F2199" t="s">
        <v>46</v>
      </c>
      <c r="G2199">
        <v>-485.37560000000002</v>
      </c>
      <c r="H2199" s="1">
        <v>3.91712499999999E-6</v>
      </c>
      <c r="I2199">
        <v>224.12950000000001</v>
      </c>
      <c r="J2199">
        <v>-492.45420000000001</v>
      </c>
      <c r="K2199">
        <v>1.1222799999999999</v>
      </c>
      <c r="L2199">
        <v>239.1439</v>
      </c>
      <c r="M2199">
        <v>2.7912119999999999E-2</v>
      </c>
      <c r="N2199">
        <v>-1.077739E-2</v>
      </c>
      <c r="O2199">
        <v>-0.99955260000000001</v>
      </c>
      <c r="P2199">
        <v>0.2144712</v>
      </c>
      <c r="Q2199">
        <v>0.14341699999999999</v>
      </c>
      <c r="R2199">
        <v>-0.96614409999999895</v>
      </c>
      <c r="S2199">
        <v>1.3185119999999999</v>
      </c>
      <c r="T2199">
        <v>-0.2087685</v>
      </c>
      <c r="U2199">
        <v>-2.8446039999999999</v>
      </c>
      <c r="V2199">
        <v>-0.1879876</v>
      </c>
      <c r="W2199">
        <v>0.15318670000000001</v>
      </c>
      <c r="X2199">
        <v>0.97015180000000001</v>
      </c>
      <c r="Y2199">
        <v>-0.39422849999999998</v>
      </c>
      <c r="Z2199">
        <v>5.6104210000000002E-2</v>
      </c>
      <c r="AA2199">
        <v>0.91729830000000001</v>
      </c>
      <c r="AB2199">
        <v>29</v>
      </c>
      <c r="AC2199">
        <v>7.07859999999999</v>
      </c>
      <c r="AD2199">
        <v>-1.122276082875</v>
      </c>
      <c r="AE2199">
        <v>-15.014399999999901</v>
      </c>
      <c r="AF2199">
        <v>-6.6264439262727404</v>
      </c>
      <c r="AG2199">
        <v>-1.122276082875</v>
      </c>
      <c r="AH2199">
        <v>15.136947714797699</v>
      </c>
      <c r="AI2199">
        <v>93.885484414359297</v>
      </c>
      <c r="AJ2199">
        <v>113.642177781882</v>
      </c>
      <c r="AK2199">
        <v>16.561897501033801</v>
      </c>
      <c r="AL2199">
        <v>81.188354163680003</v>
      </c>
      <c r="AM2199">
        <v>100.96637432095</v>
      </c>
      <c r="AN2199">
        <v>1.0000000089269401</v>
      </c>
    </row>
    <row r="2200" spans="1:40" x14ac:dyDescent="0.25">
      <c r="A2200" t="str">
        <f>"20190303162547953"</f>
        <v>20190303162547953</v>
      </c>
      <c r="B2200" t="str">
        <f>"1551601547945680"</f>
        <v>1551601547945680</v>
      </c>
      <c r="C2200" t="s">
        <v>40</v>
      </c>
      <c r="D2200">
        <v>4.5015839999999896</v>
      </c>
      <c r="E2200">
        <v>0.41325469999999997</v>
      </c>
      <c r="F2200" t="s">
        <v>46</v>
      </c>
      <c r="G2200">
        <v>-484.98919999999998</v>
      </c>
      <c r="H2200" s="1">
        <v>3.5335550000000002E-6</v>
      </c>
      <c r="I2200">
        <v>223.16800000000001</v>
      </c>
      <c r="J2200">
        <v>-492.44380000000001</v>
      </c>
      <c r="K2200">
        <v>1.1223240000000001</v>
      </c>
      <c r="L2200">
        <v>238.84950000000001</v>
      </c>
      <c r="M2200">
        <v>2.9962119999999998E-2</v>
      </c>
      <c r="N2200">
        <v>-1.078895E-2</v>
      </c>
      <c r="O2200">
        <v>-0.99949290000000002</v>
      </c>
      <c r="P2200">
        <v>0.21724669999999999</v>
      </c>
      <c r="Q2200">
        <v>0.1436626</v>
      </c>
      <c r="R2200">
        <v>-0.96548690000000004</v>
      </c>
      <c r="S2200">
        <v>1.327118</v>
      </c>
      <c r="T2200">
        <v>-0.19951559999999999</v>
      </c>
      <c r="U2200">
        <v>-2.8401640000000001</v>
      </c>
      <c r="V2200">
        <v>-0.18880649999999999</v>
      </c>
      <c r="W2200">
        <v>0.1534171</v>
      </c>
      <c r="X2200">
        <v>0.96995629999999999</v>
      </c>
      <c r="Y2200">
        <v>-0.39524809999999999</v>
      </c>
      <c r="Z2200">
        <v>5.318001E-2</v>
      </c>
      <c r="AA2200">
        <v>0.91703369999999995</v>
      </c>
      <c r="AB2200">
        <v>29</v>
      </c>
      <c r="AC2200">
        <v>7.4546000000000197</v>
      </c>
      <c r="AD2200">
        <v>-1.1223204664449999</v>
      </c>
      <c r="AE2200">
        <v>-15.6815</v>
      </c>
      <c r="AF2200">
        <v>-6.9523272357776102</v>
      </c>
      <c r="AG2200">
        <v>-1.1223204664449999</v>
      </c>
      <c r="AH2200">
        <v>15.8316816400548</v>
      </c>
      <c r="AI2200">
        <v>93.713742921517607</v>
      </c>
      <c r="AJ2200">
        <v>113.708207029742</v>
      </c>
      <c r="AK2200">
        <v>17.3273368056024</v>
      </c>
      <c r="AL2200">
        <v>81.174994893141502</v>
      </c>
      <c r="AM2200">
        <v>101.015145279103</v>
      </c>
      <c r="AN2200">
        <v>0.99999996246217404</v>
      </c>
    </row>
    <row r="2201" spans="1:40" x14ac:dyDescent="0.25">
      <c r="A2201" t="str">
        <f>"20190303162547976"</f>
        <v>20190303162547976</v>
      </c>
      <c r="B2201" t="str">
        <f>"1551601547965200"</f>
        <v>1551601547965200</v>
      </c>
      <c r="C2201" t="s">
        <v>40</v>
      </c>
      <c r="D2201">
        <v>4.5475859999999999</v>
      </c>
      <c r="E2201">
        <v>0.41368090000000002</v>
      </c>
      <c r="F2201" t="s">
        <v>46</v>
      </c>
      <c r="G2201">
        <v>-484.65660000000003</v>
      </c>
      <c r="H2201" s="1">
        <v>3.183167E-6</v>
      </c>
      <c r="I2201">
        <v>222.2749</v>
      </c>
      <c r="J2201">
        <v>-492.43259999999998</v>
      </c>
      <c r="K2201">
        <v>1.122385</v>
      </c>
      <c r="L2201">
        <v>238.55</v>
      </c>
      <c r="M2201">
        <v>3.2129190000000002E-2</v>
      </c>
      <c r="N2201">
        <v>-1.080739E-2</v>
      </c>
      <c r="O2201">
        <v>-0.99942549999999997</v>
      </c>
      <c r="P2201">
        <v>0.21963659999999999</v>
      </c>
      <c r="Q2201">
        <v>0.14234849999999999</v>
      </c>
      <c r="R2201">
        <v>-0.96514089999999997</v>
      </c>
      <c r="S2201">
        <v>1.3324279999999999</v>
      </c>
      <c r="T2201">
        <v>-0.19203410000000001</v>
      </c>
      <c r="U2201">
        <v>-2.8359830000000001</v>
      </c>
      <c r="V2201">
        <v>-0.1891167</v>
      </c>
      <c r="W2201">
        <v>0.152092899999999</v>
      </c>
      <c r="X2201">
        <v>0.97010450000000004</v>
      </c>
      <c r="Y2201">
        <v>-0.39523940000000002</v>
      </c>
      <c r="Z2201">
        <v>5.0832700000000001E-2</v>
      </c>
      <c r="AA2201">
        <v>0.9171705</v>
      </c>
      <c r="AB2201">
        <v>29</v>
      </c>
      <c r="AC2201">
        <v>7.7759999999999501</v>
      </c>
      <c r="AD2201">
        <v>-1.122381816833</v>
      </c>
      <c r="AE2201">
        <v>-16.275099999999998</v>
      </c>
      <c r="AF2201">
        <v>-7.22108859724539</v>
      </c>
      <c r="AG2201">
        <v>-1.122381816833</v>
      </c>
      <c r="AH2201">
        <v>16.452842052972201</v>
      </c>
      <c r="AI2201">
        <v>93.574419894175094</v>
      </c>
      <c r="AJ2201">
        <v>113.69648410813799</v>
      </c>
      <c r="AK2201">
        <v>18.0027740387996</v>
      </c>
      <c r="AL2201">
        <v>81.251767811923301</v>
      </c>
      <c r="AM2201">
        <v>101.031154834041</v>
      </c>
      <c r="AN2201">
        <v>1.0000000586847699</v>
      </c>
    </row>
    <row r="2202" spans="1:40" x14ac:dyDescent="0.25">
      <c r="A2202" t="str">
        <f>"20190303162547997"</f>
        <v>20190303162547997</v>
      </c>
      <c r="B2202" t="str">
        <f>"1551601547985695"</f>
        <v>1551601547985695</v>
      </c>
      <c r="C2202" t="s">
        <v>40</v>
      </c>
      <c r="D2202">
        <v>4.5526849999999897</v>
      </c>
      <c r="E2202">
        <v>0.41414410000000001</v>
      </c>
      <c r="F2202" t="s">
        <v>46</v>
      </c>
      <c r="G2202">
        <v>-484.90820000000002</v>
      </c>
      <c r="H2202" s="1">
        <v>3.3374169999999998E-6</v>
      </c>
      <c r="I2202">
        <v>222.59280000000001</v>
      </c>
      <c r="J2202">
        <v>-492.42160000000001</v>
      </c>
      <c r="K2202">
        <v>1.12246</v>
      </c>
      <c r="L2202">
        <v>238.2758</v>
      </c>
      <c r="M2202">
        <v>3.4208210000000003E-2</v>
      </c>
      <c r="N2202">
        <v>-1.0833209999999999E-2</v>
      </c>
      <c r="O2202">
        <v>-0.99935600000000002</v>
      </c>
      <c r="P2202">
        <v>0.22259380000000001</v>
      </c>
      <c r="Q2202">
        <v>0.14115920000000001</v>
      </c>
      <c r="R2202">
        <v>-0.96463770000000004</v>
      </c>
      <c r="S2202">
        <v>1.336182</v>
      </c>
      <c r="T2202">
        <v>-0.1993124</v>
      </c>
      <c r="U2202">
        <v>-2.8336790000000001</v>
      </c>
      <c r="V2202">
        <v>-0.1900887</v>
      </c>
      <c r="W2202">
        <v>0.15089249999999901</v>
      </c>
      <c r="X2202">
        <v>0.97010200000000002</v>
      </c>
      <c r="Y2202">
        <v>-0.39455400000000002</v>
      </c>
      <c r="Z2202">
        <v>5.3169139999999997E-2</v>
      </c>
      <c r="AA2202">
        <v>0.91733319999999996</v>
      </c>
      <c r="AB2202">
        <v>29</v>
      </c>
      <c r="AC2202">
        <v>7.5133999999999901</v>
      </c>
      <c r="AD2202">
        <v>-1.1224566625829999</v>
      </c>
      <c r="AE2202">
        <v>-15.6829999999999</v>
      </c>
      <c r="AF2202">
        <v>-6.9435545992192402</v>
      </c>
      <c r="AG2202">
        <v>-1.1224566625829999</v>
      </c>
      <c r="AH2202">
        <v>15.8647584434915</v>
      </c>
      <c r="AI2202">
        <v>93.708466667832894</v>
      </c>
      <c r="AJ2202">
        <v>113.63763078119</v>
      </c>
      <c r="AK2202">
        <v>17.354060617102</v>
      </c>
      <c r="AL2202">
        <v>81.321348889268293</v>
      </c>
      <c r="AM2202">
        <v>101.086478190519</v>
      </c>
      <c r="AN2202">
        <v>1.00000007541396</v>
      </c>
    </row>
    <row r="2203" spans="1:40" x14ac:dyDescent="0.25">
      <c r="A2203" t="str">
        <f>"20190303162548021"</f>
        <v>20190303162548021</v>
      </c>
      <c r="B2203" t="str">
        <f>"1551601548014976"</f>
        <v>1551601548014976</v>
      </c>
      <c r="C2203" t="s">
        <v>40</v>
      </c>
      <c r="D2203">
        <v>4.492648</v>
      </c>
      <c r="E2203">
        <v>0.41475070000000003</v>
      </c>
      <c r="F2203" t="s">
        <v>46</v>
      </c>
      <c r="G2203">
        <v>-485.1832</v>
      </c>
      <c r="H2203" s="1">
        <v>3.5208069999999998E-6</v>
      </c>
      <c r="I2203">
        <v>222.988</v>
      </c>
      <c r="J2203">
        <v>-492.40839999999997</v>
      </c>
      <c r="K2203">
        <v>1.122568</v>
      </c>
      <c r="L2203">
        <v>237.96690000000001</v>
      </c>
      <c r="M2203">
        <v>3.6678339999999997E-2</v>
      </c>
      <c r="N2203">
        <v>-1.087925E-2</v>
      </c>
      <c r="O2203">
        <v>-0.99926800000000005</v>
      </c>
      <c r="P2203">
        <v>0.2265199</v>
      </c>
      <c r="Q2203">
        <v>0.14103019999999999</v>
      </c>
      <c r="R2203">
        <v>-0.9637424</v>
      </c>
      <c r="S2203">
        <v>1.340454</v>
      </c>
      <c r="T2203">
        <v>-0.20786299999999999</v>
      </c>
      <c r="U2203">
        <v>-2.8310849999999999</v>
      </c>
      <c r="V2203">
        <v>-0.1916764</v>
      </c>
      <c r="W2203">
        <v>0.15075569999999999</v>
      </c>
      <c r="X2203">
        <v>0.96981070000000003</v>
      </c>
      <c r="Y2203">
        <v>-0.39366950000000001</v>
      </c>
      <c r="Z2203">
        <v>5.5898929999999999E-2</v>
      </c>
      <c r="AA2203">
        <v>0.91755089999999995</v>
      </c>
      <c r="AB2203">
        <v>29</v>
      </c>
      <c r="AC2203">
        <v>7.2251999999999699</v>
      </c>
      <c r="AD2203">
        <v>-1.1225644791930001</v>
      </c>
      <c r="AE2203">
        <v>-14.978899999999999</v>
      </c>
      <c r="AF2203">
        <v>-6.6406470688714103</v>
      </c>
      <c r="AG2203">
        <v>-1.1225644791930001</v>
      </c>
      <c r="AH2203">
        <v>15.1647481255205</v>
      </c>
      <c r="AI2203">
        <v>93.879186310250802</v>
      </c>
      <c r="AJ2203">
        <v>113.648623510592</v>
      </c>
      <c r="AK2203">
        <v>16.593008473864298</v>
      </c>
      <c r="AL2203">
        <v>81.329276630948797</v>
      </c>
      <c r="AM2203">
        <v>101.180027645496</v>
      </c>
      <c r="AN2203">
        <v>0.999999958616969</v>
      </c>
    </row>
    <row r="2204" spans="1:40" x14ac:dyDescent="0.25">
      <c r="A2204" t="str">
        <f>"20190303162548043"</f>
        <v>20190303162548043</v>
      </c>
      <c r="B2204" t="str">
        <f>"1551601548035472"</f>
        <v>1551601548035472</v>
      </c>
      <c r="C2204" t="s">
        <v>40</v>
      </c>
      <c r="D2204">
        <v>4.6300790000000003</v>
      </c>
      <c r="E2204">
        <v>0.41485040000000001</v>
      </c>
      <c r="F2204" t="s">
        <v>42</v>
      </c>
      <c r="G2204">
        <v>-491.9366</v>
      </c>
      <c r="H2204">
        <v>1.047258</v>
      </c>
      <c r="I2204">
        <v>236.97579999999999</v>
      </c>
      <c r="J2204">
        <v>-492.39510000000001</v>
      </c>
      <c r="K2204">
        <v>1.122673</v>
      </c>
      <c r="L2204">
        <v>237.6755</v>
      </c>
      <c r="M2204">
        <v>3.913167E-2</v>
      </c>
      <c r="N2204">
        <v>-1.0930540000000001E-2</v>
      </c>
      <c r="O2204">
        <v>-0.99917420000000001</v>
      </c>
      <c r="P2204">
        <v>0.23048150000000001</v>
      </c>
      <c r="Q2204">
        <v>0.14200950000000001</v>
      </c>
      <c r="R2204">
        <v>-0.96265849999999997</v>
      </c>
      <c r="S2204">
        <v>1.346527</v>
      </c>
      <c r="T2204">
        <v>-0.21483969999999999</v>
      </c>
      <c r="U2204">
        <v>-2.8277739999999998</v>
      </c>
      <c r="V2204">
        <v>-0.19333030000000001</v>
      </c>
      <c r="W2204">
        <v>0.15172910000000001</v>
      </c>
      <c r="X2204">
        <v>0.96933049999999998</v>
      </c>
      <c r="Y2204">
        <v>-0.39337680000000003</v>
      </c>
      <c r="Z2204">
        <v>5.8119659999999997E-2</v>
      </c>
      <c r="AA2204">
        <v>0.91753850000000003</v>
      </c>
      <c r="AB2204">
        <v>29</v>
      </c>
      <c r="AC2204">
        <v>0.45850000000001501</v>
      </c>
      <c r="AD2204">
        <v>-7.5414999999999996E-2</v>
      </c>
      <c r="AE2204">
        <v>-0.69970000000000698</v>
      </c>
      <c r="AF2204">
        <v>-0.42729401142304801</v>
      </c>
      <c r="AG2204">
        <v>-7.5414999999999996E-2</v>
      </c>
      <c r="AH2204">
        <v>0.71132587750231602</v>
      </c>
      <c r="AI2204">
        <v>95.192978500552002</v>
      </c>
      <c r="AJ2204">
        <v>120.99327085698199</v>
      </c>
      <c r="AK2204">
        <v>0.833217917730674</v>
      </c>
      <c r="AL2204">
        <v>81.272856002924698</v>
      </c>
      <c r="AM2204">
        <v>101.27947693777099</v>
      </c>
      <c r="AN2204">
        <v>0.99999997145757402</v>
      </c>
    </row>
    <row r="2205" spans="1:40" x14ac:dyDescent="0.25">
      <c r="A2205" t="str">
        <f>"20190303162548065"</f>
        <v>20190303162548065</v>
      </c>
      <c r="B2205" t="str">
        <f>"1551601548055969"</f>
        <v>1551601548055969</v>
      </c>
      <c r="C2205" t="s">
        <v>40</v>
      </c>
      <c r="D2205">
        <v>4.7193019999999999</v>
      </c>
      <c r="E2205">
        <v>0.41471449999999999</v>
      </c>
      <c r="F2205" t="s">
        <v>46</v>
      </c>
      <c r="G2205">
        <v>-485.35930000000002</v>
      </c>
      <c r="H2205" s="1">
        <v>3.5736719999999998E-6</v>
      </c>
      <c r="I2205">
        <v>223.0326</v>
      </c>
      <c r="J2205">
        <v>-492.3811</v>
      </c>
      <c r="K2205">
        <v>1.1227670000000001</v>
      </c>
      <c r="L2205">
        <v>237.38679999999999</v>
      </c>
      <c r="M2205">
        <v>4.1663289999999999E-2</v>
      </c>
      <c r="N2205">
        <v>-1.098028E-2</v>
      </c>
      <c r="O2205">
        <v>-0.99907140000000005</v>
      </c>
      <c r="P2205">
        <v>0.2349164</v>
      </c>
      <c r="Q2205">
        <v>0.1418857</v>
      </c>
      <c r="R2205">
        <v>-0.96160440000000003</v>
      </c>
      <c r="S2205">
        <v>1.3566590000000001</v>
      </c>
      <c r="T2205">
        <v>-0.21647640000000001</v>
      </c>
      <c r="U2205">
        <v>-2.823502</v>
      </c>
      <c r="V2205">
        <v>-0.19537489999999999</v>
      </c>
      <c r="W2205">
        <v>0.15159990000000001</v>
      </c>
      <c r="X2205">
        <v>0.96894069999999999</v>
      </c>
      <c r="Y2205">
        <v>-0.39425070000000001</v>
      </c>
      <c r="Z2205">
        <v>5.8619310000000001E-2</v>
      </c>
      <c r="AA2205">
        <v>0.91713149999999999</v>
      </c>
      <c r="AB2205">
        <v>29</v>
      </c>
      <c r="AC2205">
        <v>7.0217999999999803</v>
      </c>
      <c r="AD2205">
        <v>-1.122763426328</v>
      </c>
      <c r="AE2205">
        <v>-14.354199999999899</v>
      </c>
      <c r="AF2205">
        <v>-6.3860963755223796</v>
      </c>
      <c r="AG2205">
        <v>-1.122763426328</v>
      </c>
      <c r="AH2205">
        <v>14.5624125144499</v>
      </c>
      <c r="AI2205">
        <v>94.038895186961497</v>
      </c>
      <c r="AJ2205">
        <v>113.67902992764201</v>
      </c>
      <c r="AK2205">
        <v>15.940724038448399</v>
      </c>
      <c r="AL2205">
        <v>81.280345334261099</v>
      </c>
      <c r="AM2205">
        <v>101.40012410279201</v>
      </c>
      <c r="AN2205">
        <v>0.99999998067325402</v>
      </c>
    </row>
    <row r="2206" spans="1:40" x14ac:dyDescent="0.25">
      <c r="A2206" t="str">
        <f>"20190303162548087"</f>
        <v>20190303162548087</v>
      </c>
      <c r="B2206" t="str">
        <f>"1551601548075488"</f>
        <v>1551601548075488</v>
      </c>
      <c r="C2206" t="s">
        <v>40</v>
      </c>
      <c r="D2206">
        <v>4.7371059999999998</v>
      </c>
      <c r="E2206">
        <v>0.37789060000000002</v>
      </c>
      <c r="F2206" t="s">
        <v>46</v>
      </c>
      <c r="G2206">
        <v>-485.2509</v>
      </c>
      <c r="H2206" s="1">
        <v>3.4531660000000002E-6</v>
      </c>
      <c r="I2206">
        <v>222.72110000000001</v>
      </c>
      <c r="J2206">
        <v>-492.36680000000001</v>
      </c>
      <c r="K2206">
        <v>1.1228419999999999</v>
      </c>
      <c r="L2206">
        <v>237.10900000000001</v>
      </c>
      <c r="M2206">
        <v>4.4196550000000001E-2</v>
      </c>
      <c r="N2206">
        <v>-1.1027220000000001E-2</v>
      </c>
      <c r="O2206">
        <v>-0.99896200000000002</v>
      </c>
      <c r="P2206">
        <v>0.2396768</v>
      </c>
      <c r="Q2206">
        <v>0.1410669</v>
      </c>
      <c r="R2206">
        <v>-0.9605494</v>
      </c>
      <c r="S2206">
        <v>1.3695980000000001</v>
      </c>
      <c r="T2206">
        <v>-0.21566650000000001</v>
      </c>
      <c r="U2206">
        <v>-2.817062</v>
      </c>
      <c r="V2206">
        <v>-0.1977392</v>
      </c>
      <c r="W2206">
        <v>0.15077550000000001</v>
      </c>
      <c r="X2206">
        <v>0.9685897</v>
      </c>
      <c r="Y2206">
        <v>-0.3961575</v>
      </c>
      <c r="Z2206">
        <v>5.8356770000000002E-2</v>
      </c>
      <c r="AA2206">
        <v>0.91632619999999998</v>
      </c>
      <c r="AB2206">
        <v>29</v>
      </c>
      <c r="AC2206">
        <v>7.1159000000000097</v>
      </c>
      <c r="AD2206">
        <v>-1.1228385468340001</v>
      </c>
      <c r="AE2206">
        <v>-14.3879</v>
      </c>
      <c r="AF2206">
        <v>-6.4414910636145004</v>
      </c>
      <c r="AG2206">
        <v>-1.1228385468340001</v>
      </c>
      <c r="AH2206">
        <v>14.616830965460601</v>
      </c>
      <c r="AI2206">
        <v>94.020989906234504</v>
      </c>
      <c r="AJ2206">
        <v>113.782607216046</v>
      </c>
      <c r="AK2206">
        <v>16.0126612715604</v>
      </c>
      <c r="AL2206">
        <v>81.328129635361194</v>
      </c>
      <c r="AM2206">
        <v>101.538472723003</v>
      </c>
      <c r="AN2206">
        <v>1.00000002478148</v>
      </c>
    </row>
    <row r="2207" spans="1:40" x14ac:dyDescent="0.25">
      <c r="A2207" t="str">
        <f>"20190303162548108"</f>
        <v>20190303162548108</v>
      </c>
      <c r="B2207" t="str">
        <f>"1551601548095008"</f>
        <v>1551601548095008</v>
      </c>
      <c r="C2207" t="s">
        <v>40</v>
      </c>
      <c r="D2207">
        <v>4.7146189999999999</v>
      </c>
      <c r="E2207">
        <v>0.37304029999999999</v>
      </c>
      <c r="F2207" t="s">
        <v>42</v>
      </c>
      <c r="G2207">
        <v>-491.85320000000002</v>
      </c>
      <c r="H2207">
        <v>1.020043</v>
      </c>
      <c r="I2207">
        <v>236.2602</v>
      </c>
      <c r="J2207">
        <v>-492.35129999999998</v>
      </c>
      <c r="K2207">
        <v>1.1229229999999999</v>
      </c>
      <c r="L2207">
        <v>236.8236</v>
      </c>
      <c r="M2207">
        <v>4.6900409999999997E-2</v>
      </c>
      <c r="N2207">
        <v>-1.108015E-2</v>
      </c>
      <c r="O2207">
        <v>-0.99883809999999995</v>
      </c>
      <c r="P2207">
        <v>0.24450150000000001</v>
      </c>
      <c r="Q2207">
        <v>0.14057320000000001</v>
      </c>
      <c r="R2207">
        <v>-0.95940539999999996</v>
      </c>
      <c r="S2207">
        <v>1.668274</v>
      </c>
      <c r="T2207">
        <v>-0.33373439999999999</v>
      </c>
      <c r="U2207">
        <v>-2.7559360000000002</v>
      </c>
      <c r="V2207">
        <v>-0.20001060000000001</v>
      </c>
      <c r="W2207">
        <v>0.15028050000000001</v>
      </c>
      <c r="X2207">
        <v>0.96820010000000001</v>
      </c>
      <c r="Y2207">
        <v>-0.47463</v>
      </c>
      <c r="Z2207">
        <v>9.3273900000000007E-2</v>
      </c>
      <c r="AA2207">
        <v>0.87522929999999999</v>
      </c>
      <c r="AB2207">
        <v>29</v>
      </c>
      <c r="AC2207">
        <v>0.49809999999996502</v>
      </c>
      <c r="AD2207">
        <v>-0.102879999999999</v>
      </c>
      <c r="AE2207">
        <v>-0.56340000000000101</v>
      </c>
      <c r="AF2207">
        <v>-0.46247091975905702</v>
      </c>
      <c r="AG2207">
        <v>-0.102879999999999</v>
      </c>
      <c r="AH2207">
        <v>0.575373812093528</v>
      </c>
      <c r="AI2207">
        <v>97.934016461068097</v>
      </c>
      <c r="AJ2207">
        <v>128.791440663695</v>
      </c>
      <c r="AK2207">
        <v>0.74533124828215003</v>
      </c>
      <c r="AL2207">
        <v>81.356817286797906</v>
      </c>
      <c r="AM2207">
        <v>101.671965488913</v>
      </c>
      <c r="AN2207">
        <v>0.99999995121630803</v>
      </c>
    </row>
    <row r="2208" spans="1:40" x14ac:dyDescent="0.25">
      <c r="A2208" t="str">
        <f>"20190303162548133"</f>
        <v>20190303162548133</v>
      </c>
      <c r="B2208" t="str">
        <f>"1551601548125264"</f>
        <v>1551601548125264</v>
      </c>
      <c r="C2208" t="s">
        <v>40</v>
      </c>
      <c r="D2208">
        <v>4.7319100000000001</v>
      </c>
      <c r="E2208">
        <v>0.37204229999999999</v>
      </c>
      <c r="F2208" t="s">
        <v>42</v>
      </c>
      <c r="G2208">
        <v>-491.83479999999997</v>
      </c>
      <c r="H2208">
        <v>1.020988</v>
      </c>
      <c r="I2208">
        <v>236.00059999999999</v>
      </c>
      <c r="J2208">
        <v>-492.33330000000001</v>
      </c>
      <c r="K2208">
        <v>1.123016</v>
      </c>
      <c r="L2208">
        <v>236.5102</v>
      </c>
      <c r="M2208">
        <v>4.9983109999999997E-2</v>
      </c>
      <c r="N2208">
        <v>-1.1150210000000001E-2</v>
      </c>
      <c r="O2208">
        <v>-0.99868780000000001</v>
      </c>
      <c r="P2208">
        <v>0.24933749999999999</v>
      </c>
      <c r="Q2208">
        <v>0.1401819</v>
      </c>
      <c r="R2208">
        <v>-0.95821679999999998</v>
      </c>
      <c r="S2208">
        <v>1.7187809999999999</v>
      </c>
      <c r="T2208">
        <v>-0.33920719999999999</v>
      </c>
      <c r="U2208">
        <v>-2.7386170000000001</v>
      </c>
      <c r="V2208">
        <v>-0.20193510000000001</v>
      </c>
      <c r="W2208">
        <v>0.14990249999999999</v>
      </c>
      <c r="X2208">
        <v>0.96785920000000003</v>
      </c>
      <c r="Y2208">
        <v>-0.48592160000000001</v>
      </c>
      <c r="Z2208">
        <v>9.4631519999999997E-2</v>
      </c>
      <c r="AA2208">
        <v>0.86886419999999998</v>
      </c>
      <c r="AB2208">
        <v>29</v>
      </c>
      <c r="AC2208">
        <v>0.49850000000003503</v>
      </c>
      <c r="AD2208">
        <v>-0.10202799999999999</v>
      </c>
      <c r="AE2208">
        <v>-0.50960000000000605</v>
      </c>
      <c r="AF2208">
        <v>-0.46292149700517798</v>
      </c>
      <c r="AG2208">
        <v>-0.10202799999999999</v>
      </c>
      <c r="AH2208">
        <v>0.52316472230772704</v>
      </c>
      <c r="AI2208">
        <v>98.309469045103498</v>
      </c>
      <c r="AJ2208">
        <v>131.50395904567799</v>
      </c>
      <c r="AK2208">
        <v>0.70597971064389398</v>
      </c>
      <c r="AL2208">
        <v>81.378723556723202</v>
      </c>
      <c r="AM2208">
        <v>101.785181973585</v>
      </c>
      <c r="AN2208">
        <v>0.99999998757144903</v>
      </c>
    </row>
    <row r="2209" spans="1:40" x14ac:dyDescent="0.25">
      <c r="A2209" t="str">
        <f>"20190303162548155"</f>
        <v>20190303162548155</v>
      </c>
      <c r="B2209" t="str">
        <f>"1551601548145760"</f>
        <v>1551601548145760</v>
      </c>
      <c r="C2209" t="s">
        <v>40</v>
      </c>
      <c r="D2209">
        <v>4.7277290000000001</v>
      </c>
      <c r="E2209">
        <v>0.37203340000000001</v>
      </c>
      <c r="F2209" t="s">
        <v>42</v>
      </c>
      <c r="G2209">
        <v>-491.83909999999997</v>
      </c>
      <c r="H2209">
        <v>1.025984</v>
      </c>
      <c r="I2209">
        <v>235.73480000000001</v>
      </c>
      <c r="J2209">
        <v>-492.31549999999999</v>
      </c>
      <c r="K2209">
        <v>1.123103</v>
      </c>
      <c r="L2209">
        <v>236.21600000000001</v>
      </c>
      <c r="M2209">
        <v>5.2979730000000003E-2</v>
      </c>
      <c r="N2209">
        <v>-1.122489E-2</v>
      </c>
      <c r="O2209">
        <v>-0.99853250000000005</v>
      </c>
      <c r="P2209">
        <v>0.2544439</v>
      </c>
      <c r="Q2209">
        <v>0.1394658</v>
      </c>
      <c r="R2209">
        <v>-0.95697849999999995</v>
      </c>
      <c r="S2209">
        <v>1.73904399999999</v>
      </c>
      <c r="T2209">
        <v>-0.34139409999999998</v>
      </c>
      <c r="U2209">
        <v>-2.728256</v>
      </c>
      <c r="V2209">
        <v>-0.20421549999999999</v>
      </c>
      <c r="W2209">
        <v>0.14920229999999901</v>
      </c>
      <c r="X2209">
        <v>0.96748889999999999</v>
      </c>
      <c r="Y2209">
        <v>-0.48935079999999997</v>
      </c>
      <c r="Z2209">
        <v>9.5253870000000004E-2</v>
      </c>
      <c r="AA2209">
        <v>0.86686939999999901</v>
      </c>
      <c r="AB2209">
        <v>29</v>
      </c>
      <c r="AC2209">
        <v>0.47640000000001198</v>
      </c>
      <c r="AD2209">
        <v>-9.71189999999999E-2</v>
      </c>
      <c r="AE2209">
        <v>-0.48119999999997198</v>
      </c>
      <c r="AF2209">
        <v>-0.441160215067541</v>
      </c>
      <c r="AG2209">
        <v>-9.71189999999999E-2</v>
      </c>
      <c r="AH2209">
        <v>0.49557076952511298</v>
      </c>
      <c r="AI2209">
        <v>98.327644950972697</v>
      </c>
      <c r="AJ2209">
        <v>131.675677233653</v>
      </c>
      <c r="AK2209">
        <v>0.67055560778145196</v>
      </c>
      <c r="AL2209">
        <v>81.419298778491296</v>
      </c>
      <c r="AM2209">
        <v>101.91891542558599</v>
      </c>
      <c r="AN2209">
        <v>1.00000003419437</v>
      </c>
    </row>
    <row r="2210" spans="1:40" x14ac:dyDescent="0.25">
      <c r="A2210" t="str">
        <f>"20190303162548187"</f>
        <v>20190303162548187</v>
      </c>
      <c r="B2210" t="str">
        <f>"1551601548175040"</f>
        <v>1551601548175040</v>
      </c>
      <c r="C2210" t="s">
        <v>40</v>
      </c>
      <c r="D2210">
        <v>4.7349309999999996</v>
      </c>
      <c r="E2210">
        <v>0.37218839999999997</v>
      </c>
      <c r="F2210" t="s">
        <v>42</v>
      </c>
      <c r="G2210">
        <v>-491.83550000000002</v>
      </c>
      <c r="H2210">
        <v>1.028875</v>
      </c>
      <c r="I2210">
        <v>235.4709</v>
      </c>
      <c r="J2210">
        <v>-492.28809999999999</v>
      </c>
      <c r="K2210">
        <v>1.1232260000000001</v>
      </c>
      <c r="L2210">
        <v>235.7961</v>
      </c>
      <c r="M2210">
        <v>5.7429979999999999E-2</v>
      </c>
      <c r="N2210">
        <v>-1.1336000000000001E-2</v>
      </c>
      <c r="O2210">
        <v>-0.99828510000000004</v>
      </c>
      <c r="P2210">
        <v>0.26190839999999999</v>
      </c>
      <c r="Q2210">
        <v>0.1385914</v>
      </c>
      <c r="R2210">
        <v>-0.95508970000000004</v>
      </c>
      <c r="S2210">
        <v>1.7520450000000001</v>
      </c>
      <c r="T2210">
        <v>-0.343862099999999</v>
      </c>
      <c r="U2210">
        <v>-2.7191160000000001</v>
      </c>
      <c r="V2210">
        <v>-0.20749219999999999</v>
      </c>
      <c r="W2210">
        <v>0.14835209999999999</v>
      </c>
      <c r="X2210">
        <v>0.96692219999999995</v>
      </c>
      <c r="Y2210">
        <v>-0.48967899999999998</v>
      </c>
      <c r="Z2210">
        <v>9.6042539999999996E-2</v>
      </c>
      <c r="AA2210">
        <v>0.8665969</v>
      </c>
      <c r="AB2210">
        <v>29</v>
      </c>
      <c r="AC2210">
        <v>0.45259999999996098</v>
      </c>
      <c r="AD2210">
        <v>-9.4351000000000004E-2</v>
      </c>
      <c r="AE2210">
        <v>-0.32519999999999499</v>
      </c>
      <c r="AF2210">
        <v>-0.42110621165763001</v>
      </c>
      <c r="AG2210">
        <v>-9.4351000000000004E-2</v>
      </c>
      <c r="AH2210">
        <v>0.340887554754919</v>
      </c>
      <c r="AI2210">
        <v>99.878834045708004</v>
      </c>
      <c r="AJ2210">
        <v>141.009659409204</v>
      </c>
      <c r="AK2210">
        <v>0.54994261308288195</v>
      </c>
      <c r="AL2210">
        <v>81.468559163883796</v>
      </c>
      <c r="AM2210">
        <v>102.111445598945</v>
      </c>
      <c r="AN2210">
        <v>0.99999994974404305</v>
      </c>
    </row>
    <row r="2211" spans="1:40" x14ac:dyDescent="0.25">
      <c r="A2211" t="str">
        <f>"20190303162548213"</f>
        <v>20190303162548213</v>
      </c>
      <c r="B2211" t="str">
        <f>"1551601548205297"</f>
        <v>1551601548205297</v>
      </c>
      <c r="C2211" t="s">
        <v>40</v>
      </c>
      <c r="D2211">
        <v>4.7944889999999996</v>
      </c>
      <c r="E2211">
        <v>0.3726429</v>
      </c>
      <c r="F2211" t="s">
        <v>42</v>
      </c>
      <c r="G2211">
        <v>-491.7441</v>
      </c>
      <c r="H2211">
        <v>1.0192270000000001</v>
      </c>
      <c r="I2211">
        <v>234.9658</v>
      </c>
      <c r="J2211">
        <v>-492.26459999999997</v>
      </c>
      <c r="K2211">
        <v>1.1233150000000001</v>
      </c>
      <c r="L2211">
        <v>235.45609999999999</v>
      </c>
      <c r="M2211">
        <v>6.1158560000000001E-2</v>
      </c>
      <c r="N2211">
        <v>-1.142251E-2</v>
      </c>
      <c r="O2211">
        <v>-0.99806260000000002</v>
      </c>
      <c r="P2211">
        <v>0.26771299999999998</v>
      </c>
      <c r="Q2211">
        <v>0.13758190000000001</v>
      </c>
      <c r="R2211">
        <v>-0.9536251</v>
      </c>
      <c r="S2211">
        <v>1.771698</v>
      </c>
      <c r="T2211">
        <v>-0.3387367</v>
      </c>
      <c r="U2211">
        <v>-2.7043910000000002</v>
      </c>
      <c r="V2211">
        <v>-0.2097812</v>
      </c>
      <c r="W2211">
        <v>0.147366</v>
      </c>
      <c r="X2211">
        <v>0.96657910000000002</v>
      </c>
      <c r="Y2211">
        <v>-0.49306889999999998</v>
      </c>
      <c r="Z2211">
        <v>9.4536969999999998E-2</v>
      </c>
      <c r="AA2211">
        <v>0.86483860000000001</v>
      </c>
      <c r="AB2211">
        <v>29</v>
      </c>
      <c r="AC2211">
        <v>0.52049999999996999</v>
      </c>
      <c r="AD2211">
        <v>-0.104087999999999</v>
      </c>
      <c r="AE2211">
        <v>-0.49029999999999002</v>
      </c>
      <c r="AF2211">
        <v>-0.479379880066093</v>
      </c>
      <c r="AG2211">
        <v>-0.104087999999999</v>
      </c>
      <c r="AH2211">
        <v>0.51040219573613899</v>
      </c>
      <c r="AI2211">
        <v>98.4550641344849</v>
      </c>
      <c r="AJ2211">
        <v>133.20479061444399</v>
      </c>
      <c r="AK2211">
        <v>0.70791933337665902</v>
      </c>
      <c r="AL2211">
        <v>81.525687082321994</v>
      </c>
      <c r="AM2211">
        <v>102.245262095724</v>
      </c>
      <c r="AN2211">
        <v>1.0000000231931201</v>
      </c>
    </row>
    <row r="2212" spans="1:40" x14ac:dyDescent="0.25">
      <c r="A2212" t="str">
        <f>"20190303162548234"</f>
        <v>20190303162548234</v>
      </c>
      <c r="B2212" t="str">
        <f>"1551601548225792"</f>
        <v>1551601548225792</v>
      </c>
      <c r="C2212" t="s">
        <v>40</v>
      </c>
      <c r="D2212">
        <v>4.7649379999999999</v>
      </c>
      <c r="E2212">
        <v>0.3729266</v>
      </c>
      <c r="F2212" t="s">
        <v>42</v>
      </c>
      <c r="G2212">
        <v>-491.76089999999999</v>
      </c>
      <c r="H2212">
        <v>1.027879</v>
      </c>
      <c r="I2212">
        <v>234.69579999999999</v>
      </c>
      <c r="J2212">
        <v>-492.24430000000001</v>
      </c>
      <c r="K2212">
        <v>1.123381</v>
      </c>
      <c r="L2212">
        <v>235.17850000000001</v>
      </c>
      <c r="M2212">
        <v>6.4284170000000002E-2</v>
      </c>
      <c r="N2212">
        <v>-1.149143E-2</v>
      </c>
      <c r="O2212">
        <v>-0.99786540000000001</v>
      </c>
      <c r="P2212">
        <v>0.27257169999999997</v>
      </c>
      <c r="Q2212">
        <v>0.1362805</v>
      </c>
      <c r="R2212">
        <v>-0.95243500000000003</v>
      </c>
      <c r="S2212">
        <v>1.78463699999999</v>
      </c>
      <c r="T2212">
        <v>-0.33811160000000001</v>
      </c>
      <c r="U2212">
        <v>-2.6936800000000001</v>
      </c>
      <c r="V2212">
        <v>-0.21168719999999999</v>
      </c>
      <c r="W2212">
        <v>0.14608450000000001</v>
      </c>
      <c r="X2212">
        <v>0.96635800000000005</v>
      </c>
      <c r="Y2212">
        <v>-0.49481969999999997</v>
      </c>
      <c r="Z2212">
        <v>9.4420980000000002E-2</v>
      </c>
      <c r="AA2212">
        <v>0.86385080000000003</v>
      </c>
      <c r="AB2212">
        <v>29</v>
      </c>
      <c r="AC2212">
        <v>0.48340000000001698</v>
      </c>
      <c r="AD2212">
        <v>-9.5501999999999906E-2</v>
      </c>
      <c r="AE2212">
        <v>-0.482700000000022</v>
      </c>
      <c r="AF2212">
        <v>-0.44271562339788101</v>
      </c>
      <c r="AG2212">
        <v>-9.5501999999999906E-2</v>
      </c>
      <c r="AH2212">
        <v>0.50294892161080995</v>
      </c>
      <c r="AI2212">
        <v>98.111822800005797</v>
      </c>
      <c r="AJ2212">
        <v>131.35551726358099</v>
      </c>
      <c r="AK2212">
        <v>0.67681265720585604</v>
      </c>
      <c r="AL2212">
        <v>81.599914507635305</v>
      </c>
      <c r="AM2212">
        <v>102.355856653679</v>
      </c>
      <c r="AN2212">
        <v>0.999999967974044</v>
      </c>
    </row>
    <row r="2213" spans="1:40" x14ac:dyDescent="0.25">
      <c r="A2213" t="str">
        <f>"20190303162548258"</f>
        <v>20190303162548258</v>
      </c>
      <c r="B2213" t="str">
        <f>"1551601548245312"</f>
        <v>1551601548245312</v>
      </c>
      <c r="C2213" t="s">
        <v>40</v>
      </c>
      <c r="D2213">
        <v>4.7457190000000002</v>
      </c>
      <c r="E2213">
        <v>0.37321260000000001</v>
      </c>
      <c r="F2213" t="s">
        <v>42</v>
      </c>
      <c r="G2213">
        <v>-491.7466</v>
      </c>
      <c r="H2213">
        <v>1.02925</v>
      </c>
      <c r="I2213">
        <v>234.4342</v>
      </c>
      <c r="J2213">
        <v>-492.22120000000001</v>
      </c>
      <c r="K2213">
        <v>1.123451</v>
      </c>
      <c r="L2213">
        <v>234.8768</v>
      </c>
      <c r="M2213">
        <v>6.7774000000000001E-2</v>
      </c>
      <c r="N2213">
        <v>-1.1574569999999999E-2</v>
      </c>
      <c r="O2213">
        <v>-0.99763369999999996</v>
      </c>
      <c r="P2213">
        <v>0.27781440000000002</v>
      </c>
      <c r="Q2213">
        <v>0.13547129999999999</v>
      </c>
      <c r="R2213">
        <v>-0.9510345</v>
      </c>
      <c r="S2213">
        <v>1.79599</v>
      </c>
      <c r="T2213">
        <v>-0.33947300000000002</v>
      </c>
      <c r="U2213">
        <v>-2.684418</v>
      </c>
      <c r="V2213">
        <v>-0.21364649999999999</v>
      </c>
      <c r="W2213">
        <v>0.14530419999999999</v>
      </c>
      <c r="X2213">
        <v>0.96604440000000003</v>
      </c>
      <c r="Y2213">
        <v>-0.49565589999999998</v>
      </c>
      <c r="Z2213">
        <v>9.4897460000000003E-2</v>
      </c>
      <c r="AA2213">
        <v>0.86331899999999995</v>
      </c>
      <c r="AB2213">
        <v>29</v>
      </c>
      <c r="AC2213">
        <v>0.47460000000000901</v>
      </c>
      <c r="AD2213">
        <v>-9.4200999999999896E-2</v>
      </c>
      <c r="AE2213">
        <v>-0.442599999999998</v>
      </c>
      <c r="AF2213">
        <v>-0.43435749250746702</v>
      </c>
      <c r="AG2213">
        <v>-9.4200999999999896E-2</v>
      </c>
      <c r="AH2213">
        <v>0.46397350996366099</v>
      </c>
      <c r="AI2213">
        <v>98.430833391520196</v>
      </c>
      <c r="AJ2213">
        <v>133.11176677867499</v>
      </c>
      <c r="AK2213">
        <v>0.64250422383543404</v>
      </c>
      <c r="AL2213">
        <v>81.645104535243803</v>
      </c>
      <c r="AM2213">
        <v>102.470578507045</v>
      </c>
      <c r="AN2213">
        <v>0.99999996013562398</v>
      </c>
    </row>
    <row r="2214" spans="1:40" x14ac:dyDescent="0.25">
      <c r="A2214" t="str">
        <f>"20190303162548277"</f>
        <v>20190303162548277</v>
      </c>
      <c r="B2214" t="str">
        <f>"1551601548264833"</f>
        <v>1551601548264833</v>
      </c>
      <c r="C2214" t="s">
        <v>40</v>
      </c>
      <c r="D2214">
        <v>4.7040379999999997</v>
      </c>
      <c r="E2214">
        <v>0.37357449999999998</v>
      </c>
      <c r="F2214" t="s">
        <v>42</v>
      </c>
      <c r="G2214">
        <v>-491.74290000000002</v>
      </c>
      <c r="H2214">
        <v>1.033409</v>
      </c>
      <c r="I2214">
        <v>234.1694</v>
      </c>
      <c r="J2214">
        <v>-492.2011</v>
      </c>
      <c r="K2214">
        <v>1.123529</v>
      </c>
      <c r="L2214">
        <v>234.62639999999999</v>
      </c>
      <c r="M2214">
        <v>7.0759299999999997E-2</v>
      </c>
      <c r="N2214">
        <v>-1.167032E-2</v>
      </c>
      <c r="O2214">
        <v>-0.99742529999999996</v>
      </c>
      <c r="P2214">
        <v>0.2820472</v>
      </c>
      <c r="Q2214">
        <v>0.13421169999999999</v>
      </c>
      <c r="R2214">
        <v>-0.94996659999999999</v>
      </c>
      <c r="S2214">
        <v>1.8084720000000001</v>
      </c>
      <c r="T2214">
        <v>-0.34044740000000001</v>
      </c>
      <c r="U2214">
        <v>-2.674652</v>
      </c>
      <c r="V2214">
        <v>-0.21506220000000001</v>
      </c>
      <c r="W2214">
        <v>0.1440921</v>
      </c>
      <c r="X2214">
        <v>0.96591190000000005</v>
      </c>
      <c r="Y2214">
        <v>-0.49726480000000001</v>
      </c>
      <c r="Z2214">
        <v>9.5224619999999996E-2</v>
      </c>
      <c r="AA2214">
        <v>0.86235729999999999</v>
      </c>
      <c r="AB2214">
        <v>29</v>
      </c>
      <c r="AC2214">
        <v>0.45819999999997602</v>
      </c>
      <c r="AD2214">
        <v>-9.0119999999999895E-2</v>
      </c>
      <c r="AE2214">
        <v>-0.45699999999999302</v>
      </c>
      <c r="AF2214">
        <v>-0.416632477829805</v>
      </c>
      <c r="AG2214">
        <v>-9.0119999999999895E-2</v>
      </c>
      <c r="AH2214">
        <v>0.47898952294084801</v>
      </c>
      <c r="AI2214">
        <v>98.079636216452499</v>
      </c>
      <c r="AJ2214">
        <v>131.017249301264</v>
      </c>
      <c r="AK2214">
        <v>0.64119825254729501</v>
      </c>
      <c r="AL2214">
        <v>81.715292088174095</v>
      </c>
      <c r="AM2214">
        <v>102.552270302864</v>
      </c>
      <c r="AN2214">
        <v>1.00000004085642</v>
      </c>
    </row>
    <row r="2215" spans="1:40" x14ac:dyDescent="0.25">
      <c r="A2215" t="str">
        <f>"20190303162548299"</f>
        <v>20190303162548299</v>
      </c>
      <c r="B2215" t="str">
        <f>"1551601548295089"</f>
        <v>1551601548295089</v>
      </c>
      <c r="C2215" t="s">
        <v>40</v>
      </c>
      <c r="D2215">
        <v>4.5316489999999998</v>
      </c>
      <c r="E2215">
        <v>0.37394709999999998</v>
      </c>
      <c r="F2215" t="s">
        <v>42</v>
      </c>
      <c r="G2215">
        <v>-491.71420000000001</v>
      </c>
      <c r="H2215">
        <v>1.0316179999999999</v>
      </c>
      <c r="I2215">
        <v>233.9119</v>
      </c>
      <c r="J2215">
        <v>-492.17660000000001</v>
      </c>
      <c r="K2215">
        <v>1.1236429999999999</v>
      </c>
      <c r="L2215">
        <v>234.33539999999999</v>
      </c>
      <c r="M2215">
        <v>7.4337210000000001E-2</v>
      </c>
      <c r="N2215">
        <v>-1.181894E-2</v>
      </c>
      <c r="O2215">
        <v>-0.99716329999999997</v>
      </c>
      <c r="P2215">
        <v>0.28682020000000003</v>
      </c>
      <c r="Q2215">
        <v>0.13322510000000001</v>
      </c>
      <c r="R2215">
        <v>-0.94867570000000001</v>
      </c>
      <c r="S2215">
        <v>1.8164979999999999</v>
      </c>
      <c r="T2215">
        <v>-0.34307589999999999</v>
      </c>
      <c r="U2215">
        <v>-2.6671450000000001</v>
      </c>
      <c r="V2215">
        <v>-0.21647089999999999</v>
      </c>
      <c r="W2215">
        <v>0.14319129999999899</v>
      </c>
      <c r="X2215">
        <v>0.96573109999999995</v>
      </c>
      <c r="Y2215">
        <v>-0.49700850000000002</v>
      </c>
      <c r="Z2215">
        <v>9.6037510000000006E-2</v>
      </c>
      <c r="AA2215">
        <v>0.86241480000000004</v>
      </c>
      <c r="AB2215">
        <v>29</v>
      </c>
      <c r="AC2215">
        <v>0.46240000000000198</v>
      </c>
      <c r="AD2215">
        <v>-9.2024999999999996E-2</v>
      </c>
      <c r="AE2215">
        <v>-0.42349999999999</v>
      </c>
      <c r="AF2215">
        <v>-0.42057740518710002</v>
      </c>
      <c r="AG2215">
        <v>-9.2024999999999996E-2</v>
      </c>
      <c r="AH2215">
        <v>0.447074244161343</v>
      </c>
      <c r="AI2215">
        <v>98.526542660705502</v>
      </c>
      <c r="AJ2215">
        <v>133.250812567239</v>
      </c>
      <c r="AK2215">
        <v>0.62066845752893796</v>
      </c>
      <c r="AL2215">
        <v>81.767444444739496</v>
      </c>
      <c r="AM2215">
        <v>102.63414881262101</v>
      </c>
      <c r="AN2215">
        <v>0.99999997822485398</v>
      </c>
    </row>
    <row r="2216" spans="1:40" x14ac:dyDescent="0.25">
      <c r="A2216" t="str">
        <f>"20190303162548322"</f>
        <v>20190303162548322</v>
      </c>
      <c r="B2216" t="str">
        <f>"1551601548315585"</f>
        <v>1551601548315585</v>
      </c>
      <c r="C2216" t="s">
        <v>40</v>
      </c>
      <c r="D2216">
        <v>4.4546010000000003</v>
      </c>
      <c r="E2216">
        <v>0.37443520000000002</v>
      </c>
      <c r="F2216" t="s">
        <v>42</v>
      </c>
      <c r="G2216">
        <v>-491.55329999999998</v>
      </c>
      <c r="H2216">
        <v>1.0065869999999999</v>
      </c>
      <c r="I2216">
        <v>233.428</v>
      </c>
      <c r="J2216">
        <v>-492.15010000000001</v>
      </c>
      <c r="K2216">
        <v>1.123775</v>
      </c>
      <c r="L2216">
        <v>234.03440000000001</v>
      </c>
      <c r="M2216">
        <v>7.8191540000000004E-2</v>
      </c>
      <c r="N2216">
        <v>-1.200648E-2</v>
      </c>
      <c r="O2216">
        <v>-0.99686589999999997</v>
      </c>
      <c r="P2216">
        <v>0.29193059999999998</v>
      </c>
      <c r="Q2216">
        <v>0.13312950000000001</v>
      </c>
      <c r="R2216">
        <v>-0.94712870000000005</v>
      </c>
      <c r="S2216">
        <v>1.8265690000000001</v>
      </c>
      <c r="T2216">
        <v>-0.34288190000000002</v>
      </c>
      <c r="U2216">
        <v>-2.6582029999999999</v>
      </c>
      <c r="V2216">
        <v>-0.21798380000000001</v>
      </c>
      <c r="W2216">
        <v>0.14320539999999901</v>
      </c>
      <c r="X2216">
        <v>0.96538869999999999</v>
      </c>
      <c r="Y2216">
        <v>-0.49723149999999999</v>
      </c>
      <c r="Z2216">
        <v>9.5945630000000004E-2</v>
      </c>
      <c r="AA2216">
        <v>0.86229650000000002</v>
      </c>
      <c r="AB2216">
        <v>29</v>
      </c>
      <c r="AC2216">
        <v>0.59680000000002997</v>
      </c>
      <c r="AD2216">
        <v>-0.117187999999999</v>
      </c>
      <c r="AE2216">
        <v>-0.60640000000000704</v>
      </c>
      <c r="AF2216">
        <v>-0.53735945945945796</v>
      </c>
      <c r="AG2216">
        <v>-0.117187999999999</v>
      </c>
      <c r="AH2216">
        <v>0.63908703439686498</v>
      </c>
      <c r="AI2216">
        <v>97.989203980433402</v>
      </c>
      <c r="AJ2216">
        <v>130.05791495415301</v>
      </c>
      <c r="AK2216">
        <v>0.84316098910513004</v>
      </c>
      <c r="AL2216">
        <v>81.766628614657805</v>
      </c>
      <c r="AM2216">
        <v>102.72394927858301</v>
      </c>
      <c r="AN2216">
        <v>1.0000000328696399</v>
      </c>
    </row>
    <row r="2217" spans="1:40" x14ac:dyDescent="0.25">
      <c r="A2217" t="str">
        <f>"20190303162548356"</f>
        <v>20190303162548356</v>
      </c>
      <c r="B2217" t="str">
        <f>"1551601548344864"</f>
        <v>1551601548344864</v>
      </c>
      <c r="C2217" t="s">
        <v>40</v>
      </c>
      <c r="D2217">
        <v>4.3417839999999996</v>
      </c>
      <c r="E2217">
        <v>0.3748667</v>
      </c>
      <c r="F2217" t="s">
        <v>42</v>
      </c>
      <c r="G2217">
        <v>-491.54759999999999</v>
      </c>
      <c r="H2217">
        <v>1.010866</v>
      </c>
      <c r="I2217">
        <v>233.1643</v>
      </c>
      <c r="J2217">
        <v>-492.10879999999997</v>
      </c>
      <c r="K2217">
        <v>1.123972</v>
      </c>
      <c r="L2217">
        <v>233.5926</v>
      </c>
      <c r="M2217">
        <v>8.4092970000000003E-2</v>
      </c>
      <c r="N2217">
        <v>-1.229654E-2</v>
      </c>
      <c r="O2217">
        <v>-0.99638210000000005</v>
      </c>
      <c r="P2217">
        <v>0.30017369999999999</v>
      </c>
      <c r="Q2217">
        <v>0.13096440000000001</v>
      </c>
      <c r="R2217">
        <v>-0.94485129999999995</v>
      </c>
      <c r="S2217">
        <v>1.83609</v>
      </c>
      <c r="T2217">
        <v>-0.34381009999999901</v>
      </c>
      <c r="U2217">
        <v>-2.6498719999999998</v>
      </c>
      <c r="V2217">
        <v>-0.22070210000000001</v>
      </c>
      <c r="W2217">
        <v>0.1412099</v>
      </c>
      <c r="X2217">
        <v>0.9650649</v>
      </c>
      <c r="Y2217">
        <v>-0.49544539999999998</v>
      </c>
      <c r="Z2217">
        <v>9.613091E-2</v>
      </c>
      <c r="AA2217">
        <v>0.86330339999999905</v>
      </c>
      <c r="AB2217">
        <v>29</v>
      </c>
      <c r="AC2217">
        <v>0.56119999999998504</v>
      </c>
      <c r="AD2217">
        <v>-0.113105999999999</v>
      </c>
      <c r="AE2217">
        <v>-0.42830000000000701</v>
      </c>
      <c r="AF2217">
        <v>-0.51009853453751497</v>
      </c>
      <c r="AG2217">
        <v>-0.113105999999999</v>
      </c>
      <c r="AH2217">
        <v>0.46211725035288698</v>
      </c>
      <c r="AI2217">
        <v>99.331859656386897</v>
      </c>
      <c r="AJ2217">
        <v>137.825397809149</v>
      </c>
      <c r="AK2217">
        <v>0.69752837594396999</v>
      </c>
      <c r="AL2217">
        <v>81.882135661461007</v>
      </c>
      <c r="AM2217">
        <v>102.881537164595</v>
      </c>
      <c r="AN2217">
        <v>0.999999957007214</v>
      </c>
    </row>
    <row r="2218" spans="1:40" x14ac:dyDescent="0.25">
      <c r="A2218" t="str">
        <f>"20190303162548379"</f>
        <v>20190303162548379</v>
      </c>
      <c r="B2218" t="str">
        <f>"1551601548365360"</f>
        <v>1551601548365360</v>
      </c>
      <c r="C2218" t="s">
        <v>40</v>
      </c>
      <c r="D2218">
        <v>4.2847419999999996</v>
      </c>
      <c r="E2218">
        <v>0.37515949999999998</v>
      </c>
      <c r="F2218" t="s">
        <v>42</v>
      </c>
      <c r="G2218">
        <v>-491.60739999999998</v>
      </c>
      <c r="H2218">
        <v>1.030357</v>
      </c>
      <c r="I2218">
        <v>232.88059999999999</v>
      </c>
      <c r="J2218">
        <v>-492.0804</v>
      </c>
      <c r="K2218">
        <v>1.124115</v>
      </c>
      <c r="L2218">
        <v>233.3065</v>
      </c>
      <c r="M2218">
        <v>8.8131390000000004E-2</v>
      </c>
      <c r="N2218">
        <v>-1.2499150000000001E-2</v>
      </c>
      <c r="O2218">
        <v>-0.99603079999999999</v>
      </c>
      <c r="P2218">
        <v>0.30611880000000002</v>
      </c>
      <c r="Q2218">
        <v>0.1287005</v>
      </c>
      <c r="R2218">
        <v>-0.94325380000000003</v>
      </c>
      <c r="S2218">
        <v>1.8547359999999999</v>
      </c>
      <c r="T2218">
        <v>-0.34631440000000002</v>
      </c>
      <c r="U2218">
        <v>-2.633896</v>
      </c>
      <c r="V2218">
        <v>-0.2228705</v>
      </c>
      <c r="W2218">
        <v>0.1390555</v>
      </c>
      <c r="X2218">
        <v>0.9648795</v>
      </c>
      <c r="Y2218">
        <v>-0.49842019999999998</v>
      </c>
      <c r="Z2218">
        <v>9.6909519999999999E-2</v>
      </c>
      <c r="AA2218">
        <v>0.86150210000000005</v>
      </c>
      <c r="AB2218">
        <v>29</v>
      </c>
      <c r="AC2218">
        <v>0.47300000000001302</v>
      </c>
      <c r="AD2218">
        <v>-9.3757999999999994E-2</v>
      </c>
      <c r="AE2218">
        <v>-0.42590000000001199</v>
      </c>
      <c r="AF2218">
        <v>-0.42441194912582397</v>
      </c>
      <c r="AG2218">
        <v>-9.3757999999999994E-2</v>
      </c>
      <c r="AH2218">
        <v>0.45603650628748299</v>
      </c>
      <c r="AI2218">
        <v>98.558837822444801</v>
      </c>
      <c r="AJ2218">
        <v>132.9428948808</v>
      </c>
      <c r="AK2218">
        <v>0.62998838099735999</v>
      </c>
      <c r="AL2218">
        <v>82.0068047691732</v>
      </c>
      <c r="AM2218">
        <v>103.00623029273601</v>
      </c>
      <c r="AN2218">
        <v>1.00000007068537</v>
      </c>
    </row>
    <row r="2219" spans="1:40" x14ac:dyDescent="0.25">
      <c r="A2219" t="str">
        <f>"20190303162548400"</f>
        <v>20190303162548400</v>
      </c>
      <c r="B2219" t="str">
        <f>"1551601548395616"</f>
        <v>1551601548395616</v>
      </c>
      <c r="C2219" t="s">
        <v>40</v>
      </c>
      <c r="D2219">
        <v>4.1592760000000002</v>
      </c>
      <c r="E2219">
        <v>0.38336750000000003</v>
      </c>
      <c r="F2219" t="s">
        <v>42</v>
      </c>
      <c r="G2219">
        <v>-491.4366</v>
      </c>
      <c r="H2219">
        <v>1.0034050000000001</v>
      </c>
      <c r="I2219">
        <v>232.40299999999999</v>
      </c>
      <c r="J2219">
        <v>-492.05099999999999</v>
      </c>
      <c r="K2219">
        <v>1.1243019999999999</v>
      </c>
      <c r="L2219">
        <v>233.02590000000001</v>
      </c>
      <c r="M2219">
        <v>9.238499E-2</v>
      </c>
      <c r="N2219">
        <v>-1.270277E-2</v>
      </c>
      <c r="O2219">
        <v>-0.99564229999999998</v>
      </c>
      <c r="P2219">
        <v>0.3123727</v>
      </c>
      <c r="Q2219">
        <v>0.12840489999999999</v>
      </c>
      <c r="R2219">
        <v>-0.94124140000000001</v>
      </c>
      <c r="S2219">
        <v>1.86792</v>
      </c>
      <c r="T2219">
        <v>-0.35032010000000002</v>
      </c>
      <c r="U2219">
        <v>-2.622055</v>
      </c>
      <c r="V2219">
        <v>-0.22521079999999999</v>
      </c>
      <c r="W2219">
        <v>0.1388364</v>
      </c>
      <c r="X2219">
        <v>0.96436739999999999</v>
      </c>
      <c r="Y2219">
        <v>-0.4993534</v>
      </c>
      <c r="Z2219">
        <v>9.8137240000000001E-2</v>
      </c>
      <c r="AA2219">
        <v>0.86082239999999999</v>
      </c>
      <c r="AB2219">
        <v>29</v>
      </c>
      <c r="AC2219">
        <v>0.61439999999998895</v>
      </c>
      <c r="AD2219">
        <v>-0.120897</v>
      </c>
      <c r="AE2219">
        <v>-0.622900000000015</v>
      </c>
      <c r="AF2219">
        <v>-0.54383688439016298</v>
      </c>
      <c r="AG2219">
        <v>-0.120897</v>
      </c>
      <c r="AH2219">
        <v>0.66431728349422603</v>
      </c>
      <c r="AI2219">
        <v>98.015594335870304</v>
      </c>
      <c r="AJ2219">
        <v>129.305137942785</v>
      </c>
      <c r="AK2219">
        <v>0.86700178464715305</v>
      </c>
      <c r="AL2219">
        <v>82.0194803971998</v>
      </c>
      <c r="AM2219">
        <v>103.144825446769</v>
      </c>
      <c r="AN2219">
        <v>0.99999996629217902</v>
      </c>
    </row>
    <row r="2220" spans="1:40" x14ac:dyDescent="0.25">
      <c r="A2220" t="str">
        <f>"20190303162548432"</f>
        <v>20190303162548432</v>
      </c>
      <c r="B2220" t="str">
        <f>"1551601548425872"</f>
        <v>1551601548425872</v>
      </c>
      <c r="C2220" t="s">
        <v>40</v>
      </c>
      <c r="D2220">
        <v>4.1292460000000002</v>
      </c>
      <c r="E2220">
        <v>0.38094339999999999</v>
      </c>
      <c r="F2220" t="s">
        <v>42</v>
      </c>
      <c r="G2220">
        <v>-491.43439999999998</v>
      </c>
      <c r="H2220">
        <v>1.025744</v>
      </c>
      <c r="I2220">
        <v>232.1387</v>
      </c>
      <c r="J2220">
        <v>-492.00510000000003</v>
      </c>
      <c r="K2220">
        <v>1.1246389999999999</v>
      </c>
      <c r="L2220">
        <v>232.61240000000001</v>
      </c>
      <c r="M2220">
        <v>9.9135890000000004E-2</v>
      </c>
      <c r="N2220">
        <v>-1.298855E-2</v>
      </c>
      <c r="O2220">
        <v>-0.99498929999999997</v>
      </c>
      <c r="P2220">
        <v>0.32023780000000002</v>
      </c>
      <c r="Q2220">
        <v>0.12822839999999999</v>
      </c>
      <c r="R2220">
        <v>-0.93861899999999998</v>
      </c>
      <c r="S2220">
        <v>1.822937</v>
      </c>
      <c r="T2220">
        <v>-0.29126679999999999</v>
      </c>
      <c r="U2220">
        <v>-2.6220400000000001</v>
      </c>
      <c r="V2220">
        <v>-0.22684389999999999</v>
      </c>
      <c r="W2220">
        <v>0.13875000000000001</v>
      </c>
      <c r="X2220">
        <v>0.96399710000000005</v>
      </c>
      <c r="Y2220">
        <v>-0.4844966</v>
      </c>
      <c r="Z2220">
        <v>8.0174510000000004E-2</v>
      </c>
      <c r="AA2220">
        <v>0.87111149999999904</v>
      </c>
      <c r="AB2220">
        <v>29</v>
      </c>
      <c r="AC2220">
        <v>0.57070000000004395</v>
      </c>
      <c r="AD2220">
        <v>-9.88949999999999E-2</v>
      </c>
      <c r="AE2220">
        <v>-0.473700000000007</v>
      </c>
      <c r="AF2220">
        <v>-0.51182370799321197</v>
      </c>
      <c r="AG2220">
        <v>-9.88949999999999E-2</v>
      </c>
      <c r="AH2220">
        <v>0.51872515777620198</v>
      </c>
      <c r="AI2220">
        <v>97.728381011960195</v>
      </c>
      <c r="AJ2220">
        <v>134.616303460175</v>
      </c>
      <c r="AK2220">
        <v>0.73540432307599701</v>
      </c>
      <c r="AL2220">
        <v>82.024479910983104</v>
      </c>
      <c r="AM2220">
        <v>103.241705562634</v>
      </c>
      <c r="AN2220">
        <v>1.0000000631378001</v>
      </c>
    </row>
    <row r="2221" spans="1:40" x14ac:dyDescent="0.25">
      <c r="A2221" t="str">
        <f>"20190303162548453"</f>
        <v>20190303162548453</v>
      </c>
      <c r="B2221" t="str">
        <f>"1551601548445393"</f>
        <v>1551601548445393</v>
      </c>
      <c r="C2221" t="s">
        <v>40</v>
      </c>
      <c r="D2221">
        <v>4.0306680000000004</v>
      </c>
      <c r="E2221">
        <v>0.38126670000000001</v>
      </c>
      <c r="F2221" t="s">
        <v>42</v>
      </c>
      <c r="G2221">
        <v>-491.46820000000002</v>
      </c>
      <c r="H2221">
        <v>1.040761</v>
      </c>
      <c r="I2221">
        <v>231.8629</v>
      </c>
      <c r="J2221">
        <v>-491.9742</v>
      </c>
      <c r="K2221">
        <v>1.124879</v>
      </c>
      <c r="L2221">
        <v>232.35059999999999</v>
      </c>
      <c r="M2221">
        <v>0.1037599</v>
      </c>
      <c r="N2221">
        <v>-1.315497E-2</v>
      </c>
      <c r="O2221">
        <v>-0.9945155</v>
      </c>
      <c r="P2221">
        <v>0.3240537</v>
      </c>
      <c r="Q2221">
        <v>0.12737039999999999</v>
      </c>
      <c r="R2221">
        <v>-0.93742510000000001</v>
      </c>
      <c r="S2221">
        <v>1.863434</v>
      </c>
      <c r="T2221">
        <v>-0.29097889999999998</v>
      </c>
      <c r="U2221">
        <v>-2.6001590000000001</v>
      </c>
      <c r="V2221">
        <v>-0.22634070000000001</v>
      </c>
      <c r="W2221">
        <v>0.1379368</v>
      </c>
      <c r="X2221">
        <v>0.96423199999999998</v>
      </c>
      <c r="Y2221">
        <v>-0.49287310000000001</v>
      </c>
      <c r="Z2221">
        <v>7.9908519999999997E-2</v>
      </c>
      <c r="AA2221">
        <v>0.86642410000000003</v>
      </c>
      <c r="AB2221">
        <v>29</v>
      </c>
      <c r="AC2221">
        <v>0.50599999999997103</v>
      </c>
      <c r="AD2221">
        <v>-8.4118000000000095E-2</v>
      </c>
      <c r="AE2221">
        <v>-0.48769999999998898</v>
      </c>
      <c r="AF2221">
        <v>-0.44626666660242298</v>
      </c>
      <c r="AG2221">
        <v>-8.4118000000000095E-2</v>
      </c>
      <c r="AH2221">
        <v>0.52998121867412396</v>
      </c>
      <c r="AI2221">
        <v>96.922376100028202</v>
      </c>
      <c r="AJ2221">
        <v>130.09880069731599</v>
      </c>
      <c r="AK2221">
        <v>0.69793256679406301</v>
      </c>
      <c r="AL2221">
        <v>82.071524798086998</v>
      </c>
      <c r="AM2221">
        <v>103.21025740504101</v>
      </c>
      <c r="AN2221">
        <v>1.00000001154736</v>
      </c>
    </row>
    <row r="2222" spans="1:40" x14ac:dyDescent="0.25">
      <c r="A2222" t="str">
        <f>"20190303162548470"</f>
        <v>20190303162548470</v>
      </c>
      <c r="B2222" t="str">
        <f>"1551601548464913"</f>
        <v>1551601548464913</v>
      </c>
      <c r="C2222" t="s">
        <v>40</v>
      </c>
      <c r="D2222">
        <v>3.9915400000000001</v>
      </c>
      <c r="E2222">
        <v>0.38159520000000002</v>
      </c>
      <c r="F2222" t="s">
        <v>42</v>
      </c>
      <c r="G2222">
        <v>-491.43759999999997</v>
      </c>
      <c r="H2222">
        <v>1.044162</v>
      </c>
      <c r="I2222">
        <v>231.6078</v>
      </c>
      <c r="J2222">
        <v>-491.94619999999998</v>
      </c>
      <c r="K2222">
        <v>1.1251249999999999</v>
      </c>
      <c r="L2222">
        <v>232.12459999999999</v>
      </c>
      <c r="M2222">
        <v>0.10806159999999999</v>
      </c>
      <c r="N2222">
        <v>-1.329059E-2</v>
      </c>
      <c r="O2222">
        <v>-0.99405549999999998</v>
      </c>
      <c r="P2222">
        <v>0.32686739999999997</v>
      </c>
      <c r="Q2222">
        <v>0.1273302</v>
      </c>
      <c r="R2222">
        <v>-0.93645330000000004</v>
      </c>
      <c r="S2222">
        <v>1.8730469999999999</v>
      </c>
      <c r="T2222">
        <v>-0.28156999999999999</v>
      </c>
      <c r="U2222">
        <v>-2.5910340000000001</v>
      </c>
      <c r="V2222">
        <v>-0.2251397</v>
      </c>
      <c r="W2222">
        <v>0.13791789999999901</v>
      </c>
      <c r="X2222">
        <v>0.96451580000000003</v>
      </c>
      <c r="Y2222">
        <v>-0.4928128</v>
      </c>
      <c r="Z2222">
        <v>7.6933760000000004E-2</v>
      </c>
      <c r="AA2222">
        <v>0.86672759999999904</v>
      </c>
      <c r="AB2222">
        <v>29</v>
      </c>
      <c r="AC2222">
        <v>0.50860000000000105</v>
      </c>
      <c r="AD2222">
        <v>-8.0962999999999896E-2</v>
      </c>
      <c r="AE2222">
        <v>-0.51679999999998905</v>
      </c>
      <c r="AF2222">
        <v>-0.44423147755431502</v>
      </c>
      <c r="AG2222">
        <v>-8.0962999999999896E-2</v>
      </c>
      <c r="AH2222">
        <v>0.561734586248128</v>
      </c>
      <c r="AI2222">
        <v>96.449977748104203</v>
      </c>
      <c r="AJ2222">
        <v>128.33768577271599</v>
      </c>
      <c r="AK2222">
        <v>0.72072349649948697</v>
      </c>
      <c r="AL2222">
        <v>82.072617886796607</v>
      </c>
      <c r="AM2222">
        <v>103.138867897802</v>
      </c>
      <c r="AN2222">
        <v>0.999999980053069</v>
      </c>
    </row>
    <row r="2223" spans="1:40" x14ac:dyDescent="0.25">
      <c r="A2223" t="str">
        <f>"20190303162548490"</f>
        <v>20190303162548490</v>
      </c>
      <c r="B2223" t="str">
        <f>"1551601548485408"</f>
        <v>1551601548485408</v>
      </c>
      <c r="C2223" t="s">
        <v>40</v>
      </c>
      <c r="D2223">
        <v>4.0571400000000004</v>
      </c>
      <c r="E2223">
        <v>0.3816097</v>
      </c>
      <c r="F2223" t="s">
        <v>42</v>
      </c>
      <c r="G2223">
        <v>-491.38929999999999</v>
      </c>
      <c r="H2223">
        <v>1.0442880000000001</v>
      </c>
      <c r="I2223">
        <v>231.35900000000001</v>
      </c>
      <c r="J2223">
        <v>-491.91370000000001</v>
      </c>
      <c r="K2223">
        <v>1.125451</v>
      </c>
      <c r="L2223">
        <v>231.87450000000001</v>
      </c>
      <c r="M2223">
        <v>0.1131896</v>
      </c>
      <c r="N2223">
        <v>-1.3435320000000001E-2</v>
      </c>
      <c r="O2223">
        <v>-0.99348250000000005</v>
      </c>
      <c r="P2223">
        <v>0.3277757</v>
      </c>
      <c r="Q2223">
        <v>0.1282499</v>
      </c>
      <c r="R2223">
        <v>-0.93601040000000002</v>
      </c>
      <c r="S2223">
        <v>1.880096</v>
      </c>
      <c r="T2223">
        <v>-0.2729065</v>
      </c>
      <c r="U2223">
        <v>-2.584457</v>
      </c>
      <c r="V2223">
        <v>-0.2212141</v>
      </c>
      <c r="W2223">
        <v>0.13886899999999999</v>
      </c>
      <c r="X2223">
        <v>0.96528740000000002</v>
      </c>
      <c r="Y2223">
        <v>-0.49104940000000002</v>
      </c>
      <c r="Z2223">
        <v>7.4163129999999994E-2</v>
      </c>
      <c r="AA2223">
        <v>0.86796909999999905</v>
      </c>
      <c r="AB2223">
        <v>29</v>
      </c>
      <c r="AC2223">
        <v>0.52440000000001397</v>
      </c>
      <c r="AD2223">
        <v>-8.1163000000000096E-2</v>
      </c>
      <c r="AE2223">
        <v>-0.51550000000000296</v>
      </c>
      <c r="AF2223">
        <v>-0.45710614526402699</v>
      </c>
      <c r="AG2223">
        <v>-8.1163000000000096E-2</v>
      </c>
      <c r="AH2223">
        <v>0.56466947523580402</v>
      </c>
      <c r="AI2223">
        <v>96.374555266549194</v>
      </c>
      <c r="AJ2223">
        <v>128.990550278179</v>
      </c>
      <c r="AK2223">
        <v>0.73101646826197897</v>
      </c>
      <c r="AL2223">
        <v>82.017594722768905</v>
      </c>
      <c r="AM2223">
        <v>102.907544252962</v>
      </c>
      <c r="AN2223">
        <v>1.0000000208992801</v>
      </c>
    </row>
    <row r="2224" spans="1:40" x14ac:dyDescent="0.25">
      <c r="A2224" t="str">
        <f>"20190303162548513"</f>
        <v>20190303162548513</v>
      </c>
      <c r="B2224" t="str">
        <f>"1551601548504929"</f>
        <v>1551601548504929</v>
      </c>
      <c r="C2224" t="s">
        <v>40</v>
      </c>
      <c r="D2224">
        <v>4.3565880000000003</v>
      </c>
      <c r="E2224">
        <v>0.39728609999999998</v>
      </c>
      <c r="F2224" t="s">
        <v>42</v>
      </c>
      <c r="G2224">
        <v>-491.3537</v>
      </c>
      <c r="H2224">
        <v>1.045785</v>
      </c>
      <c r="I2224">
        <v>231.10640000000001</v>
      </c>
      <c r="J2224">
        <v>-491.87259999999998</v>
      </c>
      <c r="K2224">
        <v>1.1258760000000001</v>
      </c>
      <c r="L2224">
        <v>231.5746</v>
      </c>
      <c r="M2224">
        <v>0.119869</v>
      </c>
      <c r="N2224">
        <v>-1.360338E-2</v>
      </c>
      <c r="O2224">
        <v>-0.99269660000000004</v>
      </c>
      <c r="P2224">
        <v>0.32677859999999997</v>
      </c>
      <c r="Q2224">
        <v>0.1291921</v>
      </c>
      <c r="R2224">
        <v>-0.93622919999999998</v>
      </c>
      <c r="S2224">
        <v>1.88385</v>
      </c>
      <c r="T2224">
        <v>-0.26778469999999999</v>
      </c>
      <c r="U2224">
        <v>-2.582077</v>
      </c>
      <c r="V2224">
        <v>-0.21383640000000001</v>
      </c>
      <c r="W2224">
        <v>0.1398672</v>
      </c>
      <c r="X2224">
        <v>0.96680460000000001</v>
      </c>
      <c r="Y2224">
        <v>-0.4864714</v>
      </c>
      <c r="Z2224">
        <v>7.2452429999999998E-2</v>
      </c>
      <c r="AA2224">
        <v>0.870687199999999</v>
      </c>
      <c r="AB2224">
        <v>29</v>
      </c>
      <c r="AC2224">
        <v>0.51889999999997305</v>
      </c>
      <c r="AD2224">
        <v>-8.0091000000000107E-2</v>
      </c>
      <c r="AE2224">
        <v>-0.46819999999999601</v>
      </c>
      <c r="AF2224">
        <v>-0.45308018581690102</v>
      </c>
      <c r="AG2224">
        <v>-8.0091000000000107E-2</v>
      </c>
      <c r="AH2224">
        <v>0.52019805244097295</v>
      </c>
      <c r="AI2224">
        <v>96.622380317588295</v>
      </c>
      <c r="AJ2224">
        <v>131.05509327539099</v>
      </c>
      <c r="AK2224">
        <v>0.69447983183405604</v>
      </c>
      <c r="AL2224">
        <v>81.959838136261695</v>
      </c>
      <c r="AM2224">
        <v>102.471808906427</v>
      </c>
      <c r="AN2224">
        <v>0.99999998709097904</v>
      </c>
    </row>
    <row r="2225" spans="1:40" x14ac:dyDescent="0.25">
      <c r="A2225" t="str">
        <f>"20190303162548536"</f>
        <v>20190303162548536</v>
      </c>
      <c r="B2225" t="str">
        <f>"1551601548525425"</f>
        <v>1551601548525425</v>
      </c>
      <c r="C2225" t="s">
        <v>40</v>
      </c>
      <c r="D2225">
        <v>4.2485980000000003</v>
      </c>
      <c r="E2225">
        <v>0.45328069999999998</v>
      </c>
      <c r="F2225" t="s">
        <v>42</v>
      </c>
      <c r="G2225">
        <v>-491.33629999999999</v>
      </c>
      <c r="H2225">
        <v>1.0556099999999999</v>
      </c>
      <c r="I2225">
        <v>230.77809999999999</v>
      </c>
      <c r="J2225">
        <v>-491.83049999999997</v>
      </c>
      <c r="K2225">
        <v>1.126304</v>
      </c>
      <c r="L2225">
        <v>231.2867</v>
      </c>
      <c r="M2225">
        <v>0.12685539999999901</v>
      </c>
      <c r="N2225">
        <v>-1.375726E-2</v>
      </c>
      <c r="O2225">
        <v>-0.99182599999999999</v>
      </c>
      <c r="P2225">
        <v>0.32367950000000001</v>
      </c>
      <c r="Q2225">
        <v>0.12964210000000001</v>
      </c>
      <c r="R2225">
        <v>-0.9372431</v>
      </c>
      <c r="S2225">
        <v>1.76416</v>
      </c>
      <c r="T2225">
        <v>-0.23117409999999999</v>
      </c>
      <c r="U2225">
        <v>-2.6204679999999998</v>
      </c>
      <c r="V2225">
        <v>-0.203956</v>
      </c>
      <c r="W2225">
        <v>0.1404087</v>
      </c>
      <c r="X2225">
        <v>0.96885880000000002</v>
      </c>
      <c r="Y2225">
        <v>-0.44741649999999999</v>
      </c>
      <c r="Z2225">
        <v>6.1384189999999998E-2</v>
      </c>
      <c r="AA2225">
        <v>0.89221659999999903</v>
      </c>
      <c r="AB2225">
        <v>29</v>
      </c>
      <c r="AC2225">
        <v>0.49419999999997699</v>
      </c>
      <c r="AD2225">
        <v>-7.0694000000000201E-2</v>
      </c>
      <c r="AE2225">
        <v>-0.50860000000000105</v>
      </c>
      <c r="AF2225">
        <v>-0.421493370715879</v>
      </c>
      <c r="AG2225">
        <v>-7.0694000000000201E-2</v>
      </c>
      <c r="AH2225">
        <v>0.56160724476468105</v>
      </c>
      <c r="AI2225">
        <v>95.749031071153397</v>
      </c>
      <c r="AJ2225">
        <v>126.88869344146499</v>
      </c>
      <c r="AK2225">
        <v>0.70573153575960501</v>
      </c>
      <c r="AL2225">
        <v>81.928503473739497</v>
      </c>
      <c r="AM2225">
        <v>101.88784975304399</v>
      </c>
      <c r="AN2225">
        <v>1.0000000136545599</v>
      </c>
    </row>
    <row r="2226" spans="1:40" x14ac:dyDescent="0.25">
      <c r="A2226" t="str">
        <f>"20190303162548556"</f>
        <v>20190303162548556</v>
      </c>
      <c r="B2226" t="str">
        <f>"1551601548544944"</f>
        <v>1551601548544944</v>
      </c>
      <c r="C2226" t="s">
        <v>40</v>
      </c>
      <c r="D2226">
        <v>4.0558809999999896</v>
      </c>
      <c r="E2226">
        <v>0.52802190000000004</v>
      </c>
      <c r="F2226" t="s">
        <v>46</v>
      </c>
      <c r="G2226">
        <v>-483.96550000000002</v>
      </c>
      <c r="H2226" s="1">
        <v>2.269544E-6</v>
      </c>
      <c r="I2226">
        <v>214.98349999999999</v>
      </c>
      <c r="J2226">
        <v>-491.7901</v>
      </c>
      <c r="K2226">
        <v>1.1266890000000001</v>
      </c>
      <c r="L2226">
        <v>231.02619999999999</v>
      </c>
      <c r="M2226">
        <v>0.13371359999999999</v>
      </c>
      <c r="N2226">
        <v>-1.388875E-2</v>
      </c>
      <c r="O2226">
        <v>-0.99092290000000005</v>
      </c>
      <c r="P2226">
        <v>0.32011220000000001</v>
      </c>
      <c r="Q2226">
        <v>0.129889</v>
      </c>
      <c r="R2226">
        <v>-0.93843330000000003</v>
      </c>
      <c r="S2226">
        <v>1.334595</v>
      </c>
      <c r="T2226">
        <v>-0.1911187</v>
      </c>
      <c r="U2226">
        <v>-2.7664490000000002</v>
      </c>
      <c r="V2226">
        <v>-0.19367789999999999</v>
      </c>
      <c r="W2226">
        <v>0.14076369999999999</v>
      </c>
      <c r="X2226">
        <v>0.97091419999999995</v>
      </c>
      <c r="Y2226">
        <v>-0.30947089999999999</v>
      </c>
      <c r="Z2226">
        <v>4.941562E-2</v>
      </c>
      <c r="AA2226">
        <v>0.94962409999999997</v>
      </c>
      <c r="AB2226">
        <v>29</v>
      </c>
      <c r="AC2226">
        <v>7.82459999999997</v>
      </c>
      <c r="AD2226">
        <v>-1.126686730456</v>
      </c>
      <c r="AE2226">
        <v>-16.0426999999999</v>
      </c>
      <c r="AF2226">
        <v>-5.5867278299453798</v>
      </c>
      <c r="AG2226">
        <v>-1.126686730456</v>
      </c>
      <c r="AH2226">
        <v>16.8777163251135</v>
      </c>
      <c r="AI2226">
        <v>93.626223479454296</v>
      </c>
      <c r="AJ2226">
        <v>108.315166888353</v>
      </c>
      <c r="AK2226">
        <v>17.813990546350698</v>
      </c>
      <c r="AL2226">
        <v>81.907959049482002</v>
      </c>
      <c r="AM2226">
        <v>101.28127805437001</v>
      </c>
      <c r="AN2226">
        <v>0.99999996597386898</v>
      </c>
    </row>
    <row r="2227" spans="1:40" x14ac:dyDescent="0.25">
      <c r="A2227" t="str">
        <f>"20190303162548579"</f>
        <v>20190303162548579</v>
      </c>
      <c r="B2227" t="str">
        <f>"1551601548565440"</f>
        <v>1551601548565440</v>
      </c>
      <c r="C2227" t="s">
        <v>40</v>
      </c>
      <c r="D2227">
        <v>4.0269870000000001</v>
      </c>
      <c r="E2227">
        <v>0.54191709999999904</v>
      </c>
      <c r="F2227" t="s">
        <v>46</v>
      </c>
      <c r="G2227">
        <v>-489.48849999999999</v>
      </c>
      <c r="H2227" s="1">
        <v>4.1793970000000003E-6</v>
      </c>
      <c r="I2227">
        <v>222.0324</v>
      </c>
      <c r="J2227">
        <v>-491.74489999999997</v>
      </c>
      <c r="K2227">
        <v>1.1271070000000001</v>
      </c>
      <c r="L2227">
        <v>230.75110000000001</v>
      </c>
      <c r="M2227">
        <v>0.14150889999999999</v>
      </c>
      <c r="N2227">
        <v>-1.402164E-2</v>
      </c>
      <c r="O2227">
        <v>-0.98983770000000004</v>
      </c>
      <c r="P2227">
        <v>0.31836490000000001</v>
      </c>
      <c r="Q2227">
        <v>0.12971009999999999</v>
      </c>
      <c r="R2227">
        <v>-0.93905229999999995</v>
      </c>
      <c r="S2227">
        <v>0.76461789999999996</v>
      </c>
      <c r="T2227">
        <v>-0.37429119999999999</v>
      </c>
      <c r="U2227">
        <v>-2.987778</v>
      </c>
      <c r="V2227">
        <v>-0.18433869999999999</v>
      </c>
      <c r="W2227">
        <v>0.14068539999999999</v>
      </c>
      <c r="X2227">
        <v>0.972742</v>
      </c>
      <c r="Y2227">
        <v>-0.1068028</v>
      </c>
      <c r="Z2227">
        <v>0.1065049</v>
      </c>
      <c r="AA2227">
        <v>0.98855950000000004</v>
      </c>
      <c r="AB2227">
        <v>29</v>
      </c>
      <c r="AC2227">
        <v>2.2563999999999802</v>
      </c>
      <c r="AD2227">
        <v>-1.1271028206029901</v>
      </c>
      <c r="AE2227">
        <v>-8.7187000000000108</v>
      </c>
      <c r="AF2227">
        <v>-0.98437635111430499</v>
      </c>
      <c r="AG2227">
        <v>-1.1271028206029901</v>
      </c>
      <c r="AH2227">
        <v>8.8122540677511996</v>
      </c>
      <c r="AI2227">
        <v>97.244085302042905</v>
      </c>
      <c r="AJ2227">
        <v>96.3738244539025</v>
      </c>
      <c r="AK2227">
        <v>8.9384103353695892</v>
      </c>
      <c r="AL2227">
        <v>81.912491234951503</v>
      </c>
      <c r="AM2227">
        <v>100.73054743268101</v>
      </c>
      <c r="AN2227">
        <v>1.0000000683274199</v>
      </c>
    </row>
    <row r="2228" spans="1:40" x14ac:dyDescent="0.25">
      <c r="A2228" t="str">
        <f>"20190303162548599"</f>
        <v>20190303162548599</v>
      </c>
      <c r="B2228" t="str">
        <f>"1551601548584960"</f>
        <v>1551601548584960</v>
      </c>
      <c r="C2228" t="s">
        <v>40</v>
      </c>
      <c r="D2228">
        <v>4.0560419999999997</v>
      </c>
      <c r="E2228">
        <v>0.54674179999999994</v>
      </c>
      <c r="F2228" t="s">
        <v>42</v>
      </c>
      <c r="G2228">
        <v>-491.54520000000002</v>
      </c>
      <c r="H2228">
        <v>0.97223329999999997</v>
      </c>
      <c r="I2228">
        <v>229.828</v>
      </c>
      <c r="J2228">
        <v>-491.69889999999998</v>
      </c>
      <c r="K2228">
        <v>1.1274869999999999</v>
      </c>
      <c r="L2228">
        <v>230.488</v>
      </c>
      <c r="M2228">
        <v>0.1495107</v>
      </c>
      <c r="N2228">
        <v>-1.4145029999999999E-2</v>
      </c>
      <c r="O2228">
        <v>-0.98865890000000001</v>
      </c>
      <c r="P2228">
        <v>0.317916799999999</v>
      </c>
      <c r="Q2228">
        <v>0.12942139999999999</v>
      </c>
      <c r="R2228">
        <v>-0.93924410000000003</v>
      </c>
      <c r="S2228">
        <v>0.65881350000000005</v>
      </c>
      <c r="T2228">
        <v>-0.5111985</v>
      </c>
      <c r="U2228">
        <v>-3.0419459999999998</v>
      </c>
      <c r="V2228">
        <v>-0.1761085</v>
      </c>
      <c r="W2228">
        <v>0.14049420000000001</v>
      </c>
      <c r="X2228">
        <v>0.97429319999999997</v>
      </c>
      <c r="Y2228">
        <v>-6.0740929999999999E-2</v>
      </c>
      <c r="Z2228">
        <v>0.147258</v>
      </c>
      <c r="AA2228">
        <v>0.98723130000000003</v>
      </c>
      <c r="AB2228">
        <v>29</v>
      </c>
      <c r="AC2228">
        <v>0.15369999999995701</v>
      </c>
      <c r="AD2228">
        <v>-0.15525369999999999</v>
      </c>
      <c r="AE2228">
        <v>-0.65999999999999603</v>
      </c>
      <c r="AF2228">
        <v>-5.0627793918213801E-2</v>
      </c>
      <c r="AG2228">
        <v>-0.15525369999999999</v>
      </c>
      <c r="AH2228">
        <v>0.641871738606271</v>
      </c>
      <c r="AI2228">
        <v>103.556806490667</v>
      </c>
      <c r="AJ2228">
        <v>94.509881954073805</v>
      </c>
      <c r="AK2228">
        <v>0.66231881575427998</v>
      </c>
      <c r="AL2228">
        <v>81.923555786998605</v>
      </c>
      <c r="AM2228">
        <v>100.245876482371</v>
      </c>
      <c r="AN2228">
        <v>1.00000003178606</v>
      </c>
    </row>
    <row r="2229" spans="1:40" x14ac:dyDescent="0.25">
      <c r="A2229" t="str">
        <f>"20190303162548624"</f>
        <v>20190303162548624</v>
      </c>
      <c r="B2229" t="str">
        <f>"1551601548615217"</f>
        <v>1551601548615217</v>
      </c>
      <c r="C2229" t="s">
        <v>40</v>
      </c>
      <c r="D2229">
        <v>4.0559329999999996</v>
      </c>
      <c r="E2229">
        <v>0.54957780000000001</v>
      </c>
      <c r="F2229" t="s">
        <v>42</v>
      </c>
      <c r="G2229">
        <v>-491.51620000000003</v>
      </c>
      <c r="H2229">
        <v>0.94390799999999997</v>
      </c>
      <c r="I2229">
        <v>229.59030000000001</v>
      </c>
      <c r="J2229">
        <v>-491.64080000000001</v>
      </c>
      <c r="K2229">
        <v>1.1278900000000001</v>
      </c>
      <c r="L2229">
        <v>230.1765</v>
      </c>
      <c r="M2229">
        <v>0.15956809999999999</v>
      </c>
      <c r="N2229">
        <v>-1.428249E-2</v>
      </c>
      <c r="O2229">
        <v>-0.98708359999999995</v>
      </c>
      <c r="P2229">
        <v>0.32087660000000001</v>
      </c>
      <c r="Q2229">
        <v>0.1277819</v>
      </c>
      <c r="R2229">
        <v>-0.93846169999999995</v>
      </c>
      <c r="S2229">
        <v>0.62484740000000005</v>
      </c>
      <c r="T2229">
        <v>-0.62809609999999905</v>
      </c>
      <c r="U2229">
        <v>-3.0690770000000001</v>
      </c>
      <c r="V2229">
        <v>-0.16932529999999901</v>
      </c>
      <c r="W2229">
        <v>0.1389464</v>
      </c>
      <c r="X2229">
        <v>0.97571660000000004</v>
      </c>
      <c r="Y2229">
        <v>-3.7172379999999998E-2</v>
      </c>
      <c r="Z2229">
        <v>0.18093590000000001</v>
      </c>
      <c r="AA2229">
        <v>0.98279209999999995</v>
      </c>
      <c r="AB2229">
        <v>29</v>
      </c>
      <c r="AC2229">
        <v>0.124599999999986</v>
      </c>
      <c r="AD2229">
        <v>-0.18398200000000001</v>
      </c>
      <c r="AE2229">
        <v>-0.58619999999999095</v>
      </c>
      <c r="AF2229">
        <v>-2.6917869386381101E-2</v>
      </c>
      <c r="AG2229">
        <v>-0.18398200000000001</v>
      </c>
      <c r="AH2229">
        <v>0.54701688632287504</v>
      </c>
      <c r="AI2229">
        <v>108.568769742996</v>
      </c>
      <c r="AJ2229">
        <v>92.817165775388105</v>
      </c>
      <c r="AK2229">
        <v>0.57775550359877603</v>
      </c>
      <c r="AL2229">
        <v>82.013116619827798</v>
      </c>
      <c r="AM2229">
        <v>99.845027456453707</v>
      </c>
      <c r="AN2229">
        <v>1.0000000214043001</v>
      </c>
    </row>
    <row r="2230" spans="1:40" x14ac:dyDescent="0.25">
      <c r="A2230" t="str">
        <f>"20190303162548648"</f>
        <v>20190303162548648</v>
      </c>
      <c r="B2230" t="str">
        <f>"1551601548635712"</f>
        <v>1551601548635712</v>
      </c>
      <c r="C2230" t="s">
        <v>40</v>
      </c>
      <c r="D2230">
        <v>4.110398</v>
      </c>
      <c r="E2230">
        <v>0.55065050000000004</v>
      </c>
      <c r="F2230" t="s">
        <v>42</v>
      </c>
      <c r="G2230">
        <v>-491.47539999999998</v>
      </c>
      <c r="H2230">
        <v>0.93222749999999999</v>
      </c>
      <c r="I2230">
        <v>229.3468</v>
      </c>
      <c r="J2230">
        <v>-491.58339999999998</v>
      </c>
      <c r="K2230">
        <v>1.1282319999999999</v>
      </c>
      <c r="L2230">
        <v>229.88730000000001</v>
      </c>
      <c r="M2230">
        <v>0.16940639999999901</v>
      </c>
      <c r="N2230">
        <v>-1.439729E-2</v>
      </c>
      <c r="O2230">
        <v>-0.98544120000000002</v>
      </c>
      <c r="P2230">
        <v>0.32663389999999998</v>
      </c>
      <c r="Q2230">
        <v>0.12501489999999901</v>
      </c>
      <c r="R2230">
        <v>-0.93684670000000003</v>
      </c>
      <c r="S2230">
        <v>0.61578369999999905</v>
      </c>
      <c r="T2230">
        <v>-0.72845409999999999</v>
      </c>
      <c r="U2230">
        <v>-3.0853120000000001</v>
      </c>
      <c r="V2230">
        <v>-0.16558499999999901</v>
      </c>
      <c r="W2230">
        <v>0.13622879999999901</v>
      </c>
      <c r="X2230">
        <v>0.97674119999999998</v>
      </c>
      <c r="Y2230">
        <v>-2.231559E-2</v>
      </c>
      <c r="Z2230">
        <v>0.2089984</v>
      </c>
      <c r="AA2230">
        <v>0.97766129999999996</v>
      </c>
      <c r="AB2230">
        <v>29</v>
      </c>
      <c r="AC2230">
        <v>0.108000000000004</v>
      </c>
      <c r="AD2230">
        <v>-0.196004499999999</v>
      </c>
      <c r="AE2230">
        <v>-0.54050000000000797</v>
      </c>
      <c r="AF2230">
        <v>-1.3196285042472101E-2</v>
      </c>
      <c r="AG2230">
        <v>-0.196004499999999</v>
      </c>
      <c r="AH2230">
        <v>0.489130593408515</v>
      </c>
      <c r="AI2230">
        <v>111.829776372407</v>
      </c>
      <c r="AJ2230">
        <v>91.545411558919994</v>
      </c>
      <c r="AK2230">
        <v>0.52710591285560304</v>
      </c>
      <c r="AL2230">
        <v>82.170318761253696</v>
      </c>
      <c r="AM2230">
        <v>99.621760285298393</v>
      </c>
      <c r="AN2230">
        <v>1.00000002497593</v>
      </c>
    </row>
    <row r="2231" spans="1:40" x14ac:dyDescent="0.25">
      <c r="A2231" t="str">
        <f>"20190303162548667"</f>
        <v>20190303162548667</v>
      </c>
      <c r="B2231" t="str">
        <f>"1551601548655232"</f>
        <v>1551601548655232</v>
      </c>
      <c r="C2231" t="s">
        <v>40</v>
      </c>
      <c r="D2231">
        <v>4.1216039999999996</v>
      </c>
      <c r="E2231">
        <v>0.55113400000000001</v>
      </c>
      <c r="F2231" t="s">
        <v>42</v>
      </c>
      <c r="G2231">
        <v>-491.42380000000003</v>
      </c>
      <c r="H2231">
        <v>0.93150330000000003</v>
      </c>
      <c r="I2231">
        <v>229.1002</v>
      </c>
      <c r="J2231">
        <v>-491.53300000000002</v>
      </c>
      <c r="K2231">
        <v>1.1285050000000001</v>
      </c>
      <c r="L2231">
        <v>229.64580000000001</v>
      </c>
      <c r="M2231">
        <v>0.17799309999999999</v>
      </c>
      <c r="N2231">
        <v>-1.448609E-2</v>
      </c>
      <c r="O2231">
        <v>-0.98392520000000006</v>
      </c>
      <c r="P2231">
        <v>0.33304889999999998</v>
      </c>
      <c r="Q2231">
        <v>0.1226319</v>
      </c>
      <c r="R2231">
        <v>-0.93490090000000003</v>
      </c>
      <c r="S2231">
        <v>0.62698359999999997</v>
      </c>
      <c r="T2231">
        <v>-0.772534099999999</v>
      </c>
      <c r="U2231">
        <v>-3.0867309999999999</v>
      </c>
      <c r="V2231">
        <v>-0.1637535</v>
      </c>
      <c r="W2231">
        <v>0.1338655</v>
      </c>
      <c r="X2231">
        <v>0.97737649999999998</v>
      </c>
      <c r="Y2231">
        <v>-1.6385299999999998E-2</v>
      </c>
      <c r="Z2231">
        <v>0.2210078</v>
      </c>
      <c r="AA2231">
        <v>0.97513439999999996</v>
      </c>
      <c r="AB2231">
        <v>29</v>
      </c>
      <c r="AC2231">
        <v>0.109199999999987</v>
      </c>
      <c r="AD2231">
        <v>-0.197001699999999</v>
      </c>
      <c r="AE2231">
        <v>-0.54560000000000697</v>
      </c>
      <c r="AF2231">
        <v>-9.1817263274607507E-3</v>
      </c>
      <c r="AG2231">
        <v>-0.197001699999999</v>
      </c>
      <c r="AH2231">
        <v>0.49435594848217601</v>
      </c>
      <c r="AI2231">
        <v>111.723969621873</v>
      </c>
      <c r="AJ2231">
        <v>91.064038350841102</v>
      </c>
      <c r="AK2231">
        <v>0.53224221713516295</v>
      </c>
      <c r="AL2231">
        <v>82.3069776379985</v>
      </c>
      <c r="AM2231">
        <v>99.5112202596044</v>
      </c>
      <c r="AN2231">
        <v>1.00000000180237</v>
      </c>
    </row>
    <row r="2232" spans="1:40" x14ac:dyDescent="0.25">
      <c r="A2232" t="str">
        <f>"20190303162548691"</f>
        <v>20190303162548691</v>
      </c>
      <c r="B2232" t="str">
        <f>"1551601548685488"</f>
        <v>1551601548685488</v>
      </c>
      <c r="C2232" t="s">
        <v>40</v>
      </c>
      <c r="D2232">
        <v>4.1919219999999999</v>
      </c>
      <c r="E2232">
        <v>0.55174919999999905</v>
      </c>
      <c r="F2232" t="s">
        <v>42</v>
      </c>
      <c r="G2232">
        <v>-491.36759999999998</v>
      </c>
      <c r="H2232">
        <v>0.92218169999999999</v>
      </c>
      <c r="I2232">
        <v>228.8587</v>
      </c>
      <c r="J2232">
        <v>-491.46890000000002</v>
      </c>
      <c r="K2232">
        <v>1.128814</v>
      </c>
      <c r="L2232">
        <v>229.35550000000001</v>
      </c>
      <c r="M2232">
        <v>0.1887527</v>
      </c>
      <c r="N2232">
        <v>-1.458893E-2</v>
      </c>
      <c r="O2232">
        <v>-0.98191640000000002</v>
      </c>
      <c r="P2232">
        <v>0.34268910000000002</v>
      </c>
      <c r="Q2232">
        <v>0.12100180000000001</v>
      </c>
      <c r="R2232">
        <v>-0.93162409999999996</v>
      </c>
      <c r="S2232">
        <v>0.64810179999999995</v>
      </c>
      <c r="T2232">
        <v>-0.80850269999999902</v>
      </c>
      <c r="U2232">
        <v>-3.0840610000000002</v>
      </c>
      <c r="V2232">
        <v>-0.1631852</v>
      </c>
      <c r="W2232">
        <v>0.1322265</v>
      </c>
      <c r="X2232">
        <v>0.97769459999999997</v>
      </c>
      <c r="Y2232">
        <v>-1.154085E-2</v>
      </c>
      <c r="Z2232">
        <v>0.23055290000000001</v>
      </c>
      <c r="AA2232">
        <v>0.9729913</v>
      </c>
      <c r="AB2232">
        <v>29</v>
      </c>
      <c r="AC2232">
        <v>0.101300000000037</v>
      </c>
      <c r="AD2232">
        <v>-0.20663229999999999</v>
      </c>
      <c r="AE2232">
        <v>-0.49680000000000701</v>
      </c>
      <c r="AF2232">
        <v>-4.8850421011932803E-3</v>
      </c>
      <c r="AG2232">
        <v>-0.20663229999999999</v>
      </c>
      <c r="AH2232">
        <v>0.434778532534213</v>
      </c>
      <c r="AI2232">
        <v>115.418410810184</v>
      </c>
      <c r="AJ2232">
        <v>90.643731226657806</v>
      </c>
      <c r="AK2232">
        <v>0.48140746088134601</v>
      </c>
      <c r="AL2232">
        <v>82.401727712452796</v>
      </c>
      <c r="AM2232">
        <v>99.475783885000993</v>
      </c>
      <c r="AN2232">
        <v>0.99999999383522498</v>
      </c>
    </row>
    <row r="2233" spans="1:40" x14ac:dyDescent="0.25">
      <c r="A2233" t="str">
        <f>"20190303162548713"</f>
        <v>20190303162548713</v>
      </c>
      <c r="B2233" t="str">
        <f>"1551601548705011"</f>
        <v>1551601548705011</v>
      </c>
      <c r="C2233" t="s">
        <v>40</v>
      </c>
      <c r="D2233">
        <v>4.2657910000000001</v>
      </c>
      <c r="E2233">
        <v>0.55221999999999904</v>
      </c>
      <c r="F2233" t="s">
        <v>42</v>
      </c>
      <c r="G2233">
        <v>-491.30489999999998</v>
      </c>
      <c r="H2233">
        <v>0.92663419999999996</v>
      </c>
      <c r="I2233">
        <v>228.61259999999999</v>
      </c>
      <c r="J2233">
        <v>-491.40440000000001</v>
      </c>
      <c r="K2233">
        <v>1.129087</v>
      </c>
      <c r="L2233">
        <v>229.0796</v>
      </c>
      <c r="M2233">
        <v>0.1993801</v>
      </c>
      <c r="N2233">
        <v>-1.468353E-2</v>
      </c>
      <c r="O2233">
        <v>-0.97981220000000002</v>
      </c>
      <c r="P2233">
        <v>0.35165220000000003</v>
      </c>
      <c r="Q2233">
        <v>0.1174882</v>
      </c>
      <c r="R2233">
        <v>-0.92872889999999997</v>
      </c>
      <c r="S2233">
        <v>0.68133540000000004</v>
      </c>
      <c r="T2233">
        <v>-0.84009349999999905</v>
      </c>
      <c r="U2233">
        <v>-3.0786899999999999</v>
      </c>
      <c r="V2233">
        <v>-0.16194839999999999</v>
      </c>
      <c r="W2233">
        <v>0.12872620000000001</v>
      </c>
      <c r="X2233">
        <v>0.97836710000000005</v>
      </c>
      <c r="Y2233">
        <v>-1.063099E-2</v>
      </c>
      <c r="Z2233">
        <v>0.2387997</v>
      </c>
      <c r="AA2233">
        <v>0.9710107</v>
      </c>
      <c r="AB2233">
        <v>29</v>
      </c>
      <c r="AC2233">
        <v>9.9500000000034505E-2</v>
      </c>
      <c r="AD2233">
        <v>-0.20245279999999999</v>
      </c>
      <c r="AE2233">
        <v>-0.46700000000001302</v>
      </c>
      <c r="AF2233">
        <v>-3.7136518254299298E-3</v>
      </c>
      <c r="AG2233">
        <v>-0.20245279999999999</v>
      </c>
      <c r="AH2233">
        <v>0.404705509657873</v>
      </c>
      <c r="AI2233">
        <v>116.575415971986</v>
      </c>
      <c r="AJ2233">
        <v>90.525741803132107</v>
      </c>
      <c r="AK2233">
        <v>0.45253450364050701</v>
      </c>
      <c r="AL2233">
        <v>82.6040091400412</v>
      </c>
      <c r="AM2233">
        <v>99.398904270567897</v>
      </c>
      <c r="AN2233">
        <v>0.99999995059570301</v>
      </c>
    </row>
    <row r="2234" spans="1:40" x14ac:dyDescent="0.25">
      <c r="A2234" t="str">
        <f>"20190303162548738"</f>
        <v>20190303162548738</v>
      </c>
      <c r="B2234" t="str">
        <f>"1551601548725506"</f>
        <v>1551601548725506</v>
      </c>
      <c r="C2234" t="s">
        <v>40</v>
      </c>
      <c r="D2234">
        <v>4.2466200000000001</v>
      </c>
      <c r="E2234">
        <v>0.55239729999999998</v>
      </c>
      <c r="F2234" t="s">
        <v>42</v>
      </c>
      <c r="G2234">
        <v>-491.24029999999999</v>
      </c>
      <c r="H2234">
        <v>0.92949590000000004</v>
      </c>
      <c r="I2234">
        <v>228.36850000000001</v>
      </c>
      <c r="J2234">
        <v>-491.33260000000001</v>
      </c>
      <c r="K2234">
        <v>1.1293489999999999</v>
      </c>
      <c r="L2234">
        <v>228.78809999999999</v>
      </c>
      <c r="M2234">
        <v>0.21097160000000001</v>
      </c>
      <c r="N2234">
        <v>-1.4777500000000001E-2</v>
      </c>
      <c r="O2234">
        <v>-0.97738060000000004</v>
      </c>
      <c r="P2234">
        <v>0.36272480000000001</v>
      </c>
      <c r="Q2234">
        <v>0.1137637</v>
      </c>
      <c r="R2234">
        <v>-0.92492640000000004</v>
      </c>
      <c r="S2234">
        <v>0.70956419999999998</v>
      </c>
      <c r="T2234">
        <v>-0.86281189999999996</v>
      </c>
      <c r="U2234">
        <v>-3.0706790000000002</v>
      </c>
      <c r="V2234">
        <v>-0.1619662</v>
      </c>
      <c r="W2234">
        <v>0.12499159999999999</v>
      </c>
      <c r="X2234">
        <v>0.9788483</v>
      </c>
      <c r="Y2234">
        <v>-7.4688749999999998E-3</v>
      </c>
      <c r="Z2234">
        <v>0.24456649999999999</v>
      </c>
      <c r="AA2234">
        <v>0.96960380000000002</v>
      </c>
      <c r="AB2234">
        <v>29</v>
      </c>
      <c r="AC2234">
        <v>9.2300000000022905E-2</v>
      </c>
      <c r="AD2234">
        <v>-0.19985309999999901</v>
      </c>
      <c r="AE2234">
        <v>-0.41959999999997399</v>
      </c>
      <c r="AF2234">
        <v>-1.3883177889940301E-3</v>
      </c>
      <c r="AG2234">
        <v>-0.19985309999999901</v>
      </c>
      <c r="AH2234">
        <v>0.353200765687466</v>
      </c>
      <c r="AI2234">
        <v>119.5024794476</v>
      </c>
      <c r="AJ2234">
        <v>90.225209988206302</v>
      </c>
      <c r="AK2234">
        <v>0.40582504837442601</v>
      </c>
      <c r="AL2234">
        <v>82.819729106941296</v>
      </c>
      <c r="AM2234">
        <v>99.395380312689795</v>
      </c>
      <c r="AN2234">
        <v>0.99999997221294401</v>
      </c>
    </row>
    <row r="2235" spans="1:40" x14ac:dyDescent="0.25">
      <c r="A2235" t="str">
        <f>"20190303162548757"</f>
        <v>20190303162548757</v>
      </c>
      <c r="B2235" t="str">
        <f>"1551601548745025"</f>
        <v>1551601548745025</v>
      </c>
      <c r="C2235" t="s">
        <v>40</v>
      </c>
      <c r="D2235">
        <v>4.2583260000000003</v>
      </c>
      <c r="E2235">
        <v>0.55239179999999999</v>
      </c>
      <c r="F2235" t="s">
        <v>42</v>
      </c>
      <c r="G2235">
        <v>-491.17180000000002</v>
      </c>
      <c r="H2235">
        <v>0.93701780000000001</v>
      </c>
      <c r="I2235">
        <v>228.1234</v>
      </c>
      <c r="J2235">
        <v>-491.27019999999999</v>
      </c>
      <c r="K2235">
        <v>1.1295489999999999</v>
      </c>
      <c r="L2235">
        <v>228.548</v>
      </c>
      <c r="M2235">
        <v>0.22079689999999999</v>
      </c>
      <c r="N2235">
        <v>-1.484824E-2</v>
      </c>
      <c r="O2235">
        <v>-0.97520689999999999</v>
      </c>
      <c r="P2235">
        <v>0.37318580000000001</v>
      </c>
      <c r="Q2235">
        <v>0.1141392</v>
      </c>
      <c r="R2235">
        <v>-0.92070870000000005</v>
      </c>
      <c r="S2235">
        <v>0.74255369999999998</v>
      </c>
      <c r="T2235">
        <v>-0.88809380000000004</v>
      </c>
      <c r="U2235">
        <v>-3.0615389999999998</v>
      </c>
      <c r="V2235">
        <v>-0.16329299999999999</v>
      </c>
      <c r="W2235">
        <v>0.12532839999999901</v>
      </c>
      <c r="X2235">
        <v>0.97858480000000003</v>
      </c>
      <c r="Y2235">
        <v>-7.5061499999999996E-3</v>
      </c>
      <c r="Z2235">
        <v>0.25113940000000001</v>
      </c>
      <c r="AA2235">
        <v>0.9679219</v>
      </c>
      <c r="AB2235">
        <v>29</v>
      </c>
      <c r="AC2235">
        <v>9.8399999999969595E-2</v>
      </c>
      <c r="AD2235">
        <v>-0.19253119999999899</v>
      </c>
      <c r="AE2235">
        <v>-0.42459999999999798</v>
      </c>
      <c r="AF2235">
        <v>-1.84937200200589E-3</v>
      </c>
      <c r="AG2235">
        <v>-0.19253119999999899</v>
      </c>
      <c r="AH2235">
        <v>0.364686290426261</v>
      </c>
      <c r="AI2235">
        <v>117.830904132398</v>
      </c>
      <c r="AJ2235">
        <v>90.290551920781397</v>
      </c>
      <c r="AK2235">
        <v>0.41239274190401198</v>
      </c>
      <c r="AL2235">
        <v>82.800279225259601</v>
      </c>
      <c r="AM2235">
        <v>99.473460835259004</v>
      </c>
      <c r="AN2235">
        <v>1.0000000112433001</v>
      </c>
    </row>
    <row r="2236" spans="1:40" x14ac:dyDescent="0.25">
      <c r="A2236" t="str">
        <f>"20190303162548781"</f>
        <v>20190303162548781</v>
      </c>
      <c r="B2236" t="str">
        <f>"1551601548775281"</f>
        <v>1551601548775281</v>
      </c>
      <c r="C2236" t="s">
        <v>40</v>
      </c>
      <c r="D2236">
        <v>4.2736090000000004</v>
      </c>
      <c r="E2236">
        <v>0.55272569999999999</v>
      </c>
      <c r="F2236" t="s">
        <v>42</v>
      </c>
      <c r="G2236">
        <v>-491.10149999999999</v>
      </c>
      <c r="H2236">
        <v>0.93412649999999997</v>
      </c>
      <c r="I2236">
        <v>227.8844</v>
      </c>
      <c r="J2236">
        <v>-491.1943</v>
      </c>
      <c r="K2236">
        <v>1.12974</v>
      </c>
      <c r="L2236">
        <v>228.2698</v>
      </c>
      <c r="M2236">
        <v>0.2324272</v>
      </c>
      <c r="N2236">
        <v>-1.492169E-2</v>
      </c>
      <c r="O2236">
        <v>-0.97249929999999996</v>
      </c>
      <c r="P2236">
        <v>0.38524249999999999</v>
      </c>
      <c r="Q2236">
        <v>0.1160717</v>
      </c>
      <c r="R2236">
        <v>-0.91548640000000003</v>
      </c>
      <c r="S2236">
        <v>0.77697749999999999</v>
      </c>
      <c r="T2236">
        <v>-0.90016779999999996</v>
      </c>
      <c r="U2236">
        <v>-3.0550380000000001</v>
      </c>
      <c r="V2236">
        <v>-0.1646135</v>
      </c>
      <c r="W2236">
        <v>0.1272238</v>
      </c>
      <c r="X2236">
        <v>0.97811879999999995</v>
      </c>
      <c r="Y2236">
        <v>-6.1262769999999899E-3</v>
      </c>
      <c r="Z2236">
        <v>0.25355299999999997</v>
      </c>
      <c r="AA2236">
        <v>0.96730210000000005</v>
      </c>
      <c r="AB2236">
        <v>28</v>
      </c>
      <c r="AC2236">
        <v>9.2800000000011096E-2</v>
      </c>
      <c r="AD2236">
        <v>-0.1956135</v>
      </c>
      <c r="AE2236">
        <v>-0.38540000000000402</v>
      </c>
      <c r="AF2236">
        <v>-5.3925806560744995E-4</v>
      </c>
      <c r="AG2236">
        <v>-0.1956135</v>
      </c>
      <c r="AH2236">
        <v>0.31878967126914598</v>
      </c>
      <c r="AI2236">
        <v>121.533784649876</v>
      </c>
      <c r="AJ2236">
        <v>90.096920272336703</v>
      </c>
      <c r="AK2236">
        <v>0.37402110460427401</v>
      </c>
      <c r="AL2236">
        <v>82.690803958495493</v>
      </c>
      <c r="AM2236">
        <v>99.553130033905404</v>
      </c>
      <c r="AN2236">
        <v>0.99999994329106301</v>
      </c>
    </row>
    <row r="2237" spans="1:40" x14ac:dyDescent="0.25">
      <c r="A2237" t="str">
        <f>"20190303162548807"</f>
        <v>20190303162548807</v>
      </c>
      <c r="B2237" t="str">
        <f>"1551601548794800"</f>
        <v>1551601548794800</v>
      </c>
      <c r="C2237" t="s">
        <v>40</v>
      </c>
      <c r="D2237">
        <v>4.2901220000000002</v>
      </c>
      <c r="E2237">
        <v>0.55287359999999997</v>
      </c>
      <c r="F2237" t="s">
        <v>42</v>
      </c>
      <c r="G2237">
        <v>-490.96969999999999</v>
      </c>
      <c r="H2237">
        <v>0.88004989999999905</v>
      </c>
      <c r="I2237">
        <v>227.428</v>
      </c>
      <c r="J2237">
        <v>-491.10070000000002</v>
      </c>
      <c r="K2237">
        <v>1.1298919999999999</v>
      </c>
      <c r="L2237">
        <v>227.94479999999999</v>
      </c>
      <c r="M2237">
        <v>0.24626790000000001</v>
      </c>
      <c r="N2237">
        <v>-1.499555E-2</v>
      </c>
      <c r="O2237">
        <v>-0.96908589999999994</v>
      </c>
      <c r="P2237">
        <v>0.39990360000000003</v>
      </c>
      <c r="Q2237">
        <v>0.1145793</v>
      </c>
      <c r="R2237">
        <v>-0.90936729999999999</v>
      </c>
      <c r="S2237">
        <v>0.81405640000000001</v>
      </c>
      <c r="T2237">
        <v>-0.90522049999999998</v>
      </c>
      <c r="U2237">
        <v>-3.0491489999999999</v>
      </c>
      <c r="V2237">
        <v>-0.16636129999999999</v>
      </c>
      <c r="W2237">
        <v>0.12570019999999901</v>
      </c>
      <c r="X2237">
        <v>0.97802009999999995</v>
      </c>
      <c r="Y2237">
        <v>-3.297726E-3</v>
      </c>
      <c r="Z2237">
        <v>0.25364049999999999</v>
      </c>
      <c r="AA2237">
        <v>0.96729290000000001</v>
      </c>
      <c r="AB2237">
        <v>28</v>
      </c>
      <c r="AC2237">
        <v>0.13100000000002801</v>
      </c>
      <c r="AD2237">
        <v>-0.24984210000000001</v>
      </c>
      <c r="AE2237">
        <v>-0.51679999999998905</v>
      </c>
      <c r="AF2237">
        <v>2.6322787322327602E-4</v>
      </c>
      <c r="AG2237">
        <v>-0.24984210000000001</v>
      </c>
      <c r="AH2237">
        <v>0.43714548805561099</v>
      </c>
      <c r="AI2237">
        <v>119.749291066919</v>
      </c>
      <c r="AJ2237">
        <v>89.965499256482801</v>
      </c>
      <c r="AK2237">
        <v>0.50350503666666702</v>
      </c>
      <c r="AL2237">
        <v>82.778806541771104</v>
      </c>
      <c r="AM2237">
        <v>99.653618479460505</v>
      </c>
      <c r="AN2237">
        <v>0.99999996921086898</v>
      </c>
    </row>
    <row r="2238" spans="1:40" x14ac:dyDescent="0.25">
      <c r="A2238" t="str">
        <f>"20190303162548830"</f>
        <v>20190303162548830</v>
      </c>
      <c r="B2238" t="str">
        <f>"1551601548825056"</f>
        <v>1551601548825056</v>
      </c>
      <c r="C2238" t="s">
        <v>40</v>
      </c>
      <c r="D2238">
        <v>4.3311630000000001</v>
      </c>
      <c r="E2238">
        <v>0.55300919999999998</v>
      </c>
      <c r="F2238" t="s">
        <v>42</v>
      </c>
      <c r="G2238">
        <v>-490.88569999999999</v>
      </c>
      <c r="H2238">
        <v>0.90081290000000003</v>
      </c>
      <c r="I2238">
        <v>227.1833</v>
      </c>
      <c r="J2238">
        <v>-491.01830000000001</v>
      </c>
      <c r="K2238">
        <v>1.1299650000000001</v>
      </c>
      <c r="L2238">
        <v>227.67230000000001</v>
      </c>
      <c r="M2238">
        <v>0.25801809999999997</v>
      </c>
      <c r="N2238">
        <v>-1.5047380000000001E-2</v>
      </c>
      <c r="O2238">
        <v>-0.96602319999999997</v>
      </c>
      <c r="P2238">
        <v>0.41210639999999998</v>
      </c>
      <c r="Q2238">
        <v>0.112178</v>
      </c>
      <c r="R2238">
        <v>-0.90420400000000001</v>
      </c>
      <c r="S2238">
        <v>0.85864259999999903</v>
      </c>
      <c r="T2238">
        <v>-0.91539440000000005</v>
      </c>
      <c r="U2238">
        <v>-3.0367739999999999</v>
      </c>
      <c r="V2238">
        <v>-0.167548799999999</v>
      </c>
      <c r="W2238">
        <v>0.1232887</v>
      </c>
      <c r="X2238">
        <v>0.9781244</v>
      </c>
      <c r="Y2238">
        <v>-5.1491459999999899E-3</v>
      </c>
      <c r="Z2238">
        <v>0.25569330000000001</v>
      </c>
      <c r="AA2238">
        <v>0.96674420000000005</v>
      </c>
      <c r="AB2238">
        <v>28</v>
      </c>
      <c r="AC2238">
        <v>0.132600000000024</v>
      </c>
      <c r="AD2238">
        <v>-0.229152099999999</v>
      </c>
      <c r="AE2238">
        <v>-0.48900000000000399</v>
      </c>
      <c r="AF2238">
        <v>-1.5973024599586E-3</v>
      </c>
      <c r="AG2238">
        <v>-0.229152099999999</v>
      </c>
      <c r="AH2238">
        <v>0.42061566163663999</v>
      </c>
      <c r="AI2238">
        <v>118.581447022975</v>
      </c>
      <c r="AJ2238">
        <v>90.217581649886</v>
      </c>
      <c r="AK2238">
        <v>0.47898932255697202</v>
      </c>
      <c r="AL2238">
        <v>82.918059075577006</v>
      </c>
      <c r="AM2238">
        <v>99.720199613531406</v>
      </c>
      <c r="AN2238">
        <v>1.0000000229022401</v>
      </c>
    </row>
    <row r="2239" spans="1:40" x14ac:dyDescent="0.25">
      <c r="A2239" t="str">
        <f>"20190303162548856"</f>
        <v>20190303162548856</v>
      </c>
      <c r="B2239" t="str">
        <f>"1551601548845553"</f>
        <v>1551601548845553</v>
      </c>
      <c r="C2239" t="s">
        <v>40</v>
      </c>
      <c r="D2239">
        <v>4.3347899999999999</v>
      </c>
      <c r="E2239">
        <v>0.55303880000000005</v>
      </c>
      <c r="F2239" t="s">
        <v>42</v>
      </c>
      <c r="G2239">
        <v>-490.80329999999998</v>
      </c>
      <c r="H2239">
        <v>0.90648260000000003</v>
      </c>
      <c r="I2239">
        <v>226.94560000000001</v>
      </c>
      <c r="J2239">
        <v>-490.92450000000002</v>
      </c>
      <c r="K2239">
        <v>1.1300190000000001</v>
      </c>
      <c r="L2239">
        <v>227.37559999999999</v>
      </c>
      <c r="M2239">
        <v>0.27090910000000001</v>
      </c>
      <c r="N2239">
        <v>-1.5094120000000001E-2</v>
      </c>
      <c r="O2239">
        <v>-0.96248659999999997</v>
      </c>
      <c r="P2239">
        <v>0.425427</v>
      </c>
      <c r="Q2239">
        <v>0.11169949999999999</v>
      </c>
      <c r="R2239">
        <v>-0.89807309999999996</v>
      </c>
      <c r="S2239">
        <v>0.89596559999999903</v>
      </c>
      <c r="T2239">
        <v>-0.93127559999999998</v>
      </c>
      <c r="U2239">
        <v>-3.0249480000000002</v>
      </c>
      <c r="V2239">
        <v>-0.16892409999999999</v>
      </c>
      <c r="W2239">
        <v>0.1227999</v>
      </c>
      <c r="X2239">
        <v>0.97794930000000002</v>
      </c>
      <c r="Y2239">
        <v>-3.4704409999999999E-3</v>
      </c>
      <c r="Z2239">
        <v>0.25909260000000001</v>
      </c>
      <c r="AA2239">
        <v>0.96584619999999999</v>
      </c>
      <c r="AB2239">
        <v>28</v>
      </c>
      <c r="AC2239">
        <v>0.12120000000004399</v>
      </c>
      <c r="AD2239">
        <v>-0.2235364</v>
      </c>
      <c r="AE2239">
        <v>-0.42999999999997801</v>
      </c>
      <c r="AF2239">
        <v>-1.2994807685963401E-4</v>
      </c>
      <c r="AG2239">
        <v>-0.2235364</v>
      </c>
      <c r="AH2239">
        <v>0.35730153353042099</v>
      </c>
      <c r="AI2239">
        <v>122.031082320802</v>
      </c>
      <c r="AJ2239">
        <v>90.020838074659395</v>
      </c>
      <c r="AK2239">
        <v>0.42146521193884201</v>
      </c>
      <c r="AL2239">
        <v>82.946279534635494</v>
      </c>
      <c r="AM2239">
        <v>99.8001663754265</v>
      </c>
      <c r="AN2239">
        <v>1.0000000001856499</v>
      </c>
    </row>
    <row r="2240" spans="1:40" x14ac:dyDescent="0.25">
      <c r="A2240" t="str">
        <f>"20190303162548879"</f>
        <v>20190303162548879</v>
      </c>
      <c r="B2240" t="str">
        <f>"1551601548874832"</f>
        <v>1551601548874832</v>
      </c>
      <c r="C2240" t="s">
        <v>40</v>
      </c>
      <c r="D2240">
        <v>4.3397739999999896</v>
      </c>
      <c r="E2240">
        <v>0.5531933</v>
      </c>
      <c r="F2240" t="s">
        <v>42</v>
      </c>
      <c r="G2240">
        <v>-490.71609999999998</v>
      </c>
      <c r="H2240">
        <v>0.92179580000000005</v>
      </c>
      <c r="I2240">
        <v>226.70519999999999</v>
      </c>
      <c r="J2240">
        <v>-490.83460000000002</v>
      </c>
      <c r="K2240">
        <v>1.130039</v>
      </c>
      <c r="L2240">
        <v>227.1036</v>
      </c>
      <c r="M2240">
        <v>0.28278199999999998</v>
      </c>
      <c r="N2240">
        <v>-1.5129200000000001E-2</v>
      </c>
      <c r="O2240">
        <v>-0.95906499999999995</v>
      </c>
      <c r="P2240">
        <v>0.43741249999999998</v>
      </c>
      <c r="Q2240">
        <v>0.1111895</v>
      </c>
      <c r="R2240">
        <v>-0.8923605</v>
      </c>
      <c r="S2240">
        <v>0.93762210000000001</v>
      </c>
      <c r="T2240">
        <v>-0.93767109999999998</v>
      </c>
      <c r="U2240">
        <v>-3.0129700000000001</v>
      </c>
      <c r="V2240">
        <v>-0.16991310000000001</v>
      </c>
      <c r="W2240">
        <v>0.1222906</v>
      </c>
      <c r="X2240">
        <v>0.97784179999999998</v>
      </c>
      <c r="Y2240">
        <v>-4.2725890000000002E-3</v>
      </c>
      <c r="Z2240">
        <v>0.25989499999999999</v>
      </c>
      <c r="AA2240">
        <v>0.96562740000000002</v>
      </c>
      <c r="AB2240">
        <v>28</v>
      </c>
      <c r="AC2240">
        <v>0.11850000000004</v>
      </c>
      <c r="AD2240">
        <v>-0.20824319999999999</v>
      </c>
      <c r="AE2240">
        <v>-0.39840000000000902</v>
      </c>
      <c r="AF2240">
        <v>-7.9053636991856203E-4</v>
      </c>
      <c r="AG2240">
        <v>-0.20824319999999999</v>
      </c>
      <c r="AH2240">
        <v>0.33225120634134597</v>
      </c>
      <c r="AI2240">
        <v>122.077944976693</v>
      </c>
      <c r="AJ2240">
        <v>90.136325500734898</v>
      </c>
      <c r="AK2240">
        <v>0.39211824671809398</v>
      </c>
      <c r="AL2240">
        <v>82.975682016740294</v>
      </c>
      <c r="AM2240">
        <v>99.857483604800194</v>
      </c>
      <c r="AN2240">
        <v>1.0000000191136</v>
      </c>
    </row>
    <row r="2241" spans="1:40" x14ac:dyDescent="0.25">
      <c r="A2241" t="str">
        <f>"20190303162548897"</f>
        <v>20190303162548897</v>
      </c>
      <c r="B2241" t="str">
        <f>"1551601548886544"</f>
        <v>1551601548886544</v>
      </c>
      <c r="C2241" t="s">
        <v>40</v>
      </c>
      <c r="D2241">
        <v>4.311172</v>
      </c>
      <c r="E2241">
        <v>0.54868589999999995</v>
      </c>
      <c r="F2241" t="s">
        <v>42</v>
      </c>
      <c r="G2241">
        <v>-490.56139999999999</v>
      </c>
      <c r="H2241">
        <v>0.86579249999999996</v>
      </c>
      <c r="I2241">
        <v>226.2602</v>
      </c>
      <c r="J2241">
        <v>-490.75990000000002</v>
      </c>
      <c r="K2241">
        <v>1.130053</v>
      </c>
      <c r="L2241">
        <v>226.88659999999999</v>
      </c>
      <c r="M2241">
        <v>0.29228009999999999</v>
      </c>
      <c r="N2241">
        <v>-1.5152519999999999E-2</v>
      </c>
      <c r="O2241">
        <v>-0.95621279999999997</v>
      </c>
      <c r="P2241">
        <v>0.44710030000000001</v>
      </c>
      <c r="Q2241">
        <v>0.1113707</v>
      </c>
      <c r="R2241">
        <v>-0.88752350000000002</v>
      </c>
      <c r="S2241">
        <v>0.97326659999999998</v>
      </c>
      <c r="T2241">
        <v>-0.94170129999999996</v>
      </c>
      <c r="U2241">
        <v>-3.002167</v>
      </c>
      <c r="V2241">
        <v>-0.17087349999999901</v>
      </c>
      <c r="W2241">
        <v>0.1224681</v>
      </c>
      <c r="X2241">
        <v>0.97765219999999997</v>
      </c>
      <c r="Y2241">
        <v>-5.6827379999999997E-3</v>
      </c>
      <c r="Z2241">
        <v>0.2602468</v>
      </c>
      <c r="AA2241">
        <v>0.96552539999999998</v>
      </c>
      <c r="AB2241">
        <v>28</v>
      </c>
      <c r="AC2241">
        <v>0.19850000000002399</v>
      </c>
      <c r="AD2241">
        <v>-0.26426050000000001</v>
      </c>
      <c r="AE2241">
        <v>-0.62639999999998897</v>
      </c>
      <c r="AF2241">
        <v>-5.7885492637808301E-3</v>
      </c>
      <c r="AG2241">
        <v>-0.26426050000000001</v>
      </c>
      <c r="AH2241">
        <v>0.56558934319752696</v>
      </c>
      <c r="AI2241">
        <v>115.042257444116</v>
      </c>
      <c r="AJ2241">
        <v>90.586375728336805</v>
      </c>
      <c r="AK2241">
        <v>0.62430635452591698</v>
      </c>
      <c r="AL2241">
        <v>82.9654349029652</v>
      </c>
      <c r="AM2241">
        <v>99.913983174113696</v>
      </c>
      <c r="AN2241">
        <v>1.00000000634235</v>
      </c>
    </row>
    <row r="2242" spans="1:40" x14ac:dyDescent="0.25">
      <c r="A2242" t="str">
        <f>"20190303162548920"</f>
        <v>20190303162548920</v>
      </c>
      <c r="B2242" t="str">
        <f>"1551601548915476"</f>
        <v>1551601548915476</v>
      </c>
      <c r="C2242" t="s">
        <v>40</v>
      </c>
      <c r="D2242">
        <v>4.3361029999999996</v>
      </c>
      <c r="E2242">
        <v>0.54948069999999904</v>
      </c>
      <c r="F2242" t="s">
        <v>42</v>
      </c>
      <c r="G2242">
        <v>-490.53949999999998</v>
      </c>
      <c r="H2242">
        <v>0.90106560000000002</v>
      </c>
      <c r="I2242">
        <v>226.25059999999999</v>
      </c>
      <c r="J2242">
        <v>-490.66770000000002</v>
      </c>
      <c r="K2242">
        <v>1.130055</v>
      </c>
      <c r="L2242">
        <v>226.62739999999999</v>
      </c>
      <c r="M2242">
        <v>0.30363610000000002</v>
      </c>
      <c r="N2242">
        <v>-1.517598E-2</v>
      </c>
      <c r="O2242">
        <v>-0.9526675</v>
      </c>
      <c r="P2242">
        <v>0.45854260000000002</v>
      </c>
      <c r="Q2242">
        <v>0.1130679</v>
      </c>
      <c r="R2242">
        <v>-0.88145030000000002</v>
      </c>
      <c r="S2242">
        <v>1.038422</v>
      </c>
      <c r="T2242">
        <v>-1.0788740000000001</v>
      </c>
      <c r="U2242">
        <v>-2.9924770000000001</v>
      </c>
      <c r="V2242">
        <v>-0.1719917</v>
      </c>
      <c r="W2242">
        <v>0.1241584</v>
      </c>
      <c r="X2242">
        <v>0.97724279999999997</v>
      </c>
      <c r="Y2242">
        <v>-1.007856E-2</v>
      </c>
      <c r="Z2242">
        <v>0.2947341</v>
      </c>
      <c r="AA2242">
        <v>0.95552619999999999</v>
      </c>
      <c r="AB2242">
        <v>28</v>
      </c>
      <c r="AC2242">
        <v>0.128200000000049</v>
      </c>
      <c r="AD2242">
        <v>-0.22898940000000001</v>
      </c>
      <c r="AE2242">
        <v>-0.37680000000000202</v>
      </c>
      <c r="AF2242">
        <v>-5.8022022760219304E-3</v>
      </c>
      <c r="AG2242">
        <v>-0.22898940000000001</v>
      </c>
      <c r="AH2242">
        <v>0.29897412176738802</v>
      </c>
      <c r="AI2242">
        <v>127.443914748143</v>
      </c>
      <c r="AJ2242">
        <v>91.111801829448396</v>
      </c>
      <c r="AK2242">
        <v>0.37663687598294499</v>
      </c>
      <c r="AL2242">
        <v>82.867842745184404</v>
      </c>
      <c r="AM2242">
        <v>99.981656816924698</v>
      </c>
      <c r="AN2242">
        <v>0.99999997165564403</v>
      </c>
    </row>
    <row r="2243" spans="1:40" x14ac:dyDescent="0.25">
      <c r="A2243" t="str">
        <f>"20190303162548938"</f>
        <v>20190303162548938</v>
      </c>
      <c r="B2243" t="str">
        <f>"1551601548925237"</f>
        <v>1551601548925237</v>
      </c>
      <c r="C2243" t="s">
        <v>40</v>
      </c>
      <c r="D2243">
        <v>4.3268519999999997</v>
      </c>
      <c r="E2243">
        <v>0.54950929999999998</v>
      </c>
      <c r="F2243" t="s">
        <v>42</v>
      </c>
      <c r="G2243">
        <v>-490.37529999999998</v>
      </c>
      <c r="H2243">
        <v>0.83929779999999998</v>
      </c>
      <c r="I2243">
        <v>225.81209999999999</v>
      </c>
      <c r="J2243">
        <v>-490.58670000000001</v>
      </c>
      <c r="K2243">
        <v>1.130061</v>
      </c>
      <c r="L2243">
        <v>226.4076</v>
      </c>
      <c r="M2243">
        <v>0.31327440000000001</v>
      </c>
      <c r="N2243">
        <v>-1.5192880000000001E-2</v>
      </c>
      <c r="O2243">
        <v>-0.94954139999999998</v>
      </c>
      <c r="P2243">
        <v>0.46859060000000002</v>
      </c>
      <c r="Q2243">
        <v>0.1151633</v>
      </c>
      <c r="R2243">
        <v>-0.87587719999999902</v>
      </c>
      <c r="S2243">
        <v>1.070557</v>
      </c>
      <c r="T2243">
        <v>-1.0651280000000001</v>
      </c>
      <c r="U2243">
        <v>-2.983139</v>
      </c>
      <c r="V2243">
        <v>-0.17339540000000001</v>
      </c>
      <c r="W2243">
        <v>0.12623289999999901</v>
      </c>
      <c r="X2243">
        <v>0.97672890000000001</v>
      </c>
      <c r="Y2243">
        <v>-1.047436E-2</v>
      </c>
      <c r="Z2243">
        <v>0.29012019999999999</v>
      </c>
      <c r="AA2243">
        <v>0.95693289999999998</v>
      </c>
      <c r="AB2243">
        <v>28</v>
      </c>
      <c r="AC2243">
        <v>0.21140000000002601</v>
      </c>
      <c r="AD2243">
        <v>-0.290763199999999</v>
      </c>
      <c r="AE2243">
        <v>-0.59550000000001502</v>
      </c>
      <c r="AF2243">
        <v>-1.1702160547272999E-2</v>
      </c>
      <c r="AG2243">
        <v>-0.290763199999999</v>
      </c>
      <c r="AH2243">
        <v>0.52136564843781896</v>
      </c>
      <c r="AI2243">
        <v>119.14206753729199</v>
      </c>
      <c r="AJ2243">
        <v>91.2857998080882</v>
      </c>
      <c r="AK2243">
        <v>0.59707815100428896</v>
      </c>
      <c r="AL2243">
        <v>82.748040428427302</v>
      </c>
      <c r="AM2243">
        <v>100.066649095454</v>
      </c>
      <c r="AN2243">
        <v>1.0000000269393801</v>
      </c>
    </row>
    <row r="2244" spans="1:40" x14ac:dyDescent="0.25">
      <c r="A2244" t="str">
        <f>"20190303162548960"</f>
        <v>20190303162548960</v>
      </c>
      <c r="B2244" t="str">
        <f>"1551601548945731"</f>
        <v>1551601548945731</v>
      </c>
      <c r="C2244" t="s">
        <v>40</v>
      </c>
      <c r="D2244">
        <v>4.3480629999999998</v>
      </c>
      <c r="E2244">
        <v>0.54976700000000001</v>
      </c>
      <c r="F2244" t="s">
        <v>42</v>
      </c>
      <c r="G2244">
        <v>-490.28100000000001</v>
      </c>
      <c r="H2244">
        <v>0.8373216</v>
      </c>
      <c r="I2244">
        <v>225.5847</v>
      </c>
      <c r="J2244">
        <v>-490.49110000000002</v>
      </c>
      <c r="K2244">
        <v>1.130066</v>
      </c>
      <c r="L2244">
        <v>226.15700000000001</v>
      </c>
      <c r="M2244">
        <v>0.32428210000000002</v>
      </c>
      <c r="N2244">
        <v>-1.520989E-2</v>
      </c>
      <c r="O2244">
        <v>-0.94583830000000002</v>
      </c>
      <c r="P2244">
        <v>0.48002669999999997</v>
      </c>
      <c r="Q2244">
        <v>0.1165474</v>
      </c>
      <c r="R2244">
        <v>-0.86947779999999997</v>
      </c>
      <c r="S2244">
        <v>1.1046750000000001</v>
      </c>
      <c r="T2244">
        <v>-1.057677</v>
      </c>
      <c r="U2244">
        <v>-2.9732059999999998</v>
      </c>
      <c r="V2244">
        <v>-0.17494100000000001</v>
      </c>
      <c r="W2244">
        <v>0.1275936</v>
      </c>
      <c r="X2244">
        <v>0.97627629999999999</v>
      </c>
      <c r="Y2244">
        <v>-9.8622529999999996E-3</v>
      </c>
      <c r="Z2244">
        <v>0.28688540000000001</v>
      </c>
      <c r="AA2244">
        <v>0.95791409999999999</v>
      </c>
      <c r="AB2244">
        <v>28</v>
      </c>
      <c r="AC2244">
        <v>0.210100000000011</v>
      </c>
      <c r="AD2244">
        <v>-0.29274440000000002</v>
      </c>
      <c r="AE2244">
        <v>-0.57230000000001202</v>
      </c>
      <c r="AF2244">
        <v>-1.06742388562346E-2</v>
      </c>
      <c r="AG2244">
        <v>-0.29274440000000002</v>
      </c>
      <c r="AH2244">
        <v>0.49529948246486399</v>
      </c>
      <c r="AI2244">
        <v>120.579181801193</v>
      </c>
      <c r="AJ2244">
        <v>91.234594826059194</v>
      </c>
      <c r="AK2244">
        <v>0.57544313397283797</v>
      </c>
      <c r="AL2244">
        <v>82.669441911452793</v>
      </c>
      <c r="AM2244">
        <v>100.15913083709199</v>
      </c>
      <c r="AN2244">
        <v>0.99999994709182305</v>
      </c>
    </row>
    <row r="2245" spans="1:40" x14ac:dyDescent="0.25">
      <c r="A2245" t="str">
        <f>"20190303162548983"</f>
        <v>20190303162548983</v>
      </c>
      <c r="B2245" t="str">
        <f>"1551601548975989"</f>
        <v>1551601548975989</v>
      </c>
      <c r="C2245" t="s">
        <v>40</v>
      </c>
      <c r="D2245">
        <v>4.404452</v>
      </c>
      <c r="E2245">
        <v>0.54964659999999999</v>
      </c>
      <c r="F2245" t="s">
        <v>42</v>
      </c>
      <c r="G2245">
        <v>-490.18180000000001</v>
      </c>
      <c r="H2245">
        <v>0.84580560000000005</v>
      </c>
      <c r="I2245">
        <v>225.3554</v>
      </c>
      <c r="J2245">
        <v>-490.38679999999999</v>
      </c>
      <c r="K2245">
        <v>1.130069</v>
      </c>
      <c r="L2245">
        <v>225.8931</v>
      </c>
      <c r="M2245">
        <v>0.33590170000000003</v>
      </c>
      <c r="N2245">
        <v>-1.522592E-2</v>
      </c>
      <c r="O2245">
        <v>-0.941774</v>
      </c>
      <c r="P2245">
        <v>0.49223729999999899</v>
      </c>
      <c r="Q2245">
        <v>0.1179202</v>
      </c>
      <c r="R2245">
        <v>-0.86243689999999995</v>
      </c>
      <c r="S2245">
        <v>1.1430049999999901</v>
      </c>
      <c r="T2245">
        <v>-1.051021</v>
      </c>
      <c r="U2245">
        <v>-2.9601440000000001</v>
      </c>
      <c r="V2245">
        <v>-0.1767831</v>
      </c>
      <c r="W2245">
        <v>0.12893289999999999</v>
      </c>
      <c r="X2245">
        <v>0.97576839999999998</v>
      </c>
      <c r="Y2245">
        <v>-1.0045500000000001E-2</v>
      </c>
      <c r="Z2245">
        <v>0.28389569999999997</v>
      </c>
      <c r="AA2245">
        <v>0.9588025</v>
      </c>
      <c r="AB2245">
        <v>28</v>
      </c>
      <c r="AC2245">
        <v>0.204999999999984</v>
      </c>
      <c r="AD2245">
        <v>-0.284263399999999</v>
      </c>
      <c r="AE2245">
        <v>-0.53770000000000095</v>
      </c>
      <c r="AF2245">
        <v>-1.0008511257351299E-2</v>
      </c>
      <c r="AG2245">
        <v>-0.284263399999999</v>
      </c>
      <c r="AH2245">
        <v>0.46246788301073999</v>
      </c>
      <c r="AI2245">
        <v>121.57165497213499</v>
      </c>
      <c r="AJ2245">
        <v>91.239774641625104</v>
      </c>
      <c r="AK2245">
        <v>0.542938664762038</v>
      </c>
      <c r="AL2245">
        <v>82.592066679811694</v>
      </c>
      <c r="AM2245">
        <v>100.269071166532</v>
      </c>
      <c r="AN2245">
        <v>0.99999996379328904</v>
      </c>
    </row>
    <row r="2246" spans="1:40" x14ac:dyDescent="0.25">
      <c r="A2246" t="str">
        <f>"20190303162549004"</f>
        <v>20190303162549004</v>
      </c>
      <c r="B2246" t="str">
        <f>"1551601548995508"</f>
        <v>1551601548995508</v>
      </c>
      <c r="C2246" t="s">
        <v>40</v>
      </c>
      <c r="D2246">
        <v>4.4913439999999998</v>
      </c>
      <c r="E2246">
        <v>0.54949019999999904</v>
      </c>
      <c r="F2246" t="s">
        <v>42</v>
      </c>
      <c r="G2246">
        <v>-490.07760000000002</v>
      </c>
      <c r="H2246">
        <v>0.85728919999999997</v>
      </c>
      <c r="I2246">
        <v>225.12700000000001</v>
      </c>
      <c r="J2246">
        <v>-490.28480000000002</v>
      </c>
      <c r="K2246">
        <v>1.130098</v>
      </c>
      <c r="L2246">
        <v>225.64400000000001</v>
      </c>
      <c r="M2246">
        <v>0.346914099999999</v>
      </c>
      <c r="N2246">
        <v>-1.5240299999999899E-2</v>
      </c>
      <c r="O2246">
        <v>-0.93777299999999997</v>
      </c>
      <c r="P2246">
        <v>0.50788710000000004</v>
      </c>
      <c r="Q2246">
        <v>0.120585999999999</v>
      </c>
      <c r="R2246">
        <v>-0.85294190000000003</v>
      </c>
      <c r="S2246">
        <v>1.1883539999999999</v>
      </c>
      <c r="T2246">
        <v>-1.04871</v>
      </c>
      <c r="U2246">
        <v>-2.943695</v>
      </c>
      <c r="V2246">
        <v>-0.18334790000000001</v>
      </c>
      <c r="W2246">
        <v>0.13144049999999999</v>
      </c>
      <c r="X2246">
        <v>0.97422120000000001</v>
      </c>
      <c r="Y2246">
        <v>-1.301831E-2</v>
      </c>
      <c r="Z2246">
        <v>0.282217</v>
      </c>
      <c r="AA2246">
        <v>0.95926230000000001</v>
      </c>
      <c r="AB2246">
        <v>28</v>
      </c>
      <c r="AC2246">
        <v>0.2072</v>
      </c>
      <c r="AD2246">
        <v>-0.27280880000000002</v>
      </c>
      <c r="AE2246">
        <v>-0.51699999999999502</v>
      </c>
      <c r="AF2246">
        <v>-1.20603356695203E-2</v>
      </c>
      <c r="AG2246">
        <v>-0.27280880000000002</v>
      </c>
      <c r="AH2246">
        <v>0.44904435239992602</v>
      </c>
      <c r="AI2246">
        <v>121.27085272030401</v>
      </c>
      <c r="AJ2246">
        <v>91.538467751063706</v>
      </c>
      <c r="AK2246">
        <v>0.52555772611214702</v>
      </c>
      <c r="AL2246">
        <v>82.447158786310794</v>
      </c>
      <c r="AM2246">
        <v>100.65836518294201</v>
      </c>
      <c r="AN2246">
        <v>1.0000000020020401</v>
      </c>
    </row>
    <row r="2247" spans="1:40" x14ac:dyDescent="0.25">
      <c r="A2247" t="str">
        <f>"20190303162549029"</f>
        <v>20190303162549029</v>
      </c>
      <c r="B2247" t="str">
        <f>"1551601549025370"</f>
        <v>1551601549025370</v>
      </c>
      <c r="C2247" t="s">
        <v>40</v>
      </c>
      <c r="D2247">
        <v>4.8021070000000003</v>
      </c>
      <c r="E2247">
        <v>0.5526335</v>
      </c>
      <c r="F2247" t="s">
        <v>42</v>
      </c>
      <c r="G2247">
        <v>-489.9683</v>
      </c>
      <c r="H2247">
        <v>0.86558809999999997</v>
      </c>
      <c r="I2247">
        <v>224.9023</v>
      </c>
      <c r="J2247">
        <v>-490.17059999999998</v>
      </c>
      <c r="K2247">
        <v>1.130145</v>
      </c>
      <c r="L2247">
        <v>225.3749</v>
      </c>
      <c r="M2247">
        <v>0.35888419999999999</v>
      </c>
      <c r="N2247">
        <v>-1.525603E-2</v>
      </c>
      <c r="O2247">
        <v>-0.93325749999999996</v>
      </c>
      <c r="P2247">
        <v>0.52835180000000004</v>
      </c>
      <c r="Q2247">
        <v>0.1240473</v>
      </c>
      <c r="R2247">
        <v>-0.83991469999999901</v>
      </c>
      <c r="S2247">
        <v>1.2475590000000001</v>
      </c>
      <c r="T2247">
        <v>-1.043218</v>
      </c>
      <c r="U2247">
        <v>-2.921799</v>
      </c>
      <c r="V2247">
        <v>-0.19470080000000001</v>
      </c>
      <c r="W2247">
        <v>0.13461679999999901</v>
      </c>
      <c r="X2247">
        <v>0.97158120000000003</v>
      </c>
      <c r="Y2247">
        <v>-1.949304E-2</v>
      </c>
      <c r="Z2247">
        <v>0.27970669999999997</v>
      </c>
      <c r="AA2247">
        <v>0.95988759999999995</v>
      </c>
      <c r="AB2247">
        <v>28</v>
      </c>
      <c r="AC2247">
        <v>0.202299999999979</v>
      </c>
      <c r="AD2247">
        <v>-0.26455689999999998</v>
      </c>
      <c r="AE2247">
        <v>-0.47259999999999902</v>
      </c>
      <c r="AF2247">
        <v>-1.51731292156817E-2</v>
      </c>
      <c r="AG2247">
        <v>-0.26455689999999998</v>
      </c>
      <c r="AH2247">
        <v>0.40615437687837802</v>
      </c>
      <c r="AI2247">
        <v>123.060756862079</v>
      </c>
      <c r="AJ2247">
        <v>92.139462782456704</v>
      </c>
      <c r="AK2247">
        <v>0.48495562172766798</v>
      </c>
      <c r="AL2247">
        <v>82.263538557613799</v>
      </c>
      <c r="AM2247">
        <v>101.331736727525</v>
      </c>
      <c r="AN2247">
        <v>1.0000000562781499</v>
      </c>
    </row>
    <row r="2248" spans="1:40" x14ac:dyDescent="0.25">
      <c r="A2248" t="str">
        <f>"20190303162549052"</f>
        <v>20190303162549052</v>
      </c>
      <c r="B2248" t="str">
        <f>"1551601549044889"</f>
        <v>1551601549044889</v>
      </c>
      <c r="C2248" t="s">
        <v>40</v>
      </c>
      <c r="D2248">
        <v>4.5350519999999896</v>
      </c>
      <c r="E2248">
        <v>0.50800599999999996</v>
      </c>
      <c r="F2248" t="s">
        <v>42</v>
      </c>
      <c r="G2248">
        <v>-489.85039999999998</v>
      </c>
      <c r="H2248">
        <v>0.91977660000000006</v>
      </c>
      <c r="I2248">
        <v>224.6601</v>
      </c>
      <c r="J2248">
        <v>-490.05579999999998</v>
      </c>
      <c r="K2248">
        <v>1.1301939999999999</v>
      </c>
      <c r="L2248">
        <v>225.11359999999999</v>
      </c>
      <c r="M2248">
        <v>0.37059379999999997</v>
      </c>
      <c r="N2248">
        <v>-1.527215E-2</v>
      </c>
      <c r="O2248">
        <v>-0.92866979999999999</v>
      </c>
      <c r="P2248">
        <v>0.54727389999999998</v>
      </c>
      <c r="Q2248">
        <v>0.12814349999999999</v>
      </c>
      <c r="R2248">
        <v>-0.82708579999999998</v>
      </c>
      <c r="S2248">
        <v>1.292511</v>
      </c>
      <c r="T2248">
        <v>-0.84964609999999996</v>
      </c>
      <c r="U2248">
        <v>-2.8842469999999998</v>
      </c>
      <c r="V2248">
        <v>-0.20486869999999999</v>
      </c>
      <c r="W2248">
        <v>0.13844779999999901</v>
      </c>
      <c r="X2248">
        <v>0.96894840000000004</v>
      </c>
      <c r="Y2248">
        <v>-2.9732049999999999E-2</v>
      </c>
      <c r="Z2248">
        <v>0.22946929999999999</v>
      </c>
      <c r="AA2248">
        <v>0.97286170000000005</v>
      </c>
      <c r="AB2248">
        <v>28</v>
      </c>
      <c r="AC2248">
        <v>0.205399999999997</v>
      </c>
      <c r="AD2248">
        <v>-0.2104174</v>
      </c>
      <c r="AE2248">
        <v>-0.45349999999999102</v>
      </c>
      <c r="AF2248">
        <v>-1.9248609913190402E-2</v>
      </c>
      <c r="AG2248">
        <v>-0.2104174</v>
      </c>
      <c r="AH2248">
        <v>0.42195305943487299</v>
      </c>
      <c r="AI2248">
        <v>116.480504664338</v>
      </c>
      <c r="AJ2248">
        <v>92.6119020147745</v>
      </c>
      <c r="AK2248">
        <v>0.471900811159294</v>
      </c>
      <c r="AL2248">
        <v>82.041962846933501</v>
      </c>
      <c r="AM2248">
        <v>101.938451841665</v>
      </c>
      <c r="AN2248">
        <v>0.99999998971354498</v>
      </c>
    </row>
    <row r="2249" spans="1:40" x14ac:dyDescent="0.25">
      <c r="A2249" t="str">
        <f>"20190303162549076"</f>
        <v>20190303162549076</v>
      </c>
      <c r="B2249" t="str">
        <f>"1551601549065385"</f>
        <v>1551601549065385</v>
      </c>
      <c r="C2249" t="s">
        <v>40</v>
      </c>
      <c r="D2249">
        <v>4.5764170000000002</v>
      </c>
      <c r="E2249">
        <v>0.43125360000000001</v>
      </c>
      <c r="F2249" t="s">
        <v>46</v>
      </c>
      <c r="G2249">
        <v>-482.96390000000002</v>
      </c>
      <c r="H2249" s="1">
        <v>2.0412780000000001E-6</v>
      </c>
      <c r="I2249">
        <v>213.82589999999999</v>
      </c>
      <c r="J2249">
        <v>-489.93799999999999</v>
      </c>
      <c r="K2249">
        <v>1.1302559999999999</v>
      </c>
      <c r="L2249">
        <v>224.85429999999999</v>
      </c>
      <c r="M2249">
        <v>0.38231929999999997</v>
      </c>
      <c r="N2249">
        <v>-1.528942E-2</v>
      </c>
      <c r="O2249">
        <v>-0.9239039</v>
      </c>
      <c r="P2249">
        <v>0.56340049999999997</v>
      </c>
      <c r="Q2249">
        <v>0.13163759999999999</v>
      </c>
      <c r="R2249">
        <v>-0.81562950000000001</v>
      </c>
      <c r="S2249">
        <v>1.6275630000000001</v>
      </c>
      <c r="T2249">
        <v>-0.25937349999999998</v>
      </c>
      <c r="U2249">
        <v>-2.5904690000000001</v>
      </c>
      <c r="V2249">
        <v>-0.2119337</v>
      </c>
      <c r="W2249">
        <v>0.14174990000000001</v>
      </c>
      <c r="X2249">
        <v>0.96694930000000001</v>
      </c>
      <c r="Y2249">
        <v>-0.16639590000000001</v>
      </c>
      <c r="Z2249">
        <v>6.7188960000000006E-2</v>
      </c>
      <c r="AA2249">
        <v>0.98376730000000001</v>
      </c>
      <c r="AB2249">
        <v>28</v>
      </c>
      <c r="AC2249">
        <v>6.9741000000000204</v>
      </c>
      <c r="AD2249">
        <v>-1.130253958722</v>
      </c>
      <c r="AE2249">
        <v>-11.0284</v>
      </c>
      <c r="AF2249">
        <v>-2.2107014062935302</v>
      </c>
      <c r="AG2249">
        <v>-1.130253958722</v>
      </c>
      <c r="AH2249">
        <v>12.7612694508676</v>
      </c>
      <c r="AI2249">
        <v>94.987524934097806</v>
      </c>
      <c r="AJ2249">
        <v>99.8281067347842</v>
      </c>
      <c r="AK2249">
        <v>13.000564323007</v>
      </c>
      <c r="AL2249">
        <v>81.850881402278006</v>
      </c>
      <c r="AM2249">
        <v>102.36247018770599</v>
      </c>
      <c r="AN2249">
        <v>0.99999993805809295</v>
      </c>
    </row>
    <row r="2250" spans="1:40" x14ac:dyDescent="0.25">
      <c r="A2250" t="str">
        <f>"20190303162549119"</f>
        <v>20190303162549119</v>
      </c>
      <c r="B2250" t="str">
        <f>"1551601549114960"</f>
        <v>1551601549114960</v>
      </c>
      <c r="C2250" t="s">
        <v>40</v>
      </c>
      <c r="D2250">
        <v>4.7111599999999996</v>
      </c>
      <c r="E2250">
        <v>0.36130770000000001</v>
      </c>
      <c r="F2250" t="s">
        <v>55</v>
      </c>
      <c r="G2250">
        <v>-462.58920000000001</v>
      </c>
      <c r="H2250">
        <v>1.3514269999999999</v>
      </c>
      <c r="I2250">
        <v>197.345</v>
      </c>
      <c r="J2250">
        <v>-489.7097</v>
      </c>
      <c r="K2250">
        <v>1.1303700000000001</v>
      </c>
      <c r="L2250">
        <v>224.37639999999999</v>
      </c>
      <c r="M2250">
        <v>0.40424349999999998</v>
      </c>
      <c r="N2250">
        <v>-1.5323689999999999E-2</v>
      </c>
      <c r="O2250">
        <v>-0.91452310000000003</v>
      </c>
      <c r="P2250">
        <v>0.58979729999999997</v>
      </c>
      <c r="Q2250">
        <v>0.13243239999999901</v>
      </c>
      <c r="R2250">
        <v>-0.79661859999999995</v>
      </c>
      <c r="S2250">
        <v>2.166229</v>
      </c>
      <c r="T2250">
        <v>1.7521020000000002E-2</v>
      </c>
      <c r="U2250">
        <v>-2.1789399999999999</v>
      </c>
      <c r="V2250">
        <v>-0.2206419</v>
      </c>
      <c r="W2250">
        <v>0.14230309999999999</v>
      </c>
      <c r="X2250">
        <v>0.9649181</v>
      </c>
      <c r="Y2250">
        <v>-0.35797790000000002</v>
      </c>
      <c r="Z2250">
        <v>-1.850976E-2</v>
      </c>
      <c r="AA2250">
        <v>0.93354649999999995</v>
      </c>
      <c r="AB2250">
        <v>28</v>
      </c>
      <c r="AC2250">
        <v>27.1205</v>
      </c>
      <c r="AD2250">
        <v>0.221056999999999</v>
      </c>
      <c r="AE2250">
        <v>-27.031399999999898</v>
      </c>
      <c r="AF2250">
        <v>-13.8762219910339</v>
      </c>
      <c r="AG2250">
        <v>0.221056999999999</v>
      </c>
      <c r="AH2250">
        <v>35.687124316154602</v>
      </c>
      <c r="AI2250">
        <v>89.669221507129294</v>
      </c>
      <c r="AJ2250">
        <v>111.247571042563</v>
      </c>
      <c r="AK2250">
        <v>38.290589508368399</v>
      </c>
      <c r="AL2250">
        <v>81.818861122449604</v>
      </c>
      <c r="AM2250">
        <v>102.88003459228401</v>
      </c>
      <c r="AN2250">
        <v>0.99999998000641399</v>
      </c>
    </row>
    <row r="2251" spans="1:40" x14ac:dyDescent="0.25">
      <c r="A2251" t="str">
        <f>"20190303162549140"</f>
        <v>20190303162549140</v>
      </c>
      <c r="B2251" t="str">
        <f>"1551601549135457"</f>
        <v>1551601549135457</v>
      </c>
      <c r="C2251" t="s">
        <v>40</v>
      </c>
      <c r="D2251">
        <v>4.7061609999999998</v>
      </c>
      <c r="E2251">
        <v>0.36464089999999999</v>
      </c>
      <c r="F2251" t="s">
        <v>42</v>
      </c>
      <c r="G2251">
        <v>-488.7998</v>
      </c>
      <c r="H2251">
        <v>1.0202119999999999</v>
      </c>
      <c r="I2251">
        <v>223.7647</v>
      </c>
      <c r="J2251">
        <v>-489.59320000000002</v>
      </c>
      <c r="K2251">
        <v>1.1304069999999999</v>
      </c>
      <c r="L2251">
        <v>224.14400000000001</v>
      </c>
      <c r="M2251">
        <v>0.41504360000000001</v>
      </c>
      <c r="N2251">
        <v>-1.5339190000000001E-2</v>
      </c>
      <c r="O2251">
        <v>-0.90967220000000004</v>
      </c>
      <c r="P2251">
        <v>0.59922699999999995</v>
      </c>
      <c r="Q2251">
        <v>0.13220609999999999</v>
      </c>
      <c r="R2251">
        <v>-0.7895875</v>
      </c>
      <c r="S2251">
        <v>2.7051090000000002</v>
      </c>
      <c r="T2251">
        <v>-0.3273488</v>
      </c>
      <c r="U2251">
        <v>-1.817596</v>
      </c>
      <c r="V2251">
        <v>-0.22068109999999999</v>
      </c>
      <c r="W2251">
        <v>0.14207129999999901</v>
      </c>
      <c r="X2251">
        <v>0.96494329999999995</v>
      </c>
      <c r="Y2251">
        <v>-0.51968040000000004</v>
      </c>
      <c r="Z2251">
        <v>9.0518680000000004E-2</v>
      </c>
      <c r="AA2251">
        <v>0.84955199999999997</v>
      </c>
      <c r="AB2251">
        <v>28</v>
      </c>
      <c r="AC2251">
        <v>0.79340000000001898</v>
      </c>
      <c r="AD2251">
        <v>-0.110194999999999</v>
      </c>
      <c r="AE2251">
        <v>-0.37930000000000003</v>
      </c>
      <c r="AF2251">
        <v>-0.555649646871332</v>
      </c>
      <c r="AG2251">
        <v>-0.110194999999999</v>
      </c>
      <c r="AH2251">
        <v>0.66398787162127304</v>
      </c>
      <c r="AI2251">
        <v>97.253262281929096</v>
      </c>
      <c r="AJ2251">
        <v>129.92384121575299</v>
      </c>
      <c r="AK2251">
        <v>0.87279399731745599</v>
      </c>
      <c r="AL2251">
        <v>81.832278668129902</v>
      </c>
      <c r="AM2251">
        <v>102.88192136379899</v>
      </c>
      <c r="AN2251">
        <v>0.99999998719789396</v>
      </c>
    </row>
    <row r="2252" spans="1:40" x14ac:dyDescent="0.25">
      <c r="A2252" t="str">
        <f>"20190303162549162"</f>
        <v>20190303162549162</v>
      </c>
      <c r="B2252" t="str">
        <f>"1551601549154977"</f>
        <v>1551601549154977</v>
      </c>
      <c r="C2252" t="s">
        <v>40</v>
      </c>
      <c r="D2252">
        <v>4.6812430000000003</v>
      </c>
      <c r="E2252">
        <v>0.36739719999999998</v>
      </c>
      <c r="F2252" t="s">
        <v>42</v>
      </c>
      <c r="G2252">
        <v>-488.69850000000002</v>
      </c>
      <c r="H2252">
        <v>1.014848</v>
      </c>
      <c r="I2252">
        <v>223.547</v>
      </c>
      <c r="J2252">
        <v>-489.46969999999999</v>
      </c>
      <c r="K2252">
        <v>1.130425</v>
      </c>
      <c r="L2252">
        <v>223.90520000000001</v>
      </c>
      <c r="M2252">
        <v>0.42621179999999997</v>
      </c>
      <c r="N2252">
        <v>-1.5352650000000001E-2</v>
      </c>
      <c r="O2252">
        <v>-0.90449310000000005</v>
      </c>
      <c r="P2252">
        <v>0.60832569999999997</v>
      </c>
      <c r="Q2252">
        <v>0.131289299999999</v>
      </c>
      <c r="R2252">
        <v>-0.78275360000000005</v>
      </c>
      <c r="S2252">
        <v>2.7050779999999999</v>
      </c>
      <c r="T2252">
        <v>-0.3493967</v>
      </c>
      <c r="U2252">
        <v>-1.8050539999999999</v>
      </c>
      <c r="V2252">
        <v>-0.21988940000000001</v>
      </c>
      <c r="W2252">
        <v>0.14117829999999901</v>
      </c>
      <c r="X2252">
        <v>0.96525510000000003</v>
      </c>
      <c r="Y2252">
        <v>-0.5112854</v>
      </c>
      <c r="Z2252">
        <v>9.7235050000000003E-2</v>
      </c>
      <c r="AA2252">
        <v>0.8538926</v>
      </c>
      <c r="AB2252">
        <v>28</v>
      </c>
      <c r="AC2252">
        <v>0.77119999999996403</v>
      </c>
      <c r="AD2252">
        <v>-0.115577</v>
      </c>
      <c r="AE2252">
        <v>-0.35820000000001001</v>
      </c>
      <c r="AF2252">
        <v>-0.53505541494503095</v>
      </c>
      <c r="AG2252">
        <v>-0.115577</v>
      </c>
      <c r="AH2252">
        <v>0.64092029006811702</v>
      </c>
      <c r="AI2252">
        <v>97.881458513538504</v>
      </c>
      <c r="AJ2252">
        <v>129.85592754253599</v>
      </c>
      <c r="AK2252">
        <v>0.84286485168857195</v>
      </c>
      <c r="AL2252">
        <v>81.8839651618473</v>
      </c>
      <c r="AM2252">
        <v>102.833231458855</v>
      </c>
      <c r="AN2252">
        <v>1.00000003434962</v>
      </c>
    </row>
    <row r="2253" spans="1:40" x14ac:dyDescent="0.25">
      <c r="A2253" t="str">
        <f>"20190303162549185"</f>
        <v>20190303162549185</v>
      </c>
      <c r="B2253" t="str">
        <f>"1551601549175472"</f>
        <v>1551601549175472</v>
      </c>
      <c r="C2253" t="s">
        <v>40</v>
      </c>
      <c r="D2253">
        <v>4.6843919999999999</v>
      </c>
      <c r="E2253">
        <v>0.36960769999999998</v>
      </c>
      <c r="F2253" t="s">
        <v>42</v>
      </c>
      <c r="G2253">
        <v>-488.5976</v>
      </c>
      <c r="H2253">
        <v>1.0123219999999999</v>
      </c>
      <c r="I2253">
        <v>223.32839999999999</v>
      </c>
      <c r="J2253">
        <v>-489.34059999999999</v>
      </c>
      <c r="K2253">
        <v>1.1304289999999999</v>
      </c>
      <c r="L2253">
        <v>223.66300000000001</v>
      </c>
      <c r="M2253">
        <v>0.43760510000000002</v>
      </c>
      <c r="N2253">
        <v>-1.536329E-2</v>
      </c>
      <c r="O2253">
        <v>-0.89903599999999995</v>
      </c>
      <c r="P2253">
        <v>0.61851940000000005</v>
      </c>
      <c r="Q2253">
        <v>0.12942519999999999</v>
      </c>
      <c r="R2253">
        <v>-0.77503730000000004</v>
      </c>
      <c r="S2253">
        <v>2.7071230000000002</v>
      </c>
      <c r="T2253">
        <v>-0.36654130000000001</v>
      </c>
      <c r="U2253">
        <v>-1.7902070000000001</v>
      </c>
      <c r="V2253">
        <v>-0.2201543</v>
      </c>
      <c r="W2253">
        <v>0.13931569999999999</v>
      </c>
      <c r="X2253">
        <v>0.96546529999999997</v>
      </c>
      <c r="Y2253">
        <v>-0.50349309999999903</v>
      </c>
      <c r="Z2253">
        <v>0.10237019999999999</v>
      </c>
      <c r="AA2253">
        <v>0.85791329999999999</v>
      </c>
      <c r="AB2253">
        <v>28</v>
      </c>
      <c r="AC2253">
        <v>0.742999999999994</v>
      </c>
      <c r="AD2253">
        <v>-0.118107</v>
      </c>
      <c r="AE2253">
        <v>-0.33459999999999401</v>
      </c>
      <c r="AF2253">
        <v>-0.51089000856893396</v>
      </c>
      <c r="AG2253">
        <v>-0.118107</v>
      </c>
      <c r="AH2253">
        <v>0.61315101362547897</v>
      </c>
      <c r="AI2253">
        <v>98.417839403734007</v>
      </c>
      <c r="AJ2253">
        <v>129.80175634053001</v>
      </c>
      <c r="AK2253">
        <v>0.80679119344134997</v>
      </c>
      <c r="AL2253">
        <v>81.991749401981906</v>
      </c>
      <c r="AM2253">
        <v>102.84547432911801</v>
      </c>
      <c r="AN2253">
        <v>1.0000000127895301</v>
      </c>
    </row>
    <row r="2254" spans="1:40" x14ac:dyDescent="0.25">
      <c r="A2254" t="str">
        <f>"20190303162549207"</f>
        <v>20190303162549207</v>
      </c>
      <c r="B2254" t="str">
        <f>"1551601549194993"</f>
        <v>1551601549194993</v>
      </c>
      <c r="C2254" t="s">
        <v>40</v>
      </c>
      <c r="D2254">
        <v>4.7231620000000003</v>
      </c>
      <c r="E2254">
        <v>0.37177209999999999</v>
      </c>
      <c r="F2254" t="s">
        <v>42</v>
      </c>
      <c r="G2254">
        <v>-488.49400000000003</v>
      </c>
      <c r="H2254">
        <v>1.0128619999999999</v>
      </c>
      <c r="I2254">
        <v>223.1112</v>
      </c>
      <c r="J2254">
        <v>-489.21539999999999</v>
      </c>
      <c r="K2254">
        <v>1.130423</v>
      </c>
      <c r="L2254">
        <v>223.4349</v>
      </c>
      <c r="M2254">
        <v>0.44837120000000003</v>
      </c>
      <c r="N2254">
        <v>-1.537123E-2</v>
      </c>
      <c r="O2254">
        <v>-0.89371540000000005</v>
      </c>
      <c r="P2254">
        <v>0.62910949999999999</v>
      </c>
      <c r="Q2254">
        <v>0.1281757</v>
      </c>
      <c r="R2254">
        <v>-0.76667619999999903</v>
      </c>
      <c r="S2254">
        <v>2.7133479999999999</v>
      </c>
      <c r="T2254">
        <v>-0.37677929999999998</v>
      </c>
      <c r="U2254">
        <v>-1.768311</v>
      </c>
      <c r="V2254">
        <v>-0.2217037</v>
      </c>
      <c r="W2254">
        <v>0.1380364</v>
      </c>
      <c r="X2254">
        <v>0.96529450000000006</v>
      </c>
      <c r="Y2254">
        <v>-0.49856909999999999</v>
      </c>
      <c r="Z2254">
        <v>0.10544240000000001</v>
      </c>
      <c r="AA2254">
        <v>0.86041319999999999</v>
      </c>
      <c r="AB2254">
        <v>28</v>
      </c>
      <c r="AC2254">
        <v>0.72139999999995996</v>
      </c>
      <c r="AD2254">
        <v>-0.117560999999999</v>
      </c>
      <c r="AE2254">
        <v>-0.32370000000000199</v>
      </c>
      <c r="AF2254">
        <v>-0.48884124067465701</v>
      </c>
      <c r="AG2254">
        <v>-0.117560999999999</v>
      </c>
      <c r="AH2254">
        <v>0.59956899117058504</v>
      </c>
      <c r="AI2254">
        <v>98.6409644104194</v>
      </c>
      <c r="AJ2254">
        <v>129.191086647227</v>
      </c>
      <c r="AK2254">
        <v>0.78247640378394201</v>
      </c>
      <c r="AL2254">
        <v>82.065763129532698</v>
      </c>
      <c r="AM2254">
        <v>102.935059976136</v>
      </c>
      <c r="AN2254">
        <v>1.0000000250244401</v>
      </c>
    </row>
    <row r="2255" spans="1:40" x14ac:dyDescent="0.25">
      <c r="A2255" t="str">
        <f>"20190303162549230"</f>
        <v>20190303162549230</v>
      </c>
      <c r="B2255" t="str">
        <f>"1551601549224925"</f>
        <v>1551601549224925</v>
      </c>
      <c r="C2255" t="s">
        <v>40</v>
      </c>
      <c r="D2255">
        <v>4.7782019999999896</v>
      </c>
      <c r="E2255">
        <v>0.3746582</v>
      </c>
      <c r="F2255" t="s">
        <v>42</v>
      </c>
      <c r="G2255">
        <v>-488.3811</v>
      </c>
      <c r="H2255">
        <v>1.0133259999999999</v>
      </c>
      <c r="I2255">
        <v>222.9008</v>
      </c>
      <c r="J2255">
        <v>-489.07429999999999</v>
      </c>
      <c r="K2255">
        <v>1.1304019999999999</v>
      </c>
      <c r="L2255">
        <v>223.18549999999999</v>
      </c>
      <c r="M2255">
        <v>0.4601826</v>
      </c>
      <c r="N2255">
        <v>-1.537785E-2</v>
      </c>
      <c r="O2255">
        <v>-0.88769129999999996</v>
      </c>
      <c r="P2255">
        <v>0.64081160000000004</v>
      </c>
      <c r="Q2255">
        <v>0.12839890000000001</v>
      </c>
      <c r="R2255">
        <v>-0.75688480000000002</v>
      </c>
      <c r="S2255">
        <v>2.7232059999999998</v>
      </c>
      <c r="T2255">
        <v>-0.38200390000000001</v>
      </c>
      <c r="U2255">
        <v>-1.742264</v>
      </c>
      <c r="V2255">
        <v>-0.22375310000000001</v>
      </c>
      <c r="W2255">
        <v>0.1382178</v>
      </c>
      <c r="X2255">
        <v>0.96479550000000003</v>
      </c>
      <c r="Y2255">
        <v>-0.4941739</v>
      </c>
      <c r="Z2255">
        <v>0.10690280000000001</v>
      </c>
      <c r="AA2255">
        <v>0.86276529999999996</v>
      </c>
      <c r="AB2255">
        <v>28</v>
      </c>
      <c r="AC2255">
        <v>0.69319999999999005</v>
      </c>
      <c r="AD2255">
        <v>-0.117076</v>
      </c>
      <c r="AE2255">
        <v>-0.28469999999998602</v>
      </c>
      <c r="AF2255">
        <v>-0.47284972143054799</v>
      </c>
      <c r="AG2255">
        <v>-0.117076</v>
      </c>
      <c r="AH2255">
        <v>0.55816829378214905</v>
      </c>
      <c r="AI2255">
        <v>99.092638187374405</v>
      </c>
      <c r="AJ2255">
        <v>130.2694508527</v>
      </c>
      <c r="AK2255">
        <v>0.74084107136188304</v>
      </c>
      <c r="AL2255">
        <v>82.055268752068102</v>
      </c>
      <c r="AM2255">
        <v>103.05707339512099</v>
      </c>
      <c r="AN2255">
        <v>0.99999998340834995</v>
      </c>
    </row>
    <row r="2256" spans="1:40" x14ac:dyDescent="0.25">
      <c r="A2256" t="str">
        <f>"20190303162549274"</f>
        <v>20190303162549274</v>
      </c>
      <c r="B2256" t="str">
        <f>"1551601549264941"</f>
        <v>1551601549264941</v>
      </c>
      <c r="C2256" t="s">
        <v>40</v>
      </c>
      <c r="D2256">
        <v>4.8117919999999996</v>
      </c>
      <c r="E2256">
        <v>0.37803789999999998</v>
      </c>
      <c r="F2256" t="s">
        <v>42</v>
      </c>
      <c r="G2256">
        <v>-488.27569999999997</v>
      </c>
      <c r="H2256">
        <v>1.017795</v>
      </c>
      <c r="I2256">
        <v>222.68389999999999</v>
      </c>
      <c r="J2256">
        <v>-488.80590000000001</v>
      </c>
      <c r="K2256">
        <v>1.1303780000000001</v>
      </c>
      <c r="L2256">
        <v>222.73089999999999</v>
      </c>
      <c r="M2256">
        <v>0.48176619999999998</v>
      </c>
      <c r="N2256">
        <v>-1.538459E-2</v>
      </c>
      <c r="O2256">
        <v>-0.87616489999999903</v>
      </c>
      <c r="P2256">
        <v>0.66171369999999996</v>
      </c>
      <c r="Q2256">
        <v>0.12875629999999999</v>
      </c>
      <c r="R2256">
        <v>-0.73861860000000001</v>
      </c>
      <c r="S2256">
        <v>2.7323909999999998</v>
      </c>
      <c r="T2256">
        <v>-0.38522780000000001</v>
      </c>
      <c r="U2256">
        <v>-1.7156979999999999</v>
      </c>
      <c r="V2256">
        <v>-0.22714119999999999</v>
      </c>
      <c r="W2256">
        <v>0.13850960000000001</v>
      </c>
      <c r="X2256">
        <v>0.96396159999999997</v>
      </c>
      <c r="Y2256">
        <v>-0.4801358</v>
      </c>
      <c r="Z2256">
        <v>0.1071515</v>
      </c>
      <c r="AA2256">
        <v>0.87062519999999999</v>
      </c>
      <c r="AB2256">
        <v>28</v>
      </c>
      <c r="AC2256">
        <v>0.53020000000003598</v>
      </c>
      <c r="AD2256">
        <v>-0.112583</v>
      </c>
      <c r="AE2256">
        <v>-4.6999999999997003E-2</v>
      </c>
      <c r="AF2256">
        <v>-0.423026907078145</v>
      </c>
      <c r="AG2256">
        <v>-0.112583</v>
      </c>
      <c r="AH2256">
        <v>0.28394443413637899</v>
      </c>
      <c r="AI2256">
        <v>102.460615163352</v>
      </c>
      <c r="AJ2256">
        <v>146.129668634095</v>
      </c>
      <c r="AK2256">
        <v>0.52177690412486699</v>
      </c>
      <c r="AL2256">
        <v>82.038387604576101</v>
      </c>
      <c r="AM2256">
        <v>103.258918525707</v>
      </c>
      <c r="AN2256">
        <v>1.0000000001520799</v>
      </c>
    </row>
    <row r="2257" spans="1:40" x14ac:dyDescent="0.25">
      <c r="A2257" t="str">
        <f>"20190303162549297"</f>
        <v>20190303162549297</v>
      </c>
      <c r="B2257" t="str">
        <f>"1551601549286413"</f>
        <v>1551601549286413</v>
      </c>
      <c r="C2257" t="s">
        <v>40</v>
      </c>
      <c r="D2257">
        <v>4.7925259999999996</v>
      </c>
      <c r="E2257">
        <v>0.37880809999999998</v>
      </c>
      <c r="F2257" t="s">
        <v>42</v>
      </c>
      <c r="G2257">
        <v>-488.03890000000001</v>
      </c>
      <c r="H2257">
        <v>1.024154</v>
      </c>
      <c r="I2257">
        <v>222.27</v>
      </c>
      <c r="J2257">
        <v>-488.65800000000002</v>
      </c>
      <c r="K2257">
        <v>1.1303559999999999</v>
      </c>
      <c r="L2257">
        <v>222.49080000000001</v>
      </c>
      <c r="M2257">
        <v>0.49318220000000002</v>
      </c>
      <c r="N2257">
        <v>-1.53857E-2</v>
      </c>
      <c r="O2257">
        <v>-0.86978999999999995</v>
      </c>
      <c r="P2257">
        <v>0.67225889999999999</v>
      </c>
      <c r="Q2257">
        <v>0.12830619999999901</v>
      </c>
      <c r="R2257">
        <v>-0.72911280000000001</v>
      </c>
      <c r="S2257">
        <v>2.757965</v>
      </c>
      <c r="T2257">
        <v>-0.38199270000000002</v>
      </c>
      <c r="U2257">
        <v>-1.6573789999999999</v>
      </c>
      <c r="V2257">
        <v>-0.2283337</v>
      </c>
      <c r="W2257">
        <v>0.13804159999999999</v>
      </c>
      <c r="X2257">
        <v>0.96374700000000002</v>
      </c>
      <c r="Y2257">
        <v>-0.48578329999999997</v>
      </c>
      <c r="Z2257">
        <v>0.1064488</v>
      </c>
      <c r="AA2257">
        <v>0.86757320000000004</v>
      </c>
      <c r="AB2257">
        <v>27</v>
      </c>
      <c r="AC2257">
        <v>0.61910000000000298</v>
      </c>
      <c r="AD2257">
        <v>-0.10620199999999901</v>
      </c>
      <c r="AE2257">
        <v>-0.220799999999996</v>
      </c>
      <c r="AF2257">
        <v>-0.41871221163285</v>
      </c>
      <c r="AG2257">
        <v>-0.10620199999999901</v>
      </c>
      <c r="AH2257">
        <v>0.48478178073667</v>
      </c>
      <c r="AI2257">
        <v>99.413570971238002</v>
      </c>
      <c r="AJ2257">
        <v>130.81759107273999</v>
      </c>
      <c r="AK2257">
        <v>0.64931668383670105</v>
      </c>
      <c r="AL2257">
        <v>82.065462279139695</v>
      </c>
      <c r="AM2257">
        <v>103.32891258131799</v>
      </c>
      <c r="AN2257">
        <v>1.0000000209476201</v>
      </c>
    </row>
    <row r="2258" spans="1:40" x14ac:dyDescent="0.25">
      <c r="A2258" t="str">
        <f>"20190303162549320"</f>
        <v>20190303162549320</v>
      </c>
      <c r="B2258" t="str">
        <f>"1551601549315417"</f>
        <v>1551601549315417</v>
      </c>
      <c r="C2258" t="s">
        <v>40</v>
      </c>
      <c r="D2258">
        <v>4.8449749999999998</v>
      </c>
      <c r="E2258">
        <v>0.39654200000000001</v>
      </c>
      <c r="F2258" t="s">
        <v>42</v>
      </c>
      <c r="G2258">
        <v>-487.9221</v>
      </c>
      <c r="H2258">
        <v>1.0289919999999999</v>
      </c>
      <c r="I2258">
        <v>222.0609</v>
      </c>
      <c r="J2258">
        <v>-488.51749999999998</v>
      </c>
      <c r="K2258">
        <v>1.1303339999999999</v>
      </c>
      <c r="L2258">
        <v>222.26929999999999</v>
      </c>
      <c r="M2258">
        <v>0.50372799999999995</v>
      </c>
      <c r="N2258">
        <v>-1.538541E-2</v>
      </c>
      <c r="O2258">
        <v>-0.86372539999999998</v>
      </c>
      <c r="P2258">
        <v>0.68243940000000003</v>
      </c>
      <c r="Q2258">
        <v>0.1267267</v>
      </c>
      <c r="R2258">
        <v>-0.71987309999999904</v>
      </c>
      <c r="S2258">
        <v>2.7770389999999998</v>
      </c>
      <c r="T2258">
        <v>-0.38237919999999997</v>
      </c>
      <c r="U2258">
        <v>-1.621445</v>
      </c>
      <c r="V2258">
        <v>-0.22997239999999999</v>
      </c>
      <c r="W2258">
        <v>0.1364329</v>
      </c>
      <c r="X2258">
        <v>0.96358639999999995</v>
      </c>
      <c r="Y2258">
        <v>-0.48612230000000001</v>
      </c>
      <c r="Z2258">
        <v>0.106396699999999</v>
      </c>
      <c r="AA2258">
        <v>0.86738969999999904</v>
      </c>
      <c r="AB2258">
        <v>27</v>
      </c>
      <c r="AC2258">
        <v>0.59539999999998305</v>
      </c>
      <c r="AD2258">
        <v>-0.101342</v>
      </c>
      <c r="AE2258">
        <v>-0.20839999999998299</v>
      </c>
      <c r="AF2258">
        <v>-0.39903492815766201</v>
      </c>
      <c r="AG2258">
        <v>-0.101342</v>
      </c>
      <c r="AH2258">
        <v>0.46790076493174398</v>
      </c>
      <c r="AI2258">
        <v>99.358112217211797</v>
      </c>
      <c r="AJ2258">
        <v>130.458193892824</v>
      </c>
      <c r="AK2258">
        <v>0.623241687210911</v>
      </c>
      <c r="AL2258">
        <v>82.158514248965901</v>
      </c>
      <c r="AM2258">
        <v>103.42327780240301</v>
      </c>
      <c r="AN2258">
        <v>0.99999999561456399</v>
      </c>
    </row>
    <row r="2259" spans="1:40" x14ac:dyDescent="0.25">
      <c r="A2259" t="str">
        <f>"20190303162549341"</f>
        <v>20190303162549341</v>
      </c>
      <c r="B2259" t="str">
        <f>"1551601549334937"</f>
        <v>1551601549334937</v>
      </c>
      <c r="C2259" t="s">
        <v>40</v>
      </c>
      <c r="D2259">
        <v>4.7701690000000001</v>
      </c>
      <c r="E2259">
        <v>0.39723320000000001</v>
      </c>
      <c r="F2259" t="s">
        <v>42</v>
      </c>
      <c r="G2259">
        <v>-487.61619999999999</v>
      </c>
      <c r="H2259">
        <v>1.013231</v>
      </c>
      <c r="I2259">
        <v>221.70830000000001</v>
      </c>
      <c r="J2259">
        <v>-488.37450000000001</v>
      </c>
      <c r="K2259">
        <v>1.130306</v>
      </c>
      <c r="L2259">
        <v>222.05</v>
      </c>
      <c r="M2259">
        <v>0.51417789999999997</v>
      </c>
      <c r="N2259">
        <v>-1.5384190000000001E-2</v>
      </c>
      <c r="O2259">
        <v>-0.85754580000000002</v>
      </c>
      <c r="P2259">
        <v>0.69255239999999996</v>
      </c>
      <c r="Q2259">
        <v>0.12532869999999999</v>
      </c>
      <c r="R2259">
        <v>-0.71039699999999995</v>
      </c>
      <c r="S2259">
        <v>2.6936650000000002</v>
      </c>
      <c r="T2259">
        <v>-0.34981600000000002</v>
      </c>
      <c r="U2259">
        <v>-1.675446</v>
      </c>
      <c r="V2259">
        <v>-0.23173820000000001</v>
      </c>
      <c r="W2259">
        <v>0.13500139999999999</v>
      </c>
      <c r="X2259">
        <v>0.96336500000000003</v>
      </c>
      <c r="Y2259">
        <v>-0.45188220000000001</v>
      </c>
      <c r="Z2259">
        <v>9.6358369999999999E-2</v>
      </c>
      <c r="AA2259">
        <v>0.88685829999999999</v>
      </c>
      <c r="AB2259">
        <v>27</v>
      </c>
      <c r="AC2259">
        <v>0.75830000000001896</v>
      </c>
      <c r="AD2259">
        <v>-0.117075</v>
      </c>
      <c r="AE2259">
        <v>-0.341700000000003</v>
      </c>
      <c r="AF2259">
        <v>-0.465416921395717</v>
      </c>
      <c r="AG2259">
        <v>-0.117075</v>
      </c>
      <c r="AH2259">
        <v>0.66973538115479503</v>
      </c>
      <c r="AI2259">
        <v>98.168973321160095</v>
      </c>
      <c r="AJ2259">
        <v>124.79646407462199</v>
      </c>
      <c r="AK2259">
        <v>0.82393261078623803</v>
      </c>
      <c r="AL2259">
        <v>82.241299525332096</v>
      </c>
      <c r="AM2259">
        <v>103.52556808931</v>
      </c>
      <c r="AN2259">
        <v>1.0000000472830901</v>
      </c>
    </row>
    <row r="2260" spans="1:40" x14ac:dyDescent="0.25">
      <c r="A2260" t="str">
        <f>"20190303162549364"</f>
        <v>20190303162549364</v>
      </c>
      <c r="B2260" t="str">
        <f>"1551601549355433"</f>
        <v>1551601549355433</v>
      </c>
      <c r="C2260" t="s">
        <v>40</v>
      </c>
      <c r="D2260">
        <v>4.7317169999999997</v>
      </c>
      <c r="E2260">
        <v>0.3957965</v>
      </c>
      <c r="F2260" t="s">
        <v>42</v>
      </c>
      <c r="G2260">
        <v>-487.48590000000002</v>
      </c>
      <c r="H2260">
        <v>1.01328</v>
      </c>
      <c r="I2260">
        <v>221.51140000000001</v>
      </c>
      <c r="J2260">
        <v>-488.22309999999999</v>
      </c>
      <c r="K2260">
        <v>1.1302840000000001</v>
      </c>
      <c r="L2260">
        <v>221.82380000000001</v>
      </c>
      <c r="M2260">
        <v>0.52496659999999995</v>
      </c>
      <c r="N2260">
        <v>-1.538224E-2</v>
      </c>
      <c r="O2260">
        <v>-0.85098379999999996</v>
      </c>
      <c r="P2260">
        <v>0.70269320000000002</v>
      </c>
      <c r="Q2260">
        <v>0.1246212</v>
      </c>
      <c r="R2260">
        <v>-0.7004939</v>
      </c>
      <c r="S2260">
        <v>2.7113040000000002</v>
      </c>
      <c r="T2260">
        <v>-0.3569889</v>
      </c>
      <c r="U2260">
        <v>-1.642822</v>
      </c>
      <c r="V2260">
        <v>-0.23333480000000001</v>
      </c>
      <c r="W2260">
        <v>0.13426479999999999</v>
      </c>
      <c r="X2260">
        <v>0.96308249999999995</v>
      </c>
      <c r="Y2260">
        <v>-0.45078610000000002</v>
      </c>
      <c r="Z2260">
        <v>9.827176E-2</v>
      </c>
      <c r="AA2260">
        <v>0.8872061</v>
      </c>
      <c r="AB2260">
        <v>27</v>
      </c>
      <c r="AC2260">
        <v>0.73719999999997299</v>
      </c>
      <c r="AD2260">
        <v>-0.117004</v>
      </c>
      <c r="AE2260">
        <v>-0.31239999999999601</v>
      </c>
      <c r="AF2260">
        <v>-0.453711410530799</v>
      </c>
      <c r="AG2260">
        <v>-0.117004</v>
      </c>
      <c r="AH2260">
        <v>0.63927804306089897</v>
      </c>
      <c r="AI2260">
        <v>98.489017165273907</v>
      </c>
      <c r="AJ2260">
        <v>125.364263054981</v>
      </c>
      <c r="AK2260">
        <v>0.79260355563271401</v>
      </c>
      <c r="AL2260">
        <v>82.283891266040897</v>
      </c>
      <c r="AM2260">
        <v>103.61914232580099</v>
      </c>
      <c r="AN2260">
        <v>1.00000003360816</v>
      </c>
    </row>
    <row r="2261" spans="1:40" x14ac:dyDescent="0.25">
      <c r="A2261" t="str">
        <f>"20190303162549385"</f>
        <v>20190303162549385</v>
      </c>
      <c r="B2261" t="str">
        <f>"1551601549374953"</f>
        <v>1551601549374953</v>
      </c>
      <c r="C2261" t="s">
        <v>40</v>
      </c>
      <c r="D2261">
        <v>4.7135020000000001</v>
      </c>
      <c r="E2261">
        <v>0.36238359999999997</v>
      </c>
      <c r="F2261" t="s">
        <v>42</v>
      </c>
      <c r="G2261">
        <v>-487.35239999999999</v>
      </c>
      <c r="H2261">
        <v>1.0150889999999999</v>
      </c>
      <c r="I2261">
        <v>221.31720000000001</v>
      </c>
      <c r="J2261">
        <v>-488.07479999999998</v>
      </c>
      <c r="K2261">
        <v>1.1302650000000001</v>
      </c>
      <c r="L2261">
        <v>221.60820000000001</v>
      </c>
      <c r="M2261">
        <v>0.53525849999999997</v>
      </c>
      <c r="N2261">
        <v>-1.537967E-2</v>
      </c>
      <c r="O2261">
        <v>-0.84454830000000003</v>
      </c>
      <c r="P2261">
        <v>0.71190739999999997</v>
      </c>
      <c r="Q2261">
        <v>0.1243639</v>
      </c>
      <c r="R2261">
        <v>-0.69117399999999996</v>
      </c>
      <c r="S2261">
        <v>2.74295</v>
      </c>
      <c r="T2261">
        <v>-0.36286810000000003</v>
      </c>
      <c r="U2261">
        <v>-1.5957490000000001</v>
      </c>
      <c r="V2261">
        <v>-0.23436019999999999</v>
      </c>
      <c r="W2261">
        <v>0.1339912</v>
      </c>
      <c r="X2261">
        <v>0.96287160000000005</v>
      </c>
      <c r="Y2261">
        <v>-0.45562750000000002</v>
      </c>
      <c r="Z2261">
        <v>9.9836179999999997E-2</v>
      </c>
      <c r="AA2261">
        <v>0.88455430000000002</v>
      </c>
      <c r="AB2261">
        <v>27</v>
      </c>
      <c r="AC2261">
        <v>0.72239999999999305</v>
      </c>
      <c r="AD2261">
        <v>-0.115175999999999</v>
      </c>
      <c r="AE2261">
        <v>-0.29099999999999598</v>
      </c>
      <c r="AF2261">
        <v>-0.44466996481465099</v>
      </c>
      <c r="AG2261">
        <v>-0.115175999999999</v>
      </c>
      <c r="AH2261">
        <v>0.618971754866385</v>
      </c>
      <c r="AI2261">
        <v>98.593617371715197</v>
      </c>
      <c r="AJ2261">
        <v>125.69350659622999</v>
      </c>
      <c r="AK2261">
        <v>0.77079369607349302</v>
      </c>
      <c r="AL2261">
        <v>82.299710315753302</v>
      </c>
      <c r="AM2261">
        <v>103.679632259245</v>
      </c>
      <c r="AN2261">
        <v>1.0000000315540101</v>
      </c>
    </row>
    <row r="2262" spans="1:40" x14ac:dyDescent="0.25">
      <c r="A2262" t="str">
        <f>"20190303162549409"</f>
        <v>20190303162549409</v>
      </c>
      <c r="B2262" t="str">
        <f>"1551601549405209"</f>
        <v>1551601549405209</v>
      </c>
      <c r="C2262" t="s">
        <v>40</v>
      </c>
      <c r="D2262">
        <v>4.6172690000000003</v>
      </c>
      <c r="E2262">
        <v>0.36321389999999998</v>
      </c>
      <c r="F2262" t="s">
        <v>42</v>
      </c>
      <c r="G2262">
        <v>-487.15769999999998</v>
      </c>
      <c r="H2262">
        <v>1.015015</v>
      </c>
      <c r="I2262">
        <v>221.18350000000001</v>
      </c>
      <c r="J2262">
        <v>-487.91840000000002</v>
      </c>
      <c r="K2262">
        <v>1.1302410000000001</v>
      </c>
      <c r="L2262">
        <v>221.38679999999999</v>
      </c>
      <c r="M2262">
        <v>0.54583689999999996</v>
      </c>
      <c r="N2262">
        <v>-1.5376539999999999E-2</v>
      </c>
      <c r="O2262">
        <v>-0.83775049999999995</v>
      </c>
      <c r="P2262">
        <v>0.721391</v>
      </c>
      <c r="Q2262">
        <v>0.12459050000000001</v>
      </c>
      <c r="R2262">
        <v>-0.68122890000000003</v>
      </c>
      <c r="S2262">
        <v>2.9515380000000002</v>
      </c>
      <c r="T2262">
        <v>-0.37096950000000001</v>
      </c>
      <c r="U2262">
        <v>-1.3671420000000001</v>
      </c>
      <c r="V2262">
        <v>-0.23557919999999999</v>
      </c>
      <c r="W2262">
        <v>0.13419729999999999</v>
      </c>
      <c r="X2262">
        <v>0.96254530000000005</v>
      </c>
      <c r="Y2262">
        <v>-0.52502700000000002</v>
      </c>
      <c r="Z2262">
        <v>0.1022315</v>
      </c>
      <c r="AA2262">
        <v>0.84492330000000004</v>
      </c>
      <c r="AB2262">
        <v>27</v>
      </c>
      <c r="AC2262">
        <v>0.76070000000004201</v>
      </c>
      <c r="AD2262">
        <v>-0.115226</v>
      </c>
      <c r="AE2262">
        <v>-0.20329999999998399</v>
      </c>
      <c r="AF2262">
        <v>-0.51533457720815001</v>
      </c>
      <c r="AG2262">
        <v>-0.115226</v>
      </c>
      <c r="AH2262">
        <v>0.57332437942127101</v>
      </c>
      <c r="AI2262">
        <v>98.501148460706204</v>
      </c>
      <c r="AJ2262">
        <v>131.95089655013101</v>
      </c>
      <c r="AK2262">
        <v>0.77945339923634205</v>
      </c>
      <c r="AL2262">
        <v>82.287793516135494</v>
      </c>
      <c r="AM2262">
        <v>103.75257577999901</v>
      </c>
      <c r="AN2262">
        <v>0.99999996467600905</v>
      </c>
    </row>
    <row r="2263" spans="1:40" x14ac:dyDescent="0.25">
      <c r="A2263" t="str">
        <f>"20190303162549431"</f>
        <v>20190303162549431</v>
      </c>
      <c r="B2263" t="str">
        <f>"1551601549414969"</f>
        <v>1551601549414969</v>
      </c>
      <c r="C2263" t="s">
        <v>40</v>
      </c>
      <c r="D2263">
        <v>4.7358969999999996</v>
      </c>
      <c r="E2263">
        <v>0.36433589999999999</v>
      </c>
      <c r="F2263" t="s">
        <v>42</v>
      </c>
      <c r="G2263">
        <v>-487.02710000000002</v>
      </c>
      <c r="H2263">
        <v>1.020867</v>
      </c>
      <c r="I2263">
        <v>220.9871</v>
      </c>
      <c r="J2263">
        <v>-487.75970000000001</v>
      </c>
      <c r="K2263">
        <v>1.1302099999999999</v>
      </c>
      <c r="L2263">
        <v>221.1678</v>
      </c>
      <c r="M2263">
        <v>0.55631319999999995</v>
      </c>
      <c r="N2263">
        <v>-1.537295E-2</v>
      </c>
      <c r="O2263">
        <v>-0.83083079999999998</v>
      </c>
      <c r="P2263">
        <v>0.73184459999999996</v>
      </c>
      <c r="Q2263">
        <v>0.1247115</v>
      </c>
      <c r="R2263">
        <v>-0.66996319999999998</v>
      </c>
      <c r="S2263">
        <v>2.9661249999999999</v>
      </c>
      <c r="T2263">
        <v>-0.36379610000000001</v>
      </c>
      <c r="U2263">
        <v>-1.3293299999999999</v>
      </c>
      <c r="V2263">
        <v>-0.23839630000000001</v>
      </c>
      <c r="W2263">
        <v>0.13425580000000001</v>
      </c>
      <c r="X2263">
        <v>0.96184329999999996</v>
      </c>
      <c r="Y2263">
        <v>-0.52511890000000006</v>
      </c>
      <c r="Z2263">
        <v>9.9874679999999993E-2</v>
      </c>
      <c r="AA2263">
        <v>0.84514800000000001</v>
      </c>
      <c r="AB2263">
        <v>27</v>
      </c>
      <c r="AC2263">
        <v>0.73259999999999004</v>
      </c>
      <c r="AD2263">
        <v>-0.109342999999999</v>
      </c>
      <c r="AE2263">
        <v>-0.180700000000001</v>
      </c>
      <c r="AF2263">
        <v>-0.497748548162188</v>
      </c>
      <c r="AG2263">
        <v>-0.109342999999999</v>
      </c>
      <c r="AH2263">
        <v>0.54628059328054601</v>
      </c>
      <c r="AI2263">
        <v>98.416044146551997</v>
      </c>
      <c r="AJ2263">
        <v>132.338502416502</v>
      </c>
      <c r="AK2263">
        <v>0.74708232173001599</v>
      </c>
      <c r="AL2263">
        <v>82.284411182333301</v>
      </c>
      <c r="AM2263">
        <v>103.92043819979</v>
      </c>
      <c r="AN2263">
        <v>0.99999997472110902</v>
      </c>
    </row>
    <row r="2264" spans="1:40" x14ac:dyDescent="0.25">
      <c r="A2264" t="str">
        <f>"20190303162549456"</f>
        <v>20190303162549456</v>
      </c>
      <c r="B2264" t="str">
        <f>"1551601549445225"</f>
        <v>1551601549445225</v>
      </c>
      <c r="C2264" t="s">
        <v>40</v>
      </c>
      <c r="D2264">
        <v>4.5934540000000004</v>
      </c>
      <c r="E2264">
        <v>0.36665429999999999</v>
      </c>
      <c r="F2264" t="s">
        <v>42</v>
      </c>
      <c r="G2264">
        <v>-486.89400000000001</v>
      </c>
      <c r="H2264">
        <v>1.023768</v>
      </c>
      <c r="I2264">
        <v>220.79259999999999</v>
      </c>
      <c r="J2264">
        <v>-487.58350000000002</v>
      </c>
      <c r="K2264">
        <v>1.1301859999999999</v>
      </c>
      <c r="L2264">
        <v>220.93119999999999</v>
      </c>
      <c r="M2264">
        <v>0.56763809999999904</v>
      </c>
      <c r="N2264">
        <v>-1.536858E-2</v>
      </c>
      <c r="O2264">
        <v>-0.82313479999999895</v>
      </c>
      <c r="P2264">
        <v>0.74262349999999999</v>
      </c>
      <c r="Q2264">
        <v>0.12480860000000001</v>
      </c>
      <c r="R2264">
        <v>-0.65797629999999996</v>
      </c>
      <c r="S2264">
        <v>2.979584</v>
      </c>
      <c r="T2264">
        <v>-0.36633599999999999</v>
      </c>
      <c r="U2264">
        <v>-1.291275</v>
      </c>
      <c r="V2264">
        <v>-0.2408459</v>
      </c>
      <c r="W2264">
        <v>0.1343007</v>
      </c>
      <c r="X2264">
        <v>0.96122660000000004</v>
      </c>
      <c r="Y2264">
        <v>-0.52388889999999999</v>
      </c>
      <c r="Z2264">
        <v>0.100356</v>
      </c>
      <c r="AA2264">
        <v>0.84585399999999999</v>
      </c>
      <c r="AB2264">
        <v>27</v>
      </c>
      <c r="AC2264">
        <v>0.68950000000000899</v>
      </c>
      <c r="AD2264">
        <v>-0.106418</v>
      </c>
      <c r="AE2264">
        <v>-0.138599999999996</v>
      </c>
      <c r="AF2264">
        <v>-0.47799048556250401</v>
      </c>
      <c r="AG2264">
        <v>-0.106418</v>
      </c>
      <c r="AH2264">
        <v>0.49421707147056598</v>
      </c>
      <c r="AI2264">
        <v>98.798338941962399</v>
      </c>
      <c r="AJ2264">
        <v>134.04379618783901</v>
      </c>
      <c r="AK2264">
        <v>0.69573716929974405</v>
      </c>
      <c r="AL2264">
        <v>82.281815295203899</v>
      </c>
      <c r="AM2264">
        <v>104.066491749235</v>
      </c>
      <c r="AN2264">
        <v>1.0000000010574299</v>
      </c>
    </row>
    <row r="2265" spans="1:40" x14ac:dyDescent="0.25">
      <c r="A2265" t="str">
        <f>"20190303162549501"</f>
        <v>20190303162549501</v>
      </c>
      <c r="B2265" t="str">
        <f>"1551601549495002"</f>
        <v>1551601549495002</v>
      </c>
      <c r="C2265" t="s">
        <v>40</v>
      </c>
      <c r="D2265">
        <v>4.5008879999999998</v>
      </c>
      <c r="E2265">
        <v>0.3698246</v>
      </c>
      <c r="F2265" t="s">
        <v>42</v>
      </c>
      <c r="G2265">
        <v>-486.76979999999998</v>
      </c>
      <c r="H2265">
        <v>1.030789</v>
      </c>
      <c r="I2265">
        <v>220.5881</v>
      </c>
      <c r="J2265">
        <v>-487.25459999999998</v>
      </c>
      <c r="K2265">
        <v>1.1301410000000001</v>
      </c>
      <c r="L2265">
        <v>220.50739999999999</v>
      </c>
      <c r="M2265">
        <v>0.58796859999999995</v>
      </c>
      <c r="N2265">
        <v>-1.535969E-2</v>
      </c>
      <c r="O2265">
        <v>-0.8087377</v>
      </c>
      <c r="P2265">
        <v>0.76142069999999995</v>
      </c>
      <c r="Q2265">
        <v>0.12513369999999999</v>
      </c>
      <c r="R2265">
        <v>-0.63606640000000003</v>
      </c>
      <c r="S2265">
        <v>2.9859619999999998</v>
      </c>
      <c r="T2265">
        <v>-0.36458980000000002</v>
      </c>
      <c r="U2265">
        <v>-1.2584379999999999</v>
      </c>
      <c r="V2265">
        <v>-0.24485080000000001</v>
      </c>
      <c r="W2265">
        <v>0.1345431</v>
      </c>
      <c r="X2265">
        <v>0.96018029999999999</v>
      </c>
      <c r="Y2265">
        <v>-0.51130739999999997</v>
      </c>
      <c r="Z2265">
        <v>9.8828970000000002E-2</v>
      </c>
      <c r="AA2265">
        <v>0.85369649999999997</v>
      </c>
      <c r="AB2265">
        <v>27</v>
      </c>
      <c r="AC2265">
        <v>0.484800000000007</v>
      </c>
      <c r="AD2265">
        <v>-9.9352000000000107E-2</v>
      </c>
      <c r="AE2265">
        <v>8.0700000000007294E-2</v>
      </c>
      <c r="AF2265">
        <v>-0.42231872707733298</v>
      </c>
      <c r="AG2265">
        <v>-9.9352000000000107E-2</v>
      </c>
      <c r="AH2265">
        <v>0.21117809381781499</v>
      </c>
      <c r="AI2265">
        <v>101.88246735896099</v>
      </c>
      <c r="AJ2265">
        <v>153.43291595658201</v>
      </c>
      <c r="AK2265">
        <v>0.48251436709464401</v>
      </c>
      <c r="AL2265">
        <v>82.267799463757697</v>
      </c>
      <c r="AM2265">
        <v>104.305822100415</v>
      </c>
      <c r="AN2265">
        <v>0.99999998426316905</v>
      </c>
    </row>
    <row r="2266" spans="1:40" x14ac:dyDescent="0.25">
      <c r="A2266" t="str">
        <f>"20190303162549543"</f>
        <v>20190303162549543</v>
      </c>
      <c r="B2266" t="str">
        <f>"1551601549535016"</f>
        <v>1551601549535016</v>
      </c>
      <c r="C2266" t="s">
        <v>40</v>
      </c>
      <c r="D2266">
        <v>4.4303809999999997</v>
      </c>
      <c r="E2266">
        <v>0.3827854</v>
      </c>
      <c r="F2266" t="s">
        <v>42</v>
      </c>
      <c r="G2266">
        <v>-486.26560000000001</v>
      </c>
      <c r="H2266">
        <v>1.0212239999999999</v>
      </c>
      <c r="I2266">
        <v>220.11689999999999</v>
      </c>
      <c r="J2266">
        <v>-486.9375</v>
      </c>
      <c r="K2266">
        <v>1.130091</v>
      </c>
      <c r="L2266">
        <v>220.11879999999999</v>
      </c>
      <c r="M2266">
        <v>0.60665139999999995</v>
      </c>
      <c r="N2266">
        <v>-1.535014E-2</v>
      </c>
      <c r="O2266">
        <v>-0.79481979999999997</v>
      </c>
      <c r="P2266">
        <v>0.7786999</v>
      </c>
      <c r="Q2266">
        <v>0.1239992</v>
      </c>
      <c r="R2266">
        <v>-0.61502069999999998</v>
      </c>
      <c r="S2266">
        <v>3.0036320000000001</v>
      </c>
      <c r="T2266">
        <v>-0.33078920000000001</v>
      </c>
      <c r="U2266">
        <v>-1.185989</v>
      </c>
      <c r="V2266">
        <v>-0.24882840000000001</v>
      </c>
      <c r="W2266">
        <v>0.13332920000000001</v>
      </c>
      <c r="X2266">
        <v>0.95932669999999998</v>
      </c>
      <c r="Y2266">
        <v>-0.51185320000000001</v>
      </c>
      <c r="Z2266">
        <v>8.8584919999999998E-2</v>
      </c>
      <c r="AA2266">
        <v>0.85449339999999996</v>
      </c>
      <c r="AB2266">
        <v>27</v>
      </c>
      <c r="AC2266">
        <v>0.67189999999999295</v>
      </c>
      <c r="AD2266">
        <v>-0.10886700000000001</v>
      </c>
      <c r="AE2266">
        <v>-1.90000000000623E-3</v>
      </c>
      <c r="AF2266">
        <v>-0.51931593473875504</v>
      </c>
      <c r="AG2266">
        <v>-0.10886700000000001</v>
      </c>
      <c r="AH2266">
        <v>0.398700329316025</v>
      </c>
      <c r="AI2266">
        <v>99.440857532123104</v>
      </c>
      <c r="AJ2266">
        <v>142.48505918803201</v>
      </c>
      <c r="AK2266">
        <v>0.66370401261352496</v>
      </c>
      <c r="AL2266">
        <v>82.337983162539203</v>
      </c>
      <c r="AM2266">
        <v>104.540838661001</v>
      </c>
      <c r="AN2266">
        <v>0.99999998277604396</v>
      </c>
    </row>
    <row r="2267" spans="1:40" x14ac:dyDescent="0.25">
      <c r="A2267" t="str">
        <f>"20190303162549565"</f>
        <v>20190303162549565</v>
      </c>
      <c r="B2267" t="str">
        <f>"1551601549556489"</f>
        <v>1551601549556489</v>
      </c>
      <c r="C2267" t="s">
        <v>40</v>
      </c>
      <c r="D2267">
        <v>4.4913879999999997</v>
      </c>
      <c r="E2267">
        <v>0.38273249999999998</v>
      </c>
      <c r="F2267" t="s">
        <v>42</v>
      </c>
      <c r="G2267">
        <v>-485.9855</v>
      </c>
      <c r="H2267">
        <v>1.0475540000000001</v>
      </c>
      <c r="I2267">
        <v>219.74</v>
      </c>
      <c r="J2267">
        <v>-486.77080000000001</v>
      </c>
      <c r="K2267">
        <v>1.130072</v>
      </c>
      <c r="L2267">
        <v>219.92169999999999</v>
      </c>
      <c r="M2267">
        <v>0.61614290000000005</v>
      </c>
      <c r="N2267">
        <v>-1.534483E-2</v>
      </c>
      <c r="O2267">
        <v>-0.78748490000000004</v>
      </c>
      <c r="P2267">
        <v>0.78523019999999999</v>
      </c>
      <c r="Q2267">
        <v>0.12519449999999999</v>
      </c>
      <c r="R2267">
        <v>-0.60641590000000001</v>
      </c>
      <c r="S2267">
        <v>2.9627379999999999</v>
      </c>
      <c r="T2267">
        <v>-0.25678610000000002</v>
      </c>
      <c r="U2267">
        <v>-1.1784669999999999</v>
      </c>
      <c r="V2267">
        <v>-0.2477413</v>
      </c>
      <c r="W2267">
        <v>0.1345606</v>
      </c>
      <c r="X2267">
        <v>0.95943610000000001</v>
      </c>
      <c r="Y2267">
        <v>-0.50128329999999999</v>
      </c>
      <c r="Z2267">
        <v>6.7072259999999995E-2</v>
      </c>
      <c r="AA2267">
        <v>0.8626798</v>
      </c>
      <c r="AB2267">
        <v>27</v>
      </c>
      <c r="AC2267">
        <v>0.78530000000000599</v>
      </c>
      <c r="AD2267">
        <v>-8.25179999999998E-2</v>
      </c>
      <c r="AE2267">
        <v>-0.18169999999997799</v>
      </c>
      <c r="AF2267">
        <v>-0.50126491411330598</v>
      </c>
      <c r="AG2267">
        <v>-8.25179999999998E-2</v>
      </c>
      <c r="AH2267">
        <v>0.62051362757267203</v>
      </c>
      <c r="AI2267">
        <v>95.906049567825804</v>
      </c>
      <c r="AJ2267">
        <v>128.93206019033099</v>
      </c>
      <c r="AK2267">
        <v>0.80194320026322097</v>
      </c>
      <c r="AL2267">
        <v>82.266787462649702</v>
      </c>
      <c r="AM2267">
        <v>104.478405950579</v>
      </c>
      <c r="AN2267">
        <v>0.99999996839062899</v>
      </c>
    </row>
    <row r="2268" spans="1:40" x14ac:dyDescent="0.25">
      <c r="A2268" t="str">
        <f>"20190303162549589"</f>
        <v>20190303162549589</v>
      </c>
      <c r="B2268" t="str">
        <f>"1551601549585769"</f>
        <v>1551601549585769</v>
      </c>
      <c r="C2268" t="s">
        <v>40</v>
      </c>
      <c r="D2268">
        <v>4.3606339999999904</v>
      </c>
      <c r="E2268">
        <v>0.35125659999999997</v>
      </c>
      <c r="F2268" t="s">
        <v>42</v>
      </c>
      <c r="G2268">
        <v>-485.83640000000003</v>
      </c>
      <c r="H2268">
        <v>1.0504869999999999</v>
      </c>
      <c r="I2268">
        <v>219.56139999999999</v>
      </c>
      <c r="J2268">
        <v>-486.59050000000002</v>
      </c>
      <c r="K2268">
        <v>1.130045</v>
      </c>
      <c r="L2268">
        <v>219.71379999999999</v>
      </c>
      <c r="M2268">
        <v>0.62616519999999898</v>
      </c>
      <c r="N2268">
        <v>-1.533907E-2</v>
      </c>
      <c r="O2268">
        <v>-0.7795396</v>
      </c>
      <c r="P2268">
        <v>0.79210469999999999</v>
      </c>
      <c r="Q2268">
        <v>0.125805</v>
      </c>
      <c r="R2268">
        <v>-0.59727969999999997</v>
      </c>
      <c r="S2268">
        <v>2.9755859999999998</v>
      </c>
      <c r="T2268">
        <v>-0.25332900000000003</v>
      </c>
      <c r="U2268">
        <v>-1.1463620000000001</v>
      </c>
      <c r="V2268">
        <v>-0.24650900000000001</v>
      </c>
      <c r="W2268">
        <v>0.13521259999999999</v>
      </c>
      <c r="X2268">
        <v>0.95966180000000001</v>
      </c>
      <c r="Y2268">
        <v>-0.49967349999999999</v>
      </c>
      <c r="Z2268">
        <v>6.5731440000000002E-2</v>
      </c>
      <c r="AA2268">
        <v>0.86371620000000005</v>
      </c>
      <c r="AB2268">
        <v>27</v>
      </c>
      <c r="AC2268">
        <v>0.754099999999994</v>
      </c>
      <c r="AD2268">
        <v>-7.9557999999999796E-2</v>
      </c>
      <c r="AE2268">
        <v>-0.15240000000000001</v>
      </c>
      <c r="AF2268">
        <v>-0.48727045777307298</v>
      </c>
      <c r="AG2268">
        <v>-7.9557999999999796E-2</v>
      </c>
      <c r="AH2268">
        <v>0.58480878782804302</v>
      </c>
      <c r="AI2268">
        <v>95.966651327020401</v>
      </c>
      <c r="AJ2268">
        <v>129.80151192986199</v>
      </c>
      <c r="AK2268">
        <v>0.765351744430811</v>
      </c>
      <c r="AL2268">
        <v>82.229085935397094</v>
      </c>
      <c r="AM2268">
        <v>104.40614593414401</v>
      </c>
      <c r="AN2268">
        <v>0.99999995232949801</v>
      </c>
    </row>
    <row r="2269" spans="1:40" x14ac:dyDescent="0.25">
      <c r="A2269" t="str">
        <f>"20190303162549611"</f>
        <v>20190303162549611</v>
      </c>
      <c r="B2269" t="str">
        <f>"1551601549605288"</f>
        <v>1551601549605288</v>
      </c>
      <c r="C2269" t="s">
        <v>40</v>
      </c>
      <c r="D2269">
        <v>4.3138829999999997</v>
      </c>
      <c r="E2269">
        <v>0.34921550000000001</v>
      </c>
      <c r="F2269" t="s">
        <v>42</v>
      </c>
      <c r="G2269">
        <v>-485.64460000000003</v>
      </c>
      <c r="H2269">
        <v>1.0131760000000001</v>
      </c>
      <c r="I2269">
        <v>219.43600000000001</v>
      </c>
      <c r="J2269">
        <v>-486.41969999999998</v>
      </c>
      <c r="K2269">
        <v>1.130017</v>
      </c>
      <c r="L2269">
        <v>219.52160000000001</v>
      </c>
      <c r="M2269">
        <v>0.63543729999999998</v>
      </c>
      <c r="N2269">
        <v>-1.533373E-2</v>
      </c>
      <c r="O2269">
        <v>-0.77200029999999997</v>
      </c>
      <c r="P2269">
        <v>0.79888119999999996</v>
      </c>
      <c r="Q2269">
        <v>0.1248095</v>
      </c>
      <c r="R2269">
        <v>-0.58839739999999996</v>
      </c>
      <c r="S2269">
        <v>3.1515499999999999</v>
      </c>
      <c r="T2269">
        <v>-0.38933279999999998</v>
      </c>
      <c r="U2269">
        <v>-0.92530820000000003</v>
      </c>
      <c r="V2269">
        <v>-0.2458446</v>
      </c>
      <c r="W2269">
        <v>0.134245899999999</v>
      </c>
      <c r="X2269">
        <v>0.95996800000000004</v>
      </c>
      <c r="Y2269">
        <v>-0.55495930000000004</v>
      </c>
      <c r="Z2269">
        <v>0.10499609999999999</v>
      </c>
      <c r="AA2269">
        <v>0.82522479999999998</v>
      </c>
      <c r="AB2269">
        <v>27</v>
      </c>
      <c r="AC2269">
        <v>0.77509999999995205</v>
      </c>
      <c r="AD2269">
        <v>-0.116840999999999</v>
      </c>
      <c r="AE2269">
        <v>-8.5600000000027807E-2</v>
      </c>
      <c r="AF2269">
        <v>-0.53210239072749099</v>
      </c>
      <c r="AG2269">
        <v>-0.116840999999999</v>
      </c>
      <c r="AH2269">
        <v>0.54640959451193705</v>
      </c>
      <c r="AI2269">
        <v>98.709762058381401</v>
      </c>
      <c r="AJ2269">
        <v>134.23997663066999</v>
      </c>
      <c r="AK2269">
        <v>0.77158811452329401</v>
      </c>
      <c r="AL2269">
        <v>82.284984138034602</v>
      </c>
      <c r="AM2269">
        <v>104.364534088517</v>
      </c>
      <c r="AN2269">
        <v>1.00000004501998</v>
      </c>
    </row>
    <row r="2270" spans="1:40" x14ac:dyDescent="0.25">
      <c r="A2270" t="str">
        <f>"20190303162549632"</f>
        <v>20190303162549632</v>
      </c>
      <c r="B2270" t="str">
        <f>"1551601549625784"</f>
        <v>1551601549625784</v>
      </c>
      <c r="C2270" t="s">
        <v>40</v>
      </c>
      <c r="D2270">
        <v>4.2905490000000004</v>
      </c>
      <c r="E2270">
        <v>0.34918969999999999</v>
      </c>
      <c r="F2270" t="s">
        <v>42</v>
      </c>
      <c r="G2270">
        <v>-485.4905</v>
      </c>
      <c r="H2270">
        <v>1.0122100000000001</v>
      </c>
      <c r="I2270">
        <v>219.26400000000001</v>
      </c>
      <c r="J2270">
        <v>-486.24590000000001</v>
      </c>
      <c r="K2270">
        <v>1.1299859999999999</v>
      </c>
      <c r="L2270">
        <v>219.33070000000001</v>
      </c>
      <c r="M2270">
        <v>0.64465899999999998</v>
      </c>
      <c r="N2270">
        <v>-1.5328120000000001E-2</v>
      </c>
      <c r="O2270">
        <v>-0.76431680000000002</v>
      </c>
      <c r="P2270">
        <v>0.80569619999999997</v>
      </c>
      <c r="Q2270">
        <v>0.1235318</v>
      </c>
      <c r="R2270">
        <v>-0.57930429999999999</v>
      </c>
      <c r="S2270">
        <v>3.1711429999999998</v>
      </c>
      <c r="T2270">
        <v>-0.40195059999999999</v>
      </c>
      <c r="U2270">
        <v>-0.87837219999999905</v>
      </c>
      <c r="V2270">
        <v>-0.24531510000000001</v>
      </c>
      <c r="W2270">
        <v>0.1329941</v>
      </c>
      <c r="X2270">
        <v>0.96027759999999995</v>
      </c>
      <c r="Y2270">
        <v>-0.55724319999999905</v>
      </c>
      <c r="Z2270">
        <v>0.1081531</v>
      </c>
      <c r="AA2270">
        <v>0.82327569999999906</v>
      </c>
      <c r="AB2270">
        <v>27</v>
      </c>
      <c r="AC2270">
        <v>0.75540000000000795</v>
      </c>
      <c r="AD2270">
        <v>-0.11777600000000001</v>
      </c>
      <c r="AE2270">
        <v>-6.6699999999997303E-2</v>
      </c>
      <c r="AF2270">
        <v>-0.52184174987998999</v>
      </c>
      <c r="AG2270">
        <v>-0.11777600000000001</v>
      </c>
      <c r="AH2270">
        <v>0.525346810790982</v>
      </c>
      <c r="AI2270">
        <v>99.037417814747897</v>
      </c>
      <c r="AJ2270">
        <v>134.80822513277599</v>
      </c>
      <c r="AK2270">
        <v>0.74978614931330001</v>
      </c>
      <c r="AL2270">
        <v>82.357355626988394</v>
      </c>
      <c r="AM2270">
        <v>104.33044076007801</v>
      </c>
      <c r="AN2270">
        <v>0.99999999899228897</v>
      </c>
    </row>
    <row r="2271" spans="1:40" x14ac:dyDescent="0.25">
      <c r="A2271" t="str">
        <f>"20190303162549657"</f>
        <v>20190303162549657</v>
      </c>
      <c r="B2271" t="str">
        <f>"1551601549645304"</f>
        <v>1551601549645304</v>
      </c>
      <c r="C2271" t="s">
        <v>40</v>
      </c>
      <c r="D2271">
        <v>4.2866629999999999</v>
      </c>
      <c r="E2271">
        <v>0.35061540000000002</v>
      </c>
      <c r="F2271" t="s">
        <v>42</v>
      </c>
      <c r="G2271">
        <v>-485.33769999999998</v>
      </c>
      <c r="H2271">
        <v>1.014148</v>
      </c>
      <c r="I2271">
        <v>219.0899</v>
      </c>
      <c r="J2271">
        <v>-486.04899999999998</v>
      </c>
      <c r="K2271">
        <v>1.129953</v>
      </c>
      <c r="L2271">
        <v>219.11969999999999</v>
      </c>
      <c r="M2271">
        <v>0.6548562</v>
      </c>
      <c r="N2271">
        <v>-1.532149E-2</v>
      </c>
      <c r="O2271">
        <v>-0.75559829999999994</v>
      </c>
      <c r="P2271">
        <v>0.81284669999999903</v>
      </c>
      <c r="Q2271">
        <v>0.12219530000000001</v>
      </c>
      <c r="R2271">
        <v>-0.56951629999999998</v>
      </c>
      <c r="S2271">
        <v>3.179535</v>
      </c>
      <c r="T2271">
        <v>-0.40551399999999999</v>
      </c>
      <c r="U2271">
        <v>-0.8429565</v>
      </c>
      <c r="V2271">
        <v>-0.24415729999999999</v>
      </c>
      <c r="W2271">
        <v>0.1317005</v>
      </c>
      <c r="X2271">
        <v>0.96075089999999996</v>
      </c>
      <c r="Y2271">
        <v>-0.55514249999999998</v>
      </c>
      <c r="Z2271">
        <v>0.1085986</v>
      </c>
      <c r="AA2271">
        <v>0.82463509999999995</v>
      </c>
      <c r="AB2271">
        <v>27</v>
      </c>
      <c r="AC2271">
        <v>0.711300000000051</v>
      </c>
      <c r="AD2271">
        <v>-0.11580499999999901</v>
      </c>
      <c r="AE2271">
        <v>-2.97999999999944E-2</v>
      </c>
      <c r="AF2271">
        <v>-0.50465014487731796</v>
      </c>
      <c r="AG2271">
        <v>-0.11580499999999901</v>
      </c>
      <c r="AH2271">
        <v>0.47578414795275098</v>
      </c>
      <c r="AI2271">
        <v>99.479171778620895</v>
      </c>
      <c r="AJ2271">
        <v>136.68641812098801</v>
      </c>
      <c r="AK2271">
        <v>0.70317360743476698</v>
      </c>
      <c r="AL2271">
        <v>82.432131614466499</v>
      </c>
      <c r="AM2271">
        <v>104.25883196425799</v>
      </c>
      <c r="AN2271">
        <v>1.00000005034717</v>
      </c>
    </row>
    <row r="2272" spans="1:40" x14ac:dyDescent="0.25">
      <c r="A2272" t="str">
        <f>"20190303162549680"</f>
        <v>20190303162549680</v>
      </c>
      <c r="B2272" t="str">
        <f>"1551601549675562"</f>
        <v>1551601549675562</v>
      </c>
      <c r="C2272" t="s">
        <v>40</v>
      </c>
      <c r="D2272">
        <v>4.299213</v>
      </c>
      <c r="E2272">
        <v>0.3525895</v>
      </c>
      <c r="F2272" t="s">
        <v>42</v>
      </c>
      <c r="G2272">
        <v>-485.1952</v>
      </c>
      <c r="H2272">
        <v>1.022195</v>
      </c>
      <c r="I2272">
        <v>218.9015</v>
      </c>
      <c r="J2272">
        <v>-485.87139999999999</v>
      </c>
      <c r="K2272">
        <v>1.1299189999999999</v>
      </c>
      <c r="L2272">
        <v>218.93450000000001</v>
      </c>
      <c r="M2272">
        <v>0.6638153</v>
      </c>
      <c r="N2272">
        <v>-1.5314919999999999E-2</v>
      </c>
      <c r="O2272">
        <v>-0.74773970000000001</v>
      </c>
      <c r="P2272">
        <v>0.81971459999999996</v>
      </c>
      <c r="Q2272">
        <v>0.1214959</v>
      </c>
      <c r="R2272">
        <v>-0.55973839999999997</v>
      </c>
      <c r="S2272">
        <v>3.1819760000000001</v>
      </c>
      <c r="T2272">
        <v>-0.40144249999999998</v>
      </c>
      <c r="U2272">
        <v>-0.81233219999999995</v>
      </c>
      <c r="V2272">
        <v>-0.24426809999999999</v>
      </c>
      <c r="W2272">
        <v>0.13101170000000001</v>
      </c>
      <c r="X2272">
        <v>0.96081689999999997</v>
      </c>
      <c r="Y2272">
        <v>-0.55302450000000003</v>
      </c>
      <c r="Z2272">
        <v>0.1070383</v>
      </c>
      <c r="AA2272">
        <v>0.82626069999999996</v>
      </c>
      <c r="AB2272">
        <v>27</v>
      </c>
      <c r="AC2272">
        <v>0.67619999999999403</v>
      </c>
      <c r="AD2272">
        <v>-0.107724</v>
      </c>
      <c r="AE2272">
        <v>-3.3000000000015399E-2</v>
      </c>
      <c r="AF2272">
        <v>-0.47182639363699902</v>
      </c>
      <c r="AG2272">
        <v>-0.107724</v>
      </c>
      <c r="AH2272">
        <v>0.46190795840035598</v>
      </c>
      <c r="AI2272">
        <v>99.266010521848003</v>
      </c>
      <c r="AJ2272">
        <v>135.608591838481</v>
      </c>
      <c r="AK2272">
        <v>0.66901686670971305</v>
      </c>
      <c r="AL2272">
        <v>82.471941835001203</v>
      </c>
      <c r="AM2272">
        <v>104.26409875832699</v>
      </c>
      <c r="AN2272">
        <v>1.0000000427700499</v>
      </c>
    </row>
    <row r="2273" spans="1:40" x14ac:dyDescent="0.25">
      <c r="A2273" t="str">
        <f>"20190303162549722"</f>
        <v>20190303162549722</v>
      </c>
      <c r="B2273" t="str">
        <f>"1551601549715578"</f>
        <v>1551601549715578</v>
      </c>
      <c r="C2273" t="s">
        <v>40</v>
      </c>
      <c r="D2273">
        <v>4.2828580000000001</v>
      </c>
      <c r="E2273">
        <v>0.355049</v>
      </c>
      <c r="F2273" t="s">
        <v>42</v>
      </c>
      <c r="G2273">
        <v>-484.80169999999998</v>
      </c>
      <c r="H2273">
        <v>0.99650930000000004</v>
      </c>
      <c r="I2273">
        <v>218.67019999999999</v>
      </c>
      <c r="J2273">
        <v>-485.51569999999998</v>
      </c>
      <c r="K2273">
        <v>1.129834</v>
      </c>
      <c r="L2273">
        <v>218.57650000000001</v>
      </c>
      <c r="M2273">
        <v>0.68114319999999995</v>
      </c>
      <c r="N2273">
        <v>-1.5299709999999999E-2</v>
      </c>
      <c r="O2273">
        <v>-0.73199040000000004</v>
      </c>
      <c r="P2273">
        <v>0.83478269999999899</v>
      </c>
      <c r="Q2273">
        <v>0.1179612</v>
      </c>
      <c r="R2273">
        <v>-0.53779460000000001</v>
      </c>
      <c r="S2273">
        <v>3.18222</v>
      </c>
      <c r="T2273">
        <v>-0.3967773</v>
      </c>
      <c r="U2273">
        <v>-0.78562929999999997</v>
      </c>
      <c r="V2273">
        <v>-0.24753790000000001</v>
      </c>
      <c r="W2273">
        <v>0.1274257</v>
      </c>
      <c r="X2273">
        <v>0.96046220000000004</v>
      </c>
      <c r="Y2273">
        <v>-0.54033889999999996</v>
      </c>
      <c r="Z2273">
        <v>0.10422679999999999</v>
      </c>
      <c r="AA2273">
        <v>0.83496749999999997</v>
      </c>
      <c r="AB2273">
        <v>27</v>
      </c>
      <c r="AC2273">
        <v>0.71399999999999797</v>
      </c>
      <c r="AD2273">
        <v>-0.13332469999999899</v>
      </c>
      <c r="AE2273">
        <v>9.3699999999984102E-2</v>
      </c>
      <c r="AF2273">
        <v>-0.56709431780164199</v>
      </c>
      <c r="AG2273">
        <v>-0.13332469999999899</v>
      </c>
      <c r="AH2273">
        <v>0.40395119351870001</v>
      </c>
      <c r="AI2273">
        <v>100.840231410914</v>
      </c>
      <c r="AJ2273">
        <v>144.53706490178101</v>
      </c>
      <c r="AK2273">
        <v>0.70890620512038305</v>
      </c>
      <c r="AL2273">
        <v>82.679141281213006</v>
      </c>
      <c r="AM2273">
        <v>104.452209859596</v>
      </c>
      <c r="AN2273">
        <v>0.99999997929286999</v>
      </c>
    </row>
    <row r="2274" spans="1:40" x14ac:dyDescent="0.25">
      <c r="A2274" t="str">
        <f>"20190303162549745"</f>
        <v>20190303162549745</v>
      </c>
      <c r="B2274" t="str">
        <f>"1551601549736073"</f>
        <v>1551601549736073</v>
      </c>
      <c r="C2274" t="s">
        <v>40</v>
      </c>
      <c r="D2274">
        <v>4.3073790000000001</v>
      </c>
      <c r="E2274">
        <v>0.3565199</v>
      </c>
      <c r="F2274" t="s">
        <v>42</v>
      </c>
      <c r="G2274">
        <v>-484.48129999999998</v>
      </c>
      <c r="H2274">
        <v>0.99869609999999998</v>
      </c>
      <c r="I2274">
        <v>218.3434</v>
      </c>
      <c r="J2274">
        <v>-485.31990000000002</v>
      </c>
      <c r="K2274">
        <v>1.129796</v>
      </c>
      <c r="L2274">
        <v>218.38650000000001</v>
      </c>
      <c r="M2274">
        <v>0.69034249999999997</v>
      </c>
      <c r="N2274">
        <v>-1.529112E-2</v>
      </c>
      <c r="O2274">
        <v>-0.72332109999999905</v>
      </c>
      <c r="P2274">
        <v>0.84222199999999903</v>
      </c>
      <c r="Q2274">
        <v>0.1174171</v>
      </c>
      <c r="R2274">
        <v>-0.52618940000000003</v>
      </c>
      <c r="S2274">
        <v>3.1883849999999998</v>
      </c>
      <c r="T2274">
        <v>-0.40411619999999998</v>
      </c>
      <c r="U2274">
        <v>-0.71788019999999997</v>
      </c>
      <c r="V2274">
        <v>-0.24872259999999999</v>
      </c>
      <c r="W2274">
        <v>0.12686620000000001</v>
      </c>
      <c r="X2274">
        <v>0.96023020000000003</v>
      </c>
      <c r="Y2274">
        <v>-0.54656309999999997</v>
      </c>
      <c r="Z2274">
        <v>0.1064586</v>
      </c>
      <c r="AA2274">
        <v>0.83062340000000001</v>
      </c>
      <c r="AB2274">
        <v>27</v>
      </c>
      <c r="AC2274">
        <v>0.83860000000004198</v>
      </c>
      <c r="AD2274">
        <v>-0.13109989999999999</v>
      </c>
      <c r="AE2274">
        <v>-4.3100000000009603E-2</v>
      </c>
      <c r="AF2274">
        <v>-0.56316350115468805</v>
      </c>
      <c r="AG2274">
        <v>-0.13109989999999999</v>
      </c>
      <c r="AH2274">
        <v>0.59564860593869795</v>
      </c>
      <c r="AI2274">
        <v>99.086444828051199</v>
      </c>
      <c r="AJ2274">
        <v>133.394241776169</v>
      </c>
      <c r="AK2274">
        <v>0.83014310487381104</v>
      </c>
      <c r="AL2274">
        <v>82.711460730770796</v>
      </c>
      <c r="AM2274">
        <v>104.521820188886</v>
      </c>
      <c r="AN2274">
        <v>1.00000000072262</v>
      </c>
    </row>
    <row r="2275" spans="1:40" x14ac:dyDescent="0.25">
      <c r="A2275" t="str">
        <f>"20190303162549767"</f>
        <v>20190303162549767</v>
      </c>
      <c r="B2275" t="str">
        <f>"1551601549755596"</f>
        <v>1551601549755596</v>
      </c>
      <c r="C2275" t="s">
        <v>40</v>
      </c>
      <c r="D2275">
        <v>4.2842349999999998</v>
      </c>
      <c r="E2275">
        <v>0.37133729999999998</v>
      </c>
      <c r="F2275" t="s">
        <v>42</v>
      </c>
      <c r="G2275">
        <v>-484.32389999999998</v>
      </c>
      <c r="H2275">
        <v>1.00553</v>
      </c>
      <c r="I2275">
        <v>218.1739</v>
      </c>
      <c r="J2275">
        <v>-485.13929999999999</v>
      </c>
      <c r="K2275">
        <v>1.129767</v>
      </c>
      <c r="L2275">
        <v>218.21530000000001</v>
      </c>
      <c r="M2275">
        <v>0.69863109999999995</v>
      </c>
      <c r="N2275">
        <v>-1.5283619999999999E-2</v>
      </c>
      <c r="O2275">
        <v>-0.71531899999999904</v>
      </c>
      <c r="P2275">
        <v>0.84907670000000002</v>
      </c>
      <c r="Q2275">
        <v>0.11720469999999999</v>
      </c>
      <c r="R2275">
        <v>-0.51510389999999995</v>
      </c>
      <c r="S2275">
        <v>3.1918329999999999</v>
      </c>
      <c r="T2275">
        <v>-0.3982445</v>
      </c>
      <c r="U2275">
        <v>-0.68127439999999995</v>
      </c>
      <c r="V2275">
        <v>-0.25025520000000001</v>
      </c>
      <c r="W2275">
        <v>0.1266274</v>
      </c>
      <c r="X2275">
        <v>0.95986349999999998</v>
      </c>
      <c r="Y2275">
        <v>-0.54646510000000004</v>
      </c>
      <c r="Z2275">
        <v>0.1044542</v>
      </c>
      <c r="AA2275">
        <v>0.83094239999999997</v>
      </c>
      <c r="AB2275">
        <v>27</v>
      </c>
      <c r="AC2275">
        <v>0.815400000000011</v>
      </c>
      <c r="AD2275">
        <v>-0.124236999999999</v>
      </c>
      <c r="AE2275">
        <v>-4.1400000000009998E-2</v>
      </c>
      <c r="AF2275">
        <v>-0.54186563550538003</v>
      </c>
      <c r="AG2275">
        <v>-0.124236999999999</v>
      </c>
      <c r="AH2275">
        <v>0.58578417027712903</v>
      </c>
      <c r="AI2275">
        <v>98.849372650012398</v>
      </c>
      <c r="AJ2275">
        <v>132.769630688109</v>
      </c>
      <c r="AK2275">
        <v>0.80758670943615396</v>
      </c>
      <c r="AL2275">
        <v>82.725254574326797</v>
      </c>
      <c r="AM2275">
        <v>104.612827246281</v>
      </c>
      <c r="AN2275">
        <v>1.00000005109502</v>
      </c>
    </row>
    <row r="2276" spans="1:40" x14ac:dyDescent="0.25">
      <c r="A2276" t="str">
        <f>"20190303162549814"</f>
        <v>20190303162549814</v>
      </c>
      <c r="B2276" t="str">
        <f>"1551601549805370"</f>
        <v>1551601549805370</v>
      </c>
      <c r="C2276" t="s">
        <v>40</v>
      </c>
      <c r="D2276">
        <v>4.2512299999999996</v>
      </c>
      <c r="E2276">
        <v>0.37387740000000003</v>
      </c>
      <c r="F2276" t="s">
        <v>42</v>
      </c>
      <c r="G2276">
        <v>-484.17610000000002</v>
      </c>
      <c r="H2276">
        <v>1.0189809999999999</v>
      </c>
      <c r="I2276">
        <v>217.9889</v>
      </c>
      <c r="J2276">
        <v>-484.74130000000002</v>
      </c>
      <c r="K2276">
        <v>1.129723</v>
      </c>
      <c r="L2276">
        <v>217.85140000000001</v>
      </c>
      <c r="M2276">
        <v>0.71627769999999902</v>
      </c>
      <c r="N2276">
        <v>-1.5268769999999999E-2</v>
      </c>
      <c r="O2276">
        <v>-0.69764820000000005</v>
      </c>
      <c r="P2276">
        <v>0.86392250000000004</v>
      </c>
      <c r="Q2276">
        <v>0.11852500000000001</v>
      </c>
      <c r="R2276">
        <v>-0.489479</v>
      </c>
      <c r="S2276">
        <v>3.1362920000000001</v>
      </c>
      <c r="T2276">
        <v>-0.36058760000000001</v>
      </c>
      <c r="U2276">
        <v>-0.7364655</v>
      </c>
      <c r="V2276">
        <v>-0.25488319999999998</v>
      </c>
      <c r="W2276">
        <v>0.1278485</v>
      </c>
      <c r="X2276">
        <v>0.95848279999999997</v>
      </c>
      <c r="Y2276">
        <v>-0.5096368</v>
      </c>
      <c r="Z2276">
        <v>9.2072470000000003E-2</v>
      </c>
      <c r="AA2276">
        <v>0.85544900000000001</v>
      </c>
      <c r="AB2276">
        <v>27</v>
      </c>
      <c r="AC2276">
        <v>0.56520000000000403</v>
      </c>
      <c r="AD2276">
        <v>-0.11074199999999999</v>
      </c>
      <c r="AE2276">
        <v>0.13749999999998799</v>
      </c>
      <c r="AF2276">
        <v>-0.475617624232054</v>
      </c>
      <c r="AG2276">
        <v>-0.11074199999999999</v>
      </c>
      <c r="AH2276">
        <v>0.29814332926975501</v>
      </c>
      <c r="AI2276">
        <v>101.16010460855701</v>
      </c>
      <c r="AJ2276">
        <v>147.91824803993299</v>
      </c>
      <c r="AK2276">
        <v>0.57215850935924795</v>
      </c>
      <c r="AL2276">
        <v>82.654716870434697</v>
      </c>
      <c r="AM2276">
        <v>104.89166195787701</v>
      </c>
      <c r="AN2276">
        <v>0.99999998124516398</v>
      </c>
    </row>
    <row r="2277" spans="1:40" x14ac:dyDescent="0.25">
      <c r="A2277" t="str">
        <f>"20190303162549836"</f>
        <v>20190303162549836</v>
      </c>
      <c r="B2277" t="str">
        <f>"1551601549825865"</f>
        <v>1551601549825865</v>
      </c>
      <c r="C2277" t="s">
        <v>40</v>
      </c>
      <c r="D2277">
        <v>4.2546089999999896</v>
      </c>
      <c r="E2277">
        <v>0.3749131</v>
      </c>
      <c r="F2277" t="s">
        <v>42</v>
      </c>
      <c r="G2277">
        <v>-483.84859999999998</v>
      </c>
      <c r="H2277">
        <v>1.038119</v>
      </c>
      <c r="I2277">
        <v>217.6645</v>
      </c>
      <c r="J2277">
        <v>-484.54379999999998</v>
      </c>
      <c r="K2277">
        <v>1.1297140000000001</v>
      </c>
      <c r="L2277">
        <v>217.6773</v>
      </c>
      <c r="M2277">
        <v>0.7247441</v>
      </c>
      <c r="N2277">
        <v>-1.526285E-2</v>
      </c>
      <c r="O2277">
        <v>-0.68884899999999905</v>
      </c>
      <c r="P2277">
        <v>0.87006399999999995</v>
      </c>
      <c r="Q2277">
        <v>0.11954190000000001</v>
      </c>
      <c r="R2277">
        <v>-0.4782245</v>
      </c>
      <c r="S2277">
        <v>3.1437680000000001</v>
      </c>
      <c r="T2277">
        <v>-0.32256570000000001</v>
      </c>
      <c r="U2277">
        <v>-0.6583405</v>
      </c>
      <c r="V2277">
        <v>-0.25553979999999998</v>
      </c>
      <c r="W2277">
        <v>0.12885150000000001</v>
      </c>
      <c r="X2277">
        <v>0.95817359999999896</v>
      </c>
      <c r="Y2277">
        <v>-0.52099899999999999</v>
      </c>
      <c r="Z2277">
        <v>8.201137E-2</v>
      </c>
      <c r="AA2277">
        <v>0.84960829999999998</v>
      </c>
      <c r="AB2277">
        <v>26</v>
      </c>
      <c r="AC2277">
        <v>0.69519999999999904</v>
      </c>
      <c r="AD2277">
        <v>-9.1594999999999802E-2</v>
      </c>
      <c r="AE2277">
        <v>-1.27999999999985E-2</v>
      </c>
      <c r="AF2277">
        <v>-0.46165469485377902</v>
      </c>
      <c r="AG2277">
        <v>-9.1594999999999802E-2</v>
      </c>
      <c r="AH2277">
        <v>0.50397361304235599</v>
      </c>
      <c r="AI2277">
        <v>97.633130726879898</v>
      </c>
      <c r="AJ2277">
        <v>132.490602917552</v>
      </c>
      <c r="AK2277">
        <v>0.68956805606734894</v>
      </c>
      <c r="AL2277">
        <v>82.596769856068903</v>
      </c>
      <c r="AM2277">
        <v>104.93291556304401</v>
      </c>
      <c r="AN2277">
        <v>0.99999997308662403</v>
      </c>
    </row>
    <row r="2278" spans="1:40" x14ac:dyDescent="0.25">
      <c r="A2278" t="str">
        <f>"20190303162549857"</f>
        <v>20190303162549857</v>
      </c>
      <c r="B2278" t="str">
        <f>"1551601549845386"</f>
        <v>1551601549845386</v>
      </c>
      <c r="C2278" t="s">
        <v>40</v>
      </c>
      <c r="D2278">
        <v>4.2340109999999997</v>
      </c>
      <c r="E2278">
        <v>0.37530790000000003</v>
      </c>
      <c r="F2278" t="s">
        <v>42</v>
      </c>
      <c r="G2278">
        <v>-483.68110000000001</v>
      </c>
      <c r="H2278">
        <v>1.0469850000000001</v>
      </c>
      <c r="I2278">
        <v>217.50700000000001</v>
      </c>
      <c r="J2278">
        <v>-484.36070000000001</v>
      </c>
      <c r="K2278">
        <v>1.129724</v>
      </c>
      <c r="L2278">
        <v>217.51990000000001</v>
      </c>
      <c r="M2278">
        <v>0.73244699999999996</v>
      </c>
      <c r="N2278">
        <v>-1.5259379999999999E-2</v>
      </c>
      <c r="O2278">
        <v>-0.68065299999999995</v>
      </c>
      <c r="P2278">
        <v>0.87569330000000001</v>
      </c>
      <c r="Q2278">
        <v>0.1196142</v>
      </c>
      <c r="R2278">
        <v>-0.46781800000000001</v>
      </c>
      <c r="S2278">
        <v>3.147888</v>
      </c>
      <c r="T2278">
        <v>-0.3019</v>
      </c>
      <c r="U2278">
        <v>-0.62147519999999901</v>
      </c>
      <c r="V2278">
        <v>-0.25618089999999999</v>
      </c>
      <c r="W2278">
        <v>0.12890309999999999</v>
      </c>
      <c r="X2278">
        <v>0.9579955</v>
      </c>
      <c r="Y2278">
        <v>-0.521818</v>
      </c>
      <c r="Z2278">
        <v>7.6034080000000004E-2</v>
      </c>
      <c r="AA2278">
        <v>0.84966149999999996</v>
      </c>
      <c r="AB2278">
        <v>26</v>
      </c>
      <c r="AC2278">
        <v>0.67959999999999299</v>
      </c>
      <c r="AD2278">
        <v>-8.2738999999999896E-2</v>
      </c>
      <c r="AE2278">
        <v>-1.29000000000019E-2</v>
      </c>
      <c r="AF2278">
        <v>-0.44655935941512298</v>
      </c>
      <c r="AG2278">
        <v>-8.2738999999999896E-2</v>
      </c>
      <c r="AH2278">
        <v>0.49921360160505102</v>
      </c>
      <c r="AI2278">
        <v>97.041974795962204</v>
      </c>
      <c r="AJ2278">
        <v>131.81344802153501</v>
      </c>
      <c r="AK2278">
        <v>0.67488904542134398</v>
      </c>
      <c r="AL2278">
        <v>82.593788883281704</v>
      </c>
      <c r="AM2278">
        <v>104.97135763242601</v>
      </c>
      <c r="AN2278">
        <v>1.00000002036733</v>
      </c>
    </row>
    <row r="2279" spans="1:40" x14ac:dyDescent="0.25">
      <c r="A2279" t="str">
        <f>"20190303162549881"</f>
        <v>20190303162549881</v>
      </c>
      <c r="B2279" t="str">
        <f>"1551601549875641"</f>
        <v>1551601549875641</v>
      </c>
      <c r="C2279" t="s">
        <v>40</v>
      </c>
      <c r="D2279">
        <v>4.250229</v>
      </c>
      <c r="E2279">
        <v>0.37662810000000002</v>
      </c>
      <c r="F2279" t="s">
        <v>42</v>
      </c>
      <c r="G2279">
        <v>-483.5061</v>
      </c>
      <c r="H2279">
        <v>1.0518970000000001</v>
      </c>
      <c r="I2279">
        <v>217.36160000000001</v>
      </c>
      <c r="J2279">
        <v>-484.14909999999998</v>
      </c>
      <c r="K2279">
        <v>1.1297710000000001</v>
      </c>
      <c r="L2279">
        <v>217.34270000000001</v>
      </c>
      <c r="M2279">
        <v>0.7412183</v>
      </c>
      <c r="N2279">
        <v>-1.526102E-2</v>
      </c>
      <c r="O2279">
        <v>-0.67109059999999998</v>
      </c>
      <c r="P2279">
        <v>0.88177839999999996</v>
      </c>
      <c r="Q2279">
        <v>0.1207474</v>
      </c>
      <c r="R2279">
        <v>-0.45594580000000001</v>
      </c>
      <c r="S2279">
        <v>3.1535950000000001</v>
      </c>
      <c r="T2279">
        <v>-0.28708739999999999</v>
      </c>
      <c r="U2279">
        <v>-0.58305359999999995</v>
      </c>
      <c r="V2279">
        <v>-0.25662289999999999</v>
      </c>
      <c r="W2279">
        <v>0.1300029</v>
      </c>
      <c r="X2279">
        <v>0.95772860000000004</v>
      </c>
      <c r="Y2279">
        <v>-0.5214799</v>
      </c>
      <c r="Z2279">
        <v>7.1540240000000005E-2</v>
      </c>
      <c r="AA2279">
        <v>0.85025919999999899</v>
      </c>
      <c r="AB2279">
        <v>26</v>
      </c>
      <c r="AC2279">
        <v>0.64299999999997204</v>
      </c>
      <c r="AD2279">
        <v>-7.7873999999999999E-2</v>
      </c>
      <c r="AE2279">
        <v>1.8900000000002099E-2</v>
      </c>
      <c r="AF2279">
        <v>-0.439136579559675</v>
      </c>
      <c r="AG2279">
        <v>-7.7873999999999999E-2</v>
      </c>
      <c r="AH2279">
        <v>0.45727241292808402</v>
      </c>
      <c r="AI2279">
        <v>97.002691857372795</v>
      </c>
      <c r="AJ2279">
        <v>133.84096993909</v>
      </c>
      <c r="AK2279">
        <v>0.63875140313618295</v>
      </c>
      <c r="AL2279">
        <v>82.530240622326104</v>
      </c>
      <c r="AM2279">
        <v>105.00001646951</v>
      </c>
      <c r="AN2279">
        <v>1.0000000690353801</v>
      </c>
    </row>
    <row r="2280" spans="1:40" x14ac:dyDescent="0.25">
      <c r="A2280" t="str">
        <f>"20190303162549923"</f>
        <v>20190303162549923</v>
      </c>
      <c r="B2280" t="str">
        <f>"1551601549915658"</f>
        <v>1551601549915658</v>
      </c>
      <c r="C2280" t="s">
        <v>40</v>
      </c>
      <c r="D2280">
        <v>4.3250339999999996</v>
      </c>
      <c r="E2280">
        <v>0.39128230000000003</v>
      </c>
      <c r="F2280" t="s">
        <v>42</v>
      </c>
      <c r="G2280">
        <v>-483.10480000000001</v>
      </c>
      <c r="H2280">
        <v>1.038629</v>
      </c>
      <c r="I2280">
        <v>217.16120000000001</v>
      </c>
      <c r="J2280">
        <v>-483.76769999999999</v>
      </c>
      <c r="K2280">
        <v>1.129945</v>
      </c>
      <c r="L2280">
        <v>217.03530000000001</v>
      </c>
      <c r="M2280">
        <v>0.75673800000000002</v>
      </c>
      <c r="N2280">
        <v>-1.528171E-2</v>
      </c>
      <c r="O2280">
        <v>-0.65354009999999996</v>
      </c>
      <c r="P2280">
        <v>0.88961849999999998</v>
      </c>
      <c r="Q2280">
        <v>0.125973</v>
      </c>
      <c r="R2280">
        <v>-0.43898779999999998</v>
      </c>
      <c r="S2280">
        <v>3.1564030000000001</v>
      </c>
      <c r="T2280">
        <v>-0.27542480000000003</v>
      </c>
      <c r="U2280">
        <v>-0.54832460000000005</v>
      </c>
      <c r="V2280">
        <v>-0.2521834</v>
      </c>
      <c r="W2280">
        <v>0.13526740000000001</v>
      </c>
      <c r="X2280">
        <v>0.95817859999999999</v>
      </c>
      <c r="Y2280">
        <v>-0.5110536</v>
      </c>
      <c r="Z2280">
        <v>6.7132410000000003E-2</v>
      </c>
      <c r="AA2280">
        <v>0.8569232</v>
      </c>
      <c r="AB2280">
        <v>26</v>
      </c>
      <c r="AC2280">
        <v>0.66289999999997895</v>
      </c>
      <c r="AD2280">
        <v>-9.1315999999999897E-2</v>
      </c>
      <c r="AE2280">
        <v>0.12590000000000101</v>
      </c>
      <c r="AF2280">
        <v>-0.51905999747212395</v>
      </c>
      <c r="AG2280">
        <v>-9.1315999999999897E-2</v>
      </c>
      <c r="AH2280">
        <v>0.41186641519592199</v>
      </c>
      <c r="AI2280">
        <v>97.846607503416394</v>
      </c>
      <c r="AJ2280">
        <v>141.56852087351999</v>
      </c>
      <c r="AK2280">
        <v>0.66887654824945197</v>
      </c>
      <c r="AL2280">
        <v>82.225917254058601</v>
      </c>
      <c r="AM2280">
        <v>104.745304110623</v>
      </c>
      <c r="AN2280">
        <v>0.99999998311813898</v>
      </c>
    </row>
    <row r="2281" spans="1:40" x14ac:dyDescent="0.25">
      <c r="A2281" t="str">
        <f>"20190303162549948"</f>
        <v>20190303162549948</v>
      </c>
      <c r="B2281" t="str">
        <f>"1551601549944937"</f>
        <v>1551601549944937</v>
      </c>
      <c r="C2281" t="s">
        <v>40</v>
      </c>
      <c r="D2281">
        <v>4.3913789999999997</v>
      </c>
      <c r="E2281">
        <v>0.39178439999999998</v>
      </c>
      <c r="F2281" t="s">
        <v>42</v>
      </c>
      <c r="G2281">
        <v>-482.76929999999999</v>
      </c>
      <c r="H2281">
        <v>1.054095</v>
      </c>
      <c r="I2281">
        <v>216.84630000000001</v>
      </c>
      <c r="J2281">
        <v>-483.54450000000003</v>
      </c>
      <c r="K2281">
        <v>1.130061</v>
      </c>
      <c r="L2281">
        <v>216.86259999999999</v>
      </c>
      <c r="M2281">
        <v>0.76566460000000003</v>
      </c>
      <c r="N2281">
        <v>-1.5299180000000001E-2</v>
      </c>
      <c r="O2281">
        <v>-0.64305840000000003</v>
      </c>
      <c r="P2281">
        <v>0.89411609999999997</v>
      </c>
      <c r="Q2281">
        <v>0.12761829999999999</v>
      </c>
      <c r="R2281">
        <v>-0.42926700000000001</v>
      </c>
      <c r="S2281">
        <v>3.1149290000000001</v>
      </c>
      <c r="T2281">
        <v>-0.2365872</v>
      </c>
      <c r="U2281">
        <v>-0.58921809999999997</v>
      </c>
      <c r="V2281">
        <v>-0.24934480000000001</v>
      </c>
      <c r="W2281">
        <v>0.13693830000000001</v>
      </c>
      <c r="X2281">
        <v>0.95868399999999998</v>
      </c>
      <c r="Y2281">
        <v>-0.4871761</v>
      </c>
      <c r="Z2281">
        <v>5.5981299999999998E-2</v>
      </c>
      <c r="AA2281">
        <v>0.87150759999999905</v>
      </c>
      <c r="AB2281">
        <v>26</v>
      </c>
      <c r="AC2281">
        <v>0.77520000000003997</v>
      </c>
      <c r="AD2281">
        <v>-7.5965999999999895E-2</v>
      </c>
      <c r="AE2281">
        <v>-1.62999999999726E-2</v>
      </c>
      <c r="AF2281">
        <v>-0.48145391718284702</v>
      </c>
      <c r="AG2281">
        <v>-7.5965999999999895E-2</v>
      </c>
      <c r="AH2281">
        <v>0.59835212685480799</v>
      </c>
      <c r="AI2281">
        <v>95.648987019177994</v>
      </c>
      <c r="AJ2281">
        <v>128.821306346868</v>
      </c>
      <c r="AK2281">
        <v>0.77174735194776001</v>
      </c>
      <c r="AL2281">
        <v>82.129282401114196</v>
      </c>
      <c r="AM2281">
        <v>104.579084175113</v>
      </c>
      <c r="AN2281">
        <v>0.99999996957496395</v>
      </c>
    </row>
    <row r="2282" spans="1:40" x14ac:dyDescent="0.25">
      <c r="A2282" t="str">
        <f>"20190303162549971"</f>
        <v>20190303162549971</v>
      </c>
      <c r="B2282" t="str">
        <f>"1551601549965434"</f>
        <v>1551601549965434</v>
      </c>
      <c r="C2282" t="s">
        <v>40</v>
      </c>
      <c r="D2282">
        <v>4.3981009999999996</v>
      </c>
      <c r="E2282">
        <v>0.39312829999999999</v>
      </c>
      <c r="F2282" t="s">
        <v>42</v>
      </c>
      <c r="G2282">
        <v>-482.5985</v>
      </c>
      <c r="H2282">
        <v>1.057453</v>
      </c>
      <c r="I2282">
        <v>216.69280000000001</v>
      </c>
      <c r="J2282">
        <v>-483.33580000000001</v>
      </c>
      <c r="K2282">
        <v>1.1301749999999999</v>
      </c>
      <c r="L2282">
        <v>216.70570000000001</v>
      </c>
      <c r="M2282">
        <v>0.77393290000000003</v>
      </c>
      <c r="N2282">
        <v>-1.531892E-2</v>
      </c>
      <c r="O2282">
        <v>-0.63308219999999904</v>
      </c>
      <c r="P2282">
        <v>0.89821139999999999</v>
      </c>
      <c r="Q2282">
        <v>0.128919899999999</v>
      </c>
      <c r="R2282">
        <v>-0.42023349999999998</v>
      </c>
      <c r="S2282">
        <v>3.1206969999999998</v>
      </c>
      <c r="T2282">
        <v>-0.23947289999999999</v>
      </c>
      <c r="U2282">
        <v>-0.55970759999999997</v>
      </c>
      <c r="V2282">
        <v>-0.24652540000000001</v>
      </c>
      <c r="W2282">
        <v>0.13826459999999999</v>
      </c>
      <c r="X2282">
        <v>0.95922269999999998</v>
      </c>
      <c r="Y2282">
        <v>-0.48409049999999998</v>
      </c>
      <c r="Z2282">
        <v>5.6193609999999998E-2</v>
      </c>
      <c r="AA2282">
        <v>0.87321170000000004</v>
      </c>
      <c r="AB2282">
        <v>26</v>
      </c>
      <c r="AC2282">
        <v>0.73730000000000395</v>
      </c>
      <c r="AD2282">
        <v>-7.2721999999999898E-2</v>
      </c>
      <c r="AE2282">
        <v>-1.29000000000019E-2</v>
      </c>
      <c r="AF2282">
        <v>-0.45244120698259999</v>
      </c>
      <c r="AG2282">
        <v>-7.2721999999999898E-2</v>
      </c>
      <c r="AH2282">
        <v>0.57328003441869302</v>
      </c>
      <c r="AI2282">
        <v>95.686588013170905</v>
      </c>
      <c r="AJ2282">
        <v>128.281031668559</v>
      </c>
      <c r="AK2282">
        <v>0.73392202100970605</v>
      </c>
      <c r="AL2282">
        <v>82.052561689617804</v>
      </c>
      <c r="AM2282">
        <v>104.41338486384301</v>
      </c>
      <c r="AN2282">
        <v>1.0000000303268</v>
      </c>
    </row>
    <row r="2283" spans="1:40" x14ac:dyDescent="0.25">
      <c r="A2283" t="str">
        <f>"20190303162549992"</f>
        <v>20190303162549992</v>
      </c>
      <c r="B2283" t="str">
        <f>"1551601549984953"</f>
        <v>1551601549984953</v>
      </c>
      <c r="C2283" t="s">
        <v>40</v>
      </c>
      <c r="D2283">
        <v>4.391705</v>
      </c>
      <c r="E2283">
        <v>0.3945844</v>
      </c>
      <c r="F2283" t="s">
        <v>42</v>
      </c>
      <c r="G2283">
        <v>-482.42270000000002</v>
      </c>
      <c r="H2283">
        <v>1.0615250000000001</v>
      </c>
      <c r="I2283">
        <v>216.5479</v>
      </c>
      <c r="J2283">
        <v>-483.13260000000002</v>
      </c>
      <c r="K2283">
        <v>1.1303240000000001</v>
      </c>
      <c r="L2283">
        <v>216.55709999999999</v>
      </c>
      <c r="M2283">
        <v>0.78196409999999905</v>
      </c>
      <c r="N2283">
        <v>-1.5345370000000001E-2</v>
      </c>
      <c r="O2283">
        <v>-0.62313459999999998</v>
      </c>
      <c r="P2283">
        <v>0.90214220000000001</v>
      </c>
      <c r="Q2283">
        <v>0.12990260000000001</v>
      </c>
      <c r="R2283">
        <v>-0.4114177</v>
      </c>
      <c r="S2283">
        <v>3.1217959999999998</v>
      </c>
      <c r="T2283">
        <v>-0.23459079999999999</v>
      </c>
      <c r="U2283">
        <v>-0.53822329999999996</v>
      </c>
      <c r="V2283">
        <v>-0.24362839999999999</v>
      </c>
      <c r="W2283">
        <v>0.13926379999999999</v>
      </c>
      <c r="X2283">
        <v>0.95981810000000001</v>
      </c>
      <c r="Y2283">
        <v>-0.47891590000000001</v>
      </c>
      <c r="Z2283">
        <v>5.4338890000000001E-2</v>
      </c>
      <c r="AA2283">
        <v>0.8761774</v>
      </c>
      <c r="AB2283">
        <v>26</v>
      </c>
      <c r="AC2283">
        <v>0.70990000000000397</v>
      </c>
      <c r="AD2283">
        <v>-6.8798999999999805E-2</v>
      </c>
      <c r="AE2283">
        <v>-9.1999999999927695E-3</v>
      </c>
      <c r="AF2283">
        <v>-0.431171422744419</v>
      </c>
      <c r="AG2283">
        <v>-6.8798999999999805E-2</v>
      </c>
      <c r="AH2283">
        <v>0.55569681115316305</v>
      </c>
      <c r="AI2283">
        <v>95.586644316601195</v>
      </c>
      <c r="AJ2283">
        <v>127.808289901891</v>
      </c>
      <c r="AK2283">
        <v>0.70671142916910701</v>
      </c>
      <c r="AL2283">
        <v>81.994752176472701</v>
      </c>
      <c r="AM2283">
        <v>104.242466085904</v>
      </c>
      <c r="AN2283">
        <v>0.99999999418230401</v>
      </c>
    </row>
    <row r="2284" spans="1:40" x14ac:dyDescent="0.25">
      <c r="A2284" t="str">
        <f>"20190303162550015"</f>
        <v>20190303162550015</v>
      </c>
      <c r="B2284" t="str">
        <f>"1551601550005450"</f>
        <v>1551601550005450</v>
      </c>
      <c r="C2284" t="s">
        <v>40</v>
      </c>
      <c r="D2284">
        <v>4.4522139999999997</v>
      </c>
      <c r="E2284">
        <v>0.39523760000000002</v>
      </c>
      <c r="F2284" t="s">
        <v>42</v>
      </c>
      <c r="G2284">
        <v>-482.2432</v>
      </c>
      <c r="H2284">
        <v>1.066109</v>
      </c>
      <c r="I2284">
        <v>216.41</v>
      </c>
      <c r="J2284">
        <v>-482.93169999999998</v>
      </c>
      <c r="K2284">
        <v>1.130495</v>
      </c>
      <c r="L2284">
        <v>216.4145</v>
      </c>
      <c r="M2284">
        <v>0.78988309999999995</v>
      </c>
      <c r="N2284">
        <v>-1.53822E-2</v>
      </c>
      <c r="O2284">
        <v>-0.61306479999999997</v>
      </c>
      <c r="P2284">
        <v>0.90583239999999998</v>
      </c>
      <c r="Q2284">
        <v>0.1301908</v>
      </c>
      <c r="R2284">
        <v>-0.40313559999999998</v>
      </c>
      <c r="S2284">
        <v>3.122223</v>
      </c>
      <c r="T2284">
        <v>-0.2254361</v>
      </c>
      <c r="U2284">
        <v>-0.51676940000000005</v>
      </c>
      <c r="V2284">
        <v>-0.24015600000000001</v>
      </c>
      <c r="W2284">
        <v>0.13957919999999999</v>
      </c>
      <c r="X2284">
        <v>0.96064700000000003</v>
      </c>
      <c r="Y2284">
        <v>-0.47375600000000001</v>
      </c>
      <c r="Z2284">
        <v>5.1413439999999998E-2</v>
      </c>
      <c r="AA2284">
        <v>0.87915409999999905</v>
      </c>
      <c r="AB2284">
        <v>26</v>
      </c>
      <c r="AC2284">
        <v>0.68849999999997602</v>
      </c>
      <c r="AD2284">
        <v>-6.4385999999999999E-2</v>
      </c>
      <c r="AE2284">
        <v>-4.5000000000072699E-3</v>
      </c>
      <c r="AF2284">
        <v>-0.414961279218859</v>
      </c>
      <c r="AG2284">
        <v>-6.4385999999999999E-2</v>
      </c>
      <c r="AH2284">
        <v>0.54191883729343804</v>
      </c>
      <c r="AI2284">
        <v>95.388885629736293</v>
      </c>
      <c r="AJ2284">
        <v>127.442215407758</v>
      </c>
      <c r="AK2284">
        <v>0.68557599612327702</v>
      </c>
      <c r="AL2284">
        <v>81.976502556403602</v>
      </c>
      <c r="AM2284">
        <v>104.03592069409299</v>
      </c>
      <c r="AN2284">
        <v>0.99999995800881902</v>
      </c>
    </row>
    <row r="2285" spans="1:40" x14ac:dyDescent="0.25">
      <c r="A2285" t="str">
        <f>"20190303162550058"</f>
        <v>20190303162550058</v>
      </c>
      <c r="B2285" t="str">
        <f>"1551601550045465"</f>
        <v>1551601550045465</v>
      </c>
      <c r="C2285" t="s">
        <v>40</v>
      </c>
      <c r="D2285">
        <v>4.493989</v>
      </c>
      <c r="E2285">
        <v>0.3967309</v>
      </c>
      <c r="F2285" t="s">
        <v>42</v>
      </c>
      <c r="G2285">
        <v>-482.05990000000003</v>
      </c>
      <c r="H2285">
        <v>1.067323</v>
      </c>
      <c r="I2285">
        <v>216.27699999999999</v>
      </c>
      <c r="J2285">
        <v>-482.52780000000001</v>
      </c>
      <c r="K2285">
        <v>1.1308849999999999</v>
      </c>
      <c r="L2285">
        <v>216.1405</v>
      </c>
      <c r="M2285">
        <v>0.80575180000000002</v>
      </c>
      <c r="N2285">
        <v>-1.5479939999999999E-2</v>
      </c>
      <c r="O2285">
        <v>-0.59205109999999905</v>
      </c>
      <c r="P2285">
        <v>0.91374270000000002</v>
      </c>
      <c r="Q2285">
        <v>0.12747159999999999</v>
      </c>
      <c r="R2285">
        <v>-0.38577879999999998</v>
      </c>
      <c r="S2285">
        <v>3.1253359999999999</v>
      </c>
      <c r="T2285">
        <v>-0.22637669999999999</v>
      </c>
      <c r="U2285">
        <v>-0.49206539999999999</v>
      </c>
      <c r="V2285">
        <v>-0.2334656</v>
      </c>
      <c r="W2285">
        <v>0.1369166</v>
      </c>
      <c r="X2285">
        <v>0.96267740000000002</v>
      </c>
      <c r="Y2285">
        <v>-0.45746550000000002</v>
      </c>
      <c r="Z2285">
        <v>5.0116719999999997E-2</v>
      </c>
      <c r="AA2285">
        <v>0.88781399999999999</v>
      </c>
      <c r="AB2285">
        <v>26</v>
      </c>
      <c r="AC2285">
        <v>0.46789999999998599</v>
      </c>
      <c r="AD2285">
        <v>-6.3562000000000105E-2</v>
      </c>
      <c r="AE2285">
        <v>0.136500000000012</v>
      </c>
      <c r="AF2285">
        <v>-0.38057982838179999</v>
      </c>
      <c r="AG2285">
        <v>-6.3562000000000105E-2</v>
      </c>
      <c r="AH2285">
        <v>0.29127812852256002</v>
      </c>
      <c r="AI2285">
        <v>97.554881489300897</v>
      </c>
      <c r="AJ2285">
        <v>142.571234430738</v>
      </c>
      <c r="AK2285">
        <v>0.48345018540768597</v>
      </c>
      <c r="AL2285">
        <v>82.130538250653998</v>
      </c>
      <c r="AM2285">
        <v>103.632012402147</v>
      </c>
      <c r="AN2285">
        <v>1.0000000591048299</v>
      </c>
    </row>
    <row r="2286" spans="1:40" x14ac:dyDescent="0.25">
      <c r="A2286" t="str">
        <f>"20190303162550084"</f>
        <v>20190303162550084</v>
      </c>
      <c r="B2286" t="str">
        <f>"1551601550075721"</f>
        <v>1551601550075721</v>
      </c>
      <c r="C2286" t="s">
        <v>40</v>
      </c>
      <c r="D2286">
        <v>4.6491600000000002</v>
      </c>
      <c r="E2286">
        <v>0.39785540000000003</v>
      </c>
      <c r="F2286" t="s">
        <v>42</v>
      </c>
      <c r="G2286">
        <v>-481.61110000000002</v>
      </c>
      <c r="H2286">
        <v>1.059777</v>
      </c>
      <c r="I2286">
        <v>216.0111</v>
      </c>
      <c r="J2286">
        <v>-482.28530000000001</v>
      </c>
      <c r="K2286">
        <v>1.131103</v>
      </c>
      <c r="L2286">
        <v>215.9846</v>
      </c>
      <c r="M2286">
        <v>0.81520409999999999</v>
      </c>
      <c r="N2286">
        <v>-1.554294E-2</v>
      </c>
      <c r="O2286">
        <v>-0.57896510000000001</v>
      </c>
      <c r="P2286">
        <v>0.91888179999999997</v>
      </c>
      <c r="Q2286">
        <v>0.12675890000000001</v>
      </c>
      <c r="R2286">
        <v>-0.37361529999999998</v>
      </c>
      <c r="S2286">
        <v>3.130585</v>
      </c>
      <c r="T2286">
        <v>-0.2428025</v>
      </c>
      <c r="U2286">
        <v>-0.44172670000000003</v>
      </c>
      <c r="V2286">
        <v>-0.23081180000000001</v>
      </c>
      <c r="W2286">
        <v>0.13621649999999999</v>
      </c>
      <c r="X2286">
        <v>0.9634163</v>
      </c>
      <c r="Y2286">
        <v>-0.45698820000000001</v>
      </c>
      <c r="Z2286">
        <v>5.3596320000000003E-2</v>
      </c>
      <c r="AA2286">
        <v>0.88785650000000005</v>
      </c>
      <c r="AB2286">
        <v>26</v>
      </c>
      <c r="AC2286">
        <v>0.67419999999998403</v>
      </c>
      <c r="AD2286">
        <v>-7.1326000000000001E-2</v>
      </c>
      <c r="AE2286">
        <v>2.6499999999998601E-2</v>
      </c>
      <c r="AF2286">
        <v>-0.40743784805107802</v>
      </c>
      <c r="AG2286">
        <v>-7.1326000000000001E-2</v>
      </c>
      <c r="AH2286">
        <v>0.52842742388175401</v>
      </c>
      <c r="AI2286">
        <v>96.101363279676406</v>
      </c>
      <c r="AJ2286">
        <v>127.633603966046</v>
      </c>
      <c r="AK2286">
        <v>0.67106522828321302</v>
      </c>
      <c r="AL2286">
        <v>82.171029890429807</v>
      </c>
      <c r="AM2286">
        <v>103.472781927808</v>
      </c>
      <c r="AN2286">
        <v>0.99999999449858901</v>
      </c>
    </row>
    <row r="2287" spans="1:40" x14ac:dyDescent="0.25">
      <c r="A2287" t="str">
        <f>"20190303162550124"</f>
        <v>20190303162550124</v>
      </c>
      <c r="B2287" t="str">
        <f>"1551601550115738"</f>
        <v>1551601550115738</v>
      </c>
      <c r="C2287" t="s">
        <v>40</v>
      </c>
      <c r="D2287">
        <v>4.7164149999999996</v>
      </c>
      <c r="E2287">
        <v>0.39886250000000001</v>
      </c>
      <c r="F2287" t="s">
        <v>42</v>
      </c>
      <c r="G2287">
        <v>-481.2842</v>
      </c>
      <c r="H2287">
        <v>1.0516380000000001</v>
      </c>
      <c r="I2287">
        <v>215.85409999999999</v>
      </c>
      <c r="J2287">
        <v>-481.88229999999999</v>
      </c>
      <c r="K2287">
        <v>1.1314229999999901</v>
      </c>
      <c r="L2287">
        <v>215.7381</v>
      </c>
      <c r="M2287">
        <v>0.83071419999999996</v>
      </c>
      <c r="N2287">
        <v>-1.5645260000000001E-2</v>
      </c>
      <c r="O2287">
        <v>-0.55647930000000001</v>
      </c>
      <c r="P2287">
        <v>0.92735679999999998</v>
      </c>
      <c r="Q2287">
        <v>0.12692490000000001</v>
      </c>
      <c r="R2287">
        <v>-0.35199340000000001</v>
      </c>
      <c r="S2287">
        <v>3.1333920000000002</v>
      </c>
      <c r="T2287">
        <v>-0.24864410000000001</v>
      </c>
      <c r="U2287">
        <v>-0.40774539999999998</v>
      </c>
      <c r="V2287">
        <v>-0.22714690000000001</v>
      </c>
      <c r="W2287">
        <v>0.13640929999999901</v>
      </c>
      <c r="X2287">
        <v>0.96425970000000005</v>
      </c>
      <c r="Y2287">
        <v>-0.44216759999999999</v>
      </c>
      <c r="Z2287">
        <v>5.327283E-2</v>
      </c>
      <c r="AA2287">
        <v>0.89534899999999995</v>
      </c>
      <c r="AB2287">
        <v>26</v>
      </c>
      <c r="AC2287">
        <v>0.59809999999998797</v>
      </c>
      <c r="AD2287">
        <v>-7.9784999999999995E-2</v>
      </c>
      <c r="AE2287">
        <v>0.115999999999985</v>
      </c>
      <c r="AF2287">
        <v>-0.42200829274228702</v>
      </c>
      <c r="AG2287">
        <v>-7.9784999999999995E-2</v>
      </c>
      <c r="AH2287">
        <v>0.42506175428999399</v>
      </c>
      <c r="AI2287">
        <v>97.587307760881401</v>
      </c>
      <c r="AJ2287">
        <v>134.79346489415599</v>
      </c>
      <c r="AK2287">
        <v>0.60426330380749305</v>
      </c>
      <c r="AL2287">
        <v>82.159879147373502</v>
      </c>
      <c r="AM2287">
        <v>103.255285142075</v>
      </c>
      <c r="AN2287">
        <v>0.999999990175095</v>
      </c>
    </row>
    <row r="2288" spans="1:40" x14ac:dyDescent="0.25">
      <c r="A2288" t="str">
        <f>"20190303162550147"</f>
        <v>20190303162550147</v>
      </c>
      <c r="B2288" t="str">
        <f>"1551601550135257"</f>
        <v>1551601550135257</v>
      </c>
      <c r="C2288" t="s">
        <v>40</v>
      </c>
      <c r="D2288">
        <v>4.7575029999999998</v>
      </c>
      <c r="E2288">
        <v>0.39950079999999999</v>
      </c>
      <c r="F2288" t="s">
        <v>42</v>
      </c>
      <c r="G2288">
        <v>-480.90159999999997</v>
      </c>
      <c r="H2288">
        <v>1.054654</v>
      </c>
      <c r="I2288">
        <v>215.6319</v>
      </c>
      <c r="J2288">
        <v>-481.66289999999998</v>
      </c>
      <c r="K2288">
        <v>1.13157</v>
      </c>
      <c r="L2288">
        <v>215.61080000000001</v>
      </c>
      <c r="M2288">
        <v>0.83900469999999905</v>
      </c>
      <c r="N2288">
        <v>-1.5699769999999998E-2</v>
      </c>
      <c r="O2288">
        <v>-0.54389799999999999</v>
      </c>
      <c r="P2288">
        <v>0.93201659999999997</v>
      </c>
      <c r="Q2288">
        <v>0.12677659999999999</v>
      </c>
      <c r="R2288">
        <v>-0.33951880000000001</v>
      </c>
      <c r="S2288">
        <v>3.1398320000000002</v>
      </c>
      <c r="T2288">
        <v>-0.24574840000000001</v>
      </c>
      <c r="U2288">
        <v>-0.3392792</v>
      </c>
      <c r="V2288">
        <v>-0.2256071</v>
      </c>
      <c r="W2288">
        <v>0.13628119999999999</v>
      </c>
      <c r="X2288">
        <v>0.96463920000000003</v>
      </c>
      <c r="Y2288">
        <v>-0.44819569999999997</v>
      </c>
      <c r="Z2288">
        <v>5.2280460000000001E-2</v>
      </c>
      <c r="AA2288">
        <v>0.89240540000000002</v>
      </c>
      <c r="AB2288">
        <v>26</v>
      </c>
      <c r="AC2288">
        <v>0.76130000000000497</v>
      </c>
      <c r="AD2288">
        <v>-7.6915999999999901E-2</v>
      </c>
      <c r="AE2288">
        <v>2.1099999999989901E-2</v>
      </c>
      <c r="AF2288">
        <v>-0.42746565158026301</v>
      </c>
      <c r="AG2288">
        <v>-7.6915999999999901E-2</v>
      </c>
      <c r="AH2288">
        <v>0.62100118399249404</v>
      </c>
      <c r="AI2288">
        <v>95.825375365794102</v>
      </c>
      <c r="AJ2288">
        <v>124.54154818063201</v>
      </c>
      <c r="AK2288">
        <v>0.75781622103054702</v>
      </c>
      <c r="AL2288">
        <v>82.167287667879506</v>
      </c>
      <c r="AM2288">
        <v>103.16357020261999</v>
      </c>
      <c r="AN2288">
        <v>0.99999995761024396</v>
      </c>
    </row>
    <row r="2289" spans="1:40" x14ac:dyDescent="0.25">
      <c r="A2289" t="str">
        <f>"20190303162550170"</f>
        <v>20190303162550170</v>
      </c>
      <c r="B2289" t="str">
        <f>"1551601550165514"</f>
        <v>1551601550165514</v>
      </c>
      <c r="C2289" t="s">
        <v>40</v>
      </c>
      <c r="D2289">
        <v>4.7611059999999998</v>
      </c>
      <c r="E2289">
        <v>0.4004315</v>
      </c>
      <c r="F2289" t="s">
        <v>42</v>
      </c>
      <c r="G2289">
        <v>-480.71080000000001</v>
      </c>
      <c r="H2289">
        <v>1.056799</v>
      </c>
      <c r="I2289">
        <v>215.51910000000001</v>
      </c>
      <c r="J2289">
        <v>-481.44380000000001</v>
      </c>
      <c r="K2289">
        <v>1.131688</v>
      </c>
      <c r="L2289">
        <v>215.48820000000001</v>
      </c>
      <c r="M2289">
        <v>0.84714780000000001</v>
      </c>
      <c r="N2289">
        <v>-1.5751230000000001E-2</v>
      </c>
      <c r="O2289">
        <v>-0.53112389999999998</v>
      </c>
      <c r="P2289">
        <v>0.93685569999999896</v>
      </c>
      <c r="Q2289">
        <v>0.12606829999999999</v>
      </c>
      <c r="R2289">
        <v>-0.32620280000000001</v>
      </c>
      <c r="S2289">
        <v>3.1421809999999999</v>
      </c>
      <c r="T2289">
        <v>-0.24674370000000001</v>
      </c>
      <c r="U2289">
        <v>-0.30242920000000001</v>
      </c>
      <c r="V2289">
        <v>-0.22481139999999999</v>
      </c>
      <c r="W2289">
        <v>0.1355816</v>
      </c>
      <c r="X2289">
        <v>0.96492359999999999</v>
      </c>
      <c r="Y2289">
        <v>-0.44509660000000001</v>
      </c>
      <c r="Z2289">
        <v>5.1761969999999997E-2</v>
      </c>
      <c r="AA2289">
        <v>0.89398529999999998</v>
      </c>
      <c r="AB2289">
        <v>26</v>
      </c>
      <c r="AC2289">
        <v>0.73300000000000398</v>
      </c>
      <c r="AD2289">
        <v>-7.48889999999999E-2</v>
      </c>
      <c r="AE2289">
        <v>3.0900000000002498E-2</v>
      </c>
      <c r="AF2289">
        <v>-0.41125702514853901</v>
      </c>
      <c r="AG2289">
        <v>-7.48889999999999E-2</v>
      </c>
      <c r="AH2289">
        <v>0.59838754450517495</v>
      </c>
      <c r="AI2289">
        <v>95.888707841299905</v>
      </c>
      <c r="AJ2289">
        <v>124.499782788822</v>
      </c>
      <c r="AK2289">
        <v>0.72993722776274295</v>
      </c>
      <c r="AL2289">
        <v>82.207748018154007</v>
      </c>
      <c r="AM2289">
        <v>103.11501869431601</v>
      </c>
      <c r="AN2289">
        <v>1.00000004483273</v>
      </c>
    </row>
    <row r="2290" spans="1:40" x14ac:dyDescent="0.25">
      <c r="A2290" t="str">
        <f>"20190303162550214"</f>
        <v>20190303162550214</v>
      </c>
      <c r="B2290" t="str">
        <f>"1551601550205530"</f>
        <v>1551601550205530</v>
      </c>
      <c r="C2290" t="s">
        <v>40</v>
      </c>
      <c r="D2290">
        <v>4.7726230000000003</v>
      </c>
      <c r="E2290">
        <v>0.4143598</v>
      </c>
      <c r="F2290" t="s">
        <v>42</v>
      </c>
      <c r="G2290">
        <v>-480.4923</v>
      </c>
      <c r="H2290">
        <v>1.055771</v>
      </c>
      <c r="I2290">
        <v>215.4074</v>
      </c>
      <c r="J2290">
        <v>-481.00360000000001</v>
      </c>
      <c r="K2290">
        <v>1.131926</v>
      </c>
      <c r="L2290">
        <v>215.25559999999999</v>
      </c>
      <c r="M2290">
        <v>0.86307199999999995</v>
      </c>
      <c r="N2290">
        <v>-1.5849769999999999E-2</v>
      </c>
      <c r="O2290">
        <v>-0.50483219999999995</v>
      </c>
      <c r="P2290">
        <v>0.94554760000000004</v>
      </c>
      <c r="Q2290">
        <v>0.1281282</v>
      </c>
      <c r="R2290">
        <v>-0.29920350000000001</v>
      </c>
      <c r="S2290">
        <v>3.1431580000000001</v>
      </c>
      <c r="T2290">
        <v>-0.25074049999999998</v>
      </c>
      <c r="U2290">
        <v>-0.26663209999999998</v>
      </c>
      <c r="V2290">
        <v>-0.2228086</v>
      </c>
      <c r="W2290">
        <v>0.13766989999999901</v>
      </c>
      <c r="X2290">
        <v>0.96509239999999996</v>
      </c>
      <c r="Y2290">
        <v>-0.42765069999999999</v>
      </c>
      <c r="Z2290">
        <v>5.0538609999999998E-2</v>
      </c>
      <c r="AA2290">
        <v>0.90253019999999995</v>
      </c>
      <c r="AB2290">
        <v>26</v>
      </c>
      <c r="AC2290">
        <v>0.51130000000000497</v>
      </c>
      <c r="AD2290">
        <v>-7.6154999999999903E-2</v>
      </c>
      <c r="AE2290">
        <v>0.15180000000000801</v>
      </c>
      <c r="AF2290">
        <v>-0.381408046081191</v>
      </c>
      <c r="AG2290">
        <v>-7.6154999999999903E-2</v>
      </c>
      <c r="AH2290">
        <v>0.35741429038570399</v>
      </c>
      <c r="AI2290">
        <v>98.289381277090598</v>
      </c>
      <c r="AJ2290">
        <v>136.86006550510001</v>
      </c>
      <c r="AK2290">
        <v>0.528220272814655</v>
      </c>
      <c r="AL2290">
        <v>82.086964305119196</v>
      </c>
      <c r="AM2290">
        <v>102.999969751873</v>
      </c>
      <c r="AN2290">
        <v>1.0000000070688599</v>
      </c>
    </row>
    <row r="2291" spans="1:40" x14ac:dyDescent="0.25">
      <c r="A2291" t="str">
        <f>"20190303162550236"</f>
        <v>20190303162550236</v>
      </c>
      <c r="B2291" t="str">
        <f>"1551601550225049"</f>
        <v>1551601550225049</v>
      </c>
      <c r="C2291" t="s">
        <v>40</v>
      </c>
      <c r="D2291">
        <v>4.8076720000000002</v>
      </c>
      <c r="E2291">
        <v>0.41441040000000001</v>
      </c>
      <c r="F2291" t="s">
        <v>48</v>
      </c>
      <c r="G2291">
        <v>-465.91640000000001</v>
      </c>
      <c r="H2291" s="1">
        <v>1.6429730000000001E-6</v>
      </c>
      <c r="I2291">
        <v>213.89920000000001</v>
      </c>
      <c r="J2291">
        <v>-480.77969999999999</v>
      </c>
      <c r="K2291">
        <v>1.132028</v>
      </c>
      <c r="L2291">
        <v>215.14410000000001</v>
      </c>
      <c r="M2291">
        <v>0.87091689999999999</v>
      </c>
      <c r="N2291">
        <v>-1.589954E-2</v>
      </c>
      <c r="O2291">
        <v>-0.49117309999999997</v>
      </c>
      <c r="P2291">
        <v>0.95020930000000003</v>
      </c>
      <c r="Q2291">
        <v>0.12908629999999999</v>
      </c>
      <c r="R2291">
        <v>-0.28361779999999998</v>
      </c>
      <c r="S2291">
        <v>3.1157530000000002</v>
      </c>
      <c r="T2291">
        <v>-0.23376079999999999</v>
      </c>
      <c r="U2291">
        <v>-0.2801208</v>
      </c>
      <c r="V2291">
        <v>-0.223472</v>
      </c>
      <c r="W2291">
        <v>0.13859749999999901</v>
      </c>
      <c r="X2291">
        <v>0.96480619999999995</v>
      </c>
      <c r="Y2291">
        <v>-0.40916730000000001</v>
      </c>
      <c r="Z2291">
        <v>4.5723310000000003E-2</v>
      </c>
      <c r="AA2291">
        <v>0.91131309999999999</v>
      </c>
      <c r="AB2291">
        <v>26</v>
      </c>
      <c r="AC2291">
        <v>14.863299999999899</v>
      </c>
      <c r="AD2291">
        <v>-1.1320263570269999</v>
      </c>
      <c r="AE2291">
        <v>-1.2448999999999999</v>
      </c>
      <c r="AF2291">
        <v>-6.1814273850639596</v>
      </c>
      <c r="AG2291">
        <v>-1.1320263570269999</v>
      </c>
      <c r="AH2291">
        <v>13.4802235676816</v>
      </c>
      <c r="AI2291">
        <v>94.365148406104396</v>
      </c>
      <c r="AJ2291">
        <v>114.634071812502</v>
      </c>
      <c r="AK2291">
        <v>14.8730614072726</v>
      </c>
      <c r="AL2291">
        <v>82.033302277315897</v>
      </c>
      <c r="AM2291">
        <v>103.04109120788</v>
      </c>
      <c r="AN2291">
        <v>1.0000000026743401</v>
      </c>
    </row>
    <row r="2292" spans="1:40" x14ac:dyDescent="0.25">
      <c r="A2292" t="str">
        <f>"20190303162550260"</f>
        <v>20190303162550260</v>
      </c>
      <c r="B2292" t="str">
        <f>"1551601550255305"</f>
        <v>1551601550255305</v>
      </c>
      <c r="C2292" t="s">
        <v>40</v>
      </c>
      <c r="D2292">
        <v>4.839518</v>
      </c>
      <c r="E2292">
        <v>0.37923630000000003</v>
      </c>
      <c r="F2292" t="s">
        <v>48</v>
      </c>
      <c r="G2292">
        <v>-465.27629999999999</v>
      </c>
      <c r="H2292" s="1">
        <v>1.297412E-6</v>
      </c>
      <c r="I2292">
        <v>214.0119</v>
      </c>
      <c r="J2292">
        <v>-480.54450000000003</v>
      </c>
      <c r="K2292">
        <v>1.1321270000000001</v>
      </c>
      <c r="L2292">
        <v>215.03219999999999</v>
      </c>
      <c r="M2292">
        <v>0.87896350000000001</v>
      </c>
      <c r="N2292">
        <v>-1.594982E-2</v>
      </c>
      <c r="O2292">
        <v>-0.4766225</v>
      </c>
      <c r="P2292">
        <v>0.9556462</v>
      </c>
      <c r="Q2292">
        <v>0.1281736</v>
      </c>
      <c r="R2292">
        <v>-0.26516390000000001</v>
      </c>
      <c r="S2292">
        <v>3.1201479999999999</v>
      </c>
      <c r="T2292">
        <v>-0.2278268</v>
      </c>
      <c r="U2292">
        <v>-0.22787479999999999</v>
      </c>
      <c r="V2292">
        <v>-0.22618740000000001</v>
      </c>
      <c r="W2292">
        <v>0.13759479999999999</v>
      </c>
      <c r="X2292">
        <v>0.96431679999999997</v>
      </c>
      <c r="Y2292">
        <v>-0.40940650000000001</v>
      </c>
      <c r="Z2292">
        <v>4.3763179999999999E-2</v>
      </c>
      <c r="AA2292">
        <v>0.9113019</v>
      </c>
      <c r="AB2292">
        <v>26</v>
      </c>
      <c r="AC2292">
        <v>15.2682</v>
      </c>
      <c r="AD2292">
        <v>-1.132125702588</v>
      </c>
      <c r="AE2292">
        <v>-1.02029999999999</v>
      </c>
      <c r="AF2292">
        <v>-6.3464338805289797</v>
      </c>
      <c r="AG2292">
        <v>-1.132125702588</v>
      </c>
      <c r="AH2292">
        <v>13.832541252526401</v>
      </c>
      <c r="AI2292">
        <v>94.254352109729695</v>
      </c>
      <c r="AJ2292">
        <v>114.64587599579799</v>
      </c>
      <c r="AK2292">
        <v>15.2610002656848</v>
      </c>
      <c r="AL2292">
        <v>82.091308343967896</v>
      </c>
      <c r="AM2292">
        <v>103.20050328275499</v>
      </c>
      <c r="AN2292">
        <v>0.999999979834019</v>
      </c>
    </row>
    <row r="2293" spans="1:40" x14ac:dyDescent="0.25">
      <c r="A2293" t="str">
        <f>"20190303162550284"</f>
        <v>20190303162550284</v>
      </c>
      <c r="B2293" t="str">
        <f>"1551601550275802"</f>
        <v>1551601550275802</v>
      </c>
      <c r="C2293" t="s">
        <v>40</v>
      </c>
      <c r="D2293">
        <v>4.8675129999999998</v>
      </c>
      <c r="E2293">
        <v>0.37685190000000002</v>
      </c>
      <c r="F2293" t="s">
        <v>42</v>
      </c>
      <c r="G2293">
        <v>-479.49340000000001</v>
      </c>
      <c r="H2293">
        <v>1.0540419999999999</v>
      </c>
      <c r="I2293">
        <v>215.06620000000001</v>
      </c>
      <c r="J2293">
        <v>-480.3014</v>
      </c>
      <c r="K2293">
        <v>1.132225</v>
      </c>
      <c r="L2293">
        <v>214.922</v>
      </c>
      <c r="M2293">
        <v>0.88707049999999998</v>
      </c>
      <c r="N2293">
        <v>-1.6000460000000001E-2</v>
      </c>
      <c r="O2293">
        <v>-0.4613565</v>
      </c>
      <c r="P2293">
        <v>0.96116690000000005</v>
      </c>
      <c r="Q2293">
        <v>0.1259169</v>
      </c>
      <c r="R2293">
        <v>-0.2455667</v>
      </c>
      <c r="S2293">
        <v>3.199738</v>
      </c>
      <c r="T2293">
        <v>-0.2376915</v>
      </c>
      <c r="U2293">
        <v>0.1032867</v>
      </c>
      <c r="V2293">
        <v>-0.22935700000000001</v>
      </c>
      <c r="W2293">
        <v>0.135235299999999</v>
      </c>
      <c r="X2293">
        <v>0.96390189999999998</v>
      </c>
      <c r="Y2293">
        <v>-0.48746970000000001</v>
      </c>
      <c r="Z2293">
        <v>4.7659800000000002E-2</v>
      </c>
      <c r="AA2293">
        <v>0.87183820000000001</v>
      </c>
      <c r="AB2293">
        <v>25</v>
      </c>
      <c r="AC2293">
        <v>0.80799999999999195</v>
      </c>
      <c r="AD2293">
        <v>-7.81830000000001E-2</v>
      </c>
      <c r="AE2293">
        <v>0.14420000000001201</v>
      </c>
      <c r="AF2293">
        <v>-0.49625288572590498</v>
      </c>
      <c r="AG2293">
        <v>-7.81830000000001E-2</v>
      </c>
      <c r="AH2293">
        <v>0.64446097751545295</v>
      </c>
      <c r="AI2293">
        <v>95.490426258989004</v>
      </c>
      <c r="AJ2293">
        <v>127.597272035358</v>
      </c>
      <c r="AK2293">
        <v>0.81713490906977004</v>
      </c>
      <c r="AL2293">
        <v>82.227773999358604</v>
      </c>
      <c r="AM2293">
        <v>103.38442791623299</v>
      </c>
      <c r="AN2293">
        <v>1.0000000463193399</v>
      </c>
    </row>
    <row r="2294" spans="1:40" x14ac:dyDescent="0.25">
      <c r="A2294" t="str">
        <f>"20190303162550327"</f>
        <v>20190303162550327</v>
      </c>
      <c r="B2294" t="str">
        <f>"1551601550315818"</f>
        <v>1551601550315818</v>
      </c>
      <c r="C2294" t="s">
        <v>40</v>
      </c>
      <c r="D2294">
        <v>4.8420480000000001</v>
      </c>
      <c r="E2294">
        <v>0.37618200000000002</v>
      </c>
      <c r="F2294" t="s">
        <v>42</v>
      </c>
      <c r="G2294">
        <v>-479.2946</v>
      </c>
      <c r="H2294">
        <v>1.050384</v>
      </c>
      <c r="I2294">
        <v>214.9804</v>
      </c>
      <c r="J2294">
        <v>-479.86410000000001</v>
      </c>
      <c r="K2294">
        <v>1.1323799999999999</v>
      </c>
      <c r="L2294">
        <v>214.73670000000001</v>
      </c>
      <c r="M2294">
        <v>0.90105109999999999</v>
      </c>
      <c r="N2294">
        <v>-1.608673E-2</v>
      </c>
      <c r="O2294">
        <v>-0.43341489999999999</v>
      </c>
      <c r="P2294">
        <v>0.9693041</v>
      </c>
      <c r="Q2294">
        <v>0.12501880000000001</v>
      </c>
      <c r="R2294">
        <v>-0.21170720000000001</v>
      </c>
      <c r="S2294">
        <v>3.2027890000000001</v>
      </c>
      <c r="T2294">
        <v>-0.26034299999999999</v>
      </c>
      <c r="U2294">
        <v>0.18595890000000001</v>
      </c>
      <c r="V2294">
        <v>-0.23313390000000001</v>
      </c>
      <c r="W2294">
        <v>0.13421429999999901</v>
      </c>
      <c r="X2294">
        <v>0.96313820000000006</v>
      </c>
      <c r="Y2294">
        <v>-0.48223300000000002</v>
      </c>
      <c r="Z2294">
        <v>5.0662899999999997E-2</v>
      </c>
      <c r="AA2294">
        <v>0.87457680000000004</v>
      </c>
      <c r="AB2294">
        <v>25</v>
      </c>
      <c r="AC2294">
        <v>0.569500000000005</v>
      </c>
      <c r="AD2294">
        <v>-8.1995999999999902E-2</v>
      </c>
      <c r="AE2294">
        <v>0.24369999999998901</v>
      </c>
      <c r="AF2294">
        <v>-0.45844360670439299</v>
      </c>
      <c r="AG2294">
        <v>-8.1995999999999902E-2</v>
      </c>
      <c r="AH2294">
        <v>0.40055965993506898</v>
      </c>
      <c r="AI2294">
        <v>97.670893653991797</v>
      </c>
      <c r="AJ2294">
        <v>138.85504900274401</v>
      </c>
      <c r="AK2294">
        <v>0.61428163387116697</v>
      </c>
      <c r="AL2294">
        <v>82.286811203463799</v>
      </c>
      <c r="AM2294">
        <v>103.607094793147</v>
      </c>
      <c r="AN2294">
        <v>1.0000000429764599</v>
      </c>
    </row>
    <row r="2295" spans="1:40" x14ac:dyDescent="0.25">
      <c r="A2295" t="str">
        <f>"20190303162550349"</f>
        <v>20190303162550349</v>
      </c>
      <c r="B2295" t="str">
        <f>"1551601550335337"</f>
        <v>1551601550335337</v>
      </c>
      <c r="C2295" t="s">
        <v>40</v>
      </c>
      <c r="D2295">
        <v>4.8216359999999998</v>
      </c>
      <c r="E2295">
        <v>0.37750220000000001</v>
      </c>
      <c r="F2295" t="s">
        <v>42</v>
      </c>
      <c r="G2295">
        <v>-478.89190000000002</v>
      </c>
      <c r="H2295">
        <v>1.0553159999999999</v>
      </c>
      <c r="I2295">
        <v>214.82820000000001</v>
      </c>
      <c r="J2295">
        <v>-479.6422</v>
      </c>
      <c r="K2295">
        <v>1.13245</v>
      </c>
      <c r="L2295">
        <v>214.649</v>
      </c>
      <c r="M2295">
        <v>0.90783559999999996</v>
      </c>
      <c r="N2295">
        <v>-1.612595E-2</v>
      </c>
      <c r="O2295">
        <v>-0.4190161</v>
      </c>
      <c r="P2295">
        <v>0.97282930000000001</v>
      </c>
      <c r="Q2295">
        <v>0.12504660000000001</v>
      </c>
      <c r="R2295">
        <v>-0.19484989999999999</v>
      </c>
      <c r="S2295">
        <v>3.1934200000000001</v>
      </c>
      <c r="T2295">
        <v>-0.25308160000000002</v>
      </c>
      <c r="U2295">
        <v>0.30130000000000001</v>
      </c>
      <c r="V2295">
        <v>-0.23454449999999999</v>
      </c>
      <c r="W2295">
        <v>0.13419909999999999</v>
      </c>
      <c r="X2295">
        <v>0.96279780000000004</v>
      </c>
      <c r="Y2295">
        <v>-0.49985770000000002</v>
      </c>
      <c r="Z2295">
        <v>4.936306E-2</v>
      </c>
      <c r="AA2295">
        <v>0.86469969999999996</v>
      </c>
      <c r="AB2295">
        <v>25</v>
      </c>
      <c r="AC2295">
        <v>0.75029999999998098</v>
      </c>
      <c r="AD2295">
        <v>-7.7133999999999994E-2</v>
      </c>
      <c r="AE2295">
        <v>0.17920000000000799</v>
      </c>
      <c r="AF2295">
        <v>-0.47241062474274798</v>
      </c>
      <c r="AG2295">
        <v>-7.7133999999999994E-2</v>
      </c>
      <c r="AH2295">
        <v>0.60013976242140599</v>
      </c>
      <c r="AI2295">
        <v>95.766838201128394</v>
      </c>
      <c r="AJ2295">
        <v>128.20867789078901</v>
      </c>
      <c r="AK2295">
        <v>0.76765173533644504</v>
      </c>
      <c r="AL2295">
        <v>82.28769019984</v>
      </c>
      <c r="AM2295">
        <v>103.69099510552</v>
      </c>
      <c r="AN2295">
        <v>1.0000000623029399</v>
      </c>
    </row>
    <row r="2296" spans="1:40" x14ac:dyDescent="0.25">
      <c r="A2296" t="str">
        <f>"20190303162550375"</f>
        <v>20190303162550375</v>
      </c>
      <c r="B2296" t="str">
        <f>"1551601550365594"</f>
        <v>1551601550365594</v>
      </c>
      <c r="C2296" t="s">
        <v>40</v>
      </c>
      <c r="D2296">
        <v>4.8859789999999998</v>
      </c>
      <c r="E2296">
        <v>0.37951780000000002</v>
      </c>
      <c r="F2296" t="s">
        <v>42</v>
      </c>
      <c r="G2296">
        <v>-478.6902</v>
      </c>
      <c r="H2296">
        <v>1.058934</v>
      </c>
      <c r="I2296">
        <v>214.75299999999999</v>
      </c>
      <c r="J2296">
        <v>-479.36290000000002</v>
      </c>
      <c r="K2296">
        <v>1.1325149999999999</v>
      </c>
      <c r="L2296">
        <v>214.5444</v>
      </c>
      <c r="M2296">
        <v>0.91606489999999996</v>
      </c>
      <c r="N2296">
        <v>-1.6171520000000002E-2</v>
      </c>
      <c r="O2296">
        <v>-0.4007038</v>
      </c>
      <c r="P2296">
        <v>0.9768772</v>
      </c>
      <c r="Q2296">
        <v>0.12411899999999999</v>
      </c>
      <c r="R2296">
        <v>-0.1740844</v>
      </c>
      <c r="S2296">
        <v>3.185028</v>
      </c>
      <c r="T2296">
        <v>-0.2459681</v>
      </c>
      <c r="U2296">
        <v>0.34750370000000003</v>
      </c>
      <c r="V2296">
        <v>-0.2357688</v>
      </c>
      <c r="W2296">
        <v>0.13323889999999999</v>
      </c>
      <c r="X2296">
        <v>0.96263209999999999</v>
      </c>
      <c r="Y2296">
        <v>-0.49529790000000001</v>
      </c>
      <c r="Z2296">
        <v>4.6806739999999999E-2</v>
      </c>
      <c r="AA2296">
        <v>0.86746129999999999</v>
      </c>
      <c r="AB2296">
        <v>25</v>
      </c>
      <c r="AC2296">
        <v>0.67270000000001995</v>
      </c>
      <c r="AD2296">
        <v>-7.3580999999999896E-2</v>
      </c>
      <c r="AE2296">
        <v>0.20859999999998899</v>
      </c>
      <c r="AF2296">
        <v>-0.45573063659492002</v>
      </c>
      <c r="AG2296">
        <v>-7.3580999999999896E-2</v>
      </c>
      <c r="AH2296">
        <v>0.52696797609594404</v>
      </c>
      <c r="AI2296">
        <v>96.028896675533602</v>
      </c>
      <c r="AJ2296">
        <v>130.85379314687401</v>
      </c>
      <c r="AK2296">
        <v>0.70057107028685295</v>
      </c>
      <c r="AL2296">
        <v>82.343204033418502</v>
      </c>
      <c r="AM2296">
        <v>103.762029620961</v>
      </c>
      <c r="AN2296">
        <v>1.0000000457385201</v>
      </c>
    </row>
    <row r="2297" spans="1:40" x14ac:dyDescent="0.25">
      <c r="A2297" t="str">
        <f>"20190303162550397"</f>
        <v>20190303162550397</v>
      </c>
      <c r="B2297" t="str">
        <f>"1551601550385114"</f>
        <v>1551601550385114</v>
      </c>
      <c r="C2297" t="s">
        <v>40</v>
      </c>
      <c r="D2297">
        <v>4.8593039999999998</v>
      </c>
      <c r="E2297">
        <v>0.4000995</v>
      </c>
      <c r="F2297" t="s">
        <v>42</v>
      </c>
      <c r="G2297">
        <v>-478.49329999999998</v>
      </c>
      <c r="H2297">
        <v>1.0645519999999999</v>
      </c>
      <c r="I2297">
        <v>214.6533</v>
      </c>
      <c r="J2297">
        <v>-479.13819999999998</v>
      </c>
      <c r="K2297">
        <v>1.1325609999999999</v>
      </c>
      <c r="L2297">
        <v>214.46510000000001</v>
      </c>
      <c r="M2297">
        <v>0.92243739999999996</v>
      </c>
      <c r="N2297">
        <v>-1.6206209999999999E-2</v>
      </c>
      <c r="O2297">
        <v>-0.38580639999999999</v>
      </c>
      <c r="P2297">
        <v>0.97982029999999998</v>
      </c>
      <c r="Q2297">
        <v>0.1230508</v>
      </c>
      <c r="R2297">
        <v>-0.15751409999999999</v>
      </c>
      <c r="S2297">
        <v>3.1735530000000001</v>
      </c>
      <c r="T2297">
        <v>-0.24787120000000001</v>
      </c>
      <c r="U2297">
        <v>0.39886470000000002</v>
      </c>
      <c r="V2297">
        <v>-0.23651440000000001</v>
      </c>
      <c r="W2297">
        <v>0.1321542</v>
      </c>
      <c r="X2297">
        <v>0.96259870000000003</v>
      </c>
      <c r="Y2297">
        <v>-0.49539509999999998</v>
      </c>
      <c r="Z2297">
        <v>4.6518660000000003E-2</v>
      </c>
      <c r="AA2297">
        <v>0.86742129999999995</v>
      </c>
      <c r="AB2297">
        <v>25</v>
      </c>
      <c r="AC2297">
        <v>0.64490000000000602</v>
      </c>
      <c r="AD2297">
        <v>-6.8009000000000194E-2</v>
      </c>
      <c r="AE2297">
        <v>0.18819999999999401</v>
      </c>
      <c r="AF2297">
        <v>-0.41817911866216601</v>
      </c>
      <c r="AG2297">
        <v>-6.8009000000000194E-2</v>
      </c>
      <c r="AH2297">
        <v>0.51704091751796599</v>
      </c>
      <c r="AI2297">
        <v>95.839421344466004</v>
      </c>
      <c r="AJ2297">
        <v>128.96569247994799</v>
      </c>
      <c r="AK2297">
        <v>0.66845367061142402</v>
      </c>
      <c r="AL2297">
        <v>82.405907114932205</v>
      </c>
      <c r="AM2297">
        <v>103.80434938923599</v>
      </c>
      <c r="AN2297">
        <v>1.0000000256133399</v>
      </c>
    </row>
    <row r="2298" spans="1:40" x14ac:dyDescent="0.25">
      <c r="A2298" t="str">
        <f>"20190303162550437"</f>
        <v>20190303162550437</v>
      </c>
      <c r="B2298" t="str">
        <f>"1551601550425130"</f>
        <v>1551601550425130</v>
      </c>
      <c r="C2298" t="s">
        <v>40</v>
      </c>
      <c r="D2298">
        <v>4.8427740000000004</v>
      </c>
      <c r="E2298">
        <v>0.40576390000000001</v>
      </c>
      <c r="F2298" t="s">
        <v>42</v>
      </c>
      <c r="G2298">
        <v>-478.19970000000001</v>
      </c>
      <c r="H2298">
        <v>1.0657209999999999</v>
      </c>
      <c r="I2298">
        <v>214.55189999999999</v>
      </c>
      <c r="J2298">
        <v>-478.71730000000002</v>
      </c>
      <c r="K2298">
        <v>1.1326609999999999</v>
      </c>
      <c r="L2298">
        <v>214.328</v>
      </c>
      <c r="M2298">
        <v>0.93375779999999997</v>
      </c>
      <c r="N2298">
        <v>-1.6269430000000001E-2</v>
      </c>
      <c r="O2298">
        <v>-0.35753590000000002</v>
      </c>
      <c r="P2298">
        <v>0.98398790000000003</v>
      </c>
      <c r="Q2298">
        <v>0.1228641</v>
      </c>
      <c r="R2298">
        <v>-0.12912199999999999</v>
      </c>
      <c r="S2298">
        <v>3.1365050000000001</v>
      </c>
      <c r="T2298">
        <v>-0.22337009999999999</v>
      </c>
      <c r="U2298">
        <v>0.29020689999999999</v>
      </c>
      <c r="V2298">
        <v>-0.23505909999999999</v>
      </c>
      <c r="W2298">
        <v>0.13202429999999901</v>
      </c>
      <c r="X2298">
        <v>0.96297290000000002</v>
      </c>
      <c r="Y2298">
        <v>-0.44023200000000001</v>
      </c>
      <c r="Z2298">
        <v>3.8389850000000003E-2</v>
      </c>
      <c r="AA2298">
        <v>0.89706299999999894</v>
      </c>
      <c r="AB2298">
        <v>25</v>
      </c>
      <c r="AC2298">
        <v>0.51760000000001505</v>
      </c>
      <c r="AD2298">
        <v>-6.6940000000000194E-2</v>
      </c>
      <c r="AE2298">
        <v>0.223899999999986</v>
      </c>
      <c r="AF2298">
        <v>-0.38870451647327697</v>
      </c>
      <c r="AG2298">
        <v>-6.6940000000000194E-2</v>
      </c>
      <c r="AH2298">
        <v>0.39771063064796502</v>
      </c>
      <c r="AI2298">
        <v>96.863703842795303</v>
      </c>
      <c r="AJ2298">
        <v>134.34387101113299</v>
      </c>
      <c r="AK2298">
        <v>0.56013026204368399</v>
      </c>
      <c r="AL2298">
        <v>82.413415441149894</v>
      </c>
      <c r="AM2298">
        <v>103.71749921394</v>
      </c>
      <c r="AN2298">
        <v>1.0000000012088499</v>
      </c>
    </row>
    <row r="2299" spans="1:40" x14ac:dyDescent="0.25">
      <c r="A2299" t="str">
        <f>"20190303162550486"</f>
        <v>20190303162550486</v>
      </c>
      <c r="B2299" t="str">
        <f>"1551601550475883"</f>
        <v>1551601550475883</v>
      </c>
      <c r="C2299" t="s">
        <v>40</v>
      </c>
      <c r="D2299">
        <v>4.8073569999999997</v>
      </c>
      <c r="E2299">
        <v>0.42323270000000002</v>
      </c>
      <c r="F2299" t="s">
        <v>48</v>
      </c>
      <c r="G2299">
        <v>-460.08280000000002</v>
      </c>
      <c r="H2299" s="1">
        <v>-1.5683910000000001E-6</v>
      </c>
      <c r="I2299">
        <v>216.3467</v>
      </c>
      <c r="J2299">
        <v>-478.22140000000002</v>
      </c>
      <c r="K2299">
        <v>1.1327430000000001</v>
      </c>
      <c r="L2299">
        <v>214.18549999999999</v>
      </c>
      <c r="M2299">
        <v>0.94602189999999997</v>
      </c>
      <c r="N2299">
        <v>-1.6334789999999998E-2</v>
      </c>
      <c r="O2299">
        <v>-0.3236909</v>
      </c>
      <c r="P2299">
        <v>0.98730439999999997</v>
      </c>
      <c r="Q2299">
        <v>0.1228443</v>
      </c>
      <c r="R2299">
        <v>-0.1006944</v>
      </c>
      <c r="S2299">
        <v>3.1167910000000001</v>
      </c>
      <c r="T2299">
        <v>-0.18944749999999999</v>
      </c>
      <c r="U2299">
        <v>0.33764650000000002</v>
      </c>
      <c r="V2299">
        <v>-0.22816829999999999</v>
      </c>
      <c r="W2299">
        <v>0.1322441</v>
      </c>
      <c r="X2299">
        <v>0.96459879999999998</v>
      </c>
      <c r="Y2299">
        <v>-0.42246810000000001</v>
      </c>
      <c r="Z2299">
        <v>3.0350619999999998E-2</v>
      </c>
      <c r="AA2299">
        <v>0.90586949999999999</v>
      </c>
      <c r="AB2299">
        <v>25</v>
      </c>
      <c r="AC2299">
        <v>18.1386</v>
      </c>
      <c r="AD2299">
        <v>-1.132744568391</v>
      </c>
      <c r="AE2299">
        <v>2.1612</v>
      </c>
      <c r="AF2299">
        <v>-7.88657181820526</v>
      </c>
      <c r="AG2299">
        <v>-1.132744568391</v>
      </c>
      <c r="AH2299">
        <v>16.399087971129799</v>
      </c>
      <c r="AI2299">
        <v>93.562021874887193</v>
      </c>
      <c r="AJ2299">
        <v>115.683611786798</v>
      </c>
      <c r="AK2299">
        <v>18.2321477502181</v>
      </c>
      <c r="AL2299">
        <v>82.400710878856898</v>
      </c>
      <c r="AM2299">
        <v>103.308258296487</v>
      </c>
      <c r="AN2299">
        <v>1.0000000600355601</v>
      </c>
    </row>
    <row r="2300" spans="1:40" x14ac:dyDescent="0.25">
      <c r="A2300" t="str">
        <f>"20190303162550529"</f>
        <v>20190303162550529</v>
      </c>
      <c r="B2300" t="str">
        <f>"1551601550515897"</f>
        <v>1551601550515897</v>
      </c>
      <c r="C2300" t="s">
        <v>40</v>
      </c>
      <c r="D2300">
        <v>4.9124089999999896</v>
      </c>
      <c r="E2300">
        <v>0.42833389999999999</v>
      </c>
      <c r="F2300" t="s">
        <v>48</v>
      </c>
      <c r="G2300">
        <v>-458.86930000000001</v>
      </c>
      <c r="H2300" s="1">
        <v>3.1225550000000002E-6</v>
      </c>
      <c r="I2300">
        <v>215.99979999999999</v>
      </c>
      <c r="J2300">
        <v>-477.76010000000002</v>
      </c>
      <c r="K2300">
        <v>1.132765</v>
      </c>
      <c r="L2300">
        <v>214.0703</v>
      </c>
      <c r="M2300">
        <v>0.9563431</v>
      </c>
      <c r="N2300">
        <v>-1.6382000000000001E-2</v>
      </c>
      <c r="O2300">
        <v>-0.29178690000000002</v>
      </c>
      <c r="P2300">
        <v>0.98969099999999999</v>
      </c>
      <c r="Q2300">
        <v>0.121753399999999</v>
      </c>
      <c r="R2300">
        <v>-7.5417559999999995E-2</v>
      </c>
      <c r="S2300">
        <v>3.090668</v>
      </c>
      <c r="T2300">
        <v>-0.18090680000000001</v>
      </c>
      <c r="U2300">
        <v>0.28974909999999998</v>
      </c>
      <c r="V2300">
        <v>-0.22048419999999999</v>
      </c>
      <c r="W2300">
        <v>0.13142770000000001</v>
      </c>
      <c r="X2300">
        <v>0.96649549999999995</v>
      </c>
      <c r="Y2300">
        <v>-0.3787568</v>
      </c>
      <c r="Z2300">
        <v>2.6256459999999999E-2</v>
      </c>
      <c r="AA2300">
        <v>0.92512380000000005</v>
      </c>
      <c r="AB2300">
        <v>25</v>
      </c>
      <c r="AC2300">
        <v>18.890799999999999</v>
      </c>
      <c r="AD2300">
        <v>-1.1327618774449999</v>
      </c>
      <c r="AE2300">
        <v>1.92949999999999</v>
      </c>
      <c r="AF2300">
        <v>-7.3322471583120796</v>
      </c>
      <c r="AG2300">
        <v>-1.1327618774449999</v>
      </c>
      <c r="AH2300">
        <v>17.443359228790801</v>
      </c>
      <c r="AI2300">
        <v>93.425957220797301</v>
      </c>
      <c r="AJ2300">
        <v>112.79925780470199</v>
      </c>
      <c r="AK2300">
        <v>18.955626580153201</v>
      </c>
      <c r="AL2300">
        <v>82.447898857129999</v>
      </c>
      <c r="AM2300">
        <v>102.85082675570899</v>
      </c>
      <c r="AN2300">
        <v>1.00000003714858</v>
      </c>
    </row>
    <row r="2301" spans="1:40" x14ac:dyDescent="0.25">
      <c r="A2301" t="str">
        <f>"20190303162550574"</f>
        <v>20190303162550574</v>
      </c>
      <c r="B2301" t="str">
        <f>"1551601550565673"</f>
        <v>1551601550565673</v>
      </c>
      <c r="C2301" t="s">
        <v>40</v>
      </c>
      <c r="D2301">
        <v>6.1238710000000003</v>
      </c>
      <c r="E2301">
        <v>0.45557370000000003</v>
      </c>
      <c r="F2301" t="s">
        <v>48</v>
      </c>
      <c r="G2301">
        <v>-458.1696</v>
      </c>
      <c r="H2301" s="1">
        <v>2.7433949999999999E-6</v>
      </c>
      <c r="I2301">
        <v>216.15549999999999</v>
      </c>
      <c r="J2301">
        <v>-477.28050000000002</v>
      </c>
      <c r="K2301">
        <v>1.1327449999999999</v>
      </c>
      <c r="L2301">
        <v>213.96799999999999</v>
      </c>
      <c r="M2301">
        <v>0.96592210000000001</v>
      </c>
      <c r="N2301">
        <v>-1.6415200000000001E-2</v>
      </c>
      <c r="O2301">
        <v>-0.25831179999999998</v>
      </c>
      <c r="P2301">
        <v>0.99132540000000002</v>
      </c>
      <c r="Q2301">
        <v>0.1199424</v>
      </c>
      <c r="R2301">
        <v>-5.3738189999999998E-2</v>
      </c>
      <c r="S2301">
        <v>3.078125</v>
      </c>
      <c r="T2301">
        <v>-0.1779839</v>
      </c>
      <c r="U2301">
        <v>0.3276367</v>
      </c>
      <c r="V2301">
        <v>-0.2079454</v>
      </c>
      <c r="W2301">
        <v>0.13005729999999999</v>
      </c>
      <c r="X2301">
        <v>0.96945539999999997</v>
      </c>
      <c r="Y2301">
        <v>-0.35816890000000001</v>
      </c>
      <c r="Z2301">
        <v>2.3825010000000001E-2</v>
      </c>
      <c r="AA2301">
        <v>0.93335279999999998</v>
      </c>
      <c r="AB2301">
        <v>25</v>
      </c>
      <c r="AC2301">
        <v>19.110900000000001</v>
      </c>
      <c r="AD2301">
        <v>-1.1327422566050001</v>
      </c>
      <c r="AE2301">
        <v>2.1875</v>
      </c>
      <c r="AF2301">
        <v>-7.0261109844045002</v>
      </c>
      <c r="AG2301">
        <v>-1.1327422566050001</v>
      </c>
      <c r="AH2301">
        <v>17.835147782820599</v>
      </c>
      <c r="AI2301">
        <v>93.381775059167694</v>
      </c>
      <c r="AJ2301">
        <v>111.501833878759</v>
      </c>
      <c r="AK2301">
        <v>19.202651822603102</v>
      </c>
      <c r="AL2301">
        <v>82.527096386375405</v>
      </c>
      <c r="AM2301">
        <v>102.106337948713</v>
      </c>
      <c r="AN2301">
        <v>0.99999998162680404</v>
      </c>
    </row>
    <row r="2302" spans="1:40" x14ac:dyDescent="0.25">
      <c r="A2302" t="str">
        <f>"20190303162550594"</f>
        <v>20190303162550594</v>
      </c>
      <c r="B2302" t="str">
        <f>"1551601550585194"</f>
        <v>1551601550585194</v>
      </c>
      <c r="C2302" t="s">
        <v>40</v>
      </c>
      <c r="D2302">
        <v>5.0530939999999998</v>
      </c>
      <c r="E2302">
        <v>0.4871163</v>
      </c>
      <c r="F2302" t="s">
        <v>48</v>
      </c>
      <c r="G2302">
        <v>-441.83519999999999</v>
      </c>
      <c r="H2302" s="1">
        <v>-6.2418819999999996E-7</v>
      </c>
      <c r="I2302">
        <v>216.08109999999999</v>
      </c>
      <c r="J2302">
        <v>-477.05990000000003</v>
      </c>
      <c r="K2302">
        <v>1.132735</v>
      </c>
      <c r="L2302">
        <v>213.92679999999999</v>
      </c>
      <c r="M2302">
        <v>0.96992920000000005</v>
      </c>
      <c r="N2302">
        <v>-1.6425080000000002E-2</v>
      </c>
      <c r="O2302">
        <v>-0.24283250000000001</v>
      </c>
      <c r="P2302">
        <v>0.99174459999999998</v>
      </c>
      <c r="Q2302">
        <v>0.119461999999999</v>
      </c>
      <c r="R2302">
        <v>-4.6599410000000001E-2</v>
      </c>
      <c r="S2302">
        <v>3.047882</v>
      </c>
      <c r="T2302">
        <v>-9.7402929999999999E-2</v>
      </c>
      <c r="U2302">
        <v>0.18170169999999999</v>
      </c>
      <c r="V2302">
        <v>-0.19939499999999999</v>
      </c>
      <c r="W2302">
        <v>0.1298667</v>
      </c>
      <c r="X2302">
        <v>0.97127560000000002</v>
      </c>
      <c r="Y2302">
        <v>-0.29990529999999999</v>
      </c>
      <c r="Z2302">
        <v>1.09517E-2</v>
      </c>
      <c r="AA2302">
        <v>0.95390609999999998</v>
      </c>
      <c r="AB2302">
        <v>25</v>
      </c>
      <c r="AC2302">
        <v>35.224699999999999</v>
      </c>
      <c r="AD2302">
        <v>-1.1327356241881901</v>
      </c>
      <c r="AE2302">
        <v>2.1543000000000001</v>
      </c>
      <c r="AF2302">
        <v>-10.633700762360499</v>
      </c>
      <c r="AG2302">
        <v>-1.1327356241881901</v>
      </c>
      <c r="AH2302">
        <v>33.612240135760302</v>
      </c>
      <c r="AI2302">
        <v>91.840310070617406</v>
      </c>
      <c r="AJ2302">
        <v>107.55549330340099</v>
      </c>
      <c r="AK2302">
        <v>35.272388193057502</v>
      </c>
      <c r="AL2302">
        <v>82.538110573531895</v>
      </c>
      <c r="AM2302">
        <v>101.601174678525</v>
      </c>
      <c r="AN2302">
        <v>1.0000000084746199</v>
      </c>
    </row>
    <row r="2303" spans="1:40" x14ac:dyDescent="0.25">
      <c r="A2303" t="str">
        <f>"20190303162550640"</f>
        <v>20190303162550640</v>
      </c>
      <c r="B2303" t="str">
        <f>"1551601550634970"</f>
        <v>1551601550634970</v>
      </c>
      <c r="C2303" t="s">
        <v>40</v>
      </c>
      <c r="D2303">
        <v>5.0452539999999999</v>
      </c>
      <c r="E2303">
        <v>0.48896440000000002</v>
      </c>
      <c r="F2303" t="s">
        <v>51</v>
      </c>
      <c r="G2303">
        <v>-414.75729999999999</v>
      </c>
      <c r="H2303" s="1">
        <v>3.1923380000000001E-6</v>
      </c>
      <c r="I2303">
        <v>212.9838</v>
      </c>
      <c r="J2303">
        <v>-476.58929999999998</v>
      </c>
      <c r="K2303">
        <v>1.1326769999999999</v>
      </c>
      <c r="L2303">
        <v>213.85120000000001</v>
      </c>
      <c r="M2303">
        <v>0.97762680000000002</v>
      </c>
      <c r="N2303">
        <v>-1.6437110000000001E-2</v>
      </c>
      <c r="O2303">
        <v>-0.20970449999999999</v>
      </c>
      <c r="P2303">
        <v>0.99249449999999995</v>
      </c>
      <c r="Q2303">
        <v>0.1190238</v>
      </c>
      <c r="R2303">
        <v>-2.8077120000000001E-2</v>
      </c>
      <c r="S2303">
        <v>3.0295100000000001</v>
      </c>
      <c r="T2303">
        <v>-5.5079940000000001E-2</v>
      </c>
      <c r="U2303">
        <v>-4.5852660000000003E-2</v>
      </c>
      <c r="V2303">
        <v>-0.184422</v>
      </c>
      <c r="W2303">
        <v>0.12993569999999999</v>
      </c>
      <c r="X2303">
        <v>0.97422030000000004</v>
      </c>
      <c r="Y2303">
        <v>-0.19485089999999999</v>
      </c>
      <c r="Z2303">
        <v>3.6943969999999999E-3</v>
      </c>
      <c r="AA2303">
        <v>0.98082590000000003</v>
      </c>
      <c r="AB2303">
        <v>25</v>
      </c>
      <c r="AC2303">
        <v>61.832000000000001</v>
      </c>
      <c r="AD2303">
        <v>-1.132673807662</v>
      </c>
      <c r="AE2303">
        <v>-0.86740000000000295</v>
      </c>
      <c r="AF2303">
        <v>-12.1160256728588</v>
      </c>
      <c r="AG2303">
        <v>-1.132673807662</v>
      </c>
      <c r="AH2303">
        <v>60.618362890072397</v>
      </c>
      <c r="AI2303">
        <v>91.049708116508</v>
      </c>
      <c r="AJ2303">
        <v>101.302982529668</v>
      </c>
      <c r="AK2303">
        <v>61.827719895953202</v>
      </c>
      <c r="AL2303">
        <v>82.534123141555099</v>
      </c>
      <c r="AM2303">
        <v>100.71937157053</v>
      </c>
      <c r="AN2303">
        <v>0.99999997657528905</v>
      </c>
    </row>
    <row r="2304" spans="1:40" x14ac:dyDescent="0.25">
      <c r="A2304" t="str">
        <f>"20190303162550663"</f>
        <v>20190303162550663</v>
      </c>
      <c r="B2304" t="str">
        <f>"1551601550655466"</f>
        <v>1551601550655466</v>
      </c>
      <c r="C2304" t="s">
        <v>40</v>
      </c>
      <c r="D2304">
        <v>5.0474500000000004</v>
      </c>
      <c r="E2304">
        <v>0.48901850000000002</v>
      </c>
      <c r="F2304" t="s">
        <v>51</v>
      </c>
      <c r="G2304">
        <v>-415.08949999999999</v>
      </c>
      <c r="H2304" s="1">
        <v>3.1832080000000001E-6</v>
      </c>
      <c r="I2304">
        <v>213.76230000000001</v>
      </c>
      <c r="J2304">
        <v>-476.33449999999999</v>
      </c>
      <c r="K2304">
        <v>1.13263799999999</v>
      </c>
      <c r="L2304">
        <v>213.81739999999999</v>
      </c>
      <c r="M2304">
        <v>0.98131190000000001</v>
      </c>
      <c r="N2304">
        <v>-1.6438930000000001E-2</v>
      </c>
      <c r="O2304">
        <v>-0.19172049999999999</v>
      </c>
      <c r="P2304">
        <v>0.99289439999999995</v>
      </c>
      <c r="Q2304">
        <v>0.118048</v>
      </c>
      <c r="R2304">
        <v>-1.50204E-2</v>
      </c>
      <c r="S2304">
        <v>3.029236</v>
      </c>
      <c r="T2304">
        <v>-5.5791019999999997E-2</v>
      </c>
      <c r="U2304">
        <v>-4.379272E-3</v>
      </c>
      <c r="V2304">
        <v>-0.17932139999999999</v>
      </c>
      <c r="W2304">
        <v>0.12913759999999999</v>
      </c>
      <c r="X2304">
        <v>0.97527810000000004</v>
      </c>
      <c r="Y2304">
        <v>-0.19026650000000001</v>
      </c>
      <c r="Z2304">
        <v>3.6635489999999999E-3</v>
      </c>
      <c r="AA2304">
        <v>0.98172559999999998</v>
      </c>
      <c r="AB2304">
        <v>25</v>
      </c>
      <c r="AC2304">
        <v>61.244999999999997</v>
      </c>
      <c r="AD2304">
        <v>-1.13263481679199</v>
      </c>
      <c r="AE2304">
        <v>-5.5099999999981698E-2</v>
      </c>
      <c r="AF2304">
        <v>-11.6854345839066</v>
      </c>
      <c r="AG2304">
        <v>-1.13263481679199</v>
      </c>
      <c r="AH2304">
        <v>60.098579617088198</v>
      </c>
      <c r="AI2304">
        <v>91.059840948741794</v>
      </c>
      <c r="AJ2304">
        <v>101.003173085013</v>
      </c>
      <c r="AK2304">
        <v>61.234561442329699</v>
      </c>
      <c r="AL2304">
        <v>82.580239838170996</v>
      </c>
      <c r="AM2304">
        <v>100.418434238928</v>
      </c>
      <c r="AN2304">
        <v>1.00000002828566</v>
      </c>
    </row>
    <row r="2305" spans="1:40" x14ac:dyDescent="0.25">
      <c r="A2305" t="str">
        <f>"20190303162550685"</f>
        <v>20190303162550685</v>
      </c>
      <c r="B2305" t="str">
        <f>"1551601550674985"</f>
        <v>1551601550674985</v>
      </c>
      <c r="C2305" t="s">
        <v>40</v>
      </c>
      <c r="D2305">
        <v>4.8899520000000001</v>
      </c>
      <c r="E2305">
        <v>0.4893904</v>
      </c>
      <c r="F2305" t="s">
        <v>51</v>
      </c>
      <c r="G2305">
        <v>-416.12270000000001</v>
      </c>
      <c r="H2305" s="1">
        <v>3.2996039999999998E-6</v>
      </c>
      <c r="I2305">
        <v>214.5273</v>
      </c>
      <c r="J2305">
        <v>-476.10590000000002</v>
      </c>
      <c r="K2305">
        <v>1.132614</v>
      </c>
      <c r="L2305">
        <v>213.7911</v>
      </c>
      <c r="M2305">
        <v>0.98433130000000002</v>
      </c>
      <c r="N2305">
        <v>-1.6438499999999901E-2</v>
      </c>
      <c r="O2305">
        <v>-0.17556140000000001</v>
      </c>
      <c r="P2305">
        <v>0.99291450000000003</v>
      </c>
      <c r="Q2305">
        <v>0.118779</v>
      </c>
      <c r="R2305">
        <v>-3.546333E-3</v>
      </c>
      <c r="S2305">
        <v>3.028778</v>
      </c>
      <c r="T2305">
        <v>-5.6973929999999999E-2</v>
      </c>
      <c r="U2305">
        <v>3.5705569999999999E-2</v>
      </c>
      <c r="V2305">
        <v>-0.17454040000000001</v>
      </c>
      <c r="W2305">
        <v>0.13002939999999999</v>
      </c>
      <c r="X2305">
        <v>0.97602670000000002</v>
      </c>
      <c r="Y2305">
        <v>-0.1871157</v>
      </c>
      <c r="Z2305">
        <v>3.6914560000000001E-3</v>
      </c>
      <c r="AA2305">
        <v>0.98233090000000001</v>
      </c>
      <c r="AB2305">
        <v>25</v>
      </c>
      <c r="AC2305">
        <v>59.983199999999997</v>
      </c>
      <c r="AD2305">
        <v>-1.132610700396</v>
      </c>
      <c r="AE2305">
        <v>0.73619999999999597</v>
      </c>
      <c r="AF2305">
        <v>-11.2529080958675</v>
      </c>
      <c r="AG2305">
        <v>-1.132610700396</v>
      </c>
      <c r="AH2305">
        <v>58.901053380280402</v>
      </c>
      <c r="AI2305">
        <v>91.082041977223497</v>
      </c>
      <c r="AJ2305">
        <v>100.81589067764899</v>
      </c>
      <c r="AK2305">
        <v>59.977035913083697</v>
      </c>
      <c r="AL2305">
        <v>82.528709200214905</v>
      </c>
      <c r="AM2305">
        <v>100.13888860785001</v>
      </c>
      <c r="AN2305">
        <v>1.0000000576046999</v>
      </c>
    </row>
    <row r="2306" spans="1:40" x14ac:dyDescent="0.25">
      <c r="A2306" t="str">
        <f>"20190303162550711"</f>
        <v>20190303162550711</v>
      </c>
      <c r="B2306" t="str">
        <f>"1551601550695482"</f>
        <v>1551601550695482</v>
      </c>
      <c r="C2306" t="s">
        <v>40</v>
      </c>
      <c r="D2306">
        <v>5.1075239999999997</v>
      </c>
      <c r="E2306">
        <v>0.48964419999999997</v>
      </c>
      <c r="F2306" t="s">
        <v>51</v>
      </c>
      <c r="G2306">
        <v>-411.9588</v>
      </c>
      <c r="H2306" s="1">
        <v>2.4971129999999999E-6</v>
      </c>
      <c r="I2306">
        <v>215.25800000000001</v>
      </c>
      <c r="J2306">
        <v>-475.83249999999998</v>
      </c>
      <c r="K2306">
        <v>1.132576</v>
      </c>
      <c r="L2306">
        <v>213.7645</v>
      </c>
      <c r="M2306">
        <v>0.98758449999999998</v>
      </c>
      <c r="N2306">
        <v>-1.643462E-2</v>
      </c>
      <c r="O2306">
        <v>-0.15622620000000001</v>
      </c>
      <c r="P2306">
        <v>0.99273279999999997</v>
      </c>
      <c r="Q2306">
        <v>0.1199923</v>
      </c>
      <c r="R2306">
        <v>9.1244459999999996E-3</v>
      </c>
      <c r="S2306">
        <v>3.0280149999999999</v>
      </c>
      <c r="T2306">
        <v>-5.3464060000000001E-2</v>
      </c>
      <c r="U2306">
        <v>6.9244379999999994E-2</v>
      </c>
      <c r="V2306">
        <v>-0.1678355</v>
      </c>
      <c r="W2306">
        <v>0.1314622</v>
      </c>
      <c r="X2306">
        <v>0.97701020000000005</v>
      </c>
      <c r="Y2306">
        <v>-0.178734</v>
      </c>
      <c r="Z2306">
        <v>3.2232150000000002E-3</v>
      </c>
      <c r="AA2306">
        <v>0.98389210000000005</v>
      </c>
      <c r="AB2306">
        <v>25</v>
      </c>
      <c r="AC2306">
        <v>63.8736999999999</v>
      </c>
      <c r="AD2306">
        <v>-1.1325735028870001</v>
      </c>
      <c r="AE2306">
        <v>1.4934999999999801</v>
      </c>
      <c r="AF2306">
        <v>-11.451652278545501</v>
      </c>
      <c r="AG2306">
        <v>-1.1325735028870001</v>
      </c>
      <c r="AH2306">
        <v>62.836100430134501</v>
      </c>
      <c r="AI2306">
        <v>91.015872500657395</v>
      </c>
      <c r="AJ2306">
        <v>100.328593929945</v>
      </c>
      <c r="AK2306">
        <v>63.881128511588699</v>
      </c>
      <c r="AL2306">
        <v>82.445904554283203</v>
      </c>
      <c r="AM2306">
        <v>99.747404973631802</v>
      </c>
      <c r="AN2306">
        <v>0.99999999799656503</v>
      </c>
    </row>
    <row r="2307" spans="1:40" x14ac:dyDescent="0.25">
      <c r="A2307" t="str">
        <f>"20190303162550755"</f>
        <v>20190303162550755</v>
      </c>
      <c r="B2307" t="str">
        <f>"1551601550745258"</f>
        <v>1551601550745258</v>
      </c>
      <c r="C2307" t="s">
        <v>40</v>
      </c>
      <c r="D2307">
        <v>5.1564759999999996</v>
      </c>
      <c r="E2307">
        <v>0.49047790000000002</v>
      </c>
      <c r="F2307" t="s">
        <v>51</v>
      </c>
      <c r="G2307">
        <v>-405.28019999999998</v>
      </c>
      <c r="H2307" s="1">
        <v>5.7200670000000002E-6</v>
      </c>
      <c r="I2307">
        <v>216.26490000000001</v>
      </c>
      <c r="J2307">
        <v>-475.36489999999998</v>
      </c>
      <c r="K2307">
        <v>1.1324749999999999</v>
      </c>
      <c r="L2307">
        <v>213.73140000000001</v>
      </c>
      <c r="M2307">
        <v>0.99224500000000004</v>
      </c>
      <c r="N2307">
        <v>-1.6415880000000001E-2</v>
      </c>
      <c r="O2307">
        <v>-0.1232087</v>
      </c>
      <c r="P2307">
        <v>0.99246679999999998</v>
      </c>
      <c r="Q2307">
        <v>0.1204403</v>
      </c>
      <c r="R2307">
        <v>2.245076E-2</v>
      </c>
      <c r="S2307">
        <v>3.0268250000000001</v>
      </c>
      <c r="T2307">
        <v>-4.8589350000000003E-2</v>
      </c>
      <c r="U2307">
        <v>0.1072693</v>
      </c>
      <c r="V2307">
        <v>-0.1482704</v>
      </c>
      <c r="W2307">
        <v>0.1325267</v>
      </c>
      <c r="X2307">
        <v>0.98002679999999998</v>
      </c>
      <c r="Y2307">
        <v>-0.15825439999999999</v>
      </c>
      <c r="Z2307">
        <v>2.5189090000000002E-3</v>
      </c>
      <c r="AA2307">
        <v>0.98739520000000003</v>
      </c>
      <c r="AB2307">
        <v>25</v>
      </c>
      <c r="AC2307">
        <v>70.084699999999998</v>
      </c>
      <c r="AD2307">
        <v>-1.1324692799329901</v>
      </c>
      <c r="AE2307">
        <v>2.5335000000000001</v>
      </c>
      <c r="AF2307">
        <v>-11.1474931604766</v>
      </c>
      <c r="AG2307">
        <v>-1.1324692799329901</v>
      </c>
      <c r="AH2307">
        <v>69.220323765121094</v>
      </c>
      <c r="AI2307">
        <v>90.925374946168105</v>
      </c>
      <c r="AJ2307">
        <v>99.1485712141383</v>
      </c>
      <c r="AK2307">
        <v>70.121339922886904</v>
      </c>
      <c r="AL2307">
        <v>82.384374723595599</v>
      </c>
      <c r="AM2307">
        <v>98.603159657228503</v>
      </c>
      <c r="AN2307">
        <v>0.99999998322364403</v>
      </c>
    </row>
    <row r="2308" spans="1:40" x14ac:dyDescent="0.25">
      <c r="A2308" t="str">
        <f>"20190303162550774"</f>
        <v>20190303162550774</v>
      </c>
      <c r="B2308" t="str">
        <f>"1551601550765755"</f>
        <v>1551601550765755</v>
      </c>
      <c r="C2308" t="s">
        <v>40</v>
      </c>
      <c r="D2308">
        <v>5.1604179999999999</v>
      </c>
      <c r="E2308">
        <v>0.49088670000000001</v>
      </c>
      <c r="F2308" t="s">
        <v>51</v>
      </c>
      <c r="G2308">
        <v>-401.59809999999999</v>
      </c>
      <c r="H2308" s="1">
        <v>7.1628289999999996E-6</v>
      </c>
      <c r="I2308">
        <v>217.1849</v>
      </c>
      <c r="J2308">
        <v>-475.14940000000001</v>
      </c>
      <c r="K2308">
        <v>1.132425</v>
      </c>
      <c r="L2308">
        <v>213.72130000000001</v>
      </c>
      <c r="M2308">
        <v>0.99401090000000003</v>
      </c>
      <c r="N2308">
        <v>-1.6401309999999999E-2</v>
      </c>
      <c r="O2308">
        <v>-0.108043899999999</v>
      </c>
      <c r="P2308">
        <v>0.99198229999999998</v>
      </c>
      <c r="Q2308">
        <v>0.12360889999999999</v>
      </c>
      <c r="R2308">
        <v>2.630797E-2</v>
      </c>
      <c r="S2308">
        <v>3.0252080000000001</v>
      </c>
      <c r="T2308">
        <v>-4.6442990000000003E-2</v>
      </c>
      <c r="U2308">
        <v>0.14163210000000001</v>
      </c>
      <c r="V2308">
        <v>-0.13710749999999999</v>
      </c>
      <c r="W2308">
        <v>0.13603090000000001</v>
      </c>
      <c r="X2308">
        <v>0.98117129999999997</v>
      </c>
      <c r="Y2308">
        <v>-0.154394899999999</v>
      </c>
      <c r="Z2308">
        <v>2.3350900000000002E-3</v>
      </c>
      <c r="AA2308">
        <v>0.98800650000000001</v>
      </c>
      <c r="AB2308">
        <v>24</v>
      </c>
      <c r="AC2308">
        <v>73.551299999999998</v>
      </c>
      <c r="AD2308">
        <v>-1.1324178371709901</v>
      </c>
      <c r="AE2308">
        <v>3.46359999999998</v>
      </c>
      <c r="AF2308">
        <v>-11.3884631769261</v>
      </c>
      <c r="AG2308">
        <v>-1.1324178371709901</v>
      </c>
      <c r="AH2308">
        <v>72.729150499916599</v>
      </c>
      <c r="AI2308">
        <v>90.881305403064999</v>
      </c>
      <c r="AJ2308">
        <v>98.8995249044697</v>
      </c>
      <c r="AK2308">
        <v>73.624104722092596</v>
      </c>
      <c r="AL2308">
        <v>82.181763913795905</v>
      </c>
      <c r="AM2308">
        <v>97.954920440186996</v>
      </c>
      <c r="AN2308">
        <v>0.999999996127375</v>
      </c>
    </row>
    <row r="2309" spans="1:40" x14ac:dyDescent="0.25">
      <c r="A2309" t="str">
        <f>"20190303162550796"</f>
        <v>20190303162550796</v>
      </c>
      <c r="B2309" t="str">
        <f>"1551601550785274"</f>
        <v>1551601550785274</v>
      </c>
      <c r="C2309" t="s">
        <v>40</v>
      </c>
      <c r="D2309">
        <v>4.9578280000000001</v>
      </c>
      <c r="E2309">
        <v>0.49124390000000001</v>
      </c>
      <c r="F2309" t="s">
        <v>48</v>
      </c>
      <c r="G2309">
        <v>-380.35489999999999</v>
      </c>
      <c r="H2309" s="1">
        <v>-1.515334E-6</v>
      </c>
      <c r="I2309">
        <v>218.446</v>
      </c>
      <c r="J2309">
        <v>-474.92320000000001</v>
      </c>
      <c r="K2309">
        <v>1.1323639999999999</v>
      </c>
      <c r="L2309">
        <v>213.71420000000001</v>
      </c>
      <c r="M2309">
        <v>0.99560669999999996</v>
      </c>
      <c r="N2309">
        <v>-1.6381730000000001E-2</v>
      </c>
      <c r="O2309">
        <v>-9.2189359999999998E-2</v>
      </c>
      <c r="P2309">
        <v>0.99114259999999998</v>
      </c>
      <c r="Q2309">
        <v>0.12940260000000001</v>
      </c>
      <c r="R2309">
        <v>2.9853890000000001E-2</v>
      </c>
      <c r="S2309">
        <v>3.02475</v>
      </c>
      <c r="T2309">
        <v>-3.6133999999999999E-2</v>
      </c>
      <c r="U2309">
        <v>0.1507568</v>
      </c>
      <c r="V2309">
        <v>-0.1250038</v>
      </c>
      <c r="W2309">
        <v>0.142178</v>
      </c>
      <c r="X2309">
        <v>0.98191620000000002</v>
      </c>
      <c r="Y2309">
        <v>-0.1416299</v>
      </c>
      <c r="Z2309">
        <v>1.596266E-3</v>
      </c>
      <c r="AA2309">
        <v>0.98991839999999998</v>
      </c>
      <c r="AB2309">
        <v>24</v>
      </c>
      <c r="AC2309">
        <v>94.568299999999994</v>
      </c>
      <c r="AD2309">
        <v>-1.132365515334</v>
      </c>
      <c r="AE2309">
        <v>4.73179999999999</v>
      </c>
      <c r="AF2309">
        <v>-13.429084913002701</v>
      </c>
      <c r="AG2309">
        <v>-1.132365515334</v>
      </c>
      <c r="AH2309">
        <v>93.715788537823002</v>
      </c>
      <c r="AI2309">
        <v>90.685270629615502</v>
      </c>
      <c r="AJ2309">
        <v>98.154734986548902</v>
      </c>
      <c r="AK2309">
        <v>94.679837317809699</v>
      </c>
      <c r="AL2309">
        <v>81.826102443349598</v>
      </c>
      <c r="AM2309">
        <v>97.255069239525795</v>
      </c>
      <c r="AN2309">
        <v>0.999999978760439</v>
      </c>
    </row>
    <row r="2310" spans="1:40" x14ac:dyDescent="0.25">
      <c r="A2310" t="str">
        <f>"20190303162550819"</f>
        <v>20190303162550819</v>
      </c>
      <c r="B2310" t="str">
        <f>"1551601550805771"</f>
        <v>1551601550805771</v>
      </c>
      <c r="C2310" t="s">
        <v>40</v>
      </c>
      <c r="D2310">
        <v>4.9770629999999896</v>
      </c>
      <c r="E2310">
        <v>0.49157980000000001</v>
      </c>
      <c r="F2310" t="s">
        <v>51</v>
      </c>
      <c r="G2310">
        <v>-289.95710000000003</v>
      </c>
      <c r="H2310">
        <v>2.274698E-2</v>
      </c>
      <c r="I2310">
        <v>223.5617</v>
      </c>
      <c r="J2310">
        <v>-474.67520000000002</v>
      </c>
      <c r="K2310">
        <v>1.1322410000000001</v>
      </c>
      <c r="L2310">
        <v>213.71039999999999</v>
      </c>
      <c r="M2310">
        <v>0.99705220000000006</v>
      </c>
      <c r="N2310">
        <v>-1.6351870000000001E-2</v>
      </c>
      <c r="O2310">
        <v>-7.4963920000000003E-2</v>
      </c>
      <c r="P2310">
        <v>0.9904617</v>
      </c>
      <c r="Q2310">
        <v>0.1340558</v>
      </c>
      <c r="R2310">
        <v>3.1859800000000001E-2</v>
      </c>
      <c r="S2310">
        <v>3.024292</v>
      </c>
      <c r="T2310">
        <v>-1.814282E-2</v>
      </c>
      <c r="U2310">
        <v>0.16101070000000001</v>
      </c>
      <c r="V2310">
        <v>-0.11000310000000001</v>
      </c>
      <c r="W2310">
        <v>0.1472628</v>
      </c>
      <c r="X2310">
        <v>0.98296139999999999</v>
      </c>
      <c r="Y2310">
        <v>-0.1278696</v>
      </c>
      <c r="Z2310">
        <v>6.5358050000000002E-4</v>
      </c>
      <c r="AA2310">
        <v>0.99179079999999997</v>
      </c>
      <c r="AB2310">
        <v>24</v>
      </c>
      <c r="AC2310">
        <v>184.71809999999999</v>
      </c>
      <c r="AD2310">
        <v>-1.1094940200000001</v>
      </c>
      <c r="AE2310">
        <v>9.8513000000000002</v>
      </c>
      <c r="AF2310">
        <v>-23.671765930869402</v>
      </c>
      <c r="AG2310">
        <v>-1.1094940200000001</v>
      </c>
      <c r="AH2310">
        <v>183.45301920627799</v>
      </c>
      <c r="AI2310">
        <v>90.343662239292499</v>
      </c>
      <c r="AJ2310">
        <v>97.352504887611701</v>
      </c>
      <c r="AK2310">
        <v>184.97727897005399</v>
      </c>
      <c r="AL2310">
        <v>81.5316655787163</v>
      </c>
      <c r="AM2310">
        <v>96.385396178845795</v>
      </c>
      <c r="AN2310">
        <v>1.0000000640816999</v>
      </c>
    </row>
    <row r="2311" spans="1:40" x14ac:dyDescent="0.25">
      <c r="A2311" t="str">
        <f>"20190303162550864"</f>
        <v>20190303162550864</v>
      </c>
      <c r="B2311" t="str">
        <f>"1551601550855547"</f>
        <v>1551601550855547</v>
      </c>
      <c r="C2311" t="s">
        <v>40</v>
      </c>
      <c r="D2311">
        <v>5.2072520000000004</v>
      </c>
      <c r="E2311">
        <v>0.49522880000000002</v>
      </c>
      <c r="F2311" t="s">
        <v>56</v>
      </c>
      <c r="G2311">
        <v>-157.25</v>
      </c>
      <c r="H2311">
        <v>0.58298249999999996</v>
      </c>
      <c r="I2311">
        <v>231.12270000000001</v>
      </c>
      <c r="J2311">
        <v>-474.20519999999999</v>
      </c>
      <c r="K2311">
        <v>1.131866</v>
      </c>
      <c r="L2311">
        <v>213.7148</v>
      </c>
      <c r="M2311">
        <v>0.99894340000000004</v>
      </c>
      <c r="N2311">
        <v>-1.6257089999999998E-2</v>
      </c>
      <c r="O2311">
        <v>-4.2986679999999999E-2</v>
      </c>
      <c r="P2311">
        <v>0.99053939999999996</v>
      </c>
      <c r="Q2311">
        <v>0.1340539</v>
      </c>
      <c r="R2311">
        <v>2.9357500000000002E-2</v>
      </c>
      <c r="S2311">
        <v>3.0242309999999999</v>
      </c>
      <c r="T2311">
        <v>-5.2324529999999998E-3</v>
      </c>
      <c r="U2311">
        <v>0.1658936</v>
      </c>
      <c r="V2311">
        <v>-7.5763689999999995E-2</v>
      </c>
      <c r="W2311">
        <v>0.14819939999999901</v>
      </c>
      <c r="X2311">
        <v>0.98605109999999996</v>
      </c>
      <c r="Y2311">
        <v>-9.7643599999999997E-2</v>
      </c>
      <c r="Z2311">
        <v>2.5476570000000003E-4</v>
      </c>
      <c r="AA2311">
        <v>0.99522140000000003</v>
      </c>
      <c r="AB2311">
        <v>24</v>
      </c>
      <c r="AC2311">
        <v>316.95519999999999</v>
      </c>
      <c r="AD2311">
        <v>-0.54888349999999997</v>
      </c>
      <c r="AE2311">
        <v>17.407900000000001</v>
      </c>
      <c r="AF2311">
        <v>-31.0183640855237</v>
      </c>
      <c r="AG2311">
        <v>-0.54888349999999997</v>
      </c>
      <c r="AH2311">
        <v>315.91279229467199</v>
      </c>
      <c r="AI2311">
        <v>90.099072190014397</v>
      </c>
      <c r="AJ2311">
        <v>95.607696337404093</v>
      </c>
      <c r="AK2311">
        <v>317.43240622068703</v>
      </c>
      <c r="AL2311">
        <v>81.477406328240605</v>
      </c>
      <c r="AM2311">
        <v>94.393714780095095</v>
      </c>
      <c r="AN2311">
        <v>0.99999998534699297</v>
      </c>
    </row>
    <row r="2312" spans="1:40" x14ac:dyDescent="0.25">
      <c r="A2312" t="str">
        <f>"20190303162550911"</f>
        <v>20190303162550911</v>
      </c>
      <c r="B2312" t="str">
        <f>"1551601550895562"</f>
        <v>1551601550895562</v>
      </c>
      <c r="C2312" t="s">
        <v>40</v>
      </c>
      <c r="D2312">
        <v>5.0946199999999999</v>
      </c>
      <c r="E2312">
        <v>0.49446250000000003</v>
      </c>
      <c r="F2312" t="s">
        <v>51</v>
      </c>
      <c r="G2312">
        <v>-405.44729999999998</v>
      </c>
      <c r="H2312" s="1">
        <v>5.565134E-6</v>
      </c>
      <c r="I2312">
        <v>216.65610000000001</v>
      </c>
      <c r="J2312">
        <v>-473.72969999999998</v>
      </c>
      <c r="K2312">
        <v>1.1313610000000001</v>
      </c>
      <c r="L2312">
        <v>213.73310000000001</v>
      </c>
      <c r="M2312">
        <v>0.99980040000000003</v>
      </c>
      <c r="N2312">
        <v>-1.6126310000000001E-2</v>
      </c>
      <c r="O2312">
        <v>-1.1796600000000001E-2</v>
      </c>
      <c r="P2312">
        <v>0.99030799999999997</v>
      </c>
      <c r="Q2312">
        <v>0.13562850000000001</v>
      </c>
      <c r="R2312">
        <v>2.9916169999999999E-2</v>
      </c>
      <c r="S2312">
        <v>3.031555</v>
      </c>
      <c r="T2312">
        <v>-4.9903990000000002E-2</v>
      </c>
      <c r="U2312">
        <v>0.12968440000000001</v>
      </c>
      <c r="V2312">
        <v>-4.5304879999999999E-2</v>
      </c>
      <c r="W2312">
        <v>0.15050769999999999</v>
      </c>
      <c r="X2312">
        <v>0.98757019999999995</v>
      </c>
      <c r="Y2312">
        <v>-5.4508880000000003E-2</v>
      </c>
      <c r="Z2312">
        <v>8.9216060000000001E-4</v>
      </c>
      <c r="AA2312">
        <v>0.99851290000000004</v>
      </c>
      <c r="AB2312">
        <v>24</v>
      </c>
      <c r="AC2312">
        <v>68.282399999999996</v>
      </c>
      <c r="AD2312">
        <v>-1.131355434866</v>
      </c>
      <c r="AE2312">
        <v>2.923</v>
      </c>
      <c r="AF2312">
        <v>-3.7273800692282602</v>
      </c>
      <c r="AG2312">
        <v>-1.131355434866</v>
      </c>
      <c r="AH2312">
        <v>68.224466565676494</v>
      </c>
      <c r="AI2312">
        <v>90.948625232135498</v>
      </c>
      <c r="AJ2312">
        <v>93.127192489861997</v>
      </c>
      <c r="AK2312">
        <v>68.335577596677894</v>
      </c>
      <c r="AL2312">
        <v>81.343650345867403</v>
      </c>
      <c r="AM2312">
        <v>92.626607963026004</v>
      </c>
      <c r="AN2312">
        <v>0.999999999919572</v>
      </c>
    </row>
    <row r="2313" spans="1:40" x14ac:dyDescent="0.25">
      <c r="A2313" t="str">
        <f>"20190303162550935"</f>
        <v>20190303162550935</v>
      </c>
      <c r="B2313" t="str">
        <f>"1551601550925818"</f>
        <v>1551601550925818</v>
      </c>
      <c r="C2313" t="s">
        <v>40</v>
      </c>
      <c r="D2313">
        <v>5.0878449999999997</v>
      </c>
      <c r="E2313">
        <v>0.49368659999999998</v>
      </c>
      <c r="F2313" t="s">
        <v>51</v>
      </c>
      <c r="G2313">
        <v>-401.5684</v>
      </c>
      <c r="H2313" s="1">
        <v>7.2032099999999998E-6</v>
      </c>
      <c r="I2313">
        <v>217.0531</v>
      </c>
      <c r="J2313">
        <v>-473.44569999999999</v>
      </c>
      <c r="K2313">
        <v>1.1309049999999901</v>
      </c>
      <c r="L2313">
        <v>213.75</v>
      </c>
      <c r="M2313">
        <v>0.99985440000000003</v>
      </c>
      <c r="N2313">
        <v>-1.6019579999999999E-2</v>
      </c>
      <c r="O2313">
        <v>5.8870529999999997E-3</v>
      </c>
      <c r="P2313">
        <v>0.99049450000000006</v>
      </c>
      <c r="Q2313">
        <v>0.1338365</v>
      </c>
      <c r="R2313">
        <v>3.1758040000000001E-2</v>
      </c>
      <c r="S2313">
        <v>3.031647</v>
      </c>
      <c r="T2313">
        <v>-4.7530530000000001E-2</v>
      </c>
      <c r="U2313">
        <v>0.13948060000000001</v>
      </c>
      <c r="V2313">
        <v>-2.942958E-2</v>
      </c>
      <c r="W2313">
        <v>0.1490406</v>
      </c>
      <c r="X2313">
        <v>0.98839310000000002</v>
      </c>
      <c r="Y2313">
        <v>-4.0067249999999999E-2</v>
      </c>
      <c r="Z2313">
        <v>6.370929E-4</v>
      </c>
      <c r="AA2313">
        <v>0.9991968</v>
      </c>
      <c r="AB2313">
        <v>24</v>
      </c>
      <c r="AC2313">
        <v>71.877299999999906</v>
      </c>
      <c r="AD2313">
        <v>-1.13089779678999</v>
      </c>
      <c r="AE2313">
        <v>3.3031000000000001</v>
      </c>
      <c r="AF2313">
        <v>-2.8791317608980398</v>
      </c>
      <c r="AG2313">
        <v>-1.13089779678999</v>
      </c>
      <c r="AH2313">
        <v>71.877746299073493</v>
      </c>
      <c r="AI2313">
        <v>90.900674018440498</v>
      </c>
      <c r="AJ2313">
        <v>92.293810891198504</v>
      </c>
      <c r="AK2313">
        <v>71.944275259101602</v>
      </c>
      <c r="AL2313">
        <v>81.428668493140094</v>
      </c>
      <c r="AM2313">
        <v>91.705488118022402</v>
      </c>
      <c r="AN2313">
        <v>1.0000000603774699</v>
      </c>
    </row>
    <row r="2314" spans="1:40" x14ac:dyDescent="0.25">
      <c r="A2314" t="str">
        <f>"20190303162550973"</f>
        <v>20190303162550973</v>
      </c>
      <c r="B2314" t="str">
        <f>"1551601550965195"</f>
        <v>1551601550965195</v>
      </c>
      <c r="C2314" t="s">
        <v>40</v>
      </c>
      <c r="D2314">
        <v>5.1455349999999997</v>
      </c>
      <c r="E2314">
        <v>0.48824830000000002</v>
      </c>
      <c r="F2314" t="s">
        <v>51</v>
      </c>
      <c r="G2314">
        <v>-408.74079999999998</v>
      </c>
      <c r="H2314" s="1">
        <v>4.0336050000000002E-6</v>
      </c>
      <c r="I2314">
        <v>216.99959999999999</v>
      </c>
      <c r="J2314">
        <v>-473.04939999999999</v>
      </c>
      <c r="K2314">
        <v>1.1297680000000001</v>
      </c>
      <c r="L2314">
        <v>213.78020000000001</v>
      </c>
      <c r="M2314">
        <v>0.99947240000000004</v>
      </c>
      <c r="N2314">
        <v>-1.579467E-2</v>
      </c>
      <c r="O2314">
        <v>2.8382480000000002E-2</v>
      </c>
      <c r="P2314">
        <v>0.9922242</v>
      </c>
      <c r="Q2314">
        <v>0.1225485</v>
      </c>
      <c r="R2314">
        <v>2.1750189999999999E-2</v>
      </c>
      <c r="S2314">
        <v>3.0310060000000001</v>
      </c>
      <c r="T2314">
        <v>-5.2975420000000002E-2</v>
      </c>
      <c r="U2314">
        <v>0.15222169999999999</v>
      </c>
      <c r="V2314">
        <v>3.5236249999999998E-3</v>
      </c>
      <c r="W2314">
        <v>0.13831270000000001</v>
      </c>
      <c r="X2314">
        <v>0.99038230000000005</v>
      </c>
      <c r="Y2314">
        <v>-2.178151E-2</v>
      </c>
      <c r="Z2314">
        <v>3.1495569999999998E-4</v>
      </c>
      <c r="AA2314">
        <v>0.9997627</v>
      </c>
      <c r="AB2314">
        <v>24</v>
      </c>
      <c r="AC2314">
        <v>64.308599999999998</v>
      </c>
      <c r="AD2314">
        <v>-1.1297639663950001</v>
      </c>
      <c r="AE2314">
        <v>3.2193999999999701</v>
      </c>
      <c r="AF2314">
        <v>-1.3922089311591199</v>
      </c>
      <c r="AG2314">
        <v>-1.1297639663950001</v>
      </c>
      <c r="AH2314">
        <v>64.354259918884395</v>
      </c>
      <c r="AI2314">
        <v>91.005511077461406</v>
      </c>
      <c r="AJ2314">
        <v>91.239315867340096</v>
      </c>
      <c r="AK2314">
        <v>64.379230983564</v>
      </c>
      <c r="AL2314">
        <v>82.049778460333499</v>
      </c>
      <c r="AM2314">
        <v>89.796151456624102</v>
      </c>
      <c r="AN2314">
        <v>0.99999995953385901</v>
      </c>
    </row>
    <row r="2315" spans="1:40" x14ac:dyDescent="0.25">
      <c r="A2315" t="str">
        <f>"20190303162550995"</f>
        <v>20190303162550995</v>
      </c>
      <c r="B2315" t="str">
        <f>"1551601550985691"</f>
        <v>1551601550985691</v>
      </c>
      <c r="C2315" t="s">
        <v>40</v>
      </c>
      <c r="D2315">
        <v>5.0875690000000002</v>
      </c>
      <c r="E2315">
        <v>0.48773879999999997</v>
      </c>
      <c r="F2315" t="s">
        <v>51</v>
      </c>
      <c r="G2315">
        <v>-437.15219999999999</v>
      </c>
      <c r="H2315" s="1">
        <v>5.2896750000000003E-6</v>
      </c>
      <c r="I2315">
        <v>215.74889999999999</v>
      </c>
      <c r="J2315">
        <v>-472.81200000000001</v>
      </c>
      <c r="K2315">
        <v>1.128844</v>
      </c>
      <c r="L2315">
        <v>213.80090000000001</v>
      </c>
      <c r="M2315">
        <v>0.9990658</v>
      </c>
      <c r="N2315">
        <v>-1.562556E-2</v>
      </c>
      <c r="O2315">
        <v>4.0292429999999997E-2</v>
      </c>
      <c r="P2315">
        <v>0.99358270000000004</v>
      </c>
      <c r="Q2315">
        <v>0.1102856</v>
      </c>
      <c r="R2315">
        <v>2.5112490000000001E-2</v>
      </c>
      <c r="S2315">
        <v>3.031647</v>
      </c>
      <c r="T2315">
        <v>-9.5412490000000003E-2</v>
      </c>
      <c r="U2315">
        <v>0.16625980000000001</v>
      </c>
      <c r="V2315">
        <v>1.2570680000000001E-2</v>
      </c>
      <c r="W2315">
        <v>0.12606019999999901</v>
      </c>
      <c r="X2315">
        <v>0.99194289999999996</v>
      </c>
      <c r="Y2315">
        <v>-1.447209E-2</v>
      </c>
      <c r="Z2315">
        <v>-2.9612950000000002E-4</v>
      </c>
      <c r="AA2315">
        <v>0.99989519999999998</v>
      </c>
      <c r="AB2315">
        <v>24</v>
      </c>
      <c r="AC2315">
        <v>35.659799999999898</v>
      </c>
      <c r="AD2315">
        <v>-1.1288387103249999</v>
      </c>
      <c r="AE2315">
        <v>1.94799999999997</v>
      </c>
      <c r="AF2315">
        <v>-0.50891388914195201</v>
      </c>
      <c r="AG2315">
        <v>-1.1288387103249999</v>
      </c>
      <c r="AH2315">
        <v>35.673692090388599</v>
      </c>
      <c r="AI2315">
        <v>91.812247115446993</v>
      </c>
      <c r="AJ2315">
        <v>90.817314902447606</v>
      </c>
      <c r="AK2315">
        <v>35.695175830080203</v>
      </c>
      <c r="AL2315">
        <v>82.758014577424305</v>
      </c>
      <c r="AM2315">
        <v>89.273941719603002</v>
      </c>
      <c r="AN2315">
        <v>0.99999995644005502</v>
      </c>
    </row>
    <row r="2316" spans="1:40" x14ac:dyDescent="0.25">
      <c r="A2316" t="str">
        <f>"20190303162551019"</f>
        <v>20190303162551019</v>
      </c>
      <c r="B2316" t="str">
        <f>"1551601551014970"</f>
        <v>1551601551014970</v>
      </c>
      <c r="C2316" t="s">
        <v>40</v>
      </c>
      <c r="D2316">
        <v>5.0484580000000001</v>
      </c>
      <c r="E2316">
        <v>0.48678480000000002</v>
      </c>
      <c r="F2316" t="s">
        <v>48</v>
      </c>
      <c r="G2316">
        <v>-447.63139999999999</v>
      </c>
      <c r="H2316" s="1">
        <v>2.495128E-6</v>
      </c>
      <c r="I2316">
        <v>215.28309999999999</v>
      </c>
      <c r="J2316">
        <v>-472.56169999999997</v>
      </c>
      <c r="K2316">
        <v>1.127737</v>
      </c>
      <c r="L2316">
        <v>213.82409999999999</v>
      </c>
      <c r="M2316">
        <v>0.99856449999999997</v>
      </c>
      <c r="N2316">
        <v>-1.543724E-2</v>
      </c>
      <c r="O2316">
        <v>5.1289500000000002E-2</v>
      </c>
      <c r="P2316">
        <v>0.99403549999999996</v>
      </c>
      <c r="Q2316">
        <v>0.103760199999999</v>
      </c>
      <c r="R2316">
        <v>3.3576290000000002E-2</v>
      </c>
      <c r="S2316">
        <v>3.029938</v>
      </c>
      <c r="T2316">
        <v>-0.1358316</v>
      </c>
      <c r="U2316">
        <v>0.17834469999999999</v>
      </c>
      <c r="V2316">
        <v>1.5524710000000001E-2</v>
      </c>
      <c r="W2316">
        <v>0.1193668</v>
      </c>
      <c r="X2316">
        <v>0.99272879999999997</v>
      </c>
      <c r="Y2316">
        <v>-7.4867450000000004E-3</v>
      </c>
      <c r="Z2316">
        <v>-1.2776440000000001E-3</v>
      </c>
      <c r="AA2316">
        <v>0.99997119999999995</v>
      </c>
      <c r="AB2316">
        <v>24</v>
      </c>
      <c r="AC2316">
        <v>24.9302999999999</v>
      </c>
      <c r="AD2316">
        <v>-1.127734504872</v>
      </c>
      <c r="AE2316">
        <v>1.4590000000000001</v>
      </c>
      <c r="AF2316">
        <v>-0.17790143914923001</v>
      </c>
      <c r="AG2316">
        <v>-1.127734504872</v>
      </c>
      <c r="AH2316">
        <v>24.921498337036098</v>
      </c>
      <c r="AI2316">
        <v>92.590884959373696</v>
      </c>
      <c r="AJ2316">
        <v>90.408997419110705</v>
      </c>
      <c r="AK2316">
        <v>24.947635426998399</v>
      </c>
      <c r="AL2316">
        <v>83.144439495475893</v>
      </c>
      <c r="AM2316">
        <v>89.104057563677699</v>
      </c>
      <c r="AN2316">
        <v>0.999999959956131</v>
      </c>
    </row>
    <row r="2317" spans="1:40" x14ac:dyDescent="0.25">
      <c r="A2317" t="str">
        <f>"20190303162551040"</f>
        <v>20190303162551040</v>
      </c>
      <c r="B2317" t="str">
        <f>"1551601551035466"</f>
        <v>1551601551035466</v>
      </c>
      <c r="C2317" t="s">
        <v>40</v>
      </c>
      <c r="D2317">
        <v>5.0551130000000004</v>
      </c>
      <c r="E2317">
        <v>0.48657879999999998</v>
      </c>
      <c r="F2317" t="s">
        <v>48</v>
      </c>
      <c r="G2317">
        <v>-449.34559999999999</v>
      </c>
      <c r="H2317" s="1">
        <v>3.4015450000000001E-6</v>
      </c>
      <c r="I2317">
        <v>215.41550000000001</v>
      </c>
      <c r="J2317">
        <v>-472.33839999999998</v>
      </c>
      <c r="K2317">
        <v>1.1266910000000001</v>
      </c>
      <c r="L2317">
        <v>213.84540000000001</v>
      </c>
      <c r="M2317">
        <v>0.99811070000000002</v>
      </c>
      <c r="N2317">
        <v>-1.5272910000000001E-2</v>
      </c>
      <c r="O2317">
        <v>5.951501E-2</v>
      </c>
      <c r="P2317">
        <v>0.99347169999999896</v>
      </c>
      <c r="Q2317">
        <v>0.1050358</v>
      </c>
      <c r="R2317">
        <v>4.4516E-2</v>
      </c>
      <c r="S2317">
        <v>3.026367</v>
      </c>
      <c r="T2317">
        <v>-0.1470071</v>
      </c>
      <c r="U2317">
        <v>0.20745849999999999</v>
      </c>
      <c r="V2317">
        <v>1.305926E-2</v>
      </c>
      <c r="W2317">
        <v>0.1203993</v>
      </c>
      <c r="X2317">
        <v>0.99263970000000001</v>
      </c>
      <c r="Y2317">
        <v>-8.9049590000000005E-3</v>
      </c>
      <c r="Z2317">
        <v>-1.69064E-3</v>
      </c>
      <c r="AA2317">
        <v>0.99995889999999998</v>
      </c>
      <c r="AB2317">
        <v>24</v>
      </c>
      <c r="AC2317">
        <v>22.9927999999999</v>
      </c>
      <c r="AD2317">
        <v>-1.126687598455</v>
      </c>
      <c r="AE2317">
        <v>1.5700999999999901</v>
      </c>
      <c r="AF2317">
        <v>-0.19826618052811501</v>
      </c>
      <c r="AG2317">
        <v>-1.126687598455</v>
      </c>
      <c r="AH2317">
        <v>22.990541086391499</v>
      </c>
      <c r="AI2317">
        <v>92.805520966593704</v>
      </c>
      <c r="AJ2317">
        <v>90.494095972938297</v>
      </c>
      <c r="AK2317">
        <v>23.0189859435187</v>
      </c>
      <c r="AL2317">
        <v>83.084852512615896</v>
      </c>
      <c r="AM2317">
        <v>89.246254893022794</v>
      </c>
      <c r="AN2317">
        <v>1.0000000548641601</v>
      </c>
    </row>
    <row r="2318" spans="1:40" x14ac:dyDescent="0.25">
      <c r="A2318" t="str">
        <f>"20190303162551064"</f>
        <v>20190303162551064</v>
      </c>
      <c r="B2318" t="str">
        <f>"1551601551054987"</f>
        <v>1551601551054987</v>
      </c>
      <c r="C2318" t="s">
        <v>40</v>
      </c>
      <c r="D2318">
        <v>5.1164940000000003</v>
      </c>
      <c r="E2318">
        <v>0.48467300000000002</v>
      </c>
      <c r="F2318" t="s">
        <v>48</v>
      </c>
      <c r="G2318">
        <v>-447.8793</v>
      </c>
      <c r="H2318" s="1">
        <v>2.6054329999999999E-6</v>
      </c>
      <c r="I2318">
        <v>215.7775</v>
      </c>
      <c r="J2318">
        <v>-472.07870000000003</v>
      </c>
      <c r="K2318">
        <v>1.1255299999999999</v>
      </c>
      <c r="L2318">
        <v>213.87039999999999</v>
      </c>
      <c r="M2318">
        <v>0.99762079999999997</v>
      </c>
      <c r="N2318">
        <v>-1.509623E-2</v>
      </c>
      <c r="O2318">
        <v>6.7267880000000002E-2</v>
      </c>
      <c r="P2318">
        <v>0.99177439999999994</v>
      </c>
      <c r="Q2318">
        <v>0.1143565</v>
      </c>
      <c r="R2318">
        <v>5.7499920000000003E-2</v>
      </c>
      <c r="S2318">
        <v>3.0237430000000001</v>
      </c>
      <c r="T2318">
        <v>-0.13928599999999999</v>
      </c>
      <c r="U2318">
        <v>0.23886109999999999</v>
      </c>
      <c r="V2318">
        <v>7.9682499999999996E-3</v>
      </c>
      <c r="W2318">
        <v>0.12943260000000001</v>
      </c>
      <c r="X2318">
        <v>0.9915562</v>
      </c>
      <c r="Y2318">
        <v>-1.1520580000000001E-2</v>
      </c>
      <c r="Z2318">
        <v>-1.7215729999999999E-3</v>
      </c>
      <c r="AA2318">
        <v>0.99993220000000005</v>
      </c>
      <c r="AB2318">
        <v>24</v>
      </c>
      <c r="AC2318">
        <v>24.199400000000001</v>
      </c>
      <c r="AD2318">
        <v>-1.1255273945669999</v>
      </c>
      <c r="AE2318">
        <v>1.90710000000001</v>
      </c>
      <c r="AF2318">
        <v>-0.27416216900560098</v>
      </c>
      <c r="AG2318">
        <v>-1.1255273945669999</v>
      </c>
      <c r="AH2318">
        <v>24.220804056895599</v>
      </c>
      <c r="AI2318">
        <v>92.660419063081804</v>
      </c>
      <c r="AJ2318">
        <v>90.648519525518296</v>
      </c>
      <c r="AK2318">
        <v>24.248491210245799</v>
      </c>
      <c r="AL2318">
        <v>82.563194276512206</v>
      </c>
      <c r="AM2318">
        <v>89.539574995645395</v>
      </c>
      <c r="AN2318">
        <v>0.99999999435463105</v>
      </c>
    </row>
    <row r="2319" spans="1:40" x14ac:dyDescent="0.25">
      <c r="A2319" t="str">
        <f>"20190303162551085"</f>
        <v>20190303162551085</v>
      </c>
      <c r="B2319" t="str">
        <f>"1551601551075483"</f>
        <v>1551601551075483</v>
      </c>
      <c r="C2319" t="s">
        <v>40</v>
      </c>
      <c r="D2319">
        <v>5.1106449999999999</v>
      </c>
      <c r="E2319">
        <v>0.48507060000000002</v>
      </c>
      <c r="F2319" t="s">
        <v>51</v>
      </c>
      <c r="G2319">
        <v>-411.9092</v>
      </c>
      <c r="H2319" s="1">
        <v>2.0960719999999998E-6</v>
      </c>
      <c r="I2319">
        <v>219.68</v>
      </c>
      <c r="J2319">
        <v>-471.86439999999999</v>
      </c>
      <c r="K2319">
        <v>1.124647</v>
      </c>
      <c r="L2319">
        <v>213.89109999999999</v>
      </c>
      <c r="M2319">
        <v>0.99727200000000005</v>
      </c>
      <c r="N2319">
        <v>-1.495903E-2</v>
      </c>
      <c r="O2319">
        <v>7.228337E-2</v>
      </c>
      <c r="P2319">
        <v>0.99034390000000005</v>
      </c>
      <c r="Q2319">
        <v>0.1201622</v>
      </c>
      <c r="R2319">
        <v>6.9139339999999994E-2</v>
      </c>
      <c r="S2319">
        <v>3.0144959999999998</v>
      </c>
      <c r="T2319">
        <v>-5.6388969999999997E-2</v>
      </c>
      <c r="U2319">
        <v>0.29106140000000003</v>
      </c>
      <c r="V2319">
        <v>1.490861E-3</v>
      </c>
      <c r="W2319">
        <v>0.13501659999999999</v>
      </c>
      <c r="X2319">
        <v>0.99084220000000001</v>
      </c>
      <c r="Y2319">
        <v>-2.389171E-2</v>
      </c>
      <c r="Z2319">
        <v>1.357273E-4</v>
      </c>
      <c r="AA2319">
        <v>0.99971460000000001</v>
      </c>
      <c r="AB2319">
        <v>24</v>
      </c>
      <c r="AC2319">
        <v>59.955199999999898</v>
      </c>
      <c r="AD2319">
        <v>-1.124644903928</v>
      </c>
      <c r="AE2319">
        <v>5.7889000000000097</v>
      </c>
      <c r="AF2319">
        <v>-1.43900331422196</v>
      </c>
      <c r="AG2319">
        <v>-1.124644903928</v>
      </c>
      <c r="AH2319">
        <v>60.195832991931297</v>
      </c>
      <c r="AI2319">
        <v>91.0700327538229</v>
      </c>
      <c r="AJ2319">
        <v>91.369415660831393</v>
      </c>
      <c r="AK2319">
        <v>60.223532495950103</v>
      </c>
      <c r="AL2319">
        <v>82.240420096930805</v>
      </c>
      <c r="AM2319">
        <v>89.913790532257593</v>
      </c>
      <c r="AN2319">
        <v>0.99999998512146004</v>
      </c>
    </row>
    <row r="2320" spans="1:40" x14ac:dyDescent="0.25">
      <c r="A2320" t="str">
        <f>"20190303162551107"</f>
        <v>20190303162551107</v>
      </c>
      <c r="B2320" t="str">
        <f>"1551601551095003"</f>
        <v>1551601551095003</v>
      </c>
      <c r="C2320" t="s">
        <v>40</v>
      </c>
      <c r="D2320">
        <v>5.1592209999999996</v>
      </c>
      <c r="E2320">
        <v>0.4858693</v>
      </c>
      <c r="F2320" t="s">
        <v>48</v>
      </c>
      <c r="G2320">
        <v>-381.09730000000002</v>
      </c>
      <c r="H2320">
        <v>7.999995E-2</v>
      </c>
      <c r="I2320">
        <v>223.54239999999999</v>
      </c>
      <c r="J2320">
        <v>-471.6241</v>
      </c>
      <c r="K2320">
        <v>1.1236889999999999</v>
      </c>
      <c r="L2320">
        <v>213.91399999999999</v>
      </c>
      <c r="M2320">
        <v>0.99697199999999997</v>
      </c>
      <c r="N2320">
        <v>-1.4812000000000001E-2</v>
      </c>
      <c r="O2320">
        <v>7.6339389999999993E-2</v>
      </c>
      <c r="P2320">
        <v>0.98949920000000002</v>
      </c>
      <c r="Q2320">
        <v>0.1205772</v>
      </c>
      <c r="R2320">
        <v>7.9702250000000002E-2</v>
      </c>
      <c r="S2320">
        <v>3.011139</v>
      </c>
      <c r="T2320">
        <v>-3.4655449999999997E-2</v>
      </c>
      <c r="U2320">
        <v>0.32017519999999999</v>
      </c>
      <c r="V2320">
        <v>-4.7560270000000003E-3</v>
      </c>
      <c r="W2320">
        <v>0.135241</v>
      </c>
      <c r="X2320">
        <v>0.9908013</v>
      </c>
      <c r="Y2320">
        <v>-2.9501800000000002E-2</v>
      </c>
      <c r="Z2320">
        <v>6.4345389999999998E-4</v>
      </c>
      <c r="AA2320">
        <v>0.99956449999999997</v>
      </c>
      <c r="AB2320">
        <v>24</v>
      </c>
      <c r="AC2320">
        <v>90.526799999999895</v>
      </c>
      <c r="AD2320">
        <v>-1.04368905</v>
      </c>
      <c r="AE2320">
        <v>9.6283999999999708</v>
      </c>
      <c r="AF2320">
        <v>-2.68842577831475</v>
      </c>
      <c r="AG2320">
        <v>-1.04368905</v>
      </c>
      <c r="AH2320">
        <v>90.9857232064237</v>
      </c>
      <c r="AI2320">
        <v>90.656919229784194</v>
      </c>
      <c r="AJ2320">
        <v>91.692470430608296</v>
      </c>
      <c r="AK2320">
        <v>91.0314162660042</v>
      </c>
      <c r="AL2320">
        <v>82.227443882117598</v>
      </c>
      <c r="AM2320">
        <v>90.275028082238094</v>
      </c>
      <c r="AN2320">
        <v>0.99999998197775697</v>
      </c>
    </row>
    <row r="2321" spans="1:40" x14ac:dyDescent="0.25">
      <c r="A2321" t="str">
        <f>"20190303162551152"</f>
        <v>20190303162551152</v>
      </c>
      <c r="B2321" t="str">
        <f>"1551601551145755"</f>
        <v>1551601551145755</v>
      </c>
      <c r="C2321" t="s">
        <v>40</v>
      </c>
      <c r="D2321">
        <v>4.9067309999999997</v>
      </c>
      <c r="E2321">
        <v>0.48739510000000003</v>
      </c>
      <c r="F2321" t="s">
        <v>44</v>
      </c>
      <c r="G2321">
        <v>-364.90089999999998</v>
      </c>
      <c r="H2321">
        <v>-0.05</v>
      </c>
      <c r="I2321">
        <v>226.1155</v>
      </c>
      <c r="J2321">
        <v>-471.14659999999998</v>
      </c>
      <c r="K2321">
        <v>1.121882</v>
      </c>
      <c r="L2321">
        <v>213.95760000000001</v>
      </c>
      <c r="M2321">
        <v>0.99668690000000004</v>
      </c>
      <c r="N2321">
        <v>-1.456664E-2</v>
      </c>
      <c r="O2321">
        <v>8.0019140000000002E-2</v>
      </c>
      <c r="P2321">
        <v>0.98931309999999995</v>
      </c>
      <c r="Q2321">
        <v>0.1143092</v>
      </c>
      <c r="R2321">
        <v>9.0514869999999997E-2</v>
      </c>
      <c r="S2321">
        <v>3.0081479999999998</v>
      </c>
      <c r="T2321">
        <v>-3.3082130000000001E-2</v>
      </c>
      <c r="U2321">
        <v>0.3439178</v>
      </c>
      <c r="V2321">
        <v>-1.128932E-2</v>
      </c>
      <c r="W2321">
        <v>0.128747</v>
      </c>
      <c r="X2321">
        <v>0.99161319999999997</v>
      </c>
      <c r="Y2321">
        <v>-3.3710610000000002E-2</v>
      </c>
      <c r="Z2321">
        <v>7.1985389999999999E-4</v>
      </c>
      <c r="AA2321">
        <v>0.99943139999999997</v>
      </c>
      <c r="AB2321">
        <v>24</v>
      </c>
      <c r="AC2321">
        <v>106.2457</v>
      </c>
      <c r="AD2321">
        <v>-1.1718819999999901</v>
      </c>
      <c r="AE2321">
        <v>12.1578999999999</v>
      </c>
      <c r="AF2321">
        <v>-3.6158795396683598</v>
      </c>
      <c r="AG2321">
        <v>-1.1718819999999901</v>
      </c>
      <c r="AH2321">
        <v>106.865067238455</v>
      </c>
      <c r="AI2321">
        <v>90.627920846812998</v>
      </c>
      <c r="AJ2321">
        <v>91.937916980309694</v>
      </c>
      <c r="AK2321">
        <v>106.93264463271601</v>
      </c>
      <c r="AL2321">
        <v>82.602807670357393</v>
      </c>
      <c r="AM2321">
        <v>90.652272928310296</v>
      </c>
      <c r="AN2321">
        <v>0.999999988584651</v>
      </c>
    </row>
    <row r="2322" spans="1:40" x14ac:dyDescent="0.25">
      <c r="A2322" t="str">
        <f>"20190303162551175"</f>
        <v>20190303162551175</v>
      </c>
      <c r="B2322" t="str">
        <f>"1551601551165275"</f>
        <v>1551601551165275</v>
      </c>
      <c r="C2322" t="s">
        <v>40</v>
      </c>
      <c r="D2322">
        <v>5.0156890000000001</v>
      </c>
      <c r="E2322">
        <v>0.49483260000000001</v>
      </c>
      <c r="F2322" t="s">
        <v>51</v>
      </c>
      <c r="G2322">
        <v>-411.96359999999999</v>
      </c>
      <c r="H2322" s="1">
        <v>1.84303E-6</v>
      </c>
      <c r="I2322">
        <v>221.17160000000001</v>
      </c>
      <c r="J2322">
        <v>-470.9042</v>
      </c>
      <c r="K2322">
        <v>1.121086</v>
      </c>
      <c r="L2322">
        <v>213.97819999999999</v>
      </c>
      <c r="M2322">
        <v>0.99668120000000004</v>
      </c>
      <c r="N2322">
        <v>-1.4472759999999999E-2</v>
      </c>
      <c r="O2322">
        <v>8.0108319999999997E-2</v>
      </c>
      <c r="P2322">
        <v>0.98959240000000004</v>
      </c>
      <c r="Q2322">
        <v>0.1129578</v>
      </c>
      <c r="R2322">
        <v>8.9150649999999998E-2</v>
      </c>
      <c r="S2322">
        <v>3.0054630000000002</v>
      </c>
      <c r="T2322">
        <v>-5.6971910000000001E-2</v>
      </c>
      <c r="U2322">
        <v>0.36634830000000002</v>
      </c>
      <c r="V2322">
        <v>-9.5675810000000003E-3</v>
      </c>
      <c r="W2322">
        <v>0.12732639999999901</v>
      </c>
      <c r="X2322">
        <v>0.99181470000000005</v>
      </c>
      <c r="Y2322">
        <v>-4.1069410000000001E-2</v>
      </c>
      <c r="Z2322">
        <v>3.3388299999999999E-4</v>
      </c>
      <c r="AA2322">
        <v>0.99915620000000005</v>
      </c>
      <c r="AB2322">
        <v>24</v>
      </c>
      <c r="AC2322">
        <v>58.940600000000003</v>
      </c>
      <c r="AD2322">
        <v>-1.1210841569700001</v>
      </c>
      <c r="AE2322">
        <v>7.19340000000002</v>
      </c>
      <c r="AF2322">
        <v>-2.4472778527371402</v>
      </c>
      <c r="AG2322">
        <v>-1.1210841569700001</v>
      </c>
      <c r="AH2322">
        <v>59.306305289532297</v>
      </c>
      <c r="AI2322">
        <v>91.082028999260203</v>
      </c>
      <c r="AJ2322">
        <v>92.362972780764096</v>
      </c>
      <c r="AK2322">
        <v>59.367363472456098</v>
      </c>
      <c r="AL2322">
        <v>82.684877444421502</v>
      </c>
      <c r="AM2322">
        <v>90.552688933295101</v>
      </c>
      <c r="AN2322">
        <v>0.99999997493962001</v>
      </c>
    </row>
    <row r="2323" spans="1:40" x14ac:dyDescent="0.25">
      <c r="A2323" t="str">
        <f>"20190303162551199"</f>
        <v>20190303162551199</v>
      </c>
      <c r="B2323" t="str">
        <f>"1551601551185771"</f>
        <v>1551601551185771</v>
      </c>
      <c r="C2323" t="s">
        <v>40</v>
      </c>
      <c r="D2323">
        <v>5.0558430000000003</v>
      </c>
      <c r="E2323">
        <v>0.49597770000000002</v>
      </c>
      <c r="F2323" t="s">
        <v>51</v>
      </c>
      <c r="G2323">
        <v>-425.68810000000002</v>
      </c>
      <c r="H2323" s="1">
        <v>2.6141320000000001E-6</v>
      </c>
      <c r="I2323">
        <v>218.52260000000001</v>
      </c>
      <c r="J2323">
        <v>-470.65570000000002</v>
      </c>
      <c r="K2323">
        <v>1.120379</v>
      </c>
      <c r="L2323">
        <v>213.99809999999999</v>
      </c>
      <c r="M2323">
        <v>0.99675689999999995</v>
      </c>
      <c r="N2323">
        <v>-1.438937E-2</v>
      </c>
      <c r="O2323">
        <v>7.9175720000000005E-2</v>
      </c>
      <c r="P2323">
        <v>0.98983429999999994</v>
      </c>
      <c r="Q2323">
        <v>0.1148516</v>
      </c>
      <c r="R2323">
        <v>8.3888270000000001E-2</v>
      </c>
      <c r="S2323">
        <v>3.0127869999999999</v>
      </c>
      <c r="T2323">
        <v>-7.4698689999999998E-2</v>
      </c>
      <c r="U2323">
        <v>0.30279539999999999</v>
      </c>
      <c r="V2323">
        <v>-5.000132E-3</v>
      </c>
      <c r="W2323">
        <v>0.1291438</v>
      </c>
      <c r="X2323">
        <v>0.99161330000000003</v>
      </c>
      <c r="Y2323">
        <v>-2.089278E-2</v>
      </c>
      <c r="Z2323">
        <v>-4.0686740000000002E-4</v>
      </c>
      <c r="AA2323">
        <v>0.9997817</v>
      </c>
      <c r="AB2323">
        <v>24</v>
      </c>
      <c r="AC2323">
        <v>44.967599999999997</v>
      </c>
      <c r="AD2323">
        <v>-1.120376385868</v>
      </c>
      <c r="AE2323">
        <v>4.5245000000000104</v>
      </c>
      <c r="AF2323">
        <v>-0.94899951775834401</v>
      </c>
      <c r="AG2323">
        <v>-1.120376385868</v>
      </c>
      <c r="AH2323">
        <v>45.156919467008798</v>
      </c>
      <c r="AI2323">
        <v>91.420945229900497</v>
      </c>
      <c r="AJ2323">
        <v>91.203927661254994</v>
      </c>
      <c r="AK2323">
        <v>45.180783736901198</v>
      </c>
      <c r="AL2323">
        <v>82.579881614166894</v>
      </c>
      <c r="AM2323">
        <v>90.288907008988204</v>
      </c>
      <c r="AN2323">
        <v>1.0000000295676701</v>
      </c>
    </row>
    <row r="2324" spans="1:40" x14ac:dyDescent="0.25">
      <c r="A2324" t="str">
        <f>"20190303162551219"</f>
        <v>20190303162551219</v>
      </c>
      <c r="B2324" t="str">
        <f>"1551601551215761"</f>
        <v>1551601551215761</v>
      </c>
      <c r="C2324" t="s">
        <v>40</v>
      </c>
      <c r="D2324">
        <v>5.1007889999999998</v>
      </c>
      <c r="E2324">
        <v>0.50561230000000001</v>
      </c>
      <c r="F2324" t="s">
        <v>51</v>
      </c>
      <c r="G2324">
        <v>-419.2756</v>
      </c>
      <c r="H2324" s="1">
        <v>3.4912230000000001E-6</v>
      </c>
      <c r="I2324">
        <v>218.73269999999999</v>
      </c>
      <c r="J2324">
        <v>-470.4332</v>
      </c>
      <c r="K2324">
        <v>1.1198650000000001</v>
      </c>
      <c r="L2324">
        <v>214.0146</v>
      </c>
      <c r="M2324">
        <v>0.99688909999999997</v>
      </c>
      <c r="N2324">
        <v>-1.432449E-2</v>
      </c>
      <c r="O2324">
        <v>7.7502950000000001E-2</v>
      </c>
      <c r="P2324">
        <v>0.98976649999999999</v>
      </c>
      <c r="Q2324">
        <v>0.1205777</v>
      </c>
      <c r="R2324">
        <v>7.631098E-2</v>
      </c>
      <c r="S2324">
        <v>3.014923</v>
      </c>
      <c r="T2324">
        <v>-6.5742250000000002E-2</v>
      </c>
      <c r="U2324">
        <v>0.27781679999999997</v>
      </c>
      <c r="V2324">
        <v>1.077688E-3</v>
      </c>
      <c r="W2324">
        <v>0.13478219999999999</v>
      </c>
      <c r="X2324">
        <v>0.99087460000000005</v>
      </c>
      <c r="Y2324">
        <v>-1.429503E-2</v>
      </c>
      <c r="Z2324">
        <v>-3.1564069999999997E-4</v>
      </c>
      <c r="AA2324">
        <v>0.99989779999999995</v>
      </c>
      <c r="AB2324">
        <v>24</v>
      </c>
      <c r="AC2324">
        <v>51.157600000000002</v>
      </c>
      <c r="AD2324">
        <v>-1.1198615087770001</v>
      </c>
      <c r="AE2324">
        <v>4.71809999999999</v>
      </c>
      <c r="AF2324">
        <v>-0.73828262056227001</v>
      </c>
      <c r="AG2324">
        <v>-1.1198615087770001</v>
      </c>
      <c r="AH2324">
        <v>51.345000253691701</v>
      </c>
      <c r="AI2324">
        <v>91.249323941465306</v>
      </c>
      <c r="AJ2324">
        <v>90.823791277973399</v>
      </c>
      <c r="AK2324">
        <v>51.362517481897797</v>
      </c>
      <c r="AL2324">
        <v>82.253973753030806</v>
      </c>
      <c r="AM2324">
        <v>89.937684395497598</v>
      </c>
      <c r="AN2324">
        <v>0.99999993788671004</v>
      </c>
    </row>
    <row r="2325" spans="1:40" x14ac:dyDescent="0.25">
      <c r="A2325" t="str">
        <f>"20190303162551242"</f>
        <v>20190303162551242</v>
      </c>
      <c r="B2325" t="str">
        <f>"1551601551235281"</f>
        <v>1551601551235281</v>
      </c>
      <c r="C2325" t="s">
        <v>40</v>
      </c>
      <c r="D2325">
        <v>5.1086559999999999</v>
      </c>
      <c r="E2325">
        <v>0.50546409999999997</v>
      </c>
      <c r="F2325" t="s">
        <v>48</v>
      </c>
      <c r="G2325">
        <v>-343.5634</v>
      </c>
      <c r="H2325">
        <v>8.0001059999999999E-2</v>
      </c>
      <c r="I2325">
        <v>221.548</v>
      </c>
      <c r="J2325">
        <v>-470.19650000000001</v>
      </c>
      <c r="K2325">
        <v>1.1194710000000001</v>
      </c>
      <c r="L2325">
        <v>214.03100000000001</v>
      </c>
      <c r="M2325">
        <v>0.99707179999999995</v>
      </c>
      <c r="N2325">
        <v>-1.4265949999999999E-2</v>
      </c>
      <c r="O2325">
        <v>7.5129249999999995E-2</v>
      </c>
      <c r="P2325">
        <v>0.98952010000000001</v>
      </c>
      <c r="Q2325">
        <v>0.1278261</v>
      </c>
      <c r="R2325">
        <v>6.7160139999999993E-2</v>
      </c>
      <c r="S2325">
        <v>3.020203</v>
      </c>
      <c r="T2325">
        <v>-2.4754519999999999E-2</v>
      </c>
      <c r="U2325">
        <v>0.17933650000000001</v>
      </c>
      <c r="V2325">
        <v>8.0042629999999993E-3</v>
      </c>
      <c r="W2325">
        <v>0.14192779999999999</v>
      </c>
      <c r="X2325">
        <v>0.98984459999999996</v>
      </c>
      <c r="Y2325">
        <v>1.58949E-2</v>
      </c>
      <c r="Z2325">
        <v>2.792483E-4</v>
      </c>
      <c r="AA2325">
        <v>0.99987360000000003</v>
      </c>
      <c r="AB2325">
        <v>24</v>
      </c>
      <c r="AC2325">
        <v>126.6331</v>
      </c>
      <c r="AD2325">
        <v>-1.03946993999999</v>
      </c>
      <c r="AE2325">
        <v>7.5170000000000199</v>
      </c>
      <c r="AF2325">
        <v>2.01893092132332</v>
      </c>
      <c r="AG2325">
        <v>-1.03946993999999</v>
      </c>
      <c r="AH2325">
        <v>126.831425304051</v>
      </c>
      <c r="AI2325">
        <v>90.469507957306604</v>
      </c>
      <c r="AJ2325">
        <v>89.088030023035103</v>
      </c>
      <c r="AK2325">
        <v>126.851752153758</v>
      </c>
      <c r="AL2325">
        <v>81.840584478407195</v>
      </c>
      <c r="AM2325">
        <v>89.5366944545775</v>
      </c>
      <c r="AN2325">
        <v>0.99999995039408496</v>
      </c>
    </row>
    <row r="2326" spans="1:40" x14ac:dyDescent="0.25">
      <c r="A2326" t="str">
        <f>"20190303162551264"</f>
        <v>20190303162551264</v>
      </c>
      <c r="B2326" t="str">
        <f>"1551601551255777"</f>
        <v>1551601551255777</v>
      </c>
      <c r="C2326" t="s">
        <v>40</v>
      </c>
      <c r="D2326">
        <v>4.6592630000000002</v>
      </c>
      <c r="E2326">
        <v>0.50581379999999998</v>
      </c>
      <c r="F2326" t="s">
        <v>56</v>
      </c>
      <c r="G2326">
        <v>-157.25</v>
      </c>
      <c r="H2326">
        <v>1.1800569999999999</v>
      </c>
      <c r="I2326">
        <v>230.08179999999999</v>
      </c>
      <c r="J2326">
        <v>-469.95429999999999</v>
      </c>
      <c r="K2326">
        <v>1.1192</v>
      </c>
      <c r="L2326">
        <v>214.04640000000001</v>
      </c>
      <c r="M2326">
        <v>0.99728260000000002</v>
      </c>
      <c r="N2326">
        <v>-1.4212570000000001E-2</v>
      </c>
      <c r="O2326">
        <v>7.2285740000000001E-2</v>
      </c>
      <c r="P2326">
        <v>0.98925469999999904</v>
      </c>
      <c r="Q2326">
        <v>0.13468820000000001</v>
      </c>
      <c r="R2326">
        <v>5.686857E-2</v>
      </c>
      <c r="S2326">
        <v>3.0211489999999999</v>
      </c>
      <c r="T2326">
        <v>5.854368E-4</v>
      </c>
      <c r="U2326">
        <v>0.15495300000000001</v>
      </c>
      <c r="V2326">
        <v>1.556753E-2</v>
      </c>
      <c r="W2326">
        <v>0.14867749999999999</v>
      </c>
      <c r="X2326">
        <v>0.98876319999999995</v>
      </c>
      <c r="Y2326">
        <v>2.1102610000000001E-2</v>
      </c>
      <c r="Z2326">
        <v>8.9385069999999998E-4</v>
      </c>
      <c r="AA2326">
        <v>0.99977689999999997</v>
      </c>
      <c r="AB2326">
        <v>24</v>
      </c>
      <c r="AC2326">
        <v>312.70429999999999</v>
      </c>
      <c r="AD2326">
        <v>6.0856999999999897E-2</v>
      </c>
      <c r="AE2326">
        <v>16.0353999999999</v>
      </c>
      <c r="AF2326">
        <v>6.6129046300814496</v>
      </c>
      <c r="AG2326">
        <v>6.0856999999999897E-2</v>
      </c>
      <c r="AH2326">
        <v>313.04532479635401</v>
      </c>
      <c r="AI2326">
        <v>89.988864004010097</v>
      </c>
      <c r="AJ2326">
        <v>88.789839196922998</v>
      </c>
      <c r="AK2326">
        <v>313.11516984661699</v>
      </c>
      <c r="AL2326">
        <v>81.449706526008399</v>
      </c>
      <c r="AM2326">
        <v>89.097984152351401</v>
      </c>
      <c r="AN2326">
        <v>1.00000000633539</v>
      </c>
    </row>
    <row r="2327" spans="1:40" x14ac:dyDescent="0.25">
      <c r="A2327" t="str">
        <f>"20190303162551287"</f>
        <v>20190303162551287</v>
      </c>
      <c r="B2327" t="str">
        <f>"1551601551275297"</f>
        <v>1551601551275297</v>
      </c>
      <c r="C2327" t="s">
        <v>40</v>
      </c>
      <c r="D2327">
        <v>5.1251280000000001</v>
      </c>
      <c r="E2327">
        <v>0.50638689999999997</v>
      </c>
      <c r="F2327" t="s">
        <v>56</v>
      </c>
      <c r="G2327">
        <v>-157.25</v>
      </c>
      <c r="H2327">
        <v>3.0252720000000002</v>
      </c>
      <c r="I2327">
        <v>226.6909</v>
      </c>
      <c r="J2327">
        <v>-469.7029</v>
      </c>
      <c r="K2327">
        <v>1.119059</v>
      </c>
      <c r="L2327">
        <v>214.06120000000001</v>
      </c>
      <c r="M2327">
        <v>0.99751160000000005</v>
      </c>
      <c r="N2327">
        <v>-1.4160549999999999E-2</v>
      </c>
      <c r="O2327">
        <v>6.9066199999999994E-2</v>
      </c>
      <c r="P2327">
        <v>0.9893054</v>
      </c>
      <c r="Q2327">
        <v>0.13838490000000001</v>
      </c>
      <c r="R2327">
        <v>4.6092800000000003E-2</v>
      </c>
      <c r="S2327">
        <v>3.0230100000000002</v>
      </c>
      <c r="T2327">
        <v>1.842713E-2</v>
      </c>
      <c r="U2327">
        <v>0.12223820000000001</v>
      </c>
      <c r="V2327">
        <v>2.3208570000000001E-2</v>
      </c>
      <c r="W2327">
        <v>0.1522635</v>
      </c>
      <c r="X2327">
        <v>0.98806740000000004</v>
      </c>
      <c r="Y2327">
        <v>2.8696889999999999E-2</v>
      </c>
      <c r="Z2327">
        <v>1.2831419999999999E-3</v>
      </c>
      <c r="AA2327">
        <v>0.99958740000000001</v>
      </c>
      <c r="AB2327">
        <v>24</v>
      </c>
      <c r="AC2327">
        <v>312.4529</v>
      </c>
      <c r="AD2327">
        <v>1.9062129999999999</v>
      </c>
      <c r="AE2327">
        <v>12.6296999999999</v>
      </c>
      <c r="AF2327">
        <v>8.9822288590528796</v>
      </c>
      <c r="AG2327">
        <v>1.9062129999999999</v>
      </c>
      <c r="AH2327">
        <v>312.56739547539098</v>
      </c>
      <c r="AI2327">
        <v>89.650726402684697</v>
      </c>
      <c r="AJ2327">
        <v>88.353947930587907</v>
      </c>
      <c r="AK2327">
        <v>312.70223983455401</v>
      </c>
      <c r="AL2327">
        <v>81.241877439783494</v>
      </c>
      <c r="AM2327">
        <v>88.654435277148806</v>
      </c>
      <c r="AN2327">
        <v>0.99999999904822701</v>
      </c>
    </row>
    <row r="2328" spans="1:40" x14ac:dyDescent="0.25">
      <c r="A2328" t="str">
        <f>"20190303162551313"</f>
        <v>20190303162551313</v>
      </c>
      <c r="B2328" t="str">
        <f>"1551601551305552"</f>
        <v>1551601551305552</v>
      </c>
      <c r="C2328" t="s">
        <v>40</v>
      </c>
      <c r="D2328">
        <v>5.3030739999999996</v>
      </c>
      <c r="E2328">
        <v>0.50638950000000005</v>
      </c>
      <c r="F2328" t="s">
        <v>56</v>
      </c>
      <c r="G2328">
        <v>-168.35059999999999</v>
      </c>
      <c r="H2328">
        <v>3.4914149999999999</v>
      </c>
      <c r="I2328">
        <v>222.56270000000001</v>
      </c>
      <c r="J2328">
        <v>-469.43990000000002</v>
      </c>
      <c r="K2328">
        <v>1.1190260000000001</v>
      </c>
      <c r="L2328">
        <v>214.07550000000001</v>
      </c>
      <c r="M2328">
        <v>0.99775000000000003</v>
      </c>
      <c r="N2328">
        <v>-1.411157E-2</v>
      </c>
      <c r="O2328">
        <v>6.5542370000000003E-2</v>
      </c>
      <c r="P2328">
        <v>0.98931659999999999</v>
      </c>
      <c r="Q2328">
        <v>0.14085839999999999</v>
      </c>
      <c r="R2328">
        <v>3.757535E-2</v>
      </c>
      <c r="S2328">
        <v>3.0251160000000001</v>
      </c>
      <c r="T2328">
        <v>2.3815389999999999E-2</v>
      </c>
      <c r="U2328">
        <v>8.5342409999999994E-2</v>
      </c>
      <c r="V2328">
        <v>2.824904E-2</v>
      </c>
      <c r="W2328">
        <v>0.15464910000000001</v>
      </c>
      <c r="X2328">
        <v>0.98756549999999999</v>
      </c>
      <c r="Y2328">
        <v>3.7368499999999999E-2</v>
      </c>
      <c r="Z2328">
        <v>1.3242529999999901E-3</v>
      </c>
      <c r="AA2328">
        <v>0.99930070000000004</v>
      </c>
      <c r="AB2328">
        <v>24</v>
      </c>
      <c r="AC2328">
        <v>301.08929999999998</v>
      </c>
      <c r="AD2328">
        <v>2.3723890000000001</v>
      </c>
      <c r="AE2328">
        <v>8.4871999999999996</v>
      </c>
      <c r="AF2328">
        <v>11.2664254884433</v>
      </c>
      <c r="AG2328">
        <v>2.3723890000000001</v>
      </c>
      <c r="AH2328">
        <v>300.97942019889302</v>
      </c>
      <c r="AI2328">
        <v>89.548706894500896</v>
      </c>
      <c r="AJ2328">
        <v>87.856274079329594</v>
      </c>
      <c r="AK2328">
        <v>301.19955503970499</v>
      </c>
      <c r="AL2328">
        <v>81.103554084367502</v>
      </c>
      <c r="AM2328">
        <v>88.361516745177298</v>
      </c>
      <c r="AN2328">
        <v>0.99999998459099004</v>
      </c>
    </row>
    <row r="2329" spans="1:40" x14ac:dyDescent="0.25">
      <c r="A2329" t="str">
        <f>"20190303162551355"</f>
        <v>20190303162551355</v>
      </c>
      <c r="B2329" t="str">
        <f>"1551601551345568"</f>
        <v>1551601551345568</v>
      </c>
      <c r="C2329" t="s">
        <v>40</v>
      </c>
      <c r="D2329">
        <v>5.4214019999999996</v>
      </c>
      <c r="E2329">
        <v>0.50391339999999996</v>
      </c>
      <c r="F2329" t="s">
        <v>56</v>
      </c>
      <c r="G2329">
        <v>-157.8382</v>
      </c>
      <c r="H2329">
        <v>3.7856510000000001</v>
      </c>
      <c r="I2329">
        <v>220.1711</v>
      </c>
      <c r="J2329">
        <v>-468.99270000000001</v>
      </c>
      <c r="K2329">
        <v>1.1190450000000001</v>
      </c>
      <c r="L2329">
        <v>214.09739999999999</v>
      </c>
      <c r="M2329">
        <v>0.99813879999999999</v>
      </c>
      <c r="N2329">
        <v>-1.404797E-2</v>
      </c>
      <c r="O2329">
        <v>5.9341640000000001E-2</v>
      </c>
      <c r="P2329">
        <v>0.98881850000000004</v>
      </c>
      <c r="Q2329">
        <v>0.14648029999999901</v>
      </c>
      <c r="R2329">
        <v>2.7954280000000001E-2</v>
      </c>
      <c r="S2329">
        <v>3.026459</v>
      </c>
      <c r="T2329">
        <v>2.5900360000000001E-2</v>
      </c>
      <c r="U2329">
        <v>5.9204100000000003E-2</v>
      </c>
      <c r="V2329">
        <v>3.1706100000000001E-2</v>
      </c>
      <c r="W2329">
        <v>0.16017509999999999</v>
      </c>
      <c r="X2329">
        <v>0.98657930000000005</v>
      </c>
      <c r="Y2329">
        <v>3.979796E-2</v>
      </c>
      <c r="Z2329">
        <v>1.2322259999999999E-3</v>
      </c>
      <c r="AA2329">
        <v>0.99920699999999996</v>
      </c>
      <c r="AB2329">
        <v>24</v>
      </c>
      <c r="AC2329">
        <v>311.15449999999998</v>
      </c>
      <c r="AD2329">
        <v>2.6666059999999998</v>
      </c>
      <c r="AE2329">
        <v>6.0736999999999997</v>
      </c>
      <c r="AF2329">
        <v>12.402337060719001</v>
      </c>
      <c r="AG2329">
        <v>2.6666059999999998</v>
      </c>
      <c r="AH2329">
        <v>310.943684174917</v>
      </c>
      <c r="AI2329">
        <v>89.5090424655032</v>
      </c>
      <c r="AJ2329">
        <v>87.7159044145303</v>
      </c>
      <c r="AK2329">
        <v>311.20235134136999</v>
      </c>
      <c r="AL2329">
        <v>80.782940460157803</v>
      </c>
      <c r="AM2329">
        <v>88.159295770136794</v>
      </c>
      <c r="AN2329">
        <v>1.00000002731285</v>
      </c>
    </row>
    <row r="2330" spans="1:40" x14ac:dyDescent="0.25">
      <c r="A2330" t="str">
        <f>"20190303162551376"</f>
        <v>20190303162551376</v>
      </c>
      <c r="B2330" t="str">
        <f>"1551601551365089"</f>
        <v>1551601551365089</v>
      </c>
      <c r="C2330" t="s">
        <v>40</v>
      </c>
      <c r="D2330">
        <v>5.4139989999999996</v>
      </c>
      <c r="E2330">
        <v>0.50409329999999997</v>
      </c>
      <c r="F2330" t="s">
        <v>51</v>
      </c>
      <c r="G2330">
        <v>-437.15440000000001</v>
      </c>
      <c r="H2330" s="1">
        <v>5.3929569999999997E-6</v>
      </c>
      <c r="I2330">
        <v>214.57859999999999</v>
      </c>
      <c r="J2330">
        <v>-468.76089999999999</v>
      </c>
      <c r="K2330">
        <v>1.1190230000000001</v>
      </c>
      <c r="L2330">
        <v>214.10740000000001</v>
      </c>
      <c r="M2330">
        <v>0.99832860000000001</v>
      </c>
      <c r="N2330">
        <v>-1.402338E-2</v>
      </c>
      <c r="O2330">
        <v>5.6066560000000001E-2</v>
      </c>
      <c r="P2330">
        <v>0.98948049999999999</v>
      </c>
      <c r="Q2330">
        <v>0.142624</v>
      </c>
      <c r="R2330">
        <v>2.4223560000000002E-2</v>
      </c>
      <c r="S2330">
        <v>3.048492</v>
      </c>
      <c r="T2330">
        <v>-0.1071472</v>
      </c>
      <c r="U2330">
        <v>4.6081539999999997E-2</v>
      </c>
      <c r="V2330">
        <v>3.220452E-2</v>
      </c>
      <c r="W2330">
        <v>0.15629870000000001</v>
      </c>
      <c r="X2330">
        <v>0.98718459999999997</v>
      </c>
      <c r="Y2330">
        <v>4.0927190000000002E-2</v>
      </c>
      <c r="Z2330">
        <v>-2.1885239999999999E-3</v>
      </c>
      <c r="AA2330">
        <v>0.99915980000000004</v>
      </c>
      <c r="AB2330">
        <v>24</v>
      </c>
      <c r="AC2330">
        <v>31.606499999999901</v>
      </c>
      <c r="AD2330">
        <v>-1.11901760704299</v>
      </c>
      <c r="AE2330">
        <v>0.47119999999998102</v>
      </c>
      <c r="AF2330">
        <v>1.30015386127711</v>
      </c>
      <c r="AG2330">
        <v>-1.11901760704299</v>
      </c>
      <c r="AH2330">
        <v>31.5436645109666</v>
      </c>
      <c r="AI2330">
        <v>92.030004655930199</v>
      </c>
      <c r="AJ2330">
        <v>87.639741997233401</v>
      </c>
      <c r="AK2330">
        <v>31.590273364570301</v>
      </c>
      <c r="AL2330">
        <v>81.007874957779705</v>
      </c>
      <c r="AM2330">
        <v>88.131525829759099</v>
      </c>
      <c r="AN2330">
        <v>0.99999992460363696</v>
      </c>
    </row>
    <row r="2331" spans="1:40" x14ac:dyDescent="0.25">
      <c r="A2331" t="str">
        <f>"20190303162551422"</f>
        <v>20190303162551422</v>
      </c>
      <c r="B2331" t="str">
        <f>"1551601551415386"</f>
        <v>1551601551415386</v>
      </c>
      <c r="C2331" t="s">
        <v>40</v>
      </c>
      <c r="D2331">
        <v>5.3562349999999999</v>
      </c>
      <c r="E2331">
        <v>0.50378199999999995</v>
      </c>
      <c r="F2331" t="s">
        <v>48</v>
      </c>
      <c r="G2331">
        <v>-443.12580000000003</v>
      </c>
      <c r="H2331" s="1">
        <v>1.3748569999999999E-7</v>
      </c>
      <c r="I2331">
        <v>214.36709999999999</v>
      </c>
      <c r="J2331">
        <v>-468.2817</v>
      </c>
      <c r="K2331">
        <v>1.1188480000000001</v>
      </c>
      <c r="L2331">
        <v>214.12520000000001</v>
      </c>
      <c r="M2331">
        <v>0.9987028</v>
      </c>
      <c r="N2331">
        <v>-1.398629E-2</v>
      </c>
      <c r="O2331">
        <v>4.8963199999999901E-2</v>
      </c>
      <c r="P2331">
        <v>0.99071529999999997</v>
      </c>
      <c r="Q2331">
        <v>0.13378409999999999</v>
      </c>
      <c r="R2331">
        <v>2.4185640000000001E-2</v>
      </c>
      <c r="S2331">
        <v>3.0503230000000001</v>
      </c>
      <c r="T2331">
        <v>-0.13315260000000001</v>
      </c>
      <c r="U2331">
        <v>3.0899050000000001E-2</v>
      </c>
      <c r="V2331">
        <v>2.5255039999999999E-2</v>
      </c>
      <c r="W2331">
        <v>0.14747639999999901</v>
      </c>
      <c r="X2331">
        <v>0.98874309999999999</v>
      </c>
      <c r="Y2331">
        <v>3.8778119999999999E-2</v>
      </c>
      <c r="Z2331">
        <v>-2.5679560000000001E-3</v>
      </c>
      <c r="AA2331">
        <v>0.99924460000000004</v>
      </c>
      <c r="AB2331">
        <v>24</v>
      </c>
      <c r="AC2331">
        <v>25.1558999999999</v>
      </c>
      <c r="AD2331">
        <v>-1.1188478625142999</v>
      </c>
      <c r="AE2331">
        <v>0.24189999999998599</v>
      </c>
      <c r="AF2331">
        <v>0.98826908884503495</v>
      </c>
      <c r="AG2331">
        <v>-1.1188478625142999</v>
      </c>
      <c r="AH2331">
        <v>25.087943563393701</v>
      </c>
      <c r="AI2331">
        <v>92.551553506681401</v>
      </c>
      <c r="AJ2331">
        <v>87.744160001541601</v>
      </c>
      <c r="AK2331">
        <v>25.132318010311899</v>
      </c>
      <c r="AL2331">
        <v>81.519291653587203</v>
      </c>
      <c r="AM2331">
        <v>88.5368366771024</v>
      </c>
      <c r="AN2331">
        <v>1.0000000116999801</v>
      </c>
    </row>
    <row r="2332" spans="1:40" x14ac:dyDescent="0.25">
      <c r="A2332" t="str">
        <f>"20190303162551443"</f>
        <v>20190303162551443</v>
      </c>
      <c r="B2332" t="str">
        <f>"1551601551434906"</f>
        <v>1551601551434906</v>
      </c>
      <c r="C2332" t="s">
        <v>40</v>
      </c>
      <c r="D2332">
        <v>5.4748760000000001</v>
      </c>
      <c r="E2332">
        <v>0.50384180000000001</v>
      </c>
      <c r="F2332" t="s">
        <v>48</v>
      </c>
      <c r="G2332">
        <v>-449.02460000000002</v>
      </c>
      <c r="H2332" s="1">
        <v>3.2788810000000002E-6</v>
      </c>
      <c r="I2332">
        <v>214.31319999999999</v>
      </c>
      <c r="J2332">
        <v>-468.04660000000001</v>
      </c>
      <c r="K2332">
        <v>1.118765</v>
      </c>
      <c r="L2332">
        <v>214.13229999999999</v>
      </c>
      <c r="M2332">
        <v>0.99887729999999997</v>
      </c>
      <c r="N2332">
        <v>-1.3974769999999999E-2</v>
      </c>
      <c r="O2332">
        <v>4.5265E-2</v>
      </c>
      <c r="P2332">
        <v>0.99070100000000005</v>
      </c>
      <c r="Q2332">
        <v>0.13384509999999999</v>
      </c>
      <c r="R2332">
        <v>2.4433139999999999E-2</v>
      </c>
      <c r="S2332">
        <v>3.0513309999999998</v>
      </c>
      <c r="T2332">
        <v>-0.1772832</v>
      </c>
      <c r="U2332">
        <v>2.9785160000000001E-2</v>
      </c>
      <c r="V2332">
        <v>2.136538E-2</v>
      </c>
      <c r="W2332">
        <v>0.14754719999999999</v>
      </c>
      <c r="X2332">
        <v>0.98882420000000004</v>
      </c>
      <c r="Y2332">
        <v>3.5398329999999999E-2</v>
      </c>
      <c r="Z2332">
        <v>-3.269489E-3</v>
      </c>
      <c r="AA2332">
        <v>0.99936800000000003</v>
      </c>
      <c r="AB2332">
        <v>24</v>
      </c>
      <c r="AC2332">
        <v>19.021999999999899</v>
      </c>
      <c r="AD2332">
        <v>-1.118761721119</v>
      </c>
      <c r="AE2332">
        <v>0.180900000000008</v>
      </c>
      <c r="AF2332">
        <v>0.67805509652581097</v>
      </c>
      <c r="AG2332">
        <v>-1.118761721119</v>
      </c>
      <c r="AH2332">
        <v>18.945160918214501</v>
      </c>
      <c r="AI2332">
        <v>93.377384718257701</v>
      </c>
      <c r="AJ2332">
        <v>87.950235419193504</v>
      </c>
      <c r="AK2332">
        <v>18.990274055937402</v>
      </c>
      <c r="AL2332">
        <v>81.515189948484107</v>
      </c>
      <c r="AM2332">
        <v>88.762211063404294</v>
      </c>
      <c r="AN2332">
        <v>0.99999997709801203</v>
      </c>
    </row>
    <row r="2333" spans="1:40" x14ac:dyDescent="0.25">
      <c r="A2333" t="str">
        <f>"20190303162551466"</f>
        <v>20190303162551466</v>
      </c>
      <c r="B2333" t="str">
        <f>"1551601551455403"</f>
        <v>1551601551455403</v>
      </c>
      <c r="C2333" t="s">
        <v>40</v>
      </c>
      <c r="D2333">
        <v>5.4200239999999997</v>
      </c>
      <c r="E2333">
        <v>0.50372929999999905</v>
      </c>
      <c r="F2333" t="s">
        <v>48</v>
      </c>
      <c r="G2333">
        <v>-449.10599999999999</v>
      </c>
      <c r="H2333" s="1">
        <v>3.3215439999999998E-6</v>
      </c>
      <c r="I2333">
        <v>214.32830000000001</v>
      </c>
      <c r="J2333">
        <v>-467.81760000000003</v>
      </c>
      <c r="K2333">
        <v>1.1187199999999999</v>
      </c>
      <c r="L2333">
        <v>214.13829999999999</v>
      </c>
      <c r="M2333">
        <v>0.99903920000000002</v>
      </c>
      <c r="N2333">
        <v>-1.396524E-2</v>
      </c>
      <c r="O2333">
        <v>4.1541370000000001E-2</v>
      </c>
      <c r="P2333">
        <v>0.9906433</v>
      </c>
      <c r="Q2333">
        <v>0.1345739</v>
      </c>
      <c r="R2333">
        <v>2.271215E-2</v>
      </c>
      <c r="S2333">
        <v>3.051666</v>
      </c>
      <c r="T2333">
        <v>-0.18025169999999999</v>
      </c>
      <c r="U2333">
        <v>3.1570429999999997E-2</v>
      </c>
      <c r="V2333">
        <v>1.9412249999999999E-2</v>
      </c>
      <c r="W2333">
        <v>0.14827570000000001</v>
      </c>
      <c r="X2333">
        <v>0.98875550000000001</v>
      </c>
      <c r="Y2333">
        <v>3.1098190000000001E-2</v>
      </c>
      <c r="Z2333">
        <v>-3.005934E-3</v>
      </c>
      <c r="AA2333">
        <v>0.99951179999999995</v>
      </c>
      <c r="AB2333">
        <v>24</v>
      </c>
      <c r="AC2333">
        <v>18.711600000000001</v>
      </c>
      <c r="AD2333">
        <v>-1.1187166784559901</v>
      </c>
      <c r="AE2333">
        <v>0.19000000000002601</v>
      </c>
      <c r="AF2333">
        <v>0.58545283661205205</v>
      </c>
      <c r="AG2333">
        <v>-1.1187166784559901</v>
      </c>
      <c r="AH2333">
        <v>18.636727752411499</v>
      </c>
      <c r="AI2333">
        <v>93.433512201562607</v>
      </c>
      <c r="AJ2333">
        <v>88.200706181172094</v>
      </c>
      <c r="AK2333">
        <v>18.679451366355899</v>
      </c>
      <c r="AL2333">
        <v>81.472985764552504</v>
      </c>
      <c r="AM2333">
        <v>88.875255689947394</v>
      </c>
      <c r="AN2333">
        <v>0.99999997872040103</v>
      </c>
    </row>
    <row r="2334" spans="1:40" x14ac:dyDescent="0.25">
      <c r="A2334" t="str">
        <f>"20190303162551489"</f>
        <v>20190303162551489</v>
      </c>
      <c r="B2334" t="str">
        <f>"1551601551475898"</f>
        <v>1551601551475898</v>
      </c>
      <c r="C2334" t="s">
        <v>40</v>
      </c>
      <c r="D2334">
        <v>5.4179649999999997</v>
      </c>
      <c r="E2334">
        <v>0.50381509999999996</v>
      </c>
      <c r="F2334" t="s">
        <v>48</v>
      </c>
      <c r="G2334">
        <v>-448.78089999999997</v>
      </c>
      <c r="H2334" s="1">
        <v>3.1484869999999999E-6</v>
      </c>
      <c r="I2334">
        <v>214.33029999999999</v>
      </c>
      <c r="J2334">
        <v>-467.57</v>
      </c>
      <c r="K2334">
        <v>1.118709</v>
      </c>
      <c r="L2334">
        <v>214.14359999999999</v>
      </c>
      <c r="M2334">
        <v>0.99920310000000001</v>
      </c>
      <c r="N2334">
        <v>-1.3955240000000001E-2</v>
      </c>
      <c r="O2334">
        <v>3.7398929999999997E-2</v>
      </c>
      <c r="P2334">
        <v>0.99053199999999997</v>
      </c>
      <c r="Q2334">
        <v>0.13589660000000001</v>
      </c>
      <c r="R2334">
        <v>1.946755E-2</v>
      </c>
      <c r="S2334">
        <v>3.0520019999999999</v>
      </c>
      <c r="T2334">
        <v>-0.1793556</v>
      </c>
      <c r="U2334">
        <v>3.0792239999999999E-2</v>
      </c>
      <c r="V2334">
        <v>1.8560699999999999E-2</v>
      </c>
      <c r="W2334">
        <v>0.14959040000000001</v>
      </c>
      <c r="X2334">
        <v>0.98857379999999995</v>
      </c>
      <c r="Y2334">
        <v>2.7223440000000002E-2</v>
      </c>
      <c r="Z2334">
        <v>-2.663047E-3</v>
      </c>
      <c r="AA2334">
        <v>0.99962580000000001</v>
      </c>
      <c r="AB2334">
        <v>23</v>
      </c>
      <c r="AC2334">
        <v>18.789100000000001</v>
      </c>
      <c r="AD2334">
        <v>-1.1187058515129999</v>
      </c>
      <c r="AE2334">
        <v>0.186700000000001</v>
      </c>
      <c r="AF2334">
        <v>0.51436794549354103</v>
      </c>
      <c r="AG2334">
        <v>-1.1187058515129999</v>
      </c>
      <c r="AH2334">
        <v>18.716591614382601</v>
      </c>
      <c r="AI2334">
        <v>93.419257799912202</v>
      </c>
      <c r="AJ2334">
        <v>88.425797979241693</v>
      </c>
      <c r="AK2334">
        <v>18.7570487770634</v>
      </c>
      <c r="AL2334">
        <v>81.396809370206</v>
      </c>
      <c r="AM2334">
        <v>88.924384964879707</v>
      </c>
      <c r="AN2334">
        <v>0.99999997270154395</v>
      </c>
    </row>
    <row r="2335" spans="1:40" x14ac:dyDescent="0.25">
      <c r="A2335" t="str">
        <f>"20190303162551536"</f>
        <v>20190303162551536</v>
      </c>
      <c r="B2335" t="str">
        <f>"1551601551525605"</f>
        <v>1551601551525605</v>
      </c>
      <c r="C2335" t="s">
        <v>40</v>
      </c>
      <c r="D2335">
        <v>5.4126130000000003</v>
      </c>
      <c r="E2335">
        <v>0.50413699999999995</v>
      </c>
      <c r="F2335" t="s">
        <v>48</v>
      </c>
      <c r="G2335">
        <v>-448.23790000000002</v>
      </c>
      <c r="H2335" s="1">
        <v>2.8610159999999998E-6</v>
      </c>
      <c r="I2335">
        <v>214.2963</v>
      </c>
      <c r="J2335">
        <v>-467.08080000000001</v>
      </c>
      <c r="K2335">
        <v>1.1188049999999901</v>
      </c>
      <c r="L2335">
        <v>214.15119999999999</v>
      </c>
      <c r="M2335">
        <v>0.99947909999999995</v>
      </c>
      <c r="N2335">
        <v>-1.39352E-2</v>
      </c>
      <c r="O2335">
        <v>2.911424E-2</v>
      </c>
      <c r="P2335">
        <v>0.99005259999999995</v>
      </c>
      <c r="Q2335">
        <v>0.14017279999999999</v>
      </c>
      <c r="R2335">
        <v>1.2161089999999999E-2</v>
      </c>
      <c r="S2335">
        <v>3.0524290000000001</v>
      </c>
      <c r="T2335">
        <v>-0.1766375</v>
      </c>
      <c r="U2335">
        <v>2.4108890000000001E-2</v>
      </c>
      <c r="V2335">
        <v>1.764191E-2</v>
      </c>
      <c r="W2335">
        <v>0.15384679999999901</v>
      </c>
      <c r="X2335">
        <v>0.98793719999999996</v>
      </c>
      <c r="Y2335">
        <v>2.114953E-2</v>
      </c>
      <c r="Z2335">
        <v>-2.0365359999999998E-3</v>
      </c>
      <c r="AA2335">
        <v>0.9997743</v>
      </c>
      <c r="AB2335">
        <v>23</v>
      </c>
      <c r="AC2335">
        <v>18.842899999999901</v>
      </c>
      <c r="AD2335">
        <v>-1.1188021389839899</v>
      </c>
      <c r="AE2335">
        <v>0.145100000000013</v>
      </c>
      <c r="AF2335">
        <v>0.40219360738071402</v>
      </c>
      <c r="AG2335">
        <v>-1.1188021389839899</v>
      </c>
      <c r="AH2335">
        <v>18.772956987141999</v>
      </c>
      <c r="AI2335">
        <v>93.409812096410704</v>
      </c>
      <c r="AJ2335">
        <v>88.772677550596399</v>
      </c>
      <c r="AK2335">
        <v>18.810565966102601</v>
      </c>
      <c r="AL2335">
        <v>81.150079371182201</v>
      </c>
      <c r="AM2335">
        <v>88.976959706790495</v>
      </c>
      <c r="AN2335">
        <v>0.99999999300126396</v>
      </c>
    </row>
    <row r="2336" spans="1:40" x14ac:dyDescent="0.25">
      <c r="A2336" t="str">
        <f>"20190303162551578"</f>
        <v>20190303162551578</v>
      </c>
      <c r="B2336" t="str">
        <f>"1551601551565618"</f>
        <v>1551601551565618</v>
      </c>
      <c r="C2336" t="s">
        <v>40</v>
      </c>
      <c r="D2336">
        <v>5.4718619999999998</v>
      </c>
      <c r="E2336">
        <v>0.50436239999999999</v>
      </c>
      <c r="F2336" t="s">
        <v>48</v>
      </c>
      <c r="G2336">
        <v>-446.42649999999998</v>
      </c>
      <c r="H2336" s="1">
        <v>1.9026340000000001E-6</v>
      </c>
      <c r="I2336">
        <v>214.1694</v>
      </c>
      <c r="J2336">
        <v>-466.63589999999999</v>
      </c>
      <c r="K2336">
        <v>1.11903</v>
      </c>
      <c r="L2336">
        <v>214.155</v>
      </c>
      <c r="M2336">
        <v>0.99966370000000004</v>
      </c>
      <c r="N2336">
        <v>-1.3913119999999999E-2</v>
      </c>
      <c r="O2336">
        <v>2.1893019999999999E-2</v>
      </c>
      <c r="P2336">
        <v>0.98935280000000003</v>
      </c>
      <c r="Q2336">
        <v>0.14536299999999999</v>
      </c>
      <c r="R2336">
        <v>7.1560620000000004E-3</v>
      </c>
      <c r="S2336">
        <v>3.0534970000000001</v>
      </c>
      <c r="T2336">
        <v>-0.16540250000000001</v>
      </c>
      <c r="U2336">
        <v>2.6855469999999999E-3</v>
      </c>
      <c r="V2336">
        <v>1.543863E-2</v>
      </c>
      <c r="W2336">
        <v>0.15902549999999999</v>
      </c>
      <c r="X2336">
        <v>0.98715379999999997</v>
      </c>
      <c r="Y2336">
        <v>2.0959490000000001E-2</v>
      </c>
      <c r="Z2336">
        <v>-1.5936959999999999E-3</v>
      </c>
      <c r="AA2336">
        <v>0.99977899999999997</v>
      </c>
      <c r="AB2336">
        <v>23</v>
      </c>
      <c r="AC2336">
        <v>20.209399999999999</v>
      </c>
      <c r="AD2336">
        <v>-1.1190280973660001</v>
      </c>
      <c r="AE2336">
        <v>1.4399999999994801E-2</v>
      </c>
      <c r="AF2336">
        <v>0.42678246956310001</v>
      </c>
      <c r="AG2336">
        <v>-1.1190280973660001</v>
      </c>
      <c r="AH2336">
        <v>20.143111373391701</v>
      </c>
      <c r="AI2336">
        <v>93.179022706741407</v>
      </c>
      <c r="AJ2336">
        <v>88.786226429414199</v>
      </c>
      <c r="AK2336">
        <v>20.178684371382602</v>
      </c>
      <c r="AL2336">
        <v>80.849663102110995</v>
      </c>
      <c r="AM2336">
        <v>89.103993490512295</v>
      </c>
      <c r="AN2336">
        <v>1.0000000429004801</v>
      </c>
    </row>
    <row r="2337" spans="1:40" x14ac:dyDescent="0.25">
      <c r="A2337" t="str">
        <f>"20190303162551601"</f>
        <v>20190303162551601</v>
      </c>
      <c r="B2337" t="str">
        <f>"1551601551595874"</f>
        <v>1551601551595874</v>
      </c>
      <c r="C2337" t="s">
        <v>40</v>
      </c>
      <c r="D2337">
        <v>5.4137529999999998</v>
      </c>
      <c r="E2337">
        <v>0.50440129999999905</v>
      </c>
      <c r="F2337" t="s">
        <v>48</v>
      </c>
      <c r="G2337">
        <v>-444.13330000000002</v>
      </c>
      <c r="H2337" s="1">
        <v>6.8688439999999999E-7</v>
      </c>
      <c r="I2337">
        <v>214.06460000000001</v>
      </c>
      <c r="J2337">
        <v>-466.39249999999998</v>
      </c>
      <c r="K2337">
        <v>1.1191850000000001</v>
      </c>
      <c r="L2337">
        <v>214.1559</v>
      </c>
      <c r="M2337">
        <v>0.99973699999999999</v>
      </c>
      <c r="N2337">
        <v>-1.3899150000000001E-2</v>
      </c>
      <c r="O2337">
        <v>1.824156E-2</v>
      </c>
      <c r="P2337">
        <v>0.98927960000000004</v>
      </c>
      <c r="Q2337">
        <v>0.14587729999999999</v>
      </c>
      <c r="R2337">
        <v>6.7511630000000001E-3</v>
      </c>
      <c r="S2337">
        <v>3.0546570000000002</v>
      </c>
      <c r="T2337">
        <v>-0.15190490000000001</v>
      </c>
      <c r="U2337">
        <v>-1.2268070000000001E-2</v>
      </c>
      <c r="V2337">
        <v>1.2173049999999999E-2</v>
      </c>
      <c r="W2337">
        <v>0.15954860000000001</v>
      </c>
      <c r="X2337">
        <v>0.98711499999999996</v>
      </c>
      <c r="Y2337">
        <v>2.2211829999999998E-2</v>
      </c>
      <c r="Z2337">
        <v>-1.3595269999999999E-3</v>
      </c>
      <c r="AA2337">
        <v>0.99975230000000004</v>
      </c>
      <c r="AB2337">
        <v>23</v>
      </c>
      <c r="AC2337">
        <v>22.2591999999999</v>
      </c>
      <c r="AD2337">
        <v>-1.1191843131156001</v>
      </c>
      <c r="AE2337">
        <v>-9.1299999999989695E-2</v>
      </c>
      <c r="AF2337">
        <v>0.49611239109261601</v>
      </c>
      <c r="AG2337">
        <v>-1.1191843131156001</v>
      </c>
      <c r="AH2337">
        <v>22.197714147301301</v>
      </c>
      <c r="AI2337">
        <v>92.885626639773903</v>
      </c>
      <c r="AJ2337">
        <v>88.719669307952302</v>
      </c>
      <c r="AK2337">
        <v>22.231446520562301</v>
      </c>
      <c r="AL2337">
        <v>80.819303493468993</v>
      </c>
      <c r="AM2337">
        <v>89.293467290083996</v>
      </c>
      <c r="AN2337">
        <v>0.99999998106663102</v>
      </c>
    </row>
    <row r="2338" spans="1:40" x14ac:dyDescent="0.25">
      <c r="A2338" t="str">
        <f>"20190303162551625"</f>
        <v>20190303162551625</v>
      </c>
      <c r="B2338" t="str">
        <f>"1551601551615901"</f>
        <v>1551601551615901</v>
      </c>
      <c r="C2338" t="s">
        <v>40</v>
      </c>
      <c r="D2338">
        <v>5.2617050000000001</v>
      </c>
      <c r="E2338">
        <v>0.50420559999999903</v>
      </c>
      <c r="F2338" t="s">
        <v>48</v>
      </c>
      <c r="G2338">
        <v>-443.89769999999999</v>
      </c>
      <c r="H2338" s="1">
        <v>5.6201330000000005E-7</v>
      </c>
      <c r="I2338">
        <v>214.053</v>
      </c>
      <c r="J2338">
        <v>-466.1413</v>
      </c>
      <c r="K2338">
        <v>1.119364</v>
      </c>
      <c r="L2338">
        <v>214.15620000000001</v>
      </c>
      <c r="M2338">
        <v>0.99979479999999998</v>
      </c>
      <c r="N2338">
        <v>-1.3883980000000001E-2</v>
      </c>
      <c r="O2338">
        <v>1.476129E-2</v>
      </c>
      <c r="P2338">
        <v>0.98934500000000003</v>
      </c>
      <c r="Q2338">
        <v>0.14542099999999999</v>
      </c>
      <c r="R2338">
        <v>7.0302319999999904E-3</v>
      </c>
      <c r="S2338">
        <v>3.0549930000000001</v>
      </c>
      <c r="T2338">
        <v>-0.15199570000000001</v>
      </c>
      <c r="U2338">
        <v>-1.397705E-2</v>
      </c>
      <c r="V2338">
        <v>8.3762619999999902E-3</v>
      </c>
      <c r="W2338">
        <v>0.15910270000000001</v>
      </c>
      <c r="X2338">
        <v>0.98722650000000001</v>
      </c>
      <c r="Y2338">
        <v>1.9297129999999999E-2</v>
      </c>
      <c r="Z2338">
        <v>-1.1429039999999999E-3</v>
      </c>
      <c r="AA2338">
        <v>0.99981310000000001</v>
      </c>
      <c r="AB2338">
        <v>23</v>
      </c>
      <c r="AC2338">
        <v>22.243600000000001</v>
      </c>
      <c r="AD2338">
        <v>-1.1193634379866999</v>
      </c>
      <c r="AE2338">
        <v>-0.103200000000015</v>
      </c>
      <c r="AF2338">
        <v>0.430474476002494</v>
      </c>
      <c r="AG2338">
        <v>-1.1193634379866999</v>
      </c>
      <c r="AH2338">
        <v>22.183476300217801</v>
      </c>
      <c r="AI2338">
        <v>92.888114082915806</v>
      </c>
      <c r="AJ2338">
        <v>88.888304287990593</v>
      </c>
      <c r="AK2338">
        <v>22.2158705330922</v>
      </c>
      <c r="AL2338">
        <v>80.845182398959807</v>
      </c>
      <c r="AM2338">
        <v>89.5138775703996</v>
      </c>
      <c r="AN2338">
        <v>0.99999999660731598</v>
      </c>
    </row>
    <row r="2339" spans="1:40" x14ac:dyDescent="0.25">
      <c r="A2339" t="str">
        <f>"20190303162551645"</f>
        <v>20190303162551645</v>
      </c>
      <c r="B2339" t="str">
        <f>"1551601551635420"</f>
        <v>1551601551635420</v>
      </c>
      <c r="C2339" t="s">
        <v>40</v>
      </c>
      <c r="D2339">
        <v>5.4716360000000002</v>
      </c>
      <c r="E2339">
        <v>0.50418109999999905</v>
      </c>
      <c r="F2339" t="s">
        <v>48</v>
      </c>
      <c r="G2339">
        <v>-444.17399999999998</v>
      </c>
      <c r="H2339" s="1">
        <v>7.0871079999999999E-7</v>
      </c>
      <c r="I2339">
        <v>214.0598</v>
      </c>
      <c r="J2339">
        <v>-465.93029999999999</v>
      </c>
      <c r="K2339">
        <v>1.119523</v>
      </c>
      <c r="L2339">
        <v>214.15610000000001</v>
      </c>
      <c r="M2339">
        <v>0.99983140000000004</v>
      </c>
      <c r="N2339">
        <v>-1.387124E-2</v>
      </c>
      <c r="O2339">
        <v>1.204273E-2</v>
      </c>
      <c r="P2339">
        <v>0.98911510000000002</v>
      </c>
      <c r="Q2339">
        <v>0.14692529999999901</v>
      </c>
      <c r="R2339">
        <v>8.0400209999999996E-3</v>
      </c>
      <c r="S2339">
        <v>3.0552980000000001</v>
      </c>
      <c r="T2339">
        <v>-0.1556852</v>
      </c>
      <c r="U2339">
        <v>-1.3412479999999999E-2</v>
      </c>
      <c r="V2339">
        <v>4.6192809999999898E-3</v>
      </c>
      <c r="W2339">
        <v>0.16061230000000001</v>
      </c>
      <c r="X2339">
        <v>0.98700679999999996</v>
      </c>
      <c r="Y2339">
        <v>1.6397970000000001E-2</v>
      </c>
      <c r="Z2339">
        <v>-9.7760439999999989E-4</v>
      </c>
      <c r="AA2339">
        <v>0.99986509999999995</v>
      </c>
      <c r="AB2339">
        <v>23</v>
      </c>
      <c r="AC2339">
        <v>21.7562999999999</v>
      </c>
      <c r="AD2339">
        <v>-1.11952229128919</v>
      </c>
      <c r="AE2339">
        <v>-9.6300000000013597E-2</v>
      </c>
      <c r="AF2339">
        <v>0.357377170029475</v>
      </c>
      <c r="AG2339">
        <v>-1.11952229128919</v>
      </c>
      <c r="AH2339">
        <v>21.696114982351201</v>
      </c>
      <c r="AI2339">
        <v>92.953449816376207</v>
      </c>
      <c r="AJ2339">
        <v>89.056312526286206</v>
      </c>
      <c r="AK2339">
        <v>21.727918766641199</v>
      </c>
      <c r="AL2339">
        <v>80.757562256825807</v>
      </c>
      <c r="AM2339">
        <v>89.731852532963998</v>
      </c>
      <c r="AN2339">
        <v>1.0000000359572401</v>
      </c>
    </row>
    <row r="2340" spans="1:40" x14ac:dyDescent="0.25">
      <c r="A2340" t="str">
        <f>"20190303162551665"</f>
        <v>20190303162551665</v>
      </c>
      <c r="B2340" t="str">
        <f>"1551601551655917"</f>
        <v>1551601551655917</v>
      </c>
      <c r="C2340" t="s">
        <v>40</v>
      </c>
      <c r="D2340">
        <v>5.3498269999999897</v>
      </c>
      <c r="E2340">
        <v>0.50428669999999998</v>
      </c>
      <c r="F2340" t="s">
        <v>48</v>
      </c>
      <c r="G2340">
        <v>-443.577</v>
      </c>
      <c r="H2340" s="1">
        <v>3.906117E-7</v>
      </c>
      <c r="I2340">
        <v>214.06960000000001</v>
      </c>
      <c r="J2340">
        <v>-465.71510000000001</v>
      </c>
      <c r="K2340">
        <v>1.119677</v>
      </c>
      <c r="L2340">
        <v>214.15559999999999</v>
      </c>
      <c r="M2340">
        <v>0.99985930000000001</v>
      </c>
      <c r="N2340">
        <v>-1.385871E-2</v>
      </c>
      <c r="O2340">
        <v>9.4655669999999994E-3</v>
      </c>
      <c r="P2340">
        <v>0.98846069999999997</v>
      </c>
      <c r="Q2340">
        <v>0.1512501</v>
      </c>
      <c r="R2340">
        <v>8.3103980000000001E-3</v>
      </c>
      <c r="S2340">
        <v>3.055847</v>
      </c>
      <c r="T2340">
        <v>-0.1530465</v>
      </c>
      <c r="U2340">
        <v>-1.1825560000000001E-2</v>
      </c>
      <c r="V2340">
        <v>1.7522779999999999E-3</v>
      </c>
      <c r="W2340">
        <v>0.16492889999999999</v>
      </c>
      <c r="X2340">
        <v>0.98630390000000001</v>
      </c>
      <c r="Y2340">
        <v>1.3308510000000001E-2</v>
      </c>
      <c r="Z2340">
        <v>-7.6798980000000001E-4</v>
      </c>
      <c r="AA2340">
        <v>0.99991110000000005</v>
      </c>
      <c r="AB2340">
        <v>23</v>
      </c>
      <c r="AC2340">
        <v>22.138100000000001</v>
      </c>
      <c r="AD2340">
        <v>-1.1196766093882999</v>
      </c>
      <c r="AE2340">
        <v>-8.5999999999984297E-2</v>
      </c>
      <c r="AF2340">
        <v>0.29481178816924097</v>
      </c>
      <c r="AG2340">
        <v>-1.1196766093882999</v>
      </c>
      <c r="AH2340">
        <v>22.0798140875937</v>
      </c>
      <c r="AI2340">
        <v>92.902747952868694</v>
      </c>
      <c r="AJ2340">
        <v>89.235026732651903</v>
      </c>
      <c r="AK2340">
        <v>22.110151058795498</v>
      </c>
      <c r="AL2340">
        <v>80.506895828110004</v>
      </c>
      <c r="AM2340">
        <v>89.898207815762007</v>
      </c>
      <c r="AN2340">
        <v>0.99999999784430404</v>
      </c>
    </row>
    <row r="2341" spans="1:40" x14ac:dyDescent="0.25">
      <c r="A2341" t="str">
        <f>"20190303162551692"</f>
        <v>20190303162551692</v>
      </c>
      <c r="B2341" t="str">
        <f>"1551601551685199"</f>
        <v>1551601551685199</v>
      </c>
      <c r="C2341" t="s">
        <v>40</v>
      </c>
      <c r="D2341">
        <v>5.4042519999999996</v>
      </c>
      <c r="E2341">
        <v>0.50436930000000002</v>
      </c>
      <c r="F2341" t="s">
        <v>48</v>
      </c>
      <c r="G2341">
        <v>-441.48759999999999</v>
      </c>
      <c r="H2341" s="1">
        <v>-7.205145E-7</v>
      </c>
      <c r="I2341">
        <v>214.05279999999999</v>
      </c>
      <c r="J2341">
        <v>-465.4477</v>
      </c>
      <c r="K2341">
        <v>1.119848</v>
      </c>
      <c r="L2341">
        <v>214.15440000000001</v>
      </c>
      <c r="M2341">
        <v>0.99988299999999997</v>
      </c>
      <c r="N2341">
        <v>-1.384371E-2</v>
      </c>
      <c r="O2341">
        <v>6.5188219999999996E-3</v>
      </c>
      <c r="P2341">
        <v>0.98791790000000002</v>
      </c>
      <c r="Q2341">
        <v>0.15480749999999999</v>
      </c>
      <c r="R2341">
        <v>7.2674849999999997E-3</v>
      </c>
      <c r="S2341">
        <v>3.0567630000000001</v>
      </c>
      <c r="T2341">
        <v>-0.14126900000000001</v>
      </c>
      <c r="U2341">
        <v>-1.2969970000000001E-2</v>
      </c>
      <c r="V2341">
        <v>-1.7420559999999999E-4</v>
      </c>
      <c r="W2341">
        <v>0.16847119999999999</v>
      </c>
      <c r="X2341">
        <v>0.98570659999999999</v>
      </c>
      <c r="Y2341">
        <v>1.074398E-2</v>
      </c>
      <c r="Z2341">
        <v>-5.3344920000000004E-4</v>
      </c>
      <c r="AA2341">
        <v>0.99994209999999994</v>
      </c>
      <c r="AB2341">
        <v>23</v>
      </c>
      <c r="AC2341">
        <v>23.960100000000001</v>
      </c>
      <c r="AD2341">
        <v>-1.1198487205145</v>
      </c>
      <c r="AE2341">
        <v>-0.10160000000001899</v>
      </c>
      <c r="AF2341">
        <v>0.25724250218681299</v>
      </c>
      <c r="AG2341">
        <v>-1.1198487205145</v>
      </c>
      <c r="AH2341">
        <v>23.906706440298102</v>
      </c>
      <c r="AI2341">
        <v>92.681759293993395</v>
      </c>
      <c r="AJ2341">
        <v>89.383506008110999</v>
      </c>
      <c r="AK2341">
        <v>23.934302740718401</v>
      </c>
      <c r="AL2341">
        <v>80.301057094444104</v>
      </c>
      <c r="AM2341">
        <v>90.010125980229404</v>
      </c>
      <c r="AN2341">
        <v>1.0000000384302901</v>
      </c>
    </row>
    <row r="2342" spans="1:40" x14ac:dyDescent="0.25">
      <c r="A2342" t="str">
        <f>"20190303162551714"</f>
        <v>20190303162551714</v>
      </c>
      <c r="B2342" t="str">
        <f>"1551601551705693"</f>
        <v>1551601551705693</v>
      </c>
      <c r="C2342" t="s">
        <v>40</v>
      </c>
      <c r="D2342">
        <v>5.2489999999999997</v>
      </c>
      <c r="E2342">
        <v>0.5044883</v>
      </c>
      <c r="F2342" t="s">
        <v>51</v>
      </c>
      <c r="G2342">
        <v>-439.61759999999998</v>
      </c>
      <c r="H2342" s="1">
        <v>6.5351089999999999E-6</v>
      </c>
      <c r="I2342">
        <v>214.00880000000001</v>
      </c>
      <c r="J2342">
        <v>-465.2115</v>
      </c>
      <c r="K2342">
        <v>1.1199600000000001</v>
      </c>
      <c r="L2342">
        <v>214.15299999999999</v>
      </c>
      <c r="M2342">
        <v>0.99989589999999995</v>
      </c>
      <c r="N2342">
        <v>-1.383099E-2</v>
      </c>
      <c r="O2342">
        <v>4.1188650000000002E-3</v>
      </c>
      <c r="P2342">
        <v>0.98796139999999999</v>
      </c>
      <c r="Q2342">
        <v>0.15458269999999999</v>
      </c>
      <c r="R2342">
        <v>6.0497719999999897E-3</v>
      </c>
      <c r="S2342">
        <v>3.0575559999999999</v>
      </c>
      <c r="T2342">
        <v>-0.1325577</v>
      </c>
      <c r="U2342">
        <v>-1.724243E-2</v>
      </c>
      <c r="V2342">
        <v>-1.3789259999999999E-3</v>
      </c>
      <c r="W2342">
        <v>0.16823850000000001</v>
      </c>
      <c r="X2342">
        <v>0.98574539999999999</v>
      </c>
      <c r="Y2342">
        <v>9.744473E-3</v>
      </c>
      <c r="Z2342">
        <v>-4.0009689999999999E-4</v>
      </c>
      <c r="AA2342">
        <v>0.99995239999999996</v>
      </c>
      <c r="AB2342">
        <v>23</v>
      </c>
      <c r="AC2342">
        <v>25.593900000000001</v>
      </c>
      <c r="AD2342">
        <v>-1.1199534648909999</v>
      </c>
      <c r="AE2342">
        <v>-0.14419999999998301</v>
      </c>
      <c r="AF2342">
        <v>0.249149615670578</v>
      </c>
      <c r="AG2342">
        <v>-1.1199534648909999</v>
      </c>
      <c r="AH2342">
        <v>25.544178014746102</v>
      </c>
      <c r="AI2342">
        <v>92.510336846435195</v>
      </c>
      <c r="AJ2342">
        <v>89.441173296879299</v>
      </c>
      <c r="AK2342">
        <v>25.569931594424599</v>
      </c>
      <c r="AL2342">
        <v>80.314582936961898</v>
      </c>
      <c r="AM2342">
        <v>90.080149081625706</v>
      </c>
      <c r="AN2342">
        <v>1.00000004397016</v>
      </c>
    </row>
    <row r="2343" spans="1:40" x14ac:dyDescent="0.25">
      <c r="A2343" t="str">
        <f>"20190303162551756"</f>
        <v>20190303162551756</v>
      </c>
      <c r="B2343" t="str">
        <f>"1551601551745708"</f>
        <v>1551601551745708</v>
      </c>
      <c r="C2343" t="s">
        <v>40</v>
      </c>
      <c r="D2343">
        <v>5.1832580000000004</v>
      </c>
      <c r="E2343">
        <v>0.52597890000000003</v>
      </c>
      <c r="F2343" t="s">
        <v>51</v>
      </c>
      <c r="G2343">
        <v>-439.55689999999998</v>
      </c>
      <c r="H2343" s="1">
        <v>6.511676E-6</v>
      </c>
      <c r="I2343">
        <v>213.96899999999999</v>
      </c>
      <c r="J2343">
        <v>-464.78149999999999</v>
      </c>
      <c r="K2343">
        <v>1.120069</v>
      </c>
      <c r="L2343">
        <v>214.14930000000001</v>
      </c>
      <c r="M2343">
        <v>0.99990449999999997</v>
      </c>
      <c r="N2343">
        <v>-1.381019E-2</v>
      </c>
      <c r="O2343">
        <v>1.1267759999999999E-4</v>
      </c>
      <c r="P2343">
        <v>0.98931910000000001</v>
      </c>
      <c r="Q2343">
        <v>0.14571770000000001</v>
      </c>
      <c r="R2343">
        <v>3.7283220000000001E-3</v>
      </c>
      <c r="S2343">
        <v>3.0575869999999998</v>
      </c>
      <c r="T2343">
        <v>-0.1334795</v>
      </c>
      <c r="U2343">
        <v>-2.1926879999999999E-2</v>
      </c>
      <c r="V2343">
        <v>-3.1114279999999999E-3</v>
      </c>
      <c r="W2343">
        <v>0.1593772</v>
      </c>
      <c r="X2343">
        <v>0.9872128</v>
      </c>
      <c r="Y2343">
        <v>7.2746319999999996E-3</v>
      </c>
      <c r="Z2343">
        <v>-2.123375E-4</v>
      </c>
      <c r="AA2343">
        <v>0.99997349999999996</v>
      </c>
      <c r="AB2343">
        <v>23</v>
      </c>
      <c r="AC2343">
        <v>25.224599999999999</v>
      </c>
      <c r="AD2343">
        <v>-1.120062488324</v>
      </c>
      <c r="AE2343">
        <v>-0.180299999999988</v>
      </c>
      <c r="AF2343">
        <v>0.18278214860809</v>
      </c>
      <c r="AG2343">
        <v>-1.120062488324</v>
      </c>
      <c r="AH2343">
        <v>25.174945179461702</v>
      </c>
      <c r="AI2343">
        <v>92.547408590084999</v>
      </c>
      <c r="AJ2343">
        <v>89.584012533235693</v>
      </c>
      <c r="AK2343">
        <v>25.200512178932001</v>
      </c>
      <c r="AL2343">
        <v>80.829250927844797</v>
      </c>
      <c r="AM2343">
        <v>90.180580217741195</v>
      </c>
      <c r="AN2343">
        <v>0.99999994267393699</v>
      </c>
    </row>
    <row r="2344" spans="1:40" x14ac:dyDescent="0.25">
      <c r="A2344" t="str">
        <f>"20190303162551776"</f>
        <v>20190303162551776</v>
      </c>
      <c r="B2344" t="str">
        <f>"1551601551765229"</f>
        <v>1551601551765229</v>
      </c>
      <c r="C2344" t="s">
        <v>40</v>
      </c>
      <c r="D2344">
        <v>5.2109170000000002</v>
      </c>
      <c r="E2344">
        <v>0.52772159999999901</v>
      </c>
      <c r="F2344" t="s">
        <v>48</v>
      </c>
      <c r="G2344">
        <v>-440.8492</v>
      </c>
      <c r="H2344" s="1">
        <v>-9.9599660000000003E-7</v>
      </c>
      <c r="I2344">
        <v>212.58269999999999</v>
      </c>
      <c r="J2344">
        <v>-464.56310000000002</v>
      </c>
      <c r="K2344">
        <v>1.120106</v>
      </c>
      <c r="L2344">
        <v>214.14699999999999</v>
      </c>
      <c r="M2344">
        <v>0.99990310000000004</v>
      </c>
      <c r="N2344">
        <v>-1.3800979999999999E-2</v>
      </c>
      <c r="O2344">
        <v>-1.8139740000000001E-3</v>
      </c>
      <c r="P2344">
        <v>0.98984680000000003</v>
      </c>
      <c r="Q2344">
        <v>0.14213919999999999</v>
      </c>
      <c r="R2344" s="1">
        <v>7.7182429999999997E-5</v>
      </c>
      <c r="S2344">
        <v>3.05423</v>
      </c>
      <c r="T2344">
        <v>-0.14294299999999999</v>
      </c>
      <c r="U2344">
        <v>-0.1999359</v>
      </c>
      <c r="V2344">
        <v>-1.400625E-3</v>
      </c>
      <c r="W2344">
        <v>0.1557915</v>
      </c>
      <c r="X2344">
        <v>0.98778900000000003</v>
      </c>
      <c r="Y2344">
        <v>6.3423160000000006E-2</v>
      </c>
      <c r="Z2344">
        <v>-1.8604489999999999E-3</v>
      </c>
      <c r="AA2344">
        <v>0.99798500000000001</v>
      </c>
      <c r="AB2344">
        <v>23</v>
      </c>
      <c r="AC2344">
        <v>23.713899999999999</v>
      </c>
      <c r="AD2344">
        <v>-1.1201069959965999</v>
      </c>
      <c r="AE2344">
        <v>-1.56430000000003</v>
      </c>
      <c r="AF2344">
        <v>1.5179050511794201</v>
      </c>
      <c r="AG2344">
        <v>-1.1201069959965999</v>
      </c>
      <c r="AH2344">
        <v>23.664131276581401</v>
      </c>
      <c r="AI2344">
        <v>92.704439534325402</v>
      </c>
      <c r="AJ2344">
        <v>86.329864408136999</v>
      </c>
      <c r="AK2344">
        <v>23.739203535547599</v>
      </c>
      <c r="AL2344">
        <v>81.037296747211897</v>
      </c>
      <c r="AM2344">
        <v>90.081241892143296</v>
      </c>
      <c r="AN2344">
        <v>1.00000003087181</v>
      </c>
    </row>
    <row r="2345" spans="1:40" x14ac:dyDescent="0.25">
      <c r="A2345" t="str">
        <f>"20190303162551826"</f>
        <v>20190303162551826</v>
      </c>
      <c r="B2345" t="str">
        <f>"1551601551815982"</f>
        <v>1551601551815982</v>
      </c>
      <c r="C2345" t="s">
        <v>40</v>
      </c>
      <c r="D2345">
        <v>5.193257</v>
      </c>
      <c r="E2345">
        <v>0.53007950000000004</v>
      </c>
      <c r="F2345" t="s">
        <v>48</v>
      </c>
      <c r="G2345">
        <v>-444.12670000000003</v>
      </c>
      <c r="H2345" s="1">
        <v>7.4539090000000002E-7</v>
      </c>
      <c r="I2345">
        <v>212.64580000000001</v>
      </c>
      <c r="J2345">
        <v>-464.06540000000001</v>
      </c>
      <c r="K2345">
        <v>1.120188</v>
      </c>
      <c r="L2345">
        <v>214.1404</v>
      </c>
      <c r="M2345">
        <v>0.99988739999999998</v>
      </c>
      <c r="N2345">
        <v>-1.3782340000000001E-2</v>
      </c>
      <c r="O2345">
        <v>-5.9668669999999998E-3</v>
      </c>
      <c r="P2345">
        <v>0.99063690000000004</v>
      </c>
      <c r="Q2345">
        <v>0.13621839999999999</v>
      </c>
      <c r="R2345">
        <v>-9.1370719999999996E-3</v>
      </c>
      <c r="S2345">
        <v>3.05484</v>
      </c>
      <c r="T2345">
        <v>-0.167434</v>
      </c>
      <c r="U2345">
        <v>-0.22439580000000001</v>
      </c>
      <c r="V2345">
        <v>3.641254E-3</v>
      </c>
      <c r="W2345">
        <v>0.14985010000000001</v>
      </c>
      <c r="X2345">
        <v>0.98870199999999997</v>
      </c>
      <c r="Y2345">
        <v>6.7185060000000005E-2</v>
      </c>
      <c r="Z2345">
        <v>-2.0571500000000002E-3</v>
      </c>
      <c r="AA2345">
        <v>0.99773840000000003</v>
      </c>
      <c r="AB2345">
        <v>23</v>
      </c>
      <c r="AC2345">
        <v>19.938699999999901</v>
      </c>
      <c r="AD2345">
        <v>-1.1201872546091001</v>
      </c>
      <c r="AE2345">
        <v>-1.4945999999999899</v>
      </c>
      <c r="AF2345">
        <v>1.37128643852535</v>
      </c>
      <c r="AG2345">
        <v>-1.1201872546091001</v>
      </c>
      <c r="AH2345">
        <v>19.8848507098003</v>
      </c>
      <c r="AI2345">
        <v>93.216652024698007</v>
      </c>
      <c r="AJ2345">
        <v>86.055050577263103</v>
      </c>
      <c r="AK2345">
        <v>19.963530091968199</v>
      </c>
      <c r="AL2345">
        <v>81.3817600716268</v>
      </c>
      <c r="AM2345">
        <v>89.788988448389802</v>
      </c>
      <c r="AN2345">
        <v>0.99999997800235096</v>
      </c>
    </row>
    <row r="2346" spans="1:40" x14ac:dyDescent="0.25">
      <c r="A2346" t="str">
        <f>"20190303162551868"</f>
        <v>20190303162551868</v>
      </c>
      <c r="B2346" t="str">
        <f>"1551601551865757"</f>
        <v>1551601551865757</v>
      </c>
      <c r="C2346" t="s">
        <v>40</v>
      </c>
      <c r="D2346">
        <v>5.2757949999999996</v>
      </c>
      <c r="E2346">
        <v>0.54543140000000001</v>
      </c>
      <c r="F2346" t="s">
        <v>48</v>
      </c>
      <c r="G2346">
        <v>-446.57479999999998</v>
      </c>
      <c r="H2346" s="1">
        <v>2.050397E-6</v>
      </c>
      <c r="I2346">
        <v>212.5943</v>
      </c>
      <c r="J2346">
        <v>-463.62189999999998</v>
      </c>
      <c r="K2346">
        <v>1.120233</v>
      </c>
      <c r="L2346">
        <v>214.13310000000001</v>
      </c>
      <c r="M2346">
        <v>0.99986050000000004</v>
      </c>
      <c r="N2346">
        <v>-1.376784E-2</v>
      </c>
      <c r="O2346">
        <v>-9.4602750000000006E-3</v>
      </c>
      <c r="P2346">
        <v>0.99180809999999997</v>
      </c>
      <c r="Q2346">
        <v>0.12640660000000001</v>
      </c>
      <c r="R2346">
        <v>-1.8395000000000002E-2</v>
      </c>
      <c r="S2346">
        <v>3.052765</v>
      </c>
      <c r="T2346">
        <v>-0.1955153</v>
      </c>
      <c r="U2346">
        <v>-0.26983639999999998</v>
      </c>
      <c r="V2346">
        <v>9.3731969999999998E-3</v>
      </c>
      <c r="W2346">
        <v>0.1400277</v>
      </c>
      <c r="X2346">
        <v>0.99010319999999996</v>
      </c>
      <c r="Y2346">
        <v>7.8437030000000005E-2</v>
      </c>
      <c r="Z2346">
        <v>-2.571912E-3</v>
      </c>
      <c r="AA2346">
        <v>0.99691580000000002</v>
      </c>
      <c r="AB2346">
        <v>23</v>
      </c>
      <c r="AC2346">
        <v>17.0471</v>
      </c>
      <c r="AD2346">
        <v>-1.1202309496030001</v>
      </c>
      <c r="AE2346">
        <v>-1.5387999999999999</v>
      </c>
      <c r="AF2346">
        <v>1.3715705911575</v>
      </c>
      <c r="AG2346">
        <v>-1.1202309496030001</v>
      </c>
      <c r="AH2346">
        <v>16.988128724909998</v>
      </c>
      <c r="AI2346">
        <v>93.7605341797954</v>
      </c>
      <c r="AJ2346">
        <v>85.384122608483693</v>
      </c>
      <c r="AK2346">
        <v>17.0801826934342</v>
      </c>
      <c r="AL2346">
        <v>81.950550709390896</v>
      </c>
      <c r="AM2346">
        <v>89.457603423725203</v>
      </c>
      <c r="AN2346">
        <v>0.99999998011976499</v>
      </c>
    </row>
    <row r="2347" spans="1:40" x14ac:dyDescent="0.25">
      <c r="A2347" t="str">
        <f>"20190303162551889"</f>
        <v>20190303162551889</v>
      </c>
      <c r="B2347" t="str">
        <f>"1551601551875517"</f>
        <v>1551601551875517</v>
      </c>
      <c r="C2347" t="s">
        <v>40</v>
      </c>
      <c r="D2347">
        <v>5.2378920000000004</v>
      </c>
      <c r="E2347">
        <v>0.54412159999999998</v>
      </c>
      <c r="F2347" t="s">
        <v>42</v>
      </c>
      <c r="G2347">
        <v>-462.86250000000001</v>
      </c>
      <c r="H2347">
        <v>0.90231510000000004</v>
      </c>
      <c r="I2347">
        <v>214.02950000000001</v>
      </c>
      <c r="J2347">
        <v>-463.41469999999998</v>
      </c>
      <c r="K2347">
        <v>1.1202620000000001</v>
      </c>
      <c r="L2347">
        <v>214.1292</v>
      </c>
      <c r="M2347">
        <v>0.99984479999999998</v>
      </c>
      <c r="N2347">
        <v>-1.376177E-2</v>
      </c>
      <c r="O2347">
        <v>-1.1011780000000001E-2</v>
      </c>
      <c r="P2347">
        <v>0.9918401</v>
      </c>
      <c r="Q2347">
        <v>0.1254892</v>
      </c>
      <c r="R2347">
        <v>-2.2490530000000002E-2</v>
      </c>
      <c r="S2347">
        <v>3.1313780000000002</v>
      </c>
      <c r="T2347">
        <v>-0.89838779999999996</v>
      </c>
      <c r="U2347">
        <v>-0.42594910000000002</v>
      </c>
      <c r="V2347">
        <v>1.1914320000000001E-2</v>
      </c>
      <c r="W2347">
        <v>0.1390999</v>
      </c>
      <c r="X2347">
        <v>0.9902067</v>
      </c>
      <c r="Y2347">
        <v>0.11929530000000001</v>
      </c>
      <c r="Z2347">
        <v>-1.4608680000000001E-2</v>
      </c>
      <c r="AA2347">
        <v>0.99275139999999995</v>
      </c>
      <c r="AB2347">
        <v>23</v>
      </c>
      <c r="AC2347">
        <v>0.55219999999997005</v>
      </c>
      <c r="AD2347">
        <v>-0.2179469</v>
      </c>
      <c r="AE2347">
        <v>-9.9699999999984301E-2</v>
      </c>
      <c r="AF2347">
        <v>8.1341422253658605E-2</v>
      </c>
      <c r="AG2347">
        <v>-0.2179469</v>
      </c>
      <c r="AH2347">
        <v>0.48073961267436499</v>
      </c>
      <c r="AI2347">
        <v>114.084835789232</v>
      </c>
      <c r="AJ2347">
        <v>80.3964772993873</v>
      </c>
      <c r="AK2347">
        <v>0.53406727421567102</v>
      </c>
      <c r="AL2347">
        <v>82.004235470665293</v>
      </c>
      <c r="AM2347">
        <v>89.310641594262506</v>
      </c>
      <c r="AN2347">
        <v>1.00000002096298</v>
      </c>
    </row>
    <row r="2348" spans="1:40" x14ac:dyDescent="0.25">
      <c r="A2348" t="str">
        <f>"20190303162551912"</f>
        <v>20190303162551912</v>
      </c>
      <c r="B2348" t="str">
        <f>"1551601551905773"</f>
        <v>1551601551905773</v>
      </c>
      <c r="C2348" t="s">
        <v>40</v>
      </c>
      <c r="D2348">
        <v>5.2371059999999998</v>
      </c>
      <c r="E2348">
        <v>0.54327199999999998</v>
      </c>
      <c r="F2348" t="s">
        <v>42</v>
      </c>
      <c r="G2348">
        <v>-462.66320000000002</v>
      </c>
      <c r="H2348">
        <v>0.88965229999999995</v>
      </c>
      <c r="I2348">
        <v>214.02690000000001</v>
      </c>
      <c r="J2348">
        <v>-463.17399999999998</v>
      </c>
      <c r="K2348">
        <v>1.120325</v>
      </c>
      <c r="L2348">
        <v>214.12450000000001</v>
      </c>
      <c r="M2348">
        <v>0.9998245</v>
      </c>
      <c r="N2348">
        <v>-1.3754809999999999E-2</v>
      </c>
      <c r="O2348">
        <v>-1.271416E-2</v>
      </c>
      <c r="P2348">
        <v>0.99151389999999995</v>
      </c>
      <c r="Q2348">
        <v>0.12720229999999999</v>
      </c>
      <c r="R2348">
        <v>-2.6830590000000001E-2</v>
      </c>
      <c r="S2348">
        <v>3.1367799999999999</v>
      </c>
      <c r="T2348">
        <v>-0.96251390000000003</v>
      </c>
      <c r="U2348">
        <v>-0.42733759999999998</v>
      </c>
      <c r="V2348">
        <v>1.4554070000000001E-2</v>
      </c>
      <c r="W2348">
        <v>0.14079820000000001</v>
      </c>
      <c r="X2348">
        <v>0.98993129999999996</v>
      </c>
      <c r="Y2348">
        <v>0.1173479</v>
      </c>
      <c r="Z2348">
        <v>-1.4726990000000001E-2</v>
      </c>
      <c r="AA2348">
        <v>0.99298169999999997</v>
      </c>
      <c r="AB2348">
        <v>23</v>
      </c>
      <c r="AC2348">
        <v>0.51080000000001702</v>
      </c>
      <c r="AD2348">
        <v>-0.23067269999999901</v>
      </c>
      <c r="AE2348">
        <v>-9.7599999999999895E-2</v>
      </c>
      <c r="AF2348">
        <v>7.6120328167109494E-2</v>
      </c>
      <c r="AG2348">
        <v>-0.23067269999999901</v>
      </c>
      <c r="AH2348">
        <v>0.42782466452899998</v>
      </c>
      <c r="AI2348">
        <v>117.961100148508</v>
      </c>
      <c r="AJ2348">
        <v>79.911274149953599</v>
      </c>
      <c r="AK2348">
        <v>0.49197372131538603</v>
      </c>
      <c r="AL2348">
        <v>81.905962463987294</v>
      </c>
      <c r="AM2348">
        <v>89.157692345425801</v>
      </c>
      <c r="AN2348">
        <v>0.99999996639824595</v>
      </c>
    </row>
    <row r="2349" spans="1:40" x14ac:dyDescent="0.25">
      <c r="A2349" t="str">
        <f>"20190303162551937"</f>
        <v>20190303162551937</v>
      </c>
      <c r="B2349" t="str">
        <f>"1551601551925292"</f>
        <v>1551601551925292</v>
      </c>
      <c r="C2349" t="s">
        <v>40</v>
      </c>
      <c r="D2349">
        <v>5.2985030000000002</v>
      </c>
      <c r="E2349">
        <v>0.54270479999999999</v>
      </c>
      <c r="F2349" t="s">
        <v>42</v>
      </c>
      <c r="G2349">
        <v>-462.45800000000003</v>
      </c>
      <c r="H2349">
        <v>0.89146029999999998</v>
      </c>
      <c r="I2349">
        <v>214.02549999999999</v>
      </c>
      <c r="J2349">
        <v>-462.91950000000003</v>
      </c>
      <c r="K2349">
        <v>1.120425</v>
      </c>
      <c r="L2349">
        <v>214.11920000000001</v>
      </c>
      <c r="M2349">
        <v>0.99980259999999999</v>
      </c>
      <c r="N2349">
        <v>-1.3746950000000001E-2</v>
      </c>
      <c r="O2349">
        <v>-1.4344620000000001E-2</v>
      </c>
      <c r="P2349">
        <v>0.99124920000000005</v>
      </c>
      <c r="Q2349">
        <v>0.1284632</v>
      </c>
      <c r="R2349">
        <v>-3.0366899999999999E-2</v>
      </c>
      <c r="S2349">
        <v>3.1428219999999998</v>
      </c>
      <c r="T2349">
        <v>-1.0046090000000001</v>
      </c>
      <c r="U2349">
        <v>-0.43400569999999999</v>
      </c>
      <c r="V2349">
        <v>1.6446619999999999E-2</v>
      </c>
      <c r="W2349">
        <v>0.1420477</v>
      </c>
      <c r="X2349">
        <v>0.98972309999999997</v>
      </c>
      <c r="Y2349">
        <v>0.1172174</v>
      </c>
      <c r="Z2349">
        <v>-1.476707E-2</v>
      </c>
      <c r="AA2349">
        <v>0.99299649999999995</v>
      </c>
      <c r="AB2349">
        <v>23</v>
      </c>
      <c r="AC2349">
        <v>0.46150000000000002</v>
      </c>
      <c r="AD2349">
        <v>-0.22896469999999899</v>
      </c>
      <c r="AE2349">
        <v>-9.3700000000012496E-2</v>
      </c>
      <c r="AF2349">
        <v>7.0421862522483794E-2</v>
      </c>
      <c r="AG2349">
        <v>-0.22896469999999899</v>
      </c>
      <c r="AH2349">
        <v>0.37430944693366702</v>
      </c>
      <c r="AI2349">
        <v>121.012277478897</v>
      </c>
      <c r="AJ2349">
        <v>79.345030881473704</v>
      </c>
      <c r="AK2349">
        <v>0.444400308990682</v>
      </c>
      <c r="AL2349">
        <v>81.8336442120995</v>
      </c>
      <c r="AM2349">
        <v>89.047981005278103</v>
      </c>
      <c r="AN2349">
        <v>0.99999992752915901</v>
      </c>
    </row>
    <row r="2350" spans="1:40" x14ac:dyDescent="0.25">
      <c r="A2350" t="str">
        <f>"20190303162551982"</f>
        <v>20190303162551982</v>
      </c>
      <c r="B2350" t="str">
        <f>"1551601551975069"</f>
        <v>1551601551975069</v>
      </c>
      <c r="C2350" t="s">
        <v>40</v>
      </c>
      <c r="D2350">
        <v>5.3063180000000001</v>
      </c>
      <c r="E2350">
        <v>0.54238999999999904</v>
      </c>
      <c r="F2350" t="s">
        <v>42</v>
      </c>
      <c r="G2350">
        <v>-462.24799999999999</v>
      </c>
      <c r="H2350">
        <v>0.90495979999999998</v>
      </c>
      <c r="I2350">
        <v>214.02510000000001</v>
      </c>
      <c r="J2350">
        <v>-462.45859999999999</v>
      </c>
      <c r="K2350">
        <v>1.1206750000000001</v>
      </c>
      <c r="L2350">
        <v>214.10929999999999</v>
      </c>
      <c r="M2350">
        <v>0.99976750000000003</v>
      </c>
      <c r="N2350">
        <v>-1.373313E-2</v>
      </c>
      <c r="O2350">
        <v>-1.662918E-2</v>
      </c>
      <c r="P2350">
        <v>0.99186189999999996</v>
      </c>
      <c r="Q2350">
        <v>0.12232270000000001</v>
      </c>
      <c r="R2350">
        <v>-3.5316819999999999E-2</v>
      </c>
      <c r="S2350">
        <v>3.1437680000000001</v>
      </c>
      <c r="T2350">
        <v>-1.0088280000000001</v>
      </c>
      <c r="U2350">
        <v>-0.4397278</v>
      </c>
      <c r="V2350">
        <v>1.9011030000000002E-2</v>
      </c>
      <c r="W2350">
        <v>0.1359118</v>
      </c>
      <c r="X2350">
        <v>0.99053849999999999</v>
      </c>
      <c r="Y2350">
        <v>0.116771</v>
      </c>
      <c r="Z2350">
        <v>-1.406203E-2</v>
      </c>
      <c r="AA2350">
        <v>0.99305929999999998</v>
      </c>
      <c r="AB2350">
        <v>23</v>
      </c>
      <c r="AC2350">
        <v>0.210599999999942</v>
      </c>
      <c r="AD2350">
        <v>-0.2157152</v>
      </c>
      <c r="AE2350">
        <v>-8.4199999999981401E-2</v>
      </c>
      <c r="AF2350">
        <v>4.2364307983750397E-2</v>
      </c>
      <c r="AG2350">
        <v>-0.2157152</v>
      </c>
      <c r="AH2350">
        <v>0.11129590506145599</v>
      </c>
      <c r="AI2350">
        <v>151.09898822222499</v>
      </c>
      <c r="AJ2350">
        <v>69.160888031311103</v>
      </c>
      <c r="AK2350">
        <v>0.246403247919809</v>
      </c>
      <c r="AL2350">
        <v>82.188651670617702</v>
      </c>
      <c r="AM2350">
        <v>88.900478811928295</v>
      </c>
      <c r="AN2350">
        <v>0.99999997831157506</v>
      </c>
    </row>
    <row r="2351" spans="1:40" x14ac:dyDescent="0.25">
      <c r="A2351" t="str">
        <f>"20190303162552004"</f>
        <v>20190303162552004</v>
      </c>
      <c r="B2351" t="str">
        <f>"1551601551995565"</f>
        <v>1551601551995565</v>
      </c>
      <c r="C2351" t="s">
        <v>40</v>
      </c>
      <c r="D2351">
        <v>5.3127879999999896</v>
      </c>
      <c r="E2351">
        <v>0.54230639999999997</v>
      </c>
      <c r="F2351" t="s">
        <v>42</v>
      </c>
      <c r="G2351">
        <v>-461.65710000000001</v>
      </c>
      <c r="H2351">
        <v>0.85676529999999995</v>
      </c>
      <c r="I2351">
        <v>213.99590000000001</v>
      </c>
      <c r="J2351">
        <v>-462.24439999999998</v>
      </c>
      <c r="K2351">
        <v>1.120819</v>
      </c>
      <c r="L2351">
        <v>214.10480000000001</v>
      </c>
      <c r="M2351">
        <v>0.99975440000000004</v>
      </c>
      <c r="N2351">
        <v>-1.372757E-2</v>
      </c>
      <c r="O2351">
        <v>-1.7401460000000001E-2</v>
      </c>
      <c r="P2351">
        <v>0.99197619999999997</v>
      </c>
      <c r="Q2351">
        <v>0.1205678</v>
      </c>
      <c r="R2351">
        <v>-3.8038889999999999E-2</v>
      </c>
      <c r="S2351">
        <v>3.1361690000000002</v>
      </c>
      <c r="T2351">
        <v>-1.032707</v>
      </c>
      <c r="U2351">
        <v>-0.44396970000000002</v>
      </c>
      <c r="V2351">
        <v>2.0914430000000001E-2</v>
      </c>
      <c r="W2351">
        <v>0.13415850000000001</v>
      </c>
      <c r="X2351">
        <v>0.99073920000000004</v>
      </c>
      <c r="Y2351">
        <v>0.1173925</v>
      </c>
      <c r="Z2351">
        <v>-1.42521E-2</v>
      </c>
      <c r="AA2351">
        <v>0.99298330000000001</v>
      </c>
      <c r="AB2351">
        <v>23</v>
      </c>
      <c r="AC2351">
        <v>0.58729999999996996</v>
      </c>
      <c r="AD2351">
        <v>-0.264053699999999</v>
      </c>
      <c r="AE2351">
        <v>-0.10890000000000501</v>
      </c>
      <c r="AF2351">
        <v>8.2533446833608096E-2</v>
      </c>
      <c r="AG2351">
        <v>-0.264053699999999</v>
      </c>
      <c r="AH2351">
        <v>0.49280007135099202</v>
      </c>
      <c r="AI2351">
        <v>117.85479395875799</v>
      </c>
      <c r="AJ2351">
        <v>80.492422884715793</v>
      </c>
      <c r="AK2351">
        <v>0.565144261807079</v>
      </c>
      <c r="AL2351">
        <v>82.290037458695906</v>
      </c>
      <c r="AM2351">
        <v>88.790670019738698</v>
      </c>
      <c r="AN2351">
        <v>1.0000000394605499</v>
      </c>
    </row>
    <row r="2352" spans="1:40" x14ac:dyDescent="0.25">
      <c r="A2352" t="str">
        <f>"20190303162552024"</f>
        <v>20190303162552024</v>
      </c>
      <c r="B2352" t="str">
        <f>"1551601552015086"</f>
        <v>1551601552015086</v>
      </c>
      <c r="C2352" t="s">
        <v>40</v>
      </c>
      <c r="D2352">
        <v>5.3146659999999999</v>
      </c>
      <c r="E2352">
        <v>0.54175340000000005</v>
      </c>
      <c r="F2352" t="s">
        <v>42</v>
      </c>
      <c r="G2352">
        <v>-461.45350000000002</v>
      </c>
      <c r="H2352">
        <v>0.85861299999999996</v>
      </c>
      <c r="I2352">
        <v>213.9915</v>
      </c>
      <c r="J2352">
        <v>-462.02910000000003</v>
      </c>
      <c r="K2352">
        <v>1.120935</v>
      </c>
      <c r="L2352">
        <v>214.1002</v>
      </c>
      <c r="M2352">
        <v>0.99974370000000001</v>
      </c>
      <c r="N2352">
        <v>-1.3722369999999999E-2</v>
      </c>
      <c r="O2352">
        <v>-1.8013060000000001E-2</v>
      </c>
      <c r="P2352">
        <v>0.99177079999999995</v>
      </c>
      <c r="Q2352">
        <v>0.12133380000000001</v>
      </c>
      <c r="R2352">
        <v>-4.0856709999999997E-2</v>
      </c>
      <c r="S2352">
        <v>3.133362</v>
      </c>
      <c r="T2352">
        <v>-1.0387059999999999</v>
      </c>
      <c r="U2352">
        <v>-0.44728089999999998</v>
      </c>
      <c r="V2352">
        <v>2.308994E-2</v>
      </c>
      <c r="W2352">
        <v>0.1349216</v>
      </c>
      <c r="X2352">
        <v>0.9905872</v>
      </c>
      <c r="Y2352">
        <v>0.1178715</v>
      </c>
      <c r="Z2352">
        <v>-1.4227139999999999E-2</v>
      </c>
      <c r="AA2352">
        <v>0.992927</v>
      </c>
      <c r="AB2352">
        <v>23</v>
      </c>
      <c r="AC2352">
        <v>0.57560000000000799</v>
      </c>
      <c r="AD2352">
        <v>-0.262322</v>
      </c>
      <c r="AE2352">
        <v>-0.10869999999999801</v>
      </c>
      <c r="AF2352">
        <v>8.18904411599337E-2</v>
      </c>
      <c r="AG2352">
        <v>-0.262322</v>
      </c>
      <c r="AH2352">
        <v>0.48100265744882598</v>
      </c>
      <c r="AI2352">
        <v>118.26376683808699</v>
      </c>
      <c r="AJ2352">
        <v>80.338063894091405</v>
      </c>
      <c r="AK2352">
        <v>0.55396970360318498</v>
      </c>
      <c r="AL2352">
        <v>82.245913516164293</v>
      </c>
      <c r="AM2352">
        <v>88.664714635281101</v>
      </c>
      <c r="AN2352">
        <v>0.99999999213980095</v>
      </c>
    </row>
    <row r="2353" spans="1:40" x14ac:dyDescent="0.25">
      <c r="A2353" t="str">
        <f>"20190303162552046"</f>
        <v>20190303162552046</v>
      </c>
      <c r="B2353" t="str">
        <f>"1551601552035581"</f>
        <v>1551601552035581</v>
      </c>
      <c r="C2353" t="s">
        <v>40</v>
      </c>
      <c r="D2353">
        <v>5.3629160000000002</v>
      </c>
      <c r="E2353">
        <v>0.54111799999999999</v>
      </c>
      <c r="F2353" t="s">
        <v>42</v>
      </c>
      <c r="G2353">
        <v>-461.24930000000001</v>
      </c>
      <c r="H2353">
        <v>0.86249330000000002</v>
      </c>
      <c r="I2353">
        <v>213.98779999999999</v>
      </c>
      <c r="J2353">
        <v>-461.81049999999999</v>
      </c>
      <c r="K2353">
        <v>1.121038</v>
      </c>
      <c r="L2353">
        <v>214.09569999999999</v>
      </c>
      <c r="M2353">
        <v>0.99973619999999996</v>
      </c>
      <c r="N2353">
        <v>-1.3717149999999999E-2</v>
      </c>
      <c r="O2353">
        <v>-1.842566E-2</v>
      </c>
      <c r="P2353">
        <v>0.99171949999999998</v>
      </c>
      <c r="Q2353">
        <v>0.1205787</v>
      </c>
      <c r="R2353">
        <v>-4.4199210000000003E-2</v>
      </c>
      <c r="S2353">
        <v>3.1333920000000002</v>
      </c>
      <c r="T2353">
        <v>-1.038384</v>
      </c>
      <c r="U2353">
        <v>-0.44973750000000001</v>
      </c>
      <c r="V2353">
        <v>2.5986229999999999E-2</v>
      </c>
      <c r="W2353">
        <v>0.13416649999999999</v>
      </c>
      <c r="X2353">
        <v>0.99061809999999995</v>
      </c>
      <c r="Y2353">
        <v>0.11822820000000001</v>
      </c>
      <c r="Z2353">
        <v>-1.4154949999999999E-2</v>
      </c>
      <c r="AA2353">
        <v>0.99288560000000003</v>
      </c>
      <c r="AB2353">
        <v>23</v>
      </c>
      <c r="AC2353">
        <v>0.56119999999998504</v>
      </c>
      <c r="AD2353">
        <v>-0.25854469999999902</v>
      </c>
      <c r="AE2353">
        <v>-0.1079</v>
      </c>
      <c r="AF2353">
        <v>8.0967879040878293E-2</v>
      </c>
      <c r="AG2353">
        <v>-0.25854469999999902</v>
      </c>
      <c r="AH2353">
        <v>0.46742200373102899</v>
      </c>
      <c r="AI2353">
        <v>118.59094506754801</v>
      </c>
      <c r="AJ2353">
        <v>80.172616559281295</v>
      </c>
      <c r="AK2353">
        <v>0.54026335143742399</v>
      </c>
      <c r="AL2353">
        <v>82.289575201634506</v>
      </c>
      <c r="AM2353">
        <v>88.497342292263596</v>
      </c>
      <c r="AN2353">
        <v>1.0000000769597299</v>
      </c>
    </row>
    <row r="2354" spans="1:40" x14ac:dyDescent="0.25">
      <c r="A2354" t="str">
        <f>"20190303162552068"</f>
        <v>20190303162552068</v>
      </c>
      <c r="B2354" t="str">
        <f>"1551601552055102"</f>
        <v>1551601552055102</v>
      </c>
      <c r="C2354" t="s">
        <v>40</v>
      </c>
      <c r="D2354">
        <v>5.3709980000000002</v>
      </c>
      <c r="E2354">
        <v>0.54062509999999997</v>
      </c>
      <c r="F2354" t="s">
        <v>42</v>
      </c>
      <c r="G2354">
        <v>-461.0453</v>
      </c>
      <c r="H2354">
        <v>0.86653089999999999</v>
      </c>
      <c r="I2354">
        <v>213.9838</v>
      </c>
      <c r="J2354">
        <v>-461.58620000000002</v>
      </c>
      <c r="K2354">
        <v>1.12113</v>
      </c>
      <c r="L2354">
        <v>214.09110000000001</v>
      </c>
      <c r="M2354">
        <v>0.99973210000000001</v>
      </c>
      <c r="N2354">
        <v>-1.371197E-2</v>
      </c>
      <c r="O2354">
        <v>-1.8650750000000001E-2</v>
      </c>
      <c r="P2354">
        <v>0.99183279999999996</v>
      </c>
      <c r="Q2354">
        <v>0.1184743</v>
      </c>
      <c r="R2354">
        <v>-4.7239150000000001E-2</v>
      </c>
      <c r="S2354">
        <v>3.1313780000000002</v>
      </c>
      <c r="T2354">
        <v>-1.0414209999999999</v>
      </c>
      <c r="U2354">
        <v>-0.45602419999999999</v>
      </c>
      <c r="V2354">
        <v>2.8764789999999998E-2</v>
      </c>
      <c r="W2354">
        <v>0.1320654</v>
      </c>
      <c r="X2354">
        <v>0.99082360000000003</v>
      </c>
      <c r="Y2354">
        <v>0.1199286</v>
      </c>
      <c r="Z2354">
        <v>-1.4413789999999999E-2</v>
      </c>
      <c r="AA2354">
        <v>0.9926779</v>
      </c>
      <c r="AB2354">
        <v>23</v>
      </c>
      <c r="AC2354">
        <v>0.54090000000002103</v>
      </c>
      <c r="AD2354">
        <v>-0.25459909999999902</v>
      </c>
      <c r="AE2354">
        <v>-0.107300000000009</v>
      </c>
      <c r="AF2354">
        <v>8.0114530688339694E-2</v>
      </c>
      <c r="AG2354">
        <v>-0.25459909999999902</v>
      </c>
      <c r="AH2354">
        <v>0.44743050989115102</v>
      </c>
      <c r="AI2354">
        <v>119.253924794391</v>
      </c>
      <c r="AJ2354">
        <v>79.848497469449399</v>
      </c>
      <c r="AK2354">
        <v>0.52099241926315798</v>
      </c>
      <c r="AL2354">
        <v>82.411040114497595</v>
      </c>
      <c r="AM2354">
        <v>88.337102298023595</v>
      </c>
      <c r="AN2354">
        <v>1.0000000446689301</v>
      </c>
    </row>
    <row r="2355" spans="1:40" x14ac:dyDescent="0.25">
      <c r="A2355" t="str">
        <f>"20190303162552092"</f>
        <v>20190303162552092</v>
      </c>
      <c r="B2355" t="str">
        <f>"1551601552085357"</f>
        <v>1551601552085357</v>
      </c>
      <c r="C2355" t="s">
        <v>40</v>
      </c>
      <c r="D2355">
        <v>5.3510479999999996</v>
      </c>
      <c r="E2355">
        <v>0.54007519999999998</v>
      </c>
      <c r="F2355" t="s">
        <v>42</v>
      </c>
      <c r="G2355">
        <v>-460.84120000000001</v>
      </c>
      <c r="H2355">
        <v>0.87167320000000004</v>
      </c>
      <c r="I2355">
        <v>213.98060000000001</v>
      </c>
      <c r="J2355">
        <v>-461.34989999999999</v>
      </c>
      <c r="K2355">
        <v>1.1212310000000001</v>
      </c>
      <c r="L2355">
        <v>214.0864</v>
      </c>
      <c r="M2355">
        <v>0.99973060000000002</v>
      </c>
      <c r="N2355">
        <v>-1.370706E-2</v>
      </c>
      <c r="O2355">
        <v>-1.8739200000000001E-2</v>
      </c>
      <c r="P2355">
        <v>0.99174379999999995</v>
      </c>
      <c r="Q2355">
        <v>0.118076399999999</v>
      </c>
      <c r="R2355">
        <v>-5.0026319999999999E-2</v>
      </c>
      <c r="S2355">
        <v>3.1276549999999999</v>
      </c>
      <c r="T2355">
        <v>-1.0473570000000001</v>
      </c>
      <c r="U2355">
        <v>-0.46485900000000002</v>
      </c>
      <c r="V2355">
        <v>3.143369E-2</v>
      </c>
      <c r="W2355">
        <v>0.131668799999999</v>
      </c>
      <c r="X2355">
        <v>0.99079530000000005</v>
      </c>
      <c r="Y2355">
        <v>0.1225407</v>
      </c>
      <c r="Z2355">
        <v>-1.491283E-2</v>
      </c>
      <c r="AA2355">
        <v>0.99235139999999999</v>
      </c>
      <c r="AB2355">
        <v>23</v>
      </c>
      <c r="AC2355">
        <v>0.50869999999997595</v>
      </c>
      <c r="AD2355">
        <v>-0.249557799999999</v>
      </c>
      <c r="AE2355">
        <v>-0.105799999999987</v>
      </c>
      <c r="AF2355">
        <v>7.8206478389599404E-2</v>
      </c>
      <c r="AG2355">
        <v>-0.249557799999999</v>
      </c>
      <c r="AH2355">
        <v>0.414884049054351</v>
      </c>
      <c r="AI2355">
        <v>120.587418981109</v>
      </c>
      <c r="AJ2355">
        <v>79.324893503439895</v>
      </c>
      <c r="AK2355">
        <v>0.49043258758230501</v>
      </c>
      <c r="AL2355">
        <v>82.433963753316803</v>
      </c>
      <c r="AM2355">
        <v>88.182859888328295</v>
      </c>
      <c r="AN2355">
        <v>1.0000000381312699</v>
      </c>
    </row>
    <row r="2356" spans="1:40" x14ac:dyDescent="0.25">
      <c r="A2356" t="str">
        <f>"20190303162552113"</f>
        <v>20190303162552113</v>
      </c>
      <c r="B2356" t="str">
        <f>"1551601552105853"</f>
        <v>1551601552105853</v>
      </c>
      <c r="C2356" t="s">
        <v>40</v>
      </c>
      <c r="D2356">
        <v>5.356039</v>
      </c>
      <c r="E2356">
        <v>0.53977469999999905</v>
      </c>
      <c r="F2356" t="s">
        <v>42</v>
      </c>
      <c r="G2356">
        <v>-460.63529999999997</v>
      </c>
      <c r="H2356">
        <v>0.8817931</v>
      </c>
      <c r="I2356">
        <v>213.9777</v>
      </c>
      <c r="J2356">
        <v>-461.12360000000001</v>
      </c>
      <c r="K2356">
        <v>1.1213070000000001</v>
      </c>
      <c r="L2356">
        <v>214.08199999999999</v>
      </c>
      <c r="M2356">
        <v>0.99973049999999997</v>
      </c>
      <c r="N2356">
        <v>-1.3702789999999999E-2</v>
      </c>
      <c r="O2356">
        <v>-1.8744730000000001E-2</v>
      </c>
      <c r="P2356">
        <v>0.99145700000000003</v>
      </c>
      <c r="Q2356">
        <v>0.1200087</v>
      </c>
      <c r="R2356">
        <v>-5.1097690000000001E-2</v>
      </c>
      <c r="S2356">
        <v>3.1257630000000001</v>
      </c>
      <c r="T2356">
        <v>-1.047302</v>
      </c>
      <c r="U2356">
        <v>-0.47395320000000002</v>
      </c>
      <c r="V2356">
        <v>3.2483190000000002E-2</v>
      </c>
      <c r="W2356">
        <v>0.13359849999999901</v>
      </c>
      <c r="X2356">
        <v>0.99050300000000002</v>
      </c>
      <c r="Y2356">
        <v>0.1252896</v>
      </c>
      <c r="Z2356">
        <v>-1.5380720000000001E-2</v>
      </c>
      <c r="AA2356">
        <v>0.99200100000000002</v>
      </c>
      <c r="AB2356">
        <v>23</v>
      </c>
      <c r="AC2356">
        <v>0.48830000000003698</v>
      </c>
      <c r="AD2356">
        <v>-0.2395139</v>
      </c>
      <c r="AE2356">
        <v>-0.10429999999999399</v>
      </c>
      <c r="AF2356">
        <v>7.7333497285465194E-2</v>
      </c>
      <c r="AG2356">
        <v>-0.2395139</v>
      </c>
      <c r="AH2356">
        <v>0.398480079194651</v>
      </c>
      <c r="AI2356">
        <v>120.54313387914399</v>
      </c>
      <c r="AJ2356">
        <v>79.017068192279993</v>
      </c>
      <c r="AK2356">
        <v>0.47131067419546802</v>
      </c>
      <c r="AL2356">
        <v>82.322413908078403</v>
      </c>
      <c r="AM2356">
        <v>88.121678675041196</v>
      </c>
      <c r="AN2356">
        <v>0.99999995492191196</v>
      </c>
    </row>
    <row r="2357" spans="1:40" x14ac:dyDescent="0.25">
      <c r="A2357" t="str">
        <f>"20190303162552137"</f>
        <v>20190303162552137</v>
      </c>
      <c r="B2357" t="str">
        <f>"1551601552127325"</f>
        <v>1551601552127325</v>
      </c>
      <c r="C2357" t="s">
        <v>40</v>
      </c>
      <c r="D2357">
        <v>5.3631080000000004</v>
      </c>
      <c r="E2357">
        <v>0.53943419999999997</v>
      </c>
      <c r="F2357" t="s">
        <v>42</v>
      </c>
      <c r="G2357">
        <v>-460.43020000000001</v>
      </c>
      <c r="H2357">
        <v>0.89067799999999997</v>
      </c>
      <c r="I2357">
        <v>213.9761</v>
      </c>
      <c r="J2357">
        <v>-460.8997</v>
      </c>
      <c r="K2357">
        <v>1.1213489999999999</v>
      </c>
      <c r="L2357">
        <v>214.0778</v>
      </c>
      <c r="M2357">
        <v>0.99973120000000004</v>
      </c>
      <c r="N2357">
        <v>-1.369855E-2</v>
      </c>
      <c r="O2357">
        <v>-1.871422E-2</v>
      </c>
      <c r="P2357">
        <v>0.9913322</v>
      </c>
      <c r="Q2357">
        <v>0.12163599999999999</v>
      </c>
      <c r="R2357">
        <v>-4.96529E-2</v>
      </c>
      <c r="S2357">
        <v>3.1271360000000001</v>
      </c>
      <c r="T2357">
        <v>-1.040127</v>
      </c>
      <c r="U2357">
        <v>-0.47731020000000002</v>
      </c>
      <c r="V2357">
        <v>3.1060040000000001E-2</v>
      </c>
      <c r="W2357">
        <v>0.13522210000000001</v>
      </c>
      <c r="X2357">
        <v>0.9903284</v>
      </c>
      <c r="Y2357">
        <v>0.1263223</v>
      </c>
      <c r="Z2357">
        <v>-1.546373E-2</v>
      </c>
      <c r="AA2357">
        <v>0.99186870000000005</v>
      </c>
      <c r="AB2357">
        <v>23</v>
      </c>
      <c r="AC2357">
        <v>0.46949999999998199</v>
      </c>
      <c r="AD2357">
        <v>-0.23067099999999899</v>
      </c>
      <c r="AE2357">
        <v>-0.101699999999993</v>
      </c>
      <c r="AF2357">
        <v>7.5489504610481498E-2</v>
      </c>
      <c r="AG2357">
        <v>-0.23067099999999899</v>
      </c>
      <c r="AH2357">
        <v>0.38301079705663899</v>
      </c>
      <c r="AI2357">
        <v>120.57839679139801</v>
      </c>
      <c r="AJ2357">
        <v>78.850200320060594</v>
      </c>
      <c r="AK2357">
        <v>0.45343692638480299</v>
      </c>
      <c r="AL2357">
        <v>82.2285372745378</v>
      </c>
      <c r="AM2357">
        <v>88.203599899999702</v>
      </c>
      <c r="AN2357">
        <v>1.0000000411298799</v>
      </c>
    </row>
    <row r="2358" spans="1:40" x14ac:dyDescent="0.25">
      <c r="A2358" t="str">
        <f>"20190303162552181"</f>
        <v>20190303162552181</v>
      </c>
      <c r="B2358" t="str">
        <f>"1551601552175149"</f>
        <v>1551601552175149</v>
      </c>
      <c r="C2358" t="s">
        <v>40</v>
      </c>
      <c r="D2358">
        <v>5.3197869999999998</v>
      </c>
      <c r="E2358">
        <v>0.51682899999999998</v>
      </c>
      <c r="F2358" t="s">
        <v>42</v>
      </c>
      <c r="G2358">
        <v>-460.22570000000002</v>
      </c>
      <c r="H2358">
        <v>0.89842259999999996</v>
      </c>
      <c r="I2358">
        <v>213.97540000000001</v>
      </c>
      <c r="J2358">
        <v>-460.45819999999998</v>
      </c>
      <c r="K2358">
        <v>1.121335</v>
      </c>
      <c r="L2358">
        <v>214.06970000000001</v>
      </c>
      <c r="M2358">
        <v>0.99973259999999997</v>
      </c>
      <c r="N2358">
        <v>-1.36902E-2</v>
      </c>
      <c r="O2358">
        <v>-1.86377E-2</v>
      </c>
      <c r="P2358">
        <v>0.99176909999999896</v>
      </c>
      <c r="Q2358">
        <v>0.12241200000000001</v>
      </c>
      <c r="R2358">
        <v>-3.7543920000000001E-2</v>
      </c>
      <c r="S2358">
        <v>3.1295169999999999</v>
      </c>
      <c r="T2358">
        <v>-1.0349649999999999</v>
      </c>
      <c r="U2358">
        <v>-0.47279359999999998</v>
      </c>
      <c r="V2358">
        <v>1.9026669999999999E-2</v>
      </c>
      <c r="W2358">
        <v>0.13598879999999999</v>
      </c>
      <c r="X2358">
        <v>0.99052759999999995</v>
      </c>
      <c r="Y2358">
        <v>0.1250174</v>
      </c>
      <c r="Z2358">
        <v>-1.5191659999999999E-2</v>
      </c>
      <c r="AA2358">
        <v>0.99203819999999998</v>
      </c>
      <c r="AB2358">
        <v>23</v>
      </c>
      <c r="AC2358">
        <v>0.23249999999995899</v>
      </c>
      <c r="AD2358">
        <v>-0.22291239999999901</v>
      </c>
      <c r="AE2358">
        <v>-9.4300000000004006E-2</v>
      </c>
      <c r="AF2358">
        <v>5.0269018274896597E-2</v>
      </c>
      <c r="AG2358">
        <v>-0.22291239999999901</v>
      </c>
      <c r="AH2358">
        <v>0.130893620694087</v>
      </c>
      <c r="AI2358">
        <v>147.82962290934199</v>
      </c>
      <c r="AJ2358">
        <v>68.990972124382196</v>
      </c>
      <c r="AK2358">
        <v>0.263343980775125</v>
      </c>
      <c r="AL2358">
        <v>82.184198305977105</v>
      </c>
      <c r="AM2358">
        <v>88.899562373470204</v>
      </c>
      <c r="AN2358">
        <v>0.99999994712924301</v>
      </c>
    </row>
    <row r="2359" spans="1:40" x14ac:dyDescent="0.25">
      <c r="A2359" t="str">
        <f>"20190303162552223"</f>
        <v>20190303162552223</v>
      </c>
      <c r="B2359" t="str">
        <f>"1551601552215165"</f>
        <v>1551601552215165</v>
      </c>
      <c r="C2359" t="s">
        <v>40</v>
      </c>
      <c r="D2359">
        <v>5.4959530000000001</v>
      </c>
      <c r="E2359">
        <v>0.46510760000000001</v>
      </c>
      <c r="F2359" t="s">
        <v>42</v>
      </c>
      <c r="G2359">
        <v>-459.60890000000001</v>
      </c>
      <c r="H2359">
        <v>0.92909629999999999</v>
      </c>
      <c r="I2359">
        <v>213.99850000000001</v>
      </c>
      <c r="J2359">
        <v>-460.02530000000002</v>
      </c>
      <c r="K2359">
        <v>1.1212740000000001</v>
      </c>
      <c r="L2359">
        <v>214.0616</v>
      </c>
      <c r="M2359">
        <v>0.99973219999999996</v>
      </c>
      <c r="N2359">
        <v>-1.3682740000000001E-2</v>
      </c>
      <c r="O2359">
        <v>-1.8666080000000002E-2</v>
      </c>
      <c r="P2359">
        <v>0.99201220000000001</v>
      </c>
      <c r="Q2359">
        <v>0.1235242</v>
      </c>
      <c r="R2359">
        <v>-2.5567889999999999E-2</v>
      </c>
      <c r="S2359">
        <v>3.1017459999999999</v>
      </c>
      <c r="T2359">
        <v>-0.702071</v>
      </c>
      <c r="U2359">
        <v>-0.25913999999999998</v>
      </c>
      <c r="V2359">
        <v>7.0401810000000004E-3</v>
      </c>
      <c r="W2359">
        <v>0.1370904</v>
      </c>
      <c r="X2359">
        <v>0.99053349999999996</v>
      </c>
      <c r="Y2359">
        <v>6.3362169999999995E-2</v>
      </c>
      <c r="Z2359">
        <v>-3.5972510000000001E-3</v>
      </c>
      <c r="AA2359">
        <v>0.99798410000000004</v>
      </c>
      <c r="AB2359">
        <v>22</v>
      </c>
      <c r="AC2359">
        <v>0.41640000000000998</v>
      </c>
      <c r="AD2359">
        <v>-0.19217769999999901</v>
      </c>
      <c r="AE2359">
        <v>-6.3099999999991496E-2</v>
      </c>
      <c r="AF2359">
        <v>4.5782786127672698E-2</v>
      </c>
      <c r="AG2359">
        <v>-0.19217769999999901</v>
      </c>
      <c r="AH2359">
        <v>0.34555383168214898</v>
      </c>
      <c r="AI2359">
        <v>118.869096081384</v>
      </c>
      <c r="AJ2359">
        <v>82.452778806039802</v>
      </c>
      <c r="AK2359">
        <v>0.398039925727454</v>
      </c>
      <c r="AL2359">
        <v>82.120484811564296</v>
      </c>
      <c r="AM2359">
        <v>89.592779177836206</v>
      </c>
      <c r="AN2359">
        <v>0.99999997827146103</v>
      </c>
    </row>
    <row r="2360" spans="1:40" x14ac:dyDescent="0.25">
      <c r="A2360" t="str">
        <f>"20190303162552247"</f>
        <v>20190303162552247</v>
      </c>
      <c r="B2360" t="str">
        <f>"1551601552235662"</f>
        <v>1551601552235662</v>
      </c>
      <c r="C2360" t="s">
        <v>40</v>
      </c>
      <c r="D2360">
        <v>5.423756</v>
      </c>
      <c r="E2360">
        <v>0.46591320000000003</v>
      </c>
      <c r="F2360" t="s">
        <v>56</v>
      </c>
      <c r="G2360">
        <v>-157.25</v>
      </c>
      <c r="H2360">
        <v>6.3731879999999999</v>
      </c>
      <c r="I2360">
        <v>234.12469999999999</v>
      </c>
      <c r="J2360">
        <v>-459.79570000000001</v>
      </c>
      <c r="K2360">
        <v>1.1212519999999999</v>
      </c>
      <c r="L2360">
        <v>214.0573</v>
      </c>
      <c r="M2360">
        <v>0.99973089999999998</v>
      </c>
      <c r="N2360">
        <v>-1.367648E-2</v>
      </c>
      <c r="O2360">
        <v>-1.8739450000000001E-2</v>
      </c>
      <c r="P2360">
        <v>0.99224599999999996</v>
      </c>
      <c r="Q2360">
        <v>0.1225299</v>
      </c>
      <c r="R2360">
        <v>-2.0843069999999998E-2</v>
      </c>
      <c r="S2360">
        <v>3.0227970000000002</v>
      </c>
      <c r="T2360">
        <v>5.2433729999999998E-2</v>
      </c>
      <c r="U2360">
        <v>0.20030210000000001</v>
      </c>
      <c r="V2360">
        <v>2.2482859999999999E-3</v>
      </c>
      <c r="W2360">
        <v>0.13609180000000001</v>
      </c>
      <c r="X2360">
        <v>0.99069370000000001</v>
      </c>
      <c r="Y2360">
        <v>-8.4795800000000005E-2</v>
      </c>
      <c r="Z2360">
        <v>-7.3472239999999996E-4</v>
      </c>
      <c r="AA2360">
        <v>0.99639809999999995</v>
      </c>
      <c r="AB2360">
        <v>22</v>
      </c>
      <c r="AC2360">
        <v>302.54570000000001</v>
      </c>
      <c r="AD2360">
        <v>5.2519359999999997</v>
      </c>
      <c r="AE2360">
        <v>20.0673999999999</v>
      </c>
      <c r="AF2360">
        <v>-25.726227223676901</v>
      </c>
      <c r="AG2360">
        <v>5.2519359999999997</v>
      </c>
      <c r="AH2360">
        <v>302.02586233115301</v>
      </c>
      <c r="AI2360">
        <v>89.007376254086296</v>
      </c>
      <c r="AJ2360">
        <v>94.868638794250799</v>
      </c>
      <c r="AK2360">
        <v>303.16504270081799</v>
      </c>
      <c r="AL2360">
        <v>82.178242035083898</v>
      </c>
      <c r="AM2360">
        <v>89.869972850544997</v>
      </c>
      <c r="AN2360">
        <v>1.00000002001843</v>
      </c>
    </row>
    <row r="2361" spans="1:40" x14ac:dyDescent="0.25">
      <c r="A2361" t="str">
        <f>"20190303162552268"</f>
        <v>20190303162552268</v>
      </c>
      <c r="B2361" t="str">
        <f>"1551601552255182"</f>
        <v>1551601552255182</v>
      </c>
      <c r="C2361" t="s">
        <v>40</v>
      </c>
      <c r="D2361">
        <v>5.5327650000000004</v>
      </c>
      <c r="E2361">
        <v>0.46740959999999998</v>
      </c>
      <c r="F2361" t="s">
        <v>56</v>
      </c>
      <c r="G2361">
        <v>-157.25</v>
      </c>
      <c r="H2361">
        <v>1.906717</v>
      </c>
      <c r="I2361">
        <v>234.81059999999999</v>
      </c>
      <c r="J2361">
        <v>-459.57530000000003</v>
      </c>
      <c r="K2361">
        <v>1.121238</v>
      </c>
      <c r="L2361">
        <v>214.0532</v>
      </c>
      <c r="M2361">
        <v>0.99972919999999998</v>
      </c>
      <c r="N2361">
        <v>-1.3669270000000001E-2</v>
      </c>
      <c r="O2361">
        <v>-1.8836789999999999E-2</v>
      </c>
      <c r="P2361">
        <v>0.99218799999999996</v>
      </c>
      <c r="Q2361">
        <v>0.123820899999999</v>
      </c>
      <c r="R2361">
        <v>-1.521665E-2</v>
      </c>
      <c r="S2361">
        <v>3.0268250000000001</v>
      </c>
      <c r="T2361">
        <v>7.8587529999999996E-3</v>
      </c>
      <c r="U2361">
        <v>0.20762630000000001</v>
      </c>
      <c r="V2361">
        <v>-3.4656779999999998E-3</v>
      </c>
      <c r="W2361">
        <v>0.13737379999999999</v>
      </c>
      <c r="X2361">
        <v>0.99051319999999998</v>
      </c>
      <c r="Y2361">
        <v>-8.7215600000000004E-2</v>
      </c>
      <c r="Z2361">
        <v>1.777037E-4</v>
      </c>
      <c r="AA2361">
        <v>0.9961894</v>
      </c>
      <c r="AB2361">
        <v>22</v>
      </c>
      <c r="AC2361">
        <v>302.32530000000003</v>
      </c>
      <c r="AD2361">
        <v>0.78547899999999904</v>
      </c>
      <c r="AE2361">
        <v>20.757399999999901</v>
      </c>
      <c r="AF2361">
        <v>-26.4489085487163</v>
      </c>
      <c r="AG2361">
        <v>0.78547899999999904</v>
      </c>
      <c r="AH2361">
        <v>301.87858150148401</v>
      </c>
      <c r="AI2361">
        <v>89.851487359591403</v>
      </c>
      <c r="AJ2361">
        <v>95.007148945092098</v>
      </c>
      <c r="AK2361">
        <v>303.03603698244501</v>
      </c>
      <c r="AL2361">
        <v>82.104092152745594</v>
      </c>
      <c r="AM2361">
        <v>90.200469728478097</v>
      </c>
      <c r="AN2361">
        <v>0.99999998561233905</v>
      </c>
    </row>
    <row r="2362" spans="1:40" x14ac:dyDescent="0.25">
      <c r="A2362" t="str">
        <f>"20190303162552293"</f>
        <v>20190303162552293</v>
      </c>
      <c r="B2362" t="str">
        <f>"1551601552285437"</f>
        <v>1551601552285437</v>
      </c>
      <c r="C2362" t="s">
        <v>40</v>
      </c>
      <c r="D2362">
        <v>5.40151</v>
      </c>
      <c r="E2362">
        <v>0.46960800000000003</v>
      </c>
      <c r="F2362" t="s">
        <v>41</v>
      </c>
      <c r="G2362">
        <v>-179.95779999999999</v>
      </c>
      <c r="H2362">
        <v>2.7265230000000001E-2</v>
      </c>
      <c r="I2362">
        <v>233.56450000000001</v>
      </c>
      <c r="J2362">
        <v>-459.32560000000001</v>
      </c>
      <c r="K2362">
        <v>1.121235</v>
      </c>
      <c r="L2362">
        <v>214.04839999999999</v>
      </c>
      <c r="M2362">
        <v>0.99972700000000003</v>
      </c>
      <c r="N2362">
        <v>-1.3657799999999999E-2</v>
      </c>
      <c r="O2362">
        <v>-1.8962900000000001E-2</v>
      </c>
      <c r="P2362">
        <v>0.99170689999999995</v>
      </c>
      <c r="Q2362">
        <v>0.12809499999999999</v>
      </c>
      <c r="R2362">
        <v>-1.044457E-2</v>
      </c>
      <c r="S2362">
        <v>3.0284119999999999</v>
      </c>
      <c r="T2362">
        <v>-1.1848330000000001E-2</v>
      </c>
      <c r="U2362">
        <v>0.21131900000000001</v>
      </c>
      <c r="V2362">
        <v>-8.3461730000000001E-3</v>
      </c>
      <c r="W2362">
        <v>0.141629</v>
      </c>
      <c r="X2362">
        <v>0.9898846</v>
      </c>
      <c r="Y2362">
        <v>-8.8511759999999995E-2</v>
      </c>
      <c r="Z2362">
        <v>5.9359430000000002E-4</v>
      </c>
      <c r="AA2362">
        <v>0.99607500000000004</v>
      </c>
      <c r="AB2362">
        <v>22</v>
      </c>
      <c r="AC2362">
        <v>279.36779999999999</v>
      </c>
      <c r="AD2362">
        <v>-1.09396977</v>
      </c>
      <c r="AE2362">
        <v>19.516100000000002</v>
      </c>
      <c r="AF2362">
        <v>-24.810328808724201</v>
      </c>
      <c r="AG2362">
        <v>-1.09396977</v>
      </c>
      <c r="AH2362">
        <v>278.94318406357098</v>
      </c>
      <c r="AI2362">
        <v>90.223819999073001</v>
      </c>
      <c r="AJ2362">
        <v>95.082741997982296</v>
      </c>
      <c r="AK2362">
        <v>280.04651242423603</v>
      </c>
      <c r="AL2362">
        <v>81.857879378163403</v>
      </c>
      <c r="AM2362">
        <v>90.483075660321404</v>
      </c>
      <c r="AN2362">
        <v>0.99999997678095198</v>
      </c>
    </row>
    <row r="2363" spans="1:40" x14ac:dyDescent="0.25">
      <c r="A2363" t="str">
        <f>"20190303162552337"</f>
        <v>20190303162552337</v>
      </c>
      <c r="B2363" t="str">
        <f>"1551601552325454"</f>
        <v>1551601552325454</v>
      </c>
      <c r="C2363" t="s">
        <v>40</v>
      </c>
      <c r="D2363">
        <v>5.4587570000000003</v>
      </c>
      <c r="E2363">
        <v>0.4722674</v>
      </c>
      <c r="F2363" t="s">
        <v>51</v>
      </c>
      <c r="G2363">
        <v>-289.93630000000002</v>
      </c>
      <c r="H2363">
        <v>7.1449100000000001E-2</v>
      </c>
      <c r="I2363">
        <v>225.6651</v>
      </c>
      <c r="J2363">
        <v>-458.89819999999997</v>
      </c>
      <c r="K2363">
        <v>1.1212340000000001</v>
      </c>
      <c r="L2363">
        <v>214.0401</v>
      </c>
      <c r="M2363">
        <v>0.99972340000000004</v>
      </c>
      <c r="N2363">
        <v>-1.3599689999999999E-2</v>
      </c>
      <c r="O2363">
        <v>-1.9192500000000001E-2</v>
      </c>
      <c r="P2363">
        <v>0.99068489999999998</v>
      </c>
      <c r="Q2363">
        <v>0.13609199999999999</v>
      </c>
      <c r="R2363">
        <v>-4.7526000000000001E-3</v>
      </c>
      <c r="S2363">
        <v>3.0297239999999999</v>
      </c>
      <c r="T2363">
        <v>-1.8776660000000001E-2</v>
      </c>
      <c r="U2363">
        <v>0.20777889999999999</v>
      </c>
      <c r="V2363">
        <v>-1.4235039999999999E-2</v>
      </c>
      <c r="W2363">
        <v>0.1495541</v>
      </c>
      <c r="X2363">
        <v>0.9886511</v>
      </c>
      <c r="Y2363">
        <v>-8.7550249999999996E-2</v>
      </c>
      <c r="Z2363">
        <v>7.2517539999999905E-4</v>
      </c>
      <c r="AA2363">
        <v>0.99615989999999999</v>
      </c>
      <c r="AB2363">
        <v>22</v>
      </c>
      <c r="AC2363">
        <v>168.96189999999899</v>
      </c>
      <c r="AD2363">
        <v>-1.0497848999999999</v>
      </c>
      <c r="AE2363">
        <v>11.625</v>
      </c>
      <c r="AF2363">
        <v>-14.865388108964201</v>
      </c>
      <c r="AG2363">
        <v>-1.0497848999999999</v>
      </c>
      <c r="AH2363">
        <v>168.701157504408</v>
      </c>
      <c r="AI2363">
        <v>90.355156518697697</v>
      </c>
      <c r="AJ2363">
        <v>95.035708153396996</v>
      </c>
      <c r="AK2363">
        <v>169.358089134512</v>
      </c>
      <c r="AL2363">
        <v>81.398913378108901</v>
      </c>
      <c r="AM2363">
        <v>90.824913215154794</v>
      </c>
      <c r="AN2363">
        <v>1.0000000313609101</v>
      </c>
    </row>
    <row r="2364" spans="1:40" x14ac:dyDescent="0.25">
      <c r="A2364" t="str">
        <f>"20190303162552382"</f>
        <v>20190303162552382</v>
      </c>
      <c r="B2364" t="str">
        <f>"1551601552375231"</f>
        <v>1551601552375231</v>
      </c>
      <c r="C2364" t="s">
        <v>40</v>
      </c>
      <c r="D2364">
        <v>5.3802440000000002</v>
      </c>
      <c r="E2364">
        <v>0.4746496</v>
      </c>
      <c r="F2364" t="s">
        <v>44</v>
      </c>
      <c r="G2364">
        <v>-192.54220000000001</v>
      </c>
      <c r="H2364">
        <v>-0.05</v>
      </c>
      <c r="I2364">
        <v>231.96809999999999</v>
      </c>
      <c r="J2364">
        <v>-458.45479999999998</v>
      </c>
      <c r="K2364">
        <v>1.1211930000000001</v>
      </c>
      <c r="L2364">
        <v>214.03129999999999</v>
      </c>
      <c r="M2364">
        <v>0.99972070000000002</v>
      </c>
      <c r="N2364">
        <v>-1.345054E-2</v>
      </c>
      <c r="O2364">
        <v>-1.9435750000000002E-2</v>
      </c>
      <c r="P2364">
        <v>0.99015909999999996</v>
      </c>
      <c r="Q2364">
        <v>0.13994319999999999</v>
      </c>
      <c r="R2364">
        <v>-1.1770540000000001E-3</v>
      </c>
      <c r="S2364">
        <v>3.0309750000000002</v>
      </c>
      <c r="T2364">
        <v>-1.332796E-2</v>
      </c>
      <c r="U2364">
        <v>0.20401</v>
      </c>
      <c r="V2364">
        <v>-1.8032289999999999E-2</v>
      </c>
      <c r="W2364">
        <v>0.15325079999999999</v>
      </c>
      <c r="X2364">
        <v>0.98802279999999998</v>
      </c>
      <c r="Y2364">
        <v>-8.6533170000000006E-2</v>
      </c>
      <c r="Z2364">
        <v>5.9695929999999998E-4</v>
      </c>
      <c r="AA2364">
        <v>0.99624880000000005</v>
      </c>
      <c r="AB2364">
        <v>22</v>
      </c>
      <c r="AC2364">
        <v>265.9126</v>
      </c>
      <c r="AD2364">
        <v>-1.1711929999999999</v>
      </c>
      <c r="AE2364">
        <v>17.936800000000002</v>
      </c>
      <c r="AF2364">
        <v>-23.1016431669821</v>
      </c>
      <c r="AG2364">
        <v>-1.1711929999999999</v>
      </c>
      <c r="AH2364">
        <v>265.50858820264801</v>
      </c>
      <c r="AI2364">
        <v>90.251786241143193</v>
      </c>
      <c r="AJ2364">
        <v>94.972726306639899</v>
      </c>
      <c r="AK2364">
        <v>266.51429233611702</v>
      </c>
      <c r="AL2364">
        <v>81.184637649945799</v>
      </c>
      <c r="AM2364">
        <v>91.045582571482697</v>
      </c>
      <c r="AN2364">
        <v>1.00000001225156</v>
      </c>
    </row>
    <row r="2365" spans="1:40" x14ac:dyDescent="0.25">
      <c r="A2365" t="str">
        <f>"20190303162552403"</f>
        <v>20190303162552403</v>
      </c>
      <c r="B2365" t="str">
        <f>"1551601552395725"</f>
        <v>1551601552395725</v>
      </c>
      <c r="C2365" t="s">
        <v>40</v>
      </c>
      <c r="D2365">
        <v>5.501207</v>
      </c>
      <c r="E2365">
        <v>0.47542580000000001</v>
      </c>
      <c r="F2365" t="s">
        <v>44</v>
      </c>
      <c r="G2365">
        <v>-243.87629999999999</v>
      </c>
      <c r="H2365">
        <v>-0.05</v>
      </c>
      <c r="I2365">
        <v>227.71190000000001</v>
      </c>
      <c r="J2365">
        <v>-458.23329999999999</v>
      </c>
      <c r="K2365">
        <v>1.1211719999999901</v>
      </c>
      <c r="L2365">
        <v>214.02690000000001</v>
      </c>
      <c r="M2365">
        <v>0.99971960000000004</v>
      </c>
      <c r="N2365">
        <v>-1.3339210000000001E-2</v>
      </c>
      <c r="O2365">
        <v>-1.9569240000000002E-2</v>
      </c>
      <c r="P2365">
        <v>0.98985909999999999</v>
      </c>
      <c r="Q2365">
        <v>0.14204720000000001</v>
      </c>
      <c r="R2365">
        <v>-1.3419770000000001E-3</v>
      </c>
      <c r="S2365">
        <v>3.032349</v>
      </c>
      <c r="T2365">
        <v>-1.65509E-2</v>
      </c>
      <c r="U2365">
        <v>0.1933289</v>
      </c>
      <c r="V2365">
        <v>-1.7989890000000001E-2</v>
      </c>
      <c r="W2365">
        <v>0.155241299999999</v>
      </c>
      <c r="X2365">
        <v>0.9877127</v>
      </c>
      <c r="Y2365">
        <v>-8.3140569999999997E-2</v>
      </c>
      <c r="Z2365">
        <v>6.2773370000000002E-4</v>
      </c>
      <c r="AA2365">
        <v>0.99653760000000002</v>
      </c>
      <c r="AB2365">
        <v>22</v>
      </c>
      <c r="AC2365">
        <v>214.357</v>
      </c>
      <c r="AD2365">
        <v>-1.1711720000000001</v>
      </c>
      <c r="AE2365">
        <v>13.685</v>
      </c>
      <c r="AF2365">
        <v>-17.877023898483699</v>
      </c>
      <c r="AG2365">
        <v>-1.1711720000000001</v>
      </c>
      <c r="AH2365">
        <v>214.04175182697199</v>
      </c>
      <c r="AI2365">
        <v>90.312414367004095</v>
      </c>
      <c r="AJ2365">
        <v>94.774331240192197</v>
      </c>
      <c r="AK2365">
        <v>214.79020264546401</v>
      </c>
      <c r="AL2365">
        <v>81.069208312659001</v>
      </c>
      <c r="AM2365">
        <v>91.043452022415494</v>
      </c>
      <c r="AN2365">
        <v>0.99999993755459404</v>
      </c>
    </row>
    <row r="2366" spans="1:40" x14ac:dyDescent="0.25">
      <c r="A2366" t="str">
        <f>"20190303162552425"</f>
        <v>20190303162552425</v>
      </c>
      <c r="B2366" t="str">
        <f>"1551601552415245"</f>
        <v>1551601552415245</v>
      </c>
      <c r="C2366" t="s">
        <v>40</v>
      </c>
      <c r="D2366">
        <v>5.4418530000000001</v>
      </c>
      <c r="E2366">
        <v>0.4761783</v>
      </c>
      <c r="F2366" t="s">
        <v>44</v>
      </c>
      <c r="G2366">
        <v>-200.76130000000001</v>
      </c>
      <c r="H2366">
        <v>-0.05</v>
      </c>
      <c r="I2366">
        <v>229.9288</v>
      </c>
      <c r="J2366">
        <v>-458.02550000000002</v>
      </c>
      <c r="K2366">
        <v>1.1211660000000001</v>
      </c>
      <c r="L2366">
        <v>214.02260000000001</v>
      </c>
      <c r="M2366">
        <v>0.99971840000000001</v>
      </c>
      <c r="N2366">
        <v>-1.3232020000000001E-2</v>
      </c>
      <c r="O2366">
        <v>-1.9699069999999999E-2</v>
      </c>
      <c r="P2366">
        <v>0.98961109999999997</v>
      </c>
      <c r="Q2366">
        <v>0.14374799999999999</v>
      </c>
      <c r="R2366">
        <v>-2.5180440000000001E-3</v>
      </c>
      <c r="S2366">
        <v>3.0328979999999999</v>
      </c>
      <c r="T2366">
        <v>-1.379585E-2</v>
      </c>
      <c r="U2366">
        <v>0.18731690000000001</v>
      </c>
      <c r="V2366">
        <v>-1.6937170000000001E-2</v>
      </c>
      <c r="W2366">
        <v>0.15683279999999999</v>
      </c>
      <c r="X2366">
        <v>0.98747989999999997</v>
      </c>
      <c r="Y2366">
        <v>-8.1291559999999999E-2</v>
      </c>
      <c r="Z2366">
        <v>5.5221419999999897E-4</v>
      </c>
      <c r="AA2366">
        <v>0.99669019999999997</v>
      </c>
      <c r="AB2366">
        <v>22</v>
      </c>
      <c r="AC2366">
        <v>257.26420000000002</v>
      </c>
      <c r="AD2366">
        <v>-1.1711659999999999</v>
      </c>
      <c r="AE2366">
        <v>15.906199999999901</v>
      </c>
      <c r="AF2366">
        <v>-20.9709891319538</v>
      </c>
      <c r="AG2366">
        <v>-1.1711659999999999</v>
      </c>
      <c r="AH2366">
        <v>256.89560183128702</v>
      </c>
      <c r="AI2366">
        <v>90.260338978446995</v>
      </c>
      <c r="AJ2366">
        <v>94.666840557246999</v>
      </c>
      <c r="AK2366">
        <v>257.75279679419799</v>
      </c>
      <c r="AL2366">
        <v>80.976891621293305</v>
      </c>
      <c r="AM2366">
        <v>90.982635911729204</v>
      </c>
      <c r="AN2366">
        <v>0.99999997389372897</v>
      </c>
    </row>
    <row r="2367" spans="1:40" x14ac:dyDescent="0.25">
      <c r="A2367" t="str">
        <f>"20190303162552447"</f>
        <v>20190303162552447</v>
      </c>
      <c r="B2367" t="str">
        <f>"1551601552435741"</f>
        <v>1551601552435741</v>
      </c>
      <c r="C2367" t="s">
        <v>40</v>
      </c>
      <c r="D2367">
        <v>5.505655</v>
      </c>
      <c r="E2367">
        <v>0.47648259999999998</v>
      </c>
      <c r="F2367" t="s">
        <v>41</v>
      </c>
      <c r="G2367">
        <v>-186.41380000000001</v>
      </c>
      <c r="H2367" s="1">
        <v>-1.0725910000000001E-6</v>
      </c>
      <c r="I2367">
        <v>229.9528</v>
      </c>
      <c r="J2367">
        <v>-457.79919999999998</v>
      </c>
      <c r="K2367">
        <v>1.121154</v>
      </c>
      <c r="L2367">
        <v>214.018</v>
      </c>
      <c r="M2367">
        <v>0.99971730000000003</v>
      </c>
      <c r="N2367">
        <v>-1.3103510000000001E-2</v>
      </c>
      <c r="O2367">
        <v>-1.9839160000000002E-2</v>
      </c>
      <c r="P2367">
        <v>0.98949209999999999</v>
      </c>
      <c r="Q2367">
        <v>0.14455019999999999</v>
      </c>
      <c r="R2367">
        <v>-3.2766179999999998E-3</v>
      </c>
      <c r="S2367">
        <v>3.0337830000000001</v>
      </c>
      <c r="T2367">
        <v>-1.252294E-2</v>
      </c>
      <c r="U2367">
        <v>0.1779327</v>
      </c>
      <c r="V2367">
        <v>-1.6316669999999998E-2</v>
      </c>
      <c r="W2367">
        <v>0.15750620000000001</v>
      </c>
      <c r="X2367">
        <v>0.98738320000000002</v>
      </c>
      <c r="Y2367">
        <v>-7.8341569999999999E-2</v>
      </c>
      <c r="Z2367">
        <v>4.9739909999999997E-4</v>
      </c>
      <c r="AA2367">
        <v>0.99692639999999999</v>
      </c>
      <c r="AB2367">
        <v>22</v>
      </c>
      <c r="AC2367">
        <v>271.3854</v>
      </c>
      <c r="AD2367">
        <v>-1.121155072591</v>
      </c>
      <c r="AE2367">
        <v>15.9347999999999</v>
      </c>
      <c r="AF2367">
        <v>-21.315821425478301</v>
      </c>
      <c r="AG2367">
        <v>-1.121155072591</v>
      </c>
      <c r="AH2367">
        <v>271.01120830677797</v>
      </c>
      <c r="AI2367">
        <v>90.2362976529745</v>
      </c>
      <c r="AJ2367">
        <v>94.497221610627705</v>
      </c>
      <c r="AK2367">
        <v>271.85050351183799</v>
      </c>
      <c r="AL2367">
        <v>80.9378234155527</v>
      </c>
      <c r="AM2367">
        <v>90.946736020665199</v>
      </c>
      <c r="AN2367">
        <v>1.00000001020028</v>
      </c>
    </row>
    <row r="2368" spans="1:40" x14ac:dyDescent="0.25">
      <c r="A2368" t="str">
        <f>"20190303162552470"</f>
        <v>20190303162552470</v>
      </c>
      <c r="B2368" t="str">
        <f>"1551601552465998"</f>
        <v>1551601552465998</v>
      </c>
      <c r="C2368" t="s">
        <v>40</v>
      </c>
      <c r="D2368">
        <v>5.2004070000000002</v>
      </c>
      <c r="E2368">
        <v>0.4946198</v>
      </c>
      <c r="F2368" t="s">
        <v>41</v>
      </c>
      <c r="G2368">
        <v>-179.95779999999999</v>
      </c>
      <c r="H2368">
        <v>9.3831190000000003E-4</v>
      </c>
      <c r="I2368">
        <v>229.84020000000001</v>
      </c>
      <c r="J2368">
        <v>-457.56270000000001</v>
      </c>
      <c r="K2368">
        <v>1.121146</v>
      </c>
      <c r="L2368">
        <v>214.01310000000001</v>
      </c>
      <c r="M2368">
        <v>0.99971620000000005</v>
      </c>
      <c r="N2368">
        <v>-1.2962889999999999E-2</v>
      </c>
      <c r="O2368">
        <v>-1.9982969999999999E-2</v>
      </c>
      <c r="P2368">
        <v>0.9894522</v>
      </c>
      <c r="Q2368">
        <v>0.144813</v>
      </c>
      <c r="R2368">
        <v>-3.6786409999999999E-3</v>
      </c>
      <c r="S2368">
        <v>3.0342410000000002</v>
      </c>
      <c r="T2368">
        <v>-1.2233610000000001E-2</v>
      </c>
      <c r="U2368">
        <v>0.17279050000000001</v>
      </c>
      <c r="V2368">
        <v>-1.605881E-2</v>
      </c>
      <c r="W2368">
        <v>0.15762909999999999</v>
      </c>
      <c r="X2368">
        <v>0.98736780000000002</v>
      </c>
      <c r="Y2368">
        <v>-7.6792310000000003E-2</v>
      </c>
      <c r="Z2368">
        <v>4.7453289999999998E-4</v>
      </c>
      <c r="AA2368">
        <v>0.99704700000000002</v>
      </c>
      <c r="AB2368">
        <v>22</v>
      </c>
      <c r="AC2368">
        <v>277.60489999999999</v>
      </c>
      <c r="AD2368">
        <v>-1.1202076881</v>
      </c>
      <c r="AE2368">
        <v>15.8271</v>
      </c>
      <c r="AF2368">
        <v>-21.371429233224902</v>
      </c>
      <c r="AG2368">
        <v>-1.1202076881</v>
      </c>
      <c r="AH2368">
        <v>277.22866002908199</v>
      </c>
      <c r="AI2368">
        <v>90.230830962933993</v>
      </c>
      <c r="AJ2368">
        <v>94.408186630097504</v>
      </c>
      <c r="AK2368">
        <v>278.05345312413499</v>
      </c>
      <c r="AL2368">
        <v>80.930692554326995</v>
      </c>
      <c r="AM2368">
        <v>90.931791496027799</v>
      </c>
      <c r="AN2368">
        <v>0.99999999551113194</v>
      </c>
    </row>
    <row r="2369" spans="1:40" x14ac:dyDescent="0.25">
      <c r="A2369" t="str">
        <f>"20190303162552516"</f>
        <v>20190303162552516</v>
      </c>
      <c r="B2369" t="str">
        <f>"1551601552506015"</f>
        <v>1551601552506015</v>
      </c>
      <c r="C2369" t="s">
        <v>40</v>
      </c>
      <c r="D2369">
        <v>5.3178679999999998</v>
      </c>
      <c r="E2369">
        <v>0.49593470000000001</v>
      </c>
      <c r="F2369" t="s">
        <v>51</v>
      </c>
      <c r="G2369">
        <v>-427.94200000000001</v>
      </c>
      <c r="H2369" s="1">
        <v>2.5867210000000001E-6</v>
      </c>
      <c r="I2369">
        <v>214.2629</v>
      </c>
      <c r="J2369">
        <v>-457.1139</v>
      </c>
      <c r="K2369">
        <v>1.121132</v>
      </c>
      <c r="L2369">
        <v>214.00380000000001</v>
      </c>
      <c r="M2369">
        <v>0.99971410000000005</v>
      </c>
      <c r="N2369">
        <v>-1.2725429999999999E-2</v>
      </c>
      <c r="O2369">
        <v>-2.02472E-2</v>
      </c>
      <c r="P2369">
        <v>0.98891110000000004</v>
      </c>
      <c r="Q2369">
        <v>0.14833479999999999</v>
      </c>
      <c r="R2369">
        <v>-7.1964359999999996E-3</v>
      </c>
      <c r="S2369">
        <v>3.04895</v>
      </c>
      <c r="T2369">
        <v>-0.11540250000000001</v>
      </c>
      <c r="U2369">
        <v>2.5711060000000001E-2</v>
      </c>
      <c r="V2369">
        <v>-1.279337E-2</v>
      </c>
      <c r="W2369">
        <v>0.16090929999999901</v>
      </c>
      <c r="X2369">
        <v>0.98688629999999999</v>
      </c>
      <c r="Y2369">
        <v>-2.8645049999999998E-2</v>
      </c>
      <c r="Z2369">
        <v>1.232697E-3</v>
      </c>
      <c r="AA2369">
        <v>0.9995889</v>
      </c>
      <c r="AB2369">
        <v>22</v>
      </c>
      <c r="AC2369">
        <v>29.171900000000001</v>
      </c>
      <c r="AD2369">
        <v>-1.121129413279</v>
      </c>
      <c r="AE2369">
        <v>0.25909999999998901</v>
      </c>
      <c r="AF2369">
        <v>-0.84849082433966805</v>
      </c>
      <c r="AG2369">
        <v>-1.121129413279</v>
      </c>
      <c r="AH2369">
        <v>29.117668888749201</v>
      </c>
      <c r="AI2369">
        <v>92.204058761650003</v>
      </c>
      <c r="AJ2369">
        <v>91.669130520987395</v>
      </c>
      <c r="AK2369">
        <v>29.151595314067201</v>
      </c>
      <c r="AL2369">
        <v>80.740321024343103</v>
      </c>
      <c r="AM2369">
        <v>90.742704656654197</v>
      </c>
      <c r="AN2369">
        <v>1.0000000211350599</v>
      </c>
    </row>
    <row r="2370" spans="1:40" x14ac:dyDescent="0.25">
      <c r="A2370" t="str">
        <f>"20190303162552537"</f>
        <v>20190303162552537</v>
      </c>
      <c r="B2370" t="str">
        <f>"1551601552525534"</f>
        <v>1551601552525534</v>
      </c>
      <c r="C2370" t="s">
        <v>40</v>
      </c>
      <c r="D2370">
        <v>5.3759750000000004</v>
      </c>
      <c r="E2370">
        <v>0.49604740000000003</v>
      </c>
      <c r="F2370" t="s">
        <v>51</v>
      </c>
      <c r="G2370">
        <v>-428.05549999999999</v>
      </c>
      <c r="H2370" s="1">
        <v>2.58499E-6</v>
      </c>
      <c r="I2370">
        <v>214.0523</v>
      </c>
      <c r="J2370">
        <v>-456.90710000000001</v>
      </c>
      <c r="K2370">
        <v>1.1211249999999999</v>
      </c>
      <c r="L2370">
        <v>213.99950000000001</v>
      </c>
      <c r="M2370">
        <v>0.99971290000000002</v>
      </c>
      <c r="N2370">
        <v>-1.263127E-2</v>
      </c>
      <c r="O2370">
        <v>-2.0362970000000001E-2</v>
      </c>
      <c r="P2370">
        <v>0.98890199999999995</v>
      </c>
      <c r="Q2370">
        <v>0.1482541</v>
      </c>
      <c r="R2370">
        <v>-9.6867949999999998E-3</v>
      </c>
      <c r="S2370">
        <v>3.051361</v>
      </c>
      <c r="T2370">
        <v>-0.117727399999999</v>
      </c>
      <c r="U2370">
        <v>5.0964360000000002E-3</v>
      </c>
      <c r="V2370">
        <v>-1.041719E-2</v>
      </c>
      <c r="W2370">
        <v>0.16073560000000001</v>
      </c>
      <c r="X2370">
        <v>0.98694249999999994</v>
      </c>
      <c r="Y2370">
        <v>-2.200585E-2</v>
      </c>
      <c r="Z2370">
        <v>1.0915549999999999E-3</v>
      </c>
      <c r="AA2370">
        <v>0.99975720000000001</v>
      </c>
      <c r="AB2370">
        <v>22</v>
      </c>
      <c r="AC2370">
        <v>28.851600000000001</v>
      </c>
      <c r="AD2370">
        <v>-1.1211224150100001</v>
      </c>
      <c r="AE2370">
        <v>5.2799999999990598E-2</v>
      </c>
      <c r="AF2370">
        <v>-0.63937473610427398</v>
      </c>
      <c r="AG2370">
        <v>-1.1211224150100001</v>
      </c>
      <c r="AH2370">
        <v>28.8010531341234</v>
      </c>
      <c r="AI2370">
        <v>92.228646586030607</v>
      </c>
      <c r="AJ2370">
        <v>91.271740221789102</v>
      </c>
      <c r="AK2370">
        <v>28.8299562461895</v>
      </c>
      <c r="AL2370">
        <v>80.750404120872304</v>
      </c>
      <c r="AM2370">
        <v>90.604735187491499</v>
      </c>
      <c r="AN2370">
        <v>0.99999997463055201</v>
      </c>
    </row>
    <row r="2371" spans="1:40" x14ac:dyDescent="0.25">
      <c r="A2371" t="str">
        <f>"20190303162552563"</f>
        <v>20190303162552563</v>
      </c>
      <c r="B2371" t="str">
        <f>"1551601552555790"</f>
        <v>1551601552555790</v>
      </c>
      <c r="C2371" t="s">
        <v>40</v>
      </c>
      <c r="D2371">
        <v>5.3013949999999896</v>
      </c>
      <c r="E2371">
        <v>0.49615740000000003</v>
      </c>
      <c r="F2371" t="s">
        <v>51</v>
      </c>
      <c r="G2371">
        <v>-427.80220000000003</v>
      </c>
      <c r="H2371" s="1">
        <v>2.6369379999999999E-6</v>
      </c>
      <c r="I2371">
        <v>213.97210000000001</v>
      </c>
      <c r="J2371">
        <v>-456.65120000000002</v>
      </c>
      <c r="K2371">
        <v>1.121113</v>
      </c>
      <c r="L2371">
        <v>213.994</v>
      </c>
      <c r="M2371">
        <v>0.99971129999999997</v>
      </c>
      <c r="N2371">
        <v>-1.2525120000000001E-2</v>
      </c>
      <c r="O2371">
        <v>-2.0501189999999999E-2</v>
      </c>
      <c r="P2371">
        <v>0.98891960000000001</v>
      </c>
      <c r="Q2371">
        <v>0.14798140000000001</v>
      </c>
      <c r="R2371">
        <v>-1.1819939999999999E-2</v>
      </c>
      <c r="S2371">
        <v>3.0512700000000001</v>
      </c>
      <c r="T2371">
        <v>-0.1175351</v>
      </c>
      <c r="U2371">
        <v>-2.8686520000000002E-3</v>
      </c>
      <c r="V2371">
        <v>-8.4213599999999993E-3</v>
      </c>
      <c r="W2371">
        <v>0.16035859999999999</v>
      </c>
      <c r="X2371">
        <v>0.98702290000000004</v>
      </c>
      <c r="Y2371">
        <v>-1.953672E-2</v>
      </c>
      <c r="Z2371">
        <v>1.0311840000000001E-3</v>
      </c>
      <c r="AA2371">
        <v>0.99980860000000005</v>
      </c>
      <c r="AB2371">
        <v>22</v>
      </c>
      <c r="AC2371">
        <v>28.848999999999901</v>
      </c>
      <c r="AD2371">
        <v>-1.1211103630620001</v>
      </c>
      <c r="AE2371">
        <v>-2.1900000000016399E-2</v>
      </c>
      <c r="AF2371">
        <v>-0.56873097400030204</v>
      </c>
      <c r="AG2371">
        <v>-1.1211103630620001</v>
      </c>
      <c r="AH2371">
        <v>28.799891177178498</v>
      </c>
      <c r="AI2371">
        <v>92.228826932480402</v>
      </c>
      <c r="AJ2371">
        <v>91.131311553622197</v>
      </c>
      <c r="AK2371">
        <v>28.827314741131801</v>
      </c>
      <c r="AL2371">
        <v>80.772288770337198</v>
      </c>
      <c r="AM2371">
        <v>90.488840408847295</v>
      </c>
      <c r="AN2371">
        <v>1.0000000025113001</v>
      </c>
    </row>
    <row r="2372" spans="1:40" x14ac:dyDescent="0.25">
      <c r="A2372" t="str">
        <f>"20190303162552605"</f>
        <v>20190303162552605</v>
      </c>
      <c r="B2372" t="str">
        <f>"1551601552595806"</f>
        <v>1551601552595806</v>
      </c>
      <c r="C2372" t="s">
        <v>40</v>
      </c>
      <c r="D2372">
        <v>5.2577610000000004</v>
      </c>
      <c r="E2372">
        <v>0.49610549999999998</v>
      </c>
      <c r="F2372" t="s">
        <v>51</v>
      </c>
      <c r="G2372">
        <v>-427.63490000000002</v>
      </c>
      <c r="H2372" s="1">
        <v>2.673175E-6</v>
      </c>
      <c r="I2372">
        <v>213.89709999999999</v>
      </c>
      <c r="J2372">
        <v>-456.23719999999997</v>
      </c>
      <c r="K2372">
        <v>1.12112099999999</v>
      </c>
      <c r="L2372">
        <v>213.98519999999999</v>
      </c>
      <c r="M2372">
        <v>0.99970879999999995</v>
      </c>
      <c r="N2372">
        <v>-1.236406E-2</v>
      </c>
      <c r="O2372">
        <v>-2.072448E-2</v>
      </c>
      <c r="P2372">
        <v>0.98856809999999995</v>
      </c>
      <c r="Q2372">
        <v>0.14988589999999999</v>
      </c>
      <c r="R2372">
        <v>-1.6350170000000001E-2</v>
      </c>
      <c r="S2372">
        <v>3.0511780000000002</v>
      </c>
      <c r="T2372">
        <v>-0.1178889</v>
      </c>
      <c r="U2372">
        <v>-1.019287E-2</v>
      </c>
      <c r="V2372">
        <v>-4.106607E-3</v>
      </c>
      <c r="W2372">
        <v>0.16209979999999999</v>
      </c>
      <c r="X2372">
        <v>0.98676580000000003</v>
      </c>
      <c r="Y2372">
        <v>-1.73618E-2</v>
      </c>
      <c r="Z2372">
        <v>9.8685409999999993E-4</v>
      </c>
      <c r="AA2372">
        <v>0.99984879999999998</v>
      </c>
      <c r="AB2372">
        <v>22</v>
      </c>
      <c r="AC2372">
        <v>28.6022999999999</v>
      </c>
      <c r="AD2372">
        <v>-1.12111832682499</v>
      </c>
      <c r="AE2372">
        <v>-8.8099999999997097E-2</v>
      </c>
      <c r="AF2372">
        <v>-0.50395774739551102</v>
      </c>
      <c r="AG2372">
        <v>-1.12111832682499</v>
      </c>
      <c r="AH2372">
        <v>28.554112177969898</v>
      </c>
      <c r="AI2372">
        <v>92.2480959610197</v>
      </c>
      <c r="AJ2372">
        <v>91.011120719031396</v>
      </c>
      <c r="AK2372">
        <v>28.580556362429199</v>
      </c>
      <c r="AL2372">
        <v>80.671202594256698</v>
      </c>
      <c r="AM2372">
        <v>90.238445526637406</v>
      </c>
      <c r="AN2372">
        <v>0.999999976715365</v>
      </c>
    </row>
    <row r="2373" spans="1:40" x14ac:dyDescent="0.25">
      <c r="A2373" t="str">
        <f>"20190303162552627"</f>
        <v>20190303162552627</v>
      </c>
      <c r="B2373" t="str">
        <f>"1551601552615325"</f>
        <v>1551601552615325</v>
      </c>
      <c r="C2373" t="s">
        <v>40</v>
      </c>
      <c r="D2373">
        <v>5.2433300000000003</v>
      </c>
      <c r="E2373">
        <v>0.51626159999999999</v>
      </c>
      <c r="F2373" t="s">
        <v>51</v>
      </c>
      <c r="G2373">
        <v>-425.51409999999998</v>
      </c>
      <c r="H2373" s="1">
        <v>3.0618040000000002E-6</v>
      </c>
      <c r="I2373">
        <v>213.75470000000001</v>
      </c>
      <c r="J2373">
        <v>-456.01960000000003</v>
      </c>
      <c r="K2373">
        <v>1.121127</v>
      </c>
      <c r="L2373">
        <v>213.98050000000001</v>
      </c>
      <c r="M2373">
        <v>0.99970749999999997</v>
      </c>
      <c r="N2373">
        <v>-1.228451E-2</v>
      </c>
      <c r="O2373">
        <v>-2.0843270000000001E-2</v>
      </c>
      <c r="P2373">
        <v>0.98817449999999996</v>
      </c>
      <c r="Q2373">
        <v>0.15222069999999999</v>
      </c>
      <c r="R2373">
        <v>-1.8451479999999999E-2</v>
      </c>
      <c r="S2373">
        <v>3.0511780000000002</v>
      </c>
      <c r="T2373">
        <v>-0.1113408</v>
      </c>
      <c r="U2373">
        <v>-2.2888180000000001E-2</v>
      </c>
      <c r="V2373">
        <v>-2.1159450000000002E-3</v>
      </c>
      <c r="W2373">
        <v>0.16435089999999999</v>
      </c>
      <c r="X2373">
        <v>0.98639969999999999</v>
      </c>
      <c r="Y2373">
        <v>-1.332672E-2</v>
      </c>
      <c r="Z2373">
        <v>8.2922119999999995E-4</v>
      </c>
      <c r="AA2373">
        <v>0.99991079999999999</v>
      </c>
      <c r="AB2373">
        <v>22</v>
      </c>
      <c r="AC2373">
        <v>30.505500000000001</v>
      </c>
      <c r="AD2373">
        <v>-1.1211239381960001</v>
      </c>
      <c r="AE2373">
        <v>-0.22579999999999201</v>
      </c>
      <c r="AF2373">
        <v>-0.40957810067954198</v>
      </c>
      <c r="AG2373">
        <v>-1.1211239381960001</v>
      </c>
      <c r="AH2373">
        <v>30.462436007861101</v>
      </c>
      <c r="AI2373">
        <v>92.107542995679097</v>
      </c>
      <c r="AJ2373">
        <v>90.770315367757703</v>
      </c>
      <c r="AK2373">
        <v>30.485811136303798</v>
      </c>
      <c r="AL2373">
        <v>80.540471288943294</v>
      </c>
      <c r="AM2373">
        <v>90.122906091949304</v>
      </c>
      <c r="AN2373">
        <v>1.0000000318570701</v>
      </c>
    </row>
    <row r="2374" spans="1:40" x14ac:dyDescent="0.25">
      <c r="A2374" t="str">
        <f>"20190303162552648"</f>
        <v>20190303162552648</v>
      </c>
      <c r="B2374" t="str">
        <f>"1551601552635822"</f>
        <v>1551601552635822</v>
      </c>
      <c r="C2374" t="s">
        <v>40</v>
      </c>
      <c r="D2374">
        <v>5.2099539999999998</v>
      </c>
      <c r="E2374">
        <v>0.5260087</v>
      </c>
      <c r="F2374" t="s">
        <v>51</v>
      </c>
      <c r="G2374">
        <v>-423.04809999999998</v>
      </c>
      <c r="H2374" s="1">
        <v>3.6588789999999999E-6</v>
      </c>
      <c r="I2374">
        <v>211.92869999999999</v>
      </c>
      <c r="J2374">
        <v>-455.79840000000002</v>
      </c>
      <c r="K2374">
        <v>1.121127</v>
      </c>
      <c r="L2374">
        <v>213.97579999999999</v>
      </c>
      <c r="M2374">
        <v>0.99970590000000004</v>
      </c>
      <c r="N2374">
        <v>-1.2199720000000001E-2</v>
      </c>
      <c r="O2374">
        <v>-2.0962169999999999E-2</v>
      </c>
      <c r="P2374">
        <v>0.98801470000000002</v>
      </c>
      <c r="Q2374">
        <v>0.1530407</v>
      </c>
      <c r="R2374">
        <v>-2.0144490000000001E-2</v>
      </c>
      <c r="S2374">
        <v>3.04834</v>
      </c>
      <c r="T2374">
        <v>-0.1036521</v>
      </c>
      <c r="U2374">
        <v>-0.18969730000000001</v>
      </c>
      <c r="V2374">
        <v>-5.3784470000000002E-4</v>
      </c>
      <c r="W2374">
        <v>0.1650856</v>
      </c>
      <c r="X2374">
        <v>0.98627909999999996</v>
      </c>
      <c r="Y2374">
        <v>4.1145399999999999E-2</v>
      </c>
      <c r="Z2374">
        <v>-4.9376309999999996E-4</v>
      </c>
      <c r="AA2374">
        <v>0.99915299999999996</v>
      </c>
      <c r="AB2374">
        <v>22</v>
      </c>
      <c r="AC2374">
        <v>32.750300000000003</v>
      </c>
      <c r="AD2374">
        <v>-1.121123341121</v>
      </c>
      <c r="AE2374">
        <v>-2.0470999999999999</v>
      </c>
      <c r="AF2374">
        <v>1.35849594501814</v>
      </c>
      <c r="AG2374">
        <v>-1.121123341121</v>
      </c>
      <c r="AH2374">
        <v>32.747791023772301</v>
      </c>
      <c r="AI2374">
        <v>91.959076335040606</v>
      </c>
      <c r="AJ2374">
        <v>87.624527374810995</v>
      </c>
      <c r="AK2374">
        <v>32.795125334648397</v>
      </c>
      <c r="AL2374">
        <v>80.497792855921404</v>
      </c>
      <c r="AM2374">
        <v>90.031244936944006</v>
      </c>
      <c r="AN2374">
        <v>1.0000000038505401</v>
      </c>
    </row>
    <row r="2375" spans="1:40" x14ac:dyDescent="0.25">
      <c r="A2375" t="str">
        <f>"20190303162552672"</f>
        <v>20190303162552672</v>
      </c>
      <c r="B2375" t="str">
        <f>"1551601552665102"</f>
        <v>1551601552665102</v>
      </c>
      <c r="C2375" t="s">
        <v>40</v>
      </c>
      <c r="D2375">
        <v>5.1625259999999997</v>
      </c>
      <c r="E2375">
        <v>0.53014640000000002</v>
      </c>
      <c r="F2375" t="s">
        <v>51</v>
      </c>
      <c r="G2375">
        <v>-433.19420000000002</v>
      </c>
      <c r="H2375" s="1">
        <v>3.8658670000000003E-6</v>
      </c>
      <c r="I2375">
        <v>211.9581</v>
      </c>
      <c r="J2375">
        <v>-455.56119999999999</v>
      </c>
      <c r="K2375">
        <v>1.1211169999999999</v>
      </c>
      <c r="L2375">
        <v>213.97059999999999</v>
      </c>
      <c r="M2375">
        <v>0.99970479999999995</v>
      </c>
      <c r="N2375">
        <v>-1.208297E-2</v>
      </c>
      <c r="O2375">
        <v>-2.108409E-2</v>
      </c>
      <c r="P2375">
        <v>0.98786640000000003</v>
      </c>
      <c r="Q2375">
        <v>0.15374769999999999</v>
      </c>
      <c r="R2375">
        <v>-2.195834E-2</v>
      </c>
      <c r="S2375">
        <v>3.0542910000000001</v>
      </c>
      <c r="T2375">
        <v>-0.1514866</v>
      </c>
      <c r="U2375">
        <v>-0.2726288</v>
      </c>
      <c r="V2375">
        <v>1.157419E-3</v>
      </c>
      <c r="W2375">
        <v>0.1656753</v>
      </c>
      <c r="X2375">
        <v>0.98617969999999999</v>
      </c>
      <c r="Y2375">
        <v>6.7797300000000005E-2</v>
      </c>
      <c r="Z2375">
        <v>-1.2991840000000001E-3</v>
      </c>
      <c r="AA2375">
        <v>0.99769819999999998</v>
      </c>
      <c r="AB2375">
        <v>22</v>
      </c>
      <c r="AC2375">
        <v>22.366999999999901</v>
      </c>
      <c r="AD2375">
        <v>-1.1211131341329901</v>
      </c>
      <c r="AE2375">
        <v>-2.0124999999999802</v>
      </c>
      <c r="AF2375">
        <v>1.5366008449311499</v>
      </c>
      <c r="AG2375">
        <v>-1.1211131341329901</v>
      </c>
      <c r="AH2375">
        <v>22.348764617225299</v>
      </c>
      <c r="AI2375">
        <v>92.865050332974505</v>
      </c>
      <c r="AJ2375">
        <v>86.066789166773901</v>
      </c>
      <c r="AK2375">
        <v>22.429563453895199</v>
      </c>
      <c r="AL2375">
        <v>80.463533962710599</v>
      </c>
      <c r="AM2375">
        <v>89.932755467000405</v>
      </c>
      <c r="AN2375">
        <v>1.00000002267046</v>
      </c>
    </row>
    <row r="2376" spans="1:40" x14ac:dyDescent="0.25">
      <c r="A2376" t="str">
        <f>"20190303162552715"</f>
        <v>20190303162552715</v>
      </c>
      <c r="B2376" t="str">
        <f>"1551601552706094"</f>
        <v>1551601552706094</v>
      </c>
      <c r="C2376" t="s">
        <v>40</v>
      </c>
      <c r="D2376">
        <v>5.1911449999999997</v>
      </c>
      <c r="E2376">
        <v>0.53132270000000004</v>
      </c>
      <c r="F2376" t="s">
        <v>51</v>
      </c>
      <c r="G2376">
        <v>-436.05619999999999</v>
      </c>
      <c r="H2376" s="1">
        <v>5.1325179999999996E-6</v>
      </c>
      <c r="I2376">
        <v>211.98740000000001</v>
      </c>
      <c r="J2376">
        <v>-455.13459999999998</v>
      </c>
      <c r="K2376">
        <v>1.1210800000000001</v>
      </c>
      <c r="L2376">
        <v>213.96129999999999</v>
      </c>
      <c r="M2376">
        <v>0.99970440000000005</v>
      </c>
      <c r="N2376">
        <v>-1.1787880000000001E-2</v>
      </c>
      <c r="O2376">
        <v>-2.1263170000000001E-2</v>
      </c>
      <c r="P2376">
        <v>0.98756239999999995</v>
      </c>
      <c r="Q2376">
        <v>0.15541839999999901</v>
      </c>
      <c r="R2376">
        <v>-2.3783809999999999E-2</v>
      </c>
      <c r="S2376">
        <v>3.057312</v>
      </c>
      <c r="T2376">
        <v>-0.175729</v>
      </c>
      <c r="U2376">
        <v>-0.31086730000000001</v>
      </c>
      <c r="V2376">
        <v>2.8056420000000001E-3</v>
      </c>
      <c r="W2376">
        <v>0.16705200000000001</v>
      </c>
      <c r="X2376">
        <v>0.98594409999999999</v>
      </c>
      <c r="Y2376">
        <v>7.9844460000000006E-2</v>
      </c>
      <c r="Z2376">
        <v>-1.7914750000000001E-3</v>
      </c>
      <c r="AA2376">
        <v>0.99680570000000002</v>
      </c>
      <c r="AB2376">
        <v>22</v>
      </c>
      <c r="AC2376">
        <v>19.078399999999899</v>
      </c>
      <c r="AD2376">
        <v>-1.1210748674819999</v>
      </c>
      <c r="AE2376">
        <v>-1.97389999999998</v>
      </c>
      <c r="AF2376">
        <v>1.5624204478886301</v>
      </c>
      <c r="AG2376">
        <v>-1.1210748674819999</v>
      </c>
      <c r="AH2376">
        <v>19.050975697646599</v>
      </c>
      <c r="AI2376">
        <v>93.356503915341193</v>
      </c>
      <c r="AJ2376">
        <v>85.311515857954205</v>
      </c>
      <c r="AK2376">
        <v>19.147784246403099</v>
      </c>
      <c r="AL2376">
        <v>80.383539932599405</v>
      </c>
      <c r="AM2376">
        <v>89.836957276256399</v>
      </c>
      <c r="AN2376">
        <v>1.0000000053279201</v>
      </c>
    </row>
    <row r="2377" spans="1:40" x14ac:dyDescent="0.25">
      <c r="A2377" t="str">
        <f>"20190303162552740"</f>
        <v>20190303162552740</v>
      </c>
      <c r="B2377" t="str">
        <f>"1551601552725614"</f>
        <v>1551601552725614</v>
      </c>
      <c r="C2377" t="s">
        <v>40</v>
      </c>
      <c r="D2377">
        <v>5.2012359999999997</v>
      </c>
      <c r="E2377">
        <v>0.53167589999999998</v>
      </c>
      <c r="F2377" t="s">
        <v>51</v>
      </c>
      <c r="G2377">
        <v>-436.71690000000001</v>
      </c>
      <c r="H2377" s="1">
        <v>5.4237229999999998E-6</v>
      </c>
      <c r="I2377">
        <v>212.00729999999999</v>
      </c>
      <c r="J2377">
        <v>-454.89679999999998</v>
      </c>
      <c r="K2377">
        <v>1.121067</v>
      </c>
      <c r="L2377">
        <v>213.9562</v>
      </c>
      <c r="M2377">
        <v>0.99970559999999997</v>
      </c>
      <c r="N2377">
        <v>-1.1581640000000001E-2</v>
      </c>
      <c r="O2377">
        <v>-2.132475E-2</v>
      </c>
      <c r="P2377">
        <v>0.98749010000000004</v>
      </c>
      <c r="Q2377">
        <v>0.1559161</v>
      </c>
      <c r="R2377">
        <v>-2.35322E-2</v>
      </c>
      <c r="S2377">
        <v>3.0592649999999999</v>
      </c>
      <c r="T2377">
        <v>-0.1862152</v>
      </c>
      <c r="U2377">
        <v>-0.32456970000000002</v>
      </c>
      <c r="V2377">
        <v>2.4869319999999999E-3</v>
      </c>
      <c r="W2377">
        <v>0.1673453</v>
      </c>
      <c r="X2377">
        <v>0.98589519999999997</v>
      </c>
      <c r="Y2377">
        <v>8.4112850000000003E-2</v>
      </c>
      <c r="Z2377">
        <v>-1.9928609999999999E-3</v>
      </c>
      <c r="AA2377">
        <v>0.99645419999999996</v>
      </c>
      <c r="AB2377">
        <v>22</v>
      </c>
      <c r="AC2377">
        <v>18.1798999999999</v>
      </c>
      <c r="AD2377">
        <v>-1.121061576277</v>
      </c>
      <c r="AE2377">
        <v>-1.9489000000000001</v>
      </c>
      <c r="AF2377">
        <v>1.55490353380232</v>
      </c>
      <c r="AG2377">
        <v>-1.121061576277</v>
      </c>
      <c r="AH2377">
        <v>18.1490990253338</v>
      </c>
      <c r="AI2377">
        <v>93.521774651778998</v>
      </c>
      <c r="AJ2377">
        <v>85.103206367486706</v>
      </c>
      <c r="AK2377">
        <v>18.250049300991201</v>
      </c>
      <c r="AL2377">
        <v>80.366494994111306</v>
      </c>
      <c r="AM2377">
        <v>89.855471042651004</v>
      </c>
      <c r="AN2377">
        <v>0.99999998982295102</v>
      </c>
    </row>
    <row r="2378" spans="1:40" x14ac:dyDescent="0.25">
      <c r="A2378" t="str">
        <f>"20190303162552765"</f>
        <v>20190303162552765</v>
      </c>
      <c r="B2378" t="str">
        <f>"1551601552755869"</f>
        <v>1551601552755869</v>
      </c>
      <c r="C2378" t="s">
        <v>40</v>
      </c>
      <c r="D2378">
        <v>5.1293819999999997</v>
      </c>
      <c r="E2378">
        <v>0.53225219999999995</v>
      </c>
      <c r="F2378" t="s">
        <v>51</v>
      </c>
      <c r="G2378">
        <v>-436.82929999999999</v>
      </c>
      <c r="H2378" s="1">
        <v>5.4713660000000002E-6</v>
      </c>
      <c r="I2378">
        <v>212.0324</v>
      </c>
      <c r="J2378">
        <v>-454.64080000000001</v>
      </c>
      <c r="K2378">
        <v>1.1210560000000001</v>
      </c>
      <c r="L2378">
        <v>213.95060000000001</v>
      </c>
      <c r="M2378">
        <v>0.99970769999999998</v>
      </c>
      <c r="N2378">
        <v>-1.133526E-2</v>
      </c>
      <c r="O2378">
        <v>-2.1358450000000001E-2</v>
      </c>
      <c r="P2378">
        <v>0.98742110000000005</v>
      </c>
      <c r="Q2378">
        <v>0.156425799999999</v>
      </c>
      <c r="R2378">
        <v>-2.3033930000000001E-2</v>
      </c>
      <c r="S2378">
        <v>3.0602420000000001</v>
      </c>
      <c r="T2378">
        <v>-0.18988279999999999</v>
      </c>
      <c r="U2378">
        <v>-0.32583620000000002</v>
      </c>
      <c r="V2378">
        <v>1.9479899999999999E-3</v>
      </c>
      <c r="W2378">
        <v>0.16761139999999999</v>
      </c>
      <c r="X2378">
        <v>0.98585120000000004</v>
      </c>
      <c r="Y2378">
        <v>8.4448590000000004E-2</v>
      </c>
      <c r="Z2378">
        <v>-2.012111E-3</v>
      </c>
      <c r="AA2378">
        <v>0.99642580000000003</v>
      </c>
      <c r="AB2378">
        <v>22</v>
      </c>
      <c r="AC2378">
        <v>17.811499999999999</v>
      </c>
      <c r="AD2378">
        <v>-1.121050528634</v>
      </c>
      <c r="AE2378">
        <v>-1.9182000000000099</v>
      </c>
      <c r="AF2378">
        <v>1.53131531087494</v>
      </c>
      <c r="AG2378">
        <v>-1.121050528634</v>
      </c>
      <c r="AH2378">
        <v>17.778787245612101</v>
      </c>
      <c r="AI2378">
        <v>93.594763492843995</v>
      </c>
      <c r="AJ2378">
        <v>85.077172687720505</v>
      </c>
      <c r="AK2378">
        <v>17.879791855438601</v>
      </c>
      <c r="AL2378">
        <v>80.351030084617705</v>
      </c>
      <c r="AM2378">
        <v>89.886786707490401</v>
      </c>
      <c r="AN2378">
        <v>0.99999998230821996</v>
      </c>
    </row>
    <row r="2379" spans="1:40" x14ac:dyDescent="0.25">
      <c r="A2379" t="str">
        <f>"20190303162552807"</f>
        <v>20190303162552807</v>
      </c>
      <c r="B2379" t="str">
        <f>"1551601552795886"</f>
        <v>1551601552795886</v>
      </c>
      <c r="C2379" t="s">
        <v>40</v>
      </c>
      <c r="D2379">
        <v>5.1403429999999997</v>
      </c>
      <c r="E2379">
        <v>0.53381029999999996</v>
      </c>
      <c r="F2379" t="s">
        <v>51</v>
      </c>
      <c r="G2379">
        <v>-436.45740000000001</v>
      </c>
      <c r="H2379" s="1">
        <v>5.3092940000000004E-6</v>
      </c>
      <c r="I2379">
        <v>212.00020000000001</v>
      </c>
      <c r="J2379">
        <v>-454.21910000000003</v>
      </c>
      <c r="K2379">
        <v>1.121027</v>
      </c>
      <c r="L2379">
        <v>213.94159999999999</v>
      </c>
      <c r="M2379">
        <v>0.99971279999999996</v>
      </c>
      <c r="N2379">
        <v>-1.092081E-2</v>
      </c>
      <c r="O2379">
        <v>-2.1331739999999998E-2</v>
      </c>
      <c r="P2379">
        <v>0.98727419999999999</v>
      </c>
      <c r="Q2379">
        <v>0.1570365</v>
      </c>
      <c r="R2379">
        <v>-2.508666E-2</v>
      </c>
      <c r="S2379">
        <v>3.060425</v>
      </c>
      <c r="T2379">
        <v>-0.18868270000000001</v>
      </c>
      <c r="U2379">
        <v>-0.3282776</v>
      </c>
      <c r="V2379">
        <v>4.0150510000000004E-3</v>
      </c>
      <c r="W2379">
        <v>0.16781219999999999</v>
      </c>
      <c r="X2379">
        <v>0.98581079999999999</v>
      </c>
      <c r="Y2379">
        <v>8.5256429999999994E-2</v>
      </c>
      <c r="Z2379">
        <v>-2.0080369999999998E-3</v>
      </c>
      <c r="AA2379">
        <v>0.99635700000000005</v>
      </c>
      <c r="AB2379">
        <v>22</v>
      </c>
      <c r="AC2379">
        <v>17.761700000000001</v>
      </c>
      <c r="AD2379">
        <v>-1.121021690706</v>
      </c>
      <c r="AE2379">
        <v>-1.94139999999998</v>
      </c>
      <c r="AF2379">
        <v>1.5559228601514501</v>
      </c>
      <c r="AG2379">
        <v>-1.121021690706</v>
      </c>
      <c r="AH2379">
        <v>17.729283930748799</v>
      </c>
      <c r="AI2379">
        <v>93.604176620795897</v>
      </c>
      <c r="AJ2379">
        <v>84.984569127715403</v>
      </c>
      <c r="AK2379">
        <v>17.83269733593</v>
      </c>
      <c r="AL2379">
        <v>80.3393599111333</v>
      </c>
      <c r="AM2379">
        <v>89.766644669705798</v>
      </c>
      <c r="AN2379">
        <v>0.99999999425000596</v>
      </c>
    </row>
    <row r="2380" spans="1:40" x14ac:dyDescent="0.25">
      <c r="A2380" t="str">
        <f>"20190303162552830"</f>
        <v>20190303162552830</v>
      </c>
      <c r="B2380" t="str">
        <f>"1551601552815406"</f>
        <v>1551601552815406</v>
      </c>
      <c r="C2380" t="s">
        <v>40</v>
      </c>
      <c r="D2380">
        <v>5.1301370000000004</v>
      </c>
      <c r="E2380">
        <v>0.53398210000000002</v>
      </c>
      <c r="F2380" t="s">
        <v>51</v>
      </c>
      <c r="G2380">
        <v>-434.55360000000002</v>
      </c>
      <c r="H2380" s="1">
        <v>4.4896810000000001E-6</v>
      </c>
      <c r="I2380">
        <v>211.7183</v>
      </c>
      <c r="J2380">
        <v>-453.98790000000002</v>
      </c>
      <c r="K2380">
        <v>1.121019</v>
      </c>
      <c r="L2380">
        <v>213.9367</v>
      </c>
      <c r="M2380">
        <v>0.99971719999999997</v>
      </c>
      <c r="N2380">
        <v>-1.0682570000000001E-2</v>
      </c>
      <c r="O2380">
        <v>-2.1245719999999999E-2</v>
      </c>
      <c r="P2380">
        <v>0.98728780000000005</v>
      </c>
      <c r="Q2380">
        <v>0.15681249999999999</v>
      </c>
      <c r="R2380">
        <v>-2.5937249999999999E-2</v>
      </c>
      <c r="S2380">
        <v>3.0575559999999999</v>
      </c>
      <c r="T2380">
        <v>-0.1742948</v>
      </c>
      <c r="U2380">
        <v>-0.345672599999999</v>
      </c>
      <c r="V2380">
        <v>4.9387240000000002E-3</v>
      </c>
      <c r="W2380">
        <v>0.16735429999999901</v>
      </c>
      <c r="X2380">
        <v>0.98588439999999999</v>
      </c>
      <c r="Y2380">
        <v>9.105067E-2</v>
      </c>
      <c r="Z2380">
        <v>-2.093503E-3</v>
      </c>
      <c r="AA2380">
        <v>0.99584410000000001</v>
      </c>
      <c r="AB2380">
        <v>23</v>
      </c>
      <c r="AC2380">
        <v>19.4343</v>
      </c>
      <c r="AD2380">
        <v>-1.1210145103189999</v>
      </c>
      <c r="AE2380">
        <v>-2.2183999999999999</v>
      </c>
      <c r="AF2380">
        <v>1.7990709977764301</v>
      </c>
      <c r="AG2380">
        <v>-1.1210145103189999</v>
      </c>
      <c r="AH2380">
        <v>19.413285140918902</v>
      </c>
      <c r="AI2380">
        <v>93.290788646410206</v>
      </c>
      <c r="AJ2380">
        <v>84.705398905502406</v>
      </c>
      <c r="AK2380">
        <v>19.528670460377199</v>
      </c>
      <c r="AL2380">
        <v>80.365971582713499</v>
      </c>
      <c r="AM2380">
        <v>89.712982907082505</v>
      </c>
      <c r="AN2380">
        <v>0.99999995144329701</v>
      </c>
    </row>
    <row r="2381" spans="1:40" x14ac:dyDescent="0.25">
      <c r="A2381" t="str">
        <f>"20190303162552871"</f>
        <v>20190303162552871</v>
      </c>
      <c r="B2381" t="str">
        <f>"1551601552865182"</f>
        <v>1551601552865182</v>
      </c>
      <c r="C2381" t="s">
        <v>40</v>
      </c>
      <c r="D2381">
        <v>5.0776379999999897</v>
      </c>
      <c r="E2381">
        <v>0.53507479999999996</v>
      </c>
      <c r="F2381" t="s">
        <v>51</v>
      </c>
      <c r="G2381">
        <v>-434.82170000000002</v>
      </c>
      <c r="H2381" s="1">
        <v>4.6061639999999999E-6</v>
      </c>
      <c r="I2381">
        <v>211.7458</v>
      </c>
      <c r="J2381">
        <v>-453.5702</v>
      </c>
      <c r="K2381">
        <v>1.1210150000000001</v>
      </c>
      <c r="L2381">
        <v>213.9282</v>
      </c>
      <c r="M2381">
        <v>0.99972839999999996</v>
      </c>
      <c r="N2381">
        <v>-1.02557E-2</v>
      </c>
      <c r="O2381">
        <v>-2.093414E-2</v>
      </c>
      <c r="P2381">
        <v>0.98756750000000004</v>
      </c>
      <c r="Q2381">
        <v>0.15492159999999999</v>
      </c>
      <c r="R2381">
        <v>-2.664238E-2</v>
      </c>
      <c r="S2381">
        <v>3.0578609999999999</v>
      </c>
      <c r="T2381">
        <v>-0.17885219999999999</v>
      </c>
      <c r="U2381">
        <v>-0.34954829999999998</v>
      </c>
      <c r="V2381">
        <v>5.916068E-3</v>
      </c>
      <c r="W2381">
        <v>0.16504649999999901</v>
      </c>
      <c r="X2381">
        <v>0.98626800000000003</v>
      </c>
      <c r="Y2381">
        <v>9.2587269999999999E-2</v>
      </c>
      <c r="Z2381">
        <v>-2.1683539999999999E-3</v>
      </c>
      <c r="AA2381">
        <v>0.99570219999999998</v>
      </c>
      <c r="AB2381">
        <v>23</v>
      </c>
      <c r="AC2381">
        <v>18.7484999999999</v>
      </c>
      <c r="AD2381">
        <v>-1.1210103938360001</v>
      </c>
      <c r="AE2381">
        <v>-2.1823999999999999</v>
      </c>
      <c r="AF2381">
        <v>1.7831277753222301</v>
      </c>
      <c r="AG2381">
        <v>-1.1210103938360001</v>
      </c>
      <c r="AH2381">
        <v>18.7240349372364</v>
      </c>
      <c r="AI2381">
        <v>93.410820941252197</v>
      </c>
      <c r="AJ2381">
        <v>84.560012605303996</v>
      </c>
      <c r="AK2381">
        <v>18.842125498389599</v>
      </c>
      <c r="AL2381">
        <v>80.500063833963907</v>
      </c>
      <c r="AM2381">
        <v>89.656318908929094</v>
      </c>
      <c r="AN2381">
        <v>0.99999995742341397</v>
      </c>
    </row>
    <row r="2382" spans="1:40" x14ac:dyDescent="0.25">
      <c r="A2382" t="str">
        <f>"20190303162552939"</f>
        <v>20190303162552939</v>
      </c>
      <c r="B2382" t="str">
        <f>"1551601552925694"</f>
        <v>1551601552925694</v>
      </c>
      <c r="C2382" t="s">
        <v>40</v>
      </c>
      <c r="D2382">
        <v>5.0862040000000004</v>
      </c>
      <c r="E2382">
        <v>0.53624740000000004</v>
      </c>
      <c r="F2382" t="s">
        <v>51</v>
      </c>
      <c r="G2382">
        <v>-434.49939999999998</v>
      </c>
      <c r="H2382" s="1">
        <v>4.4687339999999998E-6</v>
      </c>
      <c r="I2382">
        <v>211.68289999999999</v>
      </c>
      <c r="J2382">
        <v>-452.87439999999998</v>
      </c>
      <c r="K2382">
        <v>1.1210880000000001</v>
      </c>
      <c r="L2382">
        <v>213.91480000000001</v>
      </c>
      <c r="M2382">
        <v>0.99975409999999998</v>
      </c>
      <c r="N2382">
        <v>-9.6609290000000004E-3</v>
      </c>
      <c r="O2382">
        <v>-1.996479E-2</v>
      </c>
      <c r="P2382">
        <v>0.98757050000000002</v>
      </c>
      <c r="Q2382">
        <v>0.1556128</v>
      </c>
      <c r="R2382">
        <v>-2.21248E-2</v>
      </c>
      <c r="S2382">
        <v>3.0562130000000001</v>
      </c>
      <c r="T2382">
        <v>-0.179649</v>
      </c>
      <c r="U2382">
        <v>-0.35981750000000001</v>
      </c>
      <c r="V2382">
        <v>2.3057720000000002E-3</v>
      </c>
      <c r="W2382">
        <v>0.16514999999999999</v>
      </c>
      <c r="X2382">
        <v>0.98626579999999997</v>
      </c>
      <c r="Y2382">
        <v>9.6904829999999997E-2</v>
      </c>
      <c r="Z2382">
        <v>-2.3300899999999999E-3</v>
      </c>
      <c r="AA2382">
        <v>0.99529089999999998</v>
      </c>
      <c r="AB2382">
        <v>23</v>
      </c>
      <c r="AC2382">
        <v>18.375</v>
      </c>
      <c r="AD2382">
        <v>-1.1210835312659999</v>
      </c>
      <c r="AE2382">
        <v>-2.23190000000002</v>
      </c>
      <c r="AF2382">
        <v>1.8577702081819201</v>
      </c>
      <c r="AG2382">
        <v>-1.1210835312659999</v>
      </c>
      <c r="AH2382">
        <v>18.348591218219902</v>
      </c>
      <c r="AI2382">
        <v>93.478636814680499</v>
      </c>
      <c r="AJ2382">
        <v>84.218581255340197</v>
      </c>
      <c r="AK2382">
        <v>18.4764427886923</v>
      </c>
      <c r="AL2382">
        <v>80.494051941529307</v>
      </c>
      <c r="AM2382">
        <v>89.866049534083203</v>
      </c>
      <c r="AN2382">
        <v>1.00000003366707</v>
      </c>
    </row>
    <row r="2383" spans="1:40" x14ac:dyDescent="0.25">
      <c r="A2383" t="str">
        <f>"20190303162552963"</f>
        <v>20190303162552963</v>
      </c>
      <c r="B2383" t="str">
        <f>"1551601552955950"</f>
        <v>1551601552955950</v>
      </c>
      <c r="C2383" t="s">
        <v>40</v>
      </c>
      <c r="D2383">
        <v>5.0764930000000001</v>
      </c>
      <c r="E2383">
        <v>0.53693610000000003</v>
      </c>
      <c r="F2383" t="s">
        <v>51</v>
      </c>
      <c r="G2383">
        <v>-432.70870000000002</v>
      </c>
      <c r="H2383" s="1">
        <v>3.6854290000000001E-6</v>
      </c>
      <c r="I2383">
        <v>211.55930000000001</v>
      </c>
      <c r="J2383">
        <v>-452.62299999999999</v>
      </c>
      <c r="K2383">
        <v>1.1210979999999999</v>
      </c>
      <c r="L2383">
        <v>213.91030000000001</v>
      </c>
      <c r="M2383">
        <v>0.99976480000000001</v>
      </c>
      <c r="N2383">
        <v>-9.4863359999999997E-3</v>
      </c>
      <c r="O2383">
        <v>-1.9501230000000001E-2</v>
      </c>
      <c r="P2383">
        <v>0.9876028</v>
      </c>
      <c r="Q2383">
        <v>0.15556900000000001</v>
      </c>
      <c r="R2383">
        <v>-2.0951540000000001E-2</v>
      </c>
      <c r="S2383">
        <v>3.0565799999999999</v>
      </c>
      <c r="T2383">
        <v>-0.1699263</v>
      </c>
      <c r="U2383">
        <v>-0.35702509999999998</v>
      </c>
      <c r="V2383">
        <v>1.5803519999999999E-3</v>
      </c>
      <c r="W2383">
        <v>0.1649341</v>
      </c>
      <c r="X2383">
        <v>0.98630329999999999</v>
      </c>
      <c r="Y2383">
        <v>9.6472349999999998E-2</v>
      </c>
      <c r="Z2383">
        <v>-2.23508E-3</v>
      </c>
      <c r="AA2383">
        <v>0.99533309999999997</v>
      </c>
      <c r="AB2383">
        <v>23</v>
      </c>
      <c r="AC2383">
        <v>19.914300000000001</v>
      </c>
      <c r="AD2383">
        <v>-1.121094314571</v>
      </c>
      <c r="AE2383">
        <v>-2.3509999999999902</v>
      </c>
      <c r="AF2383">
        <v>1.9560680226143199</v>
      </c>
      <c r="AG2383">
        <v>-1.121094314571</v>
      </c>
      <c r="AH2383">
        <v>19.8941794264029</v>
      </c>
      <c r="AI2383">
        <v>93.209924774348394</v>
      </c>
      <c r="AJ2383">
        <v>84.384520264285996</v>
      </c>
      <c r="AK2383">
        <v>20.0215241582945</v>
      </c>
      <c r="AL2383">
        <v>80.506593555569395</v>
      </c>
      <c r="AM2383">
        <v>89.9081951543142</v>
      </c>
      <c r="AN2383">
        <v>0.99999997722307099</v>
      </c>
    </row>
    <row r="2384" spans="1:40" x14ac:dyDescent="0.25">
      <c r="A2384" t="str">
        <f>"20190303162552985"</f>
        <v>20190303162552985</v>
      </c>
      <c r="B2384" t="str">
        <f>"1551601552975469"</f>
        <v>1551601552975469</v>
      </c>
      <c r="C2384" t="s">
        <v>40</v>
      </c>
      <c r="D2384">
        <v>5.1423399999999999</v>
      </c>
      <c r="E2384">
        <v>0.53695349999999997</v>
      </c>
      <c r="F2384" t="s">
        <v>51</v>
      </c>
      <c r="G2384">
        <v>-432.02120000000002</v>
      </c>
      <c r="H2384" s="1">
        <v>3.3864380000000001E-6</v>
      </c>
      <c r="I2384">
        <v>211.49209999999999</v>
      </c>
      <c r="J2384">
        <v>-452.40089999999998</v>
      </c>
      <c r="K2384">
        <v>1.1210929999999999</v>
      </c>
      <c r="L2384">
        <v>213.90639999999999</v>
      </c>
      <c r="M2384">
        <v>0.99977459999999996</v>
      </c>
      <c r="N2384">
        <v>-9.3403549999999998E-3</v>
      </c>
      <c r="O2384">
        <v>-1.9066199999999998E-2</v>
      </c>
      <c r="P2384">
        <v>0.9879462</v>
      </c>
      <c r="Q2384">
        <v>0.15354179999999901</v>
      </c>
      <c r="R2384">
        <v>-1.9688359999999999E-2</v>
      </c>
      <c r="S2384">
        <v>3.0562740000000002</v>
      </c>
      <c r="T2384">
        <v>-0.16631470000000001</v>
      </c>
      <c r="U2384">
        <v>-0.3587341</v>
      </c>
      <c r="V2384">
        <v>7.3693049999999996E-4</v>
      </c>
      <c r="W2384">
        <v>0.1627651</v>
      </c>
      <c r="X2384">
        <v>0.9866646</v>
      </c>
      <c r="Y2384">
        <v>9.746995E-2</v>
      </c>
      <c r="Z2384">
        <v>-2.2427229999999999E-3</v>
      </c>
      <c r="AA2384">
        <v>0.99523589999999995</v>
      </c>
      <c r="AB2384">
        <v>23</v>
      </c>
      <c r="AC2384">
        <v>20.3796999999999</v>
      </c>
      <c r="AD2384">
        <v>-1.1210896135619901</v>
      </c>
      <c r="AE2384">
        <v>-2.4142999999999901</v>
      </c>
      <c r="AF2384">
        <v>2.0192547908763698</v>
      </c>
      <c r="AG2384">
        <v>-1.1210896135619901</v>
      </c>
      <c r="AH2384">
        <v>20.361265931716002</v>
      </c>
      <c r="AI2384">
        <v>93.136165365224699</v>
      </c>
      <c r="AJ2384">
        <v>84.336417213571906</v>
      </c>
      <c r="AK2384">
        <v>20.4918369643663</v>
      </c>
      <c r="AL2384">
        <v>80.632571139576697</v>
      </c>
      <c r="AM2384">
        <v>89.957206329695794</v>
      </c>
      <c r="AN2384">
        <v>1.00000002686886</v>
      </c>
    </row>
    <row r="2385" spans="1:40" x14ac:dyDescent="0.25">
      <c r="A2385" t="str">
        <f>"20190303162553007"</f>
        <v>20190303162553007</v>
      </c>
      <c r="B2385" t="str">
        <f>"1551601552995966"</f>
        <v>1551601552995966</v>
      </c>
      <c r="C2385" t="s">
        <v>40</v>
      </c>
      <c r="D2385">
        <v>5.1158429999999999</v>
      </c>
      <c r="E2385">
        <v>0.53706200000000004</v>
      </c>
      <c r="F2385" t="s">
        <v>51</v>
      </c>
      <c r="G2385">
        <v>-432.90899999999999</v>
      </c>
      <c r="H2385" s="1">
        <v>3.7666559999999999E-6</v>
      </c>
      <c r="I2385">
        <v>211.6463</v>
      </c>
      <c r="J2385">
        <v>-452.17439999999999</v>
      </c>
      <c r="K2385">
        <v>1.121081</v>
      </c>
      <c r="L2385">
        <v>213.90260000000001</v>
      </c>
      <c r="M2385">
        <v>0.99978460000000002</v>
      </c>
      <c r="N2385">
        <v>-9.1865120000000008E-3</v>
      </c>
      <c r="O2385">
        <v>-1.8609400000000002E-2</v>
      </c>
      <c r="P2385">
        <v>0.98809749999999996</v>
      </c>
      <c r="Q2385">
        <v>0.15272349999999901</v>
      </c>
      <c r="R2385">
        <v>-1.8407400000000001E-2</v>
      </c>
      <c r="S2385">
        <v>3.056854</v>
      </c>
      <c r="T2385">
        <v>-0.1758168</v>
      </c>
      <c r="U2385">
        <v>-0.35444639999999999</v>
      </c>
      <c r="V2385" s="1">
        <v>-9.6961310000000004E-5</v>
      </c>
      <c r="W2385">
        <v>0.16179589999999999</v>
      </c>
      <c r="X2385">
        <v>0.98682429999999999</v>
      </c>
      <c r="Y2385">
        <v>9.6512050000000002E-2</v>
      </c>
      <c r="Z2385">
        <v>-2.3139319999999999E-3</v>
      </c>
      <c r="AA2385">
        <v>0.99532909999999997</v>
      </c>
      <c r="AB2385">
        <v>23</v>
      </c>
      <c r="AC2385">
        <v>19.2654</v>
      </c>
      <c r="AD2385">
        <v>-1.121077233344</v>
      </c>
      <c r="AE2385">
        <v>-2.2563</v>
      </c>
      <c r="AF2385">
        <v>1.8910596737226599</v>
      </c>
      <c r="AG2385">
        <v>-1.121077233344</v>
      </c>
      <c r="AH2385">
        <v>19.239785101728401</v>
      </c>
      <c r="AI2385">
        <v>93.318823182120795</v>
      </c>
      <c r="AJ2385">
        <v>84.386484383987806</v>
      </c>
      <c r="AK2385">
        <v>19.364974867357599</v>
      </c>
      <c r="AL2385">
        <v>80.688848500195903</v>
      </c>
      <c r="AM2385">
        <v>90.005629648379298</v>
      </c>
      <c r="AN2385">
        <v>1.00000006086439</v>
      </c>
    </row>
    <row r="2386" spans="1:40" x14ac:dyDescent="0.25">
      <c r="A2386" t="str">
        <f>"20190303162553051"</f>
        <v>20190303162553051</v>
      </c>
      <c r="B2386" t="str">
        <f>"1551601553045953"</f>
        <v>1551601553045953</v>
      </c>
      <c r="C2386" t="s">
        <v>40</v>
      </c>
      <c r="D2386">
        <v>4.9875309999999997</v>
      </c>
      <c r="E2386">
        <v>0.53792489999999904</v>
      </c>
      <c r="F2386" t="s">
        <v>51</v>
      </c>
      <c r="G2386">
        <v>-433.04570000000001</v>
      </c>
      <c r="H2386" s="1">
        <v>3.8228439999999996E-6</v>
      </c>
      <c r="I2386">
        <v>211.697</v>
      </c>
      <c r="J2386">
        <v>-451.71710000000002</v>
      </c>
      <c r="K2386">
        <v>1.121003</v>
      </c>
      <c r="L2386">
        <v>213.89519999999999</v>
      </c>
      <c r="M2386">
        <v>0.99980469999999999</v>
      </c>
      <c r="N2386">
        <v>-8.8278719999999901E-3</v>
      </c>
      <c r="O2386">
        <v>-1.768407E-2</v>
      </c>
      <c r="P2386">
        <v>0.98805240000000005</v>
      </c>
      <c r="Q2386">
        <v>0.15320230000000001</v>
      </c>
      <c r="R2386">
        <v>-1.6787799999999999E-2</v>
      </c>
      <c r="S2386">
        <v>3.0572509999999999</v>
      </c>
      <c r="T2386">
        <v>-0.1791761</v>
      </c>
      <c r="U2386">
        <v>-0.3525085</v>
      </c>
      <c r="V2386">
        <v>-8.0163580000000003E-4</v>
      </c>
      <c r="W2386">
        <v>0.1619196</v>
      </c>
      <c r="X2386">
        <v>0.98680369999999995</v>
      </c>
      <c r="Y2386">
        <v>9.6790059999999997E-2</v>
      </c>
      <c r="Z2386">
        <v>-2.3773069999999999E-3</v>
      </c>
      <c r="AA2386">
        <v>0.99530200000000002</v>
      </c>
      <c r="AB2386">
        <v>23</v>
      </c>
      <c r="AC2386">
        <v>18.671399999999998</v>
      </c>
      <c r="AD2386">
        <v>-1.1209991771559999</v>
      </c>
      <c r="AE2386">
        <v>-2.1981999999999799</v>
      </c>
      <c r="AF2386">
        <v>1.8610404406359</v>
      </c>
      <c r="AG2386">
        <v>-1.1209991771559999</v>
      </c>
      <c r="AH2386">
        <v>18.641079672910401</v>
      </c>
      <c r="AI2386">
        <v>93.424409537475299</v>
      </c>
      <c r="AJ2386">
        <v>84.298742105198897</v>
      </c>
      <c r="AK2386">
        <v>18.767257712533901</v>
      </c>
      <c r="AL2386">
        <v>80.681666403489004</v>
      </c>
      <c r="AM2386">
        <v>90.046544553838899</v>
      </c>
      <c r="AN2386">
        <v>1.0000000709089001</v>
      </c>
    </row>
    <row r="2387" spans="1:40" x14ac:dyDescent="0.25">
      <c r="A2387" t="str">
        <f>"20190303162553074"</f>
        <v>20190303162553074</v>
      </c>
      <c r="B2387" t="str">
        <f>"1551601553065474"</f>
        <v>1551601553065474</v>
      </c>
      <c r="C2387" t="s">
        <v>40</v>
      </c>
      <c r="D2387">
        <v>5.0018279999999997</v>
      </c>
      <c r="E2387">
        <v>0.53786889999999998</v>
      </c>
      <c r="F2387" t="s">
        <v>51</v>
      </c>
      <c r="G2387">
        <v>-431.93</v>
      </c>
      <c r="H2387" s="1">
        <v>3.3357160000000001E-6</v>
      </c>
      <c r="I2387">
        <v>211.6097</v>
      </c>
      <c r="J2387">
        <v>-451.47840000000002</v>
      </c>
      <c r="K2387">
        <v>1.1209519999999999</v>
      </c>
      <c r="L2387">
        <v>213.89150000000001</v>
      </c>
      <c r="M2387">
        <v>0.9998148</v>
      </c>
      <c r="N2387">
        <v>-8.6262709999999996E-3</v>
      </c>
      <c r="O2387">
        <v>-1.7210050000000001E-2</v>
      </c>
      <c r="P2387">
        <v>0.98845439999999996</v>
      </c>
      <c r="Q2387">
        <v>0.1506004</v>
      </c>
      <c r="R2387">
        <v>-1.6666190000000001E-2</v>
      </c>
      <c r="S2387">
        <v>3.0571290000000002</v>
      </c>
      <c r="T2387">
        <v>-0.17319609999999999</v>
      </c>
      <c r="U2387">
        <v>-0.35310360000000002</v>
      </c>
      <c r="V2387">
        <v>-4.5882010000000001E-4</v>
      </c>
      <c r="W2387">
        <v>0.1591225</v>
      </c>
      <c r="X2387">
        <v>0.98725870000000004</v>
      </c>
      <c r="Y2387">
        <v>9.7466510000000006E-2</v>
      </c>
      <c r="Z2387">
        <v>-2.3489209999999999E-3</v>
      </c>
      <c r="AA2387">
        <v>0.99523600000000001</v>
      </c>
      <c r="AB2387">
        <v>23</v>
      </c>
      <c r="AC2387">
        <v>19.548400000000001</v>
      </c>
      <c r="AD2387">
        <v>-1.1209486642840001</v>
      </c>
      <c r="AE2387">
        <v>-2.2818000000000001</v>
      </c>
      <c r="AF2387">
        <v>1.9387314979748</v>
      </c>
      <c r="AG2387">
        <v>-1.1209486642840001</v>
      </c>
      <c r="AH2387">
        <v>19.521449683370701</v>
      </c>
      <c r="AI2387">
        <v>93.270341143108098</v>
      </c>
      <c r="AJ2387">
        <v>84.328388477374403</v>
      </c>
      <c r="AK2387">
        <v>19.649483542057101</v>
      </c>
      <c r="AL2387">
        <v>80.844032971257704</v>
      </c>
      <c r="AM2387">
        <v>90.026627725228593</v>
      </c>
      <c r="AN2387">
        <v>0.99999996062391106</v>
      </c>
    </row>
    <row r="2388" spans="1:40" x14ac:dyDescent="0.25">
      <c r="A2388" t="str">
        <f>"20190303162553094"</f>
        <v>20190303162553094</v>
      </c>
      <c r="B2388" t="str">
        <f>"1551601553085969"</f>
        <v>1551601553085969</v>
      </c>
      <c r="C2388" t="s">
        <v>40</v>
      </c>
      <c r="D2388">
        <v>5.0042410000000004</v>
      </c>
      <c r="E2388">
        <v>0.52936110000000003</v>
      </c>
      <c r="F2388" t="s">
        <v>51</v>
      </c>
      <c r="G2388">
        <v>-432.77839999999998</v>
      </c>
      <c r="H2388" s="1">
        <v>3.7005469999999998E-6</v>
      </c>
      <c r="I2388">
        <v>211.7397</v>
      </c>
      <c r="J2388">
        <v>-451.26100000000002</v>
      </c>
      <c r="K2388">
        <v>1.1209150000000001</v>
      </c>
      <c r="L2388">
        <v>213.88820000000001</v>
      </c>
      <c r="M2388">
        <v>0.99982369999999998</v>
      </c>
      <c r="N2388">
        <v>-8.4157469999999995E-3</v>
      </c>
      <c r="O2388">
        <v>-1.6784650000000002E-2</v>
      </c>
      <c r="P2388">
        <v>0.98867079999999996</v>
      </c>
      <c r="Q2388">
        <v>0.1492472</v>
      </c>
      <c r="R2388">
        <v>-1.5976549999999999E-2</v>
      </c>
      <c r="S2388">
        <v>3.0570369999999998</v>
      </c>
      <c r="T2388">
        <v>-0.18325</v>
      </c>
      <c r="U2388">
        <v>-0.35176089999999999</v>
      </c>
      <c r="V2388">
        <v>-7.2922199999999996E-4</v>
      </c>
      <c r="W2388">
        <v>0.1575627</v>
      </c>
      <c r="X2388">
        <v>0.98750870000000002</v>
      </c>
      <c r="Y2388">
        <v>9.7445229999999994E-2</v>
      </c>
      <c r="Z2388">
        <v>-2.459297E-3</v>
      </c>
      <c r="AA2388">
        <v>0.99523779999999995</v>
      </c>
      <c r="AB2388">
        <v>23</v>
      </c>
      <c r="AC2388">
        <v>18.482599999999898</v>
      </c>
      <c r="AD2388">
        <v>-1.1209112994529999</v>
      </c>
      <c r="AE2388">
        <v>-2.1485000000000101</v>
      </c>
      <c r="AF2388">
        <v>1.8313165030457601</v>
      </c>
      <c r="AG2388">
        <v>-1.1209112994529999</v>
      </c>
      <c r="AH2388">
        <v>18.449107392918101</v>
      </c>
      <c r="AI2388">
        <v>93.459880253580295</v>
      </c>
      <c r="AJ2388">
        <v>84.331210331347293</v>
      </c>
      <c r="AK2388">
        <v>18.5736298517817</v>
      </c>
      <c r="AL2388">
        <v>80.934545035479402</v>
      </c>
      <c r="AM2388">
        <v>90.042309840241003</v>
      </c>
      <c r="AN2388">
        <v>0.99999998438585203</v>
      </c>
    </row>
    <row r="2389" spans="1:40" x14ac:dyDescent="0.25">
      <c r="A2389" t="str">
        <f>"20190303162553116"</f>
        <v>20190303162553116</v>
      </c>
      <c r="B2389" t="str">
        <f>"1551601553105490"</f>
        <v>1551601553105490</v>
      </c>
      <c r="C2389" t="s">
        <v>40</v>
      </c>
      <c r="D2389">
        <v>4.9335680000000002</v>
      </c>
      <c r="E2389">
        <v>0.52983930000000001</v>
      </c>
      <c r="F2389" t="s">
        <v>42</v>
      </c>
      <c r="G2389">
        <v>-450.5369</v>
      </c>
      <c r="H2389">
        <v>0.9619124</v>
      </c>
      <c r="I2389">
        <v>213.82249999999999</v>
      </c>
      <c r="J2389">
        <v>-451.03680000000003</v>
      </c>
      <c r="K2389">
        <v>1.1208670000000001</v>
      </c>
      <c r="L2389">
        <v>213.88489999999999</v>
      </c>
      <c r="M2389">
        <v>0.99983330000000004</v>
      </c>
      <c r="N2389">
        <v>-8.1427029999999994E-3</v>
      </c>
      <c r="O2389">
        <v>-1.635141E-2</v>
      </c>
      <c r="P2389">
        <v>0.98870840000000004</v>
      </c>
      <c r="Q2389">
        <v>0.14910809999999999</v>
      </c>
      <c r="R2389">
        <v>-1.493418E-2</v>
      </c>
      <c r="S2389">
        <v>3.1336979999999999</v>
      </c>
      <c r="T2389">
        <v>-0.6882935</v>
      </c>
      <c r="U2389">
        <v>-0.28288269999999999</v>
      </c>
      <c r="V2389">
        <v>-1.341926E-3</v>
      </c>
      <c r="W2389">
        <v>0.15715390000000001</v>
      </c>
      <c r="X2389">
        <v>0.98757320000000004</v>
      </c>
      <c r="Y2389">
        <v>7.2194510000000003E-2</v>
      </c>
      <c r="Z2389">
        <v>-4.7078190000000002E-3</v>
      </c>
      <c r="AA2389">
        <v>0.99737949999999997</v>
      </c>
      <c r="AB2389">
        <v>23</v>
      </c>
      <c r="AC2389">
        <v>0.49990000000002499</v>
      </c>
      <c r="AD2389">
        <v>-0.1589546</v>
      </c>
      <c r="AE2389">
        <v>-6.2399999999996597E-2</v>
      </c>
      <c r="AF2389">
        <v>4.9308395544054702E-2</v>
      </c>
      <c r="AG2389">
        <v>-0.1589546</v>
      </c>
      <c r="AH2389">
        <v>0.45550545238095203</v>
      </c>
      <c r="AI2389">
        <v>109.13351797432399</v>
      </c>
      <c r="AJ2389">
        <v>83.821797801367893</v>
      </c>
      <c r="AK2389">
        <v>0.484956802077324</v>
      </c>
      <c r="AL2389">
        <v>80.958263065336894</v>
      </c>
      <c r="AM2389">
        <v>90.077854126558407</v>
      </c>
      <c r="AN2389">
        <v>0.99999998720441896</v>
      </c>
    </row>
    <row r="2390" spans="1:40" x14ac:dyDescent="0.25">
      <c r="A2390" t="str">
        <f>"20190303162553140"</f>
        <v>20190303162553140</v>
      </c>
      <c r="B2390" t="str">
        <f>"1551601553135746"</f>
        <v>1551601553135746</v>
      </c>
      <c r="C2390" t="s">
        <v>40</v>
      </c>
      <c r="D2390">
        <v>4.9425759999999999</v>
      </c>
      <c r="E2390">
        <v>0.53064800000000001</v>
      </c>
      <c r="F2390" t="s">
        <v>42</v>
      </c>
      <c r="G2390">
        <v>-450.33580000000001</v>
      </c>
      <c r="H2390">
        <v>0.94129459999999998</v>
      </c>
      <c r="I2390">
        <v>213.82159999999999</v>
      </c>
      <c r="J2390">
        <v>-450.78120000000001</v>
      </c>
      <c r="K2390">
        <v>1.120797</v>
      </c>
      <c r="L2390">
        <v>213.88130000000001</v>
      </c>
      <c r="M2390">
        <v>0.99984410000000001</v>
      </c>
      <c r="N2390">
        <v>-7.7715789999999998E-3</v>
      </c>
      <c r="O2390">
        <v>-1.5862660000000001E-2</v>
      </c>
      <c r="P2390">
        <v>0.98871220000000004</v>
      </c>
      <c r="Q2390">
        <v>0.1492656</v>
      </c>
      <c r="R2390">
        <v>-1.2967859999999999E-2</v>
      </c>
      <c r="S2390">
        <v>3.151672</v>
      </c>
      <c r="T2390">
        <v>-0.80742499999999995</v>
      </c>
      <c r="U2390">
        <v>-0.28382869999999999</v>
      </c>
      <c r="V2390">
        <v>-2.823978E-3</v>
      </c>
      <c r="W2390">
        <v>0.1569439</v>
      </c>
      <c r="X2390">
        <v>0.98760349999999997</v>
      </c>
      <c r="Y2390">
        <v>7.1982619999999997E-2</v>
      </c>
      <c r="Z2390">
        <v>-5.4718579999999996E-3</v>
      </c>
      <c r="AA2390">
        <v>0.99739089999999997</v>
      </c>
      <c r="AB2390">
        <v>24</v>
      </c>
      <c r="AC2390">
        <v>0.44540000000000601</v>
      </c>
      <c r="AD2390">
        <v>-0.17950240000000001</v>
      </c>
      <c r="AE2390">
        <v>-5.9700000000020702E-2</v>
      </c>
      <c r="AF2390">
        <v>4.5385605586729598E-2</v>
      </c>
      <c r="AG2390">
        <v>-0.17950240000000001</v>
      </c>
      <c r="AH2390">
        <v>0.38488168867405298</v>
      </c>
      <c r="AI2390">
        <v>114.852352245877</v>
      </c>
      <c r="AJ2390">
        <v>83.274686401405802</v>
      </c>
      <c r="AK2390">
        <v>0.427100549141329</v>
      </c>
      <c r="AL2390">
        <v>80.970446643403307</v>
      </c>
      <c r="AM2390">
        <v>90.163832529814599</v>
      </c>
      <c r="AN2390">
        <v>1.0000000179055999</v>
      </c>
    </row>
    <row r="2391" spans="1:40" x14ac:dyDescent="0.25">
      <c r="A2391" t="str">
        <f>"20190303162553166"</f>
        <v>20190303162553166</v>
      </c>
      <c r="B2391" t="str">
        <f>"1551601553155266"</f>
        <v>1551601553155266</v>
      </c>
      <c r="C2391" t="s">
        <v>40</v>
      </c>
      <c r="D2391">
        <v>4.9171189999999996</v>
      </c>
      <c r="E2391">
        <v>0.53113909999999998</v>
      </c>
      <c r="F2391" t="s">
        <v>42</v>
      </c>
      <c r="G2391">
        <v>-449.93239999999997</v>
      </c>
      <c r="H2391">
        <v>0.89292660000000001</v>
      </c>
      <c r="I2391">
        <v>213.8047</v>
      </c>
      <c r="J2391">
        <v>-450.51850000000002</v>
      </c>
      <c r="K2391">
        <v>1.1207240000000001</v>
      </c>
      <c r="L2391">
        <v>213.8777</v>
      </c>
      <c r="M2391">
        <v>0.99985500000000005</v>
      </c>
      <c r="N2391">
        <v>-7.3625660000000001E-3</v>
      </c>
      <c r="O2391">
        <v>-1.5364310000000001E-2</v>
      </c>
      <c r="P2391">
        <v>0.98885469999999998</v>
      </c>
      <c r="Q2391">
        <v>0.148479799999999</v>
      </c>
      <c r="R2391">
        <v>-1.0974309999999999E-2</v>
      </c>
      <c r="S2391">
        <v>3.1585390000000002</v>
      </c>
      <c r="T2391">
        <v>-0.84803130000000004</v>
      </c>
      <c r="U2391">
        <v>-0.28463749999999999</v>
      </c>
      <c r="V2391">
        <v>-4.3246980000000001E-3</v>
      </c>
      <c r="W2391">
        <v>0.155753799999999</v>
      </c>
      <c r="X2391">
        <v>0.98778650000000001</v>
      </c>
      <c r="Y2391">
        <v>7.2336899999999996E-2</v>
      </c>
      <c r="Z2391">
        <v>-5.8613349999999996E-3</v>
      </c>
      <c r="AA2391">
        <v>0.997363</v>
      </c>
      <c r="AB2391">
        <v>24</v>
      </c>
      <c r="AC2391">
        <v>0.58610000000004403</v>
      </c>
      <c r="AD2391">
        <v>-0.22779740000000001</v>
      </c>
      <c r="AE2391">
        <v>-7.3000000000007503E-2</v>
      </c>
      <c r="AF2391">
        <v>5.5700455345480203E-2</v>
      </c>
      <c r="AG2391">
        <v>-0.22779740000000001</v>
      </c>
      <c r="AH2391">
        <v>0.51112115075864994</v>
      </c>
      <c r="AI2391">
        <v>113.896153838865</v>
      </c>
      <c r="AJ2391">
        <v>83.780620136143597</v>
      </c>
      <c r="AK2391">
        <v>0.56235133762204303</v>
      </c>
      <c r="AL2391">
        <v>81.039483749539997</v>
      </c>
      <c r="AM2391">
        <v>90.250849105411007</v>
      </c>
      <c r="AN2391">
        <v>1.00000005940473</v>
      </c>
    </row>
    <row r="2392" spans="1:40" x14ac:dyDescent="0.25">
      <c r="A2392" t="str">
        <f>"20190303162553191"</f>
        <v>20190303162553191</v>
      </c>
      <c r="B2392" t="str">
        <f>"1551601553186498"</f>
        <v>1551601553186498</v>
      </c>
      <c r="C2392" t="s">
        <v>40</v>
      </c>
      <c r="D2392">
        <v>4.8798890000000004</v>
      </c>
      <c r="E2392">
        <v>0.53207079999999995</v>
      </c>
      <c r="F2392" t="s">
        <v>42</v>
      </c>
      <c r="G2392">
        <v>-449.71350000000001</v>
      </c>
      <c r="H2392">
        <v>0.90303370000000005</v>
      </c>
      <c r="I2392">
        <v>213.80529999999999</v>
      </c>
      <c r="J2392">
        <v>-450.24130000000002</v>
      </c>
      <c r="K2392">
        <v>1.1206449999999999</v>
      </c>
      <c r="L2392">
        <v>213.8741</v>
      </c>
      <c r="M2392">
        <v>0.99986580000000003</v>
      </c>
      <c r="N2392">
        <v>-6.9461189999999997E-3</v>
      </c>
      <c r="O2392">
        <v>-1.484193E-2</v>
      </c>
      <c r="P2392">
        <v>0.98889700000000003</v>
      </c>
      <c r="Q2392">
        <v>0.1484036</v>
      </c>
      <c r="R2392">
        <v>-7.7131730000000003E-3</v>
      </c>
      <c r="S2392">
        <v>3.1589659999999999</v>
      </c>
      <c r="T2392">
        <v>-0.8544273</v>
      </c>
      <c r="U2392">
        <v>-0.28263850000000001</v>
      </c>
      <c r="V2392">
        <v>-7.0698239999999997E-3</v>
      </c>
      <c r="W2392">
        <v>0.15526429999999999</v>
      </c>
      <c r="X2392">
        <v>0.9878477</v>
      </c>
      <c r="Y2392">
        <v>7.218339E-2</v>
      </c>
      <c r="Z2392">
        <v>-5.9930640000000002E-3</v>
      </c>
      <c r="AA2392">
        <v>0.99737330000000002</v>
      </c>
      <c r="AB2392">
        <v>24</v>
      </c>
      <c r="AC2392">
        <v>0.52780000000001304</v>
      </c>
      <c r="AD2392">
        <v>-0.21761130000000001</v>
      </c>
      <c r="AE2392">
        <v>-6.8800000000010103E-2</v>
      </c>
      <c r="AF2392">
        <v>5.2228639261667098E-2</v>
      </c>
      <c r="AG2392">
        <v>-0.21761130000000001</v>
      </c>
      <c r="AH2392">
        <v>0.45303770519896502</v>
      </c>
      <c r="AI2392">
        <v>115.509431691156</v>
      </c>
      <c r="AJ2392">
        <v>83.423664568339106</v>
      </c>
      <c r="AK2392">
        <v>0.50529760634576504</v>
      </c>
      <c r="AL2392">
        <v>81.067875183836705</v>
      </c>
      <c r="AM2392">
        <v>90.410047177755004</v>
      </c>
      <c r="AN2392">
        <v>1.0000000318305799</v>
      </c>
    </row>
    <row r="2393" spans="1:40" x14ac:dyDescent="0.25">
      <c r="A2393" t="str">
        <f>"20190303162553212"</f>
        <v>20190303162553212</v>
      </c>
      <c r="B2393" t="str">
        <f>"1551601553206018"</f>
        <v>1551601553206018</v>
      </c>
      <c r="C2393" t="s">
        <v>40</v>
      </c>
      <c r="D2393">
        <v>4.8678900000000001</v>
      </c>
      <c r="E2393">
        <v>0.53259299999999998</v>
      </c>
      <c r="F2393" t="s">
        <v>42</v>
      </c>
      <c r="G2393">
        <v>-449.49149999999997</v>
      </c>
      <c r="H2393">
        <v>0.91656320000000002</v>
      </c>
      <c r="I2393">
        <v>213.80719999999999</v>
      </c>
      <c r="J2393">
        <v>-450.0027</v>
      </c>
      <c r="K2393">
        <v>1.1205989999999999</v>
      </c>
      <c r="L2393">
        <v>213.87100000000001</v>
      </c>
      <c r="M2393">
        <v>0.9998745</v>
      </c>
      <c r="N2393">
        <v>-6.6157710000000003E-3</v>
      </c>
      <c r="O2393">
        <v>-1.4394499999999999E-2</v>
      </c>
      <c r="P2393">
        <v>0.98895379999999999</v>
      </c>
      <c r="Q2393">
        <v>0.14814340000000001</v>
      </c>
      <c r="R2393">
        <v>-4.8782269999999997E-3</v>
      </c>
      <c r="S2393">
        <v>3.1606450000000001</v>
      </c>
      <c r="T2393">
        <v>-0.86046369999999905</v>
      </c>
      <c r="U2393">
        <v>-0.2810822</v>
      </c>
      <c r="V2393">
        <v>-9.4616960000000003E-3</v>
      </c>
      <c r="W2393">
        <v>0.15467649999999999</v>
      </c>
      <c r="X2393">
        <v>0.98791989999999996</v>
      </c>
      <c r="Y2393">
        <v>7.2061979999999998E-2</v>
      </c>
      <c r="Z2393">
        <v>-6.1116060000000003E-3</v>
      </c>
      <c r="AA2393">
        <v>0.99738139999999997</v>
      </c>
      <c r="AB2393">
        <v>24</v>
      </c>
      <c r="AC2393">
        <v>0.51120000000002996</v>
      </c>
      <c r="AD2393">
        <v>-0.20403579999999999</v>
      </c>
      <c r="AE2393">
        <v>-6.3799999999986298E-2</v>
      </c>
      <c r="AF2393">
        <v>4.8782608120190502E-2</v>
      </c>
      <c r="AG2393">
        <v>-0.20403579999999999</v>
      </c>
      <c r="AH2393">
        <v>0.44263299459426803</v>
      </c>
      <c r="AI2393">
        <v>114.616545300518</v>
      </c>
      <c r="AJ2393">
        <v>83.710810218461305</v>
      </c>
      <c r="AK2393">
        <v>0.48983090800820001</v>
      </c>
      <c r="AL2393">
        <v>81.101965521621295</v>
      </c>
      <c r="AM2393">
        <v>90.548727354631694</v>
      </c>
      <c r="AN2393">
        <v>1.0000000360797201</v>
      </c>
    </row>
    <row r="2394" spans="1:40" x14ac:dyDescent="0.25">
      <c r="A2394" t="str">
        <f>"20190303162553250"</f>
        <v>20190303162553250</v>
      </c>
      <c r="B2394" t="str">
        <f>"1551601553245058"</f>
        <v>1551601553245058</v>
      </c>
      <c r="C2394" t="s">
        <v>40</v>
      </c>
      <c r="D2394">
        <v>4.8450290000000003</v>
      </c>
      <c r="E2394">
        <v>0.53386529999999999</v>
      </c>
      <c r="F2394" t="s">
        <v>42</v>
      </c>
      <c r="G2394">
        <v>-449.27229999999997</v>
      </c>
      <c r="H2394">
        <v>0.92144680000000001</v>
      </c>
      <c r="I2394">
        <v>213.80619999999999</v>
      </c>
      <c r="J2394">
        <v>-449.58210000000003</v>
      </c>
      <c r="K2394">
        <v>1.1205449999999999</v>
      </c>
      <c r="L2394">
        <v>213.86590000000001</v>
      </c>
      <c r="M2394">
        <v>0.99988840000000001</v>
      </c>
      <c r="N2394">
        <v>-6.1166199999999997E-3</v>
      </c>
      <c r="O2394">
        <v>-1.3629850000000001E-2</v>
      </c>
      <c r="P2394">
        <v>0.98862079999999997</v>
      </c>
      <c r="Q2394">
        <v>0.1504231</v>
      </c>
      <c r="R2394">
        <v>-1.3466089999999999E-3</v>
      </c>
      <c r="S2394">
        <v>3.1612239999999998</v>
      </c>
      <c r="T2394">
        <v>-0.86187909999999901</v>
      </c>
      <c r="U2394">
        <v>-0.27894590000000002</v>
      </c>
      <c r="V2394">
        <v>-1.223141E-2</v>
      </c>
      <c r="W2394">
        <v>0.15645889999999901</v>
      </c>
      <c r="X2394">
        <v>0.98760870000000001</v>
      </c>
      <c r="Y2394">
        <v>7.2111990000000001E-2</v>
      </c>
      <c r="Z2394">
        <v>-6.3010430000000001E-3</v>
      </c>
      <c r="AA2394">
        <v>0.99737659999999995</v>
      </c>
      <c r="AB2394">
        <v>24</v>
      </c>
      <c r="AC2394">
        <v>0.30980000000005198</v>
      </c>
      <c r="AD2394">
        <v>-0.1990982</v>
      </c>
      <c r="AE2394">
        <v>-5.9700000000020702E-2</v>
      </c>
      <c r="AF2394">
        <v>3.9672841456415503E-2</v>
      </c>
      <c r="AG2394">
        <v>-0.1990982</v>
      </c>
      <c r="AH2394">
        <v>0.22212685429328199</v>
      </c>
      <c r="AI2394">
        <v>131.42400723794</v>
      </c>
      <c r="AJ2394">
        <v>79.873495629591702</v>
      </c>
      <c r="AK2394">
        <v>0.30092252655907098</v>
      </c>
      <c r="AL2394">
        <v>80.998582249338</v>
      </c>
      <c r="AM2394">
        <v>90.709564772575604</v>
      </c>
      <c r="AN2394">
        <v>0.99999996954774295</v>
      </c>
    </row>
    <row r="2395" spans="1:40" x14ac:dyDescent="0.25">
      <c r="A2395" t="str">
        <f>"20190303162553273"</f>
        <v>20190303162553273</v>
      </c>
      <c r="B2395" t="str">
        <f>"1551601553265554"</f>
        <v>1551601553265554</v>
      </c>
      <c r="C2395" t="s">
        <v>40</v>
      </c>
      <c r="D2395">
        <v>4.8063190000000002</v>
      </c>
      <c r="E2395">
        <v>0.53430279999999997</v>
      </c>
      <c r="F2395" t="s">
        <v>42</v>
      </c>
      <c r="G2395">
        <v>-448.83800000000002</v>
      </c>
      <c r="H2395">
        <v>0.91470439999999997</v>
      </c>
      <c r="I2395">
        <v>213.80029999999999</v>
      </c>
      <c r="J2395">
        <v>-449.33769999999998</v>
      </c>
      <c r="K2395">
        <v>1.1205179999999999</v>
      </c>
      <c r="L2395">
        <v>213.8631</v>
      </c>
      <c r="M2395">
        <v>0.99989550000000005</v>
      </c>
      <c r="N2395">
        <v>-5.8778669999999898E-3</v>
      </c>
      <c r="O2395">
        <v>-1.320907E-2</v>
      </c>
      <c r="P2395">
        <v>0.98850930000000004</v>
      </c>
      <c r="Q2395">
        <v>0.1511605</v>
      </c>
      <c r="R2395">
        <v>-4.898026E-4</v>
      </c>
      <c r="S2395">
        <v>3.1674799999999999</v>
      </c>
      <c r="T2395">
        <v>-0.87622549999999899</v>
      </c>
      <c r="U2395">
        <v>-0.27781679999999997</v>
      </c>
      <c r="V2395">
        <v>-1.266741E-2</v>
      </c>
      <c r="W2395">
        <v>0.15695990000000001</v>
      </c>
      <c r="X2395">
        <v>0.9875237</v>
      </c>
      <c r="Y2395">
        <v>7.1938509999999997E-2</v>
      </c>
      <c r="Z2395">
        <v>-6.4614149999999999E-3</v>
      </c>
      <c r="AA2395">
        <v>0.9973881</v>
      </c>
      <c r="AB2395">
        <v>24</v>
      </c>
      <c r="AC2395">
        <v>0.49969999999996101</v>
      </c>
      <c r="AD2395">
        <v>-0.20581360000000001</v>
      </c>
      <c r="AE2395">
        <v>-6.2800000000009903E-2</v>
      </c>
      <c r="AF2395">
        <v>4.8152272100726402E-2</v>
      </c>
      <c r="AG2395">
        <v>-0.20581360000000001</v>
      </c>
      <c r="AH2395">
        <v>0.42886440484949001</v>
      </c>
      <c r="AI2395">
        <v>115.49680211224501</v>
      </c>
      <c r="AJ2395">
        <v>83.593743338447396</v>
      </c>
      <c r="AK2395">
        <v>0.478123997515634</v>
      </c>
      <c r="AL2395">
        <v>80.969517931890394</v>
      </c>
      <c r="AM2395">
        <v>90.734918388634199</v>
      </c>
      <c r="AN2395">
        <v>0.99999996577290295</v>
      </c>
    </row>
    <row r="2396" spans="1:40" x14ac:dyDescent="0.25">
      <c r="A2396" t="str">
        <f>"20190303162553295"</f>
        <v>20190303162553295</v>
      </c>
      <c r="B2396" t="str">
        <f>"1551601553285074"</f>
        <v>1551601553285074</v>
      </c>
      <c r="C2396" t="s">
        <v>40</v>
      </c>
      <c r="D2396">
        <v>4.8237009999999998</v>
      </c>
      <c r="E2396">
        <v>0.53472559999999902</v>
      </c>
      <c r="F2396" t="s">
        <v>42</v>
      </c>
      <c r="G2396">
        <v>-448.61590000000001</v>
      </c>
      <c r="H2396">
        <v>0.91818549999999999</v>
      </c>
      <c r="I2396">
        <v>213.79910000000001</v>
      </c>
      <c r="J2396">
        <v>-449.08760000000001</v>
      </c>
      <c r="K2396">
        <v>1.1204879999999999</v>
      </c>
      <c r="L2396">
        <v>213.86019999999999</v>
      </c>
      <c r="M2396">
        <v>0.99990199999999996</v>
      </c>
      <c r="N2396">
        <v>-5.6700639999999998E-3</v>
      </c>
      <c r="O2396">
        <v>-1.28062E-2</v>
      </c>
      <c r="P2396">
        <v>0.98845620000000001</v>
      </c>
      <c r="Q2396">
        <v>0.1515059</v>
      </c>
      <c r="R2396">
        <v>5.5599769999999896E-4</v>
      </c>
      <c r="S2396">
        <v>3.170715</v>
      </c>
      <c r="T2396">
        <v>-0.88886889999999996</v>
      </c>
      <c r="U2396">
        <v>-0.27972409999999998</v>
      </c>
      <c r="V2396">
        <v>-1.330799E-2</v>
      </c>
      <c r="W2396">
        <v>0.15709979999999901</v>
      </c>
      <c r="X2396">
        <v>0.98749299999999995</v>
      </c>
      <c r="Y2396">
        <v>7.2744779999999995E-2</v>
      </c>
      <c r="Z2396">
        <v>-6.7519659999999999E-3</v>
      </c>
      <c r="AA2396">
        <v>0.99732770000000004</v>
      </c>
      <c r="AB2396">
        <v>25</v>
      </c>
      <c r="AC2396">
        <v>0.47169999999999801</v>
      </c>
      <c r="AD2396">
        <v>-0.202302499999999</v>
      </c>
      <c r="AE2396">
        <v>-6.1099999999981898E-2</v>
      </c>
      <c r="AF2396">
        <v>4.6620454216579503E-2</v>
      </c>
      <c r="AG2396">
        <v>-0.202302499999999</v>
      </c>
      <c r="AH2396">
        <v>0.40007012601484898</v>
      </c>
      <c r="AI2396">
        <v>116.66895283042</v>
      </c>
      <c r="AJ2396">
        <v>83.353260442691294</v>
      </c>
      <c r="AK2396">
        <v>0.45072815974503699</v>
      </c>
      <c r="AL2396">
        <v>80.961401300597998</v>
      </c>
      <c r="AM2396">
        <v>90.772102187365803</v>
      </c>
      <c r="AN2396">
        <v>0.99999993740343796</v>
      </c>
    </row>
    <row r="2397" spans="1:40" x14ac:dyDescent="0.25">
      <c r="A2397" t="str">
        <f>"20190303162553321"</f>
        <v>20190303162553321</v>
      </c>
      <c r="B2397" t="str">
        <f>"1551601553315329"</f>
        <v>1551601553315329</v>
      </c>
      <c r="C2397" t="s">
        <v>40</v>
      </c>
      <c r="D2397">
        <v>4.878717</v>
      </c>
      <c r="E2397">
        <v>0.5352382</v>
      </c>
      <c r="F2397" t="s">
        <v>42</v>
      </c>
      <c r="G2397">
        <v>-448.39190000000002</v>
      </c>
      <c r="H2397">
        <v>0.92364009999999996</v>
      </c>
      <c r="I2397">
        <v>213.79769999999999</v>
      </c>
      <c r="J2397">
        <v>-448.81529999999998</v>
      </c>
      <c r="K2397">
        <v>1.1204540000000001</v>
      </c>
      <c r="L2397">
        <v>213.85720000000001</v>
      </c>
      <c r="M2397">
        <v>0.99990780000000001</v>
      </c>
      <c r="N2397">
        <v>-5.4867369999999898E-3</v>
      </c>
      <c r="O2397">
        <v>-1.241657E-2</v>
      </c>
      <c r="P2397">
        <v>0.98829100000000003</v>
      </c>
      <c r="Q2397">
        <v>0.15257270000000001</v>
      </c>
      <c r="R2397">
        <v>1.5271799999999999E-3</v>
      </c>
      <c r="S2397">
        <v>3.1727599999999998</v>
      </c>
      <c r="T2397">
        <v>-0.89769580000000004</v>
      </c>
      <c r="U2397">
        <v>-0.28292850000000003</v>
      </c>
      <c r="V2397">
        <v>-1.3881879999999999E-2</v>
      </c>
      <c r="W2397">
        <v>0.15798509999999999</v>
      </c>
      <c r="X2397">
        <v>0.98734390000000005</v>
      </c>
      <c r="Y2397">
        <v>7.3973120000000003E-2</v>
      </c>
      <c r="Z2397">
        <v>-7.0797769999999998E-3</v>
      </c>
      <c r="AA2397">
        <v>0.99723510000000004</v>
      </c>
      <c r="AB2397">
        <v>25</v>
      </c>
      <c r="AC2397">
        <v>0.42339999999995798</v>
      </c>
      <c r="AD2397">
        <v>-0.19681390000000001</v>
      </c>
      <c r="AE2397">
        <v>-5.9500000000014097E-2</v>
      </c>
      <c r="AF2397">
        <v>4.4754903287667701E-2</v>
      </c>
      <c r="AG2397">
        <v>-0.19681390000000001</v>
      </c>
      <c r="AH2397">
        <v>0.34995344164646303</v>
      </c>
      <c r="AI2397">
        <v>119.15525856627001</v>
      </c>
      <c r="AJ2397">
        <v>82.712108194932696</v>
      </c>
      <c r="AK2397">
        <v>0.40398777694591598</v>
      </c>
      <c r="AL2397">
        <v>80.910036362424805</v>
      </c>
      <c r="AM2397">
        <v>90.805515416162294</v>
      </c>
      <c r="AN2397">
        <v>0.99999998764077702</v>
      </c>
    </row>
    <row r="2398" spans="1:40" x14ac:dyDescent="0.25">
      <c r="A2398" t="str">
        <f>"20190303162553340"</f>
        <v>20190303162553340</v>
      </c>
      <c r="B2398" t="str">
        <f>"1551601553335825"</f>
        <v>1551601553335825</v>
      </c>
      <c r="C2398" t="s">
        <v>40</v>
      </c>
      <c r="D2398">
        <v>4.9200629999999999</v>
      </c>
      <c r="E2398">
        <v>0.5353831</v>
      </c>
      <c r="F2398" t="s">
        <v>42</v>
      </c>
      <c r="G2398">
        <v>-447.9649</v>
      </c>
      <c r="H2398">
        <v>0.87773369999999995</v>
      </c>
      <c r="I2398">
        <v>213.7801</v>
      </c>
      <c r="J2398">
        <v>-448.58909999999997</v>
      </c>
      <c r="K2398">
        <v>1.12043</v>
      </c>
      <c r="L2398">
        <v>213.85470000000001</v>
      </c>
      <c r="M2398">
        <v>0.99991200000000002</v>
      </c>
      <c r="N2398">
        <v>-5.3668930000000002E-3</v>
      </c>
      <c r="O2398">
        <v>-1.214049E-2</v>
      </c>
      <c r="P2398">
        <v>0.9880871</v>
      </c>
      <c r="Q2398">
        <v>0.15388360000000001</v>
      </c>
      <c r="R2398">
        <v>2.0401389999999998E-3</v>
      </c>
      <c r="S2398">
        <v>3.1759029999999999</v>
      </c>
      <c r="T2398">
        <v>-0.9065124</v>
      </c>
      <c r="U2398">
        <v>-0.28576659999999998</v>
      </c>
      <c r="V2398">
        <v>-1.4108890000000001E-2</v>
      </c>
      <c r="W2398">
        <v>0.1591776</v>
      </c>
      <c r="X2398">
        <v>0.9871491</v>
      </c>
      <c r="Y2398">
        <v>7.4954530000000005E-2</v>
      </c>
      <c r="Z2398">
        <v>-7.3467569999999998E-3</v>
      </c>
      <c r="AA2398">
        <v>0.99715989999999999</v>
      </c>
      <c r="AB2398">
        <v>25</v>
      </c>
      <c r="AC2398">
        <v>0.624199999999973</v>
      </c>
      <c r="AD2398">
        <v>-0.2426963</v>
      </c>
      <c r="AE2398">
        <v>-7.4600000000003705E-2</v>
      </c>
      <c r="AF2398">
        <v>5.8323440944422399E-2</v>
      </c>
      <c r="AG2398">
        <v>-0.2426963</v>
      </c>
      <c r="AH2398">
        <v>0.54398156945119502</v>
      </c>
      <c r="AI2398">
        <v>113.922343439381</v>
      </c>
      <c r="AJ2398">
        <v>83.880362311112407</v>
      </c>
      <c r="AK2398">
        <v>0.59851404803886898</v>
      </c>
      <c r="AL2398">
        <v>80.840835186377205</v>
      </c>
      <c r="AM2398">
        <v>90.818847743262793</v>
      </c>
      <c r="AN2398">
        <v>0.99999995737479996</v>
      </c>
    </row>
    <row r="2399" spans="1:40" x14ac:dyDescent="0.25">
      <c r="A2399" t="str">
        <f>"20190303162553363"</f>
        <v>20190303162553363</v>
      </c>
      <c r="B2399" t="str">
        <f>"1551601553355346"</f>
        <v>1551601553355346</v>
      </c>
      <c r="C2399" t="s">
        <v>40</v>
      </c>
      <c r="D2399">
        <v>5.2528990000000002</v>
      </c>
      <c r="E2399">
        <v>0.53530559999999905</v>
      </c>
      <c r="F2399" t="s">
        <v>42</v>
      </c>
      <c r="G2399">
        <v>-447.74029999999999</v>
      </c>
      <c r="H2399">
        <v>0.8770888</v>
      </c>
      <c r="I2399">
        <v>213.77799999999999</v>
      </c>
      <c r="J2399">
        <v>-448.339</v>
      </c>
      <c r="K2399">
        <v>1.120403</v>
      </c>
      <c r="L2399">
        <v>213.8519</v>
      </c>
      <c r="M2399">
        <v>0.99991569999999996</v>
      </c>
      <c r="N2399">
        <v>-5.2615989999999996E-3</v>
      </c>
      <c r="O2399">
        <v>-1.188175E-2</v>
      </c>
      <c r="P2399">
        <v>0.98780780000000001</v>
      </c>
      <c r="Q2399">
        <v>0.15565100000000001</v>
      </c>
      <c r="R2399">
        <v>2.9661840000000002E-3</v>
      </c>
      <c r="S2399">
        <v>3.1786500000000002</v>
      </c>
      <c r="T2399">
        <v>-0.91127849999999999</v>
      </c>
      <c r="U2399">
        <v>-0.28532410000000002</v>
      </c>
      <c r="V2399">
        <v>-1.476385E-2</v>
      </c>
      <c r="W2399">
        <v>0.1608406</v>
      </c>
      <c r="X2399">
        <v>0.98687000000000002</v>
      </c>
      <c r="Y2399">
        <v>7.4967060000000002E-2</v>
      </c>
      <c r="Z2399">
        <v>-7.4444359999999996E-3</v>
      </c>
      <c r="AA2399">
        <v>0.99715819999999999</v>
      </c>
      <c r="AB2399">
        <v>25</v>
      </c>
      <c r="AC2399">
        <v>0.598700000000007</v>
      </c>
      <c r="AD2399">
        <v>-0.24331419999999901</v>
      </c>
      <c r="AE2399">
        <v>-7.3900000000008903E-2</v>
      </c>
      <c r="AF2399">
        <v>5.7436916680386703E-2</v>
      </c>
      <c r="AG2399">
        <v>-0.24331419999999901</v>
      </c>
      <c r="AH2399">
        <v>0.51564735593157696</v>
      </c>
      <c r="AI2399">
        <v>115.12476102200399</v>
      </c>
      <c r="AJ2399">
        <v>83.644138843799396</v>
      </c>
      <c r="AK2399">
        <v>0.57305583933733395</v>
      </c>
      <c r="AL2399">
        <v>80.744309305392605</v>
      </c>
      <c r="AM2399">
        <v>90.857096877428006</v>
      </c>
      <c r="AN2399">
        <v>1.00000003338759</v>
      </c>
    </row>
    <row r="2400" spans="1:40" x14ac:dyDescent="0.25">
      <c r="A2400" t="str">
        <f>"20190303162553496"</f>
        <v>20190303162553496</v>
      </c>
      <c r="B2400" t="str">
        <f>"1551601553485154"</f>
        <v>1551601553485154</v>
      </c>
      <c r="C2400" t="s">
        <v>40</v>
      </c>
      <c r="D2400">
        <v>5.8071099999999998</v>
      </c>
      <c r="E2400">
        <v>0.48787019999999998</v>
      </c>
      <c r="F2400" t="s">
        <v>42</v>
      </c>
      <c r="G2400">
        <v>-446.3766</v>
      </c>
      <c r="H2400">
        <v>0.84896109999999902</v>
      </c>
      <c r="I2400">
        <v>213.83699999999999</v>
      </c>
      <c r="J2400">
        <v>-446.8</v>
      </c>
      <c r="K2400">
        <v>1.120266</v>
      </c>
      <c r="L2400">
        <v>213.8349</v>
      </c>
      <c r="M2400">
        <v>0.99992320000000001</v>
      </c>
      <c r="N2400">
        <v>-5.0422669999999996E-3</v>
      </c>
      <c r="O2400">
        <v>-1.1319330000000001E-2</v>
      </c>
      <c r="P2400">
        <v>0.98737759999999997</v>
      </c>
      <c r="Q2400">
        <v>0.15838070000000001</v>
      </c>
      <c r="R2400">
        <v>-1.115364E-3</v>
      </c>
      <c r="S2400">
        <v>3.2487789999999999</v>
      </c>
      <c r="T2400">
        <v>-1.3098459999999901</v>
      </c>
      <c r="U2400">
        <v>-3.2501219999999998E-3</v>
      </c>
      <c r="V2400">
        <v>-1.0056549999999999E-2</v>
      </c>
      <c r="W2400">
        <v>0.16335740000000001</v>
      </c>
      <c r="X2400">
        <v>0.9865157</v>
      </c>
      <c r="Y2400">
        <v>-8.7612479999999993E-3</v>
      </c>
      <c r="Z2400">
        <v>6.0595759999999997E-3</v>
      </c>
      <c r="AA2400">
        <v>0.99994329999999998</v>
      </c>
      <c r="AB2400">
        <v>26</v>
      </c>
      <c r="AC2400">
        <v>0.42340000000001499</v>
      </c>
      <c r="AD2400">
        <v>-0.27130490000000002</v>
      </c>
      <c r="AE2400">
        <v>2.1000000000128598E-3</v>
      </c>
      <c r="AF2400">
        <v>-4.8862930689547003E-3</v>
      </c>
      <c r="AG2400">
        <v>-0.27130490000000002</v>
      </c>
      <c r="AH2400">
        <v>0.30012311085118998</v>
      </c>
      <c r="AI2400">
        <v>132.1091328617</v>
      </c>
      <c r="AJ2400">
        <v>90.932748020624302</v>
      </c>
      <c r="AK2400">
        <v>0.40460364097590801</v>
      </c>
      <c r="AL2400">
        <v>80.598174231429198</v>
      </c>
      <c r="AM2400">
        <v>90.584053465779505</v>
      </c>
      <c r="AN2400">
        <v>1.0000000003395699</v>
      </c>
    </row>
    <row r="2401" spans="1:40" x14ac:dyDescent="0.25">
      <c r="A2401" t="str">
        <f>"20190303162553522"</f>
        <v>20190303162553522</v>
      </c>
      <c r="B2401" t="str">
        <f>"1551601553515410"</f>
        <v>1551601553515410</v>
      </c>
      <c r="C2401" t="s">
        <v>40</v>
      </c>
      <c r="D2401">
        <v>4.9504489999999999</v>
      </c>
      <c r="E2401">
        <v>0.4895486</v>
      </c>
      <c r="F2401" t="s">
        <v>51</v>
      </c>
      <c r="G2401">
        <v>-434.76780000000002</v>
      </c>
      <c r="H2401" s="1">
        <v>4.3678550000000004E-6</v>
      </c>
      <c r="I2401">
        <v>214.19820000000001</v>
      </c>
      <c r="J2401">
        <v>-446.5111</v>
      </c>
      <c r="K2401">
        <v>1.1202540000000001</v>
      </c>
      <c r="L2401">
        <v>213.83160000000001</v>
      </c>
      <c r="M2401">
        <v>0.99992329999999996</v>
      </c>
      <c r="N2401">
        <v>-5.0496550000000001E-3</v>
      </c>
      <c r="O2401">
        <v>-1.1320449999999999E-2</v>
      </c>
      <c r="P2401">
        <v>0.98710750000000003</v>
      </c>
      <c r="Q2401">
        <v>0.16004689999999999</v>
      </c>
      <c r="R2401">
        <v>-2.0201329999999999E-3</v>
      </c>
      <c r="S2401">
        <v>3.0845639999999999</v>
      </c>
      <c r="T2401">
        <v>-0.28718900000000003</v>
      </c>
      <c r="U2401">
        <v>9.3124390000000001E-2</v>
      </c>
      <c r="V2401">
        <v>-9.1470140000000002E-3</v>
      </c>
      <c r="W2401">
        <v>0.1650296</v>
      </c>
      <c r="X2401">
        <v>0.98624619999999996</v>
      </c>
      <c r="Y2401">
        <v>-4.125844E-2</v>
      </c>
      <c r="Z2401">
        <v>3.015017E-3</v>
      </c>
      <c r="AA2401">
        <v>0.99914400000000003</v>
      </c>
      <c r="AB2401">
        <v>26</v>
      </c>
      <c r="AC2401">
        <v>11.7432999999999</v>
      </c>
      <c r="AD2401">
        <v>-1.120249632145</v>
      </c>
      <c r="AE2401">
        <v>0.36660000000000498</v>
      </c>
      <c r="AF2401">
        <v>-0.49501727312767102</v>
      </c>
      <c r="AG2401">
        <v>-1.120249632145</v>
      </c>
      <c r="AH2401">
        <v>11.632641458114801</v>
      </c>
      <c r="AI2401">
        <v>95.495806564446397</v>
      </c>
      <c r="AJ2401">
        <v>92.436703575621195</v>
      </c>
      <c r="AK2401">
        <v>11.696937574941</v>
      </c>
      <c r="AL2401">
        <v>80.501046021560001</v>
      </c>
      <c r="AM2401">
        <v>90.531378748273795</v>
      </c>
      <c r="AN2401">
        <v>1.0000000018778501</v>
      </c>
    </row>
    <row r="2402" spans="1:40" x14ac:dyDescent="0.25">
      <c r="A2402" t="str">
        <f>"20190303162553543"</f>
        <v>20190303162553543</v>
      </c>
      <c r="B2402" t="str">
        <f>"1551601553535906"</f>
        <v>1551601553535906</v>
      </c>
      <c r="C2402" t="s">
        <v>40</v>
      </c>
      <c r="D2402">
        <v>4.9709370000000002</v>
      </c>
      <c r="E2402">
        <v>0.48895139999999998</v>
      </c>
      <c r="F2402" t="s">
        <v>48</v>
      </c>
      <c r="G2402">
        <v>-399.86349999999999</v>
      </c>
      <c r="H2402" s="1">
        <v>3.7120530000000002E-6</v>
      </c>
      <c r="I2402">
        <v>215.0146</v>
      </c>
      <c r="J2402">
        <v>-446.25630000000001</v>
      </c>
      <c r="K2402">
        <v>1.120252</v>
      </c>
      <c r="L2402">
        <v>213.8288</v>
      </c>
      <c r="M2402">
        <v>0.99992329999999996</v>
      </c>
      <c r="N2402">
        <v>-5.0609100000000001E-3</v>
      </c>
      <c r="O2402">
        <v>-1.132346E-2</v>
      </c>
      <c r="P2402">
        <v>0.98690290000000003</v>
      </c>
      <c r="Q2402">
        <v>0.16130659999999999</v>
      </c>
      <c r="R2402">
        <v>-1.808573E-3</v>
      </c>
      <c r="S2402">
        <v>3.0512079999999999</v>
      </c>
      <c r="T2402">
        <v>-7.3275209999999993E-2</v>
      </c>
      <c r="U2402">
        <v>7.7377319999999999E-2</v>
      </c>
      <c r="V2402">
        <v>-9.3594349999999993E-3</v>
      </c>
      <c r="W2402">
        <v>0.16629920000000001</v>
      </c>
      <c r="X2402">
        <v>0.98603090000000004</v>
      </c>
      <c r="Y2402">
        <v>-3.6654930000000002E-2</v>
      </c>
      <c r="Z2402">
        <v>7.4735440000000002E-4</v>
      </c>
      <c r="AA2402">
        <v>0.99932770000000004</v>
      </c>
      <c r="AB2402">
        <v>26</v>
      </c>
      <c r="AC2402">
        <v>46.392800000000001</v>
      </c>
      <c r="AD2402">
        <v>-1.1202482879469999</v>
      </c>
      <c r="AE2402">
        <v>1.1858</v>
      </c>
      <c r="AF2402">
        <v>-1.7100611511374899</v>
      </c>
      <c r="AG2402">
        <v>-1.1202482879469999</v>
      </c>
      <c r="AH2402">
        <v>46.349390330031</v>
      </c>
      <c r="AI2402">
        <v>91.383608034578302</v>
      </c>
      <c r="AJ2402">
        <v>92.112969866891802</v>
      </c>
      <c r="AK2402">
        <v>46.394452786220597</v>
      </c>
      <c r="AL2402">
        <v>80.427283848005303</v>
      </c>
      <c r="AM2402">
        <v>90.5438369321717</v>
      </c>
      <c r="AN2402">
        <v>0.99999997934948404</v>
      </c>
    </row>
    <row r="2403" spans="1:40" x14ac:dyDescent="0.25">
      <c r="A2403" t="str">
        <f>"20190303162553564"</f>
        <v>20190303162553564</v>
      </c>
      <c r="B2403" t="str">
        <f>"1551601553555426"</f>
        <v>1551601553555426</v>
      </c>
      <c r="C2403" t="s">
        <v>40</v>
      </c>
      <c r="D2403">
        <v>5.220472</v>
      </c>
      <c r="E2403">
        <v>0.48818590000000001</v>
      </c>
      <c r="F2403" t="s">
        <v>48</v>
      </c>
      <c r="G2403">
        <v>-389.27820000000003</v>
      </c>
      <c r="H2403" s="1">
        <v>3.3674460000000001E-6</v>
      </c>
      <c r="I2403">
        <v>215.37479999999999</v>
      </c>
      <c r="J2403">
        <v>-446.01170000000002</v>
      </c>
      <c r="K2403">
        <v>1.120247</v>
      </c>
      <c r="L2403">
        <v>213.82599999999999</v>
      </c>
      <c r="M2403">
        <v>0.99992309999999995</v>
      </c>
      <c r="N2403">
        <v>-5.0734459999999997E-3</v>
      </c>
      <c r="O2403">
        <v>-1.132384E-2</v>
      </c>
      <c r="P2403">
        <v>0.98690770000000005</v>
      </c>
      <c r="Q2403">
        <v>0.16128219999999999</v>
      </c>
      <c r="R2403">
        <v>-1.1283630000000001E-3</v>
      </c>
      <c r="S2403">
        <v>3.049744</v>
      </c>
      <c r="T2403">
        <v>-5.996108E-2</v>
      </c>
      <c r="U2403">
        <v>8.2748409999999994E-2</v>
      </c>
      <c r="V2403">
        <v>-1.004027E-2</v>
      </c>
      <c r="W2403">
        <v>0.1662875</v>
      </c>
      <c r="X2403">
        <v>0.98602619999999996</v>
      </c>
      <c r="Y2403">
        <v>-3.8430470000000001E-2</v>
      </c>
      <c r="Z2403">
        <v>6.4034849999999996E-4</v>
      </c>
      <c r="AA2403">
        <v>0.99926110000000001</v>
      </c>
      <c r="AB2403">
        <v>26</v>
      </c>
      <c r="AC2403">
        <v>56.7334999999999</v>
      </c>
      <c r="AD2403">
        <v>-1.1202436325539999</v>
      </c>
      <c r="AE2403">
        <v>1.5488</v>
      </c>
      <c r="AF2403">
        <v>-2.1902966360860998</v>
      </c>
      <c r="AG2403">
        <v>-1.1202436325539999</v>
      </c>
      <c r="AH2403">
        <v>56.690237067538099</v>
      </c>
      <c r="AI2403">
        <v>91.131218506804601</v>
      </c>
      <c r="AJ2403">
        <v>92.212591992312994</v>
      </c>
      <c r="AK2403">
        <v>56.743592800632499</v>
      </c>
      <c r="AL2403">
        <v>80.427963906525605</v>
      </c>
      <c r="AM2403">
        <v>90.583397495302094</v>
      </c>
      <c r="AN2403">
        <v>1.0000000033821801</v>
      </c>
    </row>
    <row r="2404" spans="1:40" x14ac:dyDescent="0.25">
      <c r="A2404" t="str">
        <f>"20190303162553587"</f>
        <v>20190303162553587</v>
      </c>
      <c r="B2404" t="str">
        <f>"1551601553575923"</f>
        <v>1551601553575923</v>
      </c>
      <c r="C2404" t="s">
        <v>40</v>
      </c>
      <c r="D2404">
        <v>5.1670179999999997</v>
      </c>
      <c r="E2404">
        <v>0.48745539999999998</v>
      </c>
      <c r="F2404" t="s">
        <v>48</v>
      </c>
      <c r="G2404">
        <v>-390.75839999999999</v>
      </c>
      <c r="H2404" s="1">
        <v>-1.1332E-6</v>
      </c>
      <c r="I2404">
        <v>215.4727</v>
      </c>
      <c r="J2404">
        <v>-445.74279999999999</v>
      </c>
      <c r="K2404">
        <v>1.1202479999999999</v>
      </c>
      <c r="L2404">
        <v>213.82300000000001</v>
      </c>
      <c r="M2404">
        <v>0.99992309999999995</v>
      </c>
      <c r="N2404">
        <v>-5.0884240000000002E-3</v>
      </c>
      <c r="O2404">
        <v>-1.13185E-2</v>
      </c>
      <c r="P2404">
        <v>0.98693920000000002</v>
      </c>
      <c r="Q2404">
        <v>0.16109409999999999</v>
      </c>
      <c r="R2404" s="1">
        <v>-8.1720759999999996E-5</v>
      </c>
      <c r="S2404">
        <v>3.050049</v>
      </c>
      <c r="T2404">
        <v>-6.1839100000000001E-2</v>
      </c>
      <c r="U2404">
        <v>9.0896610000000003E-2</v>
      </c>
      <c r="V2404">
        <v>-1.108344E-2</v>
      </c>
      <c r="W2404">
        <v>0.16611400000000001</v>
      </c>
      <c r="X2404">
        <v>0.98604429999999998</v>
      </c>
      <c r="Y2404">
        <v>-4.1088310000000003E-2</v>
      </c>
      <c r="Z2404">
        <v>6.9280449999999897E-4</v>
      </c>
      <c r="AA2404">
        <v>0.99915529999999997</v>
      </c>
      <c r="AB2404">
        <v>26</v>
      </c>
      <c r="AC2404">
        <v>54.984400000000001</v>
      </c>
      <c r="AD2404">
        <v>-1.1202491332</v>
      </c>
      <c r="AE2404">
        <v>1.6497000000000199</v>
      </c>
      <c r="AF2404">
        <v>-2.2710014083489898</v>
      </c>
      <c r="AG2404">
        <v>-1.1202491332</v>
      </c>
      <c r="AH2404">
        <v>54.939420731696302</v>
      </c>
      <c r="AI2404">
        <v>91.167138439974707</v>
      </c>
      <c r="AJ2404">
        <v>92.367057363388696</v>
      </c>
      <c r="AK2404">
        <v>54.997748643480897</v>
      </c>
      <c r="AL2404">
        <v>80.438045213777897</v>
      </c>
      <c r="AM2404">
        <v>90.643994993076205</v>
      </c>
      <c r="AN2404">
        <v>1.00000003260036</v>
      </c>
    </row>
    <row r="2405" spans="1:40" x14ac:dyDescent="0.25">
      <c r="A2405" t="str">
        <f>"20190303162553611"</f>
        <v>20190303162553611</v>
      </c>
      <c r="B2405" t="str">
        <f>"1551601553595443"</f>
        <v>1551601553595443</v>
      </c>
      <c r="C2405" t="s">
        <v>40</v>
      </c>
      <c r="D2405">
        <v>4.9935320000000001</v>
      </c>
      <c r="E2405">
        <v>0.48727359999999997</v>
      </c>
      <c r="F2405" t="s">
        <v>48</v>
      </c>
      <c r="G2405">
        <v>-388.59789999999998</v>
      </c>
      <c r="H2405" s="1">
        <v>2.9917640000000002E-6</v>
      </c>
      <c r="I2405">
        <v>215.68790000000001</v>
      </c>
      <c r="J2405">
        <v>-445.46019999999999</v>
      </c>
      <c r="K2405">
        <v>1.1202490000000001</v>
      </c>
      <c r="L2405">
        <v>213.81979999999999</v>
      </c>
      <c r="M2405">
        <v>0.99992309999999995</v>
      </c>
      <c r="N2405">
        <v>-5.1050549999999998E-3</v>
      </c>
      <c r="O2405">
        <v>-1.1303250000000001E-2</v>
      </c>
      <c r="P2405">
        <v>0.98700480000000002</v>
      </c>
      <c r="Q2405">
        <v>0.16068669999999999</v>
      </c>
      <c r="R2405">
        <v>1.1764290000000001E-3</v>
      </c>
      <c r="S2405">
        <v>3.0494690000000002</v>
      </c>
      <c r="T2405">
        <v>-5.9780600000000003E-2</v>
      </c>
      <c r="U2405">
        <v>9.9517820000000007E-2</v>
      </c>
      <c r="V2405">
        <v>-1.2328820000000001E-2</v>
      </c>
      <c r="W2405">
        <v>0.16572319999999999</v>
      </c>
      <c r="X2405">
        <v>0.98609519999999995</v>
      </c>
      <c r="Y2405">
        <v>-4.3900620000000001E-2</v>
      </c>
      <c r="Z2405">
        <v>7.0607919999999896E-4</v>
      </c>
      <c r="AA2405">
        <v>0.99903569999999997</v>
      </c>
      <c r="AB2405">
        <v>26</v>
      </c>
      <c r="AC2405">
        <v>56.862299999999998</v>
      </c>
      <c r="AD2405">
        <v>-1.120246008236</v>
      </c>
      <c r="AE2405">
        <v>1.8681000000000201</v>
      </c>
      <c r="AF2405">
        <v>-2.5097447548989398</v>
      </c>
      <c r="AG2405">
        <v>-1.120246008236</v>
      </c>
      <c r="AH2405">
        <v>56.815523379202503</v>
      </c>
      <c r="AI2405">
        <v>91.128468802226095</v>
      </c>
      <c r="AJ2405">
        <v>92.529315085396803</v>
      </c>
      <c r="AK2405">
        <v>56.881960819810097</v>
      </c>
      <c r="AL2405">
        <v>80.460750432103197</v>
      </c>
      <c r="AM2405">
        <v>90.716312734322599</v>
      </c>
      <c r="AN2405">
        <v>0.99999996114193501</v>
      </c>
    </row>
    <row r="2406" spans="1:40" x14ac:dyDescent="0.25">
      <c r="A2406" t="str">
        <f>"20190303162553653"</f>
        <v>20190303162553653</v>
      </c>
      <c r="B2406" t="str">
        <f>"1551601553645218"</f>
        <v>1551601553645218</v>
      </c>
      <c r="C2406" t="s">
        <v>40</v>
      </c>
      <c r="D2406">
        <v>5.1990460000000001</v>
      </c>
      <c r="E2406">
        <v>0.48680390000000001</v>
      </c>
      <c r="F2406" t="s">
        <v>48</v>
      </c>
      <c r="G2406">
        <v>-389.12</v>
      </c>
      <c r="H2406" s="1">
        <v>3.2668510000000001E-6</v>
      </c>
      <c r="I2406">
        <v>215.7499</v>
      </c>
      <c r="J2406">
        <v>-444.95670000000001</v>
      </c>
      <c r="K2406">
        <v>1.1202559999999999</v>
      </c>
      <c r="L2406">
        <v>213.8142</v>
      </c>
      <c r="M2406">
        <v>0.99992340000000002</v>
      </c>
      <c r="N2406">
        <v>-5.1409339999999998E-3</v>
      </c>
      <c r="O2406">
        <v>-1.125955E-2</v>
      </c>
      <c r="P2406">
        <v>0.98675979999999996</v>
      </c>
      <c r="Q2406">
        <v>0.16215109999999999</v>
      </c>
      <c r="R2406">
        <v>3.446649E-3</v>
      </c>
      <c r="S2406">
        <v>3.049255</v>
      </c>
      <c r="T2406">
        <v>-6.0630080000000003E-2</v>
      </c>
      <c r="U2406">
        <v>0.1044617</v>
      </c>
      <c r="V2406">
        <v>-1.4555719999999999E-2</v>
      </c>
      <c r="W2406">
        <v>0.1672217</v>
      </c>
      <c r="X2406">
        <v>0.98581189999999996</v>
      </c>
      <c r="Y2406">
        <v>-4.5476410000000002E-2</v>
      </c>
      <c r="Z2406">
        <v>7.3482240000000002E-4</v>
      </c>
      <c r="AA2406">
        <v>0.99896510000000005</v>
      </c>
      <c r="AB2406">
        <v>27</v>
      </c>
      <c r="AC2406">
        <v>55.8367</v>
      </c>
      <c r="AD2406">
        <v>-1.120252733149</v>
      </c>
      <c r="AE2406">
        <v>1.93569999999999</v>
      </c>
      <c r="AF2406">
        <v>-2.5632511775650202</v>
      </c>
      <c r="AG2406">
        <v>-1.120252733149</v>
      </c>
      <c r="AH2406">
        <v>55.788935509140302</v>
      </c>
      <c r="AI2406">
        <v>91.1491439080623</v>
      </c>
      <c r="AJ2406">
        <v>92.630633856333105</v>
      </c>
      <c r="AK2406">
        <v>55.8590238728572</v>
      </c>
      <c r="AL2406">
        <v>80.373678398903294</v>
      </c>
      <c r="AM2406">
        <v>90.845922762627396</v>
      </c>
      <c r="AN2406">
        <v>1.0000000340585999</v>
      </c>
    </row>
    <row r="2407" spans="1:40" x14ac:dyDescent="0.25">
      <c r="A2407" t="str">
        <f>"20190303162553676"</f>
        <v>20190303162553676</v>
      </c>
      <c r="B2407" t="str">
        <f>"1551601553665714"</f>
        <v>1551601553665714</v>
      </c>
      <c r="C2407" t="s">
        <v>40</v>
      </c>
      <c r="D2407">
        <v>5.2593639999999997</v>
      </c>
      <c r="E2407">
        <v>0.48677860000000001</v>
      </c>
      <c r="F2407" t="s">
        <v>48</v>
      </c>
      <c r="G2407">
        <v>-379.57440000000003</v>
      </c>
      <c r="H2407" s="1">
        <v>3.5582320000000001E-6</v>
      </c>
      <c r="I2407">
        <v>216.26179999999999</v>
      </c>
      <c r="J2407">
        <v>-444.6764</v>
      </c>
      <c r="K2407">
        <v>1.1202650000000001</v>
      </c>
      <c r="L2407">
        <v>213.81110000000001</v>
      </c>
      <c r="M2407">
        <v>0.99992360000000002</v>
      </c>
      <c r="N2407">
        <v>-5.173024E-3</v>
      </c>
      <c r="O2407">
        <v>-1.123005E-2</v>
      </c>
      <c r="P2407">
        <v>0.98652410000000001</v>
      </c>
      <c r="Q2407">
        <v>0.16358339999999999</v>
      </c>
      <c r="R2407">
        <v>3.2851619999999999E-3</v>
      </c>
      <c r="S2407">
        <v>3.0484309999999999</v>
      </c>
      <c r="T2407">
        <v>-5.2231430000000002E-2</v>
      </c>
      <c r="U2407">
        <v>0.1141205</v>
      </c>
      <c r="V2407">
        <v>-1.436406E-2</v>
      </c>
      <c r="W2407">
        <v>0.1686841</v>
      </c>
      <c r="X2407">
        <v>0.98556549999999998</v>
      </c>
      <c r="Y2407">
        <v>-4.8619500000000003E-2</v>
      </c>
      <c r="Z2407">
        <v>6.7642699999999995E-4</v>
      </c>
      <c r="AA2407">
        <v>0.99881710000000001</v>
      </c>
      <c r="AB2407">
        <v>27</v>
      </c>
      <c r="AC2407">
        <v>65.101999999999904</v>
      </c>
      <c r="AD2407">
        <v>-1.1202614417679999</v>
      </c>
      <c r="AE2407">
        <v>2.4506999999999799</v>
      </c>
      <c r="AF2407">
        <v>-3.1807134235130299</v>
      </c>
      <c r="AG2407">
        <v>-1.1202614417679999</v>
      </c>
      <c r="AH2407">
        <v>65.051137868827396</v>
      </c>
      <c r="AI2407">
        <v>90.985429970449701</v>
      </c>
      <c r="AJ2407">
        <v>92.799281242175496</v>
      </c>
      <c r="AK2407">
        <v>65.138486792445704</v>
      </c>
      <c r="AL2407">
        <v>80.288681367172103</v>
      </c>
      <c r="AM2407">
        <v>90.834994477603402</v>
      </c>
      <c r="AN2407">
        <v>1.0000000033013701</v>
      </c>
    </row>
    <row r="2408" spans="1:40" x14ac:dyDescent="0.25">
      <c r="A2408" t="str">
        <f>"20190303162553697"</f>
        <v>20190303162553697</v>
      </c>
      <c r="B2408" t="str">
        <f>"1551601553686210"</f>
        <v>1551601553686210</v>
      </c>
      <c r="C2408" t="s">
        <v>40</v>
      </c>
      <c r="D2408">
        <v>5.2696230000000002</v>
      </c>
      <c r="E2408">
        <v>0.48689650000000001</v>
      </c>
      <c r="F2408" t="s">
        <v>48</v>
      </c>
      <c r="G2408">
        <v>-371.70310000000001</v>
      </c>
      <c r="H2408" s="1">
        <v>-6.3046619999999898E-7</v>
      </c>
      <c r="I2408">
        <v>216.5283</v>
      </c>
      <c r="J2408">
        <v>-444.41219999999998</v>
      </c>
      <c r="K2408">
        <v>1.120277</v>
      </c>
      <c r="L2408">
        <v>213.8081</v>
      </c>
      <c r="M2408">
        <v>0.99992369999999997</v>
      </c>
      <c r="N2408">
        <v>-5.218599E-3</v>
      </c>
      <c r="O2408">
        <v>-1.1200470000000001E-2</v>
      </c>
      <c r="P2408">
        <v>0.98631579999999996</v>
      </c>
      <c r="Q2408">
        <v>0.16485159999999999</v>
      </c>
      <c r="R2408">
        <v>2.2537690000000001E-3</v>
      </c>
      <c r="S2408">
        <v>3.0483699999999998</v>
      </c>
      <c r="T2408">
        <v>-4.6797749999999999E-2</v>
      </c>
      <c r="U2408">
        <v>0.1135101</v>
      </c>
      <c r="V2408">
        <v>-1.33022E-2</v>
      </c>
      <c r="W2408">
        <v>0.16999619999999999</v>
      </c>
      <c r="X2408">
        <v>0.98535499999999998</v>
      </c>
      <c r="Y2408">
        <v>-4.8392869999999998E-2</v>
      </c>
      <c r="Z2408">
        <v>6.1108929999999998E-4</v>
      </c>
      <c r="AA2408">
        <v>0.99882820000000005</v>
      </c>
      <c r="AB2408">
        <v>27</v>
      </c>
      <c r="AC2408">
        <v>72.709099999999907</v>
      </c>
      <c r="AD2408">
        <v>-1.1202776304662001</v>
      </c>
      <c r="AE2408">
        <v>2.7202000000000002</v>
      </c>
      <c r="AF2408">
        <v>-3.5335788250660398</v>
      </c>
      <c r="AG2408">
        <v>-1.1202776304662001</v>
      </c>
      <c r="AH2408">
        <v>72.656846751558504</v>
      </c>
      <c r="AI2408">
        <v>90.882316536516996</v>
      </c>
      <c r="AJ2408">
        <v>92.784317878957495</v>
      </c>
      <c r="AK2408">
        <v>72.751347624368606</v>
      </c>
      <c r="AL2408">
        <v>80.212402538290604</v>
      </c>
      <c r="AM2408">
        <v>90.773440661213499</v>
      </c>
      <c r="AN2408">
        <v>1.00000006628213</v>
      </c>
    </row>
    <row r="2409" spans="1:40" x14ac:dyDescent="0.25">
      <c r="A2409" t="str">
        <f>"20190303162553722"</f>
        <v>20190303162553722</v>
      </c>
      <c r="B2409" t="str">
        <f>"1551601553715490"</f>
        <v>1551601553715490</v>
      </c>
      <c r="C2409" t="s">
        <v>40</v>
      </c>
      <c r="D2409">
        <v>5.2646169999999897</v>
      </c>
      <c r="E2409">
        <v>0.48663980000000001</v>
      </c>
      <c r="F2409" t="s">
        <v>48</v>
      </c>
      <c r="G2409">
        <v>-362.3673</v>
      </c>
      <c r="H2409" s="1">
        <v>-2.77008099999999E-7</v>
      </c>
      <c r="I2409">
        <v>216.7585</v>
      </c>
      <c r="J2409">
        <v>-444.11919999999998</v>
      </c>
      <c r="K2409">
        <v>1.120287</v>
      </c>
      <c r="L2409">
        <v>213.8049</v>
      </c>
      <c r="M2409">
        <v>0.99992369999999997</v>
      </c>
      <c r="N2409">
        <v>-5.288984E-3</v>
      </c>
      <c r="O2409">
        <v>-1.116643E-2</v>
      </c>
      <c r="P2409">
        <v>0.986182</v>
      </c>
      <c r="Q2409">
        <v>0.16566229999999901</v>
      </c>
      <c r="R2409">
        <v>9.7355200000000003E-4</v>
      </c>
      <c r="S2409">
        <v>3.0483090000000002</v>
      </c>
      <c r="T2409">
        <v>-4.1623E-2</v>
      </c>
      <c r="U2409">
        <v>0.1096191</v>
      </c>
      <c r="V2409">
        <v>-1.198756E-2</v>
      </c>
      <c r="W2409">
        <v>0.17087529999999901</v>
      </c>
      <c r="X2409">
        <v>0.98521970000000003</v>
      </c>
      <c r="Y2409">
        <v>-4.7088060000000001E-2</v>
      </c>
      <c r="Z2409">
        <v>5.3931889999999998E-4</v>
      </c>
      <c r="AA2409">
        <v>0.99889059999999996</v>
      </c>
      <c r="AB2409">
        <v>27</v>
      </c>
      <c r="AC2409">
        <v>81.751899999999907</v>
      </c>
      <c r="AD2409">
        <v>-1.1202872770081</v>
      </c>
      <c r="AE2409">
        <v>2.95359999999999</v>
      </c>
      <c r="AF2409">
        <v>-3.8655804986462701</v>
      </c>
      <c r="AG2409">
        <v>-1.1202872770081</v>
      </c>
      <c r="AH2409">
        <v>81.698499452271804</v>
      </c>
      <c r="AI2409">
        <v>90.784738949270206</v>
      </c>
      <c r="AJ2409">
        <v>92.708940705035602</v>
      </c>
      <c r="AK2409">
        <v>81.797570678641804</v>
      </c>
      <c r="AL2409">
        <v>80.1612849010302</v>
      </c>
      <c r="AM2409">
        <v>90.697106141197494</v>
      </c>
      <c r="AN2409">
        <v>0.99999996350646603</v>
      </c>
    </row>
    <row r="2410" spans="1:40" x14ac:dyDescent="0.25">
      <c r="A2410" t="str">
        <f>"20190303162553742"</f>
        <v>20190303162553742</v>
      </c>
      <c r="B2410" t="str">
        <f>"1551601553735987"</f>
        <v>1551601553735987</v>
      </c>
      <c r="C2410" t="s">
        <v>40</v>
      </c>
      <c r="D2410">
        <v>5.261063</v>
      </c>
      <c r="E2410">
        <v>0.48665639999999999</v>
      </c>
      <c r="F2410" t="s">
        <v>48</v>
      </c>
      <c r="G2410">
        <v>-357.86020000000002</v>
      </c>
      <c r="H2410" s="1">
        <v>2.548308E-6</v>
      </c>
      <c r="I2410">
        <v>216.85169999999999</v>
      </c>
      <c r="J2410">
        <v>-443.86919999999998</v>
      </c>
      <c r="K2410">
        <v>1.120288</v>
      </c>
      <c r="L2410">
        <v>213.8021</v>
      </c>
      <c r="M2410">
        <v>0.99992380000000003</v>
      </c>
      <c r="N2410">
        <v>-5.3580019999999997E-3</v>
      </c>
      <c r="O2410">
        <v>-1.113799E-2</v>
      </c>
      <c r="P2410">
        <v>0.98616539999999997</v>
      </c>
      <c r="Q2410">
        <v>0.16576089999999999</v>
      </c>
      <c r="R2410">
        <v>1.241107E-3</v>
      </c>
      <c r="S2410">
        <v>3.048584</v>
      </c>
      <c r="T2410">
        <v>-3.9593339999999998E-2</v>
      </c>
      <c r="U2410">
        <v>0.10768129999999999</v>
      </c>
      <c r="V2410">
        <v>-1.222727E-2</v>
      </c>
      <c r="W2410">
        <v>0.17104159999999999</v>
      </c>
      <c r="X2410">
        <v>0.98518790000000001</v>
      </c>
      <c r="Y2410">
        <v>-4.6422900000000003E-2</v>
      </c>
      <c r="Z2410">
        <v>5.1071699999999897E-4</v>
      </c>
      <c r="AA2410">
        <v>0.99892179999999997</v>
      </c>
      <c r="AB2410">
        <v>27</v>
      </c>
      <c r="AC2410">
        <v>86.008999999999901</v>
      </c>
      <c r="AD2410">
        <v>-1.120285451692</v>
      </c>
      <c r="AE2410">
        <v>3.0495999999999901</v>
      </c>
      <c r="AF2410">
        <v>-4.0067128763266604</v>
      </c>
      <c r="AG2410">
        <v>-1.120285451692</v>
      </c>
      <c r="AH2410">
        <v>85.955133365782501</v>
      </c>
      <c r="AI2410">
        <v>90.745905233512502</v>
      </c>
      <c r="AJ2410">
        <v>92.668853758135</v>
      </c>
      <c r="AK2410">
        <v>86.055759478933496</v>
      </c>
      <c r="AL2410">
        <v>80.151614275025807</v>
      </c>
      <c r="AM2410">
        <v>90.711067399786799</v>
      </c>
      <c r="AN2410">
        <v>0.99999996668431002</v>
      </c>
    </row>
    <row r="2411" spans="1:40" x14ac:dyDescent="0.25">
      <c r="A2411" t="str">
        <f>"20190303162553766"</f>
        <v>20190303162553766</v>
      </c>
      <c r="B2411" t="str">
        <f>"1551601553755506"</f>
        <v>1551601553755506</v>
      </c>
      <c r="C2411" t="s">
        <v>40</v>
      </c>
      <c r="D2411">
        <v>5.2033440000000004</v>
      </c>
      <c r="E2411">
        <v>0.48647879999999899</v>
      </c>
      <c r="F2411" t="s">
        <v>48</v>
      </c>
      <c r="G2411">
        <v>-358.54270000000002</v>
      </c>
      <c r="H2411" s="1">
        <v>2.9130950000000002E-6</v>
      </c>
      <c r="I2411">
        <v>216.8151</v>
      </c>
      <c r="J2411">
        <v>-443.58139999999997</v>
      </c>
      <c r="K2411">
        <v>1.120296</v>
      </c>
      <c r="L2411">
        <v>213.79900000000001</v>
      </c>
      <c r="M2411">
        <v>0.99992360000000002</v>
      </c>
      <c r="N2411">
        <v>-5.4403979999999999E-3</v>
      </c>
      <c r="O2411">
        <v>-1.110507E-2</v>
      </c>
      <c r="P2411">
        <v>0.98614559999999996</v>
      </c>
      <c r="Q2411">
        <v>0.1658598</v>
      </c>
      <c r="R2411">
        <v>2.7344499999999998E-3</v>
      </c>
      <c r="S2411">
        <v>3.0486759999999999</v>
      </c>
      <c r="T2411">
        <v>-4.0027260000000002E-2</v>
      </c>
      <c r="U2411">
        <v>0.1076508</v>
      </c>
      <c r="V2411">
        <v>-1.3688290000000001E-2</v>
      </c>
      <c r="W2411">
        <v>0.1712215</v>
      </c>
      <c r="X2411">
        <v>0.9851375</v>
      </c>
      <c r="Y2411">
        <v>-4.6378839999999998E-2</v>
      </c>
      <c r="Z2411">
        <v>5.1592450000000002E-4</v>
      </c>
      <c r="AA2411">
        <v>0.99892380000000003</v>
      </c>
      <c r="AB2411">
        <v>27</v>
      </c>
      <c r="AC2411">
        <v>85.038699999999906</v>
      </c>
      <c r="AD2411">
        <v>-1.1202930869050001</v>
      </c>
      <c r="AE2411">
        <v>3.01609999999999</v>
      </c>
      <c r="AF2411">
        <v>-3.9596023103164</v>
      </c>
      <c r="AG2411">
        <v>-1.1202930869050001</v>
      </c>
      <c r="AH2411">
        <v>84.985230750552603</v>
      </c>
      <c r="AI2411">
        <v>90.754422899862107</v>
      </c>
      <c r="AJ2411">
        <v>92.667575903748698</v>
      </c>
      <c r="AK2411">
        <v>85.084798599873906</v>
      </c>
      <c r="AL2411">
        <v>80.1411530893958</v>
      </c>
      <c r="AM2411">
        <v>90.796062254299002</v>
      </c>
      <c r="AN2411">
        <v>1.0000000326258101</v>
      </c>
    </row>
    <row r="2412" spans="1:40" x14ac:dyDescent="0.25">
      <c r="A2412" t="str">
        <f>"20190303162553791"</f>
        <v>20190303162553791</v>
      </c>
      <c r="B2412" t="str">
        <f>"1551601553785763"</f>
        <v>1551601553785763</v>
      </c>
      <c r="C2412" t="s">
        <v>40</v>
      </c>
      <c r="D2412">
        <v>5.2559040000000001</v>
      </c>
      <c r="E2412">
        <v>0.48621710000000001</v>
      </c>
      <c r="F2412" t="s">
        <v>48</v>
      </c>
      <c r="G2412">
        <v>-360.72620000000001</v>
      </c>
      <c r="H2412" s="1">
        <v>-1.1503470000000001E-6</v>
      </c>
      <c r="I2412">
        <v>216.85560000000001</v>
      </c>
      <c r="J2412">
        <v>-443.28699999999998</v>
      </c>
      <c r="K2412">
        <v>1.120306</v>
      </c>
      <c r="L2412">
        <v>213.79570000000001</v>
      </c>
      <c r="M2412">
        <v>0.99992349999999997</v>
      </c>
      <c r="N2412">
        <v>-5.5262929999999998E-3</v>
      </c>
      <c r="O2412">
        <v>-1.1072149999999999E-2</v>
      </c>
      <c r="P2412">
        <v>0.98608859999999998</v>
      </c>
      <c r="Q2412">
        <v>0.16613620000000001</v>
      </c>
      <c r="R2412">
        <v>5.3229699999999998E-3</v>
      </c>
      <c r="S2412">
        <v>3.0487060000000001</v>
      </c>
      <c r="T2412">
        <v>-4.1221979999999998E-2</v>
      </c>
      <c r="U2412">
        <v>0.1124725</v>
      </c>
      <c r="V2412">
        <v>-1.6244060000000001E-2</v>
      </c>
      <c r="W2412">
        <v>0.17158229999999999</v>
      </c>
      <c r="X2412">
        <v>0.98503580000000002</v>
      </c>
      <c r="Y2412">
        <v>-4.792283E-2</v>
      </c>
      <c r="Z2412">
        <v>5.4482499999999998E-4</v>
      </c>
      <c r="AA2412">
        <v>0.99885089999999999</v>
      </c>
      <c r="AB2412">
        <v>27</v>
      </c>
      <c r="AC2412">
        <v>82.560799999999901</v>
      </c>
      <c r="AD2412">
        <v>-1.1203071503469999</v>
      </c>
      <c r="AE2412">
        <v>3.0598999999999901</v>
      </c>
      <c r="AF2412">
        <v>-3.9731213151765501</v>
      </c>
      <c r="AG2412">
        <v>-1.1203071503469999</v>
      </c>
      <c r="AH2412">
        <v>82.506687653929205</v>
      </c>
      <c r="AI2412">
        <v>90.777035745317505</v>
      </c>
      <c r="AJ2412">
        <v>92.756956701062094</v>
      </c>
      <c r="AK2412">
        <v>82.609892196511495</v>
      </c>
      <c r="AL2412">
        <v>80.120169339598704</v>
      </c>
      <c r="AM2412">
        <v>90.944769444186903</v>
      </c>
      <c r="AN2412">
        <v>0.99999994122010505</v>
      </c>
    </row>
    <row r="2413" spans="1:40" x14ac:dyDescent="0.25">
      <c r="A2413" t="str">
        <f>"20190303162553835"</f>
        <v>20190303162553835</v>
      </c>
      <c r="B2413" t="str">
        <f>"1551601553825779"</f>
        <v>1551601553825779</v>
      </c>
      <c r="C2413" t="s">
        <v>40</v>
      </c>
      <c r="D2413">
        <v>5.0180769999999999</v>
      </c>
      <c r="E2413">
        <v>0.50598339999999997</v>
      </c>
      <c r="F2413" t="s">
        <v>48</v>
      </c>
      <c r="G2413">
        <v>-359.70650000000001</v>
      </c>
      <c r="H2413" s="1">
        <v>3.518214E-6</v>
      </c>
      <c r="I2413">
        <v>217.1395</v>
      </c>
      <c r="J2413">
        <v>-442.73469999999998</v>
      </c>
      <c r="K2413">
        <v>1.1203129999999999</v>
      </c>
      <c r="L2413">
        <v>213.78970000000001</v>
      </c>
      <c r="M2413">
        <v>0.99992320000000001</v>
      </c>
      <c r="N2413">
        <v>-5.699735E-3</v>
      </c>
      <c r="O2413">
        <v>-1.101159E-2</v>
      </c>
      <c r="P2413">
        <v>0.98630070000000003</v>
      </c>
      <c r="Q2413">
        <v>0.1648076</v>
      </c>
      <c r="R2413">
        <v>7.0311310000000004E-3</v>
      </c>
      <c r="S2413">
        <v>3.0485530000000001</v>
      </c>
      <c r="T2413">
        <v>-4.086244E-2</v>
      </c>
      <c r="U2413">
        <v>0.1219635</v>
      </c>
      <c r="V2413">
        <v>-1.7894920000000002E-2</v>
      </c>
      <c r="W2413">
        <v>0.17042570000000001</v>
      </c>
      <c r="X2413">
        <v>0.98520799999999997</v>
      </c>
      <c r="Y2413">
        <v>-5.0968729999999997E-2</v>
      </c>
      <c r="Z2413">
        <v>5.7156389999999996E-4</v>
      </c>
      <c r="AA2413">
        <v>0.99870009999999998</v>
      </c>
      <c r="AB2413">
        <v>27</v>
      </c>
      <c r="AC2413">
        <v>83.028199999999899</v>
      </c>
      <c r="AD2413">
        <v>-1.120309481786</v>
      </c>
      <c r="AE2413">
        <v>3.3497999999999801</v>
      </c>
      <c r="AF2413">
        <v>-4.2631092789669998</v>
      </c>
      <c r="AG2413">
        <v>-1.120309481786</v>
      </c>
      <c r="AH2413">
        <v>82.971197123633104</v>
      </c>
      <c r="AI2413">
        <v>90.772563989107596</v>
      </c>
      <c r="AJ2413">
        <v>92.941304611856197</v>
      </c>
      <c r="AK2413">
        <v>83.088198597563604</v>
      </c>
      <c r="AL2413">
        <v>80.187428687007298</v>
      </c>
      <c r="AM2413">
        <v>91.040582961466299</v>
      </c>
      <c r="AN2413">
        <v>0.99999997532314699</v>
      </c>
    </row>
    <row r="2414" spans="1:40" x14ac:dyDescent="0.25">
      <c r="A2414" t="str">
        <f>"20190303162553877"</f>
        <v>20190303162553877</v>
      </c>
      <c r="B2414" t="str">
        <f>"1551601553865794"</f>
        <v>1551601553865794</v>
      </c>
      <c r="C2414" t="s">
        <v>40</v>
      </c>
      <c r="D2414">
        <v>4.9069379999999896</v>
      </c>
      <c r="E2414">
        <v>0.50916329999999999</v>
      </c>
      <c r="F2414" t="s">
        <v>48</v>
      </c>
      <c r="G2414">
        <v>-370.4314</v>
      </c>
      <c r="H2414" s="1">
        <v>-1.3072E-6</v>
      </c>
      <c r="I2414">
        <v>213.09110000000001</v>
      </c>
      <c r="J2414">
        <v>-442.20650000000001</v>
      </c>
      <c r="K2414">
        <v>1.1203299999999901</v>
      </c>
      <c r="L2414">
        <v>213.78389999999999</v>
      </c>
      <c r="M2414">
        <v>0.99992250000000005</v>
      </c>
      <c r="N2414">
        <v>-5.9365829999999996E-3</v>
      </c>
      <c r="O2414">
        <v>-1.095374E-2</v>
      </c>
      <c r="P2414">
        <v>0.98707210000000001</v>
      </c>
      <c r="Q2414">
        <v>0.1602189</v>
      </c>
      <c r="R2414">
        <v>4.3527829999999998E-3</v>
      </c>
      <c r="S2414">
        <v>3.0498050000000001</v>
      </c>
      <c r="T2414">
        <v>-4.7255640000000002E-2</v>
      </c>
      <c r="U2414">
        <v>-2.946472E-2</v>
      </c>
      <c r="V2414">
        <v>-1.516838E-2</v>
      </c>
      <c r="W2414">
        <v>0.166075</v>
      </c>
      <c r="X2414">
        <v>0.98599650000000005</v>
      </c>
      <c r="Y2414">
        <v>-1.2925530000000001E-3</v>
      </c>
      <c r="Z2414">
        <v>1.185292E-4</v>
      </c>
      <c r="AA2414">
        <v>0.99999919999999998</v>
      </c>
      <c r="AB2414">
        <v>28</v>
      </c>
      <c r="AC2414">
        <v>71.775099999999995</v>
      </c>
      <c r="AD2414">
        <v>-1.1203313071999901</v>
      </c>
      <c r="AE2414">
        <v>-0.69279999999997699</v>
      </c>
      <c r="AF2414">
        <v>-9.3438348877475902E-2</v>
      </c>
      <c r="AG2414">
        <v>-1.1203313071999901</v>
      </c>
      <c r="AH2414">
        <v>71.760900591251698</v>
      </c>
      <c r="AI2414">
        <v>90.894428390151802</v>
      </c>
      <c r="AJ2414">
        <v>90.074603578908807</v>
      </c>
      <c r="AK2414">
        <v>71.769706190219594</v>
      </c>
      <c r="AL2414">
        <v>80.440311312106303</v>
      </c>
      <c r="AM2414">
        <v>90.881357698725196</v>
      </c>
      <c r="AN2414">
        <v>1.0000000416945301</v>
      </c>
    </row>
    <row r="2415" spans="1:40" x14ac:dyDescent="0.25">
      <c r="A2415" t="str">
        <f>"20190303162553899"</f>
        <v>20190303162553899</v>
      </c>
      <c r="B2415" t="str">
        <f>"1551601553885314"</f>
        <v>1551601553885314</v>
      </c>
      <c r="C2415" t="s">
        <v>40</v>
      </c>
      <c r="D2415">
        <v>4.8388660000000003</v>
      </c>
      <c r="E2415">
        <v>0.50974969999999997</v>
      </c>
      <c r="F2415" t="s">
        <v>48</v>
      </c>
      <c r="G2415">
        <v>-378.0317</v>
      </c>
      <c r="H2415" s="1">
        <v>2.737275E-6</v>
      </c>
      <c r="I2415">
        <v>212.44489999999999</v>
      </c>
      <c r="J2415">
        <v>-441.92680000000001</v>
      </c>
      <c r="K2415">
        <v>1.120366</v>
      </c>
      <c r="L2415">
        <v>213.7808</v>
      </c>
      <c r="M2415">
        <v>0.99992159999999997</v>
      </c>
      <c r="N2415">
        <v>-6.1279849999999999E-3</v>
      </c>
      <c r="O2415">
        <v>-1.0921760000000001E-2</v>
      </c>
      <c r="P2415">
        <v>0.98691609999999996</v>
      </c>
      <c r="Q2415">
        <v>0.16121170000000001</v>
      </c>
      <c r="R2415">
        <v>2.7202239999999998E-3</v>
      </c>
      <c r="S2415">
        <v>3.048187</v>
      </c>
      <c r="T2415">
        <v>-5.3213480000000001E-2</v>
      </c>
      <c r="U2415">
        <v>-6.3598630000000003E-2</v>
      </c>
      <c r="V2415">
        <v>-1.350267E-2</v>
      </c>
      <c r="W2415">
        <v>0.1672556</v>
      </c>
      <c r="X2415">
        <v>0.98582110000000001</v>
      </c>
      <c r="Y2415">
        <v>9.9376949999999999E-3</v>
      </c>
      <c r="Z2415" s="1">
        <v>6.5178789999999999E-6</v>
      </c>
      <c r="AA2415">
        <v>0.99995060000000002</v>
      </c>
      <c r="AB2415">
        <v>28</v>
      </c>
      <c r="AC2415">
        <v>63.895099999999999</v>
      </c>
      <c r="AD2415">
        <v>-1.120363262725</v>
      </c>
      <c r="AE2415">
        <v>-1.3359000000000001</v>
      </c>
      <c r="AF2415">
        <v>0.63776428419102005</v>
      </c>
      <c r="AG2415">
        <v>-1.120363262725</v>
      </c>
      <c r="AH2415">
        <v>63.886245926999798</v>
      </c>
      <c r="AI2415">
        <v>91.0046342344218</v>
      </c>
      <c r="AJ2415">
        <v>89.428046092010007</v>
      </c>
      <c r="AK2415">
        <v>63.899251762190097</v>
      </c>
      <c r="AL2415">
        <v>80.371707990674494</v>
      </c>
      <c r="AM2415">
        <v>90.784724154105803</v>
      </c>
      <c r="AN2415">
        <v>0.99999999951684904</v>
      </c>
    </row>
    <row r="2416" spans="1:40" x14ac:dyDescent="0.25">
      <c r="A2416" t="str">
        <f>"20190303162553943"</f>
        <v>20190303162553943</v>
      </c>
      <c r="B2416" t="str">
        <f>"1551601553935091"</f>
        <v>1551601553935091</v>
      </c>
      <c r="C2416" t="s">
        <v>40</v>
      </c>
      <c r="D2416">
        <v>4.728872</v>
      </c>
      <c r="E2416">
        <v>0.5107429</v>
      </c>
      <c r="F2416" t="s">
        <v>48</v>
      </c>
      <c r="G2416">
        <v>-372.20519999999999</v>
      </c>
      <c r="H2416" s="1">
        <v>-3.6327679999999999E-7</v>
      </c>
      <c r="I2416">
        <v>212.1131</v>
      </c>
      <c r="J2416">
        <v>-441.37439999999998</v>
      </c>
      <c r="K2416">
        <v>1.120457</v>
      </c>
      <c r="L2416">
        <v>213.7749</v>
      </c>
      <c r="M2416">
        <v>0.99991949999999996</v>
      </c>
      <c r="N2416">
        <v>-6.6301160000000001E-3</v>
      </c>
      <c r="O2416">
        <v>-1.082428E-2</v>
      </c>
      <c r="P2416">
        <v>0.98689170000000004</v>
      </c>
      <c r="Q2416">
        <v>0.16136239999999999</v>
      </c>
      <c r="R2416">
        <v>2.6262709999999999E-3</v>
      </c>
      <c r="S2416">
        <v>3.047974</v>
      </c>
      <c r="T2416">
        <v>-4.897833E-2</v>
      </c>
      <c r="U2416">
        <v>-7.2906490000000004E-2</v>
      </c>
      <c r="V2416">
        <v>-1.33188E-2</v>
      </c>
      <c r="W2416">
        <v>0.16790099999999999</v>
      </c>
      <c r="X2416">
        <v>0.98571390000000003</v>
      </c>
      <c r="Y2416">
        <v>1.30881E-2</v>
      </c>
      <c r="Z2416" s="1">
        <v>-4.63987E-5</v>
      </c>
      <c r="AA2416">
        <v>0.99991430000000003</v>
      </c>
      <c r="AB2416">
        <v>28</v>
      </c>
      <c r="AC2416">
        <v>69.169199999999904</v>
      </c>
      <c r="AD2416">
        <v>-1.1204573632768</v>
      </c>
      <c r="AE2416">
        <v>-1.66179999999999</v>
      </c>
      <c r="AF2416">
        <v>0.91274007882625696</v>
      </c>
      <c r="AG2416">
        <v>-1.1204573632768</v>
      </c>
      <c r="AH2416">
        <v>69.164997299072098</v>
      </c>
      <c r="AI2416">
        <v>90.928016739938499</v>
      </c>
      <c r="AJ2416">
        <v>89.243936660299198</v>
      </c>
      <c r="AK2416">
        <v>69.180093744769295</v>
      </c>
      <c r="AL2416">
        <v>80.334199014366206</v>
      </c>
      <c r="AM2416">
        <v>90.774123803039501</v>
      </c>
      <c r="AN2416">
        <v>1.0000000144438199</v>
      </c>
    </row>
    <row r="2417" spans="1:40" x14ac:dyDescent="0.25">
      <c r="A2417" t="str">
        <f>"20190303162553964"</f>
        <v>20190303162553964</v>
      </c>
      <c r="B2417" t="str">
        <f>"1551601553955587"</f>
        <v>1551601553955587</v>
      </c>
      <c r="C2417" t="s">
        <v>40</v>
      </c>
      <c r="D2417">
        <v>4.6959140000000001</v>
      </c>
      <c r="E2417">
        <v>0.51077659999999903</v>
      </c>
      <c r="F2417" t="s">
        <v>48</v>
      </c>
      <c r="G2417">
        <v>-362.54349999999999</v>
      </c>
      <c r="H2417" s="1">
        <v>-1.8327050000000001E-7</v>
      </c>
      <c r="I2417">
        <v>211.69220000000001</v>
      </c>
      <c r="J2417">
        <v>-441.1087</v>
      </c>
      <c r="K2417">
        <v>1.120506</v>
      </c>
      <c r="L2417">
        <v>213.77209999999999</v>
      </c>
      <c r="M2417">
        <v>0.99991839999999999</v>
      </c>
      <c r="N2417">
        <v>-6.8836059999999996E-3</v>
      </c>
      <c r="O2417">
        <v>-1.0755870000000001E-2</v>
      </c>
      <c r="P2417">
        <v>0.98693090000000006</v>
      </c>
      <c r="Q2417">
        <v>0.16110910000000001</v>
      </c>
      <c r="R2417">
        <v>3.3550899999999998E-3</v>
      </c>
      <c r="S2417">
        <v>3.04718</v>
      </c>
      <c r="T2417">
        <v>-4.3310880000000003E-2</v>
      </c>
      <c r="U2417">
        <v>-8.0505370000000007E-2</v>
      </c>
      <c r="V2417">
        <v>-1.39852999999999E-2</v>
      </c>
      <c r="W2417">
        <v>0.16789679999999901</v>
      </c>
      <c r="X2417">
        <v>0.98570539999999995</v>
      </c>
      <c r="Y2417">
        <v>1.5654459999999999E-2</v>
      </c>
      <c r="Z2417" s="1">
        <v>-8.6313490000000006E-5</v>
      </c>
      <c r="AA2417">
        <v>0.99987749999999997</v>
      </c>
      <c r="AB2417">
        <v>28</v>
      </c>
      <c r="AC2417">
        <v>78.565200000000004</v>
      </c>
      <c r="AD2417">
        <v>-1.1205061832704999</v>
      </c>
      <c r="AE2417">
        <v>-2.0798999999999799</v>
      </c>
      <c r="AF2417">
        <v>1.23447160472055</v>
      </c>
      <c r="AG2417">
        <v>-1.1205061832704999</v>
      </c>
      <c r="AH2417">
        <v>78.567056786586605</v>
      </c>
      <c r="AI2417">
        <v>90.816983655909894</v>
      </c>
      <c r="AJ2417">
        <v>89.099823818176105</v>
      </c>
      <c r="AK2417">
        <v>78.584743216201602</v>
      </c>
      <c r="AL2417">
        <v>80.334443272054898</v>
      </c>
      <c r="AM2417">
        <v>90.812864476437596</v>
      </c>
      <c r="AN2417">
        <v>1.0000000298277401</v>
      </c>
    </row>
    <row r="2418" spans="1:40" x14ac:dyDescent="0.25">
      <c r="A2418" t="str">
        <f>"20190303162553989"</f>
        <v>20190303162553989</v>
      </c>
      <c r="B2418" t="str">
        <f>"1551601553977059"</f>
        <v>1551601553977059</v>
      </c>
      <c r="C2418" t="s">
        <v>40</v>
      </c>
      <c r="D2418">
        <v>4.636539</v>
      </c>
      <c r="E2418">
        <v>0.51097729999999997</v>
      </c>
      <c r="F2418" t="s">
        <v>48</v>
      </c>
      <c r="G2418">
        <v>-357.37290000000002</v>
      </c>
      <c r="H2418" s="1">
        <v>2.5176350000000002E-6</v>
      </c>
      <c r="I2418">
        <v>211.62029999999999</v>
      </c>
      <c r="J2418">
        <v>-440.7978</v>
      </c>
      <c r="K2418">
        <v>1.120563</v>
      </c>
      <c r="L2418">
        <v>213.7689</v>
      </c>
      <c r="M2418">
        <v>0.99991770000000002</v>
      </c>
      <c r="N2418">
        <v>-7.1669619999999998E-3</v>
      </c>
      <c r="O2418">
        <v>-1.0647E-2</v>
      </c>
      <c r="P2418">
        <v>0.98694459999999995</v>
      </c>
      <c r="Q2418">
        <v>0.16103120000000001</v>
      </c>
      <c r="R2418">
        <v>3.0871129999999998E-3</v>
      </c>
      <c r="S2418">
        <v>3.0466609999999998</v>
      </c>
      <c r="T2418">
        <v>-4.0768619999999998E-2</v>
      </c>
      <c r="U2418">
        <v>-7.8292849999999997E-2</v>
      </c>
      <c r="V2418">
        <v>-1.361774E-2</v>
      </c>
      <c r="W2418">
        <v>0.168098</v>
      </c>
      <c r="X2418">
        <v>0.9856762</v>
      </c>
      <c r="Y2418">
        <v>1.5042359999999999E-2</v>
      </c>
      <c r="Z2418" s="1">
        <v>-8.8402179999999997E-5</v>
      </c>
      <c r="AA2418">
        <v>0.99988690000000002</v>
      </c>
      <c r="AB2418">
        <v>28</v>
      </c>
      <c r="AC2418">
        <v>83.424899999999894</v>
      </c>
      <c r="AD2418">
        <v>-1.1205604823649999</v>
      </c>
      <c r="AE2418">
        <v>-2.1486000000000098</v>
      </c>
      <c r="AF2418">
        <v>1.2600033677898499</v>
      </c>
      <c r="AG2418">
        <v>-1.1205604823649999</v>
      </c>
      <c r="AH2418">
        <v>83.428005974659499</v>
      </c>
      <c r="AI2418">
        <v>90.769432343635302</v>
      </c>
      <c r="AJ2418">
        <v>89.134734360959101</v>
      </c>
      <c r="AK2418">
        <v>83.445044461545507</v>
      </c>
      <c r="AL2418">
        <v>80.322748630821096</v>
      </c>
      <c r="AM2418">
        <v>90.7915270677547</v>
      </c>
      <c r="AN2418">
        <v>0.99999997584657296</v>
      </c>
    </row>
    <row r="2419" spans="1:40" x14ac:dyDescent="0.25">
      <c r="A2419" t="str">
        <f>"20190303162554014"</f>
        <v>20190303162554014</v>
      </c>
      <c r="B2419" t="str">
        <f>"1551601554005363"</f>
        <v>1551601554005363</v>
      </c>
      <c r="C2419" t="s">
        <v>40</v>
      </c>
      <c r="D2419">
        <v>4.6110030000000002</v>
      </c>
      <c r="E2419">
        <v>0.51121139999999998</v>
      </c>
      <c r="F2419" t="s">
        <v>48</v>
      </c>
      <c r="G2419">
        <v>-353.62439999999998</v>
      </c>
      <c r="H2419" s="1">
        <v>5.2966330000000005E-7</v>
      </c>
      <c r="I2419">
        <v>211.46510000000001</v>
      </c>
      <c r="J2419">
        <v>-440.48930000000001</v>
      </c>
      <c r="K2419">
        <v>1.1206240000000001</v>
      </c>
      <c r="L2419">
        <v>213.76570000000001</v>
      </c>
      <c r="M2419">
        <v>0.99991739999999996</v>
      </c>
      <c r="N2419">
        <v>-7.4266219999999999E-3</v>
      </c>
      <c r="O2419">
        <v>-1.0485400000000001E-2</v>
      </c>
      <c r="P2419">
        <v>0.98684559999999999</v>
      </c>
      <c r="Q2419">
        <v>0.1616541</v>
      </c>
      <c r="R2419">
        <v>1.9019250000000001E-3</v>
      </c>
      <c r="S2419">
        <v>3.0463260000000001</v>
      </c>
      <c r="T2419">
        <v>-3.9158699999999998E-2</v>
      </c>
      <c r="U2419">
        <v>-8.0505370000000007E-2</v>
      </c>
      <c r="V2419">
        <v>-1.228574E-2</v>
      </c>
      <c r="W2419">
        <v>0.1689755</v>
      </c>
      <c r="X2419">
        <v>0.98554370000000002</v>
      </c>
      <c r="Y2419">
        <v>1.5932410000000001E-2</v>
      </c>
      <c r="Z2419">
        <v>-1.046688E-4</v>
      </c>
      <c r="AA2419">
        <v>0.99987300000000001</v>
      </c>
      <c r="AB2419">
        <v>28</v>
      </c>
      <c r="AC2419">
        <v>86.864900000000006</v>
      </c>
      <c r="AD2419">
        <v>-1.1206234703367</v>
      </c>
      <c r="AE2419">
        <v>-2.3006000000000002</v>
      </c>
      <c r="AF2419">
        <v>1.3894040608908</v>
      </c>
      <c r="AG2419">
        <v>-1.1206234703367</v>
      </c>
      <c r="AH2419">
        <v>86.869800283114998</v>
      </c>
      <c r="AI2419">
        <v>90.738982066805093</v>
      </c>
      <c r="AJ2419">
        <v>89.083683841898605</v>
      </c>
      <c r="AK2419">
        <v>86.888137520808797</v>
      </c>
      <c r="AL2419">
        <v>80.271742401055505</v>
      </c>
      <c r="AM2419">
        <v>90.714209416078006</v>
      </c>
      <c r="AN2419">
        <v>1.00000002180864</v>
      </c>
    </row>
    <row r="2420" spans="1:40" x14ac:dyDescent="0.25">
      <c r="A2420" t="str">
        <f>"20190303162554035"</f>
        <v>20190303162554035</v>
      </c>
      <c r="B2420" t="str">
        <f>"1551601554025858"</f>
        <v>1551601554025858</v>
      </c>
      <c r="C2420" t="s">
        <v>40</v>
      </c>
      <c r="D2420">
        <v>4.5736410000000003</v>
      </c>
      <c r="E2420">
        <v>0.51130880000000001</v>
      </c>
      <c r="F2420" t="s">
        <v>48</v>
      </c>
      <c r="G2420">
        <v>-341.39929999999998</v>
      </c>
      <c r="H2420" s="1">
        <v>-7.9213359999999896E-7</v>
      </c>
      <c r="I2420">
        <v>210.98820000000001</v>
      </c>
      <c r="J2420">
        <v>-440.21159999999998</v>
      </c>
      <c r="K2420">
        <v>1.1206910000000001</v>
      </c>
      <c r="L2420">
        <v>213.76300000000001</v>
      </c>
      <c r="M2420">
        <v>0.99991790000000003</v>
      </c>
      <c r="N2420">
        <v>-7.6397409999999898E-3</v>
      </c>
      <c r="O2420">
        <v>-1.028101E-2</v>
      </c>
      <c r="P2420">
        <v>0.98679070000000002</v>
      </c>
      <c r="Q2420">
        <v>0.16199920000000001</v>
      </c>
      <c r="R2420">
        <v>7.5112189999999998E-4</v>
      </c>
      <c r="S2420">
        <v>3.0458069999999999</v>
      </c>
      <c r="T2420">
        <v>-3.444552E-2</v>
      </c>
      <c r="U2420">
        <v>-8.5372920000000005E-2</v>
      </c>
      <c r="V2420">
        <v>-1.0949560000000001E-2</v>
      </c>
      <c r="W2420">
        <v>0.1695296</v>
      </c>
      <c r="X2420">
        <v>0.98546429999999996</v>
      </c>
      <c r="Y2420">
        <v>1.7738070000000002E-2</v>
      </c>
      <c r="Z2420">
        <v>-1.303492E-4</v>
      </c>
      <c r="AA2420">
        <v>0.99984260000000003</v>
      </c>
      <c r="AB2420">
        <v>28</v>
      </c>
      <c r="AC2420">
        <v>98.812299999999993</v>
      </c>
      <c r="AD2420">
        <v>-1.1206917921335999</v>
      </c>
      <c r="AE2420">
        <v>-2.7747999999999902</v>
      </c>
      <c r="AF2420">
        <v>1.75850736022284</v>
      </c>
      <c r="AG2420">
        <v>-1.1206917921335999</v>
      </c>
      <c r="AH2420">
        <v>98.822904137709202</v>
      </c>
      <c r="AI2420">
        <v>90.649626679795205</v>
      </c>
      <c r="AJ2420">
        <v>88.980555992134299</v>
      </c>
      <c r="AK2420">
        <v>98.8449021469483</v>
      </c>
      <c r="AL2420">
        <v>80.239530177385802</v>
      </c>
      <c r="AM2420">
        <v>90.636591056835499</v>
      </c>
      <c r="AN2420">
        <v>1.0000000323574201</v>
      </c>
    </row>
    <row r="2421" spans="1:40" x14ac:dyDescent="0.25">
      <c r="A2421" t="str">
        <f>"20190303162554079"</f>
        <v>20190303162554079</v>
      </c>
      <c r="B2421" t="str">
        <f>"1551601554066850"</f>
        <v>1551601554066850</v>
      </c>
      <c r="C2421" t="s">
        <v>40</v>
      </c>
      <c r="D2421">
        <v>4.5783149999999999</v>
      </c>
      <c r="E2421">
        <v>0.51175150000000003</v>
      </c>
      <c r="F2421" t="s">
        <v>48</v>
      </c>
      <c r="G2421">
        <v>-331.07979999999998</v>
      </c>
      <c r="H2421" s="1">
        <v>-7.8375059999999901E-7</v>
      </c>
      <c r="I2421">
        <v>210.53460000000001</v>
      </c>
      <c r="J2421">
        <v>-439.6669</v>
      </c>
      <c r="K2421">
        <v>1.1208199999999999</v>
      </c>
      <c r="L2421">
        <v>213.75800000000001</v>
      </c>
      <c r="M2421">
        <v>0.99992130000000001</v>
      </c>
      <c r="N2421">
        <v>-7.9995669999999904E-3</v>
      </c>
      <c r="O2421">
        <v>-9.6748370000000004E-3</v>
      </c>
      <c r="P2421">
        <v>0.9867918</v>
      </c>
      <c r="Q2421">
        <v>0.16197990000000001</v>
      </c>
      <c r="R2421">
        <v>-2.1181469999999999E-3</v>
      </c>
      <c r="S2421">
        <v>3.0453800000000002</v>
      </c>
      <c r="T2421">
        <v>-3.1273479999999999E-2</v>
      </c>
      <c r="U2421">
        <v>-9.0087890000000004E-2</v>
      </c>
      <c r="V2421">
        <v>-7.5262630000000001E-3</v>
      </c>
      <c r="W2421">
        <v>0.16986409999999999</v>
      </c>
      <c r="X2421">
        <v>0.98543879999999995</v>
      </c>
      <c r="Y2421">
        <v>1.9894749999999999E-2</v>
      </c>
      <c r="Z2421">
        <v>-1.5978189999999999E-4</v>
      </c>
      <c r="AA2421">
        <v>0.99980210000000003</v>
      </c>
      <c r="AB2421">
        <v>28</v>
      </c>
      <c r="AC2421">
        <v>108.58710000000001</v>
      </c>
      <c r="AD2421">
        <v>-1.1208207837505999</v>
      </c>
      <c r="AE2421">
        <v>-3.2233999999999599</v>
      </c>
      <c r="AF2421">
        <v>2.1724218771923001</v>
      </c>
      <c r="AG2421">
        <v>-1.1208207837505999</v>
      </c>
      <c r="AH2421">
        <v>108.601644093497</v>
      </c>
      <c r="AI2421">
        <v>90.591180530741696</v>
      </c>
      <c r="AJ2421">
        <v>88.854032018732795</v>
      </c>
      <c r="AK2421">
        <v>108.629152421679</v>
      </c>
      <c r="AL2421">
        <v>80.220082782585806</v>
      </c>
      <c r="AM2421">
        <v>90.437586505767499</v>
      </c>
      <c r="AN2421">
        <v>1.00000004282449</v>
      </c>
    </row>
    <row r="2422" spans="1:40" x14ac:dyDescent="0.25">
      <c r="A2422" t="str">
        <f>"20190303162554101"</f>
        <v>20190303162554101</v>
      </c>
      <c r="B2422" t="str">
        <f>"1551601554095155"</f>
        <v>1551601554095155</v>
      </c>
      <c r="C2422" t="s">
        <v>40</v>
      </c>
      <c r="D2422">
        <v>4.5312210000000004</v>
      </c>
      <c r="E2422">
        <v>0.51181540000000003</v>
      </c>
      <c r="F2422" t="s">
        <v>51</v>
      </c>
      <c r="G2422">
        <v>-319.90910000000002</v>
      </c>
      <c r="H2422" s="1">
        <v>5.2998979999999901E-6</v>
      </c>
      <c r="I2422">
        <v>209.7715</v>
      </c>
      <c r="J2422">
        <v>-439.38709999999998</v>
      </c>
      <c r="K2422">
        <v>1.120886</v>
      </c>
      <c r="L2422">
        <v>213.75569999999999</v>
      </c>
      <c r="M2422">
        <v>0.99992400000000004</v>
      </c>
      <c r="N2422">
        <v>-8.1541949999999995E-3</v>
      </c>
      <c r="O2422">
        <v>-9.2557669999999998E-3</v>
      </c>
      <c r="P2422">
        <v>0.98694590000000004</v>
      </c>
      <c r="Q2422">
        <v>0.16101219999999999</v>
      </c>
      <c r="R2422">
        <v>-3.5876910000000001E-3</v>
      </c>
      <c r="S2422">
        <v>3.0446170000000001</v>
      </c>
      <c r="T2422">
        <v>-2.8494599999999998E-2</v>
      </c>
      <c r="U2422">
        <v>-0.10134890000000001</v>
      </c>
      <c r="V2422">
        <v>-5.6676859999999999E-3</v>
      </c>
      <c r="W2422">
        <v>0.16905020000000001</v>
      </c>
      <c r="X2422">
        <v>0.9855912</v>
      </c>
      <c r="Y2422">
        <v>2.4015129999999999E-2</v>
      </c>
      <c r="Z2422">
        <v>-1.9915269999999999E-4</v>
      </c>
      <c r="AA2422">
        <v>0.99971160000000003</v>
      </c>
      <c r="AB2422">
        <v>28</v>
      </c>
      <c r="AC2422">
        <v>119.477999999999</v>
      </c>
      <c r="AD2422">
        <v>-1.120880700102</v>
      </c>
      <c r="AE2422">
        <v>-3.98419999999998</v>
      </c>
      <c r="AF2422">
        <v>2.8778791116776898</v>
      </c>
      <c r="AG2422">
        <v>-1.120880700102</v>
      </c>
      <c r="AH2422">
        <v>119.49925409680201</v>
      </c>
      <c r="AI2422">
        <v>90.537252191330197</v>
      </c>
      <c r="AJ2422">
        <v>88.620422683292702</v>
      </c>
      <c r="AK2422">
        <v>119.539157983555</v>
      </c>
      <c r="AL2422">
        <v>80.267400243053999</v>
      </c>
      <c r="AM2422">
        <v>90.329478294808197</v>
      </c>
      <c r="AN2422">
        <v>1.00000005315103</v>
      </c>
    </row>
    <row r="2423" spans="1:40" x14ac:dyDescent="0.25">
      <c r="A2423" t="str">
        <f>"20190303162554121"</f>
        <v>20190303162554121</v>
      </c>
      <c r="B2423" t="str">
        <f>"1551601554115651"</f>
        <v>1551601554115651</v>
      </c>
      <c r="C2423" t="s">
        <v>40</v>
      </c>
      <c r="D2423">
        <v>4.5046980000000003</v>
      </c>
      <c r="E2423">
        <v>0.51190779999999902</v>
      </c>
      <c r="F2423" t="s">
        <v>48</v>
      </c>
      <c r="G2423">
        <v>-320.74340000000001</v>
      </c>
      <c r="H2423">
        <v>2.2761169999999998E-3</v>
      </c>
      <c r="I2423">
        <v>209.6163</v>
      </c>
      <c r="J2423">
        <v>-439.11450000000002</v>
      </c>
      <c r="K2423">
        <v>1.120924</v>
      </c>
      <c r="L2423">
        <v>213.75360000000001</v>
      </c>
      <c r="M2423">
        <v>0.99992689999999995</v>
      </c>
      <c r="N2423">
        <v>-8.2880909999999992E-3</v>
      </c>
      <c r="O2423">
        <v>-8.7956000000000006E-3</v>
      </c>
      <c r="P2423">
        <v>0.98720410000000003</v>
      </c>
      <c r="Q2423">
        <v>0.15940679999999999</v>
      </c>
      <c r="R2423">
        <v>-4.1787389999999999E-3</v>
      </c>
      <c r="S2423">
        <v>3.0439449999999999</v>
      </c>
      <c r="T2423">
        <v>-2.8699280000000001E-2</v>
      </c>
      <c r="U2423">
        <v>-0.1062012</v>
      </c>
      <c r="V2423">
        <v>-4.6415179999999999E-3</v>
      </c>
      <c r="W2423">
        <v>0.1675799</v>
      </c>
      <c r="X2423">
        <v>0.98584760000000005</v>
      </c>
      <c r="Y2423">
        <v>2.6074030000000002E-2</v>
      </c>
      <c r="Z2423">
        <v>-2.209527E-4</v>
      </c>
      <c r="AA2423">
        <v>0.99965999999999999</v>
      </c>
      <c r="AB2423">
        <v>28</v>
      </c>
      <c r="AC2423">
        <v>118.3711</v>
      </c>
      <c r="AD2423">
        <v>-1.118647883</v>
      </c>
      <c r="AE2423">
        <v>-4.1372999999999998</v>
      </c>
      <c r="AF2423">
        <v>3.0956831335313999</v>
      </c>
      <c r="AG2423">
        <v>-1.118647883</v>
      </c>
      <c r="AH2423">
        <v>118.392351531221</v>
      </c>
      <c r="AI2423">
        <v>90.541166697625698</v>
      </c>
      <c r="AJ2423">
        <v>88.502190639826907</v>
      </c>
      <c r="AK2423">
        <v>118.43809998578</v>
      </c>
      <c r="AL2423">
        <v>80.352861245484505</v>
      </c>
      <c r="AM2423">
        <v>90.269755109169907</v>
      </c>
      <c r="AN2423">
        <v>1.0000000284995501</v>
      </c>
    </row>
    <row r="2424" spans="1:40" x14ac:dyDescent="0.25">
      <c r="A2424" t="str">
        <f>"20190303162554143"</f>
        <v>20190303162554143</v>
      </c>
      <c r="B2424" t="str">
        <f>"1551601554136147"</f>
        <v>1551601554136147</v>
      </c>
      <c r="C2424" t="s">
        <v>40</v>
      </c>
      <c r="D2424">
        <v>4.5515480000000004</v>
      </c>
      <c r="E2424">
        <v>0.51192720000000003</v>
      </c>
      <c r="F2424" t="s">
        <v>48</v>
      </c>
      <c r="G2424">
        <v>-332.8954</v>
      </c>
      <c r="H2424" s="1">
        <v>2.0792479999999999E-7</v>
      </c>
      <c r="I2424">
        <v>209.9503</v>
      </c>
      <c r="J2424">
        <v>-438.82690000000002</v>
      </c>
      <c r="K2424">
        <v>1.120967</v>
      </c>
      <c r="L2424">
        <v>213.7517</v>
      </c>
      <c r="M2424">
        <v>0.99993069999999895</v>
      </c>
      <c r="N2424">
        <v>-8.4127830000000001E-3</v>
      </c>
      <c r="O2424">
        <v>-8.2366820000000004E-3</v>
      </c>
      <c r="P2424">
        <v>0.98747720000000005</v>
      </c>
      <c r="Q2424">
        <v>0.15771459999999901</v>
      </c>
      <c r="R2424">
        <v>-3.893596E-3</v>
      </c>
      <c r="S2424">
        <v>3.0435789999999998</v>
      </c>
      <c r="T2424">
        <v>-3.2118679999999997E-2</v>
      </c>
      <c r="U2424">
        <v>-0.1089783</v>
      </c>
      <c r="V2424">
        <v>-4.3944939999999997E-3</v>
      </c>
      <c r="W2424">
        <v>0.16601250000000001</v>
      </c>
      <c r="X2424">
        <v>0.98611380000000004</v>
      </c>
      <c r="Y2424">
        <v>2.7547390000000001E-2</v>
      </c>
      <c r="Z2424">
        <v>-2.4361049999999999E-4</v>
      </c>
      <c r="AA2424">
        <v>0.99962050000000002</v>
      </c>
      <c r="AB2424">
        <v>28</v>
      </c>
      <c r="AC2424">
        <v>105.9315</v>
      </c>
      <c r="AD2424">
        <v>-1.1209667920752</v>
      </c>
      <c r="AE2424">
        <v>-3.8014000000000001</v>
      </c>
      <c r="AF2424">
        <v>2.9283885968995702</v>
      </c>
      <c r="AG2424">
        <v>-1.1209667920752</v>
      </c>
      <c r="AH2424">
        <v>105.947369777913</v>
      </c>
      <c r="AI2424">
        <v>90.605958911124205</v>
      </c>
      <c r="AJ2424">
        <v>88.416745976452205</v>
      </c>
      <c r="AK2424">
        <v>105.99376014266601</v>
      </c>
      <c r="AL2424">
        <v>80.443941766845001</v>
      </c>
      <c r="AM2424">
        <v>90.255329853970295</v>
      </c>
      <c r="AN2424">
        <v>0.99999994414210103</v>
      </c>
    </row>
    <row r="2425" spans="1:40" x14ac:dyDescent="0.25">
      <c r="A2425" t="str">
        <f>"20190303162554166"</f>
        <v>20190303162554166</v>
      </c>
      <c r="B2425" t="str">
        <f>"1551601554155667"</f>
        <v>1551601554155667</v>
      </c>
      <c r="C2425" t="s">
        <v>40</v>
      </c>
      <c r="D2425">
        <v>4.5563320000000003</v>
      </c>
      <c r="E2425">
        <v>0.51198029999999894</v>
      </c>
      <c r="F2425" t="s">
        <v>48</v>
      </c>
      <c r="G2425">
        <v>-343.27910000000003</v>
      </c>
      <c r="H2425" s="1">
        <v>2.0816300000000001E-7</v>
      </c>
      <c r="I2425">
        <v>210.34889999999999</v>
      </c>
      <c r="J2425">
        <v>-438.54790000000003</v>
      </c>
      <c r="K2425">
        <v>1.121003</v>
      </c>
      <c r="L2425">
        <v>213.75</v>
      </c>
      <c r="M2425">
        <v>0.99993469999999995</v>
      </c>
      <c r="N2425">
        <v>-8.5197339999999993E-3</v>
      </c>
      <c r="O2425">
        <v>-7.627628E-3</v>
      </c>
      <c r="P2425">
        <v>0.98767859999999996</v>
      </c>
      <c r="Q2425">
        <v>0.15645829999999999</v>
      </c>
      <c r="R2425">
        <v>-3.5167380000000002E-3</v>
      </c>
      <c r="S2425">
        <v>3.0433349999999999</v>
      </c>
      <c r="T2425">
        <v>-3.5704369999999999E-2</v>
      </c>
      <c r="U2425">
        <v>-0.1083832</v>
      </c>
      <c r="V2425">
        <v>-4.1893570000000003E-3</v>
      </c>
      <c r="W2425">
        <v>0.16486310000000001</v>
      </c>
      <c r="X2425">
        <v>0.98630759999999995</v>
      </c>
      <c r="Y2425">
        <v>2.796334E-2</v>
      </c>
      <c r="Z2425">
        <v>-2.586582E-4</v>
      </c>
      <c r="AA2425">
        <v>0.99960890000000002</v>
      </c>
      <c r="AB2425">
        <v>29</v>
      </c>
      <c r="AC2425">
        <v>95.268799999999999</v>
      </c>
      <c r="AD2425">
        <v>-1.121002791837</v>
      </c>
      <c r="AE2425">
        <v>-3.4011000000000098</v>
      </c>
      <c r="AF2425">
        <v>2.6739300226653202</v>
      </c>
      <c r="AG2425">
        <v>-1.121002791837</v>
      </c>
      <c r="AH2425">
        <v>95.278796484716807</v>
      </c>
      <c r="AI2425">
        <v>90.673817184865499</v>
      </c>
      <c r="AJ2425">
        <v>88.392457628617194</v>
      </c>
      <c r="AK2425">
        <v>95.322901805397805</v>
      </c>
      <c r="AL2425">
        <v>80.510718591516493</v>
      </c>
      <c r="AM2425">
        <v>90.243363258564301</v>
      </c>
      <c r="AN2425">
        <v>1.0000000371357201</v>
      </c>
    </row>
    <row r="2426" spans="1:40" x14ac:dyDescent="0.25">
      <c r="A2426" t="str">
        <f>"20190303162554190"</f>
        <v>20190303162554190</v>
      </c>
      <c r="B2426" t="str">
        <f>"1551601554175187"</f>
        <v>1551601554175187</v>
      </c>
      <c r="C2426" t="s">
        <v>40</v>
      </c>
      <c r="D2426">
        <v>4.5586909999999996</v>
      </c>
      <c r="E2426">
        <v>0.51191509999999996</v>
      </c>
      <c r="F2426" t="s">
        <v>48</v>
      </c>
      <c r="G2426">
        <v>-349.73590000000002</v>
      </c>
      <c r="H2426" s="1">
        <v>3.6441910000000002E-6</v>
      </c>
      <c r="I2426">
        <v>210.6234</v>
      </c>
      <c r="J2426">
        <v>-438.2407</v>
      </c>
      <c r="K2426">
        <v>1.1210439999999999</v>
      </c>
      <c r="L2426">
        <v>213.7483</v>
      </c>
      <c r="M2426">
        <v>0.99993909999999997</v>
      </c>
      <c r="N2426">
        <v>-8.6203289999999995E-3</v>
      </c>
      <c r="O2426">
        <v>-6.9012329999999997E-3</v>
      </c>
      <c r="P2426">
        <v>0.98800189999999999</v>
      </c>
      <c r="Q2426">
        <v>0.1544065</v>
      </c>
      <c r="R2426">
        <v>-3.337174E-3</v>
      </c>
      <c r="S2426">
        <v>3.0431210000000002</v>
      </c>
      <c r="T2426">
        <v>-3.8410779999999999E-2</v>
      </c>
      <c r="U2426">
        <v>-0.10713200000000001</v>
      </c>
      <c r="V2426">
        <v>-3.6704009999999998E-3</v>
      </c>
      <c r="W2426">
        <v>0.16291329999999901</v>
      </c>
      <c r="X2426">
        <v>0.98663350000000005</v>
      </c>
      <c r="Y2426">
        <v>2.8281049999999999E-2</v>
      </c>
      <c r="Z2426">
        <v>-2.7276589999999999E-4</v>
      </c>
      <c r="AA2426">
        <v>0.99960000000000004</v>
      </c>
      <c r="AB2426">
        <v>29</v>
      </c>
      <c r="AC2426">
        <v>88.504799999999904</v>
      </c>
      <c r="AD2426">
        <v>-1.1210403558090001</v>
      </c>
      <c r="AE2426">
        <v>-3.12489999999999</v>
      </c>
      <c r="AF2426">
        <v>2.5136079024757598</v>
      </c>
      <c r="AG2426">
        <v>-1.1210403558090001</v>
      </c>
      <c r="AH2426">
        <v>88.510075920238606</v>
      </c>
      <c r="AI2426">
        <v>90.725358830358303</v>
      </c>
      <c r="AJ2426">
        <v>88.373287744025902</v>
      </c>
      <c r="AK2426">
        <v>88.552857071768997</v>
      </c>
      <c r="AL2426">
        <v>80.623964207346802</v>
      </c>
      <c r="AM2426">
        <v>90.213146539518505</v>
      </c>
      <c r="AN2426">
        <v>0.99999993924131803</v>
      </c>
    </row>
    <row r="2427" spans="1:40" x14ac:dyDescent="0.25">
      <c r="A2427" t="str">
        <f>"20190303162554213"</f>
        <v>20190303162554213</v>
      </c>
      <c r="B2427" t="str">
        <f>"1551601554205442"</f>
        <v>1551601554205442</v>
      </c>
      <c r="C2427" t="s">
        <v>40</v>
      </c>
      <c r="D2427">
        <v>4.5682479999999996</v>
      </c>
      <c r="E2427">
        <v>0.51189419999999997</v>
      </c>
      <c r="F2427" t="s">
        <v>48</v>
      </c>
      <c r="G2427">
        <v>-358.89389999999997</v>
      </c>
      <c r="H2427" s="1">
        <v>3.3541990000000002E-6</v>
      </c>
      <c r="I2427">
        <v>210.99879999999999</v>
      </c>
      <c r="J2427">
        <v>-437.94470000000001</v>
      </c>
      <c r="K2427">
        <v>1.121078</v>
      </c>
      <c r="L2427">
        <v>213.74700000000001</v>
      </c>
      <c r="M2427">
        <v>0.99994320000000003</v>
      </c>
      <c r="N2427">
        <v>-8.6989259999999992E-3</v>
      </c>
      <c r="O2427">
        <v>-6.1660359999999997E-3</v>
      </c>
      <c r="P2427">
        <v>0.98833020000000005</v>
      </c>
      <c r="Q2427">
        <v>0.1523108</v>
      </c>
      <c r="R2427">
        <v>-2.1975079999999999E-3</v>
      </c>
      <c r="S2427">
        <v>3.0427550000000001</v>
      </c>
      <c r="T2427">
        <v>-4.298913E-2</v>
      </c>
      <c r="U2427">
        <v>-0.1054382</v>
      </c>
      <c r="V2427">
        <v>-4.0980139999999997E-3</v>
      </c>
      <c r="W2427">
        <v>0.1608975</v>
      </c>
      <c r="X2427">
        <v>0.98696260000000002</v>
      </c>
      <c r="Y2427">
        <v>2.8463720000000001E-2</v>
      </c>
      <c r="Z2427">
        <v>-2.913945E-4</v>
      </c>
      <c r="AA2427">
        <v>0.99959480000000001</v>
      </c>
      <c r="AB2427">
        <v>29</v>
      </c>
      <c r="AC2427">
        <v>79.050799999999995</v>
      </c>
      <c r="AD2427">
        <v>-1.1210746458009999</v>
      </c>
      <c r="AE2427">
        <v>-2.7482000000000202</v>
      </c>
      <c r="AF2427">
        <v>2.2602452203098502</v>
      </c>
      <c r="AG2427">
        <v>-1.1210746458009999</v>
      </c>
      <c r="AH2427">
        <v>79.050363793552904</v>
      </c>
      <c r="AI2427">
        <v>90.812169636858101</v>
      </c>
      <c r="AJ2427">
        <v>88.362218310290899</v>
      </c>
      <c r="AK2427">
        <v>79.090615958598093</v>
      </c>
      <c r="AL2427">
        <v>80.741005716777707</v>
      </c>
      <c r="AM2427">
        <v>90.237899143557101</v>
      </c>
      <c r="AN2427">
        <v>0.99999998651187705</v>
      </c>
    </row>
    <row r="2428" spans="1:40" x14ac:dyDescent="0.25">
      <c r="A2428" t="str">
        <f>"20190303162554235"</f>
        <v>20190303162554235</v>
      </c>
      <c r="B2428" t="str">
        <f>"1551601554225939"</f>
        <v>1551601554225939</v>
      </c>
      <c r="C2428" t="s">
        <v>40</v>
      </c>
      <c r="D2428">
        <v>4.5986409999999998</v>
      </c>
      <c r="E2428">
        <v>0.51185040000000004</v>
      </c>
      <c r="F2428" t="s">
        <v>48</v>
      </c>
      <c r="G2428">
        <v>-365.39420000000001</v>
      </c>
      <c r="H2428" s="1">
        <v>1.33372E-6</v>
      </c>
      <c r="I2428">
        <v>211.31059999999999</v>
      </c>
      <c r="J2428">
        <v>-437.6635</v>
      </c>
      <c r="K2428">
        <v>1.1211120000000001</v>
      </c>
      <c r="L2428">
        <v>213.74600000000001</v>
      </c>
      <c r="M2428">
        <v>0.99994680000000002</v>
      </c>
      <c r="N2428">
        <v>-8.7613229999999997E-3</v>
      </c>
      <c r="O2428">
        <v>-5.4458049999999997E-3</v>
      </c>
      <c r="P2428">
        <v>0.98836690000000005</v>
      </c>
      <c r="Q2428">
        <v>0.15208720000000001</v>
      </c>
      <c r="R2428">
        <v>-7.3688059999999997E-4</v>
      </c>
      <c r="S2428">
        <v>3.0424500000000001</v>
      </c>
      <c r="T2428">
        <v>-4.7013039999999999E-2</v>
      </c>
      <c r="U2428">
        <v>-0.1021729</v>
      </c>
      <c r="V2428">
        <v>-4.8558430000000003E-3</v>
      </c>
      <c r="W2428">
        <v>0.16073470000000001</v>
      </c>
      <c r="X2428">
        <v>0.98698569999999997</v>
      </c>
      <c r="Y2428">
        <v>2.811493E-2</v>
      </c>
      <c r="Z2428">
        <v>-3.039378E-4</v>
      </c>
      <c r="AA2428">
        <v>0.99960459999999995</v>
      </c>
      <c r="AB2428">
        <v>29</v>
      </c>
      <c r="AC2428">
        <v>72.269299999999902</v>
      </c>
      <c r="AD2428">
        <v>-1.1211106662799999</v>
      </c>
      <c r="AE2428">
        <v>-2.43539999999998</v>
      </c>
      <c r="AF2428">
        <v>2.0412935826607899</v>
      </c>
      <c r="AG2428">
        <v>-1.1211106662799999</v>
      </c>
      <c r="AH2428">
        <v>72.264120723951095</v>
      </c>
      <c r="AI2428">
        <v>90.888465121024197</v>
      </c>
      <c r="AJ2428">
        <v>88.381957564433407</v>
      </c>
      <c r="AK2428">
        <v>72.301638381315001</v>
      </c>
      <c r="AL2428">
        <v>80.750456579781797</v>
      </c>
      <c r="AM2428">
        <v>90.281885609013202</v>
      </c>
      <c r="AN2428">
        <v>0.99999999749990998</v>
      </c>
    </row>
    <row r="2429" spans="1:40" x14ac:dyDescent="0.25">
      <c r="A2429" t="str">
        <f>"20190303162554257"</f>
        <v>20190303162554257</v>
      </c>
      <c r="B2429" t="str">
        <f>"1551601554245459"</f>
        <v>1551601554245459</v>
      </c>
      <c r="C2429" t="s">
        <v>40</v>
      </c>
      <c r="D2429">
        <v>4.6217949999999997</v>
      </c>
      <c r="E2429">
        <v>0.51186209999999999</v>
      </c>
      <c r="F2429" t="s">
        <v>48</v>
      </c>
      <c r="G2429">
        <v>-363.24099999999999</v>
      </c>
      <c r="H2429" s="1">
        <v>1.8792540000000001E-7</v>
      </c>
      <c r="I2429">
        <v>211.3646</v>
      </c>
      <c r="J2429">
        <v>-437.38069999999999</v>
      </c>
      <c r="K2429">
        <v>1.1211390000000001</v>
      </c>
      <c r="L2429">
        <v>213.74529999999999</v>
      </c>
      <c r="M2429">
        <v>0.99995009999999995</v>
      </c>
      <c r="N2429">
        <v>-8.8156929999999994E-3</v>
      </c>
      <c r="O2429">
        <v>-4.7081129999999999E-3</v>
      </c>
      <c r="P2429">
        <v>0.98815459999999999</v>
      </c>
      <c r="Q2429">
        <v>0.15346099999999999</v>
      </c>
      <c r="R2429">
        <v>4.4619009999999999E-4</v>
      </c>
      <c r="S2429">
        <v>3.042297</v>
      </c>
      <c r="T2429">
        <v>-4.582965E-2</v>
      </c>
      <c r="U2429">
        <v>-9.7351069999999998E-2</v>
      </c>
      <c r="V2429">
        <v>-5.3158049999999998E-3</v>
      </c>
      <c r="W2429">
        <v>0.1621591</v>
      </c>
      <c r="X2429">
        <v>0.98675029999999997</v>
      </c>
      <c r="Y2429">
        <v>2.7271779999999999E-2</v>
      </c>
      <c r="Z2429">
        <v>-2.9619800000000001E-4</v>
      </c>
      <c r="AA2429">
        <v>0.99962799999999996</v>
      </c>
      <c r="AB2429">
        <v>29</v>
      </c>
      <c r="AC2429">
        <v>74.139700000000005</v>
      </c>
      <c r="AD2429">
        <v>-1.1211388120746</v>
      </c>
      <c r="AE2429">
        <v>-2.3806999999999898</v>
      </c>
      <c r="AF2429">
        <v>2.03113798666491</v>
      </c>
      <c r="AG2429">
        <v>-1.1211388120746</v>
      </c>
      <c r="AH2429">
        <v>74.133152393071001</v>
      </c>
      <c r="AI2429">
        <v>90.866110938118993</v>
      </c>
      <c r="AJ2429">
        <v>88.430573591264505</v>
      </c>
      <c r="AK2429">
        <v>74.169446253097405</v>
      </c>
      <c r="AL2429">
        <v>80.667759552795602</v>
      </c>
      <c r="AM2429">
        <v>90.308659895872793</v>
      </c>
      <c r="AN2429">
        <v>0.99999999302284903</v>
      </c>
    </row>
    <row r="2430" spans="1:40" x14ac:dyDescent="0.25">
      <c r="A2430" t="str">
        <f>"20190303162554279"</f>
        <v>20190303162554279</v>
      </c>
      <c r="B2430" t="str">
        <f>"1551601554265956"</f>
        <v>1551601554265956</v>
      </c>
      <c r="C2430" t="s">
        <v>40</v>
      </c>
      <c r="D2430">
        <v>4.6700100000000004</v>
      </c>
      <c r="E2430">
        <v>0.51199649999999997</v>
      </c>
      <c r="F2430" t="s">
        <v>48</v>
      </c>
      <c r="G2430">
        <v>-352.97809999999998</v>
      </c>
      <c r="H2430" s="1">
        <v>1.9912320000000001E-7</v>
      </c>
      <c r="I2430">
        <v>211.15880000000001</v>
      </c>
      <c r="J2430">
        <v>-437.09710000000001</v>
      </c>
      <c r="K2430">
        <v>1.1211500000000001</v>
      </c>
      <c r="L2430">
        <v>213.74469999999999</v>
      </c>
      <c r="M2430">
        <v>0.99995299999999998</v>
      </c>
      <c r="N2430">
        <v>-8.8624080000000004E-3</v>
      </c>
      <c r="O2430">
        <v>-3.9621150000000004E-3</v>
      </c>
      <c r="P2430">
        <v>0.98796249999999997</v>
      </c>
      <c r="Q2430">
        <v>0.15468899999999999</v>
      </c>
      <c r="R2430">
        <v>1.227091E-3</v>
      </c>
      <c r="S2430">
        <v>3.042297</v>
      </c>
      <c r="T2430">
        <v>-4.0411469999999998E-2</v>
      </c>
      <c r="U2430">
        <v>-9.32312E-2</v>
      </c>
      <c r="V2430">
        <v>-5.3631260000000002E-3</v>
      </c>
      <c r="W2430">
        <v>0.16343170000000001</v>
      </c>
      <c r="X2430">
        <v>0.98654010000000003</v>
      </c>
      <c r="Y2430">
        <v>2.666609E-2</v>
      </c>
      <c r="Z2430">
        <v>-2.777503E-4</v>
      </c>
      <c r="AA2430">
        <v>0.99964430000000004</v>
      </c>
      <c r="AB2430">
        <v>29</v>
      </c>
      <c r="AC2430">
        <v>84.119</v>
      </c>
      <c r="AD2430">
        <v>-1.1211498008767999</v>
      </c>
      <c r="AE2430">
        <v>-2.5858999999999801</v>
      </c>
      <c r="AF2430">
        <v>2.2521778029136001</v>
      </c>
      <c r="AG2430">
        <v>-1.1211498008767999</v>
      </c>
      <c r="AH2430">
        <v>84.113657929475494</v>
      </c>
      <c r="AI2430">
        <v>90.763375883766599</v>
      </c>
      <c r="AJ2430">
        <v>88.466248383999698</v>
      </c>
      <c r="AK2430">
        <v>84.151272907833999</v>
      </c>
      <c r="AL2430">
        <v>80.593859410350404</v>
      </c>
      <c r="AM2430">
        <v>90.311473864829793</v>
      </c>
      <c r="AN2430">
        <v>1.0000000262966899</v>
      </c>
    </row>
    <row r="2431" spans="1:40" x14ac:dyDescent="0.25">
      <c r="A2431" t="str">
        <f>"20190303162554303"</f>
        <v>20190303162554303</v>
      </c>
      <c r="B2431" t="str">
        <f>"1551601554295235"</f>
        <v>1551601554295235</v>
      </c>
      <c r="C2431" t="s">
        <v>40</v>
      </c>
      <c r="D2431">
        <v>4.6551830000000001</v>
      </c>
      <c r="E2431">
        <v>0.51216649999999997</v>
      </c>
      <c r="F2431" t="s">
        <v>48</v>
      </c>
      <c r="G2431">
        <v>-345.98829999999998</v>
      </c>
      <c r="H2431" s="1">
        <v>1.6499070000000001E-6</v>
      </c>
      <c r="I2431">
        <v>211.0155</v>
      </c>
      <c r="J2431">
        <v>-436.79379999999998</v>
      </c>
      <c r="K2431">
        <v>1.1211580000000001</v>
      </c>
      <c r="L2431">
        <v>213.74430000000001</v>
      </c>
      <c r="M2431">
        <v>0.9999555</v>
      </c>
      <c r="N2431">
        <v>-8.8992399999999992E-3</v>
      </c>
      <c r="O2431">
        <v>-3.1656840000000002E-3</v>
      </c>
      <c r="P2431">
        <v>0.98786689999999999</v>
      </c>
      <c r="Q2431">
        <v>0.15529179999999901</v>
      </c>
      <c r="R2431">
        <v>1.9436519999999999E-3</v>
      </c>
      <c r="S2431">
        <v>3.0425420000000001</v>
      </c>
      <c r="T2431">
        <v>-3.7440300000000003E-2</v>
      </c>
      <c r="U2431">
        <v>-9.1140750000000006E-2</v>
      </c>
      <c r="V2431">
        <v>-5.2938769999999998E-3</v>
      </c>
      <c r="W2431">
        <v>0.1640701</v>
      </c>
      <c r="X2431">
        <v>0.98643449999999999</v>
      </c>
      <c r="Y2431">
        <v>2.6774030000000001E-2</v>
      </c>
      <c r="Z2431">
        <v>-2.7308470000000001E-4</v>
      </c>
      <c r="AA2431">
        <v>0.99964149999999996</v>
      </c>
      <c r="AB2431">
        <v>29</v>
      </c>
      <c r="AC2431">
        <v>90.805499999999995</v>
      </c>
      <c r="AD2431">
        <v>-1.121156350093</v>
      </c>
      <c r="AE2431">
        <v>-2.7288000000000001</v>
      </c>
      <c r="AF2431">
        <v>2.44094168576687</v>
      </c>
      <c r="AG2431">
        <v>-1.121156350093</v>
      </c>
      <c r="AH2431">
        <v>90.799854484895206</v>
      </c>
      <c r="AI2431">
        <v>90.707171478439903</v>
      </c>
      <c r="AJ2431">
        <v>88.460107872975001</v>
      </c>
      <c r="AK2431">
        <v>90.839577070530197</v>
      </c>
      <c r="AL2431">
        <v>80.556781261056102</v>
      </c>
      <c r="AM2431">
        <v>90.307485086384204</v>
      </c>
      <c r="AN2431">
        <v>1.00000002281897</v>
      </c>
    </row>
    <row r="2432" spans="1:40" x14ac:dyDescent="0.25">
      <c r="A2432" t="str">
        <f>"20190303162554323"</f>
        <v>20190303162554323</v>
      </c>
      <c r="B2432" t="str">
        <f>"1551601554315731"</f>
        <v>1551601554315731</v>
      </c>
      <c r="C2432" t="s">
        <v>40</v>
      </c>
      <c r="D2432">
        <v>4.7373050000000001</v>
      </c>
      <c r="E2432">
        <v>0.51234690000000005</v>
      </c>
      <c r="F2432" t="s">
        <v>48</v>
      </c>
      <c r="G2432">
        <v>-342.67759999999998</v>
      </c>
      <c r="H2432" s="1">
        <v>-1.119054E-7</v>
      </c>
      <c r="I2432">
        <v>210.95679999999999</v>
      </c>
      <c r="J2432">
        <v>-436.53059999999999</v>
      </c>
      <c r="K2432">
        <v>1.121162</v>
      </c>
      <c r="L2432">
        <v>213.74420000000001</v>
      </c>
      <c r="M2432">
        <v>0.99995710000000004</v>
      </c>
      <c r="N2432">
        <v>-8.923584E-3</v>
      </c>
      <c r="O2432">
        <v>-2.4791259999999999E-3</v>
      </c>
      <c r="P2432">
        <v>0.98773169999999999</v>
      </c>
      <c r="Q2432">
        <v>0.15614420000000001</v>
      </c>
      <c r="R2432">
        <v>2.271253E-3</v>
      </c>
      <c r="S2432">
        <v>3.0427249999999999</v>
      </c>
      <c r="T2432">
        <v>-3.6246420000000001E-2</v>
      </c>
      <c r="U2432">
        <v>-9.0118409999999996E-2</v>
      </c>
      <c r="V2432">
        <v>-4.945072E-3</v>
      </c>
      <c r="W2432">
        <v>0.16494539999999999</v>
      </c>
      <c r="X2432">
        <v>0.98629029999999995</v>
      </c>
      <c r="Y2432">
        <v>2.7123100000000001E-2</v>
      </c>
      <c r="Z2432">
        <v>-2.751583E-4</v>
      </c>
      <c r="AA2432">
        <v>0.99963210000000002</v>
      </c>
      <c r="AB2432">
        <v>29</v>
      </c>
      <c r="AC2432">
        <v>93.852999999999994</v>
      </c>
      <c r="AD2432">
        <v>-1.1211621119053901</v>
      </c>
      <c r="AE2432">
        <v>-2.7874000000000101</v>
      </c>
      <c r="AF2432">
        <v>2.5543445564404501</v>
      </c>
      <c r="AG2432">
        <v>-1.1211621119053901</v>
      </c>
      <c r="AH2432">
        <v>93.846241588314498</v>
      </c>
      <c r="AI2432">
        <v>90.6842151776832</v>
      </c>
      <c r="AJ2432">
        <v>88.440885488890501</v>
      </c>
      <c r="AK2432">
        <v>93.887692169136201</v>
      </c>
      <c r="AL2432">
        <v>80.505937314843806</v>
      </c>
      <c r="AM2432">
        <v>90.287267735336698</v>
      </c>
      <c r="AN2432">
        <v>0.99999999729616695</v>
      </c>
    </row>
    <row r="2433" spans="1:40" x14ac:dyDescent="0.25">
      <c r="A2433" t="str">
        <f>"20190303162554345"</f>
        <v>20190303162554345</v>
      </c>
      <c r="B2433" t="str">
        <f>"1551601554335919"</f>
        <v>1551601554335919</v>
      </c>
      <c r="C2433" t="s">
        <v>40</v>
      </c>
      <c r="D2433">
        <v>4.6921369999999998</v>
      </c>
      <c r="E2433">
        <v>0.51252759999999997</v>
      </c>
      <c r="F2433" t="s">
        <v>48</v>
      </c>
      <c r="G2433">
        <v>-338.04340000000002</v>
      </c>
      <c r="H2433" s="1">
        <v>2.9095369999999998E-6</v>
      </c>
      <c r="I2433">
        <v>210.81809999999999</v>
      </c>
      <c r="J2433">
        <v>-436.23469999999998</v>
      </c>
      <c r="K2433">
        <v>1.1211719999999901</v>
      </c>
      <c r="L2433">
        <v>213.74420000000001</v>
      </c>
      <c r="M2433">
        <v>0.99995849999999997</v>
      </c>
      <c r="N2433">
        <v>-8.9460900000000003E-3</v>
      </c>
      <c r="O2433">
        <v>-1.7134069999999999E-3</v>
      </c>
      <c r="P2433">
        <v>0.98767720000000003</v>
      </c>
      <c r="Q2433">
        <v>0.15648029999999999</v>
      </c>
      <c r="R2433">
        <v>2.7877760000000001E-3</v>
      </c>
      <c r="S2433">
        <v>3.0429689999999998</v>
      </c>
      <c r="T2433">
        <v>-3.4640549999999999E-2</v>
      </c>
      <c r="U2433">
        <v>-9.0408329999999995E-2</v>
      </c>
      <c r="V2433">
        <v>-4.7068149999999996E-3</v>
      </c>
      <c r="W2433">
        <v>0.16530329999999999</v>
      </c>
      <c r="X2433">
        <v>0.98623159999999999</v>
      </c>
      <c r="Y2433">
        <v>2.7981470000000001E-2</v>
      </c>
      <c r="Z2433">
        <v>-2.8025240000000001E-4</v>
      </c>
      <c r="AA2433">
        <v>0.99960839999999995</v>
      </c>
      <c r="AB2433">
        <v>29</v>
      </c>
      <c r="AC2433">
        <v>98.191299999999899</v>
      </c>
      <c r="AD2433">
        <v>-1.1211690904629901</v>
      </c>
      <c r="AE2433">
        <v>-2.9261000000000101</v>
      </c>
      <c r="AF2433">
        <v>2.7574881182914899</v>
      </c>
      <c r="AG2433">
        <v>-1.1211690904629901</v>
      </c>
      <c r="AH2433">
        <v>98.183380299576498</v>
      </c>
      <c r="AI2433">
        <v>90.653981850015796</v>
      </c>
      <c r="AJ2433">
        <v>88.391266318047897</v>
      </c>
      <c r="AK2433">
        <v>98.228493462453102</v>
      </c>
      <c r="AL2433">
        <v>80.485146269246002</v>
      </c>
      <c r="AM2433">
        <v>90.273443465989104</v>
      </c>
      <c r="AN2433">
        <v>1.00000005196844</v>
      </c>
    </row>
    <row r="2434" spans="1:40" x14ac:dyDescent="0.25">
      <c r="A2434" t="str">
        <f>"20190303162554368"</f>
        <v>20190303162554368</v>
      </c>
      <c r="B2434" t="str">
        <f>"1551601554356415"</f>
        <v>1551601554356415</v>
      </c>
      <c r="C2434" t="s">
        <v>40</v>
      </c>
      <c r="D2434">
        <v>4.7189220000000001</v>
      </c>
      <c r="E2434">
        <v>0.51268420000000003</v>
      </c>
      <c r="F2434" t="s">
        <v>48</v>
      </c>
      <c r="G2434">
        <v>-336.89850000000001</v>
      </c>
      <c r="H2434" s="1">
        <v>2.301628E-6</v>
      </c>
      <c r="I2434">
        <v>210.7876</v>
      </c>
      <c r="J2434">
        <v>-435.95100000000002</v>
      </c>
      <c r="K2434">
        <v>1.1211789999999999</v>
      </c>
      <c r="L2434">
        <v>213.74459999999999</v>
      </c>
      <c r="M2434">
        <v>0.9999593</v>
      </c>
      <c r="N2434">
        <v>-8.9645699999999998E-3</v>
      </c>
      <c r="O2434">
        <v>-9.8391179999999991E-4</v>
      </c>
      <c r="P2434">
        <v>0.98744399999999999</v>
      </c>
      <c r="Q2434">
        <v>0.15792929999999999</v>
      </c>
      <c r="R2434">
        <v>3.5583759999999998E-3</v>
      </c>
      <c r="S2434">
        <v>3.0431210000000002</v>
      </c>
      <c r="T2434">
        <v>-3.4346580000000002E-2</v>
      </c>
      <c r="U2434">
        <v>-9.0576169999999998E-2</v>
      </c>
      <c r="V2434">
        <v>-4.7592340000000002E-3</v>
      </c>
      <c r="W2434">
        <v>0.16676849999999999</v>
      </c>
      <c r="X2434">
        <v>0.98598459999999999</v>
      </c>
      <c r="Y2434">
        <v>2.8764250000000002E-2</v>
      </c>
      <c r="Z2434">
        <v>-2.8896899999999998E-4</v>
      </c>
      <c r="AA2434">
        <v>0.99958619999999998</v>
      </c>
      <c r="AB2434">
        <v>29</v>
      </c>
      <c r="AC2434">
        <v>99.052499999999895</v>
      </c>
      <c r="AD2434">
        <v>-1.121176698372</v>
      </c>
      <c r="AE2434">
        <v>-2.9569999999999901</v>
      </c>
      <c r="AF2434">
        <v>2.8591697345228</v>
      </c>
      <c r="AG2434">
        <v>-1.121176698372</v>
      </c>
      <c r="AH2434">
        <v>99.042683535654604</v>
      </c>
      <c r="AI2434">
        <v>90.648298287910393</v>
      </c>
      <c r="AJ2434">
        <v>88.346441465599398</v>
      </c>
      <c r="AK2434">
        <v>99.090287368155302</v>
      </c>
      <c r="AL2434">
        <v>80.400014406031801</v>
      </c>
      <c r="AM2434">
        <v>90.276557974847094</v>
      </c>
      <c r="AN2434">
        <v>1.00000000716883</v>
      </c>
    </row>
    <row r="2435" spans="1:40" x14ac:dyDescent="0.25">
      <c r="A2435" t="str">
        <f>"20190303162554391"</f>
        <v>20190303162554391</v>
      </c>
      <c r="B2435" t="str">
        <f>"1551601554385695"</f>
        <v>1551601554385695</v>
      </c>
      <c r="C2435" t="s">
        <v>40</v>
      </c>
      <c r="D2435">
        <v>4.8097139999999996</v>
      </c>
      <c r="E2435">
        <v>0.48878929999999998</v>
      </c>
      <c r="F2435" t="s">
        <v>48</v>
      </c>
      <c r="G2435">
        <v>-324.56290000000001</v>
      </c>
      <c r="H2435" s="1">
        <v>8.9135309999999997E-7</v>
      </c>
      <c r="I2435">
        <v>210.4736</v>
      </c>
      <c r="J2435">
        <v>-435.64479999999998</v>
      </c>
      <c r="K2435">
        <v>1.121189</v>
      </c>
      <c r="L2435">
        <v>213.74510000000001</v>
      </c>
      <c r="M2435">
        <v>0.99995970000000001</v>
      </c>
      <c r="N2435">
        <v>-8.9815650000000004E-3</v>
      </c>
      <c r="O2435">
        <v>-1.996953E-4</v>
      </c>
      <c r="P2435">
        <v>0.98717549999999998</v>
      </c>
      <c r="Q2435">
        <v>0.15957789999999999</v>
      </c>
      <c r="R2435">
        <v>4.4110970000000001E-3</v>
      </c>
      <c r="S2435">
        <v>3.043396</v>
      </c>
      <c r="T2435">
        <v>-3.063333E-2</v>
      </c>
      <c r="U2435">
        <v>-8.9370729999999995E-2</v>
      </c>
      <c r="V2435">
        <v>-4.8405929999999998E-3</v>
      </c>
      <c r="W2435">
        <v>0.1684312</v>
      </c>
      <c r="X2435">
        <v>0.98570150000000001</v>
      </c>
      <c r="Y2435">
        <v>2.91504E-2</v>
      </c>
      <c r="Z2435">
        <v>-2.7740039999999999E-4</v>
      </c>
      <c r="AA2435">
        <v>0.99957499999999999</v>
      </c>
      <c r="AB2435">
        <v>29</v>
      </c>
      <c r="AC2435">
        <v>111.081899999999</v>
      </c>
      <c r="AD2435">
        <v>-1.1211881086469</v>
      </c>
      <c r="AE2435">
        <v>-3.2715000000000001</v>
      </c>
      <c r="AF2435">
        <v>3.24898580219442</v>
      </c>
      <c r="AG2435">
        <v>-1.1211881086469</v>
      </c>
      <c r="AH2435">
        <v>111.071245466026</v>
      </c>
      <c r="AI2435">
        <v>90.578094736402207</v>
      </c>
      <c r="AJ2435">
        <v>88.324497874299198</v>
      </c>
      <c r="AK2435">
        <v>111.124410193675</v>
      </c>
      <c r="AL2435">
        <v>80.303381517735502</v>
      </c>
      <c r="AM2435">
        <v>90.281366437789799</v>
      </c>
      <c r="AN2435">
        <v>0.99999997378813998</v>
      </c>
    </row>
    <row r="2436" spans="1:40" x14ac:dyDescent="0.25">
      <c r="A2436" t="str">
        <f>"20190303162554436"</f>
        <v>20190303162554436</v>
      </c>
      <c r="B2436" t="str">
        <f>"1551601554425711"</f>
        <v>1551601554425711</v>
      </c>
      <c r="C2436" t="s">
        <v>40</v>
      </c>
      <c r="D2436">
        <v>4.8137660000000002</v>
      </c>
      <c r="E2436">
        <v>0.47615449999999998</v>
      </c>
      <c r="F2436" t="s">
        <v>48</v>
      </c>
      <c r="G2436">
        <v>-276.86470000000003</v>
      </c>
      <c r="H2436" s="1">
        <v>1.9162130000000001E-6</v>
      </c>
      <c r="I2436">
        <v>219.19370000000001</v>
      </c>
      <c r="J2436">
        <v>-435.05950000000001</v>
      </c>
      <c r="K2436">
        <v>1.1212059999999999</v>
      </c>
      <c r="L2436">
        <v>213.7467</v>
      </c>
      <c r="M2436">
        <v>0.99995869999999998</v>
      </c>
      <c r="N2436">
        <v>-9.0075859999999997E-3</v>
      </c>
      <c r="O2436">
        <v>1.2961610000000001E-3</v>
      </c>
      <c r="P2436">
        <v>0.98691209999999996</v>
      </c>
      <c r="Q2436">
        <v>0.16109000000000001</v>
      </c>
      <c r="R2436">
        <v>7.3997869999999997E-3</v>
      </c>
      <c r="S2436">
        <v>3.0419619999999998</v>
      </c>
      <c r="T2436">
        <v>-2.1480079999999999E-2</v>
      </c>
      <c r="U2436">
        <v>0.1043854</v>
      </c>
      <c r="V2436">
        <v>-6.3561109999999898E-3</v>
      </c>
      <c r="W2436">
        <v>0.1699647</v>
      </c>
      <c r="X2436">
        <v>0.98542960000000002</v>
      </c>
      <c r="Y2436">
        <v>-3.2997619999999998E-2</v>
      </c>
      <c r="Z2436">
        <v>2.6765460000000002E-4</v>
      </c>
      <c r="AA2436">
        <v>0.99945539999999999</v>
      </c>
      <c r="AB2436">
        <v>29</v>
      </c>
      <c r="AC2436">
        <v>158.19479999999999</v>
      </c>
      <c r="AD2436">
        <v>-1.1212040837870001</v>
      </c>
      <c r="AE2436">
        <v>5.4470000000000001</v>
      </c>
      <c r="AF2436">
        <v>-5.2416782065207599</v>
      </c>
      <c r="AG2436">
        <v>-1.1212040837870001</v>
      </c>
      <c r="AH2436">
        <v>158.19379051539499</v>
      </c>
      <c r="AI2436">
        <v>90.405856337962803</v>
      </c>
      <c r="AJ2436">
        <v>91.8977748815811</v>
      </c>
      <c r="AK2436">
        <v>158.28457804425199</v>
      </c>
      <c r="AL2436">
        <v>80.214232838682193</v>
      </c>
      <c r="AM2436">
        <v>90.369557890443403</v>
      </c>
      <c r="AN2436">
        <v>0.99999994797464498</v>
      </c>
    </row>
    <row r="2437" spans="1:40" x14ac:dyDescent="0.25">
      <c r="A2437" t="str">
        <f>"20190303162554457"</f>
        <v>20190303162554457</v>
      </c>
      <c r="B2437" t="str">
        <f>"1551601554446046"</f>
        <v>1551601554446046</v>
      </c>
      <c r="C2437" t="s">
        <v>40</v>
      </c>
      <c r="D2437">
        <v>4.8843480000000001</v>
      </c>
      <c r="E2437">
        <v>0.47479650000000001</v>
      </c>
      <c r="F2437" t="s">
        <v>48</v>
      </c>
      <c r="G2437">
        <v>-339.16629999999998</v>
      </c>
      <c r="H2437">
        <v>8.0000989999999994E-2</v>
      </c>
      <c r="I2437">
        <v>220.4682</v>
      </c>
      <c r="J2437">
        <v>-434.78489999999999</v>
      </c>
      <c r="K2437">
        <v>1.12121</v>
      </c>
      <c r="L2437">
        <v>213.74780000000001</v>
      </c>
      <c r="M2437">
        <v>0.9999574</v>
      </c>
      <c r="N2437">
        <v>-9.0178510000000003E-3</v>
      </c>
      <c r="O2437">
        <v>1.997726E-3</v>
      </c>
      <c r="P2437">
        <v>0.98674669999999998</v>
      </c>
      <c r="Q2437">
        <v>0.16206709999999999</v>
      </c>
      <c r="R2437">
        <v>8.0888049999999993E-3</v>
      </c>
      <c r="S2437">
        <v>3.0435789999999998</v>
      </c>
      <c r="T2437">
        <v>-3.304708E-2</v>
      </c>
      <c r="U2437">
        <v>0.2133331</v>
      </c>
      <c r="V2437">
        <v>-6.3550109999999998E-3</v>
      </c>
      <c r="W2437">
        <v>0.17095050000000001</v>
      </c>
      <c r="X2437">
        <v>0.98525910000000005</v>
      </c>
      <c r="Y2437">
        <v>-6.7920949999999994E-2</v>
      </c>
      <c r="Z2437">
        <v>6.7125750000000004E-4</v>
      </c>
      <c r="AA2437">
        <v>0.99769050000000004</v>
      </c>
      <c r="AB2437">
        <v>29</v>
      </c>
      <c r="AC2437">
        <v>95.618600000000001</v>
      </c>
      <c r="AD2437">
        <v>-1.04120901</v>
      </c>
      <c r="AE2437">
        <v>6.7203999999999802</v>
      </c>
      <c r="AF2437">
        <v>-6.5285887502167901</v>
      </c>
      <c r="AG2437">
        <v>-1.04120901</v>
      </c>
      <c r="AH2437">
        <v>95.620552823830394</v>
      </c>
      <c r="AI2437">
        <v>90.622418240393202</v>
      </c>
      <c r="AJ2437">
        <v>93.9058648908442</v>
      </c>
      <c r="AK2437">
        <v>95.848822160769899</v>
      </c>
      <c r="AL2437">
        <v>80.156912047633398</v>
      </c>
      <c r="AM2437">
        <v>90.369557875358296</v>
      </c>
      <c r="AN2437">
        <v>0.99999997687393405</v>
      </c>
    </row>
    <row r="2438" spans="1:40" x14ac:dyDescent="0.25">
      <c r="A2438" t="str">
        <f>"20190303162554481"</f>
        <v>20190303162554481</v>
      </c>
      <c r="B2438" t="str">
        <f>"1551601554465567"</f>
        <v>1551601554465567</v>
      </c>
      <c r="C2438" t="s">
        <v>40</v>
      </c>
      <c r="D2438">
        <v>4.841596</v>
      </c>
      <c r="E2438">
        <v>0.47405130000000001</v>
      </c>
      <c r="F2438" t="s">
        <v>48</v>
      </c>
      <c r="G2438">
        <v>-354.8306</v>
      </c>
      <c r="H2438">
        <v>8.0001210000000003E-2</v>
      </c>
      <c r="I2438">
        <v>219.67959999999999</v>
      </c>
      <c r="J2438">
        <v>-434.47680000000003</v>
      </c>
      <c r="K2438">
        <v>1.1212070000000001</v>
      </c>
      <c r="L2438">
        <v>213.74930000000001</v>
      </c>
      <c r="M2438">
        <v>0.9999555</v>
      </c>
      <c r="N2438">
        <v>-9.0283250000000002E-3</v>
      </c>
      <c r="O2438">
        <v>2.7809919999999999E-3</v>
      </c>
      <c r="P2438">
        <v>0.98654750000000002</v>
      </c>
      <c r="Q2438">
        <v>0.16326209999999999</v>
      </c>
      <c r="R2438">
        <v>8.3408340000000001E-3</v>
      </c>
      <c r="S2438">
        <v>3.0449830000000002</v>
      </c>
      <c r="T2438">
        <v>-3.9653420000000002E-2</v>
      </c>
      <c r="U2438">
        <v>0.22590640000000001</v>
      </c>
      <c r="V2438">
        <v>-5.8365099999999996E-3</v>
      </c>
      <c r="W2438">
        <v>0.17215449999999999</v>
      </c>
      <c r="X2438">
        <v>0.98505259999999994</v>
      </c>
      <c r="Y2438">
        <v>-7.1202429999999997E-2</v>
      </c>
      <c r="Z2438">
        <v>7.7376330000000001E-4</v>
      </c>
      <c r="AA2438">
        <v>0.99746159999999995</v>
      </c>
      <c r="AB2438">
        <v>29</v>
      </c>
      <c r="AC2438">
        <v>79.646199999999993</v>
      </c>
      <c r="AD2438">
        <v>-1.04120579</v>
      </c>
      <c r="AE2438">
        <v>5.9302999999999804</v>
      </c>
      <c r="AF2438">
        <v>-5.7078025330175901</v>
      </c>
      <c r="AG2438">
        <v>-1.04120579</v>
      </c>
      <c r="AH2438">
        <v>79.648847803431906</v>
      </c>
      <c r="AI2438">
        <v>90.747038186942206</v>
      </c>
      <c r="AJ2438">
        <v>94.098928008095598</v>
      </c>
      <c r="AK2438">
        <v>79.859890280836893</v>
      </c>
      <c r="AL2438">
        <v>80.086889380203303</v>
      </c>
      <c r="AM2438">
        <v>90.339477787152106</v>
      </c>
      <c r="AN2438">
        <v>0.99999993074299198</v>
      </c>
    </row>
    <row r="2439" spans="1:40" x14ac:dyDescent="0.25">
      <c r="A2439" t="str">
        <f>"20190303162554504"</f>
        <v>20190303162554504</v>
      </c>
      <c r="B2439" t="str">
        <f>"1551601554495824"</f>
        <v>1551601554495824</v>
      </c>
      <c r="C2439" t="s">
        <v>40</v>
      </c>
      <c r="D2439">
        <v>4.9121709999999998</v>
      </c>
      <c r="E2439">
        <v>0.47366059999999999</v>
      </c>
      <c r="F2439" t="s">
        <v>48</v>
      </c>
      <c r="G2439">
        <v>-363.11559999999997</v>
      </c>
      <c r="H2439" s="1">
        <v>1.211716E-7</v>
      </c>
      <c r="I2439">
        <v>219.19990000000001</v>
      </c>
      <c r="J2439">
        <v>-434.16449999999998</v>
      </c>
      <c r="K2439">
        <v>1.1212089999999999</v>
      </c>
      <c r="L2439">
        <v>213.751</v>
      </c>
      <c r="M2439">
        <v>0.99995279999999998</v>
      </c>
      <c r="N2439">
        <v>-9.0378630000000001E-3</v>
      </c>
      <c r="O2439">
        <v>3.5672770000000002E-3</v>
      </c>
      <c r="P2439">
        <v>0.98648060000000004</v>
      </c>
      <c r="Q2439">
        <v>0.1636195</v>
      </c>
      <c r="R2439">
        <v>9.211772E-3</v>
      </c>
      <c r="S2439">
        <v>3.0469360000000001</v>
      </c>
      <c r="T2439">
        <v>-4.7872539999999998E-2</v>
      </c>
      <c r="U2439">
        <v>0.23272709999999999</v>
      </c>
      <c r="V2439">
        <v>-5.9310049999999996E-3</v>
      </c>
      <c r="W2439">
        <v>0.172520799999999</v>
      </c>
      <c r="X2439">
        <v>0.98498799999999997</v>
      </c>
      <c r="Y2439">
        <v>-7.258734E-2</v>
      </c>
      <c r="Z2439">
        <v>8.7413729999999998E-4</v>
      </c>
      <c r="AA2439">
        <v>0.99736170000000002</v>
      </c>
      <c r="AB2439">
        <v>29</v>
      </c>
      <c r="AC2439">
        <v>71.048900000000003</v>
      </c>
      <c r="AD2439">
        <v>-1.1212088788284</v>
      </c>
      <c r="AE2439">
        <v>5.4489000000000303</v>
      </c>
      <c r="AF2439">
        <v>-5.1941179222203004</v>
      </c>
      <c r="AG2439">
        <v>-1.1212088788284</v>
      </c>
      <c r="AH2439">
        <v>71.050295960808896</v>
      </c>
      <c r="AI2439">
        <v>90.901674945547001</v>
      </c>
      <c r="AJ2439">
        <v>94.181158813344197</v>
      </c>
      <c r="AK2439">
        <v>71.2487229812468</v>
      </c>
      <c r="AL2439">
        <v>80.065583660684993</v>
      </c>
      <c r="AM2439">
        <v>90.344996535859806</v>
      </c>
      <c r="AN2439">
        <v>0.99999998169847404</v>
      </c>
    </row>
    <row r="2440" spans="1:40" x14ac:dyDescent="0.25">
      <c r="A2440" t="str">
        <f>"20190303162554526"</f>
        <v>20190303162554526</v>
      </c>
      <c r="B2440" t="str">
        <f>"1551601554515342"</f>
        <v>1551601554515342</v>
      </c>
      <c r="C2440" t="s">
        <v>40</v>
      </c>
      <c r="D2440">
        <v>5.0347689999999998</v>
      </c>
      <c r="E2440">
        <v>0.47374139999999998</v>
      </c>
      <c r="F2440" t="s">
        <v>48</v>
      </c>
      <c r="G2440">
        <v>-357.43020000000001</v>
      </c>
      <c r="H2440">
        <v>8.0000509999999997E-2</v>
      </c>
      <c r="I2440">
        <v>219.74189999999999</v>
      </c>
      <c r="J2440">
        <v>-433.88510000000002</v>
      </c>
      <c r="K2440">
        <v>1.1212070000000001</v>
      </c>
      <c r="L2440">
        <v>213.7527</v>
      </c>
      <c r="M2440">
        <v>0.99995009999999995</v>
      </c>
      <c r="N2440">
        <v>-9.0441480000000001E-3</v>
      </c>
      <c r="O2440">
        <v>4.2644620000000001E-3</v>
      </c>
      <c r="P2440">
        <v>0.98643950000000002</v>
      </c>
      <c r="Q2440">
        <v>0.16381279999999901</v>
      </c>
      <c r="R2440">
        <v>1.014693E-2</v>
      </c>
      <c r="S2440">
        <v>3.045776</v>
      </c>
      <c r="T2440">
        <v>-4.1328190000000001E-2</v>
      </c>
      <c r="U2440">
        <v>0.237793</v>
      </c>
      <c r="V2440">
        <v>-6.1773679999999999E-3</v>
      </c>
      <c r="W2440">
        <v>0.1727195</v>
      </c>
      <c r="X2440">
        <v>0.98495169999999999</v>
      </c>
      <c r="Y2440">
        <v>-7.357255E-2</v>
      </c>
      <c r="Z2440">
        <v>8.1235080000000004E-4</v>
      </c>
      <c r="AA2440">
        <v>0.99728950000000005</v>
      </c>
      <c r="AB2440">
        <v>29</v>
      </c>
      <c r="AC2440">
        <v>76.454899999999995</v>
      </c>
      <c r="AD2440">
        <v>-1.04120649</v>
      </c>
      <c r="AE2440">
        <v>5.9891999999999799</v>
      </c>
      <c r="AF2440">
        <v>-5.6620495057942799</v>
      </c>
      <c r="AG2440">
        <v>-1.04120649</v>
      </c>
      <c r="AH2440">
        <v>76.465651265803402</v>
      </c>
      <c r="AI2440">
        <v>90.777999034837293</v>
      </c>
      <c r="AJ2440">
        <v>94.234850113107498</v>
      </c>
      <c r="AK2440">
        <v>76.682062694376896</v>
      </c>
      <c r="AL2440">
        <v>80.054025852306097</v>
      </c>
      <c r="AM2440">
        <v>90.359339929384703</v>
      </c>
      <c r="AN2440">
        <v>1.0000000184442699</v>
      </c>
    </row>
    <row r="2441" spans="1:40" x14ac:dyDescent="0.25">
      <c r="A2441" t="str">
        <f>"20190303162554559"</f>
        <v>20190303162554559</v>
      </c>
      <c r="B2441" t="str">
        <f>"1551601554547191"</f>
        <v>1551601554547191</v>
      </c>
      <c r="C2441" t="s">
        <v>40</v>
      </c>
      <c r="D2441">
        <v>5.0916969999999999</v>
      </c>
      <c r="E2441">
        <v>0.47391549999999999</v>
      </c>
      <c r="F2441" t="s">
        <v>48</v>
      </c>
      <c r="G2441">
        <v>-354.87130000000002</v>
      </c>
      <c r="H2441">
        <v>8.0001210000000003E-2</v>
      </c>
      <c r="I2441">
        <v>219.96700000000001</v>
      </c>
      <c r="J2441">
        <v>-433.43729999999999</v>
      </c>
      <c r="K2441">
        <v>1.121192</v>
      </c>
      <c r="L2441">
        <v>213.7559</v>
      </c>
      <c r="M2441">
        <v>0.99994470000000002</v>
      </c>
      <c r="N2441">
        <v>-9.0446269999999995E-3</v>
      </c>
      <c r="O2441">
        <v>5.3654439999999996E-3</v>
      </c>
      <c r="P2441">
        <v>0.98634429999999995</v>
      </c>
      <c r="Q2441">
        <v>0.16431999999999999</v>
      </c>
      <c r="R2441">
        <v>1.1138769999999999E-2</v>
      </c>
      <c r="S2441">
        <v>3.0454409999999998</v>
      </c>
      <c r="T2441">
        <v>-4.013133E-2</v>
      </c>
      <c r="U2441">
        <v>0.23951720000000001</v>
      </c>
      <c r="V2441">
        <v>-6.0814769999999897E-3</v>
      </c>
      <c r="W2441">
        <v>0.1732263</v>
      </c>
      <c r="X2441">
        <v>0.9848633</v>
      </c>
      <c r="Y2441">
        <v>-7.3044799999999993E-2</v>
      </c>
      <c r="Z2441">
        <v>7.892528E-4</v>
      </c>
      <c r="AA2441">
        <v>0.99732829999999995</v>
      </c>
      <c r="AB2441">
        <v>29</v>
      </c>
      <c r="AC2441">
        <v>78.565999999999903</v>
      </c>
      <c r="AD2441">
        <v>-1.0411907899999999</v>
      </c>
      <c r="AE2441">
        <v>6.2111000000000098</v>
      </c>
      <c r="AF2441">
        <v>-5.7884415795699704</v>
      </c>
      <c r="AG2441">
        <v>-1.0411907899999999</v>
      </c>
      <c r="AH2441">
        <v>78.584479856191606</v>
      </c>
      <c r="AI2441">
        <v>90.757034930580502</v>
      </c>
      <c r="AJ2441">
        <v>94.212732710326094</v>
      </c>
      <c r="AK2441">
        <v>78.804255014875096</v>
      </c>
      <c r="AL2441">
        <v>80.024544050169396</v>
      </c>
      <c r="AM2441">
        <v>90.353793807427806</v>
      </c>
      <c r="AN2441">
        <v>1.0000000275305401</v>
      </c>
    </row>
    <row r="2442" spans="1:40" x14ac:dyDescent="0.25">
      <c r="A2442" t="str">
        <f>"20190303162554582"</f>
        <v>20190303162554582</v>
      </c>
      <c r="B2442" t="str">
        <f>"1551601554575495"</f>
        <v>1551601554575495</v>
      </c>
      <c r="C2442" t="s">
        <v>40</v>
      </c>
      <c r="D2442">
        <v>5.0318440000000004</v>
      </c>
      <c r="E2442">
        <v>0.47387289999999999</v>
      </c>
      <c r="F2442" t="s">
        <v>48</v>
      </c>
      <c r="G2442">
        <v>-348.2799</v>
      </c>
      <c r="H2442">
        <v>8.0000979999999999E-2</v>
      </c>
      <c r="I2442">
        <v>220.50839999999999</v>
      </c>
      <c r="J2442">
        <v>-433.13929999999999</v>
      </c>
      <c r="K2442">
        <v>1.121191</v>
      </c>
      <c r="L2442">
        <v>213.75819999999999</v>
      </c>
      <c r="M2442">
        <v>0.99994079999999996</v>
      </c>
      <c r="N2442">
        <v>-9.0423729999999994E-3</v>
      </c>
      <c r="O2442">
        <v>6.0799720000000003E-3</v>
      </c>
      <c r="P2442">
        <v>0.98641310000000004</v>
      </c>
      <c r="Q2442">
        <v>0.16389119999999999</v>
      </c>
      <c r="R2442">
        <v>1.137492E-2</v>
      </c>
      <c r="S2442">
        <v>3.0450439999999999</v>
      </c>
      <c r="T2442">
        <v>-3.7230729999999997E-2</v>
      </c>
      <c r="U2442">
        <v>0.24145510000000001</v>
      </c>
      <c r="V2442">
        <v>-5.6080590000000003E-3</v>
      </c>
      <c r="W2442">
        <v>0.17279749999999999</v>
      </c>
      <c r="X2442">
        <v>0.98494139999999997</v>
      </c>
      <c r="Y2442">
        <v>-7.2974259999999999E-2</v>
      </c>
      <c r="Z2442">
        <v>7.5655739999999996E-4</v>
      </c>
      <c r="AA2442">
        <v>0.99733349999999998</v>
      </c>
      <c r="AB2442">
        <v>30</v>
      </c>
      <c r="AC2442">
        <v>84.859399999999994</v>
      </c>
      <c r="AD2442">
        <v>-1.0411900199999999</v>
      </c>
      <c r="AE2442">
        <v>6.7502000000000004</v>
      </c>
      <c r="AF2442">
        <v>-6.2331789803432098</v>
      </c>
      <c r="AG2442">
        <v>-1.0411900199999999</v>
      </c>
      <c r="AH2442">
        <v>84.886175442812302</v>
      </c>
      <c r="AI2442">
        <v>90.700851973666005</v>
      </c>
      <c r="AJ2442">
        <v>94.199683066915497</v>
      </c>
      <c r="AK2442">
        <v>85.121086565942306</v>
      </c>
      <c r="AL2442">
        <v>80.049488312939403</v>
      </c>
      <c r="AM2442">
        <v>90.326227164092501</v>
      </c>
      <c r="AN2442">
        <v>0.999999993882978</v>
      </c>
    </row>
    <row r="2443" spans="1:40" x14ac:dyDescent="0.25">
      <c r="A2443" t="str">
        <f>"20190303162554603"</f>
        <v>20190303162554603</v>
      </c>
      <c r="B2443" t="str">
        <f>"1551601554595991"</f>
        <v>1551601554595991</v>
      </c>
      <c r="C2443" t="s">
        <v>40</v>
      </c>
      <c r="D2443">
        <v>5.0895599999999996</v>
      </c>
      <c r="E2443">
        <v>0.47384359999999998</v>
      </c>
      <c r="F2443" t="s">
        <v>48</v>
      </c>
      <c r="G2443">
        <v>-349.66719999999998</v>
      </c>
      <c r="H2443">
        <v>8.0001379999999997E-2</v>
      </c>
      <c r="I2443">
        <v>220.41759999999999</v>
      </c>
      <c r="J2443">
        <v>-432.85770000000002</v>
      </c>
      <c r="K2443">
        <v>1.121181</v>
      </c>
      <c r="L2443">
        <v>213.76070000000001</v>
      </c>
      <c r="M2443">
        <v>0.99993639999999995</v>
      </c>
      <c r="N2443">
        <v>-9.0404830000000002E-3</v>
      </c>
      <c r="O2443">
        <v>6.7433529999999997E-3</v>
      </c>
      <c r="P2443">
        <v>0.98648729999999996</v>
      </c>
      <c r="Q2443">
        <v>0.1633724</v>
      </c>
      <c r="R2443">
        <v>1.233394E-2</v>
      </c>
      <c r="S2443">
        <v>3.044861</v>
      </c>
      <c r="T2443">
        <v>-3.7980079999999999E-2</v>
      </c>
      <c r="U2443">
        <v>0.24291989999999999</v>
      </c>
      <c r="V2443">
        <v>-5.9082459999999998E-3</v>
      </c>
      <c r="W2443">
        <v>0.17227700000000001</v>
      </c>
      <c r="X2443">
        <v>0.98503079999999998</v>
      </c>
      <c r="Y2443">
        <v>-7.2793849999999993E-2</v>
      </c>
      <c r="Z2443">
        <v>7.5975689999999998E-4</v>
      </c>
      <c r="AA2443">
        <v>0.99734670000000003</v>
      </c>
      <c r="AB2443">
        <v>30</v>
      </c>
      <c r="AC2443">
        <v>83.1905</v>
      </c>
      <c r="AD2443">
        <v>-1.0411796200000001</v>
      </c>
      <c r="AE2443">
        <v>6.6568999999999701</v>
      </c>
      <c r="AF2443">
        <v>-6.09479418317654</v>
      </c>
      <c r="AG2443">
        <v>-1.0411796200000001</v>
      </c>
      <c r="AH2443">
        <v>83.220547269270199</v>
      </c>
      <c r="AI2443">
        <v>90.714880755813198</v>
      </c>
      <c r="AJ2443">
        <v>94.188672895342904</v>
      </c>
      <c r="AK2443">
        <v>83.449925457924806</v>
      </c>
      <c r="AL2443">
        <v>80.079764629784407</v>
      </c>
      <c r="AM2443">
        <v>90.343657782748195</v>
      </c>
      <c r="AN2443">
        <v>0.99999997452421696</v>
      </c>
    </row>
    <row r="2444" spans="1:40" x14ac:dyDescent="0.25">
      <c r="A2444" t="str">
        <f>"20190303162554627"</f>
        <v>20190303162554627</v>
      </c>
      <c r="B2444" t="str">
        <f>"1551601554615511"</f>
        <v>1551601554615511</v>
      </c>
      <c r="C2444" t="s">
        <v>40</v>
      </c>
      <c r="D2444">
        <v>5.2131740000000004</v>
      </c>
      <c r="E2444">
        <v>0.47393220000000003</v>
      </c>
      <c r="F2444" t="s">
        <v>48</v>
      </c>
      <c r="G2444">
        <v>-352.93110000000001</v>
      </c>
      <c r="H2444">
        <v>8.0000630000000003E-2</v>
      </c>
      <c r="I2444">
        <v>220.2199</v>
      </c>
      <c r="J2444">
        <v>-432.54680000000002</v>
      </c>
      <c r="K2444">
        <v>1.12117</v>
      </c>
      <c r="L2444">
        <v>213.76349999999999</v>
      </c>
      <c r="M2444">
        <v>0.99993149999999997</v>
      </c>
      <c r="N2444">
        <v>-9.0387000000000002E-3</v>
      </c>
      <c r="O2444">
        <v>7.4536000000000003E-3</v>
      </c>
      <c r="P2444">
        <v>0.98645419999999995</v>
      </c>
      <c r="Q2444">
        <v>0.16348360000000001</v>
      </c>
      <c r="R2444">
        <v>1.3467639999999999E-2</v>
      </c>
      <c r="S2444">
        <v>3.0445859999999998</v>
      </c>
      <c r="T2444">
        <v>-3.9660929999999997E-2</v>
      </c>
      <c r="U2444">
        <v>0.24604799999999999</v>
      </c>
      <c r="V2444">
        <v>-6.3369589999999996E-3</v>
      </c>
      <c r="W2444">
        <v>0.17238609999999999</v>
      </c>
      <c r="X2444">
        <v>0.98500909999999997</v>
      </c>
      <c r="Y2444">
        <v>-7.3109980000000005E-2</v>
      </c>
      <c r="Z2444">
        <v>7.7671529999999997E-4</v>
      </c>
      <c r="AA2444">
        <v>0.99732359999999998</v>
      </c>
      <c r="AB2444">
        <v>30</v>
      </c>
      <c r="AC2444">
        <v>79.615700000000004</v>
      </c>
      <c r="AD2444">
        <v>-1.04116937</v>
      </c>
      <c r="AE2444">
        <v>6.4564000000000004</v>
      </c>
      <c r="AF2444">
        <v>-5.8617769616545798</v>
      </c>
      <c r="AG2444">
        <v>-1.04116937</v>
      </c>
      <c r="AH2444">
        <v>79.648081228622402</v>
      </c>
      <c r="AI2444">
        <v>90.746914895212399</v>
      </c>
      <c r="AJ2444">
        <v>94.209149384649294</v>
      </c>
      <c r="AK2444">
        <v>79.870277990041103</v>
      </c>
      <c r="AL2444">
        <v>80.073419233091499</v>
      </c>
      <c r="AM2444">
        <v>90.368601667362299</v>
      </c>
      <c r="AN2444">
        <v>1.00000002580269</v>
      </c>
    </row>
    <row r="2445" spans="1:40" x14ac:dyDescent="0.25">
      <c r="A2445" t="str">
        <f>"20190303162554648"</f>
        <v>20190303162554648</v>
      </c>
      <c r="B2445" t="str">
        <f>"1551601554636007"</f>
        <v>1551601554636007</v>
      </c>
      <c r="C2445" t="s">
        <v>40</v>
      </c>
      <c r="D2445">
        <v>5.0946660000000001</v>
      </c>
      <c r="E2445">
        <v>0.47396769999999999</v>
      </c>
      <c r="F2445" t="s">
        <v>48</v>
      </c>
      <c r="G2445">
        <v>-351.709</v>
      </c>
      <c r="H2445">
        <v>8.0000269999999998E-2</v>
      </c>
      <c r="I2445">
        <v>220.36949999999999</v>
      </c>
      <c r="J2445">
        <v>-432.25720000000001</v>
      </c>
      <c r="K2445">
        <v>1.1211530000000001</v>
      </c>
      <c r="L2445">
        <v>213.7663</v>
      </c>
      <c r="M2445">
        <v>0.99992639999999999</v>
      </c>
      <c r="N2445">
        <v>-9.0371559999999993E-3</v>
      </c>
      <c r="O2445">
        <v>8.0879300000000001E-3</v>
      </c>
      <c r="P2445">
        <v>0.98632839999999999</v>
      </c>
      <c r="Q2445">
        <v>0.16415969999999999</v>
      </c>
      <c r="R2445">
        <v>1.441423E-2</v>
      </c>
      <c r="S2445">
        <v>3.0443120000000001</v>
      </c>
      <c r="T2445">
        <v>-3.9209960000000002E-2</v>
      </c>
      <c r="U2445">
        <v>0.24877929999999901</v>
      </c>
      <c r="V2445">
        <v>-6.6522619999999999E-3</v>
      </c>
      <c r="W2445">
        <v>0.17305909999999999</v>
      </c>
      <c r="X2445">
        <v>0.98488900000000001</v>
      </c>
      <c r="Y2445">
        <v>-7.3373579999999994E-2</v>
      </c>
      <c r="Z2445">
        <v>7.7283089999999896E-4</v>
      </c>
      <c r="AA2445">
        <v>0.99730419999999997</v>
      </c>
      <c r="AB2445">
        <v>30</v>
      </c>
      <c r="AC2445">
        <v>80.548199999999994</v>
      </c>
      <c r="AD2445">
        <v>-1.0411527300000001</v>
      </c>
      <c r="AE2445">
        <v>6.6031999999999798</v>
      </c>
      <c r="AF2445">
        <v>-5.9505016061574301</v>
      </c>
      <c r="AG2445">
        <v>-1.0411527300000001</v>
      </c>
      <c r="AH2445">
        <v>80.585599493264596</v>
      </c>
      <c r="AI2445">
        <v>90.738201344671893</v>
      </c>
      <c r="AJ2445">
        <v>94.223099392055403</v>
      </c>
      <c r="AK2445">
        <v>80.811702828618294</v>
      </c>
      <c r="AL2445">
        <v>80.034270769383099</v>
      </c>
      <c r="AM2445">
        <v>90.386988524480998</v>
      </c>
      <c r="AN2445">
        <v>1.0000000235017601</v>
      </c>
    </row>
    <row r="2446" spans="1:40" x14ac:dyDescent="0.25">
      <c r="A2446" t="str">
        <f>"20190303162554692"</f>
        <v>20190303162554692</v>
      </c>
      <c r="B2446" t="str">
        <f>"1551601554685783"</f>
        <v>1551601554685783</v>
      </c>
      <c r="C2446" t="s">
        <v>40</v>
      </c>
      <c r="D2446">
        <v>5.1468980000000002</v>
      </c>
      <c r="E2446">
        <v>0.4740125</v>
      </c>
      <c r="F2446" t="s">
        <v>48</v>
      </c>
      <c r="G2446">
        <v>-348.20870000000002</v>
      </c>
      <c r="H2446">
        <v>8.0000970000000005E-2</v>
      </c>
      <c r="I2446">
        <v>220.71170000000001</v>
      </c>
      <c r="J2446">
        <v>-431.67919999999998</v>
      </c>
      <c r="K2446">
        <v>1.121086</v>
      </c>
      <c r="L2446">
        <v>213.7724</v>
      </c>
      <c r="M2446">
        <v>0.99991649999999999</v>
      </c>
      <c r="N2446">
        <v>-9.0352999999999996E-3</v>
      </c>
      <c r="O2446">
        <v>9.243088E-3</v>
      </c>
      <c r="P2446">
        <v>0.98669180000000001</v>
      </c>
      <c r="Q2446">
        <v>0.16181779999999901</v>
      </c>
      <c r="R2446">
        <v>1.5944920000000001E-2</v>
      </c>
      <c r="S2446">
        <v>3.0441889999999998</v>
      </c>
      <c r="T2446">
        <v>-3.7709949999999999E-2</v>
      </c>
      <c r="U2446">
        <v>0.25155640000000001</v>
      </c>
      <c r="V2446">
        <v>-7.0158449999999997E-3</v>
      </c>
      <c r="W2446">
        <v>0.17071929999999999</v>
      </c>
      <c r="X2446">
        <v>0.98529469999999997</v>
      </c>
      <c r="Y2446">
        <v>-7.3129040000000006E-2</v>
      </c>
      <c r="Z2446">
        <v>7.5221179999999997E-4</v>
      </c>
      <c r="AA2446">
        <v>0.99732220000000005</v>
      </c>
      <c r="AB2446">
        <v>30</v>
      </c>
      <c r="AC2446">
        <v>83.470499999999902</v>
      </c>
      <c r="AD2446">
        <v>-1.0410850300000001</v>
      </c>
      <c r="AE2446">
        <v>6.9393000000000002</v>
      </c>
      <c r="AF2446">
        <v>-6.1664942060366599</v>
      </c>
      <c r="AG2446">
        <v>-1.0410850300000001</v>
      </c>
      <c r="AH2446">
        <v>83.518174010910997</v>
      </c>
      <c r="AI2446">
        <v>90.712237626428802</v>
      </c>
      <c r="AJ2446">
        <v>94.222723494964796</v>
      </c>
      <c r="AK2446">
        <v>83.751984447830097</v>
      </c>
      <c r="AL2446">
        <v>80.170356437767495</v>
      </c>
      <c r="AM2446">
        <v>90.4079708483997</v>
      </c>
      <c r="AN2446">
        <v>0.99999997366082105</v>
      </c>
    </row>
    <row r="2447" spans="1:40" x14ac:dyDescent="0.25">
      <c r="A2447" t="str">
        <f>"20190303162554713"</f>
        <v>20190303162554713</v>
      </c>
      <c r="B2447" t="str">
        <f>"1551601554706279"</f>
        <v>1551601554706279</v>
      </c>
      <c r="C2447" t="s">
        <v>40</v>
      </c>
      <c r="D2447">
        <v>5.1479540000000004</v>
      </c>
      <c r="E2447">
        <v>0.47413830000000001</v>
      </c>
      <c r="F2447" t="s">
        <v>48</v>
      </c>
      <c r="G2447">
        <v>-361.96300000000002</v>
      </c>
      <c r="H2447">
        <v>6.8711980000000006E-2</v>
      </c>
      <c r="I2447">
        <v>219.63499999999999</v>
      </c>
      <c r="J2447">
        <v>-431.38839999999999</v>
      </c>
      <c r="K2447">
        <v>1.121049</v>
      </c>
      <c r="L2447">
        <v>213.7757</v>
      </c>
      <c r="M2447">
        <v>0.99991160000000001</v>
      </c>
      <c r="N2447">
        <v>-9.0352780000000008E-3</v>
      </c>
      <c r="O2447">
        <v>9.7618589999999995E-3</v>
      </c>
      <c r="P2447">
        <v>0.98680250000000003</v>
      </c>
      <c r="Q2447">
        <v>0.16100349999999999</v>
      </c>
      <c r="R2447">
        <v>1.7295419999999999E-2</v>
      </c>
      <c r="S2447">
        <v>3.0438540000000001</v>
      </c>
      <c r="T2447">
        <v>-4.5947309999999998E-2</v>
      </c>
      <c r="U2447">
        <v>0.25596619999999998</v>
      </c>
      <c r="V2447">
        <v>-7.8386859999999992E-3</v>
      </c>
      <c r="W2447">
        <v>0.169906</v>
      </c>
      <c r="X2447">
        <v>0.98542909999999995</v>
      </c>
      <c r="Y2447">
        <v>-7.4051870000000006E-2</v>
      </c>
      <c r="Z2447">
        <v>8.3404460000000003E-4</v>
      </c>
      <c r="AA2447">
        <v>0.99725399999999997</v>
      </c>
      <c r="AB2447">
        <v>30</v>
      </c>
      <c r="AC2447">
        <v>69.425399999999897</v>
      </c>
      <c r="AD2447">
        <v>-1.05233702</v>
      </c>
      <c r="AE2447">
        <v>5.8592999999999904</v>
      </c>
      <c r="AF2447">
        <v>-5.1800904528209903</v>
      </c>
      <c r="AG2447">
        <v>-1.05233702</v>
      </c>
      <c r="AH2447">
        <v>69.463444744911499</v>
      </c>
      <c r="AI2447">
        <v>90.865533518636596</v>
      </c>
      <c r="AJ2447">
        <v>94.264818353314396</v>
      </c>
      <c r="AK2447">
        <v>69.664272809901902</v>
      </c>
      <c r="AL2447">
        <v>80.217646279496194</v>
      </c>
      <c r="AM2447">
        <v>90.455754911482899</v>
      </c>
      <c r="AN2447">
        <v>1.0000000024805</v>
      </c>
    </row>
    <row r="2448" spans="1:40" x14ac:dyDescent="0.25">
      <c r="A2448" t="str">
        <f>"20190303162554736"</f>
        <v>20190303162554736</v>
      </c>
      <c r="B2448" t="str">
        <f>"1551601554725799"</f>
        <v>1551601554725799</v>
      </c>
      <c r="C2448" t="s">
        <v>40</v>
      </c>
      <c r="D2448">
        <v>5.1444470000000004</v>
      </c>
      <c r="E2448">
        <v>0.47425420000000001</v>
      </c>
      <c r="F2448" t="s">
        <v>48</v>
      </c>
      <c r="G2448">
        <v>-362.60680000000002</v>
      </c>
      <c r="H2448">
        <v>8.2890159999999997E-3</v>
      </c>
      <c r="I2448">
        <v>219.6163</v>
      </c>
      <c r="J2448">
        <v>-431.08850000000001</v>
      </c>
      <c r="K2448">
        <v>1.1210100000000001</v>
      </c>
      <c r="L2448">
        <v>213.7791</v>
      </c>
      <c r="M2448">
        <v>0.99990670000000004</v>
      </c>
      <c r="N2448">
        <v>-9.0358439999999995E-3</v>
      </c>
      <c r="O2448">
        <v>1.024625E-2</v>
      </c>
      <c r="P2448">
        <v>0.98676940000000002</v>
      </c>
      <c r="Q2448">
        <v>0.16109479999999901</v>
      </c>
      <c r="R2448">
        <v>1.8300609999999998E-2</v>
      </c>
      <c r="S2448">
        <v>3.0436399999999999</v>
      </c>
      <c r="T2448">
        <v>-4.9240470000000001E-2</v>
      </c>
      <c r="U2448">
        <v>0.2584534</v>
      </c>
      <c r="V2448">
        <v>-8.3507289999999994E-3</v>
      </c>
      <c r="W2448">
        <v>0.1699976</v>
      </c>
      <c r="X2448">
        <v>0.98540910000000004</v>
      </c>
      <c r="Y2448">
        <v>-7.4382169999999997E-2</v>
      </c>
      <c r="Z2448">
        <v>8.6425169999999895E-4</v>
      </c>
      <c r="AA2448">
        <v>0.99722949999999999</v>
      </c>
      <c r="AB2448">
        <v>30</v>
      </c>
      <c r="AC2448">
        <v>68.481699999999904</v>
      </c>
      <c r="AD2448">
        <v>-1.1127209840000001</v>
      </c>
      <c r="AE2448">
        <v>5.8371999999999904</v>
      </c>
      <c r="AF2448">
        <v>-5.1338386869283097</v>
      </c>
      <c r="AG2448">
        <v>-1.1127209840000001</v>
      </c>
      <c r="AH2448">
        <v>68.519957066054005</v>
      </c>
      <c r="AI2448">
        <v>90.927765620602798</v>
      </c>
      <c r="AJ2448">
        <v>94.284864278942393</v>
      </c>
      <c r="AK2448">
        <v>68.721022722202903</v>
      </c>
      <c r="AL2448">
        <v>80.212320548738504</v>
      </c>
      <c r="AM2448">
        <v>90.485534459207699</v>
      </c>
      <c r="AN2448">
        <v>1.0000000065217001</v>
      </c>
    </row>
    <row r="2449" spans="1:40" x14ac:dyDescent="0.25">
      <c r="A2449" t="str">
        <f>"20190303162554759"</f>
        <v>20190303162554759</v>
      </c>
      <c r="B2449" t="str">
        <f>"1551601554745825"</f>
        <v>1551601554745825</v>
      </c>
      <c r="C2449" t="s">
        <v>40</v>
      </c>
      <c r="D2449">
        <v>5.0827169999999997</v>
      </c>
      <c r="E2449">
        <v>0.47444130000000001</v>
      </c>
      <c r="F2449" t="s">
        <v>48</v>
      </c>
      <c r="G2449">
        <v>-362.89429999999999</v>
      </c>
      <c r="H2449">
        <v>3.216741E-2</v>
      </c>
      <c r="I2449">
        <v>219.6163</v>
      </c>
      <c r="J2449">
        <v>-430.7774</v>
      </c>
      <c r="K2449">
        <v>1.1209709999999999</v>
      </c>
      <c r="L2449">
        <v>213.78280000000001</v>
      </c>
      <c r="M2449">
        <v>0.99990210000000002</v>
      </c>
      <c r="N2449">
        <v>-9.0370369999999995E-3</v>
      </c>
      <c r="O2449">
        <v>1.068421E-2</v>
      </c>
      <c r="P2449">
        <v>0.98679220000000001</v>
      </c>
      <c r="Q2449">
        <v>0.1609486</v>
      </c>
      <c r="R2449">
        <v>1.8354220000000001E-2</v>
      </c>
      <c r="S2449">
        <v>3.043304</v>
      </c>
      <c r="T2449">
        <v>-4.8591849999999999E-2</v>
      </c>
      <c r="U2449">
        <v>0.26049800000000001</v>
      </c>
      <c r="V2449">
        <v>-7.9543500000000007E-3</v>
      </c>
      <c r="W2449">
        <v>0.1698547</v>
      </c>
      <c r="X2449">
        <v>0.98543700000000001</v>
      </c>
      <c r="Y2449">
        <v>-7.462009E-2</v>
      </c>
      <c r="Z2449">
        <v>8.5856579999999999E-4</v>
      </c>
      <c r="AA2449">
        <v>0.99721159999999998</v>
      </c>
      <c r="AB2449">
        <v>30</v>
      </c>
      <c r="AC2449">
        <v>67.883099999999999</v>
      </c>
      <c r="AD2449">
        <v>-1.0888035899999999</v>
      </c>
      <c r="AE2449">
        <v>5.8334999999999804</v>
      </c>
      <c r="AF2449">
        <v>-5.10655601390902</v>
      </c>
      <c r="AG2449">
        <v>-1.0888035899999999</v>
      </c>
      <c r="AH2449">
        <v>67.924207724144097</v>
      </c>
      <c r="AI2449">
        <v>90.915770683286993</v>
      </c>
      <c r="AJ2449">
        <v>94.299420551604797</v>
      </c>
      <c r="AK2449">
        <v>68.124594696287602</v>
      </c>
      <c r="AL2449">
        <v>80.220628742453997</v>
      </c>
      <c r="AM2449">
        <v>90.462475821308004</v>
      </c>
      <c r="AN2449">
        <v>0.99999998588250605</v>
      </c>
    </row>
    <row r="2450" spans="1:40" x14ac:dyDescent="0.25">
      <c r="A2450" t="str">
        <f>"20190303162554782"</f>
        <v>20190303162554782</v>
      </c>
      <c r="B2450" t="str">
        <f>"1551601554776080"</f>
        <v>1551601554776080</v>
      </c>
      <c r="C2450" t="s">
        <v>40</v>
      </c>
      <c r="D2450">
        <v>5.0927550000000004</v>
      </c>
      <c r="E2450">
        <v>0.47463689999999997</v>
      </c>
      <c r="F2450" t="s">
        <v>48</v>
      </c>
      <c r="G2450">
        <v>-362.3349</v>
      </c>
      <c r="H2450">
        <v>2.372573E-2</v>
      </c>
      <c r="I2450">
        <v>219.6163</v>
      </c>
      <c r="J2450">
        <v>-430.459</v>
      </c>
      <c r="K2450">
        <v>1.1209229999999999</v>
      </c>
      <c r="L2450">
        <v>213.78659999999999</v>
      </c>
      <c r="M2450">
        <v>0.99989799999999995</v>
      </c>
      <c r="N2450">
        <v>-9.0388359999999997E-3</v>
      </c>
      <c r="O2450">
        <v>1.106683E-2</v>
      </c>
      <c r="P2450">
        <v>0.98680020000000002</v>
      </c>
      <c r="Q2450">
        <v>0.16092479999999901</v>
      </c>
      <c r="R2450">
        <v>1.8128189999999999E-2</v>
      </c>
      <c r="S2450">
        <v>3.0432429999999999</v>
      </c>
      <c r="T2450">
        <v>-4.8788190000000002E-2</v>
      </c>
      <c r="U2450">
        <v>0.25938420000000001</v>
      </c>
      <c r="V2450">
        <v>-7.3322369999999897E-3</v>
      </c>
      <c r="W2450">
        <v>0.1698336</v>
      </c>
      <c r="X2450">
        <v>0.98544549999999997</v>
      </c>
      <c r="Y2450">
        <v>-7.3877880000000007E-2</v>
      </c>
      <c r="Z2450">
        <v>8.4841119999999896E-4</v>
      </c>
      <c r="AA2450">
        <v>0.99726689999999996</v>
      </c>
      <c r="AB2450">
        <v>30</v>
      </c>
      <c r="AC2450">
        <v>68.124099999999999</v>
      </c>
      <c r="AD2450">
        <v>-1.0971972699999999</v>
      </c>
      <c r="AE2450">
        <v>5.8296999999999999</v>
      </c>
      <c r="AF2450">
        <v>-5.0740877578312196</v>
      </c>
      <c r="AG2450">
        <v>-1.0971972699999999</v>
      </c>
      <c r="AH2450">
        <v>68.166892860997393</v>
      </c>
      <c r="AI2450">
        <v>90.919595250227403</v>
      </c>
      <c r="AJ2450">
        <v>94.257032058900606</v>
      </c>
      <c r="AK2450">
        <v>68.364285198824206</v>
      </c>
      <c r="AL2450">
        <v>80.221855877907402</v>
      </c>
      <c r="AM2450">
        <v>90.426303110804398</v>
      </c>
      <c r="AN2450">
        <v>1.00000002342931</v>
      </c>
    </row>
    <row r="2451" spans="1:40" x14ac:dyDescent="0.25">
      <c r="A2451" t="str">
        <f>"20190303162554804"</f>
        <v>20190303162554804</v>
      </c>
      <c r="B2451" t="str">
        <f>"1551601554795601"</f>
        <v>1551601554795601</v>
      </c>
      <c r="C2451" t="s">
        <v>40</v>
      </c>
      <c r="D2451">
        <v>5.0898839999999996</v>
      </c>
      <c r="E2451">
        <v>0.47478569999999998</v>
      </c>
      <c r="F2451" t="s">
        <v>48</v>
      </c>
      <c r="G2451">
        <v>-361.51240000000001</v>
      </c>
      <c r="H2451">
        <v>1.8348369999999999E-2</v>
      </c>
      <c r="I2451">
        <v>219.6163</v>
      </c>
      <c r="J2451">
        <v>-430.17399999999998</v>
      </c>
      <c r="K2451">
        <v>1.1208880000000001</v>
      </c>
      <c r="L2451">
        <v>213.7901</v>
      </c>
      <c r="M2451">
        <v>0.99989439999999996</v>
      </c>
      <c r="N2451">
        <v>-9.0409219999999998E-3</v>
      </c>
      <c r="O2451">
        <v>1.1371590000000001E-2</v>
      </c>
      <c r="P2451">
        <v>0.9867496</v>
      </c>
      <c r="Q2451">
        <v>0.161289299999999</v>
      </c>
      <c r="R2451">
        <v>1.7633570000000001E-2</v>
      </c>
      <c r="S2451">
        <v>3.043304</v>
      </c>
      <c r="T2451">
        <v>-4.8667670000000003E-2</v>
      </c>
      <c r="U2451">
        <v>0.2573242</v>
      </c>
      <c r="V2451">
        <v>-6.5235919999999999E-3</v>
      </c>
      <c r="W2451">
        <v>0.17020109999999999</v>
      </c>
      <c r="X2451">
        <v>0.98538769999999998</v>
      </c>
      <c r="Y2451">
        <v>-7.2902259999999997E-2</v>
      </c>
      <c r="Z2451">
        <v>8.3316819999999998E-4</v>
      </c>
      <c r="AA2451">
        <v>0.99733879999999997</v>
      </c>
      <c r="AB2451">
        <v>30</v>
      </c>
      <c r="AC2451">
        <v>68.661600000000007</v>
      </c>
      <c r="AD2451">
        <v>-1.1025396300000001</v>
      </c>
      <c r="AE2451">
        <v>5.8262</v>
      </c>
      <c r="AF2451">
        <v>-5.0437085215145503</v>
      </c>
      <c r="AG2451">
        <v>-1.1025396300000001</v>
      </c>
      <c r="AH2451">
        <v>68.705827055252598</v>
      </c>
      <c r="AI2451">
        <v>90.916893971407603</v>
      </c>
      <c r="AJ2451">
        <v>94.198563355089306</v>
      </c>
      <c r="AK2451">
        <v>68.8995301916638</v>
      </c>
      <c r="AL2451">
        <v>80.200487823330505</v>
      </c>
      <c r="AM2451">
        <v>90.379311440887093</v>
      </c>
      <c r="AN2451">
        <v>0.99999994550253901</v>
      </c>
    </row>
    <row r="2452" spans="1:40" x14ac:dyDescent="0.25">
      <c r="A2452" t="str">
        <f>"20190303162554831"</f>
        <v>20190303162554831</v>
      </c>
      <c r="B2452" t="str">
        <f>"1551601554816097"</f>
        <v>1551601554816097</v>
      </c>
      <c r="C2452" t="s">
        <v>40</v>
      </c>
      <c r="D2452">
        <v>5.0976589999999904</v>
      </c>
      <c r="E2452">
        <v>0.47488219999999998</v>
      </c>
      <c r="F2452" t="s">
        <v>48</v>
      </c>
      <c r="G2452">
        <v>-360.5772</v>
      </c>
      <c r="H2452">
        <v>4.7794969999999999E-2</v>
      </c>
      <c r="I2452">
        <v>219.6163</v>
      </c>
      <c r="J2452">
        <v>-429.8048</v>
      </c>
      <c r="K2452">
        <v>1.120865</v>
      </c>
      <c r="L2452">
        <v>213.79470000000001</v>
      </c>
      <c r="M2452">
        <v>0.99989039999999996</v>
      </c>
      <c r="N2452">
        <v>-9.044191E-3</v>
      </c>
      <c r="O2452">
        <v>1.172087E-2</v>
      </c>
      <c r="P2452">
        <v>0.98682320000000001</v>
      </c>
      <c r="Q2452">
        <v>0.16097400000000001</v>
      </c>
      <c r="R2452">
        <v>1.635489E-2</v>
      </c>
      <c r="S2452">
        <v>3.043396</v>
      </c>
      <c r="T2452">
        <v>-4.6925309999999998E-2</v>
      </c>
      <c r="U2452">
        <v>0.254776</v>
      </c>
      <c r="V2452">
        <v>-4.8858840000000001E-3</v>
      </c>
      <c r="W2452">
        <v>0.16989089999999901</v>
      </c>
      <c r="X2452">
        <v>0.98545070000000001</v>
      </c>
      <c r="Y2452">
        <v>-7.1723120000000001E-2</v>
      </c>
      <c r="Z2452">
        <v>8.0234939999999997E-4</v>
      </c>
      <c r="AA2452">
        <v>0.99742419999999998</v>
      </c>
      <c r="AB2452">
        <v>30</v>
      </c>
      <c r="AC2452">
        <v>69.227599999999995</v>
      </c>
      <c r="AD2452">
        <v>-1.07307003</v>
      </c>
      <c r="AE2452">
        <v>5.8215999999999797</v>
      </c>
      <c r="AF2452">
        <v>-5.0085642271151496</v>
      </c>
      <c r="AG2452">
        <v>-1.07307003</v>
      </c>
      <c r="AH2452">
        <v>69.274553611177694</v>
      </c>
      <c r="AI2452">
        <v>90.885136539538493</v>
      </c>
      <c r="AJ2452">
        <v>94.135300942823605</v>
      </c>
      <c r="AK2452">
        <v>69.463666567021605</v>
      </c>
      <c r="AL2452">
        <v>80.218523552299203</v>
      </c>
      <c r="AM2452">
        <v>90.284071276823198</v>
      </c>
      <c r="AN2452">
        <v>0.99999993594787795</v>
      </c>
    </row>
    <row r="2453" spans="1:40" x14ac:dyDescent="0.25">
      <c r="A2453" t="str">
        <f>"20190303162554869"</f>
        <v>20190303162554869</v>
      </c>
      <c r="B2453" t="str">
        <f>"1551601554865873"</f>
        <v>1551601554865873</v>
      </c>
      <c r="C2453" t="s">
        <v>40</v>
      </c>
      <c r="D2453">
        <v>5.0265149999999998</v>
      </c>
      <c r="E2453">
        <v>0.52789350000000002</v>
      </c>
      <c r="F2453" t="s">
        <v>48</v>
      </c>
      <c r="G2453">
        <v>-359.04390000000001</v>
      </c>
      <c r="H2453">
        <v>1.3001850000000001E-2</v>
      </c>
      <c r="I2453">
        <v>219.6163</v>
      </c>
      <c r="J2453">
        <v>-429.28160000000003</v>
      </c>
      <c r="K2453">
        <v>1.1208309999999999</v>
      </c>
      <c r="L2453">
        <v>213.8013</v>
      </c>
      <c r="M2453">
        <v>0.99988520000000003</v>
      </c>
      <c r="N2453">
        <v>-9.0497489999999993E-3</v>
      </c>
      <c r="O2453">
        <v>1.215744E-2</v>
      </c>
      <c r="P2453">
        <v>0.98672959999999998</v>
      </c>
      <c r="Q2453">
        <v>0.1619276</v>
      </c>
      <c r="R2453">
        <v>1.199561E-2</v>
      </c>
      <c r="S2453">
        <v>3.043701</v>
      </c>
      <c r="T2453">
        <v>-4.7653439999999998E-2</v>
      </c>
      <c r="U2453">
        <v>0.25041200000000002</v>
      </c>
      <c r="V2453" s="1">
        <v>-8.527888E-5</v>
      </c>
      <c r="W2453">
        <v>0.17085129999999901</v>
      </c>
      <c r="X2453">
        <v>0.98529679999999997</v>
      </c>
      <c r="Y2453">
        <v>-6.9858920000000005E-2</v>
      </c>
      <c r="Z2453">
        <v>7.8245669999999997E-4</v>
      </c>
      <c r="AA2453">
        <v>0.99755660000000002</v>
      </c>
      <c r="AB2453">
        <v>30</v>
      </c>
      <c r="AC2453">
        <v>70.237700000000004</v>
      </c>
      <c r="AD2453">
        <v>-1.1078291499999999</v>
      </c>
      <c r="AE2453">
        <v>5.8149999999999897</v>
      </c>
      <c r="AF2453">
        <v>-4.95939929652498</v>
      </c>
      <c r="AG2453">
        <v>-1.1078291499999999</v>
      </c>
      <c r="AH2453">
        <v>70.285840846301397</v>
      </c>
      <c r="AI2453">
        <v>90.900768828774403</v>
      </c>
      <c r="AJ2453">
        <v>94.036125506988697</v>
      </c>
      <c r="AK2453">
        <v>70.469300764798007</v>
      </c>
      <c r="AL2453">
        <v>80.162680677065097</v>
      </c>
      <c r="AM2453">
        <v>90.004959033555494</v>
      </c>
      <c r="AN2453">
        <v>0.99999997903720805</v>
      </c>
    </row>
    <row r="2454" spans="1:40" x14ac:dyDescent="0.25">
      <c r="A2454" t="str">
        <f>"20190303162554891"</f>
        <v>20190303162554891</v>
      </c>
      <c r="B2454" t="str">
        <f>"1551601554885393"</f>
        <v>1551601554885393</v>
      </c>
      <c r="C2454" t="s">
        <v>40</v>
      </c>
      <c r="D2454">
        <v>5.0009940000000004</v>
      </c>
      <c r="E2454">
        <v>0.52765550000000006</v>
      </c>
      <c r="F2454" t="s">
        <v>42</v>
      </c>
      <c r="G2454">
        <v>-428.50069999999999</v>
      </c>
      <c r="H2454">
        <v>0.91626940000000001</v>
      </c>
      <c r="I2454">
        <v>213.75659999999999</v>
      </c>
      <c r="J2454">
        <v>-428.99009999999998</v>
      </c>
      <c r="K2454">
        <v>1.1208290000000001</v>
      </c>
      <c r="L2454">
        <v>213.80510000000001</v>
      </c>
      <c r="M2454">
        <v>0.9998823</v>
      </c>
      <c r="N2454">
        <v>-9.0532809999999998E-3</v>
      </c>
      <c r="O2454">
        <v>1.23865E-2</v>
      </c>
      <c r="P2454">
        <v>0.98671319999999996</v>
      </c>
      <c r="Q2454">
        <v>0.16214000000000001</v>
      </c>
      <c r="R2454">
        <v>1.038381E-2</v>
      </c>
      <c r="S2454">
        <v>3.1792600000000002</v>
      </c>
      <c r="T2454">
        <v>-0.83294809999999997</v>
      </c>
      <c r="U2454">
        <v>-0.18090819999999999</v>
      </c>
      <c r="V2454">
        <v>1.7558319999999999E-3</v>
      </c>
      <c r="W2454">
        <v>0.17106789999999999</v>
      </c>
      <c r="X2454">
        <v>0.98525770000000001</v>
      </c>
      <c r="Y2454">
        <v>6.646813E-2</v>
      </c>
      <c r="Z2454">
        <v>-1.1941179999999999E-2</v>
      </c>
      <c r="AA2454">
        <v>0.99771710000000002</v>
      </c>
      <c r="AB2454">
        <v>30</v>
      </c>
      <c r="AC2454">
        <v>0.48939999999998901</v>
      </c>
      <c r="AD2454">
        <v>-0.20455960000000001</v>
      </c>
      <c r="AE2454">
        <v>-4.8500000000018403E-2</v>
      </c>
      <c r="AF2454">
        <v>4.6511582126002801E-2</v>
      </c>
      <c r="AG2454">
        <v>-0.20455960000000001</v>
      </c>
      <c r="AH2454">
        <v>0.41667361176402801</v>
      </c>
      <c r="AI2454">
        <v>116.00795813947001</v>
      </c>
      <c r="AJ2454">
        <v>83.630672304675002</v>
      </c>
      <c r="AK2454">
        <v>0.466502793094001</v>
      </c>
      <c r="AL2454">
        <v>80.150085408744005</v>
      </c>
      <c r="AM2454">
        <v>89.897893052108103</v>
      </c>
      <c r="AN2454">
        <v>1.00000002238285</v>
      </c>
    </row>
    <row r="2455" spans="1:40" x14ac:dyDescent="0.25">
      <c r="A2455" t="str">
        <f>"20190303162554914"</f>
        <v>20190303162554914</v>
      </c>
      <c r="B2455" t="str">
        <f>"1551601554905889"</f>
        <v>1551601554905889</v>
      </c>
      <c r="C2455" t="s">
        <v>40</v>
      </c>
      <c r="D2455">
        <v>5.0479329999999996</v>
      </c>
      <c r="E2455">
        <v>0.52750750000000002</v>
      </c>
      <c r="F2455" t="s">
        <v>42</v>
      </c>
      <c r="G2455">
        <v>-428.22969999999998</v>
      </c>
      <c r="H2455">
        <v>0.91427860000000005</v>
      </c>
      <c r="I2455">
        <v>213.76089999999999</v>
      </c>
      <c r="J2455">
        <v>-428.67290000000003</v>
      </c>
      <c r="K2455">
        <v>1.1208209999999901</v>
      </c>
      <c r="L2455">
        <v>213.8092</v>
      </c>
      <c r="M2455">
        <v>0.99987910000000002</v>
      </c>
      <c r="N2455">
        <v>-9.0574020000000009E-3</v>
      </c>
      <c r="O2455">
        <v>1.2633E-2</v>
      </c>
      <c r="P2455">
        <v>0.98664810000000003</v>
      </c>
      <c r="Q2455">
        <v>0.16262270000000001</v>
      </c>
      <c r="R2455">
        <v>8.9125230000000003E-3</v>
      </c>
      <c r="S2455">
        <v>3.1844790000000001</v>
      </c>
      <c r="T2455">
        <v>-0.86496569999999995</v>
      </c>
      <c r="U2455">
        <v>-0.18397520000000001</v>
      </c>
      <c r="V2455">
        <v>3.4719379999999999E-3</v>
      </c>
      <c r="W2455">
        <v>0.1715546</v>
      </c>
      <c r="X2455">
        <v>0.9851685</v>
      </c>
      <c r="Y2455">
        <v>6.7341159999999997E-2</v>
      </c>
      <c r="Z2455">
        <v>-1.25421E-2</v>
      </c>
      <c r="AA2455">
        <v>0.99765119999999896</v>
      </c>
      <c r="AB2455">
        <v>30</v>
      </c>
      <c r="AC2455">
        <v>0.443200000000047</v>
      </c>
      <c r="AD2455">
        <v>-0.20654239999999899</v>
      </c>
      <c r="AE2455">
        <v>-4.8300000000011702E-2</v>
      </c>
      <c r="AF2455">
        <v>4.43717846403405E-2</v>
      </c>
      <c r="AG2455">
        <v>-0.20654239999999899</v>
      </c>
      <c r="AH2455">
        <v>0.36435314810645503</v>
      </c>
      <c r="AI2455">
        <v>119.36718658079501</v>
      </c>
      <c r="AJ2455">
        <v>83.056576133859295</v>
      </c>
      <c r="AK2455">
        <v>0.42116722902549403</v>
      </c>
      <c r="AL2455">
        <v>80.121780949081597</v>
      </c>
      <c r="AM2455">
        <v>89.798078632664996</v>
      </c>
      <c r="AN2455">
        <v>1.00000000426344</v>
      </c>
    </row>
    <row r="2456" spans="1:40" x14ac:dyDescent="0.25">
      <c r="A2456" t="str">
        <f>"20190303162554937"</f>
        <v>20190303162554937</v>
      </c>
      <c r="B2456" t="str">
        <f>"1551601554926385"</f>
        <v>1551601554926385</v>
      </c>
      <c r="C2456" t="s">
        <v>40</v>
      </c>
      <c r="D2456">
        <v>5.0718160000000001</v>
      </c>
      <c r="E2456">
        <v>0.5273004</v>
      </c>
      <c r="F2456" t="s">
        <v>42</v>
      </c>
      <c r="G2456">
        <v>-427.95229999999998</v>
      </c>
      <c r="H2456">
        <v>0.92560779999999998</v>
      </c>
      <c r="I2456">
        <v>213.7671</v>
      </c>
      <c r="J2456">
        <v>-428.36970000000002</v>
      </c>
      <c r="K2456">
        <v>1.1208149999999999</v>
      </c>
      <c r="L2456">
        <v>213.8133</v>
      </c>
      <c r="M2456">
        <v>0.99987630000000005</v>
      </c>
      <c r="N2456">
        <v>-9.0616340000000007E-3</v>
      </c>
      <c r="O2456">
        <v>1.2869149999999999E-2</v>
      </c>
      <c r="P2456">
        <v>0.98669980000000002</v>
      </c>
      <c r="Q2456">
        <v>0.16241249999999999</v>
      </c>
      <c r="R2456">
        <v>6.7843850000000004E-3</v>
      </c>
      <c r="S2456">
        <v>3.184418</v>
      </c>
      <c r="T2456">
        <v>-0.86263939999999995</v>
      </c>
      <c r="U2456">
        <v>-0.1862946</v>
      </c>
      <c r="V2456">
        <v>5.8352409999999997E-3</v>
      </c>
      <c r="W2456">
        <v>0.171349799999999</v>
      </c>
      <c r="X2456">
        <v>0.98519299999999999</v>
      </c>
      <c r="Y2456">
        <v>6.8274769999999999E-2</v>
      </c>
      <c r="Z2456">
        <v>-1.2699220000000001E-2</v>
      </c>
      <c r="AA2456">
        <v>0.99758570000000002</v>
      </c>
      <c r="AB2456">
        <v>30</v>
      </c>
      <c r="AC2456">
        <v>0.41740000000004301</v>
      </c>
      <c r="AD2456">
        <v>-0.195207199999999</v>
      </c>
      <c r="AE2456">
        <v>-4.6199999999998902E-2</v>
      </c>
      <c r="AF2456">
        <v>4.2405365092824401E-2</v>
      </c>
      <c r="AG2456">
        <v>-0.195207199999999</v>
      </c>
      <c r="AH2456">
        <v>0.342718898805214</v>
      </c>
      <c r="AI2456">
        <v>119.47831934145501</v>
      </c>
      <c r="AJ2456">
        <v>82.946516542736404</v>
      </c>
      <c r="AK2456">
        <v>0.39668666415541898</v>
      </c>
      <c r="AL2456">
        <v>80.133691703613096</v>
      </c>
      <c r="AM2456">
        <v>89.660644389273202</v>
      </c>
      <c r="AN2456">
        <v>1.0000000256232799</v>
      </c>
    </row>
    <row r="2457" spans="1:40" x14ac:dyDescent="0.25">
      <c r="A2457" t="str">
        <f>"20190303162554959"</f>
        <v>20190303162554959</v>
      </c>
      <c r="B2457" t="str">
        <f>"1551601554955665"</f>
        <v>1551601554955665</v>
      </c>
      <c r="C2457" t="s">
        <v>40</v>
      </c>
      <c r="D2457">
        <v>5.0391539999999999</v>
      </c>
      <c r="E2457">
        <v>0.52725949999999999</v>
      </c>
      <c r="F2457" t="s">
        <v>42</v>
      </c>
      <c r="G2457">
        <v>-427.67610000000002</v>
      </c>
      <c r="H2457">
        <v>0.93304819999999999</v>
      </c>
      <c r="I2457">
        <v>213.7713</v>
      </c>
      <c r="J2457">
        <v>-428.06900000000002</v>
      </c>
      <c r="K2457">
        <v>1.1208119999999999</v>
      </c>
      <c r="L2457">
        <v>213.81739999999999</v>
      </c>
      <c r="M2457">
        <v>0.99987300000000001</v>
      </c>
      <c r="N2457">
        <v>-9.0660549999999999E-3</v>
      </c>
      <c r="O2457">
        <v>1.3105260000000001E-2</v>
      </c>
      <c r="P2457">
        <v>0.98680069999999998</v>
      </c>
      <c r="Q2457">
        <v>0.16188179999999999</v>
      </c>
      <c r="R2457">
        <v>4.311423E-3</v>
      </c>
      <c r="S2457">
        <v>3.183624</v>
      </c>
      <c r="T2457">
        <v>-0.8618519</v>
      </c>
      <c r="U2457">
        <v>-0.19190979999999999</v>
      </c>
      <c r="V2457">
        <v>8.5434680000000002E-3</v>
      </c>
      <c r="W2457">
        <v>0.17082549999999999</v>
      </c>
      <c r="X2457">
        <v>0.98526420000000003</v>
      </c>
      <c r="Y2457">
        <v>7.0202689999999998E-2</v>
      </c>
      <c r="Z2457">
        <v>-1.3016379999999999E-2</v>
      </c>
      <c r="AA2457">
        <v>0.9974478</v>
      </c>
      <c r="AB2457">
        <v>30</v>
      </c>
      <c r="AC2457">
        <v>0.39289999999999697</v>
      </c>
      <c r="AD2457">
        <v>-0.18776380000000001</v>
      </c>
      <c r="AE2457">
        <v>-4.6099999999995499E-2</v>
      </c>
      <c r="AF2457">
        <v>4.1823365111046902E-2</v>
      </c>
      <c r="AG2457">
        <v>-0.18776380000000001</v>
      </c>
      <c r="AH2457">
        <v>0.32014091473116901</v>
      </c>
      <c r="AI2457">
        <v>120.18064970611</v>
      </c>
      <c r="AJ2457">
        <v>82.557003486787593</v>
      </c>
      <c r="AK2457">
        <v>0.37348981745766702</v>
      </c>
      <c r="AL2457">
        <v>80.164180606336203</v>
      </c>
      <c r="AM2457">
        <v>89.503186667435898</v>
      </c>
      <c r="AN2457">
        <v>0.99999994304867601</v>
      </c>
    </row>
    <row r="2458" spans="1:40" x14ac:dyDescent="0.25">
      <c r="A2458" t="str">
        <f>"20190303162554980"</f>
        <v>20190303162554980</v>
      </c>
      <c r="B2458" t="str">
        <f>"1551601554975185"</f>
        <v>1551601554975185</v>
      </c>
      <c r="C2458" t="s">
        <v>40</v>
      </c>
      <c r="D2458">
        <v>5.1565190000000003</v>
      </c>
      <c r="E2458">
        <v>0.52729939999999997</v>
      </c>
      <c r="F2458" t="s">
        <v>42</v>
      </c>
      <c r="G2458">
        <v>-427.15550000000002</v>
      </c>
      <c r="H2458">
        <v>0.87254120000000002</v>
      </c>
      <c r="I2458">
        <v>213.75970000000001</v>
      </c>
      <c r="J2458">
        <v>-427.77460000000002</v>
      </c>
      <c r="K2458">
        <v>1.1208070000000001</v>
      </c>
      <c r="L2458">
        <v>213.82149999999999</v>
      </c>
      <c r="M2458">
        <v>0.99986989999999998</v>
      </c>
      <c r="N2458">
        <v>-9.0706120000000005E-3</v>
      </c>
      <c r="O2458">
        <v>1.3338330000000001E-2</v>
      </c>
      <c r="P2458">
        <v>0.98693929999999996</v>
      </c>
      <c r="Q2458">
        <v>0.1610596</v>
      </c>
      <c r="R2458">
        <v>3.3011469999999999E-3</v>
      </c>
      <c r="S2458">
        <v>3.1828919999999998</v>
      </c>
      <c r="T2458">
        <v>-0.86510799999999999</v>
      </c>
      <c r="U2458">
        <v>-0.19973750000000001</v>
      </c>
      <c r="V2458">
        <v>9.7863220000000001E-3</v>
      </c>
      <c r="W2458">
        <v>0.170009299999999</v>
      </c>
      <c r="X2458">
        <v>0.98539390000000004</v>
      </c>
      <c r="Y2458">
        <v>7.2765419999999997E-2</v>
      </c>
      <c r="Z2458">
        <v>-1.347892E-2</v>
      </c>
      <c r="AA2458">
        <v>0.99725799999999998</v>
      </c>
      <c r="AB2458">
        <v>31</v>
      </c>
      <c r="AC2458">
        <v>0.61910000000000298</v>
      </c>
      <c r="AD2458">
        <v>-0.24826579999999901</v>
      </c>
      <c r="AE2458">
        <v>-6.17999999999767E-2</v>
      </c>
      <c r="AF2458">
        <v>6.0430646676655403E-2</v>
      </c>
      <c r="AG2458">
        <v>-0.24826579999999901</v>
      </c>
      <c r="AH2458">
        <v>0.53330595046081597</v>
      </c>
      <c r="AI2458">
        <v>114.82347341227501</v>
      </c>
      <c r="AJ2458">
        <v>83.535202284450705</v>
      </c>
      <c r="AK2458">
        <v>0.59135692039944299</v>
      </c>
      <c r="AL2458">
        <v>80.211640578928396</v>
      </c>
      <c r="AM2458">
        <v>89.430992505865703</v>
      </c>
      <c r="AN2458">
        <v>1.00000003617099</v>
      </c>
    </row>
    <row r="2459" spans="1:40" x14ac:dyDescent="0.25">
      <c r="A2459" t="str">
        <f>"20190303162555004"</f>
        <v>20190303162555004</v>
      </c>
      <c r="B2459" t="str">
        <f>"1551601554995681"</f>
        <v>1551601554995681</v>
      </c>
      <c r="C2459" t="s">
        <v>40</v>
      </c>
      <c r="D2459">
        <v>5.1194499999999996</v>
      </c>
      <c r="E2459">
        <v>0.52771210000000002</v>
      </c>
      <c r="F2459" t="s">
        <v>42</v>
      </c>
      <c r="G2459">
        <v>-426.88010000000003</v>
      </c>
      <c r="H2459">
        <v>0.87599400000000005</v>
      </c>
      <c r="I2459">
        <v>213.76439999999999</v>
      </c>
      <c r="J2459">
        <v>-427.45209999999997</v>
      </c>
      <c r="K2459">
        <v>1.1208</v>
      </c>
      <c r="L2459">
        <v>213.8261</v>
      </c>
      <c r="M2459">
        <v>0.99986649999999999</v>
      </c>
      <c r="N2459">
        <v>-9.0759229999999996E-3</v>
      </c>
      <c r="O2459">
        <v>1.359514E-2</v>
      </c>
      <c r="P2459">
        <v>0.98710310000000001</v>
      </c>
      <c r="Q2459">
        <v>0.1600579</v>
      </c>
      <c r="R2459">
        <v>3.0369519999999999E-3</v>
      </c>
      <c r="S2459">
        <v>3.1825869999999998</v>
      </c>
      <c r="T2459">
        <v>-0.87102479999999904</v>
      </c>
      <c r="U2459">
        <v>-0.20222470000000001</v>
      </c>
      <c r="V2459">
        <v>1.0306920000000001E-2</v>
      </c>
      <c r="W2459">
        <v>0.16901450000000001</v>
      </c>
      <c r="X2459">
        <v>0.98555970000000004</v>
      </c>
      <c r="Y2459">
        <v>7.3716019999999993E-2</v>
      </c>
      <c r="Z2459">
        <v>-1.3766270000000001E-2</v>
      </c>
      <c r="AA2459">
        <v>0.99718430000000002</v>
      </c>
      <c r="AB2459">
        <v>31</v>
      </c>
      <c r="AC2459">
        <v>0.571999999999945</v>
      </c>
      <c r="AD2459">
        <v>-0.244806</v>
      </c>
      <c r="AE2459">
        <v>-6.1700000000001802E-2</v>
      </c>
      <c r="AF2459">
        <v>5.8820805497967699E-2</v>
      </c>
      <c r="AG2459">
        <v>-0.244806</v>
      </c>
      <c r="AH2459">
        <v>0.48355473658260401</v>
      </c>
      <c r="AI2459">
        <v>116.682216189654</v>
      </c>
      <c r="AJ2459">
        <v>83.064472476008802</v>
      </c>
      <c r="AK2459">
        <v>0.54517432814366995</v>
      </c>
      <c r="AL2459">
        <v>80.269475318361799</v>
      </c>
      <c r="AM2459">
        <v>89.400826263215905</v>
      </c>
      <c r="AN2459">
        <v>1.00000002803711</v>
      </c>
    </row>
    <row r="2460" spans="1:40" x14ac:dyDescent="0.25">
      <c r="A2460" t="str">
        <f>"20190303162555027"</f>
        <v>20190303162555027</v>
      </c>
      <c r="B2460" t="str">
        <f>"1551601555016178"</f>
        <v>1551601555016178</v>
      </c>
      <c r="C2460" t="s">
        <v>40</v>
      </c>
      <c r="D2460">
        <v>5.0869970000000002</v>
      </c>
      <c r="E2460">
        <v>0.53324950000000004</v>
      </c>
      <c r="F2460" t="s">
        <v>42</v>
      </c>
      <c r="G2460">
        <v>-426.60210000000001</v>
      </c>
      <c r="H2460">
        <v>0.88514950000000003</v>
      </c>
      <c r="I2460">
        <v>213.77099999999999</v>
      </c>
      <c r="J2460">
        <v>-427.12959999999998</v>
      </c>
      <c r="K2460">
        <v>1.120797</v>
      </c>
      <c r="L2460">
        <v>213.83070000000001</v>
      </c>
      <c r="M2460">
        <v>0.99986299999999995</v>
      </c>
      <c r="N2460">
        <v>-9.0812819999999995E-3</v>
      </c>
      <c r="O2460">
        <v>1.3852959999999999E-2</v>
      </c>
      <c r="P2460">
        <v>0.9872879</v>
      </c>
      <c r="Q2460">
        <v>0.15892439999999999</v>
      </c>
      <c r="R2460">
        <v>2.5075129999999998E-3</v>
      </c>
      <c r="S2460">
        <v>3.182922</v>
      </c>
      <c r="T2460">
        <v>-0.88248969999999904</v>
      </c>
      <c r="U2460">
        <v>-0.20466609999999999</v>
      </c>
      <c r="V2460">
        <v>1.109368E-2</v>
      </c>
      <c r="W2460">
        <v>0.16788829999999999</v>
      </c>
      <c r="X2460">
        <v>0.98574360000000005</v>
      </c>
      <c r="Y2460">
        <v>7.460145E-2</v>
      </c>
      <c r="Z2460">
        <v>-1.4129050000000001E-2</v>
      </c>
      <c r="AA2460">
        <v>0.99711329999999998</v>
      </c>
      <c r="AB2460">
        <v>31</v>
      </c>
      <c r="AC2460">
        <v>0.52749999999997499</v>
      </c>
      <c r="AD2460">
        <v>-0.23564749999999901</v>
      </c>
      <c r="AE2460">
        <v>-5.9700000000020702E-2</v>
      </c>
      <c r="AF2460">
        <v>5.5973095409272401E-2</v>
      </c>
      <c r="AG2460">
        <v>-0.23564749999999901</v>
      </c>
      <c r="AH2460">
        <v>0.43993729076052801</v>
      </c>
      <c r="AI2460">
        <v>117.98418718159201</v>
      </c>
      <c r="AJ2460">
        <v>82.749230630056502</v>
      </c>
      <c r="AK2460">
        <v>0.50220269958220898</v>
      </c>
      <c r="AL2460">
        <v>80.334936987931698</v>
      </c>
      <c r="AM2460">
        <v>89.355213454710594</v>
      </c>
      <c r="AN2460">
        <v>0.99999999797689598</v>
      </c>
    </row>
    <row r="2461" spans="1:40" x14ac:dyDescent="0.25">
      <c r="A2461" t="str">
        <f>"20190303162555052"</f>
        <v>20190303162555052</v>
      </c>
      <c r="B2461" t="str">
        <f>"1551601555045458"</f>
        <v>1551601555045458</v>
      </c>
      <c r="C2461" t="s">
        <v>40</v>
      </c>
      <c r="D2461">
        <v>5.1044219999999996</v>
      </c>
      <c r="E2461">
        <v>0.53316229999999998</v>
      </c>
      <c r="F2461" t="s">
        <v>42</v>
      </c>
      <c r="G2461">
        <v>-426.34109999999998</v>
      </c>
      <c r="H2461">
        <v>0.84956129999999996</v>
      </c>
      <c r="I2461">
        <v>213.77</v>
      </c>
      <c r="J2461">
        <v>-426.78680000000003</v>
      </c>
      <c r="K2461">
        <v>1.120795</v>
      </c>
      <c r="L2461">
        <v>213.83580000000001</v>
      </c>
      <c r="M2461">
        <v>0.99985889999999999</v>
      </c>
      <c r="N2461">
        <v>-9.0870949999999999E-3</v>
      </c>
      <c r="O2461">
        <v>1.4127829999999999E-2</v>
      </c>
      <c r="P2461">
        <v>0.98734710000000003</v>
      </c>
      <c r="Q2461">
        <v>0.15855339999999901</v>
      </c>
      <c r="R2461">
        <v>2.5279959999999998E-3</v>
      </c>
      <c r="S2461">
        <v>3.2173769999999999</v>
      </c>
      <c r="T2461">
        <v>-1.1067129999999901</v>
      </c>
      <c r="U2461">
        <v>-0.24755859999999999</v>
      </c>
      <c r="V2461">
        <v>1.1345549999999999E-2</v>
      </c>
      <c r="W2461">
        <v>0.16752349999999999</v>
      </c>
      <c r="X2461">
        <v>0.98580279999999998</v>
      </c>
      <c r="Y2461">
        <v>8.5030969999999997E-2</v>
      </c>
      <c r="Z2461">
        <v>-1.9187630000000001E-2</v>
      </c>
      <c r="AA2461">
        <v>0.99619349999999995</v>
      </c>
      <c r="AB2461">
        <v>31</v>
      </c>
      <c r="AC2461">
        <v>0.44570000000004401</v>
      </c>
      <c r="AD2461">
        <v>-0.27123369999999902</v>
      </c>
      <c r="AE2461">
        <v>-6.5799999999995806E-2</v>
      </c>
      <c r="AF2461">
        <v>5.2912701592234997E-2</v>
      </c>
      <c r="AG2461">
        <v>-0.27123369999999902</v>
      </c>
      <c r="AH2461">
        <v>0.32641829324115601</v>
      </c>
      <c r="AI2461">
        <v>129.35971384513499</v>
      </c>
      <c r="AJ2461">
        <v>80.792393193654306</v>
      </c>
      <c r="AK2461">
        <v>0.427687241062845</v>
      </c>
      <c r="AL2461">
        <v>80.356138812023104</v>
      </c>
      <c r="AM2461">
        <v>89.340615148917294</v>
      </c>
      <c r="AN2461">
        <v>1.00000000252244</v>
      </c>
    </row>
    <row r="2462" spans="1:40" x14ac:dyDescent="0.25">
      <c r="A2462" t="str">
        <f>"20190303162555073"</f>
        <v>20190303162555073</v>
      </c>
      <c r="B2462" t="str">
        <f>"1551601555065953"</f>
        <v>1551601555065953</v>
      </c>
      <c r="C2462" t="s">
        <v>40</v>
      </c>
      <c r="D2462">
        <v>5.0997260000000004</v>
      </c>
      <c r="E2462">
        <v>0.53295340000000002</v>
      </c>
      <c r="F2462" t="s">
        <v>42</v>
      </c>
      <c r="G2462">
        <v>-426.05709999999999</v>
      </c>
      <c r="H2462">
        <v>0.87188659999999996</v>
      </c>
      <c r="I2462">
        <v>213.77930000000001</v>
      </c>
      <c r="J2462">
        <v>-426.49360000000001</v>
      </c>
      <c r="K2462">
        <v>1.1207940000000001</v>
      </c>
      <c r="L2462">
        <v>213.84010000000001</v>
      </c>
      <c r="M2462">
        <v>0.99985559999999996</v>
      </c>
      <c r="N2462">
        <v>-9.0921639999999998E-3</v>
      </c>
      <c r="O2462">
        <v>1.4362649999999999E-2</v>
      </c>
      <c r="P2462">
        <v>0.98739650000000001</v>
      </c>
      <c r="Q2462">
        <v>0.15824150000000001</v>
      </c>
      <c r="R2462">
        <v>2.8292959999999998E-3</v>
      </c>
      <c r="S2462">
        <v>3.215179</v>
      </c>
      <c r="T2462">
        <v>-1.0966530000000001</v>
      </c>
      <c r="U2462">
        <v>-0.2472229</v>
      </c>
      <c r="V2462">
        <v>1.127676E-2</v>
      </c>
      <c r="W2462">
        <v>0.16721749999999999</v>
      </c>
      <c r="X2462">
        <v>0.9858555</v>
      </c>
      <c r="Y2462">
        <v>8.5279869999999994E-2</v>
      </c>
      <c r="Z2462">
        <v>-1.9155100000000001E-2</v>
      </c>
      <c r="AA2462">
        <v>0.99617290000000003</v>
      </c>
      <c r="AB2462">
        <v>31</v>
      </c>
      <c r="AC2462">
        <v>0.43650000000002298</v>
      </c>
      <c r="AD2462">
        <v>-0.2489074</v>
      </c>
      <c r="AE2462">
        <v>-6.0800000000000402E-2</v>
      </c>
      <c r="AF2462">
        <v>5.0844854046025498E-2</v>
      </c>
      <c r="AG2462">
        <v>-0.2489074</v>
      </c>
      <c r="AH2462">
        <v>0.330241619188261</v>
      </c>
      <c r="AI2462">
        <v>126.683736017881</v>
      </c>
      <c r="AJ2462">
        <v>81.247320965424194</v>
      </c>
      <c r="AK2462">
        <v>0.41665287710731802</v>
      </c>
      <c r="AL2462">
        <v>80.373921780079499</v>
      </c>
      <c r="AM2462">
        <v>89.344647793063302</v>
      </c>
      <c r="AN2462">
        <v>0.99999996225129795</v>
      </c>
    </row>
    <row r="2463" spans="1:40" x14ac:dyDescent="0.25">
      <c r="A2463" t="str">
        <f>"20190303162555092"</f>
        <v>20190303162555092</v>
      </c>
      <c r="B2463" t="str">
        <f>"1551601555085473"</f>
        <v>1551601555085473</v>
      </c>
      <c r="C2463" t="s">
        <v>40</v>
      </c>
      <c r="D2463">
        <v>5.0914970000000004</v>
      </c>
      <c r="E2463">
        <v>0.53279540000000003</v>
      </c>
      <c r="F2463" t="s">
        <v>42</v>
      </c>
      <c r="G2463">
        <v>-425.77910000000003</v>
      </c>
      <c r="H2463">
        <v>0.87753799999999904</v>
      </c>
      <c r="I2463">
        <v>213.786</v>
      </c>
      <c r="J2463">
        <v>-426.22949999999997</v>
      </c>
      <c r="K2463">
        <v>1.120787</v>
      </c>
      <c r="L2463">
        <v>213.8441</v>
      </c>
      <c r="M2463">
        <v>0.99985239999999997</v>
      </c>
      <c r="N2463">
        <v>-9.0968139999999999E-3</v>
      </c>
      <c r="O2463">
        <v>1.4574459999999999E-2</v>
      </c>
      <c r="P2463">
        <v>0.98743760000000003</v>
      </c>
      <c r="Q2463">
        <v>0.15797600000000001</v>
      </c>
      <c r="R2463">
        <v>3.2612330000000001E-3</v>
      </c>
      <c r="S2463">
        <v>3.2143549999999999</v>
      </c>
      <c r="T2463">
        <v>-1.0943050000000001</v>
      </c>
      <c r="U2463">
        <v>-0.24429319999999999</v>
      </c>
      <c r="V2463">
        <v>1.1054609999999999E-2</v>
      </c>
      <c r="W2463">
        <v>0.16695660000000001</v>
      </c>
      <c r="X2463">
        <v>0.98590230000000001</v>
      </c>
      <c r="Y2463">
        <v>8.4652839999999993E-2</v>
      </c>
      <c r="Z2463">
        <v>-1.9083630000000001E-2</v>
      </c>
      <c r="AA2463">
        <v>0.99622770000000005</v>
      </c>
      <c r="AB2463">
        <v>31</v>
      </c>
      <c r="AC2463">
        <v>0.45039999999994501</v>
      </c>
      <c r="AD2463">
        <v>-0.24324899999999999</v>
      </c>
      <c r="AE2463">
        <v>-5.8100000000024403E-2</v>
      </c>
      <c r="AF2463">
        <v>5.0243364013847797E-2</v>
      </c>
      <c r="AG2463">
        <v>-0.24324899999999999</v>
      </c>
      <c r="AH2463">
        <v>0.34929178332371302</v>
      </c>
      <c r="AI2463">
        <v>124.57894456159499</v>
      </c>
      <c r="AJ2463">
        <v>81.814519661872694</v>
      </c>
      <c r="AK2463">
        <v>0.42860147167956297</v>
      </c>
      <c r="AL2463">
        <v>80.389084026331702</v>
      </c>
      <c r="AM2463">
        <v>89.357587506067802</v>
      </c>
      <c r="AN2463">
        <v>1.0000000279155501</v>
      </c>
    </row>
    <row r="2464" spans="1:40" x14ac:dyDescent="0.25">
      <c r="A2464" t="str">
        <f>"20190303162555115"</f>
        <v>20190303162555115</v>
      </c>
      <c r="B2464" t="str">
        <f>"1551601555105970"</f>
        <v>1551601555105970</v>
      </c>
      <c r="C2464" t="s">
        <v>40</v>
      </c>
      <c r="D2464">
        <v>5.0604329999999997</v>
      </c>
      <c r="E2464">
        <v>0.53262869999999995</v>
      </c>
      <c r="F2464" t="s">
        <v>42</v>
      </c>
      <c r="G2464">
        <v>-425.50409999999999</v>
      </c>
      <c r="H2464">
        <v>0.87441340000000001</v>
      </c>
      <c r="I2464">
        <v>213.78960000000001</v>
      </c>
      <c r="J2464">
        <v>-425.91750000000002</v>
      </c>
      <c r="K2464">
        <v>1.120784</v>
      </c>
      <c r="L2464">
        <v>213.84889999999999</v>
      </c>
      <c r="M2464">
        <v>0.99984879999999998</v>
      </c>
      <c r="N2464">
        <v>-9.1023590000000008E-3</v>
      </c>
      <c r="O2464">
        <v>1.48243E-2</v>
      </c>
      <c r="P2464">
        <v>0.98748389999999997</v>
      </c>
      <c r="Q2464">
        <v>0.15768289999999999</v>
      </c>
      <c r="R2464">
        <v>3.472185E-3</v>
      </c>
      <c r="S2464">
        <v>3.213562</v>
      </c>
      <c r="T2464">
        <v>-1.0915360000000001</v>
      </c>
      <c r="U2464">
        <v>-0.2401886</v>
      </c>
      <c r="V2464">
        <v>1.109095E-2</v>
      </c>
      <c r="W2464">
        <v>0.16666979999999901</v>
      </c>
      <c r="X2464">
        <v>0.9859504</v>
      </c>
      <c r="Y2464">
        <v>8.3719569999999993E-2</v>
      </c>
      <c r="Z2464">
        <v>-1.896571E-2</v>
      </c>
      <c r="AA2464">
        <v>0.99630890000000005</v>
      </c>
      <c r="AB2464">
        <v>31</v>
      </c>
      <c r="AC2464">
        <v>0.41340000000002403</v>
      </c>
      <c r="AD2464">
        <v>-0.2463706</v>
      </c>
      <c r="AE2464">
        <v>-5.9299999999979001E-2</v>
      </c>
      <c r="AF2464">
        <v>4.8532368364161103E-2</v>
      </c>
      <c r="AG2464">
        <v>-0.2463706</v>
      </c>
      <c r="AH2464">
        <v>0.305988495713157</v>
      </c>
      <c r="AI2464">
        <v>128.49251039315999</v>
      </c>
      <c r="AJ2464">
        <v>80.987478373795895</v>
      </c>
      <c r="AK2464">
        <v>0.39583181129388201</v>
      </c>
      <c r="AL2464">
        <v>80.405749809458797</v>
      </c>
      <c r="AM2464">
        <v>89.355507311568005</v>
      </c>
      <c r="AN2464">
        <v>1.00000001133205</v>
      </c>
    </row>
    <row r="2465" spans="1:40" x14ac:dyDescent="0.25">
      <c r="A2465" t="str">
        <f>"20190303162555138"</f>
        <v>20190303162555138</v>
      </c>
      <c r="B2465" t="str">
        <f>"1551601555135250"</f>
        <v>1551601555135250</v>
      </c>
      <c r="C2465" t="s">
        <v>40</v>
      </c>
      <c r="D2465">
        <v>5.0925320000000003</v>
      </c>
      <c r="E2465">
        <v>0.53246340000000003</v>
      </c>
      <c r="F2465" t="s">
        <v>42</v>
      </c>
      <c r="G2465">
        <v>-425.22329999999999</v>
      </c>
      <c r="H2465">
        <v>0.88528969999999996</v>
      </c>
      <c r="I2465">
        <v>213.79769999999999</v>
      </c>
      <c r="J2465">
        <v>-425.59930000000003</v>
      </c>
      <c r="K2465">
        <v>1.1207879999999999</v>
      </c>
      <c r="L2465">
        <v>213.85390000000001</v>
      </c>
      <c r="M2465">
        <v>0.99984479999999998</v>
      </c>
      <c r="N2465">
        <v>-9.1080840000000007E-3</v>
      </c>
      <c r="O2465">
        <v>1.507909E-2</v>
      </c>
      <c r="P2465">
        <v>0.98747229999999997</v>
      </c>
      <c r="Q2465">
        <v>0.1577451</v>
      </c>
      <c r="R2465">
        <v>3.9207970000000002E-3</v>
      </c>
      <c r="S2465">
        <v>3.21286</v>
      </c>
      <c r="T2465">
        <v>-1.089723</v>
      </c>
      <c r="U2465">
        <v>-0.23678589999999999</v>
      </c>
      <c r="V2465">
        <v>1.089332E-2</v>
      </c>
      <c r="W2465">
        <v>0.16673750000000001</v>
      </c>
      <c r="X2465">
        <v>0.98594119999999996</v>
      </c>
      <c r="Y2465">
        <v>8.2983849999999998E-2</v>
      </c>
      <c r="Z2465">
        <v>-1.889795E-2</v>
      </c>
      <c r="AA2465">
        <v>0.99637169999999997</v>
      </c>
      <c r="AB2465">
        <v>31</v>
      </c>
      <c r="AC2465">
        <v>0.37600000000003297</v>
      </c>
      <c r="AD2465">
        <v>-0.23549829999999899</v>
      </c>
      <c r="AE2465">
        <v>-5.6200000000018201E-2</v>
      </c>
      <c r="AF2465">
        <v>4.4708457551905001E-2</v>
      </c>
      <c r="AG2465">
        <v>-0.23549829999999899</v>
      </c>
      <c r="AH2465">
        <v>0.27108968311326997</v>
      </c>
      <c r="AI2465">
        <v>130.6009215167</v>
      </c>
      <c r="AJ2465">
        <v>80.635005739957194</v>
      </c>
      <c r="AK2465">
        <v>0.36186725711234702</v>
      </c>
      <c r="AL2465">
        <v>80.401816251637896</v>
      </c>
      <c r="AM2465">
        <v>89.366984698601499</v>
      </c>
      <c r="AN2465">
        <v>1.0000000540921501</v>
      </c>
    </row>
    <row r="2466" spans="1:40" x14ac:dyDescent="0.25">
      <c r="A2466" t="str">
        <f>"20190303162555160"</f>
        <v>20190303162555160</v>
      </c>
      <c r="B2466" t="str">
        <f>"1551601555155747"</f>
        <v>1551601555155747</v>
      </c>
      <c r="C2466" t="s">
        <v>40</v>
      </c>
      <c r="D2466">
        <v>5.0999410000000003</v>
      </c>
      <c r="E2466">
        <v>0.53239269999999905</v>
      </c>
      <c r="F2466" t="s">
        <v>42</v>
      </c>
      <c r="G2466">
        <v>-424.94060000000002</v>
      </c>
      <c r="H2466">
        <v>0.89872479999999999</v>
      </c>
      <c r="I2466">
        <v>213.80549999999999</v>
      </c>
      <c r="J2466">
        <v>-425.29329999999999</v>
      </c>
      <c r="K2466">
        <v>1.12079</v>
      </c>
      <c r="L2466">
        <v>213.8588</v>
      </c>
      <c r="M2466">
        <v>0.99984110000000004</v>
      </c>
      <c r="N2466">
        <v>-9.1136619999999998E-3</v>
      </c>
      <c r="O2466">
        <v>1.532387E-2</v>
      </c>
      <c r="P2466">
        <v>0.98737240000000004</v>
      </c>
      <c r="Q2466">
        <v>0.15835160000000001</v>
      </c>
      <c r="R2466">
        <v>4.5675569999999999E-3</v>
      </c>
      <c r="S2466">
        <v>3.2120669999999998</v>
      </c>
      <c r="T2466">
        <v>-1.083018</v>
      </c>
      <c r="U2466">
        <v>-0.23440549999999999</v>
      </c>
      <c r="V2466">
        <v>1.0486270000000001E-2</v>
      </c>
      <c r="W2466">
        <v>0.1673482</v>
      </c>
      <c r="X2466">
        <v>0.98584210000000005</v>
      </c>
      <c r="Y2466">
        <v>8.2584009999999999E-2</v>
      </c>
      <c r="Z2466">
        <v>-1.8804689999999999E-2</v>
      </c>
      <c r="AA2466">
        <v>0.99640669999999998</v>
      </c>
      <c r="AB2466">
        <v>31</v>
      </c>
      <c r="AC2466">
        <v>0.35269999999996998</v>
      </c>
      <c r="AD2466">
        <v>-0.22206519999999999</v>
      </c>
      <c r="AE2466">
        <v>-5.3300000000007203E-2</v>
      </c>
      <c r="AF2466">
        <v>4.2303410337778603E-2</v>
      </c>
      <c r="AG2466">
        <v>-0.22206519999999999</v>
      </c>
      <c r="AH2466">
        <v>0.253567948789021</v>
      </c>
      <c r="AI2466">
        <v>130.821213450784</v>
      </c>
      <c r="AJ2466">
        <v>80.528425480192197</v>
      </c>
      <c r="AK2466">
        <v>0.33970463086381097</v>
      </c>
      <c r="AL2466">
        <v>80.366326694993504</v>
      </c>
      <c r="AM2466">
        <v>89.390575472581304</v>
      </c>
      <c r="AN2466">
        <v>1.0000000140170799</v>
      </c>
    </row>
    <row r="2467" spans="1:40" x14ac:dyDescent="0.25">
      <c r="A2467" t="str">
        <f>"20190303162555183"</f>
        <v>20190303162555183</v>
      </c>
      <c r="B2467" t="str">
        <f>"1551601555175266"</f>
        <v>1551601555175266</v>
      </c>
      <c r="C2467" t="s">
        <v>40</v>
      </c>
      <c r="D2467">
        <v>5.089569</v>
      </c>
      <c r="E2467">
        <v>0.53232170000000001</v>
      </c>
      <c r="F2467" t="s">
        <v>42</v>
      </c>
      <c r="G2467">
        <v>-424.41370000000001</v>
      </c>
      <c r="H2467">
        <v>0.825928</v>
      </c>
      <c r="I2467">
        <v>213.79470000000001</v>
      </c>
      <c r="J2467">
        <v>-424.9753</v>
      </c>
      <c r="K2467">
        <v>1.120784</v>
      </c>
      <c r="L2467">
        <v>213.8639</v>
      </c>
      <c r="M2467">
        <v>0.99983719999999998</v>
      </c>
      <c r="N2467">
        <v>-9.1195180000000001E-3</v>
      </c>
      <c r="O2467">
        <v>1.557626E-2</v>
      </c>
      <c r="P2467">
        <v>0.98735569999999895</v>
      </c>
      <c r="Q2467">
        <v>0.158433399999999</v>
      </c>
      <c r="R2467">
        <v>5.2636180000000003E-3</v>
      </c>
      <c r="S2467">
        <v>3.212097</v>
      </c>
      <c r="T2467">
        <v>-1.0766659999999999</v>
      </c>
      <c r="U2467">
        <v>-0.2324524</v>
      </c>
      <c r="V2467">
        <v>1.003955E-2</v>
      </c>
      <c r="W2467">
        <v>0.1674351</v>
      </c>
      <c r="X2467">
        <v>0.98583200000000004</v>
      </c>
      <c r="Y2467">
        <v>8.2296880000000003E-2</v>
      </c>
      <c r="Z2467">
        <v>-1.87336E-2</v>
      </c>
      <c r="AA2467">
        <v>0.99643179999999998</v>
      </c>
      <c r="AB2467">
        <v>31</v>
      </c>
      <c r="AC2467">
        <v>0.56159999999999799</v>
      </c>
      <c r="AD2467">
        <v>-0.29485599999999901</v>
      </c>
      <c r="AE2467">
        <v>-6.9199999999995002E-2</v>
      </c>
      <c r="AF2467">
        <v>6.12958069834681E-2</v>
      </c>
      <c r="AG2467">
        <v>-0.29485599999999901</v>
      </c>
      <c r="AH2467">
        <v>0.44077053186820803</v>
      </c>
      <c r="AI2467">
        <v>123.527643594631</v>
      </c>
      <c r="AJ2467">
        <v>82.082931318296801</v>
      </c>
      <c r="AK2467">
        <v>0.53383133895748103</v>
      </c>
      <c r="AL2467">
        <v>80.361276481128399</v>
      </c>
      <c r="AM2467">
        <v>89.416529430099303</v>
      </c>
      <c r="AN2467">
        <v>1.0000000187500999</v>
      </c>
    </row>
    <row r="2468" spans="1:40" x14ac:dyDescent="0.25">
      <c r="A2468" t="str">
        <f>"20190303162555205"</f>
        <v>20190303162555205</v>
      </c>
      <c r="B2468" t="str">
        <f>"1551601555195761"</f>
        <v>1551601555195761</v>
      </c>
      <c r="C2468" t="s">
        <v>40</v>
      </c>
      <c r="D2468">
        <v>5.134722</v>
      </c>
      <c r="E2468">
        <v>0.53232749999999995</v>
      </c>
      <c r="F2468" t="s">
        <v>42</v>
      </c>
      <c r="G2468">
        <v>-424.13049999999998</v>
      </c>
      <c r="H2468">
        <v>0.83830059999999995</v>
      </c>
      <c r="I2468">
        <v>213.80330000000001</v>
      </c>
      <c r="J2468">
        <v>-424.66820000000001</v>
      </c>
      <c r="K2468">
        <v>1.120784</v>
      </c>
      <c r="L2468">
        <v>213.869</v>
      </c>
      <c r="M2468">
        <v>0.99983330000000004</v>
      </c>
      <c r="N2468">
        <v>-9.1251949999999991E-3</v>
      </c>
      <c r="O2468">
        <v>1.5818039999999998E-2</v>
      </c>
      <c r="P2468">
        <v>0.98723970000000005</v>
      </c>
      <c r="Q2468">
        <v>0.15910179999999999</v>
      </c>
      <c r="R2468">
        <v>6.6931830000000001E-3</v>
      </c>
      <c r="S2468">
        <v>3.2119749999999998</v>
      </c>
      <c r="T2468">
        <v>-1.0739719999999999</v>
      </c>
      <c r="U2468">
        <v>-0.22904969999999999</v>
      </c>
      <c r="V2468">
        <v>8.8469350000000002E-3</v>
      </c>
      <c r="W2468">
        <v>0.1681078</v>
      </c>
      <c r="X2468">
        <v>0.98572890000000002</v>
      </c>
      <c r="Y2468">
        <v>8.1545019999999996E-2</v>
      </c>
      <c r="Z2468">
        <v>-1.8641830000000002E-2</v>
      </c>
      <c r="AA2468">
        <v>0.99649529999999997</v>
      </c>
      <c r="AB2468">
        <v>31</v>
      </c>
      <c r="AC2468">
        <v>0.53770000000002904</v>
      </c>
      <c r="AD2468">
        <v>-0.2824834</v>
      </c>
      <c r="AE2468">
        <v>-6.5700000000020894E-2</v>
      </c>
      <c r="AF2468">
        <v>5.8334207733233202E-2</v>
      </c>
      <c r="AG2468">
        <v>-0.2824834</v>
      </c>
      <c r="AH2468">
        <v>0.42187075908653998</v>
      </c>
      <c r="AI2468">
        <v>123.555760589069</v>
      </c>
      <c r="AJ2468">
        <v>82.127343965633997</v>
      </c>
      <c r="AK2468">
        <v>0.51105253001983797</v>
      </c>
      <c r="AL2468">
        <v>80.3221790912731</v>
      </c>
      <c r="AM2468">
        <v>89.485783132084507</v>
      </c>
      <c r="AN2468">
        <v>0.99999998248747202</v>
      </c>
    </row>
    <row r="2469" spans="1:40" x14ac:dyDescent="0.25">
      <c r="A2469" t="str">
        <f>"20190303162555230"</f>
        <v>20190303162555230</v>
      </c>
      <c r="B2469" t="str">
        <f>"1551601555226017"</f>
        <v>1551601555226017</v>
      </c>
      <c r="C2469" t="s">
        <v>40</v>
      </c>
      <c r="D2469">
        <v>5.1776799999999996</v>
      </c>
      <c r="E2469">
        <v>0.53241719999999904</v>
      </c>
      <c r="F2469" t="s">
        <v>42</v>
      </c>
      <c r="G2469">
        <v>-423.84800000000001</v>
      </c>
      <c r="H2469">
        <v>0.84764209999999995</v>
      </c>
      <c r="I2469">
        <v>213.81139999999999</v>
      </c>
      <c r="J2469">
        <v>-424.31220000000002</v>
      </c>
      <c r="K2469">
        <v>1.12079</v>
      </c>
      <c r="L2469">
        <v>213.8749</v>
      </c>
      <c r="M2469">
        <v>0.99982879999999996</v>
      </c>
      <c r="N2469">
        <v>-9.1318100000000006E-3</v>
      </c>
      <c r="O2469">
        <v>1.6096280000000001E-2</v>
      </c>
      <c r="P2469">
        <v>0.98697349999999995</v>
      </c>
      <c r="Q2469">
        <v>0.16067139999999999</v>
      </c>
      <c r="R2469">
        <v>8.2515599999999998E-3</v>
      </c>
      <c r="S2469">
        <v>3.2127080000000001</v>
      </c>
      <c r="T2469">
        <v>-1.0699190000000001</v>
      </c>
      <c r="U2469">
        <v>-0.223999</v>
      </c>
      <c r="V2469">
        <v>7.5588649999999997E-3</v>
      </c>
      <c r="W2469">
        <v>0.16968139999999901</v>
      </c>
      <c r="X2469">
        <v>0.98546999999999996</v>
      </c>
      <c r="Y2469">
        <v>8.0340380000000003E-2</v>
      </c>
      <c r="Z2469">
        <v>-1.8459860000000002E-2</v>
      </c>
      <c r="AA2469">
        <v>0.9965965</v>
      </c>
      <c r="AB2469">
        <v>31</v>
      </c>
      <c r="AC2469">
        <v>0.464200000000005</v>
      </c>
      <c r="AD2469">
        <v>-0.273147899999999</v>
      </c>
      <c r="AE2469">
        <v>-6.3500000000004705E-2</v>
      </c>
      <c r="AF2469">
        <v>5.2962683656425799E-2</v>
      </c>
      <c r="AG2469">
        <v>-0.273147899999999</v>
      </c>
      <c r="AH2469">
        <v>0.34563953818568699</v>
      </c>
      <c r="AI2469">
        <v>127.995199218932</v>
      </c>
      <c r="AJ2469">
        <v>81.288273069592293</v>
      </c>
      <c r="AK2469">
        <v>0.44371332129170499</v>
      </c>
      <c r="AL2469">
        <v>80.230704669506807</v>
      </c>
      <c r="AM2469">
        <v>89.560531960125402</v>
      </c>
      <c r="AN2469">
        <v>1.0000000174230199</v>
      </c>
    </row>
    <row r="2470" spans="1:40" x14ac:dyDescent="0.25">
      <c r="A2470" t="str">
        <f>"20190303162555360"</f>
        <v>20190303162555360</v>
      </c>
      <c r="B2470" t="str">
        <f>"1551601555355825"</f>
        <v>1551601555355825</v>
      </c>
      <c r="C2470" t="s">
        <v>40</v>
      </c>
      <c r="D2470">
        <v>5.0417489999999896</v>
      </c>
      <c r="E2470">
        <v>0.4932087</v>
      </c>
      <c r="F2470" t="s">
        <v>42</v>
      </c>
      <c r="G2470">
        <v>-422.14420000000001</v>
      </c>
      <c r="H2470">
        <v>0.90236150000000004</v>
      </c>
      <c r="I2470">
        <v>213.85589999999999</v>
      </c>
      <c r="J2470">
        <v>-422.49290000000002</v>
      </c>
      <c r="K2470">
        <v>1.1207020000000001</v>
      </c>
      <c r="L2470">
        <v>213.90639999999999</v>
      </c>
      <c r="M2470">
        <v>0.99981019999999998</v>
      </c>
      <c r="N2470">
        <v>-9.1655940000000009E-3</v>
      </c>
      <c r="O2470">
        <v>1.719671E-2</v>
      </c>
      <c r="P2470">
        <v>0.98673429999999995</v>
      </c>
      <c r="Q2470">
        <v>0.16190009999999999</v>
      </c>
      <c r="R2470">
        <v>1.200241E-2</v>
      </c>
      <c r="S2470">
        <v>3.2166440000000001</v>
      </c>
      <c r="T2470">
        <v>-1.058284</v>
      </c>
      <c r="U2470">
        <v>-0.21594240000000001</v>
      </c>
      <c r="V2470">
        <v>4.9273059999999898E-3</v>
      </c>
      <c r="W2470">
        <v>0.1709387</v>
      </c>
      <c r="X2470">
        <v>0.98526939999999996</v>
      </c>
      <c r="Y2470">
        <v>7.9006320000000005E-2</v>
      </c>
      <c r="Z2470">
        <v>-1.8375369999999999E-2</v>
      </c>
      <c r="AA2470">
        <v>0.99670479999999995</v>
      </c>
      <c r="AB2470">
        <v>31</v>
      </c>
      <c r="AC2470">
        <v>0.348700000000007</v>
      </c>
      <c r="AD2470">
        <v>-0.21834049999999999</v>
      </c>
      <c r="AE2470">
        <v>-5.0499999999999497E-2</v>
      </c>
      <c r="AF2470">
        <v>4.0815459274421602E-2</v>
      </c>
      <c r="AG2470">
        <v>-0.21834049999999999</v>
      </c>
      <c r="AH2470">
        <v>0.25128307347084</v>
      </c>
      <c r="AI2470">
        <v>130.61844944527499</v>
      </c>
      <c r="AJ2470">
        <v>80.774121367090402</v>
      </c>
      <c r="AK2470">
        <v>0.33538285386850603</v>
      </c>
      <c r="AL2470">
        <v>80.157599005183002</v>
      </c>
      <c r="AM2470">
        <v>89.713467722966499</v>
      </c>
      <c r="AN2470">
        <v>1.00000005403923</v>
      </c>
    </row>
    <row r="2471" spans="1:40" x14ac:dyDescent="0.25">
      <c r="A2471" t="str">
        <f>"20190303162555383"</f>
        <v>20190303162555383</v>
      </c>
      <c r="B2471" t="str">
        <f>"1551601555375346"</f>
        <v>1551601555375346</v>
      </c>
      <c r="C2471" t="s">
        <v>40</v>
      </c>
      <c r="D2471">
        <v>5.4740710000000004</v>
      </c>
      <c r="E2471">
        <v>0.49463249999999997</v>
      </c>
      <c r="F2471" t="s">
        <v>42</v>
      </c>
      <c r="G2471">
        <v>-421.51859999999999</v>
      </c>
      <c r="H2471">
        <v>1.0292190000000001</v>
      </c>
      <c r="I2471">
        <v>213.93549999999999</v>
      </c>
      <c r="J2471">
        <v>-422.16559999999998</v>
      </c>
      <c r="K2471">
        <v>1.12066</v>
      </c>
      <c r="L2471">
        <v>213.91210000000001</v>
      </c>
      <c r="M2471">
        <v>0.99980899999999995</v>
      </c>
      <c r="N2471">
        <v>-9.1717559999999997E-3</v>
      </c>
      <c r="O2471">
        <v>1.7267279999999999E-2</v>
      </c>
      <c r="P2471">
        <v>0.98671719999999896</v>
      </c>
      <c r="Q2471">
        <v>0.1619804</v>
      </c>
      <c r="R2471">
        <v>1.232493E-2</v>
      </c>
      <c r="S2471">
        <v>3.086792</v>
      </c>
      <c r="T2471">
        <v>-0.29000779999999998</v>
      </c>
      <c r="U2471">
        <v>9.3536380000000002E-2</v>
      </c>
      <c r="V2471">
        <v>4.6891679999999996E-3</v>
      </c>
      <c r="W2471">
        <v>0.1710247</v>
      </c>
      <c r="X2471">
        <v>0.98525560000000001</v>
      </c>
      <c r="Y2471">
        <v>-1.3022570000000001E-2</v>
      </c>
      <c r="Z2471">
        <v>-7.9000279999999999E-4</v>
      </c>
      <c r="AA2471">
        <v>0.99991490000000005</v>
      </c>
      <c r="AB2471">
        <v>32</v>
      </c>
      <c r="AC2471">
        <v>0.64699999999999103</v>
      </c>
      <c r="AD2471">
        <v>-9.14409999999998E-2</v>
      </c>
      <c r="AE2471">
        <v>2.3399999999980901E-2</v>
      </c>
      <c r="AF2471">
        <v>-1.19850317830508E-2</v>
      </c>
      <c r="AG2471">
        <v>-9.14409999999998E-2</v>
      </c>
      <c r="AH2471">
        <v>0.63464747000711896</v>
      </c>
      <c r="AI2471">
        <v>98.197399907817697</v>
      </c>
      <c r="AJ2471">
        <v>91.081876408005598</v>
      </c>
      <c r="AK2471">
        <v>0.64131311280393899</v>
      </c>
      <c r="AL2471">
        <v>80.152597553337202</v>
      </c>
      <c r="AM2471">
        <v>89.727311869852798</v>
      </c>
      <c r="AN2471">
        <v>1.00000001681899</v>
      </c>
    </row>
    <row r="2472" spans="1:40" x14ac:dyDescent="0.25">
      <c r="A2472" t="str">
        <f>"20190303162555405"</f>
        <v>20190303162555405</v>
      </c>
      <c r="B2472" t="str">
        <f>"1551601555395842"</f>
        <v>1551601555395842</v>
      </c>
      <c r="C2472" t="s">
        <v>40</v>
      </c>
      <c r="D2472">
        <v>5.0239289999999999</v>
      </c>
      <c r="E2472">
        <v>0.49480780000000002</v>
      </c>
      <c r="F2472" t="s">
        <v>48</v>
      </c>
      <c r="G2472">
        <v>-394.97969999999998</v>
      </c>
      <c r="H2472" s="1">
        <v>1.1131720000000001E-6</v>
      </c>
      <c r="I2472">
        <v>214.65049999999999</v>
      </c>
      <c r="J2472">
        <v>-421.85849999999999</v>
      </c>
      <c r="K2472">
        <v>1.12063</v>
      </c>
      <c r="L2472">
        <v>213.91739999999999</v>
      </c>
      <c r="M2472">
        <v>0.99980820000000004</v>
      </c>
      <c r="N2472">
        <v>-9.1775659999999998E-3</v>
      </c>
      <c r="O2472">
        <v>1.730456E-2</v>
      </c>
      <c r="P2472">
        <v>0.98668040000000001</v>
      </c>
      <c r="Q2472">
        <v>0.1621678</v>
      </c>
      <c r="R2472">
        <v>1.279742E-2</v>
      </c>
      <c r="S2472">
        <v>3.0600589999999999</v>
      </c>
      <c r="T2472">
        <v>-0.12614230000000001</v>
      </c>
      <c r="U2472">
        <v>8.311462E-2</v>
      </c>
      <c r="V2472">
        <v>4.2640519999999999E-3</v>
      </c>
      <c r="W2472">
        <v>0.17121729999999999</v>
      </c>
      <c r="X2472">
        <v>0.98522410000000005</v>
      </c>
      <c r="Y2472">
        <v>-9.8467859999999997E-3</v>
      </c>
      <c r="Z2472">
        <v>-3.0603130000000001E-4</v>
      </c>
      <c r="AA2472">
        <v>0.99995149999999999</v>
      </c>
      <c r="AB2472">
        <v>32</v>
      </c>
      <c r="AC2472">
        <v>26.878799999999998</v>
      </c>
      <c r="AD2472">
        <v>-1.1206288868279899</v>
      </c>
      <c r="AE2472">
        <v>0.73310000000000697</v>
      </c>
      <c r="AF2472">
        <v>-0.26738042966304199</v>
      </c>
      <c r="AG2472">
        <v>-1.1206288868279899</v>
      </c>
      <c r="AH2472">
        <v>26.840840954907801</v>
      </c>
      <c r="AI2472">
        <v>92.390642576632999</v>
      </c>
      <c r="AJ2472">
        <v>90.570744539824702</v>
      </c>
      <c r="AK2472">
        <v>26.865554983339099</v>
      </c>
      <c r="AL2472">
        <v>80.141397377976006</v>
      </c>
      <c r="AM2472">
        <v>89.752025292734302</v>
      </c>
      <c r="AN2472">
        <v>1.0000000365897701</v>
      </c>
    </row>
    <row r="2473" spans="1:40" x14ac:dyDescent="0.25">
      <c r="A2473" t="str">
        <f>"20190303162555452"</f>
        <v>20190303162555452</v>
      </c>
      <c r="B2473" t="str">
        <f>"1551601555445618"</f>
        <v>1551601555445618</v>
      </c>
      <c r="C2473" t="s">
        <v>40</v>
      </c>
      <c r="D2473">
        <v>5.1459400000000004</v>
      </c>
      <c r="E2473">
        <v>0.49447259999999998</v>
      </c>
      <c r="F2473" t="s">
        <v>48</v>
      </c>
      <c r="G2473">
        <v>-392.99979999999999</v>
      </c>
      <c r="H2473" s="1">
        <v>5.9523959999999998E-8</v>
      </c>
      <c r="I2473">
        <v>214.70269999999999</v>
      </c>
      <c r="J2473">
        <v>-421.18770000000001</v>
      </c>
      <c r="K2473">
        <v>1.12059</v>
      </c>
      <c r="L2473">
        <v>213.929</v>
      </c>
      <c r="M2473">
        <v>0.99980849999999999</v>
      </c>
      <c r="N2473">
        <v>-9.1902689999999992E-3</v>
      </c>
      <c r="O2473">
        <v>1.72865E-2</v>
      </c>
      <c r="P2473">
        <v>0.98664390000000002</v>
      </c>
      <c r="Q2473">
        <v>0.16229270000000001</v>
      </c>
      <c r="R2473">
        <v>1.397121E-2</v>
      </c>
      <c r="S2473">
        <v>3.0588989999999998</v>
      </c>
      <c r="T2473">
        <v>-0.11878180000000001</v>
      </c>
      <c r="U2473">
        <v>8.3236690000000002E-2</v>
      </c>
      <c r="V2473">
        <v>3.089975E-3</v>
      </c>
      <c r="W2473">
        <v>0.17135400000000001</v>
      </c>
      <c r="X2473">
        <v>0.98520469999999905</v>
      </c>
      <c r="Y2473">
        <v>-9.9147079999999995E-3</v>
      </c>
      <c r="Z2473">
        <v>-2.7402550000000001E-4</v>
      </c>
      <c r="AA2473">
        <v>0.99995080000000003</v>
      </c>
      <c r="AB2473">
        <v>32</v>
      </c>
      <c r="AC2473">
        <v>28.187899999999999</v>
      </c>
      <c r="AD2473">
        <v>-1.12058994047604</v>
      </c>
      <c r="AE2473">
        <v>0.77369999999999095</v>
      </c>
      <c r="AF2473">
        <v>-0.28584234160173899</v>
      </c>
      <c r="AG2473">
        <v>-1.12058994047604</v>
      </c>
      <c r="AH2473">
        <v>28.152603881061399</v>
      </c>
      <c r="AI2473">
        <v>92.279288072003695</v>
      </c>
      <c r="AJ2473">
        <v>90.581722283916903</v>
      </c>
      <c r="AK2473">
        <v>28.1763470475309</v>
      </c>
      <c r="AL2473">
        <v>80.1334474035326</v>
      </c>
      <c r="AM2473">
        <v>89.820299328870902</v>
      </c>
      <c r="AN2473">
        <v>1.0000000210817901</v>
      </c>
    </row>
    <row r="2474" spans="1:40" x14ac:dyDescent="0.25">
      <c r="A2474" t="str">
        <f>"20190303162555475"</f>
        <v>20190303162555475</v>
      </c>
      <c r="B2474" t="str">
        <f>"1551601555466114"</f>
        <v>1551601555466114</v>
      </c>
      <c r="C2474" t="s">
        <v>40</v>
      </c>
      <c r="D2474">
        <v>5.0022159999999998</v>
      </c>
      <c r="E2474">
        <v>0.4944172</v>
      </c>
      <c r="F2474" t="s">
        <v>48</v>
      </c>
      <c r="G2474">
        <v>-389.83769999999998</v>
      </c>
      <c r="H2474" s="1">
        <v>3.6883739999999998E-6</v>
      </c>
      <c r="I2474">
        <v>214.84479999999999</v>
      </c>
      <c r="J2474">
        <v>-420.86559999999997</v>
      </c>
      <c r="K2474">
        <v>1.1205750000000001</v>
      </c>
      <c r="L2474">
        <v>213.93459999999999</v>
      </c>
      <c r="M2474">
        <v>0.99980930000000001</v>
      </c>
      <c r="N2474">
        <v>-9.1926869999999997E-3</v>
      </c>
      <c r="O2474">
        <v>1.7229919999999999E-2</v>
      </c>
      <c r="P2474">
        <v>0.98652209999999996</v>
      </c>
      <c r="Q2474">
        <v>0.16311999999999999</v>
      </c>
      <c r="R2474">
        <v>1.28784E-2</v>
      </c>
      <c r="S2474">
        <v>3.057312</v>
      </c>
      <c r="T2474">
        <v>-0.1092818</v>
      </c>
      <c r="U2474">
        <v>8.9309689999999997E-2</v>
      </c>
      <c r="V2474">
        <v>4.1338950000000003E-3</v>
      </c>
      <c r="W2474">
        <v>0.17218259999999999</v>
      </c>
      <c r="X2474">
        <v>0.9850563</v>
      </c>
      <c r="Y2474">
        <v>-1.196821E-2</v>
      </c>
      <c r="Z2474">
        <v>-1.8831729999999999E-4</v>
      </c>
      <c r="AA2474">
        <v>0.99992840000000005</v>
      </c>
      <c r="AB2474">
        <v>32</v>
      </c>
      <c r="AC2474">
        <v>31.027899999999899</v>
      </c>
      <c r="AD2474">
        <v>-1.1205713116259901</v>
      </c>
      <c r="AE2474">
        <v>0.91020000000000301</v>
      </c>
      <c r="AF2474">
        <v>-0.37494543410878001</v>
      </c>
      <c r="AG2474">
        <v>-1.1205713116259901</v>
      </c>
      <c r="AH2474">
        <v>30.998580593565698</v>
      </c>
      <c r="AI2474">
        <v>92.0701390556912</v>
      </c>
      <c r="AJ2474">
        <v>90.692991193108696</v>
      </c>
      <c r="AK2474">
        <v>31.021093838850799</v>
      </c>
      <c r="AL2474">
        <v>80.085254910247897</v>
      </c>
      <c r="AM2474">
        <v>89.759553493533502</v>
      </c>
      <c r="AN2474">
        <v>0.99999992550015704</v>
      </c>
    </row>
    <row r="2475" spans="1:40" x14ac:dyDescent="0.25">
      <c r="A2475" t="str">
        <f>"20190303162555497"</f>
        <v>20190303162555497</v>
      </c>
      <c r="B2475" t="str">
        <f>"1551601555485634"</f>
        <v>1551601555485634</v>
      </c>
      <c r="C2475" t="s">
        <v>40</v>
      </c>
      <c r="D2475">
        <v>5.4152239999999896</v>
      </c>
      <c r="E2475">
        <v>0.49466130000000003</v>
      </c>
      <c r="F2475" t="s">
        <v>48</v>
      </c>
      <c r="G2475">
        <v>-388.1936</v>
      </c>
      <c r="H2475" s="1">
        <v>2.812554E-6</v>
      </c>
      <c r="I2475">
        <v>214.86580000000001</v>
      </c>
      <c r="J2475">
        <v>-420.5625</v>
      </c>
      <c r="K2475">
        <v>1.12056</v>
      </c>
      <c r="L2475">
        <v>213.93969999999999</v>
      </c>
      <c r="M2475">
        <v>0.99981070000000005</v>
      </c>
      <c r="N2475">
        <v>-9.1908609999999998E-3</v>
      </c>
      <c r="O2475">
        <v>1.7156310000000001E-2</v>
      </c>
      <c r="P2475">
        <v>0.98631570000000002</v>
      </c>
      <c r="Q2475">
        <v>0.1644901</v>
      </c>
      <c r="R2475">
        <v>1.1170630000000001E-2</v>
      </c>
      <c r="S2475">
        <v>3.0571899999999999</v>
      </c>
      <c r="T2475">
        <v>-0.10485460000000001</v>
      </c>
      <c r="U2475">
        <v>8.7142940000000002E-2</v>
      </c>
      <c r="V2475">
        <v>5.7742669999999996E-3</v>
      </c>
      <c r="W2475">
        <v>0.17354800000000001</v>
      </c>
      <c r="X2475">
        <v>0.98480849999999998</v>
      </c>
      <c r="Y2475">
        <v>-1.1335380000000001E-2</v>
      </c>
      <c r="Z2475">
        <v>-1.8402389999999999E-4</v>
      </c>
      <c r="AA2475">
        <v>0.99993569999999998</v>
      </c>
      <c r="AB2475">
        <v>32</v>
      </c>
      <c r="AC2475">
        <v>32.368899999999996</v>
      </c>
      <c r="AD2475">
        <v>-1.1205571874460001</v>
      </c>
      <c r="AE2475">
        <v>0.92610000000001902</v>
      </c>
      <c r="AF2475">
        <v>-0.37016615928614199</v>
      </c>
      <c r="AG2475">
        <v>-1.1205571874460001</v>
      </c>
      <c r="AH2475">
        <v>32.341297626183298</v>
      </c>
      <c r="AI2475">
        <v>91.984253241859605</v>
      </c>
      <c r="AJ2475">
        <v>90.655757008379794</v>
      </c>
      <c r="AK2475">
        <v>32.362821316152001</v>
      </c>
      <c r="AL2475">
        <v>80.005828412502595</v>
      </c>
      <c r="AM2475">
        <v>89.664059217951703</v>
      </c>
      <c r="AN2475">
        <v>1.00000001606781</v>
      </c>
    </row>
    <row r="2476" spans="1:40" x14ac:dyDescent="0.25">
      <c r="A2476" t="str">
        <f>"20190303162555519"</f>
        <v>20190303162555519</v>
      </c>
      <c r="B2476" t="str">
        <f>"1551601555506130"</f>
        <v>1551601555506130</v>
      </c>
      <c r="C2476" t="s">
        <v>40</v>
      </c>
      <c r="D2476">
        <v>5.4124639999999999</v>
      </c>
      <c r="E2476">
        <v>0.49456820000000001</v>
      </c>
      <c r="F2476" t="s">
        <v>48</v>
      </c>
      <c r="G2476">
        <v>-385.3272</v>
      </c>
      <c r="H2476" s="1">
        <v>1.286575E-6</v>
      </c>
      <c r="I2476">
        <v>214.87960000000001</v>
      </c>
      <c r="J2476">
        <v>-420.23649999999998</v>
      </c>
      <c r="K2476">
        <v>1.1205449999999999</v>
      </c>
      <c r="L2476">
        <v>213.9452</v>
      </c>
      <c r="M2476">
        <v>0.99981220000000004</v>
      </c>
      <c r="N2476">
        <v>-9.1875940000000003E-3</v>
      </c>
      <c r="O2476">
        <v>1.706336E-2</v>
      </c>
      <c r="P2476">
        <v>0.98610660000000006</v>
      </c>
      <c r="Q2476">
        <v>0.16588129999999901</v>
      </c>
      <c r="R2476">
        <v>8.7843869999999994E-3</v>
      </c>
      <c r="S2476">
        <v>3.0569459999999999</v>
      </c>
      <c r="T2476">
        <v>-9.7217440000000002E-2</v>
      </c>
      <c r="U2476">
        <v>8.1542970000000006E-2</v>
      </c>
      <c r="V2476">
        <v>8.0734840000000006E-3</v>
      </c>
      <c r="W2476">
        <v>0.17493310000000001</v>
      </c>
      <c r="X2476">
        <v>0.98454719999999996</v>
      </c>
      <c r="Y2476">
        <v>-9.6013769999999995E-3</v>
      </c>
      <c r="Z2476">
        <v>-1.888979E-4</v>
      </c>
      <c r="AA2476">
        <v>0.99995389999999995</v>
      </c>
      <c r="AB2476">
        <v>32</v>
      </c>
      <c r="AC2476">
        <v>34.909299999999902</v>
      </c>
      <c r="AD2476">
        <v>-1.120543713425</v>
      </c>
      <c r="AE2476">
        <v>0.93440000000001</v>
      </c>
      <c r="AF2476">
        <v>-0.33822062688198101</v>
      </c>
      <c r="AG2476">
        <v>-1.120543713425</v>
      </c>
      <c r="AH2476">
        <v>34.8842453441167</v>
      </c>
      <c r="AI2476">
        <v>91.839722853458198</v>
      </c>
      <c r="AJ2476">
        <v>90.555494524591495</v>
      </c>
      <c r="AK2476">
        <v>34.903876355423201</v>
      </c>
      <c r="AL2476">
        <v>79.925234828602001</v>
      </c>
      <c r="AM2476">
        <v>89.530173676593407</v>
      </c>
      <c r="AN2476">
        <v>0.99999997982367395</v>
      </c>
    </row>
    <row r="2477" spans="1:40" x14ac:dyDescent="0.25">
      <c r="A2477" t="str">
        <f>"20190303162555563"</f>
        <v>20190303162555563</v>
      </c>
      <c r="B2477" t="str">
        <f>"1551601555555906"</f>
        <v>1551601555555906</v>
      </c>
      <c r="C2477" t="s">
        <v>40</v>
      </c>
      <c r="D2477">
        <v>5.4011449999999996</v>
      </c>
      <c r="E2477">
        <v>0.49417149999999999</v>
      </c>
      <c r="F2477" t="s">
        <v>48</v>
      </c>
      <c r="G2477">
        <v>-382.29140000000001</v>
      </c>
      <c r="H2477" s="1">
        <v>-3.2956050000000001E-7</v>
      </c>
      <c r="I2477">
        <v>214.89359999999999</v>
      </c>
      <c r="J2477">
        <v>-419.61169999999998</v>
      </c>
      <c r="K2477">
        <v>1.120517</v>
      </c>
      <c r="L2477">
        <v>213.9556</v>
      </c>
      <c r="M2477">
        <v>0.99981580000000003</v>
      </c>
      <c r="N2477">
        <v>-9.1822350000000004E-3</v>
      </c>
      <c r="O2477">
        <v>1.6857199999999999E-2</v>
      </c>
      <c r="P2477">
        <v>0.98574640000000002</v>
      </c>
      <c r="Q2477">
        <v>0.168184</v>
      </c>
      <c r="R2477">
        <v>4.2770539999999998E-3</v>
      </c>
      <c r="S2477">
        <v>3.0567319999999998</v>
      </c>
      <c r="T2477">
        <v>-9.0267299999999995E-2</v>
      </c>
      <c r="U2477">
        <v>7.6400759999999998E-2</v>
      </c>
      <c r="V2477">
        <v>1.238102E-2</v>
      </c>
      <c r="W2477">
        <v>0.1772251</v>
      </c>
      <c r="X2477">
        <v>0.98409250000000004</v>
      </c>
      <c r="Y2477">
        <v>-8.1291039999999998E-3</v>
      </c>
      <c r="Z2477">
        <v>-1.854948E-4</v>
      </c>
      <c r="AA2477">
        <v>0.99996689999999999</v>
      </c>
      <c r="AB2477">
        <v>32</v>
      </c>
      <c r="AC2477">
        <v>37.320299999999897</v>
      </c>
      <c r="AD2477">
        <v>-1.1205173295605</v>
      </c>
      <c r="AE2477">
        <v>0.93799999999998795</v>
      </c>
      <c r="AF2477">
        <v>-0.30844657994861002</v>
      </c>
      <c r="AG2477">
        <v>-1.1205173295605</v>
      </c>
      <c r="AH2477">
        <v>37.297208580842202</v>
      </c>
      <c r="AI2477">
        <v>91.720756538767205</v>
      </c>
      <c r="AJ2477">
        <v>90.473823243972006</v>
      </c>
      <c r="AK2477">
        <v>37.315311419059299</v>
      </c>
      <c r="AL2477">
        <v>79.791829120862403</v>
      </c>
      <c r="AM2477">
        <v>89.279190962808201</v>
      </c>
      <c r="AN2477">
        <v>1.0000000371412401</v>
      </c>
    </row>
    <row r="2478" spans="1:40" x14ac:dyDescent="0.25">
      <c r="A2478" t="str">
        <f>"20190303162555584"</f>
        <v>20190303162555584</v>
      </c>
      <c r="B2478" t="str">
        <f>"1551601555575425"</f>
        <v>1551601555575425</v>
      </c>
      <c r="C2478" t="s">
        <v>40</v>
      </c>
      <c r="D2478">
        <v>5.4600499999999998</v>
      </c>
      <c r="E2478">
        <v>0.49408619999999998</v>
      </c>
      <c r="F2478" t="s">
        <v>48</v>
      </c>
      <c r="G2478">
        <v>-378.55</v>
      </c>
      <c r="H2478" s="1">
        <v>3.0130779999999998E-6</v>
      </c>
      <c r="I2478">
        <v>214.83529999999999</v>
      </c>
      <c r="J2478">
        <v>-419.30459999999999</v>
      </c>
      <c r="K2478">
        <v>1.1205020000000001</v>
      </c>
      <c r="L2478">
        <v>213.9606</v>
      </c>
      <c r="M2478">
        <v>0.99981770000000003</v>
      </c>
      <c r="N2478">
        <v>-9.1802700000000008E-3</v>
      </c>
      <c r="O2478">
        <v>1.674813E-2</v>
      </c>
      <c r="P2478">
        <v>0.98573480000000002</v>
      </c>
      <c r="Q2478">
        <v>0.16829759999999999</v>
      </c>
      <c r="R2478">
        <v>1.66207299999999E-3</v>
      </c>
      <c r="S2478">
        <v>3.0573429999999999</v>
      </c>
      <c r="T2478">
        <v>-8.3430290000000004E-2</v>
      </c>
      <c r="U2478">
        <v>6.5505980000000005E-2</v>
      </c>
      <c r="V2478">
        <v>1.4890489999999999E-2</v>
      </c>
      <c r="W2478">
        <v>0.1773354</v>
      </c>
      <c r="X2478">
        <v>0.98403779999999996</v>
      </c>
      <c r="Y2478">
        <v>-4.6733010000000004E-3</v>
      </c>
      <c r="Z2478">
        <v>-2.179223E-4</v>
      </c>
      <c r="AA2478">
        <v>0.99998900000000002</v>
      </c>
      <c r="AB2478">
        <v>32</v>
      </c>
      <c r="AC2478">
        <v>40.754599999999897</v>
      </c>
      <c r="AD2478">
        <v>-1.1204989869219999</v>
      </c>
      <c r="AE2478">
        <v>0.87469999999999004</v>
      </c>
      <c r="AF2478">
        <v>-0.19184032615541999</v>
      </c>
      <c r="AG2478">
        <v>-1.1204989869219999</v>
      </c>
      <c r="AH2478">
        <v>40.732757402092098</v>
      </c>
      <c r="AI2478">
        <v>91.575708817365694</v>
      </c>
      <c r="AJ2478">
        <v>90.269845707991095</v>
      </c>
      <c r="AK2478">
        <v>40.748617722177002</v>
      </c>
      <c r="AL2478">
        <v>79.785407107248105</v>
      </c>
      <c r="AM2478">
        <v>89.133064682812403</v>
      </c>
      <c r="AN2478">
        <v>0.99999998130721901</v>
      </c>
    </row>
    <row r="2479" spans="1:40" x14ac:dyDescent="0.25">
      <c r="A2479" t="str">
        <f>"20190303162555607"</f>
        <v>20190303162555607</v>
      </c>
      <c r="B2479" t="str">
        <f>"1551601555595922"</f>
        <v>1551601555595922</v>
      </c>
      <c r="C2479" t="s">
        <v>40</v>
      </c>
      <c r="D2479">
        <v>5.457128</v>
      </c>
      <c r="E2479">
        <v>0.49390859999999898</v>
      </c>
      <c r="F2479" t="s">
        <v>48</v>
      </c>
      <c r="G2479">
        <v>-379.05040000000002</v>
      </c>
      <c r="H2479" s="1">
        <v>3.2793769999999999E-6</v>
      </c>
      <c r="I2479">
        <v>214.73660000000001</v>
      </c>
      <c r="J2479">
        <v>-418.98759999999999</v>
      </c>
      <c r="K2479">
        <v>1.1204889999999901</v>
      </c>
      <c r="L2479">
        <v>213.9658</v>
      </c>
      <c r="M2479">
        <v>0.99981960000000003</v>
      </c>
      <c r="N2479">
        <v>-9.1788660000000008E-3</v>
      </c>
      <c r="O2479">
        <v>1.6634070000000001E-2</v>
      </c>
      <c r="P2479">
        <v>0.98580999999999996</v>
      </c>
      <c r="Q2479">
        <v>0.16786499999999999</v>
      </c>
      <c r="R2479">
        <v>-5.5207870000000003E-4</v>
      </c>
      <c r="S2479">
        <v>3.0578310000000002</v>
      </c>
      <c r="T2479">
        <v>-8.5116510000000006E-2</v>
      </c>
      <c r="U2479">
        <v>5.8944700000000003E-2</v>
      </c>
      <c r="V2479">
        <v>1.6994550000000001E-2</v>
      </c>
      <c r="W2479">
        <v>0.176900799999999</v>
      </c>
      <c r="X2479">
        <v>0.98408189999999995</v>
      </c>
      <c r="Y2479">
        <v>-2.6402439999999999E-3</v>
      </c>
      <c r="Z2479">
        <v>-2.6133189999999999E-4</v>
      </c>
      <c r="AA2479">
        <v>0.99999649999999995</v>
      </c>
      <c r="AB2479">
        <v>32</v>
      </c>
      <c r="AC2479">
        <v>39.937199999999898</v>
      </c>
      <c r="AD2479">
        <v>-1.1204857206229999</v>
      </c>
      <c r="AE2479">
        <v>0.77080000000000803</v>
      </c>
      <c r="AF2479">
        <v>-0.10626362370030901</v>
      </c>
      <c r="AG2479">
        <v>-1.1204857206229999</v>
      </c>
      <c r="AH2479">
        <v>39.913090190863798</v>
      </c>
      <c r="AI2479">
        <v>91.608044327876101</v>
      </c>
      <c r="AJ2479">
        <v>90.152542505209496</v>
      </c>
      <c r="AK2479">
        <v>39.9289562697533</v>
      </c>
      <c r="AL2479">
        <v>79.810707513802598</v>
      </c>
      <c r="AM2479">
        <v>89.010631931443697</v>
      </c>
      <c r="AN2479">
        <v>0.99999994683897397</v>
      </c>
    </row>
    <row r="2480" spans="1:40" x14ac:dyDescent="0.25">
      <c r="A2480" t="str">
        <f>"20190303162555633"</f>
        <v>20190303162555633</v>
      </c>
      <c r="B2480" t="str">
        <f>"1551601555625201"</f>
        <v>1551601555625201</v>
      </c>
      <c r="C2480" t="s">
        <v>40</v>
      </c>
      <c r="D2480">
        <v>5.1639609999999996</v>
      </c>
      <c r="E2480">
        <v>0.49368210000000001</v>
      </c>
      <c r="F2480" t="s">
        <v>48</v>
      </c>
      <c r="G2480">
        <v>-379.6986</v>
      </c>
      <c r="H2480" s="1">
        <v>3.624315E-6</v>
      </c>
      <c r="I2480">
        <v>214.6628</v>
      </c>
      <c r="J2480">
        <v>-418.61470000000003</v>
      </c>
      <c r="K2480">
        <v>1.1204909999999999</v>
      </c>
      <c r="L2480">
        <v>213.97190000000001</v>
      </c>
      <c r="M2480">
        <v>0.99982170000000004</v>
      </c>
      <c r="N2480">
        <v>-9.1780909999999993E-3</v>
      </c>
      <c r="O2480">
        <v>1.6501120000000001E-2</v>
      </c>
      <c r="P2480">
        <v>0.98595529999999998</v>
      </c>
      <c r="Q2480">
        <v>0.166986299999999</v>
      </c>
      <c r="R2480">
        <v>-2.8652629999999998E-3</v>
      </c>
      <c r="S2480">
        <v>3.0581049999999999</v>
      </c>
      <c r="T2480">
        <v>-8.7214230000000004E-2</v>
      </c>
      <c r="U2480">
        <v>5.4245000000000002E-2</v>
      </c>
      <c r="V2480">
        <v>1.917982E-2</v>
      </c>
      <c r="W2480">
        <v>0.1760217</v>
      </c>
      <c r="X2480">
        <v>0.98419939999999995</v>
      </c>
      <c r="Y2480">
        <v>-1.2360959999999999E-3</v>
      </c>
      <c r="Z2480">
        <v>-2.9570470000000001E-4</v>
      </c>
      <c r="AA2480">
        <v>0.99999919999999998</v>
      </c>
      <c r="AB2480">
        <v>32</v>
      </c>
      <c r="AC2480">
        <v>38.9161</v>
      </c>
      <c r="AD2480">
        <v>-1.120487375685</v>
      </c>
      <c r="AE2480">
        <v>0.69089999999999896</v>
      </c>
      <c r="AF2480">
        <v>-4.8579365725096399E-2</v>
      </c>
      <c r="AG2480">
        <v>-1.120487375685</v>
      </c>
      <c r="AH2480">
        <v>38.8899724367582</v>
      </c>
      <c r="AI2480">
        <v>91.650332673034896</v>
      </c>
      <c r="AJ2480">
        <v>90.071570921894804</v>
      </c>
      <c r="AK2480">
        <v>38.906141006859698</v>
      </c>
      <c r="AL2480">
        <v>79.861879602875604</v>
      </c>
      <c r="AM2480">
        <v>88.883576177577098</v>
      </c>
      <c r="AN2480">
        <v>0.999999981663241</v>
      </c>
    </row>
    <row r="2481" spans="1:40" x14ac:dyDescent="0.25">
      <c r="A2481" t="str">
        <f>"20190303162555655"</f>
        <v>20190303162555655</v>
      </c>
      <c r="B2481" t="str">
        <f>"1551601555646674"</f>
        <v>1551601555646674</v>
      </c>
      <c r="C2481" t="s">
        <v>40</v>
      </c>
      <c r="D2481">
        <v>5.3387529999999996</v>
      </c>
      <c r="E2481">
        <v>0.49350280000000002</v>
      </c>
      <c r="F2481" t="s">
        <v>48</v>
      </c>
      <c r="G2481">
        <v>-381.09109999999998</v>
      </c>
      <c r="H2481" s="1">
        <v>-9.5413679999999998E-7</v>
      </c>
      <c r="I2481">
        <v>214.5702</v>
      </c>
      <c r="J2481">
        <v>-418.291</v>
      </c>
      <c r="K2481">
        <v>1.1204889999999901</v>
      </c>
      <c r="L2481">
        <v>213.97710000000001</v>
      </c>
      <c r="M2481">
        <v>0.99982369999999998</v>
      </c>
      <c r="N2481">
        <v>-9.1781740000000007E-3</v>
      </c>
      <c r="O2481">
        <v>1.6387430000000001E-2</v>
      </c>
      <c r="P2481">
        <v>0.98603249999999998</v>
      </c>
      <c r="Q2481">
        <v>0.1664967</v>
      </c>
      <c r="R2481">
        <v>-4.3760209999999999E-3</v>
      </c>
      <c r="S2481">
        <v>3.0583499999999999</v>
      </c>
      <c r="T2481">
        <v>-9.1325400000000001E-2</v>
      </c>
      <c r="U2481">
        <v>4.8767089999999999E-2</v>
      </c>
      <c r="V2481">
        <v>2.058049E-2</v>
      </c>
      <c r="W2481">
        <v>0.17553260000000001</v>
      </c>
      <c r="X2481">
        <v>0.98425850000000004</v>
      </c>
      <c r="Y2481">
        <v>4.4088290000000001E-4</v>
      </c>
      <c r="Z2481">
        <v>-3.4739029999999999E-4</v>
      </c>
      <c r="AA2481">
        <v>0.99999979999999999</v>
      </c>
      <c r="AB2481">
        <v>32</v>
      </c>
      <c r="AC2481">
        <v>37.1999</v>
      </c>
      <c r="AD2481">
        <v>-1.1204899541368001</v>
      </c>
      <c r="AE2481">
        <v>0.59309999999999197</v>
      </c>
      <c r="AF2481">
        <v>1.66009612671877E-2</v>
      </c>
      <c r="AG2481">
        <v>-1.1204899541368001</v>
      </c>
      <c r="AH2481">
        <v>37.170908904029197</v>
      </c>
      <c r="AI2481">
        <v>91.726616484719997</v>
      </c>
      <c r="AJ2481">
        <v>89.974411038597793</v>
      </c>
      <c r="AK2481">
        <v>37.187796951162198</v>
      </c>
      <c r="AL2481">
        <v>79.890346612228797</v>
      </c>
      <c r="AM2481">
        <v>88.802140482270801</v>
      </c>
      <c r="AN2481">
        <v>1.00000002252682</v>
      </c>
    </row>
    <row r="2482" spans="1:40" x14ac:dyDescent="0.25">
      <c r="A2482" t="str">
        <f>"20190303162555695"</f>
        <v>20190303162555695</v>
      </c>
      <c r="B2482" t="str">
        <f>"1551601555685714"</f>
        <v>1551601555685714</v>
      </c>
      <c r="C2482" t="s">
        <v>40</v>
      </c>
      <c r="D2482">
        <v>5.2079089999999999</v>
      </c>
      <c r="E2482">
        <v>0.49349419999999999</v>
      </c>
      <c r="F2482" t="s">
        <v>48</v>
      </c>
      <c r="G2482">
        <v>-381.70170000000002</v>
      </c>
      <c r="H2482" s="1">
        <v>-6.2654439999999997E-7</v>
      </c>
      <c r="I2482">
        <v>214.5087</v>
      </c>
      <c r="J2482">
        <v>-417.69869999999997</v>
      </c>
      <c r="K2482">
        <v>1.1204799999999999</v>
      </c>
      <c r="L2482">
        <v>213.98660000000001</v>
      </c>
      <c r="M2482">
        <v>0.99982700000000002</v>
      </c>
      <c r="N2482">
        <v>-9.1801499999999998E-3</v>
      </c>
      <c r="O2482">
        <v>1.6183409999999999E-2</v>
      </c>
      <c r="P2482">
        <v>0.98599840000000005</v>
      </c>
      <c r="Q2482">
        <v>0.16660800000000001</v>
      </c>
      <c r="R2482">
        <v>-7.0171000000000001E-3</v>
      </c>
      <c r="S2482">
        <v>3.0585019999999998</v>
      </c>
      <c r="T2482">
        <v>-9.3661670000000002E-2</v>
      </c>
      <c r="U2482">
        <v>4.4433590000000002E-2</v>
      </c>
      <c r="V2482">
        <v>2.3021440000000001E-2</v>
      </c>
      <c r="W2482">
        <v>0.1756443</v>
      </c>
      <c r="X2482">
        <v>0.98418450000000002</v>
      </c>
      <c r="Y2482">
        <v>1.6531969999999999E-3</v>
      </c>
      <c r="Z2482">
        <v>-3.7976839999999997E-4</v>
      </c>
      <c r="AA2482">
        <v>0.99999859999999896</v>
      </c>
      <c r="AB2482">
        <v>32</v>
      </c>
      <c r="AC2482">
        <v>35.9969999999999</v>
      </c>
      <c r="AD2482">
        <v>-1.1204806265443901</v>
      </c>
      <c r="AE2482">
        <v>0.52209999999999401</v>
      </c>
      <c r="AF2482">
        <v>6.0488483560178198E-2</v>
      </c>
      <c r="AG2482">
        <v>-1.1204806265443901</v>
      </c>
      <c r="AH2482">
        <v>35.965895354914501</v>
      </c>
      <c r="AI2482">
        <v>91.784411644882297</v>
      </c>
      <c r="AJ2482">
        <v>89.903638390889896</v>
      </c>
      <c r="AK2482">
        <v>35.983395675947101</v>
      </c>
      <c r="AL2482">
        <v>79.883845631126604</v>
      </c>
      <c r="AM2482">
        <v>88.660016636244293</v>
      </c>
      <c r="AN2482">
        <v>1.0000000184311999</v>
      </c>
    </row>
    <row r="2483" spans="1:40" x14ac:dyDescent="0.25">
      <c r="A2483" t="str">
        <f>"20190303162555718"</f>
        <v>20190303162555718</v>
      </c>
      <c r="B2483" t="str">
        <f>"1551601555705234"</f>
        <v>1551601555705234</v>
      </c>
      <c r="C2483" t="s">
        <v>40</v>
      </c>
      <c r="D2483">
        <v>5.1613030000000002</v>
      </c>
      <c r="E2483">
        <v>0.51434619999999998</v>
      </c>
      <c r="F2483" t="s">
        <v>48</v>
      </c>
      <c r="G2483">
        <v>-380.92660000000001</v>
      </c>
      <c r="H2483" s="1">
        <v>-1.035343E-6</v>
      </c>
      <c r="I2483">
        <v>214.42500000000001</v>
      </c>
      <c r="J2483">
        <v>-417.37200000000001</v>
      </c>
      <c r="K2483">
        <v>1.1204730000000001</v>
      </c>
      <c r="L2483">
        <v>213.99170000000001</v>
      </c>
      <c r="M2483">
        <v>0.99982870000000001</v>
      </c>
      <c r="N2483">
        <v>-9.1820770000000003E-3</v>
      </c>
      <c r="O2483">
        <v>1.6071510000000001E-2</v>
      </c>
      <c r="P2483">
        <v>0.98597219999999997</v>
      </c>
      <c r="Q2483">
        <v>0.16670650000000001</v>
      </c>
      <c r="R2483">
        <v>-8.2406219999999995E-3</v>
      </c>
      <c r="S2483">
        <v>3.0586549999999999</v>
      </c>
      <c r="T2483">
        <v>-9.3200210000000006E-2</v>
      </c>
      <c r="U2483">
        <v>3.6468510000000003E-2</v>
      </c>
      <c r="V2483">
        <v>2.4134599999999999E-2</v>
      </c>
      <c r="W2483">
        <v>0.17574389999999901</v>
      </c>
      <c r="X2483">
        <v>0.98414000000000001</v>
      </c>
      <c r="Y2483">
        <v>4.1442340000000001E-3</v>
      </c>
      <c r="Z2483">
        <v>-4.241596E-4</v>
      </c>
      <c r="AA2483">
        <v>0.99999130000000003</v>
      </c>
      <c r="AB2483">
        <v>32</v>
      </c>
      <c r="AC2483">
        <v>36.4453999999999</v>
      </c>
      <c r="AD2483">
        <v>-1.1204740353430001</v>
      </c>
      <c r="AE2483">
        <v>0.43330000000000202</v>
      </c>
      <c r="AF2483">
        <v>0.15236926444563001</v>
      </c>
      <c r="AG2483">
        <v>-1.1204740353430001</v>
      </c>
      <c r="AH2483">
        <v>36.413244080817002</v>
      </c>
      <c r="AI2483">
        <v>91.762480180797596</v>
      </c>
      <c r="AJ2483">
        <v>89.760250286741197</v>
      </c>
      <c r="AK2483">
        <v>36.430797725904696</v>
      </c>
      <c r="AL2483">
        <v>79.878048289579098</v>
      </c>
      <c r="AM2483">
        <v>88.5951860397508</v>
      </c>
      <c r="AN2483">
        <v>0.99999996845218397</v>
      </c>
    </row>
    <row r="2484" spans="1:40" x14ac:dyDescent="0.25">
      <c r="A2484" t="str">
        <f>"20190303162555740"</f>
        <v>20190303162555740</v>
      </c>
      <c r="B2484" t="str">
        <f>"1551601555725730"</f>
        <v>1551601555725730</v>
      </c>
      <c r="C2484" t="s">
        <v>40</v>
      </c>
      <c r="D2484">
        <v>5.1074830000000002</v>
      </c>
      <c r="E2484">
        <v>0.51748989999999995</v>
      </c>
      <c r="F2484" t="s">
        <v>48</v>
      </c>
      <c r="G2484">
        <v>-349.5659</v>
      </c>
      <c r="H2484" s="1">
        <v>3.5537259999999998E-6</v>
      </c>
      <c r="I2484">
        <v>211.02799999999999</v>
      </c>
      <c r="J2484">
        <v>-417.05720000000002</v>
      </c>
      <c r="K2484">
        <v>1.1204750000000001</v>
      </c>
      <c r="L2484">
        <v>213.9967</v>
      </c>
      <c r="M2484">
        <v>0.99983049999999996</v>
      </c>
      <c r="N2484">
        <v>-9.1845299999999998E-3</v>
      </c>
      <c r="O2484">
        <v>1.5963599999999901E-2</v>
      </c>
      <c r="P2484">
        <v>0.98588869999999895</v>
      </c>
      <c r="Q2484">
        <v>0.16717589999999999</v>
      </c>
      <c r="R2484">
        <v>-8.7213280000000004E-3</v>
      </c>
      <c r="S2484">
        <v>3.050049</v>
      </c>
      <c r="T2484">
        <v>-5.0400849999999997E-2</v>
      </c>
      <c r="U2484">
        <v>-0.13331599999999999</v>
      </c>
      <c r="V2484">
        <v>2.4507959999999999E-2</v>
      </c>
      <c r="W2484">
        <v>0.1762147</v>
      </c>
      <c r="X2484">
        <v>0.98404659999999999</v>
      </c>
      <c r="Y2484">
        <v>5.9598209999999999E-2</v>
      </c>
      <c r="Z2484">
        <v>-8.8313039999999903E-4</v>
      </c>
      <c r="AA2484">
        <v>0.9982221</v>
      </c>
      <c r="AB2484">
        <v>32</v>
      </c>
      <c r="AC2484">
        <v>67.491299999999995</v>
      </c>
      <c r="AD2484">
        <v>-1.120471446274</v>
      </c>
      <c r="AE2484">
        <v>-2.9687000000000099</v>
      </c>
      <c r="AF2484">
        <v>4.0446584966416896</v>
      </c>
      <c r="AG2484">
        <v>-1.120471446274</v>
      </c>
      <c r="AH2484">
        <v>67.416760647427296</v>
      </c>
      <c r="AI2484">
        <v>90.950463651054804</v>
      </c>
      <c r="AJ2484">
        <v>86.566663606626506</v>
      </c>
      <c r="AK2484">
        <v>67.547274814080197</v>
      </c>
      <c r="AL2484">
        <v>79.850645966139396</v>
      </c>
      <c r="AM2484">
        <v>88.573327268514802</v>
      </c>
      <c r="AN2484">
        <v>0.99999998578550497</v>
      </c>
    </row>
    <row r="2485" spans="1:40" x14ac:dyDescent="0.25">
      <c r="A2485" t="str">
        <f>"20190303162555763"</f>
        <v>20190303162555763</v>
      </c>
      <c r="B2485" t="str">
        <f>"1551601555755986"</f>
        <v>1551601555755986</v>
      </c>
      <c r="C2485" t="s">
        <v>40</v>
      </c>
      <c r="D2485">
        <v>5.0799260000000004</v>
      </c>
      <c r="E2485">
        <v>0.51890340000000001</v>
      </c>
      <c r="F2485" t="s">
        <v>48</v>
      </c>
      <c r="G2485">
        <v>-373.77330000000001</v>
      </c>
      <c r="H2485" s="1">
        <v>4.7120300000000001E-7</v>
      </c>
      <c r="I2485">
        <v>211.7413</v>
      </c>
      <c r="J2485">
        <v>-416.71190000000001</v>
      </c>
      <c r="K2485">
        <v>1.1204829999999999</v>
      </c>
      <c r="L2485">
        <v>214.00210000000001</v>
      </c>
      <c r="M2485">
        <v>0.99983230000000001</v>
      </c>
      <c r="N2485">
        <v>-9.1877360000000002E-3</v>
      </c>
      <c r="O2485">
        <v>1.5844500000000001E-2</v>
      </c>
      <c r="P2485">
        <v>0.98579249999999996</v>
      </c>
      <c r="Q2485">
        <v>0.16771920000000001</v>
      </c>
      <c r="R2485">
        <v>-9.1353809999999997E-3</v>
      </c>
      <c r="S2485">
        <v>3.0549010000000001</v>
      </c>
      <c r="T2485">
        <v>-7.9081299999999993E-2</v>
      </c>
      <c r="U2485">
        <v>-0.15917970000000001</v>
      </c>
      <c r="V2485">
        <v>2.4803479999999999E-2</v>
      </c>
      <c r="W2485">
        <v>0.17676</v>
      </c>
      <c r="X2485">
        <v>0.98394139999999997</v>
      </c>
      <c r="Y2485">
        <v>6.7819980000000002E-2</v>
      </c>
      <c r="Z2485">
        <v>-1.453312E-3</v>
      </c>
      <c r="AA2485">
        <v>0.99769649999999999</v>
      </c>
      <c r="AB2485">
        <v>32</v>
      </c>
      <c r="AC2485">
        <v>42.938600000000001</v>
      </c>
      <c r="AD2485">
        <v>-1.1204825287969999</v>
      </c>
      <c r="AE2485">
        <v>-2.2608000000000099</v>
      </c>
      <c r="AF2485">
        <v>2.93888980655719</v>
      </c>
      <c r="AG2485">
        <v>-1.1204825287969999</v>
      </c>
      <c r="AH2485">
        <v>42.868276224509003</v>
      </c>
      <c r="AI2485">
        <v>91.4937403004337</v>
      </c>
      <c r="AJ2485">
        <v>86.078150653552399</v>
      </c>
      <c r="AK2485">
        <v>42.983504520376599</v>
      </c>
      <c r="AL2485">
        <v>79.818904414144399</v>
      </c>
      <c r="AM2485">
        <v>88.555977203310107</v>
      </c>
      <c r="AN2485">
        <v>0.99999999442703502</v>
      </c>
    </row>
    <row r="2486" spans="1:40" x14ac:dyDescent="0.25">
      <c r="A2486" t="str">
        <f>"20190303162555786"</f>
        <v>20190303162555786</v>
      </c>
      <c r="B2486" t="str">
        <f>"1551601555775506"</f>
        <v>1551601555775506</v>
      </c>
      <c r="C2486" t="s">
        <v>40</v>
      </c>
      <c r="D2486">
        <v>5.06534</v>
      </c>
      <c r="E2486">
        <v>0.51915659999999997</v>
      </c>
      <c r="F2486" t="s">
        <v>48</v>
      </c>
      <c r="G2486">
        <v>-378.94510000000002</v>
      </c>
      <c r="H2486" s="1">
        <v>3.2233460000000001E-6</v>
      </c>
      <c r="I2486">
        <v>211.8895</v>
      </c>
      <c r="J2486">
        <v>-416.39240000000001</v>
      </c>
      <c r="K2486">
        <v>1.1204829999999999</v>
      </c>
      <c r="L2486">
        <v>214.00700000000001</v>
      </c>
      <c r="M2486">
        <v>0.99983390000000005</v>
      </c>
      <c r="N2486">
        <v>-9.1911470000000002E-3</v>
      </c>
      <c r="O2486">
        <v>1.5734629999999999E-2</v>
      </c>
      <c r="P2486">
        <v>0.98578259999999995</v>
      </c>
      <c r="Q2486">
        <v>0.16778419999999999</v>
      </c>
      <c r="R2486">
        <v>-9.0104009999999995E-3</v>
      </c>
      <c r="S2486">
        <v>3.0570680000000001</v>
      </c>
      <c r="T2486">
        <v>-9.0698239999999999E-2</v>
      </c>
      <c r="U2486">
        <v>-0.1710052</v>
      </c>
      <c r="V2486">
        <v>2.457003E-2</v>
      </c>
      <c r="W2486">
        <v>0.17682809999999999</v>
      </c>
      <c r="X2486">
        <v>0.983935</v>
      </c>
      <c r="Y2486">
        <v>7.1509790000000004E-2</v>
      </c>
      <c r="Z2486">
        <v>-1.7106300000000001E-3</v>
      </c>
      <c r="AA2486">
        <v>0.99743839999999995</v>
      </c>
      <c r="AB2486">
        <v>33</v>
      </c>
      <c r="AC2486">
        <v>37.447299999999899</v>
      </c>
      <c r="AD2486">
        <v>-1.120479776654</v>
      </c>
      <c r="AE2486">
        <v>-2.1175000000000002</v>
      </c>
      <c r="AF2486">
        <v>2.7040689434967198</v>
      </c>
      <c r="AG2486">
        <v>-1.120479776654</v>
      </c>
      <c r="AH2486">
        <v>37.3759883100644</v>
      </c>
      <c r="AI2486">
        <v>91.712659260542594</v>
      </c>
      <c r="AJ2486">
        <v>85.861988504699099</v>
      </c>
      <c r="AK2486">
        <v>37.490424990057797</v>
      </c>
      <c r="AL2486">
        <v>79.814939912942904</v>
      </c>
      <c r="AM2486">
        <v>88.569553351263394</v>
      </c>
      <c r="AN2486">
        <v>0.99999997377440497</v>
      </c>
    </row>
    <row r="2487" spans="1:40" x14ac:dyDescent="0.25">
      <c r="A2487" t="str">
        <f>"20190303162555808"</f>
        <v>20190303162555808</v>
      </c>
      <c r="B2487" t="str">
        <f>"1551601555796002"</f>
        <v>1551601555796002</v>
      </c>
      <c r="C2487" t="s">
        <v>40</v>
      </c>
      <c r="D2487">
        <v>5.0514190000000001</v>
      </c>
      <c r="E2487">
        <v>0.51919359999999903</v>
      </c>
      <c r="F2487" t="s">
        <v>48</v>
      </c>
      <c r="G2487">
        <v>-378.81729999999999</v>
      </c>
      <c r="H2487" s="1">
        <v>3.155358E-6</v>
      </c>
      <c r="I2487">
        <v>211.89660000000001</v>
      </c>
      <c r="J2487">
        <v>-416.06610000000001</v>
      </c>
      <c r="K2487">
        <v>1.1204860000000001</v>
      </c>
      <c r="L2487">
        <v>214.012</v>
      </c>
      <c r="M2487">
        <v>0.99983569999999999</v>
      </c>
      <c r="N2487">
        <v>-9.1970920000000005E-3</v>
      </c>
      <c r="O2487">
        <v>1.5622840000000001E-2</v>
      </c>
      <c r="P2487">
        <v>0.98575840000000003</v>
      </c>
      <c r="Q2487">
        <v>0.16794229999999999</v>
      </c>
      <c r="R2487">
        <v>-8.7218309999999993E-3</v>
      </c>
      <c r="S2487">
        <v>3.05722</v>
      </c>
      <c r="T2487">
        <v>-9.1165659999999996E-2</v>
      </c>
      <c r="U2487">
        <v>-0.1717072</v>
      </c>
      <c r="V2487">
        <v>2.4171290000000002E-2</v>
      </c>
      <c r="W2487">
        <v>0.17699239999999999</v>
      </c>
      <c r="X2487">
        <v>0.9839154</v>
      </c>
      <c r="Y2487">
        <v>7.1623290000000006E-2</v>
      </c>
      <c r="Z2487">
        <v>-1.7184380000000001E-3</v>
      </c>
      <c r="AA2487">
        <v>0.99743029999999999</v>
      </c>
      <c r="AB2487">
        <v>33</v>
      </c>
      <c r="AC2487">
        <v>37.248800000000003</v>
      </c>
      <c r="AD2487">
        <v>-1.1204828446420001</v>
      </c>
      <c r="AE2487">
        <v>-2.11539999999999</v>
      </c>
      <c r="AF2487">
        <v>2.69466795359661</v>
      </c>
      <c r="AG2487">
        <v>-1.1204828446420001</v>
      </c>
      <c r="AH2487">
        <v>37.177670888757802</v>
      </c>
      <c r="AI2487">
        <v>91.721777858595701</v>
      </c>
      <c r="AJ2487">
        <v>85.854404543606094</v>
      </c>
      <c r="AK2487">
        <v>37.292035743548098</v>
      </c>
      <c r="AL2487">
        <v>79.805376012219995</v>
      </c>
      <c r="AM2487">
        <v>88.592730228117702</v>
      </c>
      <c r="AN2487">
        <v>1.0000000376375899</v>
      </c>
    </row>
    <row r="2488" spans="1:40" x14ac:dyDescent="0.25">
      <c r="A2488" t="str">
        <f>"20190303162555834"</f>
        <v>20190303162555834</v>
      </c>
      <c r="B2488" t="str">
        <f>"1551601555825283"</f>
        <v>1551601555825283</v>
      </c>
      <c r="C2488" t="s">
        <v>40</v>
      </c>
      <c r="D2488">
        <v>5.0426989999999998</v>
      </c>
      <c r="E2488">
        <v>0.51944690000000004</v>
      </c>
      <c r="F2488" t="s">
        <v>48</v>
      </c>
      <c r="G2488">
        <v>-377.2747</v>
      </c>
      <c r="H2488" s="1">
        <v>2.3344200000000002E-6</v>
      </c>
      <c r="I2488">
        <v>211.84139999999999</v>
      </c>
      <c r="J2488">
        <v>-415.69589999999999</v>
      </c>
      <c r="K2488">
        <v>1.12049</v>
      </c>
      <c r="L2488">
        <v>214.01769999999999</v>
      </c>
      <c r="M2488">
        <v>0.99983759999999999</v>
      </c>
      <c r="N2488">
        <v>-9.2128090000000006E-3</v>
      </c>
      <c r="O2488">
        <v>1.5497169999999999E-2</v>
      </c>
      <c r="P2488">
        <v>0.98572269999999895</v>
      </c>
      <c r="Q2488">
        <v>0.16814119999999999</v>
      </c>
      <c r="R2488">
        <v>-8.9087769999999997E-3</v>
      </c>
      <c r="S2488">
        <v>3.056915</v>
      </c>
      <c r="T2488">
        <v>-8.829832E-2</v>
      </c>
      <c r="U2488">
        <v>-0.17105100000000001</v>
      </c>
      <c r="V2488">
        <v>2.4234149999999999E-2</v>
      </c>
      <c r="W2488">
        <v>0.1772059</v>
      </c>
      <c r="X2488">
        <v>0.98387539999999996</v>
      </c>
      <c r="Y2488">
        <v>7.1292850000000005E-2</v>
      </c>
      <c r="Z2488">
        <v>-1.66197E-3</v>
      </c>
      <c r="AA2488">
        <v>0.99745399999999995</v>
      </c>
      <c r="AB2488">
        <v>33</v>
      </c>
      <c r="AC2488">
        <v>38.421199999999999</v>
      </c>
      <c r="AD2488">
        <v>-1.12048766558</v>
      </c>
      <c r="AE2488">
        <v>-2.1762999999999901</v>
      </c>
      <c r="AF2488">
        <v>2.7691360816864701</v>
      </c>
      <c r="AG2488">
        <v>-1.12048766558</v>
      </c>
      <c r="AH2488">
        <v>38.350345250045002</v>
      </c>
      <c r="AI2488">
        <v>91.669199836672206</v>
      </c>
      <c r="AJ2488">
        <v>85.870051982704894</v>
      </c>
      <c r="AK2488">
        <v>38.466512553717003</v>
      </c>
      <c r="AL2488">
        <v>79.792946651741005</v>
      </c>
      <c r="AM2488">
        <v>88.589014612574204</v>
      </c>
      <c r="AN2488">
        <v>1.00000001387309</v>
      </c>
    </row>
    <row r="2489" spans="1:40" x14ac:dyDescent="0.25">
      <c r="A2489" t="str">
        <f>"20190303162555854"</f>
        <v>20190303162555854</v>
      </c>
      <c r="B2489" t="str">
        <f>"1551601555845778"</f>
        <v>1551601555845778</v>
      </c>
      <c r="C2489" t="s">
        <v>40</v>
      </c>
      <c r="D2489">
        <v>4.9726220000000003</v>
      </c>
      <c r="E2489">
        <v>0.51950959999999902</v>
      </c>
      <c r="F2489" t="s">
        <v>48</v>
      </c>
      <c r="G2489">
        <v>-377.57040000000001</v>
      </c>
      <c r="H2489" s="1">
        <v>2.4917939999999998E-6</v>
      </c>
      <c r="I2489">
        <v>211.85560000000001</v>
      </c>
      <c r="J2489">
        <v>-415.39080000000001</v>
      </c>
      <c r="K2489">
        <v>1.12049</v>
      </c>
      <c r="L2489">
        <v>214.0223</v>
      </c>
      <c r="M2489">
        <v>0.99983889999999997</v>
      </c>
      <c r="N2489">
        <v>-9.2325010000000006E-3</v>
      </c>
      <c r="O2489">
        <v>1.539402E-2</v>
      </c>
      <c r="P2489">
        <v>0.98568860000000003</v>
      </c>
      <c r="Q2489">
        <v>0.16827339999999999</v>
      </c>
      <c r="R2489">
        <v>-1.0107110000000001E-2</v>
      </c>
      <c r="S2489">
        <v>3.0571899999999999</v>
      </c>
      <c r="T2489">
        <v>-8.9849230000000002E-2</v>
      </c>
      <c r="U2489">
        <v>-0.17337040000000001</v>
      </c>
      <c r="V2489">
        <v>2.533024E-2</v>
      </c>
      <c r="W2489">
        <v>0.17735699999999999</v>
      </c>
      <c r="X2489">
        <v>0.98382060000000005</v>
      </c>
      <c r="Y2489">
        <v>7.1937539999999994E-2</v>
      </c>
      <c r="Z2489">
        <v>-1.6984929999999999E-3</v>
      </c>
      <c r="AA2489">
        <v>0.99740770000000001</v>
      </c>
      <c r="AB2489">
        <v>33</v>
      </c>
      <c r="AC2489">
        <v>37.820399999999999</v>
      </c>
      <c r="AD2489">
        <v>-1.120487508206</v>
      </c>
      <c r="AE2489">
        <v>-2.1666999999999899</v>
      </c>
      <c r="AF2489">
        <v>2.7462734263755801</v>
      </c>
      <c r="AG2489">
        <v>-1.120487508206</v>
      </c>
      <c r="AH2489">
        <v>37.749536872753197</v>
      </c>
      <c r="AI2489">
        <v>91.695684189500398</v>
      </c>
      <c r="AJ2489">
        <v>85.839070507312897</v>
      </c>
      <c r="AK2489">
        <v>37.865882322954199</v>
      </c>
      <c r="AL2489">
        <v>79.784150291468805</v>
      </c>
      <c r="AM2489">
        <v>88.525142407029605</v>
      </c>
      <c r="AN2489">
        <v>1.0000000497459001</v>
      </c>
    </row>
    <row r="2490" spans="1:40" x14ac:dyDescent="0.25">
      <c r="A2490" t="str">
        <f>"20190303162555877"</f>
        <v>20190303162555877</v>
      </c>
      <c r="B2490" t="str">
        <f>"1551601555865298"</f>
        <v>1551601555865298</v>
      </c>
      <c r="C2490" t="s">
        <v>40</v>
      </c>
      <c r="D2490">
        <v>4.9730019999999904</v>
      </c>
      <c r="E2490">
        <v>0.51963219999999999</v>
      </c>
      <c r="F2490" t="s">
        <v>48</v>
      </c>
      <c r="G2490">
        <v>-377.10669999999999</v>
      </c>
      <c r="H2490" s="1">
        <v>2.2450379999999999E-6</v>
      </c>
      <c r="I2490">
        <v>211.80549999999999</v>
      </c>
      <c r="J2490">
        <v>-415.0487</v>
      </c>
      <c r="K2490">
        <v>1.1204889999999901</v>
      </c>
      <c r="L2490">
        <v>214.0275</v>
      </c>
      <c r="M2490">
        <v>0.99984039999999996</v>
      </c>
      <c r="N2490">
        <v>-9.2565640000000001E-3</v>
      </c>
      <c r="O2490">
        <v>1.527881E-2</v>
      </c>
      <c r="P2490">
        <v>0.98577510000000002</v>
      </c>
      <c r="Q2490">
        <v>0.1676687</v>
      </c>
      <c r="R2490">
        <v>-1.159516E-2</v>
      </c>
      <c r="S2490">
        <v>3.057007</v>
      </c>
      <c r="T2490">
        <v>-8.9471579999999995E-2</v>
      </c>
      <c r="U2490">
        <v>-0.17701720000000001</v>
      </c>
      <c r="V2490">
        <v>2.6706000000000001E-2</v>
      </c>
      <c r="W2490">
        <v>0.1767765</v>
      </c>
      <c r="X2490">
        <v>0.9838886</v>
      </c>
      <c r="Y2490">
        <v>7.3011629999999994E-2</v>
      </c>
      <c r="Z2490">
        <v>-1.711083E-3</v>
      </c>
      <c r="AA2490">
        <v>0.99732960000000004</v>
      </c>
      <c r="AB2490">
        <v>33</v>
      </c>
      <c r="AC2490">
        <v>37.942</v>
      </c>
      <c r="AD2490">
        <v>-1.1204867549619999</v>
      </c>
      <c r="AE2490">
        <v>-2.222</v>
      </c>
      <c r="AF2490">
        <v>2.7990413307081399</v>
      </c>
      <c r="AG2490">
        <v>-1.1204867549619999</v>
      </c>
      <c r="AH2490">
        <v>37.870705093346302</v>
      </c>
      <c r="AI2490">
        <v>91.690117829166894</v>
      </c>
      <c r="AJ2490">
        <v>85.772928407271394</v>
      </c>
      <c r="AK2490">
        <v>37.990530757101297</v>
      </c>
      <c r="AL2490">
        <v>79.817943546722802</v>
      </c>
      <c r="AM2490">
        <v>88.445184270215606</v>
      </c>
      <c r="AN2490">
        <v>0.99999995929910401</v>
      </c>
    </row>
    <row r="2491" spans="1:40" x14ac:dyDescent="0.25">
      <c r="A2491" t="str">
        <f>"20190303162555899"</f>
        <v>20190303162555899</v>
      </c>
      <c r="B2491" t="str">
        <f>"1551601555885794"</f>
        <v>1551601555885794</v>
      </c>
      <c r="C2491" t="s">
        <v>40</v>
      </c>
      <c r="D2491">
        <v>4.9644159999999999</v>
      </c>
      <c r="E2491">
        <v>0.51976809999999996</v>
      </c>
      <c r="F2491" t="s">
        <v>48</v>
      </c>
      <c r="G2491">
        <v>-377.35649999999998</v>
      </c>
      <c r="H2491" s="1">
        <v>2.378002E-6</v>
      </c>
      <c r="I2491">
        <v>211.7756</v>
      </c>
      <c r="J2491">
        <v>-414.73829999999998</v>
      </c>
      <c r="K2491">
        <v>1.12049</v>
      </c>
      <c r="L2491">
        <v>214.03210000000001</v>
      </c>
      <c r="M2491">
        <v>0.99984189999999995</v>
      </c>
      <c r="N2491">
        <v>-9.2826499999999999E-3</v>
      </c>
      <c r="O2491">
        <v>1.5174129999999999E-2</v>
      </c>
      <c r="P2491">
        <v>0.98596950000000005</v>
      </c>
      <c r="Q2491">
        <v>0.16645839999999901</v>
      </c>
      <c r="R2491">
        <v>-1.2500030000000001E-2</v>
      </c>
      <c r="S2491">
        <v>3.0566409999999999</v>
      </c>
      <c r="T2491">
        <v>-9.0865730000000006E-2</v>
      </c>
      <c r="U2491">
        <v>-0.18261720000000001</v>
      </c>
      <c r="V2491">
        <v>2.7510010000000001E-2</v>
      </c>
      <c r="W2491">
        <v>0.17559269999999999</v>
      </c>
      <c r="X2491">
        <v>0.98407849999999997</v>
      </c>
      <c r="Y2491">
        <v>7.473262E-2</v>
      </c>
      <c r="Z2491">
        <v>-1.7667640000000001E-3</v>
      </c>
      <c r="AA2491">
        <v>0.99720200000000003</v>
      </c>
      <c r="AB2491">
        <v>33</v>
      </c>
      <c r="AC2491">
        <v>37.381799999999998</v>
      </c>
      <c r="AD2491">
        <v>-1.120487621998</v>
      </c>
      <c r="AE2491">
        <v>-2.2565000000000102</v>
      </c>
      <c r="AF2491">
        <v>2.8209755388262598</v>
      </c>
      <c r="AG2491">
        <v>-1.120487621998</v>
      </c>
      <c r="AH2491">
        <v>37.3098545046985</v>
      </c>
      <c r="AI2491">
        <v>91.715293802857502</v>
      </c>
      <c r="AJ2491">
        <v>85.676127775782902</v>
      </c>
      <c r="AK2491">
        <v>37.433122213668902</v>
      </c>
      <c r="AL2491">
        <v>79.886849044305393</v>
      </c>
      <c r="AM2491">
        <v>88.398707964529606</v>
      </c>
      <c r="AN2491">
        <v>1.0000000455528599</v>
      </c>
    </row>
    <row r="2492" spans="1:40" x14ac:dyDescent="0.25">
      <c r="A2492" t="str">
        <f>"20190303162555942"</f>
        <v>20190303162555942</v>
      </c>
      <c r="B2492" t="str">
        <f>"1551601555935570"</f>
        <v>1551601555935570</v>
      </c>
      <c r="C2492" t="s">
        <v>40</v>
      </c>
      <c r="D2492">
        <v>4.9087990000000001</v>
      </c>
      <c r="E2492">
        <v>0.51981239999999995</v>
      </c>
      <c r="F2492" t="s">
        <v>48</v>
      </c>
      <c r="G2492">
        <v>-378.68110000000001</v>
      </c>
      <c r="H2492" s="1">
        <v>3.0828349999999999E-6</v>
      </c>
      <c r="I2492">
        <v>211.8295</v>
      </c>
      <c r="J2492">
        <v>-414.10289999999998</v>
      </c>
      <c r="K2492">
        <v>1.120495</v>
      </c>
      <c r="L2492">
        <v>214.04150000000001</v>
      </c>
      <c r="M2492">
        <v>0.99984430000000002</v>
      </c>
      <c r="N2492">
        <v>-9.3545929999999996E-3</v>
      </c>
      <c r="O2492">
        <v>1.496046E-2</v>
      </c>
      <c r="P2492">
        <v>0.98619690000000004</v>
      </c>
      <c r="Q2492">
        <v>0.16505129999999901</v>
      </c>
      <c r="R2492">
        <v>-1.318862E-2</v>
      </c>
      <c r="S2492">
        <v>3.0563660000000001</v>
      </c>
      <c r="T2492">
        <v>-9.497738E-2</v>
      </c>
      <c r="U2492">
        <v>-0.1867065</v>
      </c>
      <c r="V2492">
        <v>2.799082E-2</v>
      </c>
      <c r="W2492">
        <v>0.17425889999999999</v>
      </c>
      <c r="X2492">
        <v>0.98430200000000001</v>
      </c>
      <c r="Y2492">
        <v>7.5849550000000002E-2</v>
      </c>
      <c r="Z2492">
        <v>-1.856971E-3</v>
      </c>
      <c r="AA2492">
        <v>0.99711749999999999</v>
      </c>
      <c r="AB2492">
        <v>33</v>
      </c>
      <c r="AC2492">
        <v>35.421799999999898</v>
      </c>
      <c r="AD2492">
        <v>-1.1204919171650001</v>
      </c>
      <c r="AE2492">
        <v>-2.21200000000001</v>
      </c>
      <c r="AF2492">
        <v>2.7389719804363502</v>
      </c>
      <c r="AG2492">
        <v>-1.1204919171650001</v>
      </c>
      <c r="AH2492">
        <v>35.349506881093603</v>
      </c>
      <c r="AI2492">
        <v>91.810104814464907</v>
      </c>
      <c r="AJ2492">
        <v>85.569425830471701</v>
      </c>
      <c r="AK2492">
        <v>35.473160366431003</v>
      </c>
      <c r="AL2492">
        <v>79.964466830194397</v>
      </c>
      <c r="AM2492">
        <v>88.371105865370495</v>
      </c>
      <c r="AN2492">
        <v>1.00000003871874</v>
      </c>
    </row>
    <row r="2493" spans="1:40" x14ac:dyDescent="0.25">
      <c r="A2493" t="str">
        <f>"20190303162555962"</f>
        <v>20190303162555962</v>
      </c>
      <c r="B2493" t="str">
        <f>"1551601555956082"</f>
        <v>1551601555956082</v>
      </c>
      <c r="C2493" t="s">
        <v>40</v>
      </c>
      <c r="D2493">
        <v>4.8833080000000004</v>
      </c>
      <c r="E2493">
        <v>0.51996309999999901</v>
      </c>
      <c r="F2493" t="s">
        <v>48</v>
      </c>
      <c r="G2493">
        <v>-378.61579999999998</v>
      </c>
      <c r="H2493" s="1">
        <v>3.0480869999999999E-6</v>
      </c>
      <c r="I2493">
        <v>211.83359999999999</v>
      </c>
      <c r="J2493">
        <v>-413.78769999999997</v>
      </c>
      <c r="K2493">
        <v>1.120493</v>
      </c>
      <c r="L2493">
        <v>214.0461</v>
      </c>
      <c r="M2493">
        <v>0.99984569999999995</v>
      </c>
      <c r="N2493">
        <v>-9.3909430000000006E-3</v>
      </c>
      <c r="O2493">
        <v>1.485384E-2</v>
      </c>
      <c r="P2493">
        <v>0.98618819999999996</v>
      </c>
      <c r="Q2493">
        <v>0.165073</v>
      </c>
      <c r="R2493">
        <v>-1.356357E-2</v>
      </c>
      <c r="S2493">
        <v>3.0555729999999999</v>
      </c>
      <c r="T2493">
        <v>-9.6478460000000002E-2</v>
      </c>
      <c r="U2493">
        <v>-0.19010930000000001</v>
      </c>
      <c r="V2493">
        <v>2.8260589999999999E-2</v>
      </c>
      <c r="W2493">
        <v>0.17431569999999999</v>
      </c>
      <c r="X2493">
        <v>0.98428419999999905</v>
      </c>
      <c r="Y2493">
        <v>7.6862929999999996E-2</v>
      </c>
      <c r="Z2493">
        <v>-1.902518E-3</v>
      </c>
      <c r="AA2493">
        <v>0.99703989999999998</v>
      </c>
      <c r="AB2493">
        <v>33</v>
      </c>
      <c r="AC2493">
        <v>35.171899999999901</v>
      </c>
      <c r="AD2493">
        <v>-1.120489951913</v>
      </c>
      <c r="AE2493">
        <v>-2.2124999999999999</v>
      </c>
      <c r="AF2493">
        <v>2.73195489485756</v>
      </c>
      <c r="AG2493">
        <v>-1.120489951913</v>
      </c>
      <c r="AH2493">
        <v>35.099671441173001</v>
      </c>
      <c r="AI2493">
        <v>91.822927632672503</v>
      </c>
      <c r="AJ2493">
        <v>85.549401769472198</v>
      </c>
      <c r="AK2493">
        <v>35.223656973093703</v>
      </c>
      <c r="AL2493">
        <v>79.961161507716795</v>
      </c>
      <c r="AM2493">
        <v>88.355385760675503</v>
      </c>
      <c r="AN2493">
        <v>1.00000000529163</v>
      </c>
    </row>
    <row r="2494" spans="1:40" x14ac:dyDescent="0.25">
      <c r="A2494" t="str">
        <f>"20190303162555986"</f>
        <v>20190303162555986</v>
      </c>
      <c r="B2494" t="str">
        <f>"1551601555975603"</f>
        <v>1551601555975603</v>
      </c>
      <c r="C2494" t="s">
        <v>40</v>
      </c>
      <c r="D2494">
        <v>4.878749</v>
      </c>
      <c r="E2494">
        <v>0.52002389999999998</v>
      </c>
      <c r="F2494" t="s">
        <v>48</v>
      </c>
      <c r="G2494">
        <v>-377.54219999999998</v>
      </c>
      <c r="H2494" s="1">
        <v>2.4768149999999999E-6</v>
      </c>
      <c r="I2494">
        <v>211.76050000000001</v>
      </c>
      <c r="J2494">
        <v>-413.44650000000001</v>
      </c>
      <c r="K2494">
        <v>1.1204909999999999</v>
      </c>
      <c r="L2494">
        <v>214.05109999999999</v>
      </c>
      <c r="M2494">
        <v>0.99984689999999998</v>
      </c>
      <c r="N2494">
        <v>-9.4350179999999999E-3</v>
      </c>
      <c r="O2494">
        <v>1.473936E-2</v>
      </c>
      <c r="P2494">
        <v>0.98624860000000003</v>
      </c>
      <c r="Q2494">
        <v>0.164745</v>
      </c>
      <c r="R2494">
        <v>-1.316755E-2</v>
      </c>
      <c r="S2494">
        <v>3.0552060000000001</v>
      </c>
      <c r="T2494">
        <v>-9.4448569999999996E-2</v>
      </c>
      <c r="U2494">
        <v>-0.19265750000000001</v>
      </c>
      <c r="V2494">
        <v>2.7752550000000001E-2</v>
      </c>
      <c r="W2494">
        <v>0.1740321</v>
      </c>
      <c r="X2494">
        <v>0.98434880000000002</v>
      </c>
      <c r="Y2494">
        <v>7.7586089999999996E-2</v>
      </c>
      <c r="Z2494">
        <v>-1.880507E-3</v>
      </c>
      <c r="AA2494">
        <v>0.99698390000000003</v>
      </c>
      <c r="AB2494">
        <v>33</v>
      </c>
      <c r="AC2494">
        <v>35.904299999999999</v>
      </c>
      <c r="AD2494">
        <v>-1.1204885231849999</v>
      </c>
      <c r="AE2494">
        <v>-2.29059999999998</v>
      </c>
      <c r="AF2494">
        <v>2.8168488287059001</v>
      </c>
      <c r="AG2494">
        <v>-1.1204885231849999</v>
      </c>
      <c r="AH2494">
        <v>35.831880066754202</v>
      </c>
      <c r="AI2494">
        <v>91.785590965877802</v>
      </c>
      <c r="AJ2494">
        <v>85.505055659092505</v>
      </c>
      <c r="AK2494">
        <v>35.959891003347401</v>
      </c>
      <c r="AL2494">
        <v>79.977662436737603</v>
      </c>
      <c r="AM2494">
        <v>88.385041088482694</v>
      </c>
      <c r="AN2494">
        <v>0.99999996796167501</v>
      </c>
    </row>
    <row r="2495" spans="1:40" x14ac:dyDescent="0.25">
      <c r="A2495" t="str">
        <f>"20190303162556009"</f>
        <v>20190303162556009</v>
      </c>
      <c r="B2495" t="str">
        <f>"1551601555996098"</f>
        <v>1551601555996098</v>
      </c>
      <c r="C2495" t="s">
        <v>40</v>
      </c>
      <c r="D2495">
        <v>4.8743449999999999</v>
      </c>
      <c r="E2495">
        <v>0.52012219999999998</v>
      </c>
      <c r="F2495" t="s">
        <v>48</v>
      </c>
      <c r="G2495">
        <v>-377.23630000000003</v>
      </c>
      <c r="H2495" s="1">
        <v>2.3139899999999999E-6</v>
      </c>
      <c r="I2495">
        <v>211.77789999999999</v>
      </c>
      <c r="J2495">
        <v>-413.10730000000001</v>
      </c>
      <c r="K2495">
        <v>1.120503</v>
      </c>
      <c r="L2495">
        <v>214.05600000000001</v>
      </c>
      <c r="M2495">
        <v>0.99984779999999995</v>
      </c>
      <c r="N2495">
        <v>-9.5036110000000004E-3</v>
      </c>
      <c r="O2495">
        <v>1.462841E-2</v>
      </c>
      <c r="P2495">
        <v>0.98626740000000002</v>
      </c>
      <c r="Q2495">
        <v>0.16465629999999901</v>
      </c>
      <c r="R2495">
        <v>-1.283606E-2</v>
      </c>
      <c r="S2495">
        <v>3.0550540000000002</v>
      </c>
      <c r="T2495">
        <v>-9.4535590000000003E-2</v>
      </c>
      <c r="U2495">
        <v>-0.19178770000000001</v>
      </c>
      <c r="V2495">
        <v>2.7311709999999999E-2</v>
      </c>
      <c r="W2495">
        <v>0.1740119</v>
      </c>
      <c r="X2495">
        <v>0.98436469999999998</v>
      </c>
      <c r="Y2495">
        <v>7.7195979999999997E-2</v>
      </c>
      <c r="Z2495">
        <v>-1.8735150000000001E-3</v>
      </c>
      <c r="AA2495">
        <v>0.99701419999999996</v>
      </c>
      <c r="AB2495">
        <v>33</v>
      </c>
      <c r="AC2495">
        <v>35.870999999999903</v>
      </c>
      <c r="AD2495">
        <v>-1.12050068601</v>
      </c>
      <c r="AE2495">
        <v>-2.27809999999999</v>
      </c>
      <c r="AF2495">
        <v>2.7998946158637801</v>
      </c>
      <c r="AG2495">
        <v>-1.12050068601</v>
      </c>
      <c r="AH2495">
        <v>35.799044441014601</v>
      </c>
      <c r="AI2495">
        <v>91.787302959055694</v>
      </c>
      <c r="AJ2495">
        <v>85.527918688594198</v>
      </c>
      <c r="AK2495">
        <v>35.925847443547298</v>
      </c>
      <c r="AL2495">
        <v>79.978837732129705</v>
      </c>
      <c r="AM2495">
        <v>88.410706567376295</v>
      </c>
      <c r="AN2495">
        <v>0.99999996672541103</v>
      </c>
    </row>
    <row r="2496" spans="1:40" x14ac:dyDescent="0.25">
      <c r="A2496" t="str">
        <f>"20190303162556033"</f>
        <v>20190303162556033</v>
      </c>
      <c r="B2496" t="str">
        <f>"1551601556025378"</f>
        <v>1551601556025378</v>
      </c>
      <c r="C2496" t="s">
        <v>40</v>
      </c>
      <c r="D2496">
        <v>4.8734630000000001</v>
      </c>
      <c r="E2496">
        <v>0.52031930000000004</v>
      </c>
      <c r="F2496" t="s">
        <v>48</v>
      </c>
      <c r="G2496">
        <v>-376.6377</v>
      </c>
      <c r="H2496" s="1">
        <v>1.995448E-6</v>
      </c>
      <c r="I2496">
        <v>211.7646</v>
      </c>
      <c r="J2496">
        <v>-412.75889999999998</v>
      </c>
      <c r="K2496">
        <v>1.1205290000000001</v>
      </c>
      <c r="L2496">
        <v>214.0609</v>
      </c>
      <c r="M2496">
        <v>0.99984850000000003</v>
      </c>
      <c r="N2496">
        <v>-9.6096959999999992E-3</v>
      </c>
      <c r="O2496">
        <v>1.452033E-2</v>
      </c>
      <c r="P2496">
        <v>0.98634630000000001</v>
      </c>
      <c r="Q2496">
        <v>0.16421640000000001</v>
      </c>
      <c r="R2496">
        <v>-1.242183E-2</v>
      </c>
      <c r="S2496">
        <v>3.0549620000000002</v>
      </c>
      <c r="T2496">
        <v>-9.3861340000000001E-2</v>
      </c>
      <c r="U2496">
        <v>-0.19194030000000001</v>
      </c>
      <c r="V2496">
        <v>2.6790620000000001E-2</v>
      </c>
      <c r="W2496">
        <v>0.1736771</v>
      </c>
      <c r="X2496">
        <v>0.98443820000000004</v>
      </c>
      <c r="Y2496">
        <v>7.7140329999999993E-2</v>
      </c>
      <c r="Z2496">
        <v>-1.860982E-3</v>
      </c>
      <c r="AA2496">
        <v>0.99701850000000003</v>
      </c>
      <c r="AB2496">
        <v>33</v>
      </c>
      <c r="AC2496">
        <v>36.121199999999902</v>
      </c>
      <c r="AD2496">
        <v>-1.1205270045519999</v>
      </c>
      <c r="AE2496">
        <v>-2.2963</v>
      </c>
      <c r="AF2496">
        <v>2.8178730116429298</v>
      </c>
      <c r="AG2496">
        <v>-1.1205270045519999</v>
      </c>
      <c r="AH2496">
        <v>36.049495404291598</v>
      </c>
      <c r="AI2496">
        <v>91.774941603720407</v>
      </c>
      <c r="AJ2496">
        <v>85.530461595022899</v>
      </c>
      <c r="AK2496">
        <v>36.176817272691501</v>
      </c>
      <c r="AL2496">
        <v>79.998317516373106</v>
      </c>
      <c r="AM2496">
        <v>88.441130501815707</v>
      </c>
      <c r="AN2496">
        <v>1.0000000210018101</v>
      </c>
    </row>
    <row r="2497" spans="1:40" x14ac:dyDescent="0.25">
      <c r="A2497" t="str">
        <f>"20190303162556076"</f>
        <v>20190303162556076</v>
      </c>
      <c r="B2497" t="str">
        <f>"1551601556065953"</f>
        <v>1551601556065953</v>
      </c>
      <c r="C2497" t="s">
        <v>40</v>
      </c>
      <c r="D2497">
        <v>4.8959640000000002</v>
      </c>
      <c r="E2497">
        <v>0.52053729999999998</v>
      </c>
      <c r="F2497" t="s">
        <v>48</v>
      </c>
      <c r="G2497">
        <v>-375.7937</v>
      </c>
      <c r="H2497" s="1">
        <v>1.546309E-6</v>
      </c>
      <c r="I2497">
        <v>211.7329</v>
      </c>
      <c r="J2497">
        <v>-412.12740000000002</v>
      </c>
      <c r="K2497">
        <v>1.120598</v>
      </c>
      <c r="L2497">
        <v>214.06989999999999</v>
      </c>
      <c r="M2497">
        <v>0.99984779999999995</v>
      </c>
      <c r="N2497">
        <v>-9.9024319999999992E-3</v>
      </c>
      <c r="O2497">
        <v>1.4362059999999999E-2</v>
      </c>
      <c r="P2497">
        <v>0.98625890000000005</v>
      </c>
      <c r="Q2497">
        <v>0.1647835</v>
      </c>
      <c r="R2497">
        <v>-1.1838660000000001E-2</v>
      </c>
      <c r="S2497">
        <v>3.0545040000000001</v>
      </c>
      <c r="T2497">
        <v>-9.259117E-2</v>
      </c>
      <c r="U2497">
        <v>-0.1923676</v>
      </c>
      <c r="V2497">
        <v>2.60431E-2</v>
      </c>
      <c r="W2497">
        <v>0.1745331</v>
      </c>
      <c r="X2497">
        <v>0.98430689999999998</v>
      </c>
      <c r="Y2497">
        <v>7.7131829999999998E-2</v>
      </c>
      <c r="Z2497">
        <v>-1.8428400000000001E-3</v>
      </c>
      <c r="AA2497">
        <v>0.99701919999999999</v>
      </c>
      <c r="AB2497">
        <v>33</v>
      </c>
      <c r="AC2497">
        <v>36.3337</v>
      </c>
      <c r="AD2497">
        <v>-1.120596453691</v>
      </c>
      <c r="AE2497">
        <v>-2.3369999999999802</v>
      </c>
      <c r="AF2497">
        <v>2.8559059264414399</v>
      </c>
      <c r="AG2497">
        <v>-1.120596453691</v>
      </c>
      <c r="AH2497">
        <v>36.262035482989297</v>
      </c>
      <c r="AI2497">
        <v>91.764572925773706</v>
      </c>
      <c r="AJ2497">
        <v>85.496825072210498</v>
      </c>
      <c r="AK2497">
        <v>36.391580790648298</v>
      </c>
      <c r="AL2497">
        <v>79.948512040449302</v>
      </c>
      <c r="AM2497">
        <v>88.484403929341894</v>
      </c>
      <c r="AN2497">
        <v>1.00000005972041</v>
      </c>
    </row>
    <row r="2498" spans="1:40" x14ac:dyDescent="0.25">
      <c r="A2498" t="str">
        <f>"20190303162556099"</f>
        <v>20190303162556099</v>
      </c>
      <c r="B2498" t="str">
        <f>"1551601556085473"</f>
        <v>1551601556085473</v>
      </c>
      <c r="C2498" t="s">
        <v>40</v>
      </c>
      <c r="D2498">
        <v>4.8652620000000004</v>
      </c>
      <c r="E2498">
        <v>0.52065760000000005</v>
      </c>
      <c r="F2498" t="s">
        <v>48</v>
      </c>
      <c r="G2498">
        <v>-373.56900000000002</v>
      </c>
      <c r="H2498" s="1">
        <v>3.6245799999999998E-7</v>
      </c>
      <c r="I2498">
        <v>211.64510000000001</v>
      </c>
      <c r="J2498">
        <v>-411.79239999999999</v>
      </c>
      <c r="K2498">
        <v>1.120638</v>
      </c>
      <c r="L2498">
        <v>214.0746</v>
      </c>
      <c r="M2498">
        <v>0.99984689999999998</v>
      </c>
      <c r="N2498">
        <v>-1.008682E-2</v>
      </c>
      <c r="O2498">
        <v>1.430437E-2</v>
      </c>
      <c r="P2498">
        <v>0.98622259999999995</v>
      </c>
      <c r="Q2498">
        <v>0.1649784</v>
      </c>
      <c r="R2498">
        <v>-1.213874E-2</v>
      </c>
      <c r="S2498">
        <v>3.0543520000000002</v>
      </c>
      <c r="T2498">
        <v>-8.8766570000000003E-2</v>
      </c>
      <c r="U2498">
        <v>-0.19207759999999999</v>
      </c>
      <c r="V2498">
        <v>2.6279629999999998E-2</v>
      </c>
      <c r="W2498">
        <v>0.17491010000000001</v>
      </c>
      <c r="X2498">
        <v>0.98423360000000004</v>
      </c>
      <c r="Y2498">
        <v>7.6986799999999994E-2</v>
      </c>
      <c r="Z2498">
        <v>-1.7772899999999999E-3</v>
      </c>
      <c r="AA2498">
        <v>0.99703059999999999</v>
      </c>
      <c r="AB2498">
        <v>33</v>
      </c>
      <c r="AC2498">
        <v>38.223399999999899</v>
      </c>
      <c r="AD2498">
        <v>-1.120637637542</v>
      </c>
      <c r="AE2498">
        <v>-2.4294999999999898</v>
      </c>
      <c r="AF2498">
        <v>2.97349524178057</v>
      </c>
      <c r="AG2498">
        <v>-1.120637637542</v>
      </c>
      <c r="AH2498">
        <v>38.1520729196655</v>
      </c>
      <c r="AI2498">
        <v>91.677376543729807</v>
      </c>
      <c r="AJ2498">
        <v>85.543491924377705</v>
      </c>
      <c r="AK2498">
        <v>38.284176505901698</v>
      </c>
      <c r="AL2498">
        <v>79.926573174268796</v>
      </c>
      <c r="AM2498">
        <v>88.470531568232204</v>
      </c>
      <c r="AN2498">
        <v>0.99999997070195301</v>
      </c>
    </row>
    <row r="2499" spans="1:40" x14ac:dyDescent="0.25">
      <c r="A2499" t="str">
        <f>"20190303162556120"</f>
        <v>20190303162556120</v>
      </c>
      <c r="B2499" t="str">
        <f>"1551601556105970"</f>
        <v>1551601556105970</v>
      </c>
      <c r="C2499" t="s">
        <v>40</v>
      </c>
      <c r="D2499">
        <v>4.8951739999999999</v>
      </c>
      <c r="E2499">
        <v>0.52074330000000002</v>
      </c>
      <c r="F2499" t="s">
        <v>48</v>
      </c>
      <c r="G2499">
        <v>-372.40019999999998</v>
      </c>
      <c r="H2499" s="1">
        <v>-2.5951599999999998E-7</v>
      </c>
      <c r="I2499">
        <v>211.58199999999999</v>
      </c>
      <c r="J2499">
        <v>-411.47190000000001</v>
      </c>
      <c r="K2499">
        <v>1.1206769999999999</v>
      </c>
      <c r="L2499">
        <v>214.07919999999999</v>
      </c>
      <c r="M2499">
        <v>0.9998456</v>
      </c>
      <c r="N2499">
        <v>-1.026266E-2</v>
      </c>
      <c r="O2499">
        <v>1.427002E-2</v>
      </c>
      <c r="P2499">
        <v>0.98621890000000001</v>
      </c>
      <c r="Q2499">
        <v>0.16494549999999999</v>
      </c>
      <c r="R2499">
        <v>-1.2858369999999999E-2</v>
      </c>
      <c r="S2499">
        <v>3.0540769999999999</v>
      </c>
      <c r="T2499">
        <v>-8.6883189999999999E-2</v>
      </c>
      <c r="U2499">
        <v>-0.1932526</v>
      </c>
      <c r="V2499">
        <v>2.6959E-2</v>
      </c>
      <c r="W2499">
        <v>0.1750505</v>
      </c>
      <c r="X2499">
        <v>0.98419029999999996</v>
      </c>
      <c r="Y2499">
        <v>7.7341649999999998E-2</v>
      </c>
      <c r="Z2499">
        <v>-1.75541E-3</v>
      </c>
      <c r="AA2499">
        <v>0.99700310000000003</v>
      </c>
      <c r="AB2499">
        <v>33</v>
      </c>
      <c r="AC2499">
        <v>39.0717</v>
      </c>
      <c r="AD2499">
        <v>-1.1206772595159999</v>
      </c>
      <c r="AE2499">
        <v>-2.4971999999999901</v>
      </c>
      <c r="AF2499">
        <v>3.0520282978215101</v>
      </c>
      <c r="AG2499">
        <v>-1.1206772595159999</v>
      </c>
      <c r="AH2499">
        <v>39.000129752017301</v>
      </c>
      <c r="AI2499">
        <v>91.640939583163401</v>
      </c>
      <c r="AJ2499">
        <v>85.525330944799506</v>
      </c>
      <c r="AK2499">
        <v>39.135417653640602</v>
      </c>
      <c r="AL2499">
        <v>79.918403152196703</v>
      </c>
      <c r="AM2499">
        <v>88.430942910964802</v>
      </c>
      <c r="AN2499">
        <v>1.0000000059226699</v>
      </c>
    </row>
    <row r="2500" spans="1:40" x14ac:dyDescent="0.25">
      <c r="A2500" t="str">
        <f>"20190303162556144"</f>
        <v>20190303162556144</v>
      </c>
      <c r="B2500" t="str">
        <f>"1551601556136226"</f>
        <v>1551601556136226</v>
      </c>
      <c r="C2500" t="s">
        <v>40</v>
      </c>
      <c r="D2500">
        <v>4.8865360000000004</v>
      </c>
      <c r="E2500">
        <v>0.51162510000000005</v>
      </c>
      <c r="F2500" t="s">
        <v>48</v>
      </c>
      <c r="G2500">
        <v>-371.61739999999998</v>
      </c>
      <c r="H2500" s="1">
        <v>-6.7610720000000004E-7</v>
      </c>
      <c r="I2500">
        <v>211.51779999999999</v>
      </c>
      <c r="J2500">
        <v>-411.12009999999998</v>
      </c>
      <c r="K2500">
        <v>1.1207149999999999</v>
      </c>
      <c r="L2500">
        <v>214.08420000000001</v>
      </c>
      <c r="M2500">
        <v>0.99984410000000001</v>
      </c>
      <c r="N2500">
        <v>-1.044632E-2</v>
      </c>
      <c r="O2500">
        <v>1.424951E-2</v>
      </c>
      <c r="P2500">
        <v>0.98618669999999997</v>
      </c>
      <c r="Q2500">
        <v>0.16509939999999901</v>
      </c>
      <c r="R2500">
        <v>-1.336153E-2</v>
      </c>
      <c r="S2500">
        <v>3.0537109999999998</v>
      </c>
      <c r="T2500">
        <v>-8.5867879999999994E-2</v>
      </c>
      <c r="U2500">
        <v>-0.1962585</v>
      </c>
      <c r="V2500">
        <v>2.7434690000000001E-2</v>
      </c>
      <c r="W2500">
        <v>0.17538609999999999</v>
      </c>
      <c r="X2500">
        <v>0.98411740000000003</v>
      </c>
      <c r="Y2500">
        <v>7.8306440000000005E-2</v>
      </c>
      <c r="Z2500">
        <v>-1.7607110000000001E-3</v>
      </c>
      <c r="AA2500">
        <v>0.99692780000000003</v>
      </c>
      <c r="AB2500">
        <v>33</v>
      </c>
      <c r="AC2500">
        <v>39.502699999999997</v>
      </c>
      <c r="AD2500">
        <v>-1.1207156761071999</v>
      </c>
      <c r="AE2500">
        <v>-2.56640000000001</v>
      </c>
      <c r="AF2500">
        <v>3.1265581658049002</v>
      </c>
      <c r="AG2500">
        <v>-1.1207156761071999</v>
      </c>
      <c r="AH2500">
        <v>39.430513056526003</v>
      </c>
      <c r="AI2500">
        <v>91.622962431833997</v>
      </c>
      <c r="AJ2500">
        <v>85.466339459191204</v>
      </c>
      <c r="AK2500">
        <v>39.570149475225598</v>
      </c>
      <c r="AL2500">
        <v>79.898872498643797</v>
      </c>
      <c r="AM2500">
        <v>88.403152978438399</v>
      </c>
      <c r="AN2500">
        <v>1.00000000163568</v>
      </c>
    </row>
    <row r="2501" spans="1:40" x14ac:dyDescent="0.25">
      <c r="A2501" t="str">
        <f>"20190303162556164"</f>
        <v>20190303162556164</v>
      </c>
      <c r="B2501" t="str">
        <f>"1551601556155747"</f>
        <v>1551601556155747</v>
      </c>
      <c r="C2501" t="s">
        <v>40</v>
      </c>
      <c r="D2501">
        <v>4.8953920000000002</v>
      </c>
      <c r="E2501">
        <v>0.51195999999999997</v>
      </c>
      <c r="F2501" t="s">
        <v>48</v>
      </c>
      <c r="G2501">
        <v>-352.78859999999997</v>
      </c>
      <c r="H2501" s="1">
        <v>7.5085399999999996E-8</v>
      </c>
      <c r="I2501">
        <v>211.6901</v>
      </c>
      <c r="J2501">
        <v>-410.80930000000001</v>
      </c>
      <c r="K2501">
        <v>1.120744</v>
      </c>
      <c r="L2501">
        <v>214.08860000000001</v>
      </c>
      <c r="M2501">
        <v>0.99984249999999997</v>
      </c>
      <c r="N2501">
        <v>-1.0597540000000001E-2</v>
      </c>
      <c r="O2501">
        <v>1.424162E-2</v>
      </c>
      <c r="P2501">
        <v>0.98615710000000001</v>
      </c>
      <c r="Q2501">
        <v>0.165234299999999</v>
      </c>
      <c r="R2501">
        <v>-1.38607E-2</v>
      </c>
      <c r="S2501">
        <v>3.0501100000000001</v>
      </c>
      <c r="T2501">
        <v>-5.8601380000000002E-2</v>
      </c>
      <c r="U2501">
        <v>-0.12518309999999999</v>
      </c>
      <c r="V2501">
        <v>2.7921080000000001E-2</v>
      </c>
      <c r="W2501">
        <v>0.1756702</v>
      </c>
      <c r="X2501">
        <v>0.98405310000000001</v>
      </c>
      <c r="Y2501">
        <v>5.521761E-2</v>
      </c>
      <c r="Z2501">
        <v>-9.4557270000000001E-4</v>
      </c>
      <c r="AA2501">
        <v>0.99847390000000003</v>
      </c>
      <c r="AB2501">
        <v>33</v>
      </c>
      <c r="AC2501">
        <v>58.020699999999998</v>
      </c>
      <c r="AD2501">
        <v>-1.1207439249146001</v>
      </c>
      <c r="AE2501">
        <v>-2.3985000000000101</v>
      </c>
      <c r="AF2501">
        <v>3.2234111625558199</v>
      </c>
      <c r="AG2501">
        <v>-1.1207439249146001</v>
      </c>
      <c r="AH2501">
        <v>57.959065901867298</v>
      </c>
      <c r="AI2501">
        <v>91.106071192151703</v>
      </c>
      <c r="AJ2501">
        <v>86.816756999546897</v>
      </c>
      <c r="AK2501">
        <v>58.059450278874699</v>
      </c>
      <c r="AL2501">
        <v>79.882338603814006</v>
      </c>
      <c r="AM2501">
        <v>88.374751372019304</v>
      </c>
      <c r="AN2501">
        <v>1.0000000547479999</v>
      </c>
    </row>
    <row r="2502" spans="1:40" x14ac:dyDescent="0.25">
      <c r="A2502" t="str">
        <f>"20190303162556186"</f>
        <v>20190303162556186</v>
      </c>
      <c r="B2502" t="str">
        <f>"1551601556176241"</f>
        <v>1551601556176241</v>
      </c>
      <c r="C2502" t="s">
        <v>40</v>
      </c>
      <c r="D2502">
        <v>4.8856279999999996</v>
      </c>
      <c r="E2502">
        <v>0.51200950000000001</v>
      </c>
      <c r="F2502" t="s">
        <v>48</v>
      </c>
      <c r="G2502">
        <v>-349.67880000000002</v>
      </c>
      <c r="H2502" s="1">
        <v>3.6137779999999998E-6</v>
      </c>
      <c r="I2502">
        <v>211.4854</v>
      </c>
      <c r="J2502">
        <v>-410.47660000000002</v>
      </c>
      <c r="K2502">
        <v>1.120771</v>
      </c>
      <c r="L2502">
        <v>214.0933</v>
      </c>
      <c r="M2502">
        <v>0.99984099999999998</v>
      </c>
      <c r="N2502">
        <v>-1.074548E-2</v>
      </c>
      <c r="O2502">
        <v>1.424038E-2</v>
      </c>
      <c r="P2502">
        <v>0.98613689999999998</v>
      </c>
      <c r="Q2502">
        <v>0.16534170000000001</v>
      </c>
      <c r="R2502">
        <v>-1.4024689999999999E-2</v>
      </c>
      <c r="S2502">
        <v>3.049652</v>
      </c>
      <c r="T2502">
        <v>-5.5911059999999999E-2</v>
      </c>
      <c r="U2502">
        <v>-0.1298676</v>
      </c>
      <c r="V2502">
        <v>2.8080210000000001E-2</v>
      </c>
      <c r="W2502">
        <v>0.1759232</v>
      </c>
      <c r="X2502">
        <v>0.98400330000000003</v>
      </c>
      <c r="Y2502">
        <v>5.6754289999999999E-2</v>
      </c>
      <c r="Z2502">
        <v>-9.3309770000000005E-4</v>
      </c>
      <c r="AA2502">
        <v>0.99838780000000005</v>
      </c>
      <c r="AB2502">
        <v>33</v>
      </c>
      <c r="AC2502">
        <v>60.797800000000002</v>
      </c>
      <c r="AD2502">
        <v>-1.120767386222</v>
      </c>
      <c r="AE2502">
        <v>-2.6078999999999999</v>
      </c>
      <c r="AF2502">
        <v>3.4722913687675301</v>
      </c>
      <c r="AG2502">
        <v>-1.120767386222</v>
      </c>
      <c r="AH2502">
        <v>60.7338938195536</v>
      </c>
      <c r="AI2502">
        <v>91.055478125978397</v>
      </c>
      <c r="AJ2502">
        <v>86.727835347385195</v>
      </c>
      <c r="AK2502">
        <v>60.843395577239498</v>
      </c>
      <c r="AL2502">
        <v>79.867612709818502</v>
      </c>
      <c r="AM2502">
        <v>88.365410961702494</v>
      </c>
      <c r="AN2502">
        <v>0.99999998245138699</v>
      </c>
    </row>
    <row r="2503" spans="1:40" x14ac:dyDescent="0.25">
      <c r="A2503" t="str">
        <f>"20190303162556233"</f>
        <v>20190303162556233</v>
      </c>
      <c r="B2503" t="str">
        <f>"1551601556226994"</f>
        <v>1551601556226994</v>
      </c>
      <c r="C2503" t="s">
        <v>40</v>
      </c>
      <c r="D2503">
        <v>4.914104</v>
      </c>
      <c r="E2503">
        <v>0.51258159999999997</v>
      </c>
      <c r="F2503" t="s">
        <v>48</v>
      </c>
      <c r="G2503">
        <v>-354.48270000000002</v>
      </c>
      <c r="H2503" s="1">
        <v>9.7664209999999993E-7</v>
      </c>
      <c r="I2503">
        <v>211.68879999999999</v>
      </c>
      <c r="J2503">
        <v>-409.80259999999998</v>
      </c>
      <c r="K2503">
        <v>1.1207940000000001</v>
      </c>
      <c r="L2503">
        <v>214.10290000000001</v>
      </c>
      <c r="M2503">
        <v>0.999838</v>
      </c>
      <c r="N2503">
        <v>-1.100081E-2</v>
      </c>
      <c r="O2503">
        <v>1.424778E-2</v>
      </c>
      <c r="P2503">
        <v>0.98622549999999998</v>
      </c>
      <c r="Q2503">
        <v>0.1648877</v>
      </c>
      <c r="R2503">
        <v>-1.308927E-2</v>
      </c>
      <c r="S2503">
        <v>3.0505070000000001</v>
      </c>
      <c r="T2503">
        <v>-6.1058759999999997E-2</v>
      </c>
      <c r="U2503">
        <v>-0.13099669999999999</v>
      </c>
      <c r="V2503">
        <v>2.7149920000000001E-2</v>
      </c>
      <c r="W2503">
        <v>0.1757223</v>
      </c>
      <c r="X2503">
        <v>0.98406539999999998</v>
      </c>
      <c r="Y2503">
        <v>5.7115949999999999E-2</v>
      </c>
      <c r="Z2503">
        <v>-1.014041E-3</v>
      </c>
      <c r="AA2503">
        <v>0.998367</v>
      </c>
      <c r="AB2503">
        <v>33</v>
      </c>
      <c r="AC2503">
        <v>55.319899999999897</v>
      </c>
      <c r="AD2503">
        <v>-1.1207930233579</v>
      </c>
      <c r="AE2503">
        <v>-2.4141000000000101</v>
      </c>
      <c r="AF2503">
        <v>3.2007770262560098</v>
      </c>
      <c r="AG2503">
        <v>-1.1207930233579</v>
      </c>
      <c r="AH2503">
        <v>55.257247763122898</v>
      </c>
      <c r="AI2503">
        <v>91.160037630604407</v>
      </c>
      <c r="AJ2503">
        <v>86.684845463130998</v>
      </c>
      <c r="AK2503">
        <v>55.361219106231502</v>
      </c>
      <c r="AL2503">
        <v>79.879306564629303</v>
      </c>
      <c r="AM2503">
        <v>88.419636217714796</v>
      </c>
      <c r="AN2503">
        <v>1.0000000781752201</v>
      </c>
    </row>
    <row r="2504" spans="1:40" x14ac:dyDescent="0.25">
      <c r="A2504" t="str">
        <f>"20190303162556254"</f>
        <v>20190303162556254</v>
      </c>
      <c r="B2504" t="str">
        <f>"1551601556245902"</f>
        <v>1551601556245902</v>
      </c>
      <c r="C2504" t="s">
        <v>40</v>
      </c>
      <c r="D2504">
        <v>4.9156610000000001</v>
      </c>
      <c r="E2504">
        <v>0.51275119999999996</v>
      </c>
      <c r="F2504" t="s">
        <v>48</v>
      </c>
      <c r="G2504">
        <v>-357.25020000000001</v>
      </c>
      <c r="H2504" s="1">
        <v>2.444491E-6</v>
      </c>
      <c r="I2504">
        <v>211.8</v>
      </c>
      <c r="J2504">
        <v>-409.48009999999999</v>
      </c>
      <c r="K2504">
        <v>1.1208009999999999</v>
      </c>
      <c r="L2504">
        <v>214.10749999999999</v>
      </c>
      <c r="M2504">
        <v>0.99983690000000003</v>
      </c>
      <c r="N2504">
        <v>-1.1103109999999999E-2</v>
      </c>
      <c r="O2504">
        <v>1.425158E-2</v>
      </c>
      <c r="P2504">
        <v>0.9863151</v>
      </c>
      <c r="Q2504">
        <v>0.16439879999999901</v>
      </c>
      <c r="R2504">
        <v>-1.2486010000000001E-2</v>
      </c>
      <c r="S2504">
        <v>3.0509949999999999</v>
      </c>
      <c r="T2504">
        <v>-6.5068959999999995E-2</v>
      </c>
      <c r="U2504">
        <v>-0.1336975</v>
      </c>
      <c r="V2504">
        <v>2.6550770000000001E-2</v>
      </c>
      <c r="W2504">
        <v>0.17533550000000001</v>
      </c>
      <c r="X2504">
        <v>0.98415059999999999</v>
      </c>
      <c r="Y2504">
        <v>5.799253E-2</v>
      </c>
      <c r="Z2504">
        <v>-1.0858409999999999E-3</v>
      </c>
      <c r="AA2504">
        <v>0.99831639999999999</v>
      </c>
      <c r="AB2504">
        <v>33</v>
      </c>
      <c r="AC2504">
        <v>52.229900000000001</v>
      </c>
      <c r="AD2504">
        <v>-1.1207985555090001</v>
      </c>
      <c r="AE2504">
        <v>-2.3074999999999699</v>
      </c>
      <c r="AF2504">
        <v>3.0502681584379898</v>
      </c>
      <c r="AG2504">
        <v>-1.1207985555090001</v>
      </c>
      <c r="AH2504">
        <v>52.1677316600057</v>
      </c>
      <c r="AI2504">
        <v>91.228684974173703</v>
      </c>
      <c r="AJ2504">
        <v>86.653702786501896</v>
      </c>
      <c r="AK2504">
        <v>52.268848770474897</v>
      </c>
      <c r="AL2504">
        <v>79.901816690642704</v>
      </c>
      <c r="AM2504">
        <v>88.454628636947305</v>
      </c>
      <c r="AN2504">
        <v>0.99999994221409905</v>
      </c>
    </row>
    <row r="2505" spans="1:40" x14ac:dyDescent="0.25">
      <c r="A2505" t="str">
        <f>"20190303162556278"</f>
        <v>20190303162556278</v>
      </c>
      <c r="B2505" t="str">
        <f>"1551601556265422"</f>
        <v>1551601556265422</v>
      </c>
      <c r="C2505" t="s">
        <v>40</v>
      </c>
      <c r="D2505">
        <v>4.9236630000000003</v>
      </c>
      <c r="E2505">
        <v>0.51279809999999904</v>
      </c>
      <c r="F2505" t="s">
        <v>48</v>
      </c>
      <c r="G2505">
        <v>-357.55369999999999</v>
      </c>
      <c r="H2505" s="1">
        <v>2.6044489999999999E-6</v>
      </c>
      <c r="I2505">
        <v>211.83590000000001</v>
      </c>
      <c r="J2505">
        <v>-409.13589999999999</v>
      </c>
      <c r="K2505">
        <v>1.1208089999999999</v>
      </c>
      <c r="L2505">
        <v>214.11250000000001</v>
      </c>
      <c r="M2505">
        <v>0.99983569999999999</v>
      </c>
      <c r="N2505">
        <v>-1.119961E-2</v>
      </c>
      <c r="O2505">
        <v>1.425445E-2</v>
      </c>
      <c r="P2505">
        <v>0.98632200000000003</v>
      </c>
      <c r="Q2505">
        <v>0.1643936</v>
      </c>
      <c r="R2505">
        <v>-1.1981199999999999E-2</v>
      </c>
      <c r="S2505">
        <v>3.0508730000000002</v>
      </c>
      <c r="T2505">
        <v>-6.5851090000000001E-2</v>
      </c>
      <c r="U2505">
        <v>-0.13346859999999999</v>
      </c>
      <c r="V2505">
        <v>2.6048310000000002E-2</v>
      </c>
      <c r="W2505">
        <v>0.17542559999999999</v>
      </c>
      <c r="X2505">
        <v>0.98414800000000002</v>
      </c>
      <c r="Y2505">
        <v>5.792195E-2</v>
      </c>
      <c r="Z2505">
        <v>-1.0972569999999999E-3</v>
      </c>
      <c r="AA2505">
        <v>0.99832050000000006</v>
      </c>
      <c r="AB2505">
        <v>33</v>
      </c>
      <c r="AC2505">
        <v>51.5822</v>
      </c>
      <c r="AD2505">
        <v>-1.1208063955509999</v>
      </c>
      <c r="AE2505">
        <v>-2.2766000000000002</v>
      </c>
      <c r="AF2505">
        <v>3.01027218340491</v>
      </c>
      <c r="AG2505">
        <v>-1.1208063955509999</v>
      </c>
      <c r="AH2505">
        <v>51.5202279355738</v>
      </c>
      <c r="AI2505">
        <v>91.244133907812895</v>
      </c>
      <c r="AJ2505">
        <v>86.656070341623504</v>
      </c>
      <c r="AK2505">
        <v>51.620265711520403</v>
      </c>
      <c r="AL2505">
        <v>79.896573359515003</v>
      </c>
      <c r="AM2505">
        <v>88.483856229258905</v>
      </c>
      <c r="AN2505">
        <v>0.99999997074660696</v>
      </c>
    </row>
    <row r="2506" spans="1:40" x14ac:dyDescent="0.25">
      <c r="A2506" t="str">
        <f>"20190303162556300"</f>
        <v>20190303162556300</v>
      </c>
      <c r="B2506" t="str">
        <f>"1551601556295678"</f>
        <v>1551601556295678</v>
      </c>
      <c r="C2506" t="s">
        <v>40</v>
      </c>
      <c r="D2506">
        <v>4.9606769999999996</v>
      </c>
      <c r="E2506">
        <v>0.51317159999999995</v>
      </c>
      <c r="F2506" t="s">
        <v>48</v>
      </c>
      <c r="G2506">
        <v>-359.69369999999998</v>
      </c>
      <c r="H2506" s="1">
        <v>3.736986E-6</v>
      </c>
      <c r="I2506">
        <v>211.97890000000001</v>
      </c>
      <c r="J2506">
        <v>-408.803</v>
      </c>
      <c r="K2506">
        <v>1.1208089999999999</v>
      </c>
      <c r="L2506">
        <v>214.1172</v>
      </c>
      <c r="M2506">
        <v>0.99983480000000002</v>
      </c>
      <c r="N2506">
        <v>-1.128039E-2</v>
      </c>
      <c r="O2506">
        <v>1.4255500000000001E-2</v>
      </c>
      <c r="P2506">
        <v>0.98645170000000004</v>
      </c>
      <c r="Q2506">
        <v>0.163633</v>
      </c>
      <c r="R2506">
        <v>-1.1724729999999999E-2</v>
      </c>
      <c r="S2506">
        <v>3.0515439999999998</v>
      </c>
      <c r="T2506">
        <v>-6.9175360000000005E-2</v>
      </c>
      <c r="U2506">
        <v>-0.131683299999999</v>
      </c>
      <c r="V2506">
        <v>2.5794299999999999E-2</v>
      </c>
      <c r="W2506">
        <v>0.17474579999999901</v>
      </c>
      <c r="X2506">
        <v>0.98427560000000003</v>
      </c>
      <c r="Y2506">
        <v>5.7328709999999998E-2</v>
      </c>
      <c r="Z2506">
        <v>-1.1352370000000001E-3</v>
      </c>
      <c r="AA2506">
        <v>0.99835469999999904</v>
      </c>
      <c r="AB2506">
        <v>33</v>
      </c>
      <c r="AC2506">
        <v>49.109299999999998</v>
      </c>
      <c r="AD2506">
        <v>-1.120805263014</v>
      </c>
      <c r="AE2506">
        <v>-2.1382999999999801</v>
      </c>
      <c r="AF2506">
        <v>2.8367300450134301</v>
      </c>
      <c r="AG2506">
        <v>-1.120805263014</v>
      </c>
      <c r="AH2506">
        <v>49.048324997477302</v>
      </c>
      <c r="AI2506">
        <v>91.3068572727652</v>
      </c>
      <c r="AJ2506">
        <v>86.689962365502794</v>
      </c>
      <c r="AK2506">
        <v>49.1430709952486</v>
      </c>
      <c r="AL2506">
        <v>79.936133894954693</v>
      </c>
      <c r="AM2506">
        <v>88.4988286452746</v>
      </c>
      <c r="AN2506">
        <v>0.999999948642743</v>
      </c>
    </row>
    <row r="2507" spans="1:40" x14ac:dyDescent="0.25">
      <c r="A2507" t="str">
        <f>"20190303162556320"</f>
        <v>20190303162556320</v>
      </c>
      <c r="B2507" t="str">
        <f>"1551601556305438"</f>
        <v>1551601556305438</v>
      </c>
      <c r="C2507" t="s">
        <v>40</v>
      </c>
      <c r="D2507">
        <v>4.9443239999999999</v>
      </c>
      <c r="E2507">
        <v>0.51319629999999905</v>
      </c>
      <c r="F2507" t="s">
        <v>48</v>
      </c>
      <c r="G2507">
        <v>-362.9975</v>
      </c>
      <c r="H2507" s="1">
        <v>5.835028E-8</v>
      </c>
      <c r="I2507">
        <v>212.10579999999999</v>
      </c>
      <c r="J2507">
        <v>-408.50439999999998</v>
      </c>
      <c r="K2507">
        <v>1.120798</v>
      </c>
      <c r="L2507">
        <v>214.1215</v>
      </c>
      <c r="M2507">
        <v>0.99983409999999995</v>
      </c>
      <c r="N2507">
        <v>-1.13443E-2</v>
      </c>
      <c r="O2507">
        <v>1.425615E-2</v>
      </c>
      <c r="P2507">
        <v>0.98662260000000002</v>
      </c>
      <c r="Q2507">
        <v>0.16260929999999901</v>
      </c>
      <c r="R2507">
        <v>-1.1596489999999999E-2</v>
      </c>
      <c r="S2507">
        <v>3.0520320000000001</v>
      </c>
      <c r="T2507">
        <v>-7.4679850000000006E-2</v>
      </c>
      <c r="U2507">
        <v>-0.1340179</v>
      </c>
      <c r="V2507">
        <v>2.566879E-2</v>
      </c>
      <c r="W2507">
        <v>0.17378750000000001</v>
      </c>
      <c r="X2507">
        <v>0.98444860000000001</v>
      </c>
      <c r="Y2507">
        <v>5.8081029999999999E-2</v>
      </c>
      <c r="Z2507">
        <v>-1.226825E-3</v>
      </c>
      <c r="AA2507">
        <v>0.99831110000000001</v>
      </c>
      <c r="AB2507">
        <v>33</v>
      </c>
      <c r="AC2507">
        <v>45.506899999999902</v>
      </c>
      <c r="AD2507">
        <v>-1.12079794164972</v>
      </c>
      <c r="AE2507">
        <v>-2.0156999999999998</v>
      </c>
      <c r="AF2507">
        <v>2.6626780107928401</v>
      </c>
      <c r="AG2507">
        <v>-1.12079794164972</v>
      </c>
      <c r="AH2507">
        <v>45.446023407348697</v>
      </c>
      <c r="AI2507">
        <v>91.410334736806306</v>
      </c>
      <c r="AJ2507">
        <v>86.646879284511499</v>
      </c>
      <c r="AK2507">
        <v>45.5377545093788</v>
      </c>
      <c r="AL2507">
        <v>79.991894314450803</v>
      </c>
      <c r="AM2507">
        <v>88.506392135612998</v>
      </c>
      <c r="AN2507">
        <v>1.0000000139891301</v>
      </c>
    </row>
    <row r="2508" spans="1:40" x14ac:dyDescent="0.25">
      <c r="A2508" t="str">
        <f>"20190303162556343"</f>
        <v>20190303162556343</v>
      </c>
      <c r="B2508" t="str">
        <f>"1551601556335694"</f>
        <v>1551601556335694</v>
      </c>
      <c r="C2508" t="s">
        <v>40</v>
      </c>
      <c r="D2508">
        <v>4.954853</v>
      </c>
      <c r="E2508">
        <v>0.51342650000000001</v>
      </c>
      <c r="F2508" t="s">
        <v>48</v>
      </c>
      <c r="G2508">
        <v>-364.17590000000001</v>
      </c>
      <c r="H2508" s="1">
        <v>6.8541039999999996E-7</v>
      </c>
      <c r="I2508">
        <v>212.17019999999999</v>
      </c>
      <c r="J2508">
        <v>-408.15710000000001</v>
      </c>
      <c r="K2508">
        <v>1.120797</v>
      </c>
      <c r="L2508">
        <v>214.12639999999999</v>
      </c>
      <c r="M2508">
        <v>0.99983330000000004</v>
      </c>
      <c r="N2508">
        <v>-1.1409229999999999E-2</v>
      </c>
      <c r="O2508">
        <v>1.425626E-2</v>
      </c>
      <c r="P2508">
        <v>0.98659839999999999</v>
      </c>
      <c r="Q2508">
        <v>0.16270609999999999</v>
      </c>
      <c r="R2508">
        <v>-1.22644E-2</v>
      </c>
      <c r="S2508">
        <v>3.0518190000000001</v>
      </c>
      <c r="T2508">
        <v>-7.7161789999999994E-2</v>
      </c>
      <c r="U2508">
        <v>-0.1343384</v>
      </c>
      <c r="V2508">
        <v>2.633632E-2</v>
      </c>
      <c r="W2508">
        <v>0.17394760000000001</v>
      </c>
      <c r="X2508">
        <v>0.98440269999999996</v>
      </c>
      <c r="Y2508">
        <v>5.8187139999999998E-2</v>
      </c>
      <c r="Z2508">
        <v>-1.2649919999999999E-3</v>
      </c>
      <c r="AA2508">
        <v>0.99830490000000005</v>
      </c>
      <c r="AB2508">
        <v>33</v>
      </c>
      <c r="AC2508">
        <v>43.981200000000001</v>
      </c>
      <c r="AD2508">
        <v>-1.1207963145896001</v>
      </c>
      <c r="AE2508">
        <v>-1.9561999999999899</v>
      </c>
      <c r="AF2508">
        <v>2.5813763341636702</v>
      </c>
      <c r="AG2508">
        <v>-1.1207963145896001</v>
      </c>
      <c r="AH2508">
        <v>43.920373857019598</v>
      </c>
      <c r="AI2508">
        <v>91.459286482797594</v>
      </c>
      <c r="AJ2508">
        <v>86.636367019995404</v>
      </c>
      <c r="AK2508">
        <v>44.010441123644199</v>
      </c>
      <c r="AL2508">
        <v>79.982579471476598</v>
      </c>
      <c r="AM2508">
        <v>88.467496967394695</v>
      </c>
      <c r="AN2508">
        <v>1.00000002253209</v>
      </c>
    </row>
    <row r="2509" spans="1:40" x14ac:dyDescent="0.25">
      <c r="A2509" t="str">
        <f>"20190303162556369"</f>
        <v>20190303162556369</v>
      </c>
      <c r="B2509" t="str">
        <f>"1551601556355214"</f>
        <v>1551601556355214</v>
      </c>
      <c r="C2509" t="s">
        <v>40</v>
      </c>
      <c r="D2509">
        <v>4.9477830000000003</v>
      </c>
      <c r="E2509">
        <v>0.51354160000000004</v>
      </c>
      <c r="F2509" t="s">
        <v>48</v>
      </c>
      <c r="G2509">
        <v>-365.1386</v>
      </c>
      <c r="H2509" s="1">
        <v>1.197716E-6</v>
      </c>
      <c r="I2509">
        <v>212.18260000000001</v>
      </c>
      <c r="J2509">
        <v>-407.78199999999998</v>
      </c>
      <c r="K2509">
        <v>1.120806</v>
      </c>
      <c r="L2509">
        <v>214.1317</v>
      </c>
      <c r="M2509">
        <v>0.99983259999999996</v>
      </c>
      <c r="N2509">
        <v>-1.1469689999999999E-2</v>
      </c>
      <c r="O2509">
        <v>1.425645E-2</v>
      </c>
      <c r="P2509">
        <v>0.9868072</v>
      </c>
      <c r="Q2509">
        <v>0.16137290000000001</v>
      </c>
      <c r="R2509">
        <v>-1.30566E-2</v>
      </c>
      <c r="S2509">
        <v>3.0521240000000001</v>
      </c>
      <c r="T2509">
        <v>-7.9519510000000002E-2</v>
      </c>
      <c r="U2509">
        <v>-0.1379089</v>
      </c>
      <c r="V2509">
        <v>2.713134E-2</v>
      </c>
      <c r="W2509">
        <v>0.1726763</v>
      </c>
      <c r="X2509">
        <v>0.98460490000000001</v>
      </c>
      <c r="Y2509">
        <v>5.9346299999999998E-2</v>
      </c>
      <c r="Z2509">
        <v>-1.3209719999999999E-3</v>
      </c>
      <c r="AA2509">
        <v>0.99823660000000003</v>
      </c>
      <c r="AB2509">
        <v>33</v>
      </c>
      <c r="AC2509">
        <v>42.6433999999999</v>
      </c>
      <c r="AD2509">
        <v>-1.120804802284</v>
      </c>
      <c r="AE2509">
        <v>-1.9490999999999801</v>
      </c>
      <c r="AF2509">
        <v>2.5551239580512899</v>
      </c>
      <c r="AG2509">
        <v>-1.120804802284</v>
      </c>
      <c r="AH2509">
        <v>42.581922040766003</v>
      </c>
      <c r="AI2509">
        <v>91.505036379391896</v>
      </c>
      <c r="AJ2509">
        <v>86.566089916584104</v>
      </c>
      <c r="AK2509">
        <v>42.673234544989697</v>
      </c>
      <c r="AL2509">
        <v>80.056538718917196</v>
      </c>
      <c r="AM2509">
        <v>88.421582096268196</v>
      </c>
      <c r="AN2509">
        <v>1.0000000116479399</v>
      </c>
    </row>
    <row r="2510" spans="1:40" x14ac:dyDescent="0.25">
      <c r="A2510" t="str">
        <f>"20190303162556389"</f>
        <v>20190303162556389</v>
      </c>
      <c r="B2510" t="str">
        <f>"1551601556375710"</f>
        <v>1551601556375710</v>
      </c>
      <c r="C2510" t="s">
        <v>40</v>
      </c>
      <c r="D2510">
        <v>5.0566690000000003</v>
      </c>
      <c r="E2510">
        <v>0.51358249999999905</v>
      </c>
      <c r="F2510" t="s">
        <v>48</v>
      </c>
      <c r="G2510">
        <v>-366.7208</v>
      </c>
      <c r="H2510" s="1">
        <v>2.0396739999999998E-6</v>
      </c>
      <c r="I2510">
        <v>212.2448</v>
      </c>
      <c r="J2510">
        <v>-407.48590000000002</v>
      </c>
      <c r="K2510">
        <v>1.1208</v>
      </c>
      <c r="L2510">
        <v>214.136</v>
      </c>
      <c r="M2510">
        <v>0.99983219999999995</v>
      </c>
      <c r="N2510">
        <v>-1.1511250000000001E-2</v>
      </c>
      <c r="O2510">
        <v>1.4256680000000001E-2</v>
      </c>
      <c r="P2510">
        <v>0.98700310000000002</v>
      </c>
      <c r="Q2510">
        <v>0.16006500000000001</v>
      </c>
      <c r="R2510">
        <v>-1.428863E-2</v>
      </c>
      <c r="S2510">
        <v>3.0518800000000001</v>
      </c>
      <c r="T2510">
        <v>-8.3303810000000006E-2</v>
      </c>
      <c r="U2510">
        <v>-0.14024349999999999</v>
      </c>
      <c r="V2510">
        <v>2.8366410000000002E-2</v>
      </c>
      <c r="W2510">
        <v>0.1714118</v>
      </c>
      <c r="X2510">
        <v>0.98479099999999997</v>
      </c>
      <c r="Y2510">
        <v>6.0109089999999997E-2</v>
      </c>
      <c r="Z2510">
        <v>-1.390921E-3</v>
      </c>
      <c r="AA2510">
        <v>0.99819080000000004</v>
      </c>
      <c r="AB2510">
        <v>33</v>
      </c>
      <c r="AC2510">
        <v>40.765099999999997</v>
      </c>
      <c r="AD2510">
        <v>-1.1207979603260001</v>
      </c>
      <c r="AE2510">
        <v>-1.89119999999999</v>
      </c>
      <c r="AF2510">
        <v>2.4703578186279498</v>
      </c>
      <c r="AG2510">
        <v>-1.1207979603260001</v>
      </c>
      <c r="AH2510">
        <v>40.703289932544003</v>
      </c>
      <c r="AI2510">
        <v>91.574391489389797</v>
      </c>
      <c r="AJ2510">
        <v>86.526873593029293</v>
      </c>
      <c r="AK2510">
        <v>40.793586103119999</v>
      </c>
      <c r="AL2510">
        <v>80.130085624162206</v>
      </c>
      <c r="AM2510">
        <v>88.350080067727106</v>
      </c>
      <c r="AN2510">
        <v>0.99999998603826301</v>
      </c>
    </row>
    <row r="2511" spans="1:40" x14ac:dyDescent="0.25">
      <c r="A2511" t="str">
        <f>"20190303162556410"</f>
        <v>20190303162556410</v>
      </c>
      <c r="B2511" t="str">
        <f>"1551601556405966"</f>
        <v>1551601556405966</v>
      </c>
      <c r="C2511" t="s">
        <v>40</v>
      </c>
      <c r="D2511">
        <v>5.0477299999999996</v>
      </c>
      <c r="E2511">
        <v>0.52119289999999996</v>
      </c>
      <c r="F2511" t="s">
        <v>48</v>
      </c>
      <c r="G2511">
        <v>-368.44670000000002</v>
      </c>
      <c r="H2511" s="1">
        <v>2.9580939999999999E-6</v>
      </c>
      <c r="I2511">
        <v>212.29089999999999</v>
      </c>
      <c r="J2511">
        <v>-407.1583</v>
      </c>
      <c r="K2511">
        <v>1.120797</v>
      </c>
      <c r="L2511">
        <v>214.14060000000001</v>
      </c>
      <c r="M2511">
        <v>0.99983160000000004</v>
      </c>
      <c r="N2511">
        <v>-1.1551570000000001E-2</v>
      </c>
      <c r="O2511">
        <v>1.4256919999999999E-2</v>
      </c>
      <c r="P2511">
        <v>0.98714270000000004</v>
      </c>
      <c r="Q2511">
        <v>0.15905749999999999</v>
      </c>
      <c r="R2511">
        <v>-1.581635E-2</v>
      </c>
      <c r="S2511">
        <v>3.0516049999999999</v>
      </c>
      <c r="T2511">
        <v>-8.7610129999999994E-2</v>
      </c>
      <c r="U2511">
        <v>-0.1442261</v>
      </c>
      <c r="V2511">
        <v>2.9895939999999999E-2</v>
      </c>
      <c r="W2511">
        <v>0.17044489999999901</v>
      </c>
      <c r="X2511">
        <v>0.98491359999999994</v>
      </c>
      <c r="Y2511">
        <v>6.1409320000000003E-2</v>
      </c>
      <c r="Z2511">
        <v>-1.48029E-3</v>
      </c>
      <c r="AA2511">
        <v>0.99811150000000004</v>
      </c>
      <c r="AB2511">
        <v>33</v>
      </c>
      <c r="AC2511">
        <v>38.711599999999898</v>
      </c>
      <c r="AD2511">
        <v>-1.1207940419059901</v>
      </c>
      <c r="AE2511">
        <v>-1.8497000000000099</v>
      </c>
      <c r="AF2511">
        <v>2.3994502733501801</v>
      </c>
      <c r="AG2511">
        <v>-1.1207940419059901</v>
      </c>
      <c r="AH2511">
        <v>38.648968844030897</v>
      </c>
      <c r="AI2511">
        <v>91.657883306085395</v>
      </c>
      <c r="AJ2511">
        <v>86.447456251618405</v>
      </c>
      <c r="AK2511">
        <v>38.739596456410297</v>
      </c>
      <c r="AL2511">
        <v>80.186312669970903</v>
      </c>
      <c r="AM2511">
        <v>88.261385151582601</v>
      </c>
      <c r="AN2511">
        <v>1.0000000153147199</v>
      </c>
    </row>
    <row r="2512" spans="1:40" x14ac:dyDescent="0.25">
      <c r="A2512" t="str">
        <f>"20190303162556434"</f>
        <v>20190303162556434</v>
      </c>
      <c r="B2512" t="str">
        <f>"1551601556425486"</f>
        <v>1551601556425486</v>
      </c>
      <c r="C2512" t="s">
        <v>40</v>
      </c>
      <c r="D2512">
        <v>5.0142670000000003</v>
      </c>
      <c r="E2512">
        <v>0.52509439999999996</v>
      </c>
      <c r="F2512" t="s">
        <v>42</v>
      </c>
      <c r="G2512">
        <v>-406.34019999999998</v>
      </c>
      <c r="H2512">
        <v>1.0102629999999999</v>
      </c>
      <c r="I2512">
        <v>214.08580000000001</v>
      </c>
      <c r="J2512">
        <v>-406.82119999999998</v>
      </c>
      <c r="K2512">
        <v>1.1208009999999999</v>
      </c>
      <c r="L2512">
        <v>214.1454</v>
      </c>
      <c r="M2512">
        <v>0.99983129999999998</v>
      </c>
      <c r="N2512">
        <v>-1.158758E-2</v>
      </c>
      <c r="O2512">
        <v>1.4257250000000001E-2</v>
      </c>
      <c r="P2512">
        <v>0.98724100000000004</v>
      </c>
      <c r="Q2512">
        <v>0.15831919999999999</v>
      </c>
      <c r="R2512">
        <v>-1.7047299999999901E-2</v>
      </c>
      <c r="S2512">
        <v>3.1033330000000001</v>
      </c>
      <c r="T2512">
        <v>-0.41946240000000001</v>
      </c>
      <c r="U2512">
        <v>-0.20600889999999999</v>
      </c>
      <c r="V2512">
        <v>3.112846E-2</v>
      </c>
      <c r="W2512">
        <v>0.16974339999999999</v>
      </c>
      <c r="X2512">
        <v>0.9849966</v>
      </c>
      <c r="Y2512">
        <v>7.9566490000000004E-2</v>
      </c>
      <c r="Z2512">
        <v>-7.5630589999999996E-3</v>
      </c>
      <c r="AA2512">
        <v>0.99680080000000004</v>
      </c>
      <c r="AB2512">
        <v>33</v>
      </c>
      <c r="AC2512">
        <v>0.48099999999999399</v>
      </c>
      <c r="AD2512">
        <v>-0.110538</v>
      </c>
      <c r="AE2512">
        <v>-5.9599999999989002E-2</v>
      </c>
      <c r="AF2512">
        <v>6.3166623091717597E-2</v>
      </c>
      <c r="AG2512">
        <v>-0.110538</v>
      </c>
      <c r="AH2512">
        <v>0.45636422697189899</v>
      </c>
      <c r="AI2512">
        <v>103.491781632718</v>
      </c>
      <c r="AJ2512">
        <v>82.119604053096097</v>
      </c>
      <c r="AK2512">
        <v>0.47379001612156202</v>
      </c>
      <c r="AL2512">
        <v>80.227100386740702</v>
      </c>
      <c r="AM2512">
        <v>88.189906457904996</v>
      </c>
      <c r="AN2512">
        <v>1.00000005243854</v>
      </c>
    </row>
    <row r="2513" spans="1:40" x14ac:dyDescent="0.25">
      <c r="A2513" t="str">
        <f>"20190303162556458"</f>
        <v>20190303162556458</v>
      </c>
      <c r="B2513" t="str">
        <f>"1551601556445982"</f>
        <v>1551601556445982</v>
      </c>
      <c r="C2513" t="s">
        <v>40</v>
      </c>
      <c r="D2513">
        <v>4.9960620000000002</v>
      </c>
      <c r="E2513">
        <v>0.52528019999999997</v>
      </c>
      <c r="F2513" t="s">
        <v>42</v>
      </c>
      <c r="G2513">
        <v>-406.10070000000002</v>
      </c>
      <c r="H2513">
        <v>0.89050969999999996</v>
      </c>
      <c r="I2513">
        <v>214.09289999999999</v>
      </c>
      <c r="J2513">
        <v>-406.47050000000002</v>
      </c>
      <c r="K2513">
        <v>1.1207959999999999</v>
      </c>
      <c r="L2513">
        <v>214.15039999999999</v>
      </c>
      <c r="M2513">
        <v>0.99983100000000003</v>
      </c>
      <c r="N2513">
        <v>-1.1620170000000001E-2</v>
      </c>
      <c r="O2513">
        <v>1.4257239999999999E-2</v>
      </c>
      <c r="P2513">
        <v>0.98735580000000001</v>
      </c>
      <c r="Q2513">
        <v>0.1574567</v>
      </c>
      <c r="R2513">
        <v>-1.8340519999999999E-2</v>
      </c>
      <c r="S2513">
        <v>3.1987000000000001</v>
      </c>
      <c r="T2513">
        <v>-1.0223599999999999</v>
      </c>
      <c r="U2513">
        <v>-0.23275760000000001</v>
      </c>
      <c r="V2513">
        <v>3.2423159999999999E-2</v>
      </c>
      <c r="W2513">
        <v>0.16891389999999901</v>
      </c>
      <c r="X2513">
        <v>0.98509729999999995</v>
      </c>
      <c r="Y2513">
        <v>8.1913089999999994E-2</v>
      </c>
      <c r="Z2513">
        <v>-1.7524499999999998E-2</v>
      </c>
      <c r="AA2513">
        <v>0.99648539999999997</v>
      </c>
      <c r="AB2513">
        <v>33</v>
      </c>
      <c r="AC2513">
        <v>0.36979999999999702</v>
      </c>
      <c r="AD2513">
        <v>-0.230286299999999</v>
      </c>
      <c r="AE2513">
        <v>-5.7500000000004499E-2</v>
      </c>
      <c r="AF2513">
        <v>4.5528058068111499E-2</v>
      </c>
      <c r="AG2513">
        <v>-0.230286299999999</v>
      </c>
      <c r="AH2513">
        <v>0.26761326650788297</v>
      </c>
      <c r="AI2513">
        <v>130.308940464334</v>
      </c>
      <c r="AJ2513">
        <v>80.344920966020496</v>
      </c>
      <c r="AK2513">
        <v>0.35597955622501998</v>
      </c>
      <c r="AL2513">
        <v>80.2753223801122</v>
      </c>
      <c r="AM2513">
        <v>88.114866584932798</v>
      </c>
      <c r="AN2513">
        <v>0.99999992869244003</v>
      </c>
    </row>
    <row r="2514" spans="1:40" x14ac:dyDescent="0.25">
      <c r="A2514" t="str">
        <f>"20190303162556503"</f>
        <v>20190303162556503</v>
      </c>
      <c r="B2514" t="str">
        <f>"1551601556495758"</f>
        <v>1551601556495758</v>
      </c>
      <c r="C2514" t="s">
        <v>40</v>
      </c>
      <c r="D2514">
        <v>5.0710889999999997</v>
      </c>
      <c r="E2514">
        <v>0.52521499999999999</v>
      </c>
      <c r="F2514" t="s">
        <v>42</v>
      </c>
      <c r="G2514">
        <v>-405.80149999999998</v>
      </c>
      <c r="H2514">
        <v>0.89650260000000004</v>
      </c>
      <c r="I2514">
        <v>214.10069999999999</v>
      </c>
      <c r="J2514">
        <v>-405.8091</v>
      </c>
      <c r="K2514">
        <v>1.120795</v>
      </c>
      <c r="L2514">
        <v>214.15979999999999</v>
      </c>
      <c r="M2514">
        <v>0.99983040000000001</v>
      </c>
      <c r="N2514">
        <v>-1.1655489999999999E-2</v>
      </c>
      <c r="O2514">
        <v>1.4257860000000001E-2</v>
      </c>
      <c r="P2514">
        <v>0.98722589999999999</v>
      </c>
      <c r="Q2514">
        <v>0.15825429999999999</v>
      </c>
      <c r="R2514">
        <v>-1.8464810000000002E-2</v>
      </c>
      <c r="S2514">
        <v>3.2054140000000002</v>
      </c>
      <c r="T2514">
        <v>-1.0746709999999999</v>
      </c>
      <c r="U2514">
        <v>-0.2370911</v>
      </c>
      <c r="V2514">
        <v>3.2546029999999997E-2</v>
      </c>
      <c r="W2514">
        <v>0.169744799999999</v>
      </c>
      <c r="X2514">
        <v>0.98495049999999995</v>
      </c>
      <c r="Y2514">
        <v>8.2592670000000007E-2</v>
      </c>
      <c r="Z2514">
        <v>-1.8440789999999999E-2</v>
      </c>
      <c r="AA2514">
        <v>0.99641279999999999</v>
      </c>
      <c r="AB2514">
        <v>33</v>
      </c>
      <c r="AC2514">
        <v>7.6000000000249202E-3</v>
      </c>
      <c r="AD2514">
        <v>-0.224292399999999</v>
      </c>
      <c r="AE2514">
        <v>-5.9100000000000798E-2</v>
      </c>
      <c r="AF2514">
        <v>3.9029203199664598E-3</v>
      </c>
      <c r="AG2514">
        <v>-0.224292399999999</v>
      </c>
      <c r="AH2514">
        <v>4.4542482795046999E-4</v>
      </c>
      <c r="AI2514">
        <v>178.99662473965699</v>
      </c>
      <c r="AJ2514">
        <v>6.5107706958922602</v>
      </c>
      <c r="AK2514">
        <v>0.224326797079754</v>
      </c>
      <c r="AL2514">
        <v>80.2270186153022</v>
      </c>
      <c r="AM2514">
        <v>88.107446089209404</v>
      </c>
      <c r="AN2514">
        <v>1.0000000143230201</v>
      </c>
    </row>
    <row r="2515" spans="1:40" x14ac:dyDescent="0.25">
      <c r="A2515" t="str">
        <f>"20190303162556524"</f>
        <v>20190303162556524</v>
      </c>
      <c r="B2515" t="str">
        <f>"1551601556516254"</f>
        <v>1551601556516254</v>
      </c>
      <c r="C2515" t="s">
        <v>40</v>
      </c>
      <c r="D2515">
        <v>5.057048</v>
      </c>
      <c r="E2515">
        <v>0.52553930000000004</v>
      </c>
      <c r="F2515" t="s">
        <v>42</v>
      </c>
      <c r="G2515">
        <v>-404.9375</v>
      </c>
      <c r="H2515">
        <v>0.82856869999999905</v>
      </c>
      <c r="I2515">
        <v>214.09559999999999</v>
      </c>
      <c r="J2515">
        <v>-405.49</v>
      </c>
      <c r="K2515">
        <v>1.120798</v>
      </c>
      <c r="L2515">
        <v>214.1644</v>
      </c>
      <c r="M2515">
        <v>0.99983029999999995</v>
      </c>
      <c r="N2515">
        <v>-1.166534E-2</v>
      </c>
      <c r="O2515">
        <v>1.4258099999999999E-2</v>
      </c>
      <c r="P2515">
        <v>0.98716780000000004</v>
      </c>
      <c r="Q2515">
        <v>0.15860170000000001</v>
      </c>
      <c r="R2515">
        <v>-1.8585600000000001E-2</v>
      </c>
      <c r="S2515">
        <v>3.2067260000000002</v>
      </c>
      <c r="T2515">
        <v>-1.0752280000000001</v>
      </c>
      <c r="U2515">
        <v>-0.2359619</v>
      </c>
      <c r="V2515">
        <v>3.2666430000000003E-2</v>
      </c>
      <c r="W2515">
        <v>0.17010140000000001</v>
      </c>
      <c r="X2515">
        <v>0.98488500000000001</v>
      </c>
      <c r="Y2515">
        <v>8.223287E-2</v>
      </c>
      <c r="Z2515">
        <v>-1.8382450000000002E-2</v>
      </c>
      <c r="AA2515">
        <v>0.99644359999999998</v>
      </c>
      <c r="AB2515">
        <v>33</v>
      </c>
      <c r="AC2515">
        <v>0.55250000000000898</v>
      </c>
      <c r="AD2515">
        <v>-0.29222929999999903</v>
      </c>
      <c r="AE2515">
        <v>-6.8800000000010103E-2</v>
      </c>
      <c r="AF2515">
        <v>6.0111293856553803E-2</v>
      </c>
      <c r="AG2515">
        <v>-0.29222929999999903</v>
      </c>
      <c r="AH2515">
        <v>0.43235488650471199</v>
      </c>
      <c r="AI2515">
        <v>123.800808521867</v>
      </c>
      <c r="AJ2515">
        <v>82.084776163557507</v>
      </c>
      <c r="AK2515">
        <v>0.52530189349754097</v>
      </c>
      <c r="AL2515">
        <v>80.206285506101906</v>
      </c>
      <c r="AM2515">
        <v>88.100323703096095</v>
      </c>
      <c r="AN2515">
        <v>1.00000002257795</v>
      </c>
    </row>
    <row r="2516" spans="1:40" x14ac:dyDescent="0.25">
      <c r="A2516" t="str">
        <f>"20190303162556545"</f>
        <v>20190303162556545</v>
      </c>
      <c r="B2516" t="str">
        <f>"1551601556535774"</f>
        <v>1551601556535774</v>
      </c>
      <c r="C2516" t="s">
        <v>40</v>
      </c>
      <c r="D2516">
        <v>5.0566870000000002</v>
      </c>
      <c r="E2516">
        <v>0.52511399999999997</v>
      </c>
      <c r="F2516" t="s">
        <v>42</v>
      </c>
      <c r="G2516">
        <v>-404.6379</v>
      </c>
      <c r="H2516">
        <v>0.83512679999999995</v>
      </c>
      <c r="I2516">
        <v>214.10079999999999</v>
      </c>
      <c r="J2516">
        <v>-405.16219999999998</v>
      </c>
      <c r="K2516">
        <v>1.120798</v>
      </c>
      <c r="L2516">
        <v>214.16900000000001</v>
      </c>
      <c r="M2516">
        <v>0.9998302</v>
      </c>
      <c r="N2516">
        <v>-1.167348E-2</v>
      </c>
      <c r="O2516">
        <v>1.4258409999999999E-2</v>
      </c>
      <c r="P2516">
        <v>0.98726559999999997</v>
      </c>
      <c r="Q2516">
        <v>0.15794900000000001</v>
      </c>
      <c r="R2516">
        <v>-1.8948820000000002E-2</v>
      </c>
      <c r="S2516">
        <v>3.2072750000000001</v>
      </c>
      <c r="T2516">
        <v>-1.075251</v>
      </c>
      <c r="U2516">
        <v>-0.23730470000000001</v>
      </c>
      <c r="V2516">
        <v>3.3031159999999997E-2</v>
      </c>
      <c r="W2516">
        <v>0.16945769999999999</v>
      </c>
      <c r="X2516">
        <v>0.98498379999999996</v>
      </c>
      <c r="Y2516">
        <v>8.2615629999999995E-2</v>
      </c>
      <c r="Z2516">
        <v>-1.844463E-2</v>
      </c>
      <c r="AA2516">
        <v>0.99641080000000004</v>
      </c>
      <c r="AB2516">
        <v>33</v>
      </c>
      <c r="AC2516">
        <v>0.524299999999982</v>
      </c>
      <c r="AD2516">
        <v>-0.28567119999999901</v>
      </c>
      <c r="AE2516">
        <v>-6.8200000000018607E-2</v>
      </c>
      <c r="AF2516">
        <v>5.85704820783279E-2</v>
      </c>
      <c r="AG2516">
        <v>-0.28567119999999901</v>
      </c>
      <c r="AH2516">
        <v>0.40503134923391998</v>
      </c>
      <c r="AI2516">
        <v>124.916799323623</v>
      </c>
      <c r="AJ2516">
        <v>81.771651803225595</v>
      </c>
      <c r="AK2516">
        <v>0.49908809817764399</v>
      </c>
      <c r="AL2516">
        <v>80.243710180213299</v>
      </c>
      <c r="AM2516">
        <v>88.079321608792796</v>
      </c>
      <c r="AN2516">
        <v>1.0000000279413299</v>
      </c>
    </row>
    <row r="2517" spans="1:40" x14ac:dyDescent="0.25">
      <c r="A2517" t="str">
        <f>"20190303162556567"</f>
        <v>20190303162556567</v>
      </c>
      <c r="B2517" t="str">
        <f>"1551601556556271"</f>
        <v>1551601556556271</v>
      </c>
      <c r="C2517" t="s">
        <v>40</v>
      </c>
      <c r="D2517">
        <v>5.0827960000000001</v>
      </c>
      <c r="E2517">
        <v>0.52486489999999997</v>
      </c>
      <c r="F2517" t="s">
        <v>42</v>
      </c>
      <c r="G2517">
        <v>-404.33789999999999</v>
      </c>
      <c r="H2517">
        <v>0.84250919999999896</v>
      </c>
      <c r="I2517">
        <v>214.10919999999999</v>
      </c>
      <c r="J2517">
        <v>-404.84730000000002</v>
      </c>
      <c r="K2517">
        <v>1.1208</v>
      </c>
      <c r="L2517">
        <v>214.17349999999999</v>
      </c>
      <c r="M2517">
        <v>0.99983010000000005</v>
      </c>
      <c r="N2517">
        <v>-1.167968E-2</v>
      </c>
      <c r="O2517">
        <v>1.425855E-2</v>
      </c>
      <c r="P2517">
        <v>0.98731150000000001</v>
      </c>
      <c r="Q2517">
        <v>0.1575619</v>
      </c>
      <c r="R2517">
        <v>-1.9751890000000001E-2</v>
      </c>
      <c r="S2517">
        <v>3.2074579999999999</v>
      </c>
      <c r="T2517">
        <v>-1.082859</v>
      </c>
      <c r="U2517">
        <v>-0.23287959999999999</v>
      </c>
      <c r="V2517">
        <v>3.3835079999999997E-2</v>
      </c>
      <c r="W2517">
        <v>0.16907700000000001</v>
      </c>
      <c r="X2517">
        <v>0.98502190000000001</v>
      </c>
      <c r="Y2517">
        <v>8.1248520000000005E-2</v>
      </c>
      <c r="Z2517">
        <v>-1.833388E-2</v>
      </c>
      <c r="AA2517">
        <v>0.9965252</v>
      </c>
      <c r="AB2517">
        <v>33</v>
      </c>
      <c r="AC2517">
        <v>0.50940000000002705</v>
      </c>
      <c r="AD2517">
        <v>-0.2782908</v>
      </c>
      <c r="AE2517">
        <v>-6.4300000000002897E-2</v>
      </c>
      <c r="AF2517">
        <v>5.53088987649916E-2</v>
      </c>
      <c r="AG2517">
        <v>-0.2782908</v>
      </c>
      <c r="AH2517">
        <v>0.392982837549333</v>
      </c>
      <c r="AI2517">
        <v>125.039634826781</v>
      </c>
      <c r="AJ2517">
        <v>81.988739349477299</v>
      </c>
      <c r="AK2517">
        <v>0.48470646194945799</v>
      </c>
      <c r="AL2517">
        <v>80.265841708574797</v>
      </c>
      <c r="AM2517">
        <v>88.032688031560099</v>
      </c>
      <c r="AN2517">
        <v>0.99999999402360795</v>
      </c>
    </row>
    <row r="2518" spans="1:40" x14ac:dyDescent="0.25">
      <c r="A2518" t="str">
        <f>"20190303162556590"</f>
        <v>20190303162556590</v>
      </c>
      <c r="B2518" t="str">
        <f>"1551601556585551"</f>
        <v>1551601556585551</v>
      </c>
      <c r="C2518" t="s">
        <v>40</v>
      </c>
      <c r="D2518">
        <v>5.0819510000000001</v>
      </c>
      <c r="E2518">
        <v>0.52540350000000002</v>
      </c>
      <c r="F2518" t="s">
        <v>42</v>
      </c>
      <c r="G2518">
        <v>-404.03899999999999</v>
      </c>
      <c r="H2518">
        <v>0.84688509999999995</v>
      </c>
      <c r="I2518">
        <v>214.114</v>
      </c>
      <c r="J2518">
        <v>-404.50599999999997</v>
      </c>
      <c r="K2518">
        <v>1.1208070000000001</v>
      </c>
      <c r="L2518">
        <v>214.17840000000001</v>
      </c>
      <c r="M2518">
        <v>0.9998302</v>
      </c>
      <c r="N2518">
        <v>-1.1684999999999999E-2</v>
      </c>
      <c r="O2518">
        <v>1.425882E-2</v>
      </c>
      <c r="P2518">
        <v>0.98726610000000004</v>
      </c>
      <c r="Q2518">
        <v>0.1577344</v>
      </c>
      <c r="R2518">
        <v>-2.0631300000000002E-2</v>
      </c>
      <c r="S2518">
        <v>3.2073360000000002</v>
      </c>
      <c r="T2518">
        <v>-1.0868899999999999</v>
      </c>
      <c r="U2518">
        <v>-0.2342834</v>
      </c>
      <c r="V2518">
        <v>3.4714050000000003E-2</v>
      </c>
      <c r="W2518">
        <v>0.16925419999999999</v>
      </c>
      <c r="X2518">
        <v>0.98496090000000003</v>
      </c>
      <c r="Y2518">
        <v>8.1624719999999998E-2</v>
      </c>
      <c r="Z2518">
        <v>-1.8462340000000001E-2</v>
      </c>
      <c r="AA2518">
        <v>0.99649209999999999</v>
      </c>
      <c r="AB2518">
        <v>33</v>
      </c>
      <c r="AC2518">
        <v>0.46699999999998398</v>
      </c>
      <c r="AD2518">
        <v>-0.273921899999999</v>
      </c>
      <c r="AE2518">
        <v>-6.4400000000006202E-2</v>
      </c>
      <c r="AF2518">
        <v>5.3118488257200197E-2</v>
      </c>
      <c r="AG2518">
        <v>-0.273921899999999</v>
      </c>
      <c r="AH2518">
        <v>0.34840344484761998</v>
      </c>
      <c r="AI2518">
        <v>127.855741194332</v>
      </c>
      <c r="AJ2518">
        <v>81.331293809713202</v>
      </c>
      <c r="AK2518">
        <v>0.44636279132117201</v>
      </c>
      <c r="AL2518">
        <v>80.255540607608197</v>
      </c>
      <c r="AM2518">
        <v>87.981497906811597</v>
      </c>
      <c r="AN2518">
        <v>1.0000000120069199</v>
      </c>
    </row>
    <row r="2519" spans="1:40" x14ac:dyDescent="0.25">
      <c r="A2519" t="str">
        <f>"20190303162556611"</f>
        <v>20190303162556611</v>
      </c>
      <c r="B2519" t="str">
        <f>"1551601556606047"</f>
        <v>1551601556606047</v>
      </c>
      <c r="C2519" t="s">
        <v>40</v>
      </c>
      <c r="D2519">
        <v>5.0740819999999998</v>
      </c>
      <c r="E2519">
        <v>0.52597510000000003</v>
      </c>
      <c r="F2519" t="s">
        <v>42</v>
      </c>
      <c r="G2519">
        <v>-403.73669999999998</v>
      </c>
      <c r="H2519">
        <v>0.85980529999999999</v>
      </c>
      <c r="I2519">
        <v>214.12039999999999</v>
      </c>
      <c r="J2519">
        <v>-404.18400000000003</v>
      </c>
      <c r="K2519">
        <v>1.120817</v>
      </c>
      <c r="L2519">
        <v>214.18299999999999</v>
      </c>
      <c r="M2519">
        <v>0.99983010000000005</v>
      </c>
      <c r="N2519">
        <v>-1.1686149999999999E-2</v>
      </c>
      <c r="O2519">
        <v>1.425917E-2</v>
      </c>
      <c r="P2519">
        <v>0.98707460000000002</v>
      </c>
      <c r="Q2519">
        <v>0.15878200000000001</v>
      </c>
      <c r="R2519">
        <v>-2.172698E-2</v>
      </c>
      <c r="S2519">
        <v>3.2075499999999999</v>
      </c>
      <c r="T2519">
        <v>-1.088192</v>
      </c>
      <c r="U2519">
        <v>-0.24121090000000001</v>
      </c>
      <c r="V2519">
        <v>3.58073E-2</v>
      </c>
      <c r="W2519">
        <v>0.17030020000000001</v>
      </c>
      <c r="X2519">
        <v>0.98474139999999999</v>
      </c>
      <c r="Y2519">
        <v>8.3633579999999999E-2</v>
      </c>
      <c r="Z2519">
        <v>-1.8823820000000002E-2</v>
      </c>
      <c r="AA2519">
        <v>0.99631879999999995</v>
      </c>
      <c r="AB2519">
        <v>33</v>
      </c>
      <c r="AC2519">
        <v>0.447300000000041</v>
      </c>
      <c r="AD2519">
        <v>-0.26101170000000001</v>
      </c>
      <c r="AE2519">
        <v>-6.2600000000003306E-2</v>
      </c>
      <c r="AF2519">
        <v>5.1704734770103497E-2</v>
      </c>
      <c r="AG2519">
        <v>-0.26101170000000001</v>
      </c>
      <c r="AH2519">
        <v>0.33461338481935798</v>
      </c>
      <c r="AI2519">
        <v>127.628297483401</v>
      </c>
      <c r="AJ2519">
        <v>81.216079789931499</v>
      </c>
      <c r="AK2519">
        <v>0.42751211027853298</v>
      </c>
      <c r="AL2519">
        <v>80.194725959576203</v>
      </c>
      <c r="AM2519">
        <v>87.917520612606396</v>
      </c>
      <c r="AN2519">
        <v>0.99999997286364395</v>
      </c>
    </row>
    <row r="2520" spans="1:40" x14ac:dyDescent="0.25">
      <c r="A2520" t="str">
        <f>"20190303162556635"</f>
        <v>20190303162556635</v>
      </c>
      <c r="B2520" t="str">
        <f>"1551601556625566"</f>
        <v>1551601556625566</v>
      </c>
      <c r="C2520" t="s">
        <v>40</v>
      </c>
      <c r="D2520">
        <v>5.0778280000000002</v>
      </c>
      <c r="E2520">
        <v>0.52640779999999998</v>
      </c>
      <c r="F2520" t="s">
        <v>42</v>
      </c>
      <c r="G2520">
        <v>-403.43610000000001</v>
      </c>
      <c r="H2520">
        <v>0.8679945</v>
      </c>
      <c r="I2520">
        <v>214.124</v>
      </c>
      <c r="J2520">
        <v>-403.83359999999999</v>
      </c>
      <c r="K2520">
        <v>1.120824</v>
      </c>
      <c r="L2520">
        <v>214.18799999999999</v>
      </c>
      <c r="M2520">
        <v>0.99983010000000005</v>
      </c>
      <c r="N2520">
        <v>-1.1681830000000001E-2</v>
      </c>
      <c r="O2520">
        <v>1.4259559999999999E-2</v>
      </c>
      <c r="P2520">
        <v>0.98689530000000003</v>
      </c>
      <c r="Q2520">
        <v>0.15978110000000001</v>
      </c>
      <c r="R2520">
        <v>-2.253289E-2</v>
      </c>
      <c r="S2520">
        <v>3.2081909999999998</v>
      </c>
      <c r="T2520">
        <v>-1.084522</v>
      </c>
      <c r="U2520">
        <v>-0.2506256</v>
      </c>
      <c r="V2520">
        <v>3.6610799999999999E-2</v>
      </c>
      <c r="W2520">
        <v>0.17129249999999999</v>
      </c>
      <c r="X2520">
        <v>0.98453970000000002</v>
      </c>
      <c r="Y2520">
        <v>8.6406189999999994E-2</v>
      </c>
      <c r="Z2520">
        <v>-1.9231350000000001E-2</v>
      </c>
      <c r="AA2520">
        <v>0.99607440000000003</v>
      </c>
      <c r="AB2520">
        <v>33</v>
      </c>
      <c r="AC2520">
        <v>0.39749999999997898</v>
      </c>
      <c r="AD2520">
        <v>-0.25282949999999998</v>
      </c>
      <c r="AE2520">
        <v>-6.3999999999964502E-2</v>
      </c>
      <c r="AF2520">
        <v>4.9960736063822203E-2</v>
      </c>
      <c r="AG2520">
        <v>-0.25282949999999998</v>
      </c>
      <c r="AH2520">
        <v>0.28439838019437602</v>
      </c>
      <c r="AI2520">
        <v>131.20505751130401</v>
      </c>
      <c r="AJ2520">
        <v>80.036418902934898</v>
      </c>
      <c r="AK2520">
        <v>0.38379847560337399</v>
      </c>
      <c r="AL2520">
        <v>80.137023226558597</v>
      </c>
      <c r="AM2520">
        <v>87.870397437242204</v>
      </c>
      <c r="AN2520">
        <v>0.99999994605448805</v>
      </c>
    </row>
    <row r="2521" spans="1:40" x14ac:dyDescent="0.25">
      <c r="A2521" t="str">
        <f>"20190303162556659"</f>
        <v>20190303162556659</v>
      </c>
      <c r="B2521" t="str">
        <f>"1551601556655822"</f>
        <v>1551601556655822</v>
      </c>
      <c r="C2521" t="s">
        <v>40</v>
      </c>
      <c r="D2521">
        <v>5.0753459999999997</v>
      </c>
      <c r="E2521">
        <v>0.52708009999999905</v>
      </c>
      <c r="F2521" t="s">
        <v>42</v>
      </c>
      <c r="G2521">
        <v>-403.13220000000001</v>
      </c>
      <c r="H2521">
        <v>0.88456749999999995</v>
      </c>
      <c r="I2521">
        <v>214.1319</v>
      </c>
      <c r="J2521">
        <v>-403.47050000000002</v>
      </c>
      <c r="K2521">
        <v>1.1208279999999999</v>
      </c>
      <c r="L2521">
        <v>214.19309999999999</v>
      </c>
      <c r="M2521">
        <v>0.99983010000000005</v>
      </c>
      <c r="N2521">
        <v>-1.167467E-2</v>
      </c>
      <c r="O2521">
        <v>1.426008E-2</v>
      </c>
      <c r="P2521">
        <v>0.98665270000000005</v>
      </c>
      <c r="Q2521">
        <v>0.1612606</v>
      </c>
      <c r="R2521">
        <v>-2.2618739999999998E-2</v>
      </c>
      <c r="S2521">
        <v>3.209015</v>
      </c>
      <c r="T2521">
        <v>-1.0808180000000001</v>
      </c>
      <c r="U2521">
        <v>-0.25535580000000002</v>
      </c>
      <c r="V2521">
        <v>3.6693740000000002E-2</v>
      </c>
      <c r="W2521">
        <v>0.1727622</v>
      </c>
      <c r="X2521">
        <v>0.98427980000000004</v>
      </c>
      <c r="Y2521">
        <v>8.7807220000000005E-2</v>
      </c>
      <c r="Z2521">
        <v>-1.9402229999999999E-2</v>
      </c>
      <c r="AA2521">
        <v>0.99594850000000001</v>
      </c>
      <c r="AB2521">
        <v>33</v>
      </c>
      <c r="AC2521">
        <v>0.33830000000000299</v>
      </c>
      <c r="AD2521">
        <v>-0.23626050000000001</v>
      </c>
      <c r="AE2521">
        <v>-6.1199999999985197E-2</v>
      </c>
      <c r="AF2521">
        <v>4.4841071585961803E-2</v>
      </c>
      <c r="AG2521">
        <v>-0.23626050000000001</v>
      </c>
      <c r="AH2521">
        <v>0.22916460733673399</v>
      </c>
      <c r="AI2521">
        <v>135.335404701627</v>
      </c>
      <c r="AJ2521">
        <v>78.928709486787795</v>
      </c>
      <c r="AK2521">
        <v>0.33218392919740503</v>
      </c>
      <c r="AL2521">
        <v>80.051541461269096</v>
      </c>
      <c r="AM2521">
        <v>87.865014307893901</v>
      </c>
      <c r="AN2521">
        <v>0.99999996649603295</v>
      </c>
    </row>
    <row r="2522" spans="1:40" x14ac:dyDescent="0.25">
      <c r="A2522" t="str">
        <f>"20190303162556681"</f>
        <v>20190303162556681</v>
      </c>
      <c r="B2522" t="str">
        <f>"1551601556675342"</f>
        <v>1551601556675342</v>
      </c>
      <c r="C2522" t="s">
        <v>40</v>
      </c>
      <c r="D2522">
        <v>5.1032909999999996</v>
      </c>
      <c r="E2522">
        <v>0.52737719999999999</v>
      </c>
      <c r="F2522" t="s">
        <v>42</v>
      </c>
      <c r="G2522">
        <v>-402.56319999999999</v>
      </c>
      <c r="H2522">
        <v>0.817778</v>
      </c>
      <c r="I2522">
        <v>214.1191</v>
      </c>
      <c r="J2522">
        <v>-403.15609999999998</v>
      </c>
      <c r="K2522">
        <v>1.1208359999999999</v>
      </c>
      <c r="L2522">
        <v>214.19759999999999</v>
      </c>
      <c r="M2522">
        <v>0.9998302</v>
      </c>
      <c r="N2522">
        <v>-1.166827E-2</v>
      </c>
      <c r="O2522">
        <v>1.426029E-2</v>
      </c>
      <c r="P2522">
        <v>0.98609080000000005</v>
      </c>
      <c r="Q2522">
        <v>0.1646503</v>
      </c>
      <c r="R2522">
        <v>-2.2697450000000001E-2</v>
      </c>
      <c r="S2522">
        <v>3.2098390000000001</v>
      </c>
      <c r="T2522">
        <v>-1.0721940000000001</v>
      </c>
      <c r="U2522">
        <v>-0.26150509999999999</v>
      </c>
      <c r="V2522">
        <v>3.676484E-2</v>
      </c>
      <c r="W2522">
        <v>0.17613860000000001</v>
      </c>
      <c r="X2522">
        <v>0.98367859999999996</v>
      </c>
      <c r="Y2522">
        <v>8.9670109999999997E-2</v>
      </c>
      <c r="Z2522">
        <v>-1.95655E-2</v>
      </c>
      <c r="AA2522">
        <v>0.99577930000000003</v>
      </c>
      <c r="AB2522">
        <v>33</v>
      </c>
      <c r="AC2522">
        <v>0.59289999999998599</v>
      </c>
      <c r="AD2522">
        <v>-0.30305799999999999</v>
      </c>
      <c r="AE2522">
        <v>-7.8499999999991105E-2</v>
      </c>
      <c r="AF2522">
        <v>6.9183409309958102E-2</v>
      </c>
      <c r="AG2522">
        <v>-0.30305799999999999</v>
      </c>
      <c r="AH2522">
        <v>0.47082678242179499</v>
      </c>
      <c r="AI2522">
        <v>122.49035396471901</v>
      </c>
      <c r="AJ2522">
        <v>81.640763438849703</v>
      </c>
      <c r="AK2522">
        <v>0.56418822615631503</v>
      </c>
      <c r="AL2522">
        <v>79.855075850259297</v>
      </c>
      <c r="AM2522">
        <v>87.859575109745407</v>
      </c>
      <c r="AN2522">
        <v>1.0000000239840701</v>
      </c>
    </row>
    <row r="2523" spans="1:40" x14ac:dyDescent="0.25">
      <c r="A2523" t="str">
        <f>"20190303162556701"</f>
        <v>20190303162556701</v>
      </c>
      <c r="B2523" t="str">
        <f>"1551601556695839"</f>
        <v>1551601556695839</v>
      </c>
      <c r="C2523" t="s">
        <v>40</v>
      </c>
      <c r="D2523">
        <v>5.0835990000000004</v>
      </c>
      <c r="E2523">
        <v>0.52754290000000004</v>
      </c>
      <c r="F2523" t="s">
        <v>42</v>
      </c>
      <c r="G2523">
        <v>-402.26220000000001</v>
      </c>
      <c r="H2523">
        <v>0.82611540000000006</v>
      </c>
      <c r="I2523">
        <v>214.12389999999999</v>
      </c>
      <c r="J2523">
        <v>-402.8451</v>
      </c>
      <c r="K2523">
        <v>1.120846</v>
      </c>
      <c r="L2523">
        <v>214.202</v>
      </c>
      <c r="M2523">
        <v>0.99983040000000001</v>
      </c>
      <c r="N2523">
        <v>-1.166214E-2</v>
      </c>
      <c r="O2523">
        <v>1.426063E-2</v>
      </c>
      <c r="P2523">
        <v>0.98578809999999994</v>
      </c>
      <c r="Q2523">
        <v>0.1664979</v>
      </c>
      <c r="R2523">
        <v>-2.237432E-2</v>
      </c>
      <c r="S2523">
        <v>3.213104</v>
      </c>
      <c r="T2523">
        <v>-1.0594079999999999</v>
      </c>
      <c r="U2523">
        <v>-0.26335140000000001</v>
      </c>
      <c r="V2523">
        <v>3.6437940000000002E-2</v>
      </c>
      <c r="W2523">
        <v>0.17797639999999901</v>
      </c>
      <c r="X2523">
        <v>0.98335989999999995</v>
      </c>
      <c r="Y2523">
        <v>9.0266949999999999E-2</v>
      </c>
      <c r="Z2523">
        <v>-1.9428299999999999E-2</v>
      </c>
      <c r="AA2523">
        <v>0.9957281</v>
      </c>
      <c r="AB2523">
        <v>33</v>
      </c>
      <c r="AC2523">
        <v>0.58289999999999498</v>
      </c>
      <c r="AD2523">
        <v>-0.29473059999999901</v>
      </c>
      <c r="AE2523">
        <v>-7.8100000000006206E-2</v>
      </c>
      <c r="AF2523">
        <v>6.9060519674720794E-2</v>
      </c>
      <c r="AG2523">
        <v>-0.29473059999999901</v>
      </c>
      <c r="AH2523">
        <v>0.46495335610424199</v>
      </c>
      <c r="AI2523">
        <v>122.088289360831</v>
      </c>
      <c r="AJ2523">
        <v>81.551503247893194</v>
      </c>
      <c r="AK2523">
        <v>0.55481267587060501</v>
      </c>
      <c r="AL2523">
        <v>79.748087118676295</v>
      </c>
      <c r="AM2523">
        <v>87.877902640902903</v>
      </c>
      <c r="AN2523">
        <v>1.0000000076782001</v>
      </c>
    </row>
    <row r="2524" spans="1:40" x14ac:dyDescent="0.25">
      <c r="A2524" t="str">
        <f>"20190303162556723"</f>
        <v>20190303162556723</v>
      </c>
      <c r="B2524" t="str">
        <f>"1551601556715359"</f>
        <v>1551601556715359</v>
      </c>
      <c r="C2524" t="s">
        <v>40</v>
      </c>
      <c r="D2524">
        <v>5.0470459999999999</v>
      </c>
      <c r="E2524">
        <v>0.52724919999999997</v>
      </c>
      <c r="F2524" t="s">
        <v>42</v>
      </c>
      <c r="G2524">
        <v>-401.9622</v>
      </c>
      <c r="H2524">
        <v>0.83202119999999902</v>
      </c>
      <c r="I2524">
        <v>214.12989999999999</v>
      </c>
      <c r="J2524">
        <v>-402.51830000000001</v>
      </c>
      <c r="K2524">
        <v>1.120844</v>
      </c>
      <c r="L2524">
        <v>214.20670000000001</v>
      </c>
      <c r="M2524">
        <v>0.99983040000000001</v>
      </c>
      <c r="N2524">
        <v>-1.165596E-2</v>
      </c>
      <c r="O2524">
        <v>1.426084E-2</v>
      </c>
      <c r="P2524">
        <v>0.98564799999999997</v>
      </c>
      <c r="Q2524">
        <v>0.16735620000000001</v>
      </c>
      <c r="R2524">
        <v>-2.2137489999999999E-2</v>
      </c>
      <c r="S2524">
        <v>3.2149350000000001</v>
      </c>
      <c r="T2524">
        <v>-1.0517650000000001</v>
      </c>
      <c r="U2524">
        <v>-0.26240540000000001</v>
      </c>
      <c r="V2524">
        <v>3.6199200000000001E-2</v>
      </c>
      <c r="W2524">
        <v>0.17882700000000001</v>
      </c>
      <c r="X2524">
        <v>0.98321440000000004</v>
      </c>
      <c r="Y2524">
        <v>9.002694E-2</v>
      </c>
      <c r="Z2524">
        <v>-1.924764E-2</v>
      </c>
      <c r="AA2524">
        <v>0.99575329999999995</v>
      </c>
      <c r="AB2524">
        <v>33</v>
      </c>
      <c r="AC2524">
        <v>0.55610000000001403</v>
      </c>
      <c r="AD2524">
        <v>-0.28882279999999999</v>
      </c>
      <c r="AE2524">
        <v>-7.6800000000019894E-2</v>
      </c>
      <c r="AF2524">
        <v>6.6990799245411597E-2</v>
      </c>
      <c r="AG2524">
        <v>-0.28882279999999999</v>
      </c>
      <c r="AH2524">
        <v>0.438798671032893</v>
      </c>
      <c r="AI2524">
        <v>123.050982159363</v>
      </c>
      <c r="AJ2524">
        <v>81.319755655997895</v>
      </c>
      <c r="AK2524">
        <v>0.52957591588327702</v>
      </c>
      <c r="AL2524">
        <v>79.698556847283896</v>
      </c>
      <c r="AM2524">
        <v>87.891482255665593</v>
      </c>
      <c r="AN2524">
        <v>1.0000000171885</v>
      </c>
    </row>
    <row r="2525" spans="1:40" x14ac:dyDescent="0.25">
      <c r="A2525" t="str">
        <f>"20190303162556745"</f>
        <v>20190303162556745</v>
      </c>
      <c r="B2525" t="str">
        <f>"1551601556735855"</f>
        <v>1551601556735855</v>
      </c>
      <c r="C2525" t="s">
        <v>40</v>
      </c>
      <c r="D2525">
        <v>5.1096309999999896</v>
      </c>
      <c r="E2525">
        <v>0.51951959999999997</v>
      </c>
      <c r="F2525" t="s">
        <v>42</v>
      </c>
      <c r="G2525">
        <v>-401.63560000000001</v>
      </c>
      <c r="H2525">
        <v>0.90353819999999996</v>
      </c>
      <c r="I2525">
        <v>214.13310000000001</v>
      </c>
      <c r="J2525">
        <v>-402.1832</v>
      </c>
      <c r="K2525">
        <v>1.120851</v>
      </c>
      <c r="L2525">
        <v>214.2115</v>
      </c>
      <c r="M2525">
        <v>0.99983049999999996</v>
      </c>
      <c r="N2525">
        <v>-1.165013E-2</v>
      </c>
      <c r="O2525">
        <v>1.426123E-2</v>
      </c>
      <c r="P2525">
        <v>0.98539449999999995</v>
      </c>
      <c r="Q2525">
        <v>0.16888029999999901</v>
      </c>
      <c r="R2525">
        <v>-2.1847720000000001E-2</v>
      </c>
      <c r="S2525">
        <v>3.1703489999999999</v>
      </c>
      <c r="T2525">
        <v>-0.78063800000000005</v>
      </c>
      <c r="U2525">
        <v>-0.26237490000000002</v>
      </c>
      <c r="V2525">
        <v>3.5906349999999997E-2</v>
      </c>
      <c r="W2525">
        <v>0.18034259999999999</v>
      </c>
      <c r="X2525">
        <v>0.98294820000000005</v>
      </c>
      <c r="Y2525">
        <v>9.3390760000000003E-2</v>
      </c>
      <c r="Z2525">
        <v>-1.5154569999999999E-2</v>
      </c>
      <c r="AA2525">
        <v>0.99551420000000002</v>
      </c>
      <c r="AB2525">
        <v>33</v>
      </c>
      <c r="AC2525">
        <v>0.54759999999998799</v>
      </c>
      <c r="AD2525">
        <v>-0.2173128</v>
      </c>
      <c r="AE2525">
        <v>-7.8399999999987799E-2</v>
      </c>
      <c r="AF2525">
        <v>7.4677518496008496E-2</v>
      </c>
      <c r="AG2525">
        <v>-0.2173128</v>
      </c>
      <c r="AH2525">
        <v>0.47337354551928801</v>
      </c>
      <c r="AI2525">
        <v>114.392607261184</v>
      </c>
      <c r="AJ2525">
        <v>81.035129060287304</v>
      </c>
      <c r="AK2525">
        <v>0.52619777499535603</v>
      </c>
      <c r="AL2525">
        <v>79.610283470211201</v>
      </c>
      <c r="AM2525">
        <v>87.907958959030196</v>
      </c>
      <c r="AN2525">
        <v>0.99999994161415895</v>
      </c>
    </row>
    <row r="2526" spans="1:40" x14ac:dyDescent="0.25">
      <c r="A2526" t="str">
        <f>"20190303162556768"</f>
        <v>20190303162556768</v>
      </c>
      <c r="B2526" t="str">
        <f>"1551601556755374"</f>
        <v>1551601556755374</v>
      </c>
      <c r="C2526" t="s">
        <v>40</v>
      </c>
      <c r="D2526">
        <v>5.0870610000000003</v>
      </c>
      <c r="E2526">
        <v>0.51670249999999995</v>
      </c>
      <c r="F2526" t="s">
        <v>42</v>
      </c>
      <c r="G2526">
        <v>-401.27</v>
      </c>
      <c r="H2526">
        <v>1.043129</v>
      </c>
      <c r="I2526">
        <v>214.1497</v>
      </c>
      <c r="J2526">
        <v>-401.85390000000001</v>
      </c>
      <c r="K2526">
        <v>1.120852</v>
      </c>
      <c r="L2526">
        <v>214.21610000000001</v>
      </c>
      <c r="M2526">
        <v>0.99983049999999996</v>
      </c>
      <c r="N2526">
        <v>-1.1645000000000001E-2</v>
      </c>
      <c r="O2526">
        <v>1.426144E-2</v>
      </c>
      <c r="P2526">
        <v>0.98527869999999995</v>
      </c>
      <c r="Q2526">
        <v>0.1695063</v>
      </c>
      <c r="R2526">
        <v>-2.2223980000000001E-2</v>
      </c>
      <c r="S2526">
        <v>3.0848390000000001</v>
      </c>
      <c r="T2526">
        <v>-0.26262839999999998</v>
      </c>
      <c r="U2526">
        <v>-0.207901</v>
      </c>
      <c r="V2526">
        <v>3.6280960000000001E-2</v>
      </c>
      <c r="W2526">
        <v>0.18096219999999999</v>
      </c>
      <c r="X2526">
        <v>0.98282060000000004</v>
      </c>
      <c r="Y2526">
        <v>8.1094589999999994E-2</v>
      </c>
      <c r="Z2526">
        <v>-4.9606659999999999E-3</v>
      </c>
      <c r="AA2526">
        <v>0.99669410000000003</v>
      </c>
      <c r="AB2526">
        <v>33</v>
      </c>
      <c r="AC2526">
        <v>0.58390000000002795</v>
      </c>
      <c r="AD2526">
        <v>-7.7722999999999695E-2</v>
      </c>
      <c r="AE2526">
        <v>-6.6400000000015696E-2</v>
      </c>
      <c r="AF2526">
        <v>7.3436506902503099E-2</v>
      </c>
      <c r="AG2526">
        <v>-7.7722999999999695E-2</v>
      </c>
      <c r="AH2526">
        <v>0.57287283683046697</v>
      </c>
      <c r="AI2526">
        <v>97.664315914120493</v>
      </c>
      <c r="AJ2526">
        <v>82.695099339757604</v>
      </c>
      <c r="AK2526">
        <v>0.58276673931619305</v>
      </c>
      <c r="AL2526">
        <v>79.574189535039395</v>
      </c>
      <c r="AM2526">
        <v>87.885878255683906</v>
      </c>
      <c r="AN2526">
        <v>0.99999997883586</v>
      </c>
    </row>
    <row r="2527" spans="1:40" x14ac:dyDescent="0.25">
      <c r="A2527" t="str">
        <f>"20190303162556790"</f>
        <v>20190303162556790</v>
      </c>
      <c r="B2527" t="str">
        <f>"1551601556775870"</f>
        <v>1551601556775870</v>
      </c>
      <c r="C2527" t="s">
        <v>40</v>
      </c>
      <c r="D2527">
        <v>5.0712510000000002</v>
      </c>
      <c r="E2527">
        <v>0.51628999999999903</v>
      </c>
      <c r="F2527" t="s">
        <v>48</v>
      </c>
      <c r="G2527">
        <v>-381.44139999999999</v>
      </c>
      <c r="H2527" s="1">
        <v>-6.9765159999999998E-7</v>
      </c>
      <c r="I2527">
        <v>212.96700000000001</v>
      </c>
      <c r="J2527">
        <v>-401.52229999999997</v>
      </c>
      <c r="K2527">
        <v>1.120851</v>
      </c>
      <c r="L2527">
        <v>214.2209</v>
      </c>
      <c r="M2527">
        <v>0.99983069999999996</v>
      </c>
      <c r="N2527">
        <v>-1.1640340000000001E-2</v>
      </c>
      <c r="O2527">
        <v>1.426177E-2</v>
      </c>
      <c r="P2527">
        <v>0.98508689999999999</v>
      </c>
      <c r="Q2527">
        <v>0.17043839999999999</v>
      </c>
      <c r="R2527">
        <v>-2.3557519999999998E-2</v>
      </c>
      <c r="S2527">
        <v>3.0695800000000002</v>
      </c>
      <c r="T2527">
        <v>-0.16855120000000001</v>
      </c>
      <c r="U2527">
        <v>-0.18783569999999999</v>
      </c>
      <c r="V2527">
        <v>3.7612239999999998E-2</v>
      </c>
      <c r="W2527">
        <v>0.1818874</v>
      </c>
      <c r="X2527">
        <v>0.98259980000000002</v>
      </c>
      <c r="Y2527">
        <v>7.5158130000000004E-2</v>
      </c>
      <c r="Z2527">
        <v>-3.114365E-3</v>
      </c>
      <c r="AA2527">
        <v>0.99716680000000002</v>
      </c>
      <c r="AB2527">
        <v>33</v>
      </c>
      <c r="AC2527">
        <v>20.0808999999999</v>
      </c>
      <c r="AD2527">
        <v>-1.1208516976516001</v>
      </c>
      <c r="AE2527">
        <v>-1.25389999999998</v>
      </c>
      <c r="AF2527">
        <v>1.53541595750352</v>
      </c>
      <c r="AG2527">
        <v>-1.1208516976516001</v>
      </c>
      <c r="AH2527">
        <v>19.998908448489999</v>
      </c>
      <c r="AI2527">
        <v>93.198430008512503</v>
      </c>
      <c r="AJ2527">
        <v>85.609729695882393</v>
      </c>
      <c r="AK2527">
        <v>20.0890554736098</v>
      </c>
      <c r="AL2527">
        <v>79.520285535346702</v>
      </c>
      <c r="AM2527">
        <v>87.807885772412405</v>
      </c>
      <c r="AN2527">
        <v>1.0000000369183</v>
      </c>
    </row>
    <row r="2528" spans="1:40" x14ac:dyDescent="0.25">
      <c r="A2528" t="str">
        <f>"20190303162556813"</f>
        <v>20190303162556813</v>
      </c>
      <c r="B2528" t="str">
        <f>"1551601556806127"</f>
        <v>1551601556806127</v>
      </c>
      <c r="C2528" t="s">
        <v>40</v>
      </c>
      <c r="D2528">
        <v>5.1138539999999999</v>
      </c>
      <c r="E2528">
        <v>0.51668749999999997</v>
      </c>
      <c r="F2528" t="s">
        <v>48</v>
      </c>
      <c r="G2528">
        <v>-378.37740000000002</v>
      </c>
      <c r="H2528" s="1">
        <v>2.9212390000000001E-6</v>
      </c>
      <c r="I2528">
        <v>212.79900000000001</v>
      </c>
      <c r="J2528">
        <v>-401.17579999999998</v>
      </c>
      <c r="K2528">
        <v>1.12086</v>
      </c>
      <c r="L2528">
        <v>214.22579999999999</v>
      </c>
      <c r="M2528">
        <v>0.99983069999999996</v>
      </c>
      <c r="N2528">
        <v>-1.16361E-2</v>
      </c>
      <c r="O2528">
        <v>1.4262149999999999E-2</v>
      </c>
      <c r="P2528">
        <v>0.98487460000000004</v>
      </c>
      <c r="Q2528">
        <v>0.17139579999999999</v>
      </c>
      <c r="R2528">
        <v>-2.5412509999999999E-2</v>
      </c>
      <c r="S2528">
        <v>3.0666199999999999</v>
      </c>
      <c r="T2528">
        <v>-0.14850829999999901</v>
      </c>
      <c r="U2528">
        <v>-0.18840029999999999</v>
      </c>
      <c r="V2528">
        <v>3.9464350000000002E-2</v>
      </c>
      <c r="W2528">
        <v>0.18283720000000001</v>
      </c>
      <c r="X2528">
        <v>0.98235079999999997</v>
      </c>
      <c r="Y2528">
        <v>7.5431289999999998E-2</v>
      </c>
      <c r="Z2528">
        <v>-2.7872579999999999E-3</v>
      </c>
      <c r="AA2528">
        <v>0.99714709999999995</v>
      </c>
      <c r="AB2528">
        <v>33</v>
      </c>
      <c r="AC2528">
        <v>22.798399999999901</v>
      </c>
      <c r="AD2528">
        <v>-1.1208570787609999</v>
      </c>
      <c r="AE2528">
        <v>-1.4267999999999801</v>
      </c>
      <c r="AF2528">
        <v>1.7476233658223099</v>
      </c>
      <c r="AG2528">
        <v>-1.1208570787609999</v>
      </c>
      <c r="AH2528">
        <v>22.7210258901728</v>
      </c>
      <c r="AI2528">
        <v>92.815880271951102</v>
      </c>
      <c r="AJ2528">
        <v>85.601665302778102</v>
      </c>
      <c r="AK2528">
        <v>22.815685953345302</v>
      </c>
      <c r="AL2528">
        <v>79.464937353040099</v>
      </c>
      <c r="AM2528">
        <v>87.6994720681963</v>
      </c>
      <c r="AN2528">
        <v>0.99999998544270097</v>
      </c>
    </row>
    <row r="2529" spans="1:40" x14ac:dyDescent="0.25">
      <c r="A2529" t="str">
        <f>"20190303162556861"</f>
        <v>20190303162556861</v>
      </c>
      <c r="B2529" t="str">
        <f>"1551601556855903"</f>
        <v>1551601556855903</v>
      </c>
      <c r="C2529" t="s">
        <v>40</v>
      </c>
      <c r="D2529">
        <v>5.088489</v>
      </c>
      <c r="E2529">
        <v>0.5164995</v>
      </c>
      <c r="F2529" t="s">
        <v>48</v>
      </c>
      <c r="G2529">
        <v>-378.1755</v>
      </c>
      <c r="H2529" s="1">
        <v>2.813805E-6</v>
      </c>
      <c r="I2529">
        <v>212.75040000000001</v>
      </c>
      <c r="J2529">
        <v>-400.47030000000001</v>
      </c>
      <c r="K2529">
        <v>1.1208769999999999</v>
      </c>
      <c r="L2529">
        <v>214.23580000000001</v>
      </c>
      <c r="M2529">
        <v>0.99983080000000002</v>
      </c>
      <c r="N2529">
        <v>-1.162912E-2</v>
      </c>
      <c r="O2529">
        <v>1.4262850000000001E-2</v>
      </c>
      <c r="P2529">
        <v>0.98417690000000002</v>
      </c>
      <c r="Q2529">
        <v>0.17486209999999999</v>
      </c>
      <c r="R2529">
        <v>-2.8625910000000001E-2</v>
      </c>
      <c r="S2529">
        <v>3.066986</v>
      </c>
      <c r="T2529">
        <v>-0.14946139999999999</v>
      </c>
      <c r="U2529">
        <v>-0.19673160000000001</v>
      </c>
      <c r="V2529">
        <v>4.2668310000000001E-2</v>
      </c>
      <c r="W2529">
        <v>0.18628739999999999</v>
      </c>
      <c r="X2529">
        <v>0.98156829999999995</v>
      </c>
      <c r="Y2529">
        <v>7.8117160000000005E-2</v>
      </c>
      <c r="Z2529">
        <v>-2.8837580000000002E-3</v>
      </c>
      <c r="AA2529">
        <v>0.99694000000000005</v>
      </c>
      <c r="AB2529">
        <v>33</v>
      </c>
      <c r="AC2529">
        <v>22.294799999999999</v>
      </c>
      <c r="AD2529">
        <v>-1.120874186195</v>
      </c>
      <c r="AE2529">
        <v>-1.4853999999999901</v>
      </c>
      <c r="AF2529">
        <v>1.79873136807012</v>
      </c>
      <c r="AG2529">
        <v>-1.120874186195</v>
      </c>
      <c r="AH2529">
        <v>22.215441040817201</v>
      </c>
      <c r="AI2529">
        <v>92.878988418896</v>
      </c>
      <c r="AJ2529">
        <v>85.370995066757899</v>
      </c>
      <c r="AK2529">
        <v>22.316308254587799</v>
      </c>
      <c r="AL2529">
        <v>79.263799619690502</v>
      </c>
      <c r="AM2529">
        <v>87.510946531517703</v>
      </c>
      <c r="AN2529">
        <v>0.99999995382095197</v>
      </c>
    </row>
    <row r="2530" spans="1:40" x14ac:dyDescent="0.25">
      <c r="A2530" t="str">
        <f>"20190303162556902"</f>
        <v>20190303162556902</v>
      </c>
      <c r="B2530" t="str">
        <f>"1551601556895918"</f>
        <v>1551601556895918</v>
      </c>
      <c r="C2530" t="s">
        <v>40</v>
      </c>
      <c r="D2530">
        <v>5.1462690000000002</v>
      </c>
      <c r="E2530">
        <v>0.51647730000000003</v>
      </c>
      <c r="F2530" t="s">
        <v>48</v>
      </c>
      <c r="G2530">
        <v>-376.37029999999999</v>
      </c>
      <c r="H2530" s="1">
        <v>1.8531690000000001E-6</v>
      </c>
      <c r="I2530">
        <v>212.6317</v>
      </c>
      <c r="J2530">
        <v>-399.84660000000002</v>
      </c>
      <c r="K2530">
        <v>1.120892</v>
      </c>
      <c r="L2530">
        <v>214.24469999999999</v>
      </c>
      <c r="M2530">
        <v>0.99983080000000002</v>
      </c>
      <c r="N2530">
        <v>-1.16256E-2</v>
      </c>
      <c r="O2530">
        <v>1.4263400000000001E-2</v>
      </c>
      <c r="P2530">
        <v>0.98375489999999999</v>
      </c>
      <c r="Q2530">
        <v>0.1768111</v>
      </c>
      <c r="R2530">
        <v>-3.1057299999999999E-2</v>
      </c>
      <c r="S2530">
        <v>3.0676570000000001</v>
      </c>
      <c r="T2530">
        <v>-0.14267460000000001</v>
      </c>
      <c r="U2530">
        <v>-0.20419309999999999</v>
      </c>
      <c r="V2530">
        <v>4.509403E-2</v>
      </c>
      <c r="W2530">
        <v>0.18822749999999999</v>
      </c>
      <c r="X2530">
        <v>0.98108969999999995</v>
      </c>
      <c r="Y2530">
        <v>8.0525269999999996E-2</v>
      </c>
      <c r="Z2530">
        <v>-2.8352270000000001E-3</v>
      </c>
      <c r="AA2530">
        <v>0.99674850000000004</v>
      </c>
      <c r="AB2530">
        <v>33</v>
      </c>
      <c r="AC2530">
        <v>23.476299999999998</v>
      </c>
      <c r="AD2530">
        <v>-1.120890146831</v>
      </c>
      <c r="AE2530">
        <v>-1.61299999999999</v>
      </c>
      <c r="AF2530">
        <v>1.94330112373552</v>
      </c>
      <c r="AG2530">
        <v>-1.120890146831</v>
      </c>
      <c r="AH2530">
        <v>23.397815030744301</v>
      </c>
      <c r="AI2530">
        <v>92.733304341692104</v>
      </c>
      <c r="AJ2530">
        <v>85.252206727043898</v>
      </c>
      <c r="AK2530">
        <v>23.505117787233001</v>
      </c>
      <c r="AL2530">
        <v>79.150639179400599</v>
      </c>
      <c r="AM2530">
        <v>87.368354342124505</v>
      </c>
      <c r="AN2530">
        <v>1.0000000313719899</v>
      </c>
    </row>
    <row r="2531" spans="1:40" x14ac:dyDescent="0.25">
      <c r="A2531" t="str">
        <f>"20190303162556924"</f>
        <v>20190303162556924</v>
      </c>
      <c r="B2531" t="str">
        <f>"1551601556915438"</f>
        <v>1551601556915438</v>
      </c>
      <c r="C2531" t="s">
        <v>40</v>
      </c>
      <c r="D2531">
        <v>5.1333469999999997</v>
      </c>
      <c r="E2531">
        <v>0.51636000000000004</v>
      </c>
      <c r="F2531" t="s">
        <v>48</v>
      </c>
      <c r="G2531">
        <v>-375.78829999999999</v>
      </c>
      <c r="H2531" s="1">
        <v>1.5434379999999999E-6</v>
      </c>
      <c r="I2531">
        <v>212.5916</v>
      </c>
      <c r="J2531">
        <v>-399.51979999999998</v>
      </c>
      <c r="K2531">
        <v>1.120906</v>
      </c>
      <c r="L2531">
        <v>214.24940000000001</v>
      </c>
      <c r="M2531">
        <v>0.99983069999999996</v>
      </c>
      <c r="N2531">
        <v>-1.162437E-2</v>
      </c>
      <c r="O2531">
        <v>1.4263710000000001E-2</v>
      </c>
      <c r="P2531">
        <v>0.98316250000000005</v>
      </c>
      <c r="Q2531">
        <v>0.17986729999999901</v>
      </c>
      <c r="R2531">
        <v>-3.2243439999999998E-2</v>
      </c>
      <c r="S2531">
        <v>3.0685730000000002</v>
      </c>
      <c r="T2531">
        <v>-0.1429665</v>
      </c>
      <c r="U2531">
        <v>-0.2108459</v>
      </c>
      <c r="V2531">
        <v>4.6272090000000002E-2</v>
      </c>
      <c r="W2531">
        <v>0.19127540000000001</v>
      </c>
      <c r="X2531">
        <v>0.98044509999999996</v>
      </c>
      <c r="Y2531">
        <v>8.2653610000000002E-2</v>
      </c>
      <c r="Z2531">
        <v>-2.9013799999999998E-3</v>
      </c>
      <c r="AA2531">
        <v>0.99657410000000002</v>
      </c>
      <c r="AB2531">
        <v>33</v>
      </c>
      <c r="AC2531">
        <v>23.731499999999901</v>
      </c>
      <c r="AD2531">
        <v>-1.1209044565620001</v>
      </c>
      <c r="AE2531">
        <v>-1.6577999999999999</v>
      </c>
      <c r="AF2531">
        <v>1.99173158659204</v>
      </c>
      <c r="AG2531">
        <v>-1.1209044565620001</v>
      </c>
      <c r="AH2531">
        <v>23.652925574957798</v>
      </c>
      <c r="AI2531">
        <v>92.703644281521903</v>
      </c>
      <c r="AJ2531">
        <v>85.186674542874897</v>
      </c>
      <c r="AK2531">
        <v>23.7630871262187</v>
      </c>
      <c r="AL2531">
        <v>78.9727754418861</v>
      </c>
      <c r="AM2531">
        <v>87.297931625061594</v>
      </c>
      <c r="AN2531">
        <v>0.99999998953606895</v>
      </c>
    </row>
    <row r="2532" spans="1:40" x14ac:dyDescent="0.25">
      <c r="A2532" t="str">
        <f>"20190303162556946"</f>
        <v>20190303162556946</v>
      </c>
      <c r="B2532" t="str">
        <f>"1551601556936911"</f>
        <v>1551601556936911</v>
      </c>
      <c r="C2532" t="s">
        <v>40</v>
      </c>
      <c r="D2532">
        <v>5.1282059999999996</v>
      </c>
      <c r="E2532">
        <v>0.51623129999999995</v>
      </c>
      <c r="F2532" t="s">
        <v>48</v>
      </c>
      <c r="G2532">
        <v>-374.1918</v>
      </c>
      <c r="H2532" s="1">
        <v>6.9386100000000002E-7</v>
      </c>
      <c r="I2532">
        <v>212.49039999999999</v>
      </c>
      <c r="J2532">
        <v>-399.18770000000001</v>
      </c>
      <c r="K2532">
        <v>1.120906</v>
      </c>
      <c r="L2532">
        <v>214.25409999999999</v>
      </c>
      <c r="M2532">
        <v>0.99983069999999996</v>
      </c>
      <c r="N2532">
        <v>-1.162345E-2</v>
      </c>
      <c r="O2532">
        <v>1.426407E-2</v>
      </c>
      <c r="P2532">
        <v>0.98274600000000001</v>
      </c>
      <c r="Q2532">
        <v>0.18215480000000001</v>
      </c>
      <c r="R2532">
        <v>-3.2099460000000003E-2</v>
      </c>
      <c r="S2532">
        <v>3.0692750000000002</v>
      </c>
      <c r="T2532">
        <v>-0.13583239999999999</v>
      </c>
      <c r="U2532">
        <v>-0.21315000000000001</v>
      </c>
      <c r="V2532">
        <v>4.6122589999999998E-2</v>
      </c>
      <c r="W2532">
        <v>0.1935569</v>
      </c>
      <c r="X2532">
        <v>0.98000430000000005</v>
      </c>
      <c r="Y2532">
        <v>8.339299E-2</v>
      </c>
      <c r="Z2532">
        <v>-2.7924690000000001E-3</v>
      </c>
      <c r="AA2532">
        <v>0.99651279999999998</v>
      </c>
      <c r="AB2532">
        <v>33</v>
      </c>
      <c r="AC2532">
        <v>24.995899999999999</v>
      </c>
      <c r="AD2532">
        <v>-1.120905306139</v>
      </c>
      <c r="AE2532">
        <v>-1.7637</v>
      </c>
      <c r="AF2532">
        <v>2.1158541091228198</v>
      </c>
      <c r="AG2532">
        <v>-1.120905306139</v>
      </c>
      <c r="AH2532">
        <v>24.918336234272498</v>
      </c>
      <c r="AI2532">
        <v>92.566385711122905</v>
      </c>
      <c r="AJ2532">
        <v>85.146569591399896</v>
      </c>
      <c r="AK2532">
        <v>25.033113030557701</v>
      </c>
      <c r="AL2532">
        <v>78.839565944113403</v>
      </c>
      <c r="AM2532">
        <v>87.305439164965506</v>
      </c>
      <c r="AN2532">
        <v>0.99999999743220402</v>
      </c>
    </row>
    <row r="2533" spans="1:40" x14ac:dyDescent="0.25">
      <c r="A2533" t="str">
        <f>"20190303162556969"</f>
        <v>20190303162556969</v>
      </c>
      <c r="B2533" t="str">
        <f>"1551601556955457"</f>
        <v>1551601556955457</v>
      </c>
      <c r="C2533" t="s">
        <v>40</v>
      </c>
      <c r="D2533">
        <v>5.1388379999999998</v>
      </c>
      <c r="E2533">
        <v>0.51618779999999997</v>
      </c>
      <c r="F2533" t="s">
        <v>48</v>
      </c>
      <c r="G2533">
        <v>-372.67939999999999</v>
      </c>
      <c r="H2533" s="1">
        <v>-1.109412E-7</v>
      </c>
      <c r="I2533">
        <v>212.42740000000001</v>
      </c>
      <c r="J2533">
        <v>-398.85059999999999</v>
      </c>
      <c r="K2533">
        <v>1.120906</v>
      </c>
      <c r="L2533">
        <v>214.25890000000001</v>
      </c>
      <c r="M2533">
        <v>0.99983069999999996</v>
      </c>
      <c r="N2533">
        <v>-1.1622830000000001E-2</v>
      </c>
      <c r="O2533">
        <v>1.4264249999999999E-2</v>
      </c>
      <c r="P2533">
        <v>0.98251100000000002</v>
      </c>
      <c r="Q2533">
        <v>0.18334110000000001</v>
      </c>
      <c r="R2533">
        <v>-3.2536570000000001E-2</v>
      </c>
      <c r="S2533">
        <v>3.0698240000000001</v>
      </c>
      <c r="T2533">
        <v>-0.1298079</v>
      </c>
      <c r="U2533">
        <v>-0.21154790000000001</v>
      </c>
      <c r="V2533">
        <v>4.655658E-2</v>
      </c>
      <c r="W2533">
        <v>0.19474</v>
      </c>
      <c r="X2533">
        <v>0.97974939999999999</v>
      </c>
      <c r="Y2533">
        <v>8.287274E-2</v>
      </c>
      <c r="Z2533">
        <v>-2.6684679999999998E-3</v>
      </c>
      <c r="AA2533">
        <v>0.99655660000000001</v>
      </c>
      <c r="AB2533">
        <v>33</v>
      </c>
      <c r="AC2533">
        <v>26.171199999999999</v>
      </c>
      <c r="AD2533">
        <v>-1.1209061109412</v>
      </c>
      <c r="AE2533">
        <v>-1.8314999999999999</v>
      </c>
      <c r="AF2533">
        <v>2.20063425517914</v>
      </c>
      <c r="AG2533">
        <v>-1.1209061109412</v>
      </c>
      <c r="AH2533">
        <v>26.094775597478399</v>
      </c>
      <c r="AI2533">
        <v>92.450949779221006</v>
      </c>
      <c r="AJ2533">
        <v>85.179517239510901</v>
      </c>
      <c r="AK2533">
        <v>26.211381785731302</v>
      </c>
      <c r="AL2533">
        <v>78.770464875206002</v>
      </c>
      <c r="AM2533">
        <v>87.279416057285005</v>
      </c>
      <c r="AN2533">
        <v>1.00000003477082</v>
      </c>
    </row>
    <row r="2534" spans="1:40" x14ac:dyDescent="0.25">
      <c r="A2534" t="str">
        <f>"20190303162556991"</f>
        <v>20190303162556991</v>
      </c>
      <c r="B2534" t="str">
        <f>"1551601556985711"</f>
        <v>1551601556985711</v>
      </c>
      <c r="C2534" t="s">
        <v>40</v>
      </c>
      <c r="D2534">
        <v>5.065169</v>
      </c>
      <c r="E2534">
        <v>0.51593420000000001</v>
      </c>
      <c r="F2534" t="s">
        <v>48</v>
      </c>
      <c r="G2534">
        <v>-371.91860000000003</v>
      </c>
      <c r="H2534" s="1">
        <v>-5.1577750000000001E-7</v>
      </c>
      <c r="I2534">
        <v>212.3811</v>
      </c>
      <c r="J2534">
        <v>-398.51639999999998</v>
      </c>
      <c r="K2534">
        <v>1.1208929999999999</v>
      </c>
      <c r="L2534">
        <v>214.2636</v>
      </c>
      <c r="M2534">
        <v>0.99983069999999996</v>
      </c>
      <c r="N2534">
        <v>-1.162233E-2</v>
      </c>
      <c r="O2534">
        <v>1.4264560000000001E-2</v>
      </c>
      <c r="P2534">
        <v>0.98266900000000001</v>
      </c>
      <c r="Q2534">
        <v>0.18205669999999999</v>
      </c>
      <c r="R2534">
        <v>-3.488281E-2</v>
      </c>
      <c r="S2534">
        <v>3.07016</v>
      </c>
      <c r="T2534">
        <v>-0.12778019999999901</v>
      </c>
      <c r="U2534">
        <v>-0.21406559999999999</v>
      </c>
      <c r="V2534">
        <v>4.8905089999999998E-2</v>
      </c>
      <c r="W2534">
        <v>0.1934564</v>
      </c>
      <c r="X2534">
        <v>0.97988920000000002</v>
      </c>
      <c r="Y2534">
        <v>8.3680859999999996E-2</v>
      </c>
      <c r="Z2534">
        <v>-2.6529470000000001E-3</v>
      </c>
      <c r="AA2534">
        <v>0.99648899999999996</v>
      </c>
      <c r="AB2534">
        <v>33</v>
      </c>
      <c r="AC2534">
        <v>26.5977999999999</v>
      </c>
      <c r="AD2534">
        <v>-1.1208935157775</v>
      </c>
      <c r="AE2534">
        <v>-1.8824999999999901</v>
      </c>
      <c r="AF2534">
        <v>2.2577502590358298</v>
      </c>
      <c r="AG2534">
        <v>-1.1208935157775</v>
      </c>
      <c r="AH2534">
        <v>26.521372048025398</v>
      </c>
      <c r="AI2534">
        <v>92.411384577816705</v>
      </c>
      <c r="AJ2534">
        <v>85.134172474892907</v>
      </c>
      <c r="AK2534">
        <v>26.6408898840799</v>
      </c>
      <c r="AL2534">
        <v>78.845434741303507</v>
      </c>
      <c r="AM2534">
        <v>87.142807381241497</v>
      </c>
      <c r="AN2534">
        <v>0.99999996540275304</v>
      </c>
    </row>
    <row r="2535" spans="1:40" x14ac:dyDescent="0.25">
      <c r="A2535" t="str">
        <f>"20190303162557013"</f>
        <v>20190303162557013</v>
      </c>
      <c r="B2535" t="str">
        <f>"1551601557006206"</f>
        <v>1551601557006206</v>
      </c>
      <c r="C2535" t="s">
        <v>40</v>
      </c>
      <c r="D2535">
        <v>5.0117729999999998</v>
      </c>
      <c r="E2535">
        <v>0.51533269999999998</v>
      </c>
      <c r="F2535" t="s">
        <v>48</v>
      </c>
      <c r="G2535">
        <v>-372.71409999999997</v>
      </c>
      <c r="H2535" s="1">
        <v>-9.2499929999999999E-8</v>
      </c>
      <c r="I2535">
        <v>212.42060000000001</v>
      </c>
      <c r="J2535">
        <v>-398.19479999999999</v>
      </c>
      <c r="K2535">
        <v>1.1208750000000001</v>
      </c>
      <c r="L2535">
        <v>214.26820000000001</v>
      </c>
      <c r="M2535">
        <v>0.99983080000000002</v>
      </c>
      <c r="N2535">
        <v>-1.1621960000000001E-2</v>
      </c>
      <c r="O2535">
        <v>1.426474E-2</v>
      </c>
      <c r="P2535">
        <v>0.98347989999999996</v>
      </c>
      <c r="Q2535">
        <v>0.1769869</v>
      </c>
      <c r="R2535">
        <v>-3.7988710000000002E-2</v>
      </c>
      <c r="S2535">
        <v>3.0698240000000001</v>
      </c>
      <c r="T2535">
        <v>-0.1333578</v>
      </c>
      <c r="U2535">
        <v>-0.21926880000000001</v>
      </c>
      <c r="V2535">
        <v>5.2022350000000002E-2</v>
      </c>
      <c r="W2535">
        <v>0.1883957</v>
      </c>
      <c r="X2535">
        <v>0.98071439999999999</v>
      </c>
      <c r="Y2535">
        <v>8.5359009999999999E-2</v>
      </c>
      <c r="Z2535">
        <v>-2.8009570000000002E-3</v>
      </c>
      <c r="AA2535">
        <v>0.99634630000000002</v>
      </c>
      <c r="AB2535">
        <v>33</v>
      </c>
      <c r="AC2535">
        <v>25.480699999999999</v>
      </c>
      <c r="AD2535">
        <v>-1.12087509249993</v>
      </c>
      <c r="AE2535">
        <v>-1.8475999999999999</v>
      </c>
      <c r="AF2535">
        <v>2.2066643964525698</v>
      </c>
      <c r="AG2535">
        <v>-1.12087509249993</v>
      </c>
      <c r="AH2535">
        <v>25.402851123048698</v>
      </c>
      <c r="AI2535">
        <v>92.5170131184599</v>
      </c>
      <c r="AJ2535">
        <v>85.035361390111206</v>
      </c>
      <c r="AK2535">
        <v>25.523138010662699</v>
      </c>
      <c r="AL2535">
        <v>79.140826123675396</v>
      </c>
      <c r="AM2535">
        <v>86.963570501196799</v>
      </c>
      <c r="AN2535">
        <v>0.99999999952268603</v>
      </c>
    </row>
    <row r="2536" spans="1:40" x14ac:dyDescent="0.25">
      <c r="A2536" t="str">
        <f>"20190303162557036"</f>
        <v>20190303162557036</v>
      </c>
      <c r="B2536" t="str">
        <f>"1551601557025727"</f>
        <v>1551601557025727</v>
      </c>
      <c r="C2536" t="s">
        <v>40</v>
      </c>
      <c r="D2536">
        <v>5.0846330000000002</v>
      </c>
      <c r="E2536">
        <v>0.51491509999999996</v>
      </c>
      <c r="F2536" t="s">
        <v>48</v>
      </c>
      <c r="G2536">
        <v>-374.82220000000001</v>
      </c>
      <c r="H2536" s="1">
        <v>1.0293389999999901E-6</v>
      </c>
      <c r="I2536">
        <v>212.56739999999999</v>
      </c>
      <c r="J2536">
        <v>-397.85109999999997</v>
      </c>
      <c r="K2536">
        <v>1.120879</v>
      </c>
      <c r="L2536">
        <v>214.2731</v>
      </c>
      <c r="M2536">
        <v>0.99983080000000002</v>
      </c>
      <c r="N2536">
        <v>-1.162181E-2</v>
      </c>
      <c r="O2536">
        <v>1.4265089999999999E-2</v>
      </c>
      <c r="P2536">
        <v>0.98350329999999997</v>
      </c>
      <c r="Q2536">
        <v>0.17640790000000001</v>
      </c>
      <c r="R2536">
        <v>-4.0018100000000001E-2</v>
      </c>
      <c r="S2536">
        <v>3.0682369999999999</v>
      </c>
      <c r="T2536">
        <v>-0.14714289999999999</v>
      </c>
      <c r="U2536">
        <v>-0.22328190000000001</v>
      </c>
      <c r="V2536">
        <v>5.4052080000000002E-2</v>
      </c>
      <c r="W2536">
        <v>0.18781629999999999</v>
      </c>
      <c r="X2536">
        <v>0.98071580000000003</v>
      </c>
      <c r="Y2536">
        <v>8.6668540000000002E-2</v>
      </c>
      <c r="Z2536">
        <v>-3.0963060000000001E-3</v>
      </c>
      <c r="AA2536">
        <v>0.99623240000000002</v>
      </c>
      <c r="AB2536">
        <v>33</v>
      </c>
      <c r="AC2536">
        <v>23.028899999999901</v>
      </c>
      <c r="AD2536">
        <v>-1.1208779706609999</v>
      </c>
      <c r="AE2536">
        <v>-1.7057</v>
      </c>
      <c r="AF2536">
        <v>2.0292767221467201</v>
      </c>
      <c r="AG2536">
        <v>-1.1208779706609999</v>
      </c>
      <c r="AH2536">
        <v>22.948154640658501</v>
      </c>
      <c r="AI2536">
        <v>92.785476185164896</v>
      </c>
      <c r="AJ2536">
        <v>84.946550311652899</v>
      </c>
      <c r="AK2536">
        <v>23.064954646643798</v>
      </c>
      <c r="AL2536">
        <v>79.174627071835999</v>
      </c>
      <c r="AM2536">
        <v>86.845338952796595</v>
      </c>
      <c r="AN2536">
        <v>1.0000000351338201</v>
      </c>
    </row>
    <row r="2537" spans="1:40" x14ac:dyDescent="0.25">
      <c r="A2537" t="str">
        <f>"20190303162557060"</f>
        <v>20190303162557060</v>
      </c>
      <c r="B2537" t="str">
        <f>"1551601557046222"</f>
        <v>1551601557046222</v>
      </c>
      <c r="C2537" t="s">
        <v>40</v>
      </c>
      <c r="D2537">
        <v>5.0514340000000004</v>
      </c>
      <c r="E2537">
        <v>0.51473720000000001</v>
      </c>
      <c r="F2537" t="s">
        <v>48</v>
      </c>
      <c r="G2537">
        <v>-374.46519999999998</v>
      </c>
      <c r="H2537" s="1">
        <v>8.3938129999999999E-7</v>
      </c>
      <c r="I2537">
        <v>212.54560000000001</v>
      </c>
      <c r="J2537">
        <v>-397.48930000000001</v>
      </c>
      <c r="K2537">
        <v>1.120886</v>
      </c>
      <c r="L2537">
        <v>214.2783</v>
      </c>
      <c r="M2537">
        <v>0.99983069999999996</v>
      </c>
      <c r="N2537">
        <v>-1.1621859999999999E-2</v>
      </c>
      <c r="O2537">
        <v>1.4265389999999999E-2</v>
      </c>
      <c r="P2537">
        <v>0.98310730000000002</v>
      </c>
      <c r="Q2537">
        <v>0.17826320000000001</v>
      </c>
      <c r="R2537">
        <v>-4.14975E-2</v>
      </c>
      <c r="S2537">
        <v>3.0674440000000001</v>
      </c>
      <c r="T2537">
        <v>-0.1470214</v>
      </c>
      <c r="U2537">
        <v>-0.22659299999999999</v>
      </c>
      <c r="V2537">
        <v>5.5526180000000001E-2</v>
      </c>
      <c r="W2537">
        <v>0.18966649999999999</v>
      </c>
      <c r="X2537">
        <v>0.98027719999999896</v>
      </c>
      <c r="Y2537">
        <v>8.7755669999999994E-2</v>
      </c>
      <c r="Z2537">
        <v>-3.1270069999999998E-3</v>
      </c>
      <c r="AA2537">
        <v>0.9961371</v>
      </c>
      <c r="AB2537">
        <v>33</v>
      </c>
      <c r="AC2537">
        <v>23.024100000000001</v>
      </c>
      <c r="AD2537">
        <v>-1.1208851606187</v>
      </c>
      <c r="AE2537">
        <v>-1.7326999999999899</v>
      </c>
      <c r="AF2537">
        <v>2.0561478905771899</v>
      </c>
      <c r="AG2537">
        <v>-1.1208851606187</v>
      </c>
      <c r="AH2537">
        <v>22.942967850555501</v>
      </c>
      <c r="AI2537">
        <v>92.785830100143301</v>
      </c>
      <c r="AJ2537">
        <v>84.878835831045095</v>
      </c>
      <c r="AK2537">
        <v>23.062174691100601</v>
      </c>
      <c r="AL2537">
        <v>79.066677429072101</v>
      </c>
      <c r="AM2537">
        <v>86.758039653738706</v>
      </c>
      <c r="AN2537">
        <v>0.99999996336373997</v>
      </c>
    </row>
    <row r="2538" spans="1:40" x14ac:dyDescent="0.25">
      <c r="A2538" t="str">
        <f>"20190303162557082"</f>
        <v>20190303162557082</v>
      </c>
      <c r="B2538" t="str">
        <f>"1551601557075502"</f>
        <v>1551601557075502</v>
      </c>
      <c r="C2538" t="s">
        <v>40</v>
      </c>
      <c r="D2538">
        <v>5.0275819999999998</v>
      </c>
      <c r="E2538">
        <v>0.51416799999999996</v>
      </c>
      <c r="F2538" t="s">
        <v>48</v>
      </c>
      <c r="G2538">
        <v>-372.87470000000002</v>
      </c>
      <c r="H2538" s="1">
        <v>-7.0090780000000001E-9</v>
      </c>
      <c r="I2538">
        <v>212.4359</v>
      </c>
      <c r="J2538">
        <v>-397.16410000000002</v>
      </c>
      <c r="K2538">
        <v>1.1208819999999999</v>
      </c>
      <c r="L2538">
        <v>214.28290000000001</v>
      </c>
      <c r="M2538">
        <v>0.99983080000000002</v>
      </c>
      <c r="N2538">
        <v>-1.162202E-2</v>
      </c>
      <c r="O2538">
        <v>1.426557E-2</v>
      </c>
      <c r="P2538">
        <v>0.98321809999999998</v>
      </c>
      <c r="Q2538">
        <v>0.1777107</v>
      </c>
      <c r="R2538">
        <v>-4.1249510000000003E-2</v>
      </c>
      <c r="S2538">
        <v>3.0671689999999998</v>
      </c>
      <c r="T2538">
        <v>-0.1396713</v>
      </c>
      <c r="U2538">
        <v>-0.22956850000000001</v>
      </c>
      <c r="V2538">
        <v>5.5279639999999998E-2</v>
      </c>
      <c r="W2538">
        <v>0.1891158</v>
      </c>
      <c r="X2538">
        <v>0.98039759999999998</v>
      </c>
      <c r="Y2538">
        <v>8.8734300000000002E-2</v>
      </c>
      <c r="Z2538">
        <v>-3.0161749999999998E-3</v>
      </c>
      <c r="AA2538">
        <v>0.99605080000000001</v>
      </c>
      <c r="AB2538">
        <v>33</v>
      </c>
      <c r="AC2538">
        <v>24.289400000000001</v>
      </c>
      <c r="AD2538">
        <v>-1.1208820070090699</v>
      </c>
      <c r="AE2538">
        <v>-1.847</v>
      </c>
      <c r="AF2538">
        <v>2.1887033906925799</v>
      </c>
      <c r="AG2538">
        <v>-1.1208820070090699</v>
      </c>
      <c r="AH2538">
        <v>24.209319358160201</v>
      </c>
      <c r="AI2538">
        <v>92.640126782579898</v>
      </c>
      <c r="AJ2538">
        <v>84.834077379214804</v>
      </c>
      <c r="AK2538">
        <v>24.333884662985</v>
      </c>
      <c r="AL2538">
        <v>79.098812630498301</v>
      </c>
      <c r="AM2538">
        <v>86.772799211297993</v>
      </c>
      <c r="AN2538">
        <v>1.0000000392469599</v>
      </c>
    </row>
    <row r="2539" spans="1:40" x14ac:dyDescent="0.25">
      <c r="A2539" t="str">
        <f>"20190303162557125"</f>
        <v>20190303162557125</v>
      </c>
      <c r="B2539" t="str">
        <f>"1551601557115519"</f>
        <v>1551601557115519</v>
      </c>
      <c r="C2539" t="s">
        <v>40</v>
      </c>
      <c r="D2539">
        <v>5.0191790000000003</v>
      </c>
      <c r="E2539">
        <v>0.51381120000000002</v>
      </c>
      <c r="F2539" t="s">
        <v>48</v>
      </c>
      <c r="G2539">
        <v>-372.09269999999998</v>
      </c>
      <c r="H2539" s="1">
        <v>-4.23153E-7</v>
      </c>
      <c r="I2539">
        <v>212.4539</v>
      </c>
      <c r="J2539">
        <v>-396.51979999999998</v>
      </c>
      <c r="K2539">
        <v>1.120865</v>
      </c>
      <c r="L2539">
        <v>214.2921</v>
      </c>
      <c r="M2539">
        <v>0.99983069999999996</v>
      </c>
      <c r="N2539">
        <v>-1.1622550000000001E-2</v>
      </c>
      <c r="O2539">
        <v>1.4266050000000001E-2</v>
      </c>
      <c r="P2539">
        <v>0.98354540000000001</v>
      </c>
      <c r="Q2539">
        <v>0.17646239999999999</v>
      </c>
      <c r="R2539">
        <v>-3.8722600000000003E-2</v>
      </c>
      <c r="S2539">
        <v>3.066589</v>
      </c>
      <c r="T2539">
        <v>-0.1370999</v>
      </c>
      <c r="U2539">
        <v>-0.22370909999999999</v>
      </c>
      <c r="V2539">
        <v>5.2758149999999997E-2</v>
      </c>
      <c r="W2539">
        <v>0.18787209999999999</v>
      </c>
      <c r="X2539">
        <v>0.98077550000000002</v>
      </c>
      <c r="Y2539">
        <v>8.686228E-2</v>
      </c>
      <c r="Z2539">
        <v>-2.9151340000000002E-3</v>
      </c>
      <c r="AA2539">
        <v>0.99621610000000005</v>
      </c>
      <c r="AB2539">
        <v>33</v>
      </c>
      <c r="AC2539">
        <v>24.427099999999999</v>
      </c>
      <c r="AD2539">
        <v>-1.120865423153</v>
      </c>
      <c r="AE2539">
        <v>-1.8382000000000001</v>
      </c>
      <c r="AF2539">
        <v>2.1819463719274101</v>
      </c>
      <c r="AG2539">
        <v>-1.120865423153</v>
      </c>
      <c r="AH2539">
        <v>24.347412475238698</v>
      </c>
      <c r="AI2539">
        <v>92.625319780318605</v>
      </c>
      <c r="AJ2539">
        <v>84.878994091075199</v>
      </c>
      <c r="AK2539">
        <v>24.4706706795338</v>
      </c>
      <c r="AL2539">
        <v>79.171371253820496</v>
      </c>
      <c r="AM2539">
        <v>86.920897022765502</v>
      </c>
      <c r="AN2539">
        <v>0.99999996487503995</v>
      </c>
    </row>
    <row r="2540" spans="1:40" x14ac:dyDescent="0.25">
      <c r="A2540" t="str">
        <f>"20190303162557147"</f>
        <v>20190303162557147</v>
      </c>
      <c r="B2540" t="str">
        <f>"1551601557136015"</f>
        <v>1551601557136015</v>
      </c>
      <c r="C2540" t="s">
        <v>40</v>
      </c>
      <c r="D2540">
        <v>4.9140379999999997</v>
      </c>
      <c r="E2540">
        <v>0.51358899999999996</v>
      </c>
      <c r="F2540" t="s">
        <v>48</v>
      </c>
      <c r="G2540">
        <v>-371.30250000000001</v>
      </c>
      <c r="H2540" s="1">
        <v>-8.4364789999999997E-7</v>
      </c>
      <c r="I2540">
        <v>212.53620000000001</v>
      </c>
      <c r="J2540">
        <v>-396.18599999999998</v>
      </c>
      <c r="K2540">
        <v>1.120865</v>
      </c>
      <c r="L2540">
        <v>214.29689999999999</v>
      </c>
      <c r="M2540">
        <v>0.99983069999999996</v>
      </c>
      <c r="N2540">
        <v>-1.162295E-2</v>
      </c>
      <c r="O2540">
        <v>1.426622E-2</v>
      </c>
      <c r="P2540">
        <v>0.98363460000000003</v>
      </c>
      <c r="Q2540">
        <v>0.175927</v>
      </c>
      <c r="R2540">
        <v>-3.8891929999999998E-2</v>
      </c>
      <c r="S2540">
        <v>3.0662229999999999</v>
      </c>
      <c r="T2540">
        <v>-0.13628860000000001</v>
      </c>
      <c r="U2540">
        <v>-0.213501</v>
      </c>
      <c r="V2540">
        <v>5.2928879999999998E-2</v>
      </c>
      <c r="W2540">
        <v>0.18733810000000001</v>
      </c>
      <c r="X2540">
        <v>0.98086850000000003</v>
      </c>
      <c r="Y2540">
        <v>8.3576049999999999E-2</v>
      </c>
      <c r="Z2540">
        <v>-2.8084080000000001E-3</v>
      </c>
      <c r="AA2540">
        <v>0.99649750000000004</v>
      </c>
      <c r="AB2540">
        <v>33</v>
      </c>
      <c r="AC2540">
        <v>24.883499999999898</v>
      </c>
      <c r="AD2540">
        <v>-1.1208658436479</v>
      </c>
      <c r="AE2540">
        <v>-1.7606999999999799</v>
      </c>
      <c r="AF2540">
        <v>2.1112757909958599</v>
      </c>
      <c r="AG2540">
        <v>-1.1208658436479</v>
      </c>
      <c r="AH2540">
        <v>24.805766661203599</v>
      </c>
      <c r="AI2540">
        <v>92.577882133551299</v>
      </c>
      <c r="AJ2540">
        <v>85.135149123976902</v>
      </c>
      <c r="AK2540">
        <v>24.920671847989698</v>
      </c>
      <c r="AL2540">
        <v>79.202520892904602</v>
      </c>
      <c r="AM2540">
        <v>86.9112443597881</v>
      </c>
      <c r="AN2540">
        <v>1.00000002217095</v>
      </c>
    </row>
    <row r="2541" spans="1:40" x14ac:dyDescent="0.25">
      <c r="A2541" t="str">
        <f>"20190303162557171"</f>
        <v>20190303162557171</v>
      </c>
      <c r="B2541" t="str">
        <f>"1551601557155536"</f>
        <v>1551601557155536</v>
      </c>
      <c r="C2541" t="s">
        <v>40</v>
      </c>
      <c r="D2541">
        <v>4.7931169999999996</v>
      </c>
      <c r="E2541">
        <v>0.51329239999999998</v>
      </c>
      <c r="F2541" t="s">
        <v>48</v>
      </c>
      <c r="G2541">
        <v>-370.8732</v>
      </c>
      <c r="H2541" s="1">
        <v>-1.0721299999999899E-6</v>
      </c>
      <c r="I2541">
        <v>212.5401</v>
      </c>
      <c r="J2541">
        <v>-395.83940000000001</v>
      </c>
      <c r="K2541">
        <v>1.1208629999999999</v>
      </c>
      <c r="L2541">
        <v>214.30179999999999</v>
      </c>
      <c r="M2541">
        <v>0.99983069999999996</v>
      </c>
      <c r="N2541">
        <v>-1.162345E-2</v>
      </c>
      <c r="O2541">
        <v>1.42664E-2</v>
      </c>
      <c r="P2541">
        <v>0.98364390000000002</v>
      </c>
      <c r="Q2541">
        <v>0.175816</v>
      </c>
      <c r="R2541">
        <v>-3.9161849999999998E-2</v>
      </c>
      <c r="S2541">
        <v>3.0657649999999999</v>
      </c>
      <c r="T2541">
        <v>-0.13575400000000001</v>
      </c>
      <c r="U2541">
        <v>-0.2127686</v>
      </c>
      <c r="V2541">
        <v>5.3198990000000002E-2</v>
      </c>
      <c r="W2541">
        <v>0.18722810000000001</v>
      </c>
      <c r="X2541">
        <v>0.98087489999999999</v>
      </c>
      <c r="Y2541">
        <v>8.3350670000000002E-2</v>
      </c>
      <c r="Z2541">
        <v>-2.7927659999999999E-3</v>
      </c>
      <c r="AA2541">
        <v>0.99651630000000002</v>
      </c>
      <c r="AB2541">
        <v>33</v>
      </c>
      <c r="AC2541">
        <v>24.966200000000001</v>
      </c>
      <c r="AD2541">
        <v>-1.1208640721299901</v>
      </c>
      <c r="AE2541">
        <v>-1.7616999999999901</v>
      </c>
      <c r="AF2541">
        <v>2.1134837353360001</v>
      </c>
      <c r="AG2541">
        <v>-1.1208640721299901</v>
      </c>
      <c r="AH2541">
        <v>24.8886074790843</v>
      </c>
      <c r="AI2541">
        <v>92.569351350284407</v>
      </c>
      <c r="AJ2541">
        <v>85.146217744031304</v>
      </c>
      <c r="AK2541">
        <v>25.003318420074802</v>
      </c>
      <c r="AL2541">
        <v>79.208937058576495</v>
      </c>
      <c r="AM2541">
        <v>86.895532598872506</v>
      </c>
      <c r="AN2541">
        <v>1.00000003170831</v>
      </c>
    </row>
    <row r="2542" spans="1:40" x14ac:dyDescent="0.25">
      <c r="A2542" t="str">
        <f>"20190303162557192"</f>
        <v>20190303162557192</v>
      </c>
      <c r="B2542" t="str">
        <f>"1551601557185792"</f>
        <v>1551601557185792</v>
      </c>
      <c r="C2542" t="s">
        <v>40</v>
      </c>
      <c r="D2542">
        <v>4.945608</v>
      </c>
      <c r="E2542">
        <v>0.51319959999999998</v>
      </c>
      <c r="F2542" t="s">
        <v>48</v>
      </c>
      <c r="G2542">
        <v>-370.11090000000002</v>
      </c>
      <c r="H2542" s="1">
        <v>-1.4777949999999999E-6</v>
      </c>
      <c r="I2542">
        <v>212.52619999999999</v>
      </c>
      <c r="J2542">
        <v>-395.51029999999997</v>
      </c>
      <c r="K2542">
        <v>1.1208640000000001</v>
      </c>
      <c r="L2542">
        <v>214.3065</v>
      </c>
      <c r="M2542">
        <v>0.99983069999999996</v>
      </c>
      <c r="N2542">
        <v>-1.1623959999999999E-2</v>
      </c>
      <c r="O2542">
        <v>1.426676E-2</v>
      </c>
      <c r="P2542">
        <v>0.98369200000000001</v>
      </c>
      <c r="Q2542">
        <v>0.17552709999999999</v>
      </c>
      <c r="R2542">
        <v>-3.9246820000000002E-2</v>
      </c>
      <c r="S2542">
        <v>3.065369</v>
      </c>
      <c r="T2542">
        <v>-0.1335431</v>
      </c>
      <c r="U2542">
        <v>-0.21154790000000001</v>
      </c>
      <c r="V2542">
        <v>5.3284930000000001E-2</v>
      </c>
      <c r="W2542">
        <v>0.18694</v>
      </c>
      <c r="X2542">
        <v>0.98092509999999999</v>
      </c>
      <c r="Y2542">
        <v>8.2968730000000004E-2</v>
      </c>
      <c r="Z2542">
        <v>-2.742352E-3</v>
      </c>
      <c r="AA2542">
        <v>0.9965484</v>
      </c>
      <c r="AB2542">
        <v>34</v>
      </c>
      <c r="AC2542">
        <v>25.399399999999901</v>
      </c>
      <c r="AD2542">
        <v>-1.12086547779499</v>
      </c>
      <c r="AE2542">
        <v>-1.78030000000001</v>
      </c>
      <c r="AF2542">
        <v>2.1383664535666398</v>
      </c>
      <c r="AG2542">
        <v>-1.12086547779499</v>
      </c>
      <c r="AH2542">
        <v>25.3223415915648</v>
      </c>
      <c r="AI2542">
        <v>92.525502878858305</v>
      </c>
      <c r="AJ2542">
        <v>85.173061719769095</v>
      </c>
      <c r="AK2542">
        <v>25.437176222783599</v>
      </c>
      <c r="AL2542">
        <v>79.225739762666393</v>
      </c>
      <c r="AM2542">
        <v>86.890686157253896</v>
      </c>
      <c r="AN2542">
        <v>0.999999949587556</v>
      </c>
    </row>
    <row r="2543" spans="1:40" x14ac:dyDescent="0.25">
      <c r="A2543" t="str">
        <f>"20190303162557214"</f>
        <v>20190303162557214</v>
      </c>
      <c r="B2543" t="str">
        <f>"1551601557206287"</f>
        <v>1551601557206287</v>
      </c>
      <c r="C2543" t="s">
        <v>40</v>
      </c>
      <c r="D2543">
        <v>4.953862</v>
      </c>
      <c r="E2543">
        <v>0.51311039999999997</v>
      </c>
      <c r="F2543" t="s">
        <v>48</v>
      </c>
      <c r="G2543">
        <v>-369.36130000000003</v>
      </c>
      <c r="H2543" s="1">
        <v>3.444851E-6</v>
      </c>
      <c r="I2543">
        <v>212.51159999999999</v>
      </c>
      <c r="J2543">
        <v>-395.1814</v>
      </c>
      <c r="K2543">
        <v>1.120878</v>
      </c>
      <c r="L2543">
        <v>214.31120000000001</v>
      </c>
      <c r="M2543">
        <v>0.99983069999999996</v>
      </c>
      <c r="N2543">
        <v>-1.1624550000000001E-2</v>
      </c>
      <c r="O2543">
        <v>1.426675E-2</v>
      </c>
      <c r="P2543">
        <v>0.98346330000000004</v>
      </c>
      <c r="Q2543">
        <v>0.177154799999999</v>
      </c>
      <c r="R2543">
        <v>-3.7635450000000001E-2</v>
      </c>
      <c r="S2543">
        <v>3.064819</v>
      </c>
      <c r="T2543">
        <v>-0.13137170000000001</v>
      </c>
      <c r="U2543">
        <v>-0.2103729</v>
      </c>
      <c r="V2543">
        <v>5.1670510000000003E-2</v>
      </c>
      <c r="W2543">
        <v>0.1885657</v>
      </c>
      <c r="X2543">
        <v>0.98070029999999997</v>
      </c>
      <c r="Y2543">
        <v>8.260431E-2</v>
      </c>
      <c r="Z2543">
        <v>-2.6934960000000001E-3</v>
      </c>
      <c r="AA2543">
        <v>0.99657879999999999</v>
      </c>
      <c r="AB2543">
        <v>34</v>
      </c>
      <c r="AC2543">
        <v>25.820099999999901</v>
      </c>
      <c r="AD2543">
        <v>-1.120874555149</v>
      </c>
      <c r="AE2543">
        <v>-1.7996000000000201</v>
      </c>
      <c r="AF2543">
        <v>2.1637527065311501</v>
      </c>
      <c r="AG2543">
        <v>-1.120874555149</v>
      </c>
      <c r="AH2543">
        <v>25.743516266248001</v>
      </c>
      <c r="AI2543">
        <v>92.484338964182598</v>
      </c>
      <c r="AJ2543">
        <v>85.1955594818468</v>
      </c>
      <c r="AK2543">
        <v>25.858592678140401</v>
      </c>
      <c r="AL2543">
        <v>79.130907772006694</v>
      </c>
      <c r="AM2543">
        <v>86.984025300952794</v>
      </c>
      <c r="AN2543">
        <v>0.999999971620119</v>
      </c>
    </row>
    <row r="2544" spans="1:40" x14ac:dyDescent="0.25">
      <c r="A2544" t="str">
        <f>"20190303162557237"</f>
        <v>20190303162557237</v>
      </c>
      <c r="B2544" t="str">
        <f>"1551601557225807"</f>
        <v>1551601557225807</v>
      </c>
      <c r="C2544" t="s">
        <v>40</v>
      </c>
      <c r="D2544">
        <v>4.9477570000000002</v>
      </c>
      <c r="E2544">
        <v>0.51300979999999996</v>
      </c>
      <c r="F2544" t="s">
        <v>48</v>
      </c>
      <c r="G2544">
        <v>-367.59399999999999</v>
      </c>
      <c r="H2544" s="1">
        <v>2.504334E-6</v>
      </c>
      <c r="I2544">
        <v>212.4716</v>
      </c>
      <c r="J2544">
        <v>-394.84109999999998</v>
      </c>
      <c r="K2544">
        <v>1.120897</v>
      </c>
      <c r="L2544">
        <v>214.31610000000001</v>
      </c>
      <c r="M2544">
        <v>0.99983080000000002</v>
      </c>
      <c r="N2544">
        <v>-1.162116E-2</v>
      </c>
      <c r="O2544">
        <v>1.426707E-2</v>
      </c>
      <c r="P2544">
        <v>0.98281830000000003</v>
      </c>
      <c r="Q2544">
        <v>0.18092469999999999</v>
      </c>
      <c r="R2544">
        <v>-3.6534560000000001E-2</v>
      </c>
      <c r="S2544">
        <v>3.0650629999999999</v>
      </c>
      <c r="T2544">
        <v>-0.124533199999999</v>
      </c>
      <c r="U2544">
        <v>-0.2043915</v>
      </c>
      <c r="V2544">
        <v>5.0560929999999997E-2</v>
      </c>
      <c r="W2544">
        <v>0.192325</v>
      </c>
      <c r="X2544">
        <v>0.98002789999999995</v>
      </c>
      <c r="Y2544">
        <v>8.0674830000000003E-2</v>
      </c>
      <c r="Z2544">
        <v>-2.5192499999999998E-3</v>
      </c>
      <c r="AA2544">
        <v>0.99673730000000005</v>
      </c>
      <c r="AB2544">
        <v>34</v>
      </c>
      <c r="AC2544">
        <v>27.2470999999999</v>
      </c>
      <c r="AD2544">
        <v>-1.1208944956659901</v>
      </c>
      <c r="AE2544">
        <v>-1.84450000000001</v>
      </c>
      <c r="AF2544">
        <v>2.2293191658813201</v>
      </c>
      <c r="AG2544">
        <v>-1.1208944956659901</v>
      </c>
      <c r="AH2544">
        <v>27.1722340129445</v>
      </c>
      <c r="AI2544">
        <v>92.354294220505594</v>
      </c>
      <c r="AJ2544">
        <v>85.3097291504168</v>
      </c>
      <c r="AK2544">
        <v>27.2865639036504</v>
      </c>
      <c r="AL2544">
        <v>78.911500256919993</v>
      </c>
      <c r="AM2544">
        <v>87.046653694365006</v>
      </c>
      <c r="AN2544">
        <v>0.99999999902293701</v>
      </c>
    </row>
    <row r="2545" spans="1:40" x14ac:dyDescent="0.25">
      <c r="A2545" t="str">
        <f>"20190303162557260"</f>
        <v>20190303162557260</v>
      </c>
      <c r="B2545" t="str">
        <f>"1551601557245326"</f>
        <v>1551601557245326</v>
      </c>
      <c r="C2545" t="s">
        <v>40</v>
      </c>
      <c r="D2545">
        <v>4.9441959999999998</v>
      </c>
      <c r="E2545">
        <v>0.51295059999999904</v>
      </c>
      <c r="F2545" t="s">
        <v>48</v>
      </c>
      <c r="G2545">
        <v>-363.75970000000001</v>
      </c>
      <c r="H2545" s="1">
        <v>4.639462E-7</v>
      </c>
      <c r="I2545">
        <v>212.26689999999999</v>
      </c>
      <c r="J2545">
        <v>-394.49209999999999</v>
      </c>
      <c r="K2545">
        <v>1.1208929999999999</v>
      </c>
      <c r="L2545">
        <v>214.321</v>
      </c>
      <c r="M2545">
        <v>0.99983080000000002</v>
      </c>
      <c r="N2545">
        <v>-1.1613119999999999E-2</v>
      </c>
      <c r="O2545">
        <v>1.42673E-2</v>
      </c>
      <c r="P2545">
        <v>0.98289780000000004</v>
      </c>
      <c r="Q2545">
        <v>0.18064</v>
      </c>
      <c r="R2545">
        <v>-3.5798549999999998E-2</v>
      </c>
      <c r="S2545">
        <v>3.065277</v>
      </c>
      <c r="T2545">
        <v>-0.1105438</v>
      </c>
      <c r="U2545">
        <v>-0.2020874</v>
      </c>
      <c r="V2545">
        <v>4.9826380000000003E-2</v>
      </c>
      <c r="W2545">
        <v>0.1920335</v>
      </c>
      <c r="X2545">
        <v>0.98012270000000001</v>
      </c>
      <c r="Y2545">
        <v>7.9943050000000002E-2</v>
      </c>
      <c r="Z2545">
        <v>-2.2527720000000001E-3</v>
      </c>
      <c r="AA2545">
        <v>0.99679689999999999</v>
      </c>
      <c r="AB2545">
        <v>34</v>
      </c>
      <c r="AC2545">
        <v>30.732399999999899</v>
      </c>
      <c r="AD2545">
        <v>-1.1208925360538</v>
      </c>
      <c r="AE2545">
        <v>-2.0541</v>
      </c>
      <c r="AF2545">
        <v>2.4890924265938099</v>
      </c>
      <c r="AG2545">
        <v>-1.1208925360538</v>
      </c>
      <c r="AH2545">
        <v>30.659359716183602</v>
      </c>
      <c r="AI2545">
        <v>92.086915558946501</v>
      </c>
      <c r="AJ2545">
        <v>85.3585985442393</v>
      </c>
      <c r="AK2545">
        <v>30.780648456324801</v>
      </c>
      <c r="AL2545">
        <v>78.928519449774797</v>
      </c>
      <c r="AM2545">
        <v>87.089766669625604</v>
      </c>
      <c r="AN2545">
        <v>1.00000002016072</v>
      </c>
    </row>
    <row r="2546" spans="1:40" x14ac:dyDescent="0.25">
      <c r="A2546" t="str">
        <f>"20190303162557284"</f>
        <v>20190303162557284</v>
      </c>
      <c r="B2546" t="str">
        <f>"1551601557275583"</f>
        <v>1551601557275583</v>
      </c>
      <c r="C2546" t="s">
        <v>40</v>
      </c>
      <c r="D2546">
        <v>5.1620160000000004</v>
      </c>
      <c r="E2546">
        <v>0.51285979999999998</v>
      </c>
      <c r="F2546" t="s">
        <v>48</v>
      </c>
      <c r="G2546">
        <v>-363.08539999999999</v>
      </c>
      <c r="H2546" s="1">
        <v>1.0513130000000001E-7</v>
      </c>
      <c r="I2546">
        <v>212.27160000000001</v>
      </c>
      <c r="J2546">
        <v>-394.14060000000001</v>
      </c>
      <c r="K2546">
        <v>1.1208830000000001</v>
      </c>
      <c r="L2546">
        <v>214.3261</v>
      </c>
      <c r="M2546">
        <v>0.99983089999999997</v>
      </c>
      <c r="N2546">
        <v>-1.160401E-2</v>
      </c>
      <c r="O2546">
        <v>1.4267709999999999E-2</v>
      </c>
      <c r="P2546">
        <v>0.98327260000000005</v>
      </c>
      <c r="Q2546">
        <v>0.178778399999999</v>
      </c>
      <c r="R2546">
        <v>-3.4838769999999998E-2</v>
      </c>
      <c r="S2546">
        <v>3.0650330000000001</v>
      </c>
      <c r="T2546">
        <v>-0.109389899999999</v>
      </c>
      <c r="U2546">
        <v>-0.2000122</v>
      </c>
      <c r="V2546">
        <v>4.8872289999999999E-2</v>
      </c>
      <c r="W2546">
        <v>0.19016739999999999</v>
      </c>
      <c r="X2546">
        <v>0.98053449999999998</v>
      </c>
      <c r="Y2546">
        <v>7.9278589999999996E-2</v>
      </c>
      <c r="Z2546">
        <v>-2.2166450000000002E-3</v>
      </c>
      <c r="AA2546">
        <v>0.99685000000000001</v>
      </c>
      <c r="AB2546">
        <v>34</v>
      </c>
      <c r="AC2546">
        <v>31.055199999999999</v>
      </c>
      <c r="AD2546">
        <v>-1.1208828948687</v>
      </c>
      <c r="AE2546">
        <v>-2.0544999999999898</v>
      </c>
      <c r="AF2546">
        <v>2.4941722028231701</v>
      </c>
      <c r="AG2546">
        <v>-1.1208828948687</v>
      </c>
      <c r="AH2546">
        <v>30.9825377540934</v>
      </c>
      <c r="AI2546">
        <v>92.065261373876297</v>
      </c>
      <c r="AJ2546">
        <v>85.397471007207599</v>
      </c>
      <c r="AK2546">
        <v>31.102972834202902</v>
      </c>
      <c r="AL2546">
        <v>79.037446627972002</v>
      </c>
      <c r="AM2546">
        <v>87.146596473423301</v>
      </c>
      <c r="AN2546">
        <v>1.0000000232214199</v>
      </c>
    </row>
    <row r="2547" spans="1:40" x14ac:dyDescent="0.25">
      <c r="A2547" t="str">
        <f>"20190303162557326"</f>
        <v>20190303162557326</v>
      </c>
      <c r="B2547" t="str">
        <f>"1551601557316575"</f>
        <v>1551601557316575</v>
      </c>
      <c r="C2547" t="s">
        <v>40</v>
      </c>
      <c r="D2547">
        <v>5.0094370000000001</v>
      </c>
      <c r="E2547">
        <v>0.51256459999999904</v>
      </c>
      <c r="F2547" t="s">
        <v>48</v>
      </c>
      <c r="G2547">
        <v>-363.59840000000003</v>
      </c>
      <c r="H2547" s="1">
        <v>3.7811090000000002E-7</v>
      </c>
      <c r="I2547">
        <v>212.376</v>
      </c>
      <c r="J2547">
        <v>-393.50389999999999</v>
      </c>
      <c r="K2547">
        <v>1.120876</v>
      </c>
      <c r="L2547">
        <v>214.33519999999999</v>
      </c>
      <c r="M2547">
        <v>0.99983100000000003</v>
      </c>
      <c r="N2547">
        <v>-1.158879E-2</v>
      </c>
      <c r="O2547">
        <v>1.426827E-2</v>
      </c>
      <c r="P2547">
        <v>0.98342989999999997</v>
      </c>
      <c r="Q2547">
        <v>0.1782146</v>
      </c>
      <c r="R2547">
        <v>-3.3249059999999997E-2</v>
      </c>
      <c r="S2547">
        <v>3.0645449999999999</v>
      </c>
      <c r="T2547">
        <v>-0.1124672</v>
      </c>
      <c r="U2547">
        <v>-0.19566349999999999</v>
      </c>
      <c r="V2547">
        <v>4.7285559999999997E-2</v>
      </c>
      <c r="W2547">
        <v>0.18959110000000001</v>
      </c>
      <c r="X2547">
        <v>0.98072389999999998</v>
      </c>
      <c r="Y2547">
        <v>7.7878230000000007E-2</v>
      </c>
      <c r="Z2547">
        <v>-2.2368829999999998E-3</v>
      </c>
      <c r="AA2547">
        <v>0.99696030000000002</v>
      </c>
      <c r="AB2547">
        <v>34</v>
      </c>
      <c r="AC2547">
        <v>29.9054999999999</v>
      </c>
      <c r="AD2547">
        <v>-1.1208756218891001</v>
      </c>
      <c r="AE2547">
        <v>-1.9592000000000001</v>
      </c>
      <c r="AF2547">
        <v>2.38239648166534</v>
      </c>
      <c r="AG2547">
        <v>-1.1208756218891001</v>
      </c>
      <c r="AH2547">
        <v>29.832769229857799</v>
      </c>
      <c r="AI2547">
        <v>92.144880590156205</v>
      </c>
      <c r="AJ2547">
        <v>85.4341417253613</v>
      </c>
      <c r="AK2547">
        <v>29.948727770600598</v>
      </c>
      <c r="AL2547">
        <v>79.071078197635103</v>
      </c>
      <c r="AM2547">
        <v>87.239624167780804</v>
      </c>
      <c r="AN2547">
        <v>1.0000000387074599</v>
      </c>
    </row>
    <row r="2548" spans="1:40" x14ac:dyDescent="0.25">
      <c r="A2548" t="str">
        <f>"20190303162557347"</f>
        <v>20190303162557347</v>
      </c>
      <c r="B2548" t="str">
        <f>"1551601557336095"</f>
        <v>1551601557336095</v>
      </c>
      <c r="C2548" t="s">
        <v>40</v>
      </c>
      <c r="D2548">
        <v>5.0485089999999904</v>
      </c>
      <c r="E2548">
        <v>0.51240459999999999</v>
      </c>
      <c r="F2548" t="s">
        <v>48</v>
      </c>
      <c r="G2548">
        <v>-361.91520000000003</v>
      </c>
      <c r="H2548" s="1">
        <v>-5.1760610000000003E-7</v>
      </c>
      <c r="I2548">
        <v>212.39259999999999</v>
      </c>
      <c r="J2548">
        <v>-393.17739999999998</v>
      </c>
      <c r="K2548">
        <v>1.1208670000000001</v>
      </c>
      <c r="L2548">
        <v>214.3399</v>
      </c>
      <c r="M2548">
        <v>0.99983109999999997</v>
      </c>
      <c r="N2548">
        <v>-1.158183E-2</v>
      </c>
      <c r="O2548">
        <v>1.4268670000000001E-2</v>
      </c>
      <c r="P2548">
        <v>0.98341579999999995</v>
      </c>
      <c r="Q2548">
        <v>0.17840610000000001</v>
      </c>
      <c r="R2548">
        <v>-3.2632649999999999E-2</v>
      </c>
      <c r="S2548">
        <v>3.0638730000000001</v>
      </c>
      <c r="T2548">
        <v>-0.1087167</v>
      </c>
      <c r="U2548">
        <v>-0.18841550000000001</v>
      </c>
      <c r="V2548">
        <v>4.6669389999999998E-2</v>
      </c>
      <c r="W2548">
        <v>0.189776</v>
      </c>
      <c r="X2548">
        <v>0.98071759999999997</v>
      </c>
      <c r="Y2548">
        <v>7.5549439999999995E-2</v>
      </c>
      <c r="Z2548">
        <v>-2.1174509999999998E-3</v>
      </c>
      <c r="AA2548">
        <v>0.99713980000000002</v>
      </c>
      <c r="AB2548">
        <v>34</v>
      </c>
      <c r="AC2548">
        <v>31.262199999999901</v>
      </c>
      <c r="AD2548">
        <v>-1.1208675176061</v>
      </c>
      <c r="AE2548">
        <v>-1.94730000000001</v>
      </c>
      <c r="AF2548">
        <v>2.39014104455131</v>
      </c>
      <c r="AG2548">
        <v>-1.1208675176061</v>
      </c>
      <c r="AH2548">
        <v>31.191288560136702</v>
      </c>
      <c r="AI2548">
        <v>92.052043249359201</v>
      </c>
      <c r="AJ2548">
        <v>85.618074870078402</v>
      </c>
      <c r="AK2548">
        <v>31.302804990073799</v>
      </c>
      <c r="AL2548">
        <v>79.060287743522906</v>
      </c>
      <c r="AM2548">
        <v>87.275522122274097</v>
      </c>
      <c r="AN2548">
        <v>0.99999998654436595</v>
      </c>
    </row>
    <row r="2549" spans="1:40" x14ac:dyDescent="0.25">
      <c r="A2549" t="str">
        <f>"20190303162557370"</f>
        <v>20190303162557370</v>
      </c>
      <c r="B2549" t="str">
        <f>"1551601557355615"</f>
        <v>1551601557355615</v>
      </c>
      <c r="C2549" t="s">
        <v>40</v>
      </c>
      <c r="D2549">
        <v>5.048654</v>
      </c>
      <c r="E2549">
        <v>0.51229480000000005</v>
      </c>
      <c r="F2549" t="s">
        <v>48</v>
      </c>
      <c r="G2549">
        <v>-360.71420000000001</v>
      </c>
      <c r="H2549" s="1">
        <v>-1.156712E-6</v>
      </c>
      <c r="I2549">
        <v>212.3698</v>
      </c>
      <c r="J2549">
        <v>-392.84440000000001</v>
      </c>
      <c r="K2549">
        <v>1.120859</v>
      </c>
      <c r="L2549">
        <v>214.34460000000001</v>
      </c>
      <c r="M2549">
        <v>0.99983129999999998</v>
      </c>
      <c r="N2549">
        <v>-1.157541E-2</v>
      </c>
      <c r="O2549">
        <v>1.4268889999999999E-2</v>
      </c>
      <c r="P2549">
        <v>0.98356100000000002</v>
      </c>
      <c r="Q2549">
        <v>0.1777871</v>
      </c>
      <c r="R2549">
        <v>-3.1618809999999997E-2</v>
      </c>
      <c r="S2549">
        <v>3.0635680000000001</v>
      </c>
      <c r="T2549">
        <v>-0.105777</v>
      </c>
      <c r="U2549">
        <v>-0.1859131</v>
      </c>
      <c r="V2549">
        <v>4.5657929999999999E-2</v>
      </c>
      <c r="W2549">
        <v>0.1891523</v>
      </c>
      <c r="X2549">
        <v>0.98088569999999997</v>
      </c>
      <c r="Y2549">
        <v>7.4748129999999996E-2</v>
      </c>
      <c r="Z2549">
        <v>-2.049197E-3</v>
      </c>
      <c r="AA2549">
        <v>0.99720039999999999</v>
      </c>
      <c r="AB2549">
        <v>34</v>
      </c>
      <c r="AC2549">
        <v>32.130200000000002</v>
      </c>
      <c r="AD2549">
        <v>-1.120860156712</v>
      </c>
      <c r="AE2549">
        <v>-1.9748000000000101</v>
      </c>
      <c r="AF2549">
        <v>2.4301456257824201</v>
      </c>
      <c r="AG2549">
        <v>-1.120860156712</v>
      </c>
      <c r="AH2549">
        <v>32.059879700280497</v>
      </c>
      <c r="AI2549">
        <v>91.996605422613996</v>
      </c>
      <c r="AJ2549">
        <v>85.665257180790505</v>
      </c>
      <c r="AK2549">
        <v>32.171382028906898</v>
      </c>
      <c r="AL2549">
        <v>79.096682438367296</v>
      </c>
      <c r="AM2549">
        <v>87.3349394438346</v>
      </c>
      <c r="AN2549">
        <v>0.99999999781583204</v>
      </c>
    </row>
    <row r="2550" spans="1:40" x14ac:dyDescent="0.25">
      <c r="A2550" t="str">
        <f>"20190303162557393"</f>
        <v>20190303162557393</v>
      </c>
      <c r="B2550" t="str">
        <f>"1551601557385871"</f>
        <v>1551601557385871</v>
      </c>
      <c r="C2550" t="s">
        <v>40</v>
      </c>
      <c r="D2550">
        <v>5.2668350000000004</v>
      </c>
      <c r="E2550">
        <v>0.4878555</v>
      </c>
      <c r="F2550" t="s">
        <v>48</v>
      </c>
      <c r="G2550">
        <v>-360.24549999999999</v>
      </c>
      <c r="H2550" s="1">
        <v>-1.4061509999999999E-6</v>
      </c>
      <c r="I2550">
        <v>212.398</v>
      </c>
      <c r="J2550">
        <v>-392.495</v>
      </c>
      <c r="K2550">
        <v>1.1208359999999999</v>
      </c>
      <c r="L2550">
        <v>214.34960000000001</v>
      </c>
      <c r="M2550">
        <v>0.99983129999999998</v>
      </c>
      <c r="N2550">
        <v>-1.156943E-2</v>
      </c>
      <c r="O2550">
        <v>1.4269220000000001E-2</v>
      </c>
      <c r="P2550">
        <v>0.98439140000000003</v>
      </c>
      <c r="Q2550">
        <v>0.1731762</v>
      </c>
      <c r="R2550">
        <v>-3.1360449999999998E-2</v>
      </c>
      <c r="S2550">
        <v>3.0632320000000002</v>
      </c>
      <c r="T2550">
        <v>-0.1053241</v>
      </c>
      <c r="U2550">
        <v>-0.18292240000000001</v>
      </c>
      <c r="V2550">
        <v>4.5411840000000002E-2</v>
      </c>
      <c r="W2550">
        <v>0.18454570000000001</v>
      </c>
      <c r="X2550">
        <v>0.98177420000000004</v>
      </c>
      <c r="Y2550">
        <v>7.3786180000000007E-2</v>
      </c>
      <c r="Z2550">
        <v>-2.0195819999999998E-3</v>
      </c>
      <c r="AA2550">
        <v>0.99727200000000005</v>
      </c>
      <c r="AB2550">
        <v>34</v>
      </c>
      <c r="AC2550">
        <v>32.249499999999998</v>
      </c>
      <c r="AD2550">
        <v>-1.120837406151</v>
      </c>
      <c r="AE2550">
        <v>-1.95160000000001</v>
      </c>
      <c r="AF2550">
        <v>2.4087083522145099</v>
      </c>
      <c r="AG2550">
        <v>-1.120837406151</v>
      </c>
      <c r="AH2550">
        <v>32.179637855004302</v>
      </c>
      <c r="AI2550">
        <v>91.989281764883103</v>
      </c>
      <c r="AJ2550">
        <v>85.719282472630297</v>
      </c>
      <c r="AK2550">
        <v>32.289119605468997</v>
      </c>
      <c r="AL2550">
        <v>79.365352748157093</v>
      </c>
      <c r="AM2550">
        <v>87.351678679551895</v>
      </c>
      <c r="AN2550">
        <v>0.99999996519315704</v>
      </c>
    </row>
    <row r="2551" spans="1:40" x14ac:dyDescent="0.25">
      <c r="A2551" t="str">
        <f>"20190303162557416"</f>
        <v>20190303162557416</v>
      </c>
      <c r="B2551" t="str">
        <f>"1551601557405391"</f>
        <v>1551601557405391</v>
      </c>
      <c r="C2551" t="s">
        <v>40</v>
      </c>
      <c r="D2551">
        <v>5.2660559999999998</v>
      </c>
      <c r="E2551">
        <v>0.47066789999999997</v>
      </c>
      <c r="F2551" t="s">
        <v>51</v>
      </c>
      <c r="G2551">
        <v>-282.6866</v>
      </c>
      <c r="H2551" s="1">
        <v>5.8820739999999997E-6</v>
      </c>
      <c r="I2551">
        <v>214.7628</v>
      </c>
      <c r="J2551">
        <v>-392.16090000000003</v>
      </c>
      <c r="K2551">
        <v>1.1208100000000001</v>
      </c>
      <c r="L2551">
        <v>214.3544</v>
      </c>
      <c r="M2551">
        <v>0.99983140000000004</v>
      </c>
      <c r="N2551">
        <v>-1.156446E-2</v>
      </c>
      <c r="O2551">
        <v>1.4269250000000001E-2</v>
      </c>
      <c r="P2551">
        <v>0.98521159999999997</v>
      </c>
      <c r="Q2551">
        <v>0.1685894</v>
      </c>
      <c r="R2551">
        <v>-3.0594739999999999E-2</v>
      </c>
      <c r="S2551">
        <v>3.0534059999999998</v>
      </c>
      <c r="T2551">
        <v>-3.1166550000000001E-2</v>
      </c>
      <c r="U2551">
        <v>1.1489869999999999E-2</v>
      </c>
      <c r="V2551">
        <v>4.465765E-2</v>
      </c>
      <c r="W2551">
        <v>0.1799636</v>
      </c>
      <c r="X2551">
        <v>0.98265899999999995</v>
      </c>
      <c r="Y2551">
        <v>1.0506369999999999E-2</v>
      </c>
      <c r="Z2551" s="1">
        <v>-9.4986590000000002E-5</v>
      </c>
      <c r="AA2551">
        <v>0.99994479999999997</v>
      </c>
      <c r="AB2551">
        <v>34</v>
      </c>
      <c r="AC2551">
        <v>109.4743</v>
      </c>
      <c r="AD2551">
        <v>-1.120804117926</v>
      </c>
      <c r="AE2551">
        <v>0.40839999999999999</v>
      </c>
      <c r="AF2551">
        <v>1.1537411381057601</v>
      </c>
      <c r="AG2551">
        <v>-1.120804117926</v>
      </c>
      <c r="AH2551">
        <v>109.457507845058</v>
      </c>
      <c r="AI2551">
        <v>90.586634356383499</v>
      </c>
      <c r="AJ2551">
        <v>89.396093962000094</v>
      </c>
      <c r="AK2551">
        <v>109.469326042209</v>
      </c>
      <c r="AL2551">
        <v>79.632359929354905</v>
      </c>
      <c r="AM2551">
        <v>87.397942170239304</v>
      </c>
      <c r="AN2551">
        <v>0.99999995665473995</v>
      </c>
    </row>
    <row r="2552" spans="1:40" x14ac:dyDescent="0.25">
      <c r="A2552" t="str">
        <f>"20190303162557439"</f>
        <v>20190303162557439</v>
      </c>
      <c r="B2552" t="str">
        <f>"1551601557425887"</f>
        <v>1551601557425887</v>
      </c>
      <c r="C2552" t="s">
        <v>40</v>
      </c>
      <c r="D2552">
        <v>5.2649869999999996</v>
      </c>
      <c r="E2552">
        <v>0.46985159999999998</v>
      </c>
      <c r="F2552" t="s">
        <v>48</v>
      </c>
      <c r="G2552">
        <v>-334.41379999999998</v>
      </c>
      <c r="H2552" s="1">
        <v>6.9854199999999996E-7</v>
      </c>
      <c r="I2552">
        <v>217.21250000000001</v>
      </c>
      <c r="J2552">
        <v>-391.81150000000002</v>
      </c>
      <c r="K2552">
        <v>1.1208180000000001</v>
      </c>
      <c r="L2552">
        <v>214.35939999999999</v>
      </c>
      <c r="M2552">
        <v>0.99983140000000004</v>
      </c>
      <c r="N2552">
        <v>-1.1559979999999999E-2</v>
      </c>
      <c r="O2552">
        <v>1.426964E-2</v>
      </c>
      <c r="P2552">
        <v>0.98529180000000005</v>
      </c>
      <c r="Q2552">
        <v>0.1682845</v>
      </c>
      <c r="R2552">
        <v>-2.9673870000000001E-2</v>
      </c>
      <c r="S2552">
        <v>3.0598749999999999</v>
      </c>
      <c r="T2552">
        <v>-5.9388879999999998E-2</v>
      </c>
      <c r="U2552">
        <v>0.15144349999999901</v>
      </c>
      <c r="V2552">
        <v>4.3738340000000001E-2</v>
      </c>
      <c r="W2552">
        <v>0.1796555</v>
      </c>
      <c r="X2552">
        <v>0.98275679999999999</v>
      </c>
      <c r="Y2552">
        <v>-3.5164559999999997E-2</v>
      </c>
      <c r="Z2552">
        <v>4.3256719999999998E-4</v>
      </c>
      <c r="AA2552">
        <v>0.99938139999999998</v>
      </c>
      <c r="AB2552">
        <v>34</v>
      </c>
      <c r="AC2552">
        <v>57.3977</v>
      </c>
      <c r="AD2552">
        <v>-1.1208173014579901</v>
      </c>
      <c r="AE2552">
        <v>2.8531000000000102</v>
      </c>
      <c r="AF2552">
        <v>-2.0329369829913801</v>
      </c>
      <c r="AG2552">
        <v>-1.1208173014579901</v>
      </c>
      <c r="AH2552">
        <v>57.410733160769297</v>
      </c>
      <c r="AI2552">
        <v>91.117730646378803</v>
      </c>
      <c r="AJ2552">
        <v>92.028019069752006</v>
      </c>
      <c r="AK2552">
        <v>57.457648283384501</v>
      </c>
      <c r="AL2552">
        <v>79.650306057252394</v>
      </c>
      <c r="AM2552">
        <v>87.451689332868099</v>
      </c>
      <c r="AN2552">
        <v>1.0000000345062201</v>
      </c>
    </row>
    <row r="2553" spans="1:40" x14ac:dyDescent="0.25">
      <c r="A2553" t="str">
        <f>"20190303162557461"</f>
        <v>20190303162557461</v>
      </c>
      <c r="B2553" t="str">
        <f>"1551601557445408"</f>
        <v>1551601557445408</v>
      </c>
      <c r="C2553" t="s">
        <v>40</v>
      </c>
      <c r="D2553">
        <v>5.3297489999999996</v>
      </c>
      <c r="E2553">
        <v>0.470688</v>
      </c>
      <c r="F2553" t="s">
        <v>48</v>
      </c>
      <c r="G2553">
        <v>-337.13900000000001</v>
      </c>
      <c r="H2553" s="1">
        <v>2.1488519999999998E-6</v>
      </c>
      <c r="I2553">
        <v>217.2107</v>
      </c>
      <c r="J2553">
        <v>-391.47919999999999</v>
      </c>
      <c r="K2553">
        <v>1.1208260000000001</v>
      </c>
      <c r="L2553">
        <v>214.36410000000001</v>
      </c>
      <c r="M2553">
        <v>0.99983140000000004</v>
      </c>
      <c r="N2553">
        <v>-1.1556439999999999E-2</v>
      </c>
      <c r="O2553">
        <v>1.4270130000000001E-2</v>
      </c>
      <c r="P2553">
        <v>0.98493240000000004</v>
      </c>
      <c r="Q2553">
        <v>0.17043469999999999</v>
      </c>
      <c r="R2553">
        <v>-2.9331719999999999E-2</v>
      </c>
      <c r="S2553">
        <v>3.0603030000000002</v>
      </c>
      <c r="T2553">
        <v>-6.2737940000000006E-2</v>
      </c>
      <c r="U2553">
        <v>0.1596069</v>
      </c>
      <c r="V2553">
        <v>4.339175E-2</v>
      </c>
      <c r="W2553">
        <v>0.1817983</v>
      </c>
      <c r="X2553">
        <v>0.98237799999999997</v>
      </c>
      <c r="Y2553">
        <v>-3.781433E-2</v>
      </c>
      <c r="Z2553">
        <v>4.7853030000000001E-4</v>
      </c>
      <c r="AA2553">
        <v>0.99928470000000003</v>
      </c>
      <c r="AB2553">
        <v>34</v>
      </c>
      <c r="AC2553">
        <v>54.340199999999903</v>
      </c>
      <c r="AD2553">
        <v>-1.120823851148</v>
      </c>
      <c r="AE2553">
        <v>2.8465999999999898</v>
      </c>
      <c r="AF2553">
        <v>-2.0699384004896602</v>
      </c>
      <c r="AG2553">
        <v>-1.120823851148</v>
      </c>
      <c r="AH2553">
        <v>54.352230206914001</v>
      </c>
      <c r="AI2553">
        <v>91.180501248796801</v>
      </c>
      <c r="AJ2553">
        <v>92.180985878110306</v>
      </c>
      <c r="AK2553">
        <v>54.4031783956829</v>
      </c>
      <c r="AL2553">
        <v>79.525476758513406</v>
      </c>
      <c r="AM2553">
        <v>87.470882698891003</v>
      </c>
      <c r="AN2553">
        <v>1.0000000003674701</v>
      </c>
    </row>
    <row r="2554" spans="1:40" x14ac:dyDescent="0.25">
      <c r="A2554" t="str">
        <f>"20190303162557484"</f>
        <v>20190303162557484</v>
      </c>
      <c r="B2554" t="str">
        <f>"1551601557475663"</f>
        <v>1551601557475663</v>
      </c>
      <c r="C2554" t="s">
        <v>40</v>
      </c>
      <c r="D2554">
        <v>5.3195620000000003</v>
      </c>
      <c r="E2554">
        <v>0.4713733</v>
      </c>
      <c r="F2554" t="s">
        <v>48</v>
      </c>
      <c r="G2554">
        <v>-333.16359999999997</v>
      </c>
      <c r="H2554" s="1">
        <v>2.9730229999999999E-8</v>
      </c>
      <c r="I2554">
        <v>217.2929</v>
      </c>
      <c r="J2554">
        <v>-391.1266</v>
      </c>
      <c r="K2554">
        <v>1.1208279999999999</v>
      </c>
      <c r="L2554">
        <v>214.36920000000001</v>
      </c>
      <c r="M2554">
        <v>0.99983140000000004</v>
      </c>
      <c r="N2554">
        <v>-1.1552099999999999E-2</v>
      </c>
      <c r="O2554">
        <v>1.4270690000000001E-2</v>
      </c>
      <c r="P2554">
        <v>0.98481580000000002</v>
      </c>
      <c r="Q2554">
        <v>0.1711105</v>
      </c>
      <c r="R2554">
        <v>-2.931657E-2</v>
      </c>
      <c r="S2554">
        <v>3.060638</v>
      </c>
      <c r="T2554">
        <v>-5.8825490000000001E-2</v>
      </c>
      <c r="U2554">
        <v>0.15371699999999999</v>
      </c>
      <c r="V2554">
        <v>4.3375259999999999E-2</v>
      </c>
      <c r="W2554">
        <v>0.1824683</v>
      </c>
      <c r="X2554">
        <v>0.98225450000000003</v>
      </c>
      <c r="Y2554">
        <v>-3.5891659999999999E-2</v>
      </c>
      <c r="Z2554">
        <v>4.4286789999999998E-4</v>
      </c>
      <c r="AA2554">
        <v>0.99935560000000001</v>
      </c>
      <c r="AB2554">
        <v>34</v>
      </c>
      <c r="AC2554">
        <v>57.963000000000001</v>
      </c>
      <c r="AD2554">
        <v>-1.1208279702697701</v>
      </c>
      <c r="AE2554">
        <v>2.92369999999999</v>
      </c>
      <c r="AF2554">
        <v>-2.0953934872997602</v>
      </c>
      <c r="AG2554">
        <v>-1.1208279702697701</v>
      </c>
      <c r="AH2554">
        <v>57.9771990620401</v>
      </c>
      <c r="AI2554">
        <v>91.106794215678605</v>
      </c>
      <c r="AJ2554">
        <v>92.0698649186198</v>
      </c>
      <c r="AK2554">
        <v>58.025878194862202</v>
      </c>
      <c r="AL2554">
        <v>79.486435553957705</v>
      </c>
      <c r="AM2554">
        <v>87.471525126666094</v>
      </c>
      <c r="AN2554">
        <v>0.99999999822760299</v>
      </c>
    </row>
    <row r="2555" spans="1:40" x14ac:dyDescent="0.25">
      <c r="A2555" t="str">
        <f>"20190303162557529"</f>
        <v>20190303162557529</v>
      </c>
      <c r="B2555" t="str">
        <f>"1551601557515679"</f>
        <v>1551601557515679</v>
      </c>
      <c r="C2555" t="s">
        <v>40</v>
      </c>
      <c r="D2555">
        <v>5.3159199999999904</v>
      </c>
      <c r="E2555">
        <v>0.47198109999999999</v>
      </c>
      <c r="F2555" t="s">
        <v>48</v>
      </c>
      <c r="G2555">
        <v>-333.06119999999999</v>
      </c>
      <c r="H2555" s="1">
        <v>-2.0113150000000001E-8</v>
      </c>
      <c r="I2555">
        <v>217.18639999999999</v>
      </c>
      <c r="J2555">
        <v>-390.45549999999997</v>
      </c>
      <c r="K2555">
        <v>1.12083</v>
      </c>
      <c r="L2555">
        <v>214.37880000000001</v>
      </c>
      <c r="M2555">
        <v>0.99983169999999999</v>
      </c>
      <c r="N2555">
        <v>-1.153264E-2</v>
      </c>
      <c r="O2555">
        <v>1.427146E-2</v>
      </c>
      <c r="P2555">
        <v>0.98446230000000001</v>
      </c>
      <c r="Q2555">
        <v>0.173099</v>
      </c>
      <c r="R2555">
        <v>-2.950703E-2</v>
      </c>
      <c r="S2555">
        <v>3.0610050000000002</v>
      </c>
      <c r="T2555">
        <v>-5.9086079999999999E-2</v>
      </c>
      <c r="U2555">
        <v>0.1485138</v>
      </c>
      <c r="V2555">
        <v>4.3561780000000001E-2</v>
      </c>
      <c r="W2555">
        <v>0.18443329999999999</v>
      </c>
      <c r="X2555">
        <v>0.98187919999999995</v>
      </c>
      <c r="Y2555">
        <v>-3.4190680000000001E-2</v>
      </c>
      <c r="Z2555">
        <v>4.1631749999999999E-4</v>
      </c>
      <c r="AA2555">
        <v>0.99941519999999995</v>
      </c>
      <c r="AB2555">
        <v>34</v>
      </c>
      <c r="AC2555">
        <v>57.394299999999902</v>
      </c>
      <c r="AD2555">
        <v>-1.12083002011314</v>
      </c>
      <c r="AE2555">
        <v>2.8075999999999701</v>
      </c>
      <c r="AF2555">
        <v>-1.98740302032081</v>
      </c>
      <c r="AG2555">
        <v>-1.12083002011314</v>
      </c>
      <c r="AH2555">
        <v>57.4066845649808</v>
      </c>
      <c r="AI2555">
        <v>91.117853037998898</v>
      </c>
      <c r="AJ2555">
        <v>91.982771638576693</v>
      </c>
      <c r="AK2555">
        <v>57.452010090530102</v>
      </c>
      <c r="AL2555">
        <v>79.371905829633803</v>
      </c>
      <c r="AM2555">
        <v>87.459697185870397</v>
      </c>
      <c r="AN2555">
        <v>1.0000000171091401</v>
      </c>
    </row>
    <row r="2556" spans="1:40" x14ac:dyDescent="0.25">
      <c r="A2556" t="str">
        <f>"20190303162557551"</f>
        <v>20190303162557551</v>
      </c>
      <c r="B2556" t="str">
        <f>"1551601557545936"</f>
        <v>1551601557545936</v>
      </c>
      <c r="C2556" t="s">
        <v>40</v>
      </c>
      <c r="D2556">
        <v>5.3840070000000004</v>
      </c>
      <c r="E2556">
        <v>0.4723966</v>
      </c>
      <c r="F2556" t="s">
        <v>48</v>
      </c>
      <c r="G2556">
        <v>-322.85359999999997</v>
      </c>
      <c r="H2556" s="1">
        <v>-1.8235280000000001E-8</v>
      </c>
      <c r="I2556">
        <v>217.53110000000001</v>
      </c>
      <c r="J2556">
        <v>-390.1096</v>
      </c>
      <c r="K2556">
        <v>1.1208279999999999</v>
      </c>
      <c r="L2556">
        <v>214.3837</v>
      </c>
      <c r="M2556">
        <v>0.99983180000000005</v>
      </c>
      <c r="N2556">
        <v>-1.152125E-2</v>
      </c>
      <c r="O2556">
        <v>1.4271890000000001E-2</v>
      </c>
      <c r="P2556">
        <v>0.9843866</v>
      </c>
      <c r="Q2556">
        <v>0.17364499999999999</v>
      </c>
      <c r="R2556">
        <v>-2.8823080000000001E-2</v>
      </c>
      <c r="S2556">
        <v>3.0605470000000001</v>
      </c>
      <c r="T2556">
        <v>-5.0743459999999997E-2</v>
      </c>
      <c r="U2556">
        <v>0.1427155</v>
      </c>
      <c r="V2556">
        <v>4.2877159999999997E-2</v>
      </c>
      <c r="W2556">
        <v>0.18496750000000001</v>
      </c>
      <c r="X2556">
        <v>0.98180880000000004</v>
      </c>
      <c r="Y2556">
        <v>-3.231067E-2</v>
      </c>
      <c r="Z2556">
        <v>3.8185299999999998E-4</v>
      </c>
      <c r="AA2556">
        <v>0.99947779999999997</v>
      </c>
      <c r="AB2556">
        <v>34</v>
      </c>
      <c r="AC2556">
        <v>67.256</v>
      </c>
      <c r="AD2556">
        <v>-1.1208280182352801</v>
      </c>
      <c r="AE2556">
        <v>3.1474000000000002</v>
      </c>
      <c r="AF2556">
        <v>-2.1865395478530898</v>
      </c>
      <c r="AG2556">
        <v>-1.1208280182352801</v>
      </c>
      <c r="AH2556">
        <v>67.275428208838704</v>
      </c>
      <c r="AI2556">
        <v>90.953972261205806</v>
      </c>
      <c r="AJ2556">
        <v>91.861532608955699</v>
      </c>
      <c r="AK2556">
        <v>67.320282614702293</v>
      </c>
      <c r="AL2556">
        <v>79.340762129045899</v>
      </c>
      <c r="AM2556">
        <v>87.499390625007393</v>
      </c>
      <c r="AN2556">
        <v>0.99999997333167701</v>
      </c>
    </row>
    <row r="2557" spans="1:40" x14ac:dyDescent="0.25">
      <c r="A2557" t="str">
        <f>"20190303162557572"</f>
        <v>20190303162557572</v>
      </c>
      <c r="B2557" t="str">
        <f>"1551601557555696"</f>
        <v>1551601557555696</v>
      </c>
      <c r="C2557" t="s">
        <v>40</v>
      </c>
      <c r="D2557">
        <v>5.3197260000000002</v>
      </c>
      <c r="E2557">
        <v>0.47245540000000003</v>
      </c>
      <c r="F2557" t="s">
        <v>48</v>
      </c>
      <c r="G2557">
        <v>-320.15379999999999</v>
      </c>
      <c r="H2557" s="1">
        <v>-1.45493599999999E-6</v>
      </c>
      <c r="I2557">
        <v>217.62610000000001</v>
      </c>
      <c r="J2557">
        <v>-389.81389999999999</v>
      </c>
      <c r="K2557">
        <v>1.1208229999999999</v>
      </c>
      <c r="L2557">
        <v>214.3879</v>
      </c>
      <c r="M2557">
        <v>0.9998319</v>
      </c>
      <c r="N2557">
        <v>-1.1509419999999999E-2</v>
      </c>
      <c r="O2557">
        <v>1.4272079999999999E-2</v>
      </c>
      <c r="P2557">
        <v>0.98459459999999999</v>
      </c>
      <c r="Q2557">
        <v>0.17254749999999999</v>
      </c>
      <c r="R2557">
        <v>-2.830622E-2</v>
      </c>
      <c r="S2557">
        <v>3.0603940000000001</v>
      </c>
      <c r="T2557">
        <v>-4.9033519999999997E-2</v>
      </c>
      <c r="U2557">
        <v>0.14184569999999999</v>
      </c>
      <c r="V2557">
        <v>4.2363390000000001E-2</v>
      </c>
      <c r="W2557">
        <v>0.183861</v>
      </c>
      <c r="X2557">
        <v>0.98203890000000005</v>
      </c>
      <c r="Y2557">
        <v>-3.2029790000000002E-2</v>
      </c>
      <c r="Z2557">
        <v>3.7657430000000001E-4</v>
      </c>
      <c r="AA2557">
        <v>0.99948689999999996</v>
      </c>
      <c r="AB2557">
        <v>34</v>
      </c>
      <c r="AC2557">
        <v>69.6601</v>
      </c>
      <c r="AD2557">
        <v>-1.12082445493599</v>
      </c>
      <c r="AE2557">
        <v>3.2382</v>
      </c>
      <c r="AF2557">
        <v>-2.2430303246619601</v>
      </c>
      <c r="AG2557">
        <v>-1.12082445493599</v>
      </c>
      <c r="AH2557">
        <v>69.681222467227101</v>
      </c>
      <c r="AI2557">
        <v>90.921047797945306</v>
      </c>
      <c r="AJ2557">
        <v>91.843707744471004</v>
      </c>
      <c r="AK2557">
        <v>69.726323558777494</v>
      </c>
      <c r="AL2557">
        <v>79.405266135290901</v>
      </c>
      <c r="AM2557">
        <v>87.529894682207896</v>
      </c>
      <c r="AN2557">
        <v>0.99999996262324997</v>
      </c>
    </row>
    <row r="2558" spans="1:40" x14ac:dyDescent="0.25">
      <c r="A2558" t="str">
        <f>"20190303162557595"</f>
        <v>20190303162557595</v>
      </c>
      <c r="B2558" t="str">
        <f>"1551601557585951"</f>
        <v>1551601557585951</v>
      </c>
      <c r="C2558" t="s">
        <v>40</v>
      </c>
      <c r="D2558">
        <v>5.3176930000000002</v>
      </c>
      <c r="E2558">
        <v>0.47261360000000002</v>
      </c>
      <c r="F2558" t="s">
        <v>48</v>
      </c>
      <c r="G2558">
        <v>-325.48860000000002</v>
      </c>
      <c r="H2558" s="1">
        <v>1.3839640000000001E-6</v>
      </c>
      <c r="I2558">
        <v>217.393</v>
      </c>
      <c r="J2558">
        <v>-389.44600000000003</v>
      </c>
      <c r="K2558">
        <v>1.1208089999999999</v>
      </c>
      <c r="L2558">
        <v>214.39320000000001</v>
      </c>
      <c r="M2558">
        <v>0.99983219999999995</v>
      </c>
      <c r="N2558">
        <v>-1.1490999999999999E-2</v>
      </c>
      <c r="O2558">
        <v>1.427254E-2</v>
      </c>
      <c r="P2558">
        <v>0.98497000000000001</v>
      </c>
      <c r="Q2558">
        <v>0.1705129</v>
      </c>
      <c r="R2558">
        <v>-2.7569529999999998E-2</v>
      </c>
      <c r="S2558">
        <v>3.060425</v>
      </c>
      <c r="T2558">
        <v>-5.3325650000000002E-2</v>
      </c>
      <c r="U2558">
        <v>0.14297489999999999</v>
      </c>
      <c r="V2558">
        <v>4.1632410000000002E-2</v>
      </c>
      <c r="W2558">
        <v>0.18181240000000001</v>
      </c>
      <c r="X2558">
        <v>0.98245159999999998</v>
      </c>
      <c r="Y2558">
        <v>-3.2395849999999997E-2</v>
      </c>
      <c r="Z2558">
        <v>3.8375140000000002E-4</v>
      </c>
      <c r="AA2558">
        <v>0.99947509999999995</v>
      </c>
      <c r="AB2558">
        <v>34</v>
      </c>
      <c r="AC2558">
        <v>63.9573999999999</v>
      </c>
      <c r="AD2558">
        <v>-1.1208076160360001</v>
      </c>
      <c r="AE2558">
        <v>2.9997999999999898</v>
      </c>
      <c r="AF2558">
        <v>-2.0859604711649302</v>
      </c>
      <c r="AG2558">
        <v>-1.1208076160360001</v>
      </c>
      <c r="AH2558">
        <v>63.974098810567497</v>
      </c>
      <c r="AI2558">
        <v>91.003169698675507</v>
      </c>
      <c r="AJ2558">
        <v>91.867543346582906</v>
      </c>
      <c r="AK2558">
        <v>64.017909677087104</v>
      </c>
      <c r="AL2558">
        <v>79.524656001234405</v>
      </c>
      <c r="AM2558">
        <v>87.573483416817993</v>
      </c>
      <c r="AN2558">
        <v>1.0000000763493599</v>
      </c>
    </row>
    <row r="2559" spans="1:40" x14ac:dyDescent="0.25">
      <c r="A2559" t="str">
        <f>"20190303162557618"</f>
        <v>20190303162557618</v>
      </c>
      <c r="B2559" t="str">
        <f>"1551601557605471"</f>
        <v>1551601557605471</v>
      </c>
      <c r="C2559" t="s">
        <v>40</v>
      </c>
      <c r="D2559">
        <v>5.3201070000000001</v>
      </c>
      <c r="E2559">
        <v>0.47265030000000002</v>
      </c>
      <c r="F2559" t="s">
        <v>48</v>
      </c>
      <c r="G2559">
        <v>-333.35930000000002</v>
      </c>
      <c r="H2559" s="1">
        <v>1.450465E-7</v>
      </c>
      <c r="I2559">
        <v>217.0378</v>
      </c>
      <c r="J2559">
        <v>-389.11340000000001</v>
      </c>
      <c r="K2559">
        <v>1.1207940000000001</v>
      </c>
      <c r="L2559">
        <v>214.39789999999999</v>
      </c>
      <c r="M2559">
        <v>0.99983250000000001</v>
      </c>
      <c r="N2559">
        <v>-1.146923E-2</v>
      </c>
      <c r="O2559">
        <v>1.427285E-2</v>
      </c>
      <c r="P2559">
        <v>0.9852533</v>
      </c>
      <c r="Q2559">
        <v>0.16903969999999999</v>
      </c>
      <c r="R2559">
        <v>-2.649E-2</v>
      </c>
      <c r="S2559">
        <v>3.0603940000000001</v>
      </c>
      <c r="T2559">
        <v>-6.1157459999999997E-2</v>
      </c>
      <c r="U2559">
        <v>0.1443024</v>
      </c>
      <c r="V2559">
        <v>4.0557540000000003E-2</v>
      </c>
      <c r="W2559">
        <v>0.1803215</v>
      </c>
      <c r="X2559">
        <v>0.98277119999999996</v>
      </c>
      <c r="Y2559">
        <v>-3.2826710000000002E-2</v>
      </c>
      <c r="Z2559">
        <v>3.9479100000000002E-4</v>
      </c>
      <c r="AA2559">
        <v>0.99946100000000004</v>
      </c>
      <c r="AB2559">
        <v>34</v>
      </c>
      <c r="AC2559">
        <v>55.754100000000001</v>
      </c>
      <c r="AD2559">
        <v>-1.1207938549534999</v>
      </c>
      <c r="AE2559">
        <v>2.6399000000000101</v>
      </c>
      <c r="AF2559">
        <v>-1.84306578929857</v>
      </c>
      <c r="AG2559">
        <v>-1.1207938549534999</v>
      </c>
      <c r="AH2559">
        <v>55.763617245116798</v>
      </c>
      <c r="AI2559">
        <v>91.150805551164794</v>
      </c>
      <c r="AJ2559">
        <v>91.893016795130393</v>
      </c>
      <c r="AK2559">
        <v>55.805323031310103</v>
      </c>
      <c r="AL2559">
        <v>79.611513116514601</v>
      </c>
      <c r="AM2559">
        <v>87.6368273574993</v>
      </c>
      <c r="AN2559">
        <v>0.99999999448126997</v>
      </c>
    </row>
    <row r="2560" spans="1:40" x14ac:dyDescent="0.25">
      <c r="A2560" t="str">
        <f>"20190303162557662"</f>
        <v>20190303162557662</v>
      </c>
      <c r="B2560" t="str">
        <f>"1551601557655880"</f>
        <v>1551601557655880</v>
      </c>
      <c r="C2560" t="s">
        <v>40</v>
      </c>
      <c r="D2560">
        <v>5.3786440000000004</v>
      </c>
      <c r="E2560">
        <v>0.47286600000000001</v>
      </c>
      <c r="F2560" t="s">
        <v>48</v>
      </c>
      <c r="G2560">
        <v>-336.39100000000002</v>
      </c>
      <c r="H2560" s="1">
        <v>1.7633990000000001E-6</v>
      </c>
      <c r="I2560">
        <v>216.92150000000001</v>
      </c>
      <c r="J2560">
        <v>-388.45740000000001</v>
      </c>
      <c r="K2560">
        <v>1.120781</v>
      </c>
      <c r="L2560">
        <v>214.40729999999999</v>
      </c>
      <c r="M2560">
        <v>0.99983299999999997</v>
      </c>
      <c r="N2560">
        <v>-1.141563E-2</v>
      </c>
      <c r="O2560">
        <v>1.4273640000000001E-2</v>
      </c>
      <c r="P2560">
        <v>0.98520370000000002</v>
      </c>
      <c r="Q2560">
        <v>0.16965089999999999</v>
      </c>
      <c r="R2560">
        <v>-2.4332449999999999E-2</v>
      </c>
      <c r="S2560">
        <v>3.0599980000000002</v>
      </c>
      <c r="T2560">
        <v>-6.5050479999999994E-2</v>
      </c>
      <c r="U2560">
        <v>0.14646909999999999</v>
      </c>
      <c r="V2560">
        <v>3.8400330000000003E-2</v>
      </c>
      <c r="W2560">
        <v>0.18088009999999999</v>
      </c>
      <c r="X2560">
        <v>0.98275520000000005</v>
      </c>
      <c r="Y2560">
        <v>-3.3536969999999999E-2</v>
      </c>
      <c r="Z2560">
        <v>4.0746949999999999E-4</v>
      </c>
      <c r="AA2560">
        <v>0.99943740000000003</v>
      </c>
      <c r="AB2560">
        <v>34</v>
      </c>
      <c r="AC2560">
        <v>52.066400000000002</v>
      </c>
      <c r="AD2560">
        <v>-1.1207792366009901</v>
      </c>
      <c r="AE2560">
        <v>2.51420000000001</v>
      </c>
      <c r="AF2560">
        <v>-1.7699001823053</v>
      </c>
      <c r="AG2560">
        <v>-1.1207792366009901</v>
      </c>
      <c r="AH2560">
        <v>52.0729115067005</v>
      </c>
      <c r="AI2560">
        <v>91.232290678801306</v>
      </c>
      <c r="AJ2560">
        <v>91.946670244727201</v>
      </c>
      <c r="AK2560">
        <v>52.1150343522594</v>
      </c>
      <c r="AL2560">
        <v>79.578972560788898</v>
      </c>
      <c r="AM2560">
        <v>87.762354114435496</v>
      </c>
      <c r="AN2560">
        <v>0.99999998952357905</v>
      </c>
    </row>
    <row r="2561" spans="1:40" x14ac:dyDescent="0.25">
      <c r="A2561" t="str">
        <f>"20190303162557686"</f>
        <v>20190303162557686</v>
      </c>
      <c r="B2561" t="str">
        <f>"1551601557675400"</f>
        <v>1551601557675400</v>
      </c>
      <c r="C2561" t="s">
        <v>40</v>
      </c>
      <c r="D2561">
        <v>5.320004</v>
      </c>
      <c r="E2561">
        <v>0.47294619999999998</v>
      </c>
      <c r="F2561" t="s">
        <v>48</v>
      </c>
      <c r="G2561">
        <v>-333.01769999999999</v>
      </c>
      <c r="H2561" s="1">
        <v>-4.2329190000000002E-8</v>
      </c>
      <c r="I2561">
        <v>217.16460000000001</v>
      </c>
      <c r="J2561">
        <v>-388.08730000000003</v>
      </c>
      <c r="K2561">
        <v>1.120762</v>
      </c>
      <c r="L2561">
        <v>214.4126</v>
      </c>
      <c r="M2561">
        <v>0.99983350000000004</v>
      </c>
      <c r="N2561">
        <v>-1.13816E-2</v>
      </c>
      <c r="O2561">
        <v>1.427401E-2</v>
      </c>
      <c r="P2561">
        <v>0.98546990000000001</v>
      </c>
      <c r="Q2561">
        <v>0.1683655</v>
      </c>
      <c r="R2561">
        <v>-2.2415790000000001E-2</v>
      </c>
      <c r="S2561">
        <v>3.059418</v>
      </c>
      <c r="T2561">
        <v>-6.1849830000000001E-2</v>
      </c>
      <c r="U2561">
        <v>0.15216060000000001</v>
      </c>
      <c r="V2561">
        <v>3.6487810000000002E-2</v>
      </c>
      <c r="W2561">
        <v>0.17956449999999999</v>
      </c>
      <c r="X2561">
        <v>0.98306930000000003</v>
      </c>
      <c r="Y2561">
        <v>-3.5400670000000002E-2</v>
      </c>
      <c r="Z2561">
        <v>4.3324889999999999E-4</v>
      </c>
      <c r="AA2561">
        <v>0.99937310000000001</v>
      </c>
      <c r="AB2561">
        <v>34</v>
      </c>
      <c r="AC2561">
        <v>55.069600000000001</v>
      </c>
      <c r="AD2561">
        <v>-1.12076204232919</v>
      </c>
      <c r="AE2561">
        <v>2.7519999999999998</v>
      </c>
      <c r="AF2561">
        <v>-1.96479300088763</v>
      </c>
      <c r="AG2561">
        <v>-1.12076204232919</v>
      </c>
      <c r="AH2561">
        <v>55.080516315489703</v>
      </c>
      <c r="AI2561">
        <v>91.164935989170104</v>
      </c>
      <c r="AJ2561">
        <v>92.042948077659105</v>
      </c>
      <c r="AK2561">
        <v>55.126942565979398</v>
      </c>
      <c r="AL2561">
        <v>79.655605899969601</v>
      </c>
      <c r="AM2561">
        <v>87.874373355204696</v>
      </c>
      <c r="AN2561">
        <v>1.00000000927066</v>
      </c>
    </row>
    <row r="2562" spans="1:40" x14ac:dyDescent="0.25">
      <c r="A2562" t="str">
        <f>"20190303162557708"</f>
        <v>20190303162557708</v>
      </c>
      <c r="B2562" t="str">
        <f>"1551601557695896"</f>
        <v>1551601557695896</v>
      </c>
      <c r="C2562" t="s">
        <v>40</v>
      </c>
      <c r="D2562">
        <v>5.3172610000000002</v>
      </c>
      <c r="E2562">
        <v>0.47302729999999998</v>
      </c>
      <c r="F2562" t="s">
        <v>48</v>
      </c>
      <c r="G2562">
        <v>-336.02910000000003</v>
      </c>
      <c r="H2562" s="1">
        <v>1.563471E-6</v>
      </c>
      <c r="I2562">
        <v>217.08949999999999</v>
      </c>
      <c r="J2562">
        <v>-387.74279999999999</v>
      </c>
      <c r="K2562">
        <v>1.120757</v>
      </c>
      <c r="L2562">
        <v>214.41749999999999</v>
      </c>
      <c r="M2562">
        <v>0.99983379999999999</v>
      </c>
      <c r="N2562">
        <v>-1.135128E-2</v>
      </c>
      <c r="O2562">
        <v>1.427467E-2</v>
      </c>
      <c r="P2562">
        <v>0.98570170000000001</v>
      </c>
      <c r="Q2562">
        <v>0.1673046</v>
      </c>
      <c r="R2562">
        <v>-2.0044849999999999E-2</v>
      </c>
      <c r="S2562">
        <v>3.0590820000000001</v>
      </c>
      <c r="T2562">
        <v>-6.5858840000000002E-2</v>
      </c>
      <c r="U2562">
        <v>0.1573029</v>
      </c>
      <c r="V2562">
        <v>3.4121060000000002E-2</v>
      </c>
      <c r="W2562">
        <v>0.178477</v>
      </c>
      <c r="X2562">
        <v>0.98335229999999996</v>
      </c>
      <c r="Y2562">
        <v>-3.7079399999999998E-2</v>
      </c>
      <c r="Z2562">
        <v>4.6436300000000003E-4</v>
      </c>
      <c r="AA2562">
        <v>0.99931219999999998</v>
      </c>
      <c r="AB2562">
        <v>34</v>
      </c>
      <c r="AC2562">
        <v>51.713699999999903</v>
      </c>
      <c r="AD2562">
        <v>-1.120755436529</v>
      </c>
      <c r="AE2562">
        <v>2.6719999999999899</v>
      </c>
      <c r="AF2562">
        <v>-1.9325789502095501</v>
      </c>
      <c r="AG2562">
        <v>-1.120755436529</v>
      </c>
      <c r="AH2562">
        <v>51.722345933831797</v>
      </c>
      <c r="AI2562">
        <v>91.240464842388505</v>
      </c>
      <c r="AJ2562">
        <v>92.139832000202006</v>
      </c>
      <c r="AK2562">
        <v>51.770571013330297</v>
      </c>
      <c r="AL2562">
        <v>79.718938247994501</v>
      </c>
      <c r="AM2562">
        <v>88.012707457343495</v>
      </c>
      <c r="AN2562">
        <v>1.0000000160899001</v>
      </c>
    </row>
    <row r="2563" spans="1:40" x14ac:dyDescent="0.25">
      <c r="A2563" t="str">
        <f>"20190303162557731"</f>
        <v>20190303162557731</v>
      </c>
      <c r="B2563" t="str">
        <f>"1551601557726151"</f>
        <v>1551601557726151</v>
      </c>
      <c r="C2563" t="s">
        <v>40</v>
      </c>
      <c r="D2563">
        <v>5.3752709999999997</v>
      </c>
      <c r="E2563">
        <v>0.47318110000000002</v>
      </c>
      <c r="F2563" t="s">
        <v>48</v>
      </c>
      <c r="G2563">
        <v>-337.4479</v>
      </c>
      <c r="H2563" s="1">
        <v>2.3177950000000001E-6</v>
      </c>
      <c r="I2563">
        <v>217.1062</v>
      </c>
      <c r="J2563">
        <v>-387.40010000000001</v>
      </c>
      <c r="K2563">
        <v>1.1207590000000001</v>
      </c>
      <c r="L2563">
        <v>214.42240000000001</v>
      </c>
      <c r="M2563">
        <v>0.99983409999999995</v>
      </c>
      <c r="N2563">
        <v>-1.1320790000000001E-2</v>
      </c>
      <c r="O2563">
        <v>1.42752E-2</v>
      </c>
      <c r="P2563">
        <v>0.98547910000000005</v>
      </c>
      <c r="Q2563">
        <v>0.16881930000000001</v>
      </c>
      <c r="R2563">
        <v>-1.8193299999999999E-2</v>
      </c>
      <c r="S2563">
        <v>3.058411</v>
      </c>
      <c r="T2563">
        <v>-6.8152669999999999E-2</v>
      </c>
      <c r="U2563">
        <v>0.1634979</v>
      </c>
      <c r="V2563">
        <v>3.2267240000000003E-2</v>
      </c>
      <c r="W2563">
        <v>0.17995939999999999</v>
      </c>
      <c r="X2563">
        <v>0.98314460000000004</v>
      </c>
      <c r="Y2563">
        <v>-3.9107280000000001E-2</v>
      </c>
      <c r="Z2563">
        <v>5.0063820000000004E-4</v>
      </c>
      <c r="AA2563">
        <v>0.99923490000000004</v>
      </c>
      <c r="AB2563">
        <v>34</v>
      </c>
      <c r="AC2563">
        <v>49.952199999999998</v>
      </c>
      <c r="AD2563">
        <v>-1.1207566822049999</v>
      </c>
      <c r="AE2563">
        <v>2.68379999999999</v>
      </c>
      <c r="AF2563">
        <v>-1.96941466298393</v>
      </c>
      <c r="AG2563">
        <v>-1.1207566822049999</v>
      </c>
      <c r="AH2563">
        <v>49.9603459987527</v>
      </c>
      <c r="AI2563">
        <v>91.284099409827206</v>
      </c>
      <c r="AJ2563">
        <v>92.2574054183833</v>
      </c>
      <c r="AK2563">
        <v>50.011707249108902</v>
      </c>
      <c r="AL2563">
        <v>79.632604312123306</v>
      </c>
      <c r="AM2563">
        <v>88.120201977784205</v>
      </c>
      <c r="AN2563">
        <v>0.99999993246736596</v>
      </c>
    </row>
    <row r="2564" spans="1:40" x14ac:dyDescent="0.25">
      <c r="A2564" t="str">
        <f>"20190303162557751"</f>
        <v>20190303162557751</v>
      </c>
      <c r="B2564" t="str">
        <f>"1551601557745672"</f>
        <v>1551601557745672</v>
      </c>
      <c r="C2564" t="s">
        <v>40</v>
      </c>
      <c r="D2564">
        <v>5.3175030000000003</v>
      </c>
      <c r="E2564">
        <v>0.47325800000000001</v>
      </c>
      <c r="F2564" t="s">
        <v>48</v>
      </c>
      <c r="G2564">
        <v>-332.16269999999997</v>
      </c>
      <c r="H2564" s="1">
        <v>-5.0974509999999998E-7</v>
      </c>
      <c r="I2564">
        <v>217.4494</v>
      </c>
      <c r="J2564">
        <v>-387.09179999999998</v>
      </c>
      <c r="K2564">
        <v>1.1207590000000001</v>
      </c>
      <c r="L2564">
        <v>214.42679999999999</v>
      </c>
      <c r="M2564">
        <v>0.99983449999999996</v>
      </c>
      <c r="N2564">
        <v>-1.129165E-2</v>
      </c>
      <c r="O2564">
        <v>1.427554E-2</v>
      </c>
      <c r="P2564">
        <v>0.98532549999999997</v>
      </c>
      <c r="Q2564">
        <v>0.16980719999999999</v>
      </c>
      <c r="R2564">
        <v>-1.7314929999999999E-2</v>
      </c>
      <c r="S2564">
        <v>3.0579529999999999</v>
      </c>
      <c r="T2564">
        <v>-6.2045450000000002E-2</v>
      </c>
      <c r="U2564">
        <v>0.167572</v>
      </c>
      <c r="V2564">
        <v>3.138697E-2</v>
      </c>
      <c r="W2564">
        <v>0.1809172</v>
      </c>
      <c r="X2564">
        <v>0.98299740000000002</v>
      </c>
      <c r="Y2564">
        <v>-4.0443670000000001E-2</v>
      </c>
      <c r="Z2564">
        <v>5.1022640000000005E-4</v>
      </c>
      <c r="AA2564">
        <v>0.99918169999999995</v>
      </c>
      <c r="AB2564">
        <v>34</v>
      </c>
      <c r="AC2564">
        <v>54.929099999999998</v>
      </c>
      <c r="AD2564">
        <v>-1.1207595097451</v>
      </c>
      <c r="AE2564">
        <v>3.0226000000000099</v>
      </c>
      <c r="AF2564">
        <v>-2.2371709709718299</v>
      </c>
      <c r="AG2564">
        <v>-1.1207595097451</v>
      </c>
      <c r="AH2564">
        <v>54.9438491830754</v>
      </c>
      <c r="AI2564">
        <v>91.167605540619306</v>
      </c>
      <c r="AJ2564">
        <v>92.331647488797302</v>
      </c>
      <c r="AK2564">
        <v>55.000796347730997</v>
      </c>
      <c r="AL2564">
        <v>79.576811674450099</v>
      </c>
      <c r="AM2564">
        <v>88.171175080934205</v>
      </c>
      <c r="AN2564">
        <v>1.0000000317741899</v>
      </c>
    </row>
    <row r="2565" spans="1:40" x14ac:dyDescent="0.25">
      <c r="A2565" t="str">
        <f>"20190303162557773"</f>
        <v>20190303162557773</v>
      </c>
      <c r="B2565" t="str">
        <f>"1551601557766172"</f>
        <v>1551601557766172</v>
      </c>
      <c r="C2565" t="s">
        <v>40</v>
      </c>
      <c r="D2565">
        <v>5.3831220000000002</v>
      </c>
      <c r="E2565">
        <v>0.47341100000000003</v>
      </c>
      <c r="F2565" t="s">
        <v>48</v>
      </c>
      <c r="G2565">
        <v>-327.78640000000001</v>
      </c>
      <c r="H2565" s="1">
        <v>2.6067610000000002E-6</v>
      </c>
      <c r="I2565">
        <v>217.7072</v>
      </c>
      <c r="J2565">
        <v>-386.77</v>
      </c>
      <c r="K2565">
        <v>1.1207560000000001</v>
      </c>
      <c r="L2565">
        <v>214.4314</v>
      </c>
      <c r="M2565">
        <v>0.99983469999999997</v>
      </c>
      <c r="N2565">
        <v>-1.1261719999999999E-2</v>
      </c>
      <c r="O2565">
        <v>1.427601E-2</v>
      </c>
      <c r="P2565">
        <v>0.98518879999999998</v>
      </c>
      <c r="Q2565">
        <v>0.17058219999999999</v>
      </c>
      <c r="R2565">
        <v>-1.7462209999999999E-2</v>
      </c>
      <c r="S2565">
        <v>3.057617</v>
      </c>
      <c r="T2565">
        <v>-5.7783010000000003E-2</v>
      </c>
      <c r="U2565">
        <v>0.16912839999999901</v>
      </c>
      <c r="V2565">
        <v>3.1532879999999999E-2</v>
      </c>
      <c r="W2565">
        <v>0.18166089999999999</v>
      </c>
      <c r="X2565">
        <v>0.98285560000000005</v>
      </c>
      <c r="Y2565">
        <v>-4.0957380000000002E-2</v>
      </c>
      <c r="Z2565">
        <v>5.0866240000000003E-4</v>
      </c>
      <c r="AA2565">
        <v>0.99916079999999996</v>
      </c>
      <c r="AB2565">
        <v>34</v>
      </c>
      <c r="AC2565">
        <v>58.983599999999903</v>
      </c>
      <c r="AD2565">
        <v>-1.1207533932389999</v>
      </c>
      <c r="AE2565">
        <v>3.2757999999999998</v>
      </c>
      <c r="AF2565">
        <v>-2.4324867591244699</v>
      </c>
      <c r="AG2565">
        <v>-1.1207533932389999</v>
      </c>
      <c r="AH2565">
        <v>59.003119596314399</v>
      </c>
      <c r="AI2565">
        <v>91.087268565265703</v>
      </c>
      <c r="AJ2565">
        <v>92.360762399829298</v>
      </c>
      <c r="AK2565">
        <v>59.063873917130998</v>
      </c>
      <c r="AL2565">
        <v>79.533483219536606</v>
      </c>
      <c r="AM2565">
        <v>88.162414260065205</v>
      </c>
      <c r="AN2565">
        <v>1.00000006778063</v>
      </c>
    </row>
    <row r="2566" spans="1:40" x14ac:dyDescent="0.25">
      <c r="A2566" t="str">
        <f>"20190303162557795"</f>
        <v>20190303162557795</v>
      </c>
      <c r="B2566" t="str">
        <f>"1551601557785693"</f>
        <v>1551601557785693</v>
      </c>
      <c r="C2566" t="s">
        <v>40</v>
      </c>
      <c r="D2566">
        <v>5.3109099999999998</v>
      </c>
      <c r="E2566">
        <v>0.4735723</v>
      </c>
      <c r="F2566" t="s">
        <v>48</v>
      </c>
      <c r="G2566">
        <v>-324.05059999999997</v>
      </c>
      <c r="H2566" s="1">
        <v>6.1873399999999999E-7</v>
      </c>
      <c r="I2566">
        <v>217.8613</v>
      </c>
      <c r="J2566">
        <v>-386.41730000000001</v>
      </c>
      <c r="K2566">
        <v>1.120754</v>
      </c>
      <c r="L2566">
        <v>214.4365</v>
      </c>
      <c r="M2566">
        <v>0.99983509999999998</v>
      </c>
      <c r="N2566">
        <v>-1.122772E-2</v>
      </c>
      <c r="O2566">
        <v>1.4276209999999999E-2</v>
      </c>
      <c r="P2566">
        <v>0.98510419999999999</v>
      </c>
      <c r="Q2566">
        <v>0.171038</v>
      </c>
      <c r="R2566">
        <v>-1.7782679999999999E-2</v>
      </c>
      <c r="S2566">
        <v>3.0575260000000002</v>
      </c>
      <c r="T2566">
        <v>-5.4635999999999997E-2</v>
      </c>
      <c r="U2566">
        <v>0.16720579999999999</v>
      </c>
      <c r="V2566">
        <v>3.1852199999999997E-2</v>
      </c>
      <c r="W2566">
        <v>0.18208250000000001</v>
      </c>
      <c r="X2566">
        <v>0.98276719999999895</v>
      </c>
      <c r="Y2566">
        <v>-4.0333540000000001E-2</v>
      </c>
      <c r="Z2566">
        <v>4.9202689999999999E-4</v>
      </c>
      <c r="AA2566">
        <v>0.99918620000000002</v>
      </c>
      <c r="AB2566">
        <v>34</v>
      </c>
      <c r="AC2566">
        <v>62.366700000000002</v>
      </c>
      <c r="AD2566">
        <v>-1.120753381266</v>
      </c>
      <c r="AE2566">
        <v>3.4247999999999998</v>
      </c>
      <c r="AF2566">
        <v>-2.5332191415114602</v>
      </c>
      <c r="AG2566">
        <v>-1.120753381266</v>
      </c>
      <c r="AH2566">
        <v>62.389152592030101</v>
      </c>
      <c r="AI2566">
        <v>91.028298652645802</v>
      </c>
      <c r="AJ2566">
        <v>92.325133058713405</v>
      </c>
      <c r="AK2566">
        <v>62.450617679188397</v>
      </c>
      <c r="AL2566">
        <v>79.508916737542293</v>
      </c>
      <c r="AM2566">
        <v>88.143651919910795</v>
      </c>
      <c r="AN2566">
        <v>0.99999998442346405</v>
      </c>
    </row>
    <row r="2567" spans="1:40" x14ac:dyDescent="0.25">
      <c r="A2567" t="str">
        <f>"20190303162557820"</f>
        <v>20190303162557820</v>
      </c>
      <c r="B2567" t="str">
        <f>"1551601557806189"</f>
        <v>1551601557806189</v>
      </c>
      <c r="C2567" t="s">
        <v>40</v>
      </c>
      <c r="D2567">
        <v>5.3156359999999996</v>
      </c>
      <c r="E2567">
        <v>0.47370719999999999</v>
      </c>
      <c r="F2567" t="s">
        <v>48</v>
      </c>
      <c r="G2567">
        <v>-322.52120000000002</v>
      </c>
      <c r="H2567" s="1">
        <v>-1.951378E-7</v>
      </c>
      <c r="I2567">
        <v>217.88489999999999</v>
      </c>
      <c r="J2567">
        <v>-386.05</v>
      </c>
      <c r="K2567">
        <v>1.1207560000000001</v>
      </c>
      <c r="L2567">
        <v>214.4417</v>
      </c>
      <c r="M2567">
        <v>0.99983560000000005</v>
      </c>
      <c r="N2567">
        <v>-1.1191080000000001E-2</v>
      </c>
      <c r="O2567">
        <v>1.42763E-2</v>
      </c>
      <c r="P2567">
        <v>0.98478149999999998</v>
      </c>
      <c r="Q2567">
        <v>0.17277699999999999</v>
      </c>
      <c r="R2567">
        <v>-1.88054E-2</v>
      </c>
      <c r="S2567">
        <v>3.0576780000000001</v>
      </c>
      <c r="T2567">
        <v>-5.36325E-2</v>
      </c>
      <c r="U2567">
        <v>0.165023799999999</v>
      </c>
      <c r="V2567">
        <v>3.2870429999999999E-2</v>
      </c>
      <c r="W2567">
        <v>0.18378130000000001</v>
      </c>
      <c r="X2567">
        <v>0.9824174</v>
      </c>
      <c r="Y2567">
        <v>-3.9620250000000003E-2</v>
      </c>
      <c r="Z2567">
        <v>4.7858109999999998E-4</v>
      </c>
      <c r="AA2567">
        <v>0.99921470000000001</v>
      </c>
      <c r="AB2567">
        <v>34</v>
      </c>
      <c r="AC2567">
        <v>63.528799999999897</v>
      </c>
      <c r="AD2567">
        <v>-1.12075619513779</v>
      </c>
      <c r="AE2567">
        <v>3.4431999999999898</v>
      </c>
      <c r="AF2567">
        <v>-2.53504950302308</v>
      </c>
      <c r="AG2567">
        <v>-1.12075619513779</v>
      </c>
      <c r="AH2567">
        <v>63.551762836936398</v>
      </c>
      <c r="AI2567">
        <v>91.0095224686672</v>
      </c>
      <c r="AJ2567">
        <v>92.284290258438006</v>
      </c>
      <c r="AK2567">
        <v>63.612177530044796</v>
      </c>
      <c r="AL2567">
        <v>79.409912061206597</v>
      </c>
      <c r="AM2567">
        <v>88.083671368531199</v>
      </c>
      <c r="AN2567">
        <v>0.99999998961041703</v>
      </c>
    </row>
    <row r="2568" spans="1:40" x14ac:dyDescent="0.25">
      <c r="A2568" t="str">
        <f>"20190303162557844"</f>
        <v>20190303162557844</v>
      </c>
      <c r="B2568" t="str">
        <f>"1551601557835469"</f>
        <v>1551601557835469</v>
      </c>
      <c r="C2568" t="s">
        <v>40</v>
      </c>
      <c r="D2568">
        <v>5.3727489999999998</v>
      </c>
      <c r="E2568">
        <v>0.47391220000000001</v>
      </c>
      <c r="F2568" t="s">
        <v>51</v>
      </c>
      <c r="G2568">
        <v>-314.58300000000003</v>
      </c>
      <c r="H2568" s="1">
        <v>2.9380200000000002E-6</v>
      </c>
      <c r="I2568">
        <v>218.1909</v>
      </c>
      <c r="J2568">
        <v>-385.68700000000001</v>
      </c>
      <c r="K2568">
        <v>1.1207590000000001</v>
      </c>
      <c r="L2568">
        <v>214.4469</v>
      </c>
      <c r="M2568">
        <v>0.99983580000000005</v>
      </c>
      <c r="N2568">
        <v>-1.11568E-2</v>
      </c>
      <c r="O2568">
        <v>1.4276789999999999E-2</v>
      </c>
      <c r="P2568">
        <v>0.98467899999999997</v>
      </c>
      <c r="Q2568">
        <v>0.1732485</v>
      </c>
      <c r="R2568">
        <v>-1.980575E-2</v>
      </c>
      <c r="S2568">
        <v>3.0577999999999999</v>
      </c>
      <c r="T2568">
        <v>-4.7952769999999999E-2</v>
      </c>
      <c r="U2568">
        <v>0.16041559999999999</v>
      </c>
      <c r="V2568">
        <v>3.3869740000000002E-2</v>
      </c>
      <c r="W2568">
        <v>0.1842182</v>
      </c>
      <c r="X2568">
        <v>0.98230170000000006</v>
      </c>
      <c r="Y2568">
        <v>-3.8117810000000002E-2</v>
      </c>
      <c r="Z2568">
        <v>4.4697049999999999E-4</v>
      </c>
      <c r="AA2568">
        <v>0.99927319999999997</v>
      </c>
      <c r="AB2568">
        <v>34</v>
      </c>
      <c r="AC2568">
        <v>71.1039999999999</v>
      </c>
      <c r="AD2568">
        <v>-1.1207560619799899</v>
      </c>
      <c r="AE2568">
        <v>3.7440000000000002</v>
      </c>
      <c r="AF2568">
        <v>-2.72774244531377</v>
      </c>
      <c r="AG2568">
        <v>-1.1207560619799899</v>
      </c>
      <c r="AH2568">
        <v>71.132584081934397</v>
      </c>
      <c r="AI2568">
        <v>90.902007561836399</v>
      </c>
      <c r="AJ2568">
        <v>92.196062342216294</v>
      </c>
      <c r="AK2568">
        <v>71.1936878604551</v>
      </c>
      <c r="AL2568">
        <v>79.384445545312403</v>
      </c>
      <c r="AM2568">
        <v>88.025225176320802</v>
      </c>
      <c r="AN2568">
        <v>1.00000006716089</v>
      </c>
    </row>
    <row r="2569" spans="1:40" x14ac:dyDescent="0.25">
      <c r="A2569" t="str">
        <f>"20190303162557863"</f>
        <v>20190303162557863</v>
      </c>
      <c r="B2569" t="str">
        <f>"1551601557855965"</f>
        <v>1551601557855965</v>
      </c>
      <c r="C2569" t="s">
        <v>40</v>
      </c>
      <c r="D2569">
        <v>5.2477919999999996</v>
      </c>
      <c r="E2569">
        <v>0.4740451</v>
      </c>
      <c r="F2569" t="s">
        <v>51</v>
      </c>
      <c r="G2569">
        <v>-311.43220000000002</v>
      </c>
      <c r="H2569" s="1">
        <v>1.5407820000000001E-6</v>
      </c>
      <c r="I2569">
        <v>218.2388</v>
      </c>
      <c r="J2569">
        <v>-385.3974</v>
      </c>
      <c r="K2569">
        <v>1.120763</v>
      </c>
      <c r="L2569">
        <v>214.45099999999999</v>
      </c>
      <c r="M2569">
        <v>0.99983610000000001</v>
      </c>
      <c r="N2569">
        <v>-1.1131749999999999E-2</v>
      </c>
      <c r="O2569">
        <v>1.427693E-2</v>
      </c>
      <c r="P2569">
        <v>0.98465670000000005</v>
      </c>
      <c r="Q2569">
        <v>0.17322379999999901</v>
      </c>
      <c r="R2569">
        <v>-2.1090020000000001E-2</v>
      </c>
      <c r="S2569">
        <v>3.057922</v>
      </c>
      <c r="T2569">
        <v>-4.6154500000000001E-2</v>
      </c>
      <c r="U2569">
        <v>0.156158399999999</v>
      </c>
      <c r="V2569">
        <v>3.515389E-2</v>
      </c>
      <c r="W2569">
        <v>0.18416850000000001</v>
      </c>
      <c r="X2569">
        <v>0.98226579999999997</v>
      </c>
      <c r="Y2569">
        <v>-3.6728810000000001E-2</v>
      </c>
      <c r="Z2569">
        <v>4.251077E-4</v>
      </c>
      <c r="AA2569">
        <v>0.99932520000000002</v>
      </c>
      <c r="AB2569">
        <v>34</v>
      </c>
      <c r="AC2569">
        <v>73.965199999999896</v>
      </c>
      <c r="AD2569">
        <v>-1.120761459218</v>
      </c>
      <c r="AE2569">
        <v>3.7877999999999998</v>
      </c>
      <c r="AF2569">
        <v>-2.7307271327399398</v>
      </c>
      <c r="AG2569">
        <v>-1.120761459218</v>
      </c>
      <c r="AH2569">
        <v>73.994797245403007</v>
      </c>
      <c r="AI2569">
        <v>90.867173375095504</v>
      </c>
      <c r="AJ2569">
        <v>92.113502229957007</v>
      </c>
      <c r="AK2569">
        <v>74.0536494462647</v>
      </c>
      <c r="AL2569">
        <v>79.3873416417632</v>
      </c>
      <c r="AM2569">
        <v>87.950340671614896</v>
      </c>
      <c r="AN2569">
        <v>0.99999996711201</v>
      </c>
    </row>
    <row r="2570" spans="1:40" x14ac:dyDescent="0.25">
      <c r="A2570" t="str">
        <f>"20190303162557886"</f>
        <v>20190303162557886</v>
      </c>
      <c r="B2570" t="str">
        <f>"1551601557875485"</f>
        <v>1551601557875485</v>
      </c>
      <c r="C2570" t="s">
        <v>40</v>
      </c>
      <c r="D2570">
        <v>5.3082419999999999</v>
      </c>
      <c r="E2570">
        <v>0.47416619999999998</v>
      </c>
      <c r="F2570" t="s">
        <v>51</v>
      </c>
      <c r="G2570">
        <v>-312.15199999999999</v>
      </c>
      <c r="H2570" s="1">
        <v>1.859978E-6</v>
      </c>
      <c r="I2570">
        <v>218.0719</v>
      </c>
      <c r="J2570">
        <v>-385.04860000000002</v>
      </c>
      <c r="K2570">
        <v>1.1207579999999999</v>
      </c>
      <c r="L2570">
        <v>214.45599999999999</v>
      </c>
      <c r="M2570">
        <v>0.99983650000000002</v>
      </c>
      <c r="N2570">
        <v>-1.1104899999999999E-2</v>
      </c>
      <c r="O2570">
        <v>1.4277440000000001E-2</v>
      </c>
      <c r="P2570">
        <v>0.98458489999999999</v>
      </c>
      <c r="Q2570">
        <v>0.17348129999999901</v>
      </c>
      <c r="R2570">
        <v>-2.229302E-2</v>
      </c>
      <c r="S2570">
        <v>3.0581670000000001</v>
      </c>
      <c r="T2570">
        <v>-4.6794410000000002E-2</v>
      </c>
      <c r="U2570">
        <v>0.15118409999999999</v>
      </c>
      <c r="V2570">
        <v>3.6355850000000002E-2</v>
      </c>
      <c r="W2570">
        <v>0.18439810000000001</v>
      </c>
      <c r="X2570">
        <v>0.98217900000000002</v>
      </c>
      <c r="Y2570">
        <v>-3.5102990000000001E-2</v>
      </c>
      <c r="Z2570">
        <v>4.0361459999999999E-4</v>
      </c>
      <c r="AA2570">
        <v>0.99938360000000004</v>
      </c>
      <c r="AB2570">
        <v>34</v>
      </c>
      <c r="AC2570">
        <v>72.896600000000007</v>
      </c>
      <c r="AD2570">
        <v>-1.1207561400220001</v>
      </c>
      <c r="AE2570">
        <v>3.6159000000000101</v>
      </c>
      <c r="AF2570">
        <v>-2.57408351652531</v>
      </c>
      <c r="AG2570">
        <v>-1.1207561400220001</v>
      </c>
      <c r="AH2570">
        <v>72.923602612899998</v>
      </c>
      <c r="AI2570">
        <v>90.879956298324501</v>
      </c>
      <c r="AJ2570">
        <v>92.021607658961102</v>
      </c>
      <c r="AK2570">
        <v>72.977625463696697</v>
      </c>
      <c r="AL2570">
        <v>79.373957626406096</v>
      </c>
      <c r="AM2570">
        <v>87.8801357073567</v>
      </c>
      <c r="AN2570">
        <v>0.99999999757691604</v>
      </c>
    </row>
    <row r="2571" spans="1:40" x14ac:dyDescent="0.25">
      <c r="A2571" t="str">
        <f>"20190303162557909"</f>
        <v>20190303162557909</v>
      </c>
      <c r="B2571" t="str">
        <f>"1551601557895980"</f>
        <v>1551601557895980</v>
      </c>
      <c r="C2571" t="s">
        <v>40</v>
      </c>
      <c r="D2571">
        <v>5.3104069999999997</v>
      </c>
      <c r="E2571">
        <v>0.47427399999999997</v>
      </c>
      <c r="F2571" t="s">
        <v>51</v>
      </c>
      <c r="G2571">
        <v>-311.28019999999998</v>
      </c>
      <c r="H2571" s="1">
        <v>1.473356E-6</v>
      </c>
      <c r="I2571">
        <v>218.00559999999999</v>
      </c>
      <c r="J2571">
        <v>-384.70569999999998</v>
      </c>
      <c r="K2571">
        <v>1.1207609999999999</v>
      </c>
      <c r="L2571">
        <v>214.46080000000001</v>
      </c>
      <c r="M2571">
        <v>0.99983670000000002</v>
      </c>
      <c r="N2571">
        <v>-1.1081529999999999E-2</v>
      </c>
      <c r="O2571">
        <v>1.427787E-2</v>
      </c>
      <c r="P2571">
        <v>0.98436029999999997</v>
      </c>
      <c r="Q2571">
        <v>0.17462659999999999</v>
      </c>
      <c r="R2571">
        <v>-2.3252740000000001E-2</v>
      </c>
      <c r="S2571">
        <v>3.0584720000000001</v>
      </c>
      <c r="T2571">
        <v>-4.6467069999999999E-2</v>
      </c>
      <c r="U2571">
        <v>0.147171</v>
      </c>
      <c r="V2571">
        <v>3.73128E-2</v>
      </c>
      <c r="W2571">
        <v>0.1855176</v>
      </c>
      <c r="X2571">
        <v>0.98193229999999998</v>
      </c>
      <c r="Y2571">
        <v>-3.3789769999999997E-2</v>
      </c>
      <c r="Z2571">
        <v>3.8526199999999999E-4</v>
      </c>
      <c r="AA2571">
        <v>0.99942889999999995</v>
      </c>
      <c r="AB2571">
        <v>34</v>
      </c>
      <c r="AC2571">
        <v>73.4255</v>
      </c>
      <c r="AD2571">
        <v>-1.120759526644</v>
      </c>
      <c r="AE2571">
        <v>3.54479999999998</v>
      </c>
      <c r="AF2571">
        <v>-2.4954344943267199</v>
      </c>
      <c r="AG2571">
        <v>-1.120759526644</v>
      </c>
      <c r="AH2571">
        <v>73.451556387822293</v>
      </c>
      <c r="AI2571">
        <v>90.873675012062193</v>
      </c>
      <c r="AJ2571">
        <v>91.945811636193596</v>
      </c>
      <c r="AK2571">
        <v>73.502479080813799</v>
      </c>
      <c r="AL2571">
        <v>79.308689267115597</v>
      </c>
      <c r="AM2571">
        <v>87.823844005497605</v>
      </c>
      <c r="AN2571">
        <v>1.00000003336844</v>
      </c>
    </row>
    <row r="2572" spans="1:40" x14ac:dyDescent="0.25">
      <c r="A2572" t="str">
        <f>"20190303162557932"</f>
        <v>20190303162557932</v>
      </c>
      <c r="B2572" t="str">
        <f>"1551601557926237"</f>
        <v>1551601557926237</v>
      </c>
      <c r="C2572" t="s">
        <v>40</v>
      </c>
      <c r="D2572">
        <v>5.1279070000000004</v>
      </c>
      <c r="E2572">
        <v>0.47435529999999998</v>
      </c>
      <c r="F2572" t="s">
        <v>51</v>
      </c>
      <c r="G2572">
        <v>-305.60930000000002</v>
      </c>
      <c r="H2572" s="1">
        <v>1.6582540000000001E-6</v>
      </c>
      <c r="I2572">
        <v>218.17740000000001</v>
      </c>
      <c r="J2572">
        <v>-384.35399999999998</v>
      </c>
      <c r="K2572">
        <v>1.1207560000000001</v>
      </c>
      <c r="L2572">
        <v>214.4659</v>
      </c>
      <c r="M2572">
        <v>0.99983690000000003</v>
      </c>
      <c r="N2572">
        <v>-1.1060499999999999E-2</v>
      </c>
      <c r="O2572">
        <v>1.427817E-2</v>
      </c>
      <c r="P2572">
        <v>0.98443619999999998</v>
      </c>
      <c r="Q2572">
        <v>0.17408979999999999</v>
      </c>
      <c r="R2572">
        <v>-2.40474E-2</v>
      </c>
      <c r="S2572">
        <v>3.0587460000000002</v>
      </c>
      <c r="T2572">
        <v>-4.3341039999999997E-2</v>
      </c>
      <c r="U2572">
        <v>0.1437225</v>
      </c>
      <c r="V2572">
        <v>3.8108839999999998E-2</v>
      </c>
      <c r="W2572">
        <v>0.1849614</v>
      </c>
      <c r="X2572">
        <v>0.98200659999999895</v>
      </c>
      <c r="Y2572">
        <v>-3.266177E-2</v>
      </c>
      <c r="Z2572">
        <v>3.6769660000000003E-4</v>
      </c>
      <c r="AA2572">
        <v>0.99946639999999998</v>
      </c>
      <c r="AB2572">
        <v>34</v>
      </c>
      <c r="AC2572">
        <v>78.744699999999995</v>
      </c>
      <c r="AD2572">
        <v>-1.120754341746</v>
      </c>
      <c r="AE2572">
        <v>3.7115</v>
      </c>
      <c r="AF2572">
        <v>-2.5861999045221902</v>
      </c>
      <c r="AG2572">
        <v>-1.120754341746</v>
      </c>
      <c r="AH2572">
        <v>78.773746649829505</v>
      </c>
      <c r="AI2572">
        <v>90.814682454755996</v>
      </c>
      <c r="AJ2572">
        <v>91.880387081381102</v>
      </c>
      <c r="AK2572">
        <v>78.824156712851803</v>
      </c>
      <c r="AL2572">
        <v>79.341117872024995</v>
      </c>
      <c r="AM2572">
        <v>87.777631449139193</v>
      </c>
      <c r="AN2572">
        <v>0.99999998280983204</v>
      </c>
    </row>
    <row r="2573" spans="1:40" x14ac:dyDescent="0.25">
      <c r="A2573" t="str">
        <f>"20190303162557951"</f>
        <v>20190303162557951</v>
      </c>
      <c r="B2573" t="str">
        <f>"1551601557945757"</f>
        <v>1551601557945757</v>
      </c>
      <c r="C2573" t="s">
        <v>40</v>
      </c>
      <c r="D2573">
        <v>5.1891439999999998</v>
      </c>
      <c r="E2573">
        <v>0.47444599999999998</v>
      </c>
      <c r="F2573" t="s">
        <v>51</v>
      </c>
      <c r="G2573">
        <v>-309.60890000000001</v>
      </c>
      <c r="H2573" s="1">
        <v>9.4880929999999999E-7</v>
      </c>
      <c r="I2573">
        <v>217.9023</v>
      </c>
      <c r="J2573">
        <v>-384.05520000000001</v>
      </c>
      <c r="K2573">
        <v>1.120735</v>
      </c>
      <c r="L2573">
        <v>214.4701</v>
      </c>
      <c r="M2573">
        <v>0.99983699999999998</v>
      </c>
      <c r="N2573">
        <v>-1.104492E-2</v>
      </c>
      <c r="O2573">
        <v>1.4278620000000001E-2</v>
      </c>
      <c r="P2573">
        <v>0.98469830000000003</v>
      </c>
      <c r="Q2573">
        <v>0.17242249999999901</v>
      </c>
      <c r="R2573">
        <v>-2.5296740000000002E-2</v>
      </c>
      <c r="S2573">
        <v>3.0589900000000001</v>
      </c>
      <c r="T2573">
        <v>-4.5867560000000002E-2</v>
      </c>
      <c r="U2573">
        <v>0.140640299999999</v>
      </c>
      <c r="V2573">
        <v>3.9362090000000002E-2</v>
      </c>
      <c r="W2573">
        <v>0.18328120000000001</v>
      </c>
      <c r="X2573">
        <v>0.98227220000000004</v>
      </c>
      <c r="Y2573">
        <v>-3.1652359999999997E-2</v>
      </c>
      <c r="Z2573">
        <v>3.5577010000000002E-4</v>
      </c>
      <c r="AA2573">
        <v>0.99949889999999997</v>
      </c>
      <c r="AB2573">
        <v>34</v>
      </c>
      <c r="AC2573">
        <v>74.446299999999994</v>
      </c>
      <c r="AD2573">
        <v>-1.1207340511907</v>
      </c>
      <c r="AE2573">
        <v>3.4321999999999901</v>
      </c>
      <c r="AF2573">
        <v>-2.36825915399247</v>
      </c>
      <c r="AG2573">
        <v>-1.1207340511907</v>
      </c>
      <c r="AH2573">
        <v>74.470878143000604</v>
      </c>
      <c r="AI2573">
        <v>90.861760297621203</v>
      </c>
      <c r="AJ2573">
        <v>91.8214575057373</v>
      </c>
      <c r="AK2573">
        <v>74.516953692589993</v>
      </c>
      <c r="AL2573">
        <v>79.439061168968394</v>
      </c>
      <c r="AM2573">
        <v>87.705243402665701</v>
      </c>
      <c r="AN2573">
        <v>1.00000002364772</v>
      </c>
    </row>
    <row r="2574" spans="1:40" x14ac:dyDescent="0.25">
      <c r="A2574" t="str">
        <f>"20190303162557974"</f>
        <v>20190303162557974</v>
      </c>
      <c r="B2574" t="str">
        <f>"1551601557966253"</f>
        <v>1551601557966253</v>
      </c>
      <c r="C2574" t="s">
        <v>40</v>
      </c>
      <c r="D2574">
        <v>4.993074</v>
      </c>
      <c r="E2574">
        <v>0.47455809999999998</v>
      </c>
      <c r="F2574" t="s">
        <v>51</v>
      </c>
      <c r="G2574">
        <v>-318.20269999999999</v>
      </c>
      <c r="H2574" s="1">
        <v>4.5432080000000002E-6</v>
      </c>
      <c r="I2574">
        <v>217.4059</v>
      </c>
      <c r="J2574">
        <v>-383.70780000000002</v>
      </c>
      <c r="K2574">
        <v>1.1207260000000001</v>
      </c>
      <c r="L2574">
        <v>214.4751</v>
      </c>
      <c r="M2574">
        <v>0.99983730000000004</v>
      </c>
      <c r="N2574">
        <v>-1.102916E-2</v>
      </c>
      <c r="O2574">
        <v>1.4278890000000001E-2</v>
      </c>
      <c r="P2574">
        <v>0.98485310000000004</v>
      </c>
      <c r="Q2574">
        <v>0.1713692</v>
      </c>
      <c r="R2574">
        <v>-2.6403320000000001E-2</v>
      </c>
      <c r="S2574">
        <v>3.0592350000000001</v>
      </c>
      <c r="T2574">
        <v>-5.2064539999999999E-2</v>
      </c>
      <c r="U2574">
        <v>0.13638310000000001</v>
      </c>
      <c r="V2574">
        <v>4.0471050000000001E-2</v>
      </c>
      <c r="W2574">
        <v>0.18221419999999999</v>
      </c>
      <c r="X2574">
        <v>0.98242560000000001</v>
      </c>
      <c r="Y2574">
        <v>-3.0259459999999998E-2</v>
      </c>
      <c r="Z2574">
        <v>3.3889690000000002E-4</v>
      </c>
      <c r="AA2574">
        <v>0.99954200000000004</v>
      </c>
      <c r="AB2574">
        <v>34</v>
      </c>
      <c r="AC2574">
        <v>65.505099999999999</v>
      </c>
      <c r="AD2574">
        <v>-1.1207214567919901</v>
      </c>
      <c r="AE2574">
        <v>2.9308000000000001</v>
      </c>
      <c r="AF2574">
        <v>-1.99452157439085</v>
      </c>
      <c r="AG2574">
        <v>-1.1207214567919901</v>
      </c>
      <c r="AH2574">
        <v>65.521131442496099</v>
      </c>
      <c r="AI2574">
        <v>90.979479826091406</v>
      </c>
      <c r="AJ2574">
        <v>91.743596105170496</v>
      </c>
      <c r="AK2574">
        <v>65.561061602137599</v>
      </c>
      <c r="AL2574">
        <v>79.501242561190395</v>
      </c>
      <c r="AM2574">
        <v>87.641032574247504</v>
      </c>
      <c r="AN2574">
        <v>0.99999999005255102</v>
      </c>
    </row>
    <row r="2575" spans="1:40" x14ac:dyDescent="0.25">
      <c r="A2575" t="str">
        <f>"20190303162557996"</f>
        <v>20190303162557996</v>
      </c>
      <c r="B2575" t="str">
        <f>"1551601557986748"</f>
        <v>1551601557986748</v>
      </c>
      <c r="C2575" t="s">
        <v>40</v>
      </c>
      <c r="D2575">
        <v>4.9131710000000002</v>
      </c>
      <c r="E2575">
        <v>0.49288090000000001</v>
      </c>
      <c r="F2575" t="s">
        <v>48</v>
      </c>
      <c r="G2575">
        <v>-322.01690000000002</v>
      </c>
      <c r="H2575" s="1">
        <v>-4.6351110000000002E-7</v>
      </c>
      <c r="I2575">
        <v>217.13659999999999</v>
      </c>
      <c r="J2575">
        <v>-383.36489999999998</v>
      </c>
      <c r="K2575">
        <v>1.120722</v>
      </c>
      <c r="L2575">
        <v>214.48</v>
      </c>
      <c r="M2575">
        <v>0.99983739999999999</v>
      </c>
      <c r="N2575">
        <v>-1.101589E-2</v>
      </c>
      <c r="O2575">
        <v>1.427926E-2</v>
      </c>
      <c r="P2575">
        <v>0.98511199999999999</v>
      </c>
      <c r="Q2575">
        <v>0.16972119999999999</v>
      </c>
      <c r="R2575">
        <v>-2.7368590000000002E-2</v>
      </c>
      <c r="S2575">
        <v>3.059326</v>
      </c>
      <c r="T2575">
        <v>-5.557811E-2</v>
      </c>
      <c r="U2575">
        <v>0.13198850000000001</v>
      </c>
      <c r="V2575">
        <v>4.144022E-2</v>
      </c>
      <c r="W2575">
        <v>0.18055560000000001</v>
      </c>
      <c r="X2575">
        <v>0.98269139999999999</v>
      </c>
      <c r="Y2575">
        <v>-2.88244E-2</v>
      </c>
      <c r="Z2575">
        <v>3.1854449999999999E-4</v>
      </c>
      <c r="AA2575">
        <v>0.99958440000000004</v>
      </c>
      <c r="AB2575">
        <v>34</v>
      </c>
      <c r="AC2575">
        <v>61.3479999999999</v>
      </c>
      <c r="AD2575">
        <v>-1.1207224635110999</v>
      </c>
      <c r="AE2575">
        <v>2.6565999999999899</v>
      </c>
      <c r="AF2575">
        <v>-1.77967912925835</v>
      </c>
      <c r="AG2575">
        <v>-1.1207224635110999</v>
      </c>
      <c r="AH2575">
        <v>61.359242064087297</v>
      </c>
      <c r="AI2575">
        <v>91.045947480693499</v>
      </c>
      <c r="AJ2575">
        <v>91.661355657937904</v>
      </c>
      <c r="AK2575">
        <v>61.395275578195701</v>
      </c>
      <c r="AL2575">
        <v>79.597876423889602</v>
      </c>
      <c r="AM2575">
        <v>87.5852604824655</v>
      </c>
      <c r="AN2575">
        <v>1.0000000020794799</v>
      </c>
    </row>
    <row r="2576" spans="1:40" x14ac:dyDescent="0.25">
      <c r="A2576" t="str">
        <f>"20190303162558019"</f>
        <v>20190303162558019</v>
      </c>
      <c r="B2576" t="str">
        <f>"1551601558005293"</f>
        <v>1551601558005293</v>
      </c>
      <c r="C2576" t="s">
        <v>40</v>
      </c>
      <c r="D2576">
        <v>4.8378540000000001</v>
      </c>
      <c r="E2576">
        <v>0.50198909999999997</v>
      </c>
      <c r="F2576" t="s">
        <v>48</v>
      </c>
      <c r="G2576">
        <v>-333.18790000000001</v>
      </c>
      <c r="H2576" s="1">
        <v>1.77810299999999E-7</v>
      </c>
      <c r="I2576">
        <v>214.2004</v>
      </c>
      <c r="J2576">
        <v>-383.02019999999999</v>
      </c>
      <c r="K2576">
        <v>1.120708</v>
      </c>
      <c r="L2576">
        <v>214.48490000000001</v>
      </c>
      <c r="M2576">
        <v>0.99983759999999999</v>
      </c>
      <c r="N2576">
        <v>-1.1004750000000001E-2</v>
      </c>
      <c r="O2576">
        <v>1.4279500000000001E-2</v>
      </c>
      <c r="P2576">
        <v>0.98554059999999999</v>
      </c>
      <c r="Q2576">
        <v>0.1671126</v>
      </c>
      <c r="R2576">
        <v>-2.798867E-2</v>
      </c>
      <c r="S2576">
        <v>3.0565799999999999</v>
      </c>
      <c r="T2576">
        <v>-6.8269730000000001E-2</v>
      </c>
      <c r="U2576">
        <v>-1.7028809999999998E-2</v>
      </c>
      <c r="V2576">
        <v>4.2066350000000002E-2</v>
      </c>
      <c r="W2576">
        <v>0.17794119999999999</v>
      </c>
      <c r="X2576">
        <v>0.9831415</v>
      </c>
      <c r="Y2576">
        <v>1.984238E-2</v>
      </c>
      <c r="Z2576">
        <v>-4.9252029999999997E-4</v>
      </c>
      <c r="AA2576">
        <v>0.999803</v>
      </c>
      <c r="AB2576">
        <v>34</v>
      </c>
      <c r="AC2576">
        <v>49.832299999999897</v>
      </c>
      <c r="AD2576">
        <v>-1.1207078221897</v>
      </c>
      <c r="AE2576">
        <v>-0.28450000000000802</v>
      </c>
      <c r="AF2576">
        <v>0.99559079059095201</v>
      </c>
      <c r="AG2576">
        <v>-1.1207078221897</v>
      </c>
      <c r="AH2576">
        <v>49.797969786822897</v>
      </c>
      <c r="AI2576">
        <v>91.288971592099898</v>
      </c>
      <c r="AJ2576">
        <v>88.854661096333203</v>
      </c>
      <c r="AK2576">
        <v>49.820527716337502</v>
      </c>
      <c r="AL2576">
        <v>79.750135826920797</v>
      </c>
      <c r="AM2576">
        <v>87.549940614109204</v>
      </c>
      <c r="AN2576">
        <v>0.99999992874100296</v>
      </c>
    </row>
    <row r="2577" spans="1:40" x14ac:dyDescent="0.25">
      <c r="A2577" t="str">
        <f>"20190303162558040"</f>
        <v>20190303162558040</v>
      </c>
      <c r="B2577" t="str">
        <f>"1551601558025789"</f>
        <v>1551601558025789</v>
      </c>
      <c r="C2577" t="s">
        <v>40</v>
      </c>
      <c r="D2577">
        <v>4.7956979999999998</v>
      </c>
      <c r="E2577">
        <v>0.50556859999999904</v>
      </c>
      <c r="F2577" t="s">
        <v>48</v>
      </c>
      <c r="G2577">
        <v>-342.90679999999998</v>
      </c>
      <c r="H2577" s="1">
        <v>1.0087429999999999E-8</v>
      </c>
      <c r="I2577">
        <v>213.28370000000001</v>
      </c>
      <c r="J2577">
        <v>-382.6986</v>
      </c>
      <c r="K2577">
        <v>1.120708</v>
      </c>
      <c r="L2577">
        <v>214.48949999999999</v>
      </c>
      <c r="M2577">
        <v>0.99983770000000005</v>
      </c>
      <c r="N2577">
        <v>-1.099575E-2</v>
      </c>
      <c r="O2577">
        <v>1.4279729999999999E-2</v>
      </c>
      <c r="P2577">
        <v>0.98570190000000002</v>
      </c>
      <c r="Q2577">
        <v>0.1661523</v>
      </c>
      <c r="R2577">
        <v>-2.802574E-2</v>
      </c>
      <c r="S2577">
        <v>3.0559080000000001</v>
      </c>
      <c r="T2577">
        <v>-8.5377449999999994E-2</v>
      </c>
      <c r="U2577">
        <v>-9.1506959999999998E-2</v>
      </c>
      <c r="V2577">
        <v>4.2106049999999999E-2</v>
      </c>
      <c r="W2577">
        <v>0.1769741</v>
      </c>
      <c r="X2577">
        <v>0.98331449999999998</v>
      </c>
      <c r="Y2577">
        <v>4.4175949999999999E-2</v>
      </c>
      <c r="Z2577">
        <v>-1.101683E-3</v>
      </c>
      <c r="AA2577">
        <v>0.99902310000000005</v>
      </c>
      <c r="AB2577">
        <v>34</v>
      </c>
      <c r="AC2577">
        <v>39.791800000000002</v>
      </c>
      <c r="AD2577">
        <v>-1.12070798991257</v>
      </c>
      <c r="AE2577">
        <v>-1.20579999999998</v>
      </c>
      <c r="AF2577">
        <v>1.77252276186484</v>
      </c>
      <c r="AG2577">
        <v>-1.12070798991257</v>
      </c>
      <c r="AH2577">
        <v>39.739029606874396</v>
      </c>
      <c r="AI2577">
        <v>91.613806215792906</v>
      </c>
      <c r="AJ2577">
        <v>87.446067407772702</v>
      </c>
      <c r="AK2577">
        <v>39.794324940071803</v>
      </c>
      <c r="AL2577">
        <v>79.806441765579194</v>
      </c>
      <c r="AM2577">
        <v>87.548062131365697</v>
      </c>
      <c r="AN2577">
        <v>1.0000000787138199</v>
      </c>
    </row>
    <row r="2578" spans="1:40" x14ac:dyDescent="0.25">
      <c r="A2578" t="str">
        <f>"20190303162558063"</f>
        <v>20190303162558063</v>
      </c>
      <c r="B2578" t="str">
        <f>"1551601558056045"</f>
        <v>1551601558056045</v>
      </c>
      <c r="C2578" t="s">
        <v>40</v>
      </c>
      <c r="D2578">
        <v>4.6399299999999997</v>
      </c>
      <c r="E2578">
        <v>0.50773950000000001</v>
      </c>
      <c r="F2578" t="s">
        <v>48</v>
      </c>
      <c r="G2578">
        <v>-343.62110000000001</v>
      </c>
      <c r="H2578" s="1">
        <v>3.901728E-7</v>
      </c>
      <c r="I2578">
        <v>212.9504</v>
      </c>
      <c r="J2578">
        <v>-382.3322</v>
      </c>
      <c r="K2578">
        <v>1.1207180000000001</v>
      </c>
      <c r="L2578">
        <v>214.49469999999999</v>
      </c>
      <c r="M2578">
        <v>0.99983770000000005</v>
      </c>
      <c r="N2578">
        <v>-1.09874E-2</v>
      </c>
      <c r="O2578">
        <v>1.428025E-2</v>
      </c>
      <c r="P2578">
        <v>0.9853172</v>
      </c>
      <c r="Q2578">
        <v>0.16847119999999999</v>
      </c>
      <c r="R2578">
        <v>-2.770707E-2</v>
      </c>
      <c r="S2578">
        <v>3.0549010000000001</v>
      </c>
      <c r="T2578">
        <v>-8.7611789999999995E-2</v>
      </c>
      <c r="U2578">
        <v>-0.12031559999999999</v>
      </c>
      <c r="V2578">
        <v>4.1782519999999997E-2</v>
      </c>
      <c r="W2578">
        <v>0.17927969999999999</v>
      </c>
      <c r="X2578">
        <v>0.98291050000000002</v>
      </c>
      <c r="Y2578">
        <v>5.3587280000000001E-2</v>
      </c>
      <c r="Z2578">
        <v>-1.315061E-3</v>
      </c>
      <c r="AA2578">
        <v>0.99856230000000001</v>
      </c>
      <c r="AB2578">
        <v>34</v>
      </c>
      <c r="AC2578">
        <v>38.711099999999902</v>
      </c>
      <c r="AD2578">
        <v>-1.1207176098272</v>
      </c>
      <c r="AE2578">
        <v>-1.54429999999999</v>
      </c>
      <c r="AF2578">
        <v>2.0952267256335402</v>
      </c>
      <c r="AG2578">
        <v>-1.1207176098272</v>
      </c>
      <c r="AH2578">
        <v>38.652752610650303</v>
      </c>
      <c r="AI2578">
        <v>91.658364472530494</v>
      </c>
      <c r="AJ2578">
        <v>86.897238431353202</v>
      </c>
      <c r="AK2578">
        <v>38.7257184229411</v>
      </c>
      <c r="AL2578">
        <v>79.672193025115206</v>
      </c>
      <c r="AM2578">
        <v>87.565880473169898</v>
      </c>
      <c r="AN2578">
        <v>1.00000002040994</v>
      </c>
    </row>
    <row r="2579" spans="1:40" x14ac:dyDescent="0.25">
      <c r="A2579" t="str">
        <f>"20190303162558088"</f>
        <v>20190303162558088</v>
      </c>
      <c r="B2579" t="str">
        <f>"1551601558076541"</f>
        <v>1551601558076541</v>
      </c>
      <c r="C2579" t="s">
        <v>40</v>
      </c>
      <c r="D2579">
        <v>4.7007919999999999</v>
      </c>
      <c r="E2579">
        <v>0.50888250000000002</v>
      </c>
      <c r="F2579" t="s">
        <v>48</v>
      </c>
      <c r="G2579">
        <v>-338.30220000000003</v>
      </c>
      <c r="H2579" s="1">
        <v>2.9726999999999999E-6</v>
      </c>
      <c r="I2579">
        <v>212.52350000000001</v>
      </c>
      <c r="J2579">
        <v>-381.96719999999999</v>
      </c>
      <c r="K2579">
        <v>1.1207199999999999</v>
      </c>
      <c r="L2579">
        <v>214.4999</v>
      </c>
      <c r="M2579">
        <v>0.9998378</v>
      </c>
      <c r="N2579">
        <v>-1.09806E-2</v>
      </c>
      <c r="O2579">
        <v>1.428047E-2</v>
      </c>
      <c r="P2579">
        <v>0.98506530000000003</v>
      </c>
      <c r="Q2579">
        <v>0.16994119999999999</v>
      </c>
      <c r="R2579">
        <v>-2.7686929999999998E-2</v>
      </c>
      <c r="S2579">
        <v>3.054138</v>
      </c>
      <c r="T2579">
        <v>-7.7738290000000002E-2</v>
      </c>
      <c r="U2579">
        <v>-0.13673399999999999</v>
      </c>
      <c r="V2579">
        <v>4.1758919999999998E-2</v>
      </c>
      <c r="W2579">
        <v>0.18074080000000001</v>
      </c>
      <c r="X2579">
        <v>0.98264379999999996</v>
      </c>
      <c r="Y2579">
        <v>5.8958959999999998E-2</v>
      </c>
      <c r="Z2579">
        <v>-1.280361E-3</v>
      </c>
      <c r="AA2579">
        <v>0.99825960000000002</v>
      </c>
      <c r="AB2579">
        <v>34</v>
      </c>
      <c r="AC2579">
        <v>43.6649999999999</v>
      </c>
      <c r="AD2579">
        <v>-1.1207170273</v>
      </c>
      <c r="AE2579">
        <v>-1.97639999999998</v>
      </c>
      <c r="AF2579">
        <v>2.5980847107800198</v>
      </c>
      <c r="AG2579">
        <v>-1.1207170273</v>
      </c>
      <c r="AH2579">
        <v>43.603655803713899</v>
      </c>
      <c r="AI2579">
        <v>91.469707353400494</v>
      </c>
      <c r="AJ2579">
        <v>86.590113902410195</v>
      </c>
      <c r="AK2579">
        <v>43.695364173656102</v>
      </c>
      <c r="AL2579">
        <v>79.587087103980195</v>
      </c>
      <c r="AM2579">
        <v>87.566594203738106</v>
      </c>
      <c r="AN2579">
        <v>0.99999994093132105</v>
      </c>
    </row>
    <row r="2580" spans="1:40" x14ac:dyDescent="0.25">
      <c r="A2580" t="str">
        <f>"20190303162558130"</f>
        <v>20190303162558130</v>
      </c>
      <c r="B2580" t="str">
        <f>"1551601558115581"</f>
        <v>1551601558115581</v>
      </c>
      <c r="C2580" t="s">
        <v>40</v>
      </c>
      <c r="D2580">
        <v>4.6686940000000003</v>
      </c>
      <c r="E2580">
        <v>0.51087249999999995</v>
      </c>
      <c r="F2580" t="s">
        <v>48</v>
      </c>
      <c r="G2580">
        <v>-337.88310000000001</v>
      </c>
      <c r="H2580" s="1">
        <v>2.7544950000000001E-6</v>
      </c>
      <c r="I2580">
        <v>212.41399999999999</v>
      </c>
      <c r="J2580">
        <v>-381.33499999999998</v>
      </c>
      <c r="K2580">
        <v>1.120708</v>
      </c>
      <c r="L2580">
        <v>214.50890000000001</v>
      </c>
      <c r="M2580">
        <v>0.99983789999999995</v>
      </c>
      <c r="N2580">
        <v>-1.0971939999999999E-2</v>
      </c>
      <c r="O2580">
        <v>1.4281169999999999E-2</v>
      </c>
      <c r="P2580">
        <v>0.98496830000000002</v>
      </c>
      <c r="Q2580">
        <v>0.1703817</v>
      </c>
      <c r="R2580">
        <v>-2.8419159999999999E-2</v>
      </c>
      <c r="S2580">
        <v>3.05484</v>
      </c>
      <c r="T2580">
        <v>-7.7661040000000001E-2</v>
      </c>
      <c r="U2580">
        <v>-0.14454649999999999</v>
      </c>
      <c r="V2580">
        <v>4.2490559999999997E-2</v>
      </c>
      <c r="W2580">
        <v>0.18117140000000001</v>
      </c>
      <c r="X2580">
        <v>0.9825332</v>
      </c>
      <c r="Y2580">
        <v>6.14957E-2</v>
      </c>
      <c r="Z2580">
        <v>-1.3249920000000001E-3</v>
      </c>
      <c r="AA2580">
        <v>0.99810650000000001</v>
      </c>
      <c r="AB2580">
        <v>34</v>
      </c>
      <c r="AC2580">
        <v>43.451899999999902</v>
      </c>
      <c r="AD2580">
        <v>-1.1207052455049999</v>
      </c>
      <c r="AE2580">
        <v>-2.0948999999999902</v>
      </c>
      <c r="AF2580">
        <v>2.7134667433632602</v>
      </c>
      <c r="AG2580">
        <v>-1.1207052455049999</v>
      </c>
      <c r="AH2580">
        <v>43.388752642174197</v>
      </c>
      <c r="AI2580">
        <v>91.476702721388804</v>
      </c>
      <c r="AJ2580">
        <v>86.421469330597304</v>
      </c>
      <c r="AK2580">
        <v>43.487960838126398</v>
      </c>
      <c r="AL2580">
        <v>79.562002096068596</v>
      </c>
      <c r="AM2580">
        <v>87.523733789634804</v>
      </c>
      <c r="AN2580">
        <v>1.0000000064846499</v>
      </c>
    </row>
    <row r="2581" spans="1:40" x14ac:dyDescent="0.25">
      <c r="A2581" t="str">
        <f>"20190303162558152"</f>
        <v>20190303162558152</v>
      </c>
      <c r="B2581" t="str">
        <f>"1551601558145838"</f>
        <v>1551601558145838</v>
      </c>
      <c r="C2581" t="s">
        <v>40</v>
      </c>
      <c r="D2581">
        <v>4.7022380000000004</v>
      </c>
      <c r="E2581">
        <v>0.51177850000000003</v>
      </c>
      <c r="F2581" t="s">
        <v>48</v>
      </c>
      <c r="G2581">
        <v>-337.43560000000002</v>
      </c>
      <c r="H2581" s="1">
        <v>2.5266609999999999E-6</v>
      </c>
      <c r="I2581">
        <v>212.17740000000001</v>
      </c>
      <c r="J2581">
        <v>-380.97789999999998</v>
      </c>
      <c r="K2581">
        <v>1.1206959999999999</v>
      </c>
      <c r="L2581">
        <v>214.51400000000001</v>
      </c>
      <c r="M2581">
        <v>0.9998378</v>
      </c>
      <c r="N2581">
        <v>-1.096872E-2</v>
      </c>
      <c r="O2581">
        <v>1.428155E-2</v>
      </c>
      <c r="P2581">
        <v>0.98527589999999998</v>
      </c>
      <c r="Q2581">
        <v>0.16846559999999999</v>
      </c>
      <c r="R2581">
        <v>-2.9164909999999999E-2</v>
      </c>
      <c r="S2581">
        <v>3.0546259999999998</v>
      </c>
      <c r="T2581">
        <v>-7.7981350000000005E-2</v>
      </c>
      <c r="U2581">
        <v>-0.1622314</v>
      </c>
      <c r="V2581">
        <v>4.3240899999999999E-2</v>
      </c>
      <c r="W2581">
        <v>0.17925539999999901</v>
      </c>
      <c r="X2581">
        <v>0.9828519</v>
      </c>
      <c r="Y2581">
        <v>6.7259449999999998E-2</v>
      </c>
      <c r="Z2581">
        <v>-1.4348010000000001E-3</v>
      </c>
      <c r="AA2581">
        <v>0.99773449999999997</v>
      </c>
      <c r="AB2581">
        <v>34</v>
      </c>
      <c r="AC2581">
        <v>43.542299999999898</v>
      </c>
      <c r="AD2581">
        <v>-1.1206934733389999</v>
      </c>
      <c r="AE2581">
        <v>-2.3365999999999998</v>
      </c>
      <c r="AF2581">
        <v>2.9562978799287798</v>
      </c>
      <c r="AG2581">
        <v>-1.1206934733389999</v>
      </c>
      <c r="AH2581">
        <v>43.475768775526298</v>
      </c>
      <c r="AI2581">
        <v>91.473210293005494</v>
      </c>
      <c r="AJ2581">
        <v>86.109946954363494</v>
      </c>
      <c r="AK2581">
        <v>43.590573770473398</v>
      </c>
      <c r="AL2581">
        <v>79.673608710223405</v>
      </c>
      <c r="AM2581">
        <v>87.480877395500997</v>
      </c>
      <c r="AN2581">
        <v>1.0000000655977801</v>
      </c>
    </row>
    <row r="2582" spans="1:40" x14ac:dyDescent="0.25">
      <c r="A2582" t="str">
        <f>"20190303162558176"</f>
        <v>20190303162558176</v>
      </c>
      <c r="B2582" t="str">
        <f>"1551601558165357"</f>
        <v>1551601558165357</v>
      </c>
      <c r="C2582" t="s">
        <v>40</v>
      </c>
      <c r="D2582">
        <v>4.6297600000000001</v>
      </c>
      <c r="E2582">
        <v>0.51222259999999997</v>
      </c>
      <c r="F2582" t="s">
        <v>48</v>
      </c>
      <c r="G2582">
        <v>-342.5872</v>
      </c>
      <c r="H2582" s="1">
        <v>-1.600396E-7</v>
      </c>
      <c r="I2582">
        <v>212.3605</v>
      </c>
      <c r="J2582">
        <v>-380.61970000000002</v>
      </c>
      <c r="K2582">
        <v>1.120692</v>
      </c>
      <c r="L2582">
        <v>214.51910000000001</v>
      </c>
      <c r="M2582">
        <v>0.999838</v>
      </c>
      <c r="N2582">
        <v>-1.096632E-2</v>
      </c>
      <c r="O2582">
        <v>1.428192E-2</v>
      </c>
      <c r="P2582">
        <v>0.98530090000000004</v>
      </c>
      <c r="Q2582">
        <v>0.16811679999999901</v>
      </c>
      <c r="R2582">
        <v>-3.0315499999999999E-2</v>
      </c>
      <c r="S2582">
        <v>3.0549620000000002</v>
      </c>
      <c r="T2582">
        <v>-8.9179869999999994E-2</v>
      </c>
      <c r="U2582">
        <v>-0.17137149999999901</v>
      </c>
      <c r="V2582">
        <v>4.4392029999999999E-2</v>
      </c>
      <c r="W2582">
        <v>0.17890439999999999</v>
      </c>
      <c r="X2582">
        <v>0.98286439999999997</v>
      </c>
      <c r="Y2582">
        <v>7.0219260000000006E-2</v>
      </c>
      <c r="Z2582">
        <v>-1.669402E-3</v>
      </c>
      <c r="AA2582">
        <v>0.99753020000000003</v>
      </c>
      <c r="AB2582">
        <v>34</v>
      </c>
      <c r="AC2582">
        <v>38.032499999999999</v>
      </c>
      <c r="AD2582">
        <v>-1.1206921600396</v>
      </c>
      <c r="AE2582">
        <v>-2.1585999999999999</v>
      </c>
      <c r="AF2582">
        <v>2.6992533312591398</v>
      </c>
      <c r="AG2582">
        <v>-1.1206921600396</v>
      </c>
      <c r="AH2582">
        <v>37.964931148878399</v>
      </c>
      <c r="AI2582">
        <v>91.686576207871994</v>
      </c>
      <c r="AJ2582">
        <v>85.933193845252504</v>
      </c>
      <c r="AK2582">
        <v>38.077262462038497</v>
      </c>
      <c r="AL2582">
        <v>79.694048585766794</v>
      </c>
      <c r="AM2582">
        <v>87.413937728810893</v>
      </c>
      <c r="AN2582">
        <v>0.99999993272711796</v>
      </c>
    </row>
    <row r="2583" spans="1:40" x14ac:dyDescent="0.25">
      <c r="A2583" t="str">
        <f>"20190303162558198"</f>
        <v>20190303162558198</v>
      </c>
      <c r="B2583" t="str">
        <f>"1551601558185853"</f>
        <v>1551601558185853</v>
      </c>
      <c r="C2583" t="s">
        <v>40</v>
      </c>
      <c r="D2583">
        <v>4.6735470000000001</v>
      </c>
      <c r="E2583">
        <v>0.51253479999999996</v>
      </c>
      <c r="F2583" t="s">
        <v>48</v>
      </c>
      <c r="G2583">
        <v>-342.5301</v>
      </c>
      <c r="H2583" s="1">
        <v>-1.9038410000000001E-7</v>
      </c>
      <c r="I2583">
        <v>212.2861</v>
      </c>
      <c r="J2583">
        <v>-380.27010000000001</v>
      </c>
      <c r="K2583">
        <v>1.1206969999999901</v>
      </c>
      <c r="L2583">
        <v>214.5241</v>
      </c>
      <c r="M2583">
        <v>0.99983789999999995</v>
      </c>
      <c r="N2583">
        <v>-1.0964399999999999E-2</v>
      </c>
      <c r="O2583">
        <v>1.4282410000000001E-2</v>
      </c>
      <c r="P2583">
        <v>0.9852803</v>
      </c>
      <c r="Q2583">
        <v>0.16810339999999999</v>
      </c>
      <c r="R2583">
        <v>-3.1047780000000001E-2</v>
      </c>
      <c r="S2583">
        <v>3.0545650000000002</v>
      </c>
      <c r="T2583">
        <v>-8.9873079999999994E-2</v>
      </c>
      <c r="U2583">
        <v>-0.17907709999999999</v>
      </c>
      <c r="V2583">
        <v>4.512443E-2</v>
      </c>
      <c r="W2583">
        <v>0.17888850000000001</v>
      </c>
      <c r="X2583">
        <v>0.98283399999999999</v>
      </c>
      <c r="Y2583">
        <v>7.2732859999999996E-2</v>
      </c>
      <c r="Z2583">
        <v>-1.731425E-3</v>
      </c>
      <c r="AA2583">
        <v>0.99734999999999996</v>
      </c>
      <c r="AB2583">
        <v>34</v>
      </c>
      <c r="AC2583">
        <v>37.74</v>
      </c>
      <c r="AD2583">
        <v>-1.1206971903841001</v>
      </c>
      <c r="AE2583">
        <v>-2.2379999999999902</v>
      </c>
      <c r="AF2583">
        <v>2.7743843526199599</v>
      </c>
      <c r="AG2583">
        <v>-1.1206971903841001</v>
      </c>
      <c r="AH2583">
        <v>37.671081987433801</v>
      </c>
      <c r="AI2583">
        <v>91.699420380819703</v>
      </c>
      <c r="AJ2583">
        <v>85.787908427373793</v>
      </c>
      <c r="AK2583">
        <v>37.789728615492301</v>
      </c>
      <c r="AL2583">
        <v>79.694975128824595</v>
      </c>
      <c r="AM2583">
        <v>87.371249859664005</v>
      </c>
      <c r="AN2583">
        <v>0.99999999058553701</v>
      </c>
    </row>
    <row r="2584" spans="1:40" x14ac:dyDescent="0.25">
      <c r="A2584" t="str">
        <f>"20190303162558219"</f>
        <v>20190303162558219</v>
      </c>
      <c r="B2584" t="str">
        <f>"1551601558205373"</f>
        <v>1551601558205373</v>
      </c>
      <c r="C2584" t="s">
        <v>40</v>
      </c>
      <c r="D2584">
        <v>4.686229</v>
      </c>
      <c r="E2584">
        <v>0.51278599999999996</v>
      </c>
      <c r="F2584" t="s">
        <v>48</v>
      </c>
      <c r="G2584">
        <v>-342.53949999999998</v>
      </c>
      <c r="H2584" s="1">
        <v>-1.8540500000000001E-7</v>
      </c>
      <c r="I2584">
        <v>212.2559</v>
      </c>
      <c r="J2584">
        <v>-379.95319999999998</v>
      </c>
      <c r="K2584">
        <v>1.120687</v>
      </c>
      <c r="L2584">
        <v>214.52860000000001</v>
      </c>
      <c r="M2584">
        <v>0.999838</v>
      </c>
      <c r="N2584">
        <v>-1.096316E-2</v>
      </c>
      <c r="O2584">
        <v>1.428277E-2</v>
      </c>
      <c r="P2584">
        <v>0.9855817</v>
      </c>
      <c r="Q2584">
        <v>0.1661996</v>
      </c>
      <c r="R2584">
        <v>-3.172879E-2</v>
      </c>
      <c r="S2584">
        <v>3.0545040000000001</v>
      </c>
      <c r="T2584">
        <v>-9.0726609999999999E-2</v>
      </c>
      <c r="U2584">
        <v>-0.18362429999999999</v>
      </c>
      <c r="V2584">
        <v>4.5809929999999999E-2</v>
      </c>
      <c r="W2584">
        <v>0.17698720000000001</v>
      </c>
      <c r="X2584">
        <v>0.98314650000000003</v>
      </c>
      <c r="Y2584">
        <v>7.4212139999999996E-2</v>
      </c>
      <c r="Z2584">
        <v>-1.775591E-3</v>
      </c>
      <c r="AA2584">
        <v>0.99724089999999999</v>
      </c>
      <c r="AB2584">
        <v>34</v>
      </c>
      <c r="AC2584">
        <v>37.413699999999999</v>
      </c>
      <c r="AD2584">
        <v>-1.120687185405</v>
      </c>
      <c r="AE2584">
        <v>-2.2727000000000102</v>
      </c>
      <c r="AF2584">
        <v>2.8043645475627499</v>
      </c>
      <c r="AG2584">
        <v>-1.120687185405</v>
      </c>
      <c r="AH2584">
        <v>37.344037504265302</v>
      </c>
      <c r="AI2584">
        <v>91.714095654270807</v>
      </c>
      <c r="AJ2584">
        <v>85.705412619274099</v>
      </c>
      <c r="AK2584">
        <v>37.4659517082261</v>
      </c>
      <c r="AL2584">
        <v>79.805678646089106</v>
      </c>
      <c r="AM2584">
        <v>87.332219969487099</v>
      </c>
      <c r="AN2584">
        <v>1.00000002955634</v>
      </c>
    </row>
    <row r="2585" spans="1:40" x14ac:dyDescent="0.25">
      <c r="A2585" t="str">
        <f>"20190303162558242"</f>
        <v>20190303162558242</v>
      </c>
      <c r="B2585" t="str">
        <f>"1551601558235630"</f>
        <v>1551601558235630</v>
      </c>
      <c r="C2585" t="s">
        <v>40</v>
      </c>
      <c r="D2585">
        <v>4.6576110000000002</v>
      </c>
      <c r="E2585">
        <v>0.51300239999999997</v>
      </c>
      <c r="F2585" t="s">
        <v>48</v>
      </c>
      <c r="G2585">
        <v>-344.27199999999999</v>
      </c>
      <c r="H2585" s="1">
        <v>7.3653980000000002E-7</v>
      </c>
      <c r="I2585">
        <v>212.33860000000001</v>
      </c>
      <c r="J2585">
        <v>-379.59640000000002</v>
      </c>
      <c r="K2585">
        <v>1.1206799999999999</v>
      </c>
      <c r="L2585">
        <v>214.53370000000001</v>
      </c>
      <c r="M2585">
        <v>0.999838</v>
      </c>
      <c r="N2585">
        <v>-1.0962319999999999E-2</v>
      </c>
      <c r="O2585">
        <v>1.428307E-2</v>
      </c>
      <c r="P2585">
        <v>0.98579139999999998</v>
      </c>
      <c r="Q2585">
        <v>0.164883</v>
      </c>
      <c r="R2585">
        <v>-3.2081499999999999E-2</v>
      </c>
      <c r="S2585">
        <v>3.0540470000000002</v>
      </c>
      <c r="T2585">
        <v>-9.5922229999999997E-2</v>
      </c>
      <c r="U2585">
        <v>-0.18745419999999999</v>
      </c>
      <c r="V2585">
        <v>4.6165900000000003E-2</v>
      </c>
      <c r="W2585">
        <v>0.17567149999999901</v>
      </c>
      <c r="X2585">
        <v>0.98336579999999996</v>
      </c>
      <c r="Y2585">
        <v>7.5461500000000001E-2</v>
      </c>
      <c r="Z2585">
        <v>-1.8895229999999999E-3</v>
      </c>
      <c r="AA2585">
        <v>0.99714689999999995</v>
      </c>
      <c r="AB2585">
        <v>34</v>
      </c>
      <c r="AC2585">
        <v>35.324399999999997</v>
      </c>
      <c r="AD2585">
        <v>-1.1206792634602001</v>
      </c>
      <c r="AE2585">
        <v>-2.1950999999999898</v>
      </c>
      <c r="AF2585">
        <v>2.6967433727952002</v>
      </c>
      <c r="AG2585">
        <v>-1.1206792634602001</v>
      </c>
      <c r="AH2585">
        <v>35.2540948422632</v>
      </c>
      <c r="AI2585">
        <v>91.815440892389603</v>
      </c>
      <c r="AJ2585">
        <v>85.625708239210496</v>
      </c>
      <c r="AK2585">
        <v>35.374843462233898</v>
      </c>
      <c r="AL2585">
        <v>79.882262704208799</v>
      </c>
      <c r="AM2585">
        <v>87.312118730942601</v>
      </c>
      <c r="AN2585">
        <v>1.0000000314223401</v>
      </c>
    </row>
    <row r="2586" spans="1:40" x14ac:dyDescent="0.25">
      <c r="A2586" t="str">
        <f>"20190303162558264"</f>
        <v>20190303162558264</v>
      </c>
      <c r="B2586" t="str">
        <f>"1551601558256125"</f>
        <v>1551601558256125</v>
      </c>
      <c r="C2586" t="s">
        <v>40</v>
      </c>
      <c r="D2586">
        <v>4.7209339999999997</v>
      </c>
      <c r="E2586">
        <v>0.51295789999999997</v>
      </c>
      <c r="F2586" t="s">
        <v>48</v>
      </c>
      <c r="G2586">
        <v>-345.3032</v>
      </c>
      <c r="H2586" s="1">
        <v>1.2852809999999999E-6</v>
      </c>
      <c r="I2586">
        <v>212.4007</v>
      </c>
      <c r="J2586">
        <v>-379.2595</v>
      </c>
      <c r="K2586">
        <v>1.1206929999999999</v>
      </c>
      <c r="L2586">
        <v>214.5385</v>
      </c>
      <c r="M2586">
        <v>0.999838</v>
      </c>
      <c r="N2586">
        <v>-1.096197E-2</v>
      </c>
      <c r="O2586">
        <v>1.428361E-2</v>
      </c>
      <c r="P2586">
        <v>0.98547320000000005</v>
      </c>
      <c r="Q2586">
        <v>0.16663349999999999</v>
      </c>
      <c r="R2586">
        <v>-3.2807309999999999E-2</v>
      </c>
      <c r="S2586">
        <v>3.053741</v>
      </c>
      <c r="T2586">
        <v>-9.979391E-2</v>
      </c>
      <c r="U2586">
        <v>-0.18994140000000001</v>
      </c>
      <c r="V2586">
        <v>4.6887560000000002E-2</v>
      </c>
      <c r="W2586">
        <v>0.17741850000000001</v>
      </c>
      <c r="X2586">
        <v>0.9830179</v>
      </c>
      <c r="Y2586">
        <v>7.6272619999999999E-2</v>
      </c>
      <c r="Z2586">
        <v>-1.9731979999999998E-3</v>
      </c>
      <c r="AA2586">
        <v>0.997085</v>
      </c>
      <c r="AB2586">
        <v>34</v>
      </c>
      <c r="AC2586">
        <v>33.956299999999999</v>
      </c>
      <c r="AD2586">
        <v>-1.1206917147190001</v>
      </c>
      <c r="AE2586">
        <v>-2.1377999999999902</v>
      </c>
      <c r="AF2586">
        <v>2.61978715894745</v>
      </c>
      <c r="AG2586">
        <v>-1.1206917147190001</v>
      </c>
      <c r="AH2586">
        <v>33.885533727425297</v>
      </c>
      <c r="AI2586">
        <v>91.8886133130068</v>
      </c>
      <c r="AJ2586">
        <v>85.579094368195797</v>
      </c>
      <c r="AK2586">
        <v>34.005126535128497</v>
      </c>
      <c r="AL2586">
        <v>79.780569093799798</v>
      </c>
      <c r="AM2586">
        <v>87.269200496937103</v>
      </c>
      <c r="AN2586">
        <v>0.99999997957270603</v>
      </c>
    </row>
    <row r="2587" spans="1:40" x14ac:dyDescent="0.25">
      <c r="A2587" t="str">
        <f>"20190303162558289"</f>
        <v>20190303162558289</v>
      </c>
      <c r="B2587" t="str">
        <f>"1551601558276621"</f>
        <v>1551601558276621</v>
      </c>
      <c r="C2587" t="s">
        <v>40</v>
      </c>
      <c r="D2587">
        <v>4.7915369999999999</v>
      </c>
      <c r="E2587">
        <v>0.51319590000000004</v>
      </c>
      <c r="F2587" t="s">
        <v>48</v>
      </c>
      <c r="G2587">
        <v>-342.81040000000002</v>
      </c>
      <c r="H2587" s="1">
        <v>-4.1250250000000002E-8</v>
      </c>
      <c r="I2587">
        <v>212.2518</v>
      </c>
      <c r="J2587">
        <v>-378.88310000000001</v>
      </c>
      <c r="K2587">
        <v>1.1207</v>
      </c>
      <c r="L2587">
        <v>214.54390000000001</v>
      </c>
      <c r="M2587">
        <v>0.999838</v>
      </c>
      <c r="N2587">
        <v>-1.0962009999999999E-2</v>
      </c>
      <c r="O2587">
        <v>1.4284089999999999E-2</v>
      </c>
      <c r="P2587">
        <v>0.98516510000000002</v>
      </c>
      <c r="Q2587">
        <v>0.1682727</v>
      </c>
      <c r="R2587">
        <v>-3.3679960000000002E-2</v>
      </c>
      <c r="S2587">
        <v>3.053741</v>
      </c>
      <c r="T2587">
        <v>-9.3892809999999993E-2</v>
      </c>
      <c r="U2587">
        <v>-0.19158939999999999</v>
      </c>
      <c r="V2587">
        <v>4.7756449999999999E-2</v>
      </c>
      <c r="W2587">
        <v>0.17905360000000001</v>
      </c>
      <c r="X2587">
        <v>0.98267950000000004</v>
      </c>
      <c r="Y2587">
        <v>7.6814750000000001E-2</v>
      </c>
      <c r="Z2587">
        <v>-1.8833470000000001E-3</v>
      </c>
      <c r="AA2587">
        <v>0.99704360000000003</v>
      </c>
      <c r="AB2587">
        <v>34</v>
      </c>
      <c r="AC2587">
        <v>36.072699999999998</v>
      </c>
      <c r="AD2587">
        <v>-1.1207000412502499</v>
      </c>
      <c r="AE2587">
        <v>-2.2921</v>
      </c>
      <c r="AF2587">
        <v>2.80446670954244</v>
      </c>
      <c r="AG2587">
        <v>-1.1207000412502499</v>
      </c>
      <c r="AH2587">
        <v>36.001667385912498</v>
      </c>
      <c r="AI2587">
        <v>91.777609374118995</v>
      </c>
      <c r="AJ2587">
        <v>85.545754448884907</v>
      </c>
      <c r="AK2587">
        <v>36.128120026833201</v>
      </c>
      <c r="AL2587">
        <v>79.685359778627998</v>
      </c>
      <c r="AM2587">
        <v>87.217717538518698</v>
      </c>
      <c r="AN2587">
        <v>0.99999993495490402</v>
      </c>
    </row>
    <row r="2588" spans="1:40" x14ac:dyDescent="0.25">
      <c r="A2588" t="str">
        <f>"20190303162558311"</f>
        <v>20190303162558311</v>
      </c>
      <c r="B2588" t="str">
        <f>"1551601558305901"</f>
        <v>1551601558305901</v>
      </c>
      <c r="C2588" t="s">
        <v>40</v>
      </c>
      <c r="D2588">
        <v>4.8118670000000003</v>
      </c>
      <c r="E2588">
        <v>0.51347480000000001</v>
      </c>
      <c r="F2588" t="s">
        <v>48</v>
      </c>
      <c r="G2588">
        <v>-339.7885</v>
      </c>
      <c r="H2588" s="1">
        <v>3.7848569999999998E-6</v>
      </c>
      <c r="I2588">
        <v>212.03870000000001</v>
      </c>
      <c r="J2588">
        <v>-378.5385</v>
      </c>
      <c r="K2588">
        <v>1.1206989999999999</v>
      </c>
      <c r="L2588">
        <v>214.5488</v>
      </c>
      <c r="M2588">
        <v>0.99983789999999995</v>
      </c>
      <c r="N2588">
        <v>-1.096251E-2</v>
      </c>
      <c r="O2588">
        <v>1.428462E-2</v>
      </c>
      <c r="P2588">
        <v>0.98508039999999997</v>
      </c>
      <c r="Q2588">
        <v>0.168614299999999</v>
      </c>
      <c r="R2588">
        <v>-3.443475E-2</v>
      </c>
      <c r="S2588">
        <v>3.053436</v>
      </c>
      <c r="T2588">
        <v>-8.7530730000000001E-2</v>
      </c>
      <c r="U2588">
        <v>-0.19566349999999999</v>
      </c>
      <c r="V2588">
        <v>4.8510350000000001E-2</v>
      </c>
      <c r="W2588">
        <v>0.17939469999999999</v>
      </c>
      <c r="X2588">
        <v>0.98258040000000002</v>
      </c>
      <c r="Y2588">
        <v>7.815184E-2</v>
      </c>
      <c r="Z2588">
        <v>-1.8003429999999901E-3</v>
      </c>
      <c r="AA2588">
        <v>0.99693980000000004</v>
      </c>
      <c r="AB2588">
        <v>34</v>
      </c>
      <c r="AC2588">
        <v>38.75</v>
      </c>
      <c r="AD2588">
        <v>-1.1206952151430001</v>
      </c>
      <c r="AE2588">
        <v>-2.5100999999999898</v>
      </c>
      <c r="AF2588">
        <v>3.0608566302112998</v>
      </c>
      <c r="AG2588">
        <v>-1.1206952151430001</v>
      </c>
      <c r="AH2588">
        <v>38.677971483714401</v>
      </c>
      <c r="AI2588">
        <v>91.654512473665605</v>
      </c>
      <c r="AJ2588">
        <v>85.475216855821998</v>
      </c>
      <c r="AK2588">
        <v>38.815077987438997</v>
      </c>
      <c r="AL2588">
        <v>79.6654949780973</v>
      </c>
      <c r="AM2588">
        <v>87.173581537643003</v>
      </c>
      <c r="AN2588">
        <v>0.99999997745468605</v>
      </c>
    </row>
    <row r="2589" spans="1:40" x14ac:dyDescent="0.25">
      <c r="A2589" t="str">
        <f>"20190303162558354"</f>
        <v>20190303162558354</v>
      </c>
      <c r="B2589" t="str">
        <f>"1551601558345917"</f>
        <v>1551601558345917</v>
      </c>
      <c r="C2589" t="s">
        <v>40</v>
      </c>
      <c r="D2589">
        <v>4.8636699999999999</v>
      </c>
      <c r="E2589">
        <v>0.51373029999999997</v>
      </c>
      <c r="F2589" t="s">
        <v>48</v>
      </c>
      <c r="G2589">
        <v>-338.75479999999999</v>
      </c>
      <c r="H2589" s="1">
        <v>3.2387870000000001E-6</v>
      </c>
      <c r="I2589">
        <v>211.94579999999999</v>
      </c>
      <c r="J2589">
        <v>-377.86959999999999</v>
      </c>
      <c r="K2589">
        <v>1.120663</v>
      </c>
      <c r="L2589">
        <v>214.5583</v>
      </c>
      <c r="M2589">
        <v>0.999838</v>
      </c>
      <c r="N2589">
        <v>-1.096429E-2</v>
      </c>
      <c r="O2589">
        <v>1.4285269999999999E-2</v>
      </c>
      <c r="P2589">
        <v>0.98583949999999998</v>
      </c>
      <c r="Q2589">
        <v>0.16412199999999999</v>
      </c>
      <c r="R2589">
        <v>-3.442075E-2</v>
      </c>
      <c r="S2589">
        <v>3.0531619999999999</v>
      </c>
      <c r="T2589">
        <v>-8.6006639999999995E-2</v>
      </c>
      <c r="U2589">
        <v>-0.1997681</v>
      </c>
      <c r="V2589">
        <v>4.8507790000000002E-2</v>
      </c>
      <c r="W2589">
        <v>0.17491289999999901</v>
      </c>
      <c r="X2589">
        <v>0.98338820000000005</v>
      </c>
      <c r="Y2589">
        <v>7.9493499999999995E-2</v>
      </c>
      <c r="Z2589">
        <v>-1.800137E-3</v>
      </c>
      <c r="AA2589">
        <v>0.99683370000000004</v>
      </c>
      <c r="AB2589">
        <v>34</v>
      </c>
      <c r="AC2589">
        <v>39.114800000000002</v>
      </c>
      <c r="AD2589">
        <v>-1.120659761213</v>
      </c>
      <c r="AE2589">
        <v>-2.61250000000001</v>
      </c>
      <c r="AF2589">
        <v>3.16844309577507</v>
      </c>
      <c r="AG2589">
        <v>-1.120659761213</v>
      </c>
      <c r="AH2589">
        <v>39.041580688101</v>
      </c>
      <c r="AI2589">
        <v>91.638796661909097</v>
      </c>
      <c r="AJ2589">
        <v>85.360294587643693</v>
      </c>
      <c r="AK2589">
        <v>39.1859660156167</v>
      </c>
      <c r="AL2589">
        <v>79.926409922615406</v>
      </c>
      <c r="AM2589">
        <v>87.176048319623007</v>
      </c>
      <c r="AN2589">
        <v>0.99999994008816495</v>
      </c>
    </row>
    <row r="2590" spans="1:40" x14ac:dyDescent="0.25">
      <c r="A2590" t="str">
        <f>"20190303162558377"</f>
        <v>20190303162558377</v>
      </c>
      <c r="B2590" t="str">
        <f>"1551601558366413"</f>
        <v>1551601558366413</v>
      </c>
      <c r="C2590" t="s">
        <v>40</v>
      </c>
      <c r="D2590">
        <v>4.8808699999999998</v>
      </c>
      <c r="E2590">
        <v>0.51383199999999996</v>
      </c>
      <c r="F2590" t="s">
        <v>48</v>
      </c>
      <c r="G2590">
        <v>-343.93950000000001</v>
      </c>
      <c r="H2590" s="1">
        <v>5.5964689999999999E-7</v>
      </c>
      <c r="I2590">
        <v>212.31880000000001</v>
      </c>
      <c r="J2590">
        <v>-377.52659999999997</v>
      </c>
      <c r="K2590">
        <v>1.120663</v>
      </c>
      <c r="L2590">
        <v>214.56319999999999</v>
      </c>
      <c r="M2590">
        <v>0.99983789999999995</v>
      </c>
      <c r="N2590">
        <v>-1.096544E-2</v>
      </c>
      <c r="O2590">
        <v>1.428574E-2</v>
      </c>
      <c r="P2590">
        <v>0.98606179999999999</v>
      </c>
      <c r="Q2590">
        <v>0.1627991</v>
      </c>
      <c r="R2590">
        <v>-3.4333339999999997E-2</v>
      </c>
      <c r="S2590">
        <v>3.0528559999999998</v>
      </c>
      <c r="T2590">
        <v>-0.10083159999999999</v>
      </c>
      <c r="U2590">
        <v>-0.20150760000000001</v>
      </c>
      <c r="V2590">
        <v>4.8423899999999999E-2</v>
      </c>
      <c r="W2590">
        <v>0.17359349999999901</v>
      </c>
      <c r="X2590">
        <v>0.98362620000000001</v>
      </c>
      <c r="Y2590">
        <v>8.0050360000000001E-2</v>
      </c>
      <c r="Z2590">
        <v>-2.074523E-3</v>
      </c>
      <c r="AA2590">
        <v>0.99678869999999997</v>
      </c>
      <c r="AB2590">
        <v>34</v>
      </c>
      <c r="AC2590">
        <v>33.5870999999999</v>
      </c>
      <c r="AD2590">
        <v>-1.1206624403531</v>
      </c>
      <c r="AE2590">
        <v>-2.2443999999999802</v>
      </c>
      <c r="AF2590">
        <v>2.72100056052507</v>
      </c>
      <c r="AG2590">
        <v>-1.1206624403531</v>
      </c>
      <c r="AH2590">
        <v>33.514462173143201</v>
      </c>
      <c r="AI2590">
        <v>91.908876412158094</v>
      </c>
      <c r="AJ2590">
        <v>85.358402389138604</v>
      </c>
      <c r="AK2590">
        <v>33.643408018669</v>
      </c>
      <c r="AL2590">
        <v>80.003181509675102</v>
      </c>
      <c r="AM2590">
        <v>87.1816052221143</v>
      </c>
      <c r="AN2590">
        <v>1.00000003932994</v>
      </c>
    </row>
    <row r="2591" spans="1:40" x14ac:dyDescent="0.25">
      <c r="A2591" t="str">
        <f>"20190303162558398"</f>
        <v>20190303162558398</v>
      </c>
      <c r="B2591" t="str">
        <f>"1551601558385933"</f>
        <v>1551601558385933</v>
      </c>
      <c r="C2591" t="s">
        <v>40</v>
      </c>
      <c r="D2591">
        <v>4.9459600000000004</v>
      </c>
      <c r="E2591">
        <v>0.51397570000000004</v>
      </c>
      <c r="F2591" t="s">
        <v>48</v>
      </c>
      <c r="G2591">
        <v>-344.81560000000002</v>
      </c>
      <c r="H2591" s="1">
        <v>1.0258570000000001E-6</v>
      </c>
      <c r="I2591">
        <v>212.38040000000001</v>
      </c>
      <c r="J2591">
        <v>-377.19880000000001</v>
      </c>
      <c r="K2591">
        <v>1.1206780000000001</v>
      </c>
      <c r="L2591">
        <v>214.56790000000001</v>
      </c>
      <c r="M2591">
        <v>0.9998378</v>
      </c>
      <c r="N2591">
        <v>-1.0966729999999999E-2</v>
      </c>
      <c r="O2591">
        <v>1.428627E-2</v>
      </c>
      <c r="P2591">
        <v>0.98563520000000004</v>
      </c>
      <c r="Q2591">
        <v>0.16503080000000001</v>
      </c>
      <c r="R2591">
        <v>-3.5893679999999997E-2</v>
      </c>
      <c r="S2591">
        <v>3.0525820000000001</v>
      </c>
      <c r="T2591">
        <v>-0.1045799</v>
      </c>
      <c r="U2591">
        <v>-0.20370479999999999</v>
      </c>
      <c r="V2591">
        <v>4.9978399999999999E-2</v>
      </c>
      <c r="W2591">
        <v>0.17582130000000001</v>
      </c>
      <c r="X2591">
        <v>0.98315260000000004</v>
      </c>
      <c r="Y2591">
        <v>8.0766329999999997E-2</v>
      </c>
      <c r="Z2591">
        <v>-2.157455E-3</v>
      </c>
      <c r="AA2591">
        <v>0.99673069999999997</v>
      </c>
      <c r="AB2591">
        <v>35</v>
      </c>
      <c r="AC2591">
        <v>32.383199999999903</v>
      </c>
      <c r="AD2591">
        <v>-1.120676974143</v>
      </c>
      <c r="AE2591">
        <v>-2.1875</v>
      </c>
      <c r="AF2591">
        <v>2.64678423307166</v>
      </c>
      <c r="AG2591">
        <v>-1.120676974143</v>
      </c>
      <c r="AH2591">
        <v>32.310121984981301</v>
      </c>
      <c r="AI2591">
        <v>91.979881779148499</v>
      </c>
      <c r="AJ2591">
        <v>85.316894609811499</v>
      </c>
      <c r="AK2591">
        <v>32.437715183736103</v>
      </c>
      <c r="AL2591">
        <v>79.873543799152799</v>
      </c>
      <c r="AM2591">
        <v>87.089883544181802</v>
      </c>
      <c r="AN2591">
        <v>1.0000000024435001</v>
      </c>
    </row>
    <row r="2592" spans="1:40" x14ac:dyDescent="0.25">
      <c r="A2592" t="str">
        <f>"20190303162558421"</f>
        <v>20190303162558421</v>
      </c>
      <c r="B2592" t="str">
        <f>"1551601558405453"</f>
        <v>1551601558405453</v>
      </c>
      <c r="C2592" t="s">
        <v>40</v>
      </c>
      <c r="D2592">
        <v>4.937818</v>
      </c>
      <c r="E2592">
        <v>0.51413199999999903</v>
      </c>
      <c r="F2592" t="s">
        <v>48</v>
      </c>
      <c r="G2592">
        <v>-342.2885</v>
      </c>
      <c r="H2592" s="1">
        <v>-3.1898719999999998E-7</v>
      </c>
      <c r="I2592">
        <v>212.16419999999999</v>
      </c>
      <c r="J2592">
        <v>-376.85770000000002</v>
      </c>
      <c r="K2592">
        <v>1.120673</v>
      </c>
      <c r="L2592">
        <v>214.5728</v>
      </c>
      <c r="M2592">
        <v>0.9998378</v>
      </c>
      <c r="N2592">
        <v>-1.096827E-2</v>
      </c>
      <c r="O2592">
        <v>1.428656E-2</v>
      </c>
      <c r="P2592">
        <v>0.98527679999999995</v>
      </c>
      <c r="Q2592">
        <v>0.16650019999999999</v>
      </c>
      <c r="R2592">
        <v>-3.8826720000000002E-2</v>
      </c>
      <c r="S2592">
        <v>3.0524290000000001</v>
      </c>
      <c r="T2592">
        <v>-9.7987889999999994E-2</v>
      </c>
      <c r="U2592">
        <v>-0.21017459999999999</v>
      </c>
      <c r="V2592">
        <v>5.2906399999999999E-2</v>
      </c>
      <c r="W2592">
        <v>0.177288</v>
      </c>
      <c r="X2592">
        <v>0.9827359</v>
      </c>
      <c r="Y2592">
        <v>8.2878629999999995E-2</v>
      </c>
      <c r="Z2592">
        <v>-2.0851099999999998E-3</v>
      </c>
      <c r="AA2592">
        <v>0.99655749999999999</v>
      </c>
      <c r="AB2592">
        <v>35</v>
      </c>
      <c r="AC2592">
        <v>34.569200000000002</v>
      </c>
      <c r="AD2592">
        <v>-1.1206733189872</v>
      </c>
      <c r="AE2592">
        <v>-2.4085999999999999</v>
      </c>
      <c r="AF2592">
        <v>2.8992266009832899</v>
      </c>
      <c r="AG2592">
        <v>-1.1206733189872</v>
      </c>
      <c r="AH2592">
        <v>34.495181480758397</v>
      </c>
      <c r="AI2592">
        <v>91.854227653173197</v>
      </c>
      <c r="AJ2592">
        <v>85.195735996661</v>
      </c>
      <c r="AK2592">
        <v>34.6349385586606</v>
      </c>
      <c r="AL2592">
        <v>79.788166697541399</v>
      </c>
      <c r="AM2592">
        <v>86.918409144056994</v>
      </c>
      <c r="AN2592">
        <v>0.99999998562688497</v>
      </c>
    </row>
    <row r="2593" spans="1:40" x14ac:dyDescent="0.25">
      <c r="A2593" t="str">
        <f>"20190303162558443"</f>
        <v>20190303162558443</v>
      </c>
      <c r="B2593" t="str">
        <f>"1551601558435710"</f>
        <v>1551601558435710</v>
      </c>
      <c r="C2593" t="s">
        <v>40</v>
      </c>
      <c r="D2593">
        <v>4.942717</v>
      </c>
      <c r="E2593">
        <v>0.5142369</v>
      </c>
      <c r="F2593" t="s">
        <v>48</v>
      </c>
      <c r="G2593">
        <v>-339.92230000000001</v>
      </c>
      <c r="H2593" s="1">
        <v>3.8618029999999999E-6</v>
      </c>
      <c r="I2593">
        <v>211.90639999999999</v>
      </c>
      <c r="J2593">
        <v>-376.49880000000002</v>
      </c>
      <c r="K2593">
        <v>1.1206659999999999</v>
      </c>
      <c r="L2593">
        <v>214.5779</v>
      </c>
      <c r="M2593">
        <v>0.9998378</v>
      </c>
      <c r="N2593">
        <v>-1.09701E-2</v>
      </c>
      <c r="O2593">
        <v>1.4286729999999999E-2</v>
      </c>
      <c r="P2593">
        <v>0.98540119999999998</v>
      </c>
      <c r="Q2593">
        <v>0.1653811</v>
      </c>
      <c r="R2593">
        <v>-4.0423130000000002E-2</v>
      </c>
      <c r="S2593">
        <v>3.0517880000000002</v>
      </c>
      <c r="T2593">
        <v>-9.2595339999999998E-2</v>
      </c>
      <c r="U2593">
        <v>-0.22030640000000001</v>
      </c>
      <c r="V2593">
        <v>5.4504549999999999E-2</v>
      </c>
      <c r="W2593">
        <v>0.17617189999999999</v>
      </c>
      <c r="X2593">
        <v>0.98284930000000004</v>
      </c>
      <c r="Y2593">
        <v>8.6188609999999999E-2</v>
      </c>
      <c r="Z2593">
        <v>-2.0554369999999998E-3</v>
      </c>
      <c r="AA2593">
        <v>0.99627670000000002</v>
      </c>
      <c r="AB2593">
        <v>35</v>
      </c>
      <c r="AC2593">
        <v>36.576500000000003</v>
      </c>
      <c r="AD2593">
        <v>-1.1206621381969999</v>
      </c>
      <c r="AE2593">
        <v>-2.6715</v>
      </c>
      <c r="AF2593">
        <v>3.1908378462147802</v>
      </c>
      <c r="AG2593">
        <v>-1.1206621381969999</v>
      </c>
      <c r="AH2593">
        <v>36.5005145824463</v>
      </c>
      <c r="AI2593">
        <v>91.751902063312201</v>
      </c>
      <c r="AJ2593">
        <v>85.0039621246043</v>
      </c>
      <c r="AK2593">
        <v>36.6568533097455</v>
      </c>
      <c r="AL2593">
        <v>79.853137503255397</v>
      </c>
      <c r="AM2593">
        <v>86.825876278625103</v>
      </c>
      <c r="AN2593">
        <v>1.0000000154154001</v>
      </c>
    </row>
    <row r="2594" spans="1:40" x14ac:dyDescent="0.25">
      <c r="A2594" t="str">
        <f>"20190303162558465"</f>
        <v>20190303162558465</v>
      </c>
      <c r="B2594" t="str">
        <f>"1551601558456206"</f>
        <v>1551601558456206</v>
      </c>
      <c r="C2594" t="s">
        <v>40</v>
      </c>
      <c r="D2594">
        <v>5.000038</v>
      </c>
      <c r="E2594">
        <v>0.51427330000000004</v>
      </c>
      <c r="F2594" t="s">
        <v>48</v>
      </c>
      <c r="G2594">
        <v>-341.22620000000001</v>
      </c>
      <c r="H2594" s="1">
        <v>-8.8428230000000001E-7</v>
      </c>
      <c r="I2594">
        <v>211.97210000000001</v>
      </c>
      <c r="J2594">
        <v>-376.14920000000001</v>
      </c>
      <c r="K2594">
        <v>1.120671</v>
      </c>
      <c r="L2594">
        <v>214.5829</v>
      </c>
      <c r="M2594">
        <v>0.9998378</v>
      </c>
      <c r="N2594">
        <v>-1.0972040000000001E-2</v>
      </c>
      <c r="O2594">
        <v>1.428725E-2</v>
      </c>
      <c r="P2594">
        <v>0.98546009999999995</v>
      </c>
      <c r="Q2594">
        <v>0.16475680000000001</v>
      </c>
      <c r="R2594">
        <v>-4.151908E-2</v>
      </c>
      <c r="S2594">
        <v>3.0515140000000001</v>
      </c>
      <c r="T2594">
        <v>-9.6951250000000003E-2</v>
      </c>
      <c r="U2594">
        <v>-0.2254333</v>
      </c>
      <c r="V2594">
        <v>5.5601709999999999E-2</v>
      </c>
      <c r="W2594">
        <v>0.17555000000000001</v>
      </c>
      <c r="X2594">
        <v>0.98289910000000003</v>
      </c>
      <c r="Y2594">
        <v>8.7854420000000003E-2</v>
      </c>
      <c r="Z2594">
        <v>-2.172925E-3</v>
      </c>
      <c r="AA2594">
        <v>0.99613090000000004</v>
      </c>
      <c r="AB2594">
        <v>35</v>
      </c>
      <c r="AC2594">
        <v>34.923000000000002</v>
      </c>
      <c r="AD2594">
        <v>-1.1206718842823</v>
      </c>
      <c r="AE2594">
        <v>-2.6107999999999798</v>
      </c>
      <c r="AF2594">
        <v>3.1063361357820001</v>
      </c>
      <c r="AG2594">
        <v>-1.1206718842823</v>
      </c>
      <c r="AH2594">
        <v>34.846447788934597</v>
      </c>
      <c r="AI2594">
        <v>91.834743500133698</v>
      </c>
      <c r="AJ2594">
        <v>84.905915719420705</v>
      </c>
      <c r="AK2594">
        <v>35.002573522065902</v>
      </c>
      <c r="AL2594">
        <v>79.889333677309494</v>
      </c>
      <c r="AM2594">
        <v>86.762280447485296</v>
      </c>
      <c r="AN2594">
        <v>0.99999999671786699</v>
      </c>
    </row>
    <row r="2595" spans="1:40" x14ac:dyDescent="0.25">
      <c r="A2595" t="str">
        <f>"20190303162558513"</f>
        <v>20190303162558513</v>
      </c>
      <c r="B2595" t="str">
        <f>"1551601558505982"</f>
        <v>1551601558505982</v>
      </c>
      <c r="C2595" t="s">
        <v>40</v>
      </c>
      <c r="D2595">
        <v>4.9973749999999999</v>
      </c>
      <c r="E2595">
        <v>0.51421539999999999</v>
      </c>
      <c r="F2595" t="s">
        <v>48</v>
      </c>
      <c r="G2595">
        <v>-341.6354</v>
      </c>
      <c r="H2595" s="1">
        <v>-6.6651899999999999E-7</v>
      </c>
      <c r="I2595">
        <v>211.99780000000001</v>
      </c>
      <c r="J2595">
        <v>-375.42419999999998</v>
      </c>
      <c r="K2595">
        <v>1.120673</v>
      </c>
      <c r="L2595">
        <v>214.5932</v>
      </c>
      <c r="M2595">
        <v>0.9998378</v>
      </c>
      <c r="N2595">
        <v>-1.0976390000000001E-2</v>
      </c>
      <c r="O2595">
        <v>1.4288179999999999E-2</v>
      </c>
      <c r="P2595">
        <v>0.98514380000000001</v>
      </c>
      <c r="Q2595">
        <v>0.16647139999999999</v>
      </c>
      <c r="R2595">
        <v>-4.2180559999999999E-2</v>
      </c>
      <c r="S2595">
        <v>3.0512079999999999</v>
      </c>
      <c r="T2595">
        <v>-9.9073410000000001E-2</v>
      </c>
      <c r="U2595">
        <v>-0.22853090000000001</v>
      </c>
      <c r="V2595">
        <v>5.6259740000000003E-2</v>
      </c>
      <c r="W2595">
        <v>0.17726500000000001</v>
      </c>
      <c r="X2595">
        <v>0.98255380000000003</v>
      </c>
      <c r="Y2595">
        <v>8.8865089999999994E-2</v>
      </c>
      <c r="Z2595">
        <v>-2.235562E-3</v>
      </c>
      <c r="AA2595">
        <v>0.99604119999999996</v>
      </c>
      <c r="AB2595">
        <v>35</v>
      </c>
      <c r="AC2595">
        <v>33.788799999999902</v>
      </c>
      <c r="AD2595">
        <v>-1.120673666519</v>
      </c>
      <c r="AE2595">
        <v>-2.5953999999999802</v>
      </c>
      <c r="AF2595">
        <v>3.0745821472068302</v>
      </c>
      <c r="AG2595">
        <v>-1.120673666519</v>
      </c>
      <c r="AH2595">
        <v>33.7113978747376</v>
      </c>
      <c r="AI2595">
        <v>91.8961281826831</v>
      </c>
      <c r="AJ2595">
        <v>84.788867241993799</v>
      </c>
      <c r="AK2595">
        <v>33.869858451366703</v>
      </c>
      <c r="AL2595">
        <v>79.789505900983102</v>
      </c>
      <c r="AM2595">
        <v>86.722897187169295</v>
      </c>
      <c r="AN2595">
        <v>1.00000000423215</v>
      </c>
    </row>
    <row r="2596" spans="1:40" x14ac:dyDescent="0.25">
      <c r="A2596" t="str">
        <f>"20190303162558535"</f>
        <v>20190303162558535</v>
      </c>
      <c r="B2596" t="str">
        <f>"1551601558525501"</f>
        <v>1551601558525501</v>
      </c>
      <c r="C2596" t="s">
        <v>40</v>
      </c>
      <c r="D2596">
        <v>5.1666530000000002</v>
      </c>
      <c r="E2596">
        <v>0.51432179999999905</v>
      </c>
      <c r="F2596" t="s">
        <v>48</v>
      </c>
      <c r="G2596">
        <v>-339.46460000000002</v>
      </c>
      <c r="H2596" s="1">
        <v>3.618899E-6</v>
      </c>
      <c r="I2596">
        <v>211.8921</v>
      </c>
      <c r="J2596">
        <v>-375.07920000000001</v>
      </c>
      <c r="K2596">
        <v>1.1206670000000001</v>
      </c>
      <c r="L2596">
        <v>214.59809999999999</v>
      </c>
      <c r="M2596">
        <v>0.9998378</v>
      </c>
      <c r="N2596">
        <v>-1.097858E-2</v>
      </c>
      <c r="O2596">
        <v>1.428835E-2</v>
      </c>
      <c r="P2596">
        <v>0.98500140000000003</v>
      </c>
      <c r="Q2596">
        <v>0.16735710000000001</v>
      </c>
      <c r="R2596">
        <v>-4.2000719999999998E-2</v>
      </c>
      <c r="S2596">
        <v>3.0515750000000001</v>
      </c>
      <c r="T2596">
        <v>-9.5101359999999996E-2</v>
      </c>
      <c r="U2596">
        <v>-0.22921749999999999</v>
      </c>
      <c r="V2596">
        <v>5.6078080000000002E-2</v>
      </c>
      <c r="W2596">
        <v>0.178151</v>
      </c>
      <c r="X2596">
        <v>0.9824039</v>
      </c>
      <c r="Y2596">
        <v>8.9083770000000007E-2</v>
      </c>
      <c r="Z2596">
        <v>-2.1637129999999998E-3</v>
      </c>
      <c r="AA2596">
        <v>0.99602179999999996</v>
      </c>
      <c r="AB2596">
        <v>35</v>
      </c>
      <c r="AC2596">
        <v>35.614600000000003</v>
      </c>
      <c r="AD2596">
        <v>-1.1206633811010001</v>
      </c>
      <c r="AE2596">
        <v>-2.70599999999998</v>
      </c>
      <c r="AF2596">
        <v>3.2114666558967699</v>
      </c>
      <c r="AG2596">
        <v>-1.1206633811010001</v>
      </c>
      <c r="AH2596">
        <v>35.537312538587599</v>
      </c>
      <c r="AI2596">
        <v>91.798888974657004</v>
      </c>
      <c r="AJ2596">
        <v>84.8362714483509</v>
      </c>
      <c r="AK2596">
        <v>35.699719704234802</v>
      </c>
      <c r="AL2596">
        <v>79.7379204819065</v>
      </c>
      <c r="AM2596">
        <v>86.732958497668605</v>
      </c>
      <c r="AN2596">
        <v>0.99999997629634696</v>
      </c>
    </row>
    <row r="2597" spans="1:40" x14ac:dyDescent="0.25">
      <c r="A2597" t="str">
        <f>"20190303162558556"</f>
        <v>20190303162558556</v>
      </c>
      <c r="B2597" t="str">
        <f>"1551601558545998"</f>
        <v>1551601558545998</v>
      </c>
      <c r="C2597" t="s">
        <v>40</v>
      </c>
      <c r="D2597">
        <v>4.9990569999999996</v>
      </c>
      <c r="E2597">
        <v>0.51408520000000002</v>
      </c>
      <c r="F2597" t="s">
        <v>48</v>
      </c>
      <c r="G2597">
        <v>-338.46559999999999</v>
      </c>
      <c r="H2597" s="1">
        <v>3.0890439999999999E-6</v>
      </c>
      <c r="I2597">
        <v>211.851</v>
      </c>
      <c r="J2597">
        <v>-374.74869999999999</v>
      </c>
      <c r="K2597">
        <v>1.120662</v>
      </c>
      <c r="L2597">
        <v>214.6028</v>
      </c>
      <c r="M2597">
        <v>0.99983759999999999</v>
      </c>
      <c r="N2597">
        <v>-1.0980729999999999E-2</v>
      </c>
      <c r="O2597">
        <v>1.428887E-2</v>
      </c>
      <c r="P2597">
        <v>0.98502619999999996</v>
      </c>
      <c r="Q2597">
        <v>0.167062299999999</v>
      </c>
      <c r="R2597">
        <v>-4.259019E-2</v>
      </c>
      <c r="S2597">
        <v>3.051758</v>
      </c>
      <c r="T2597">
        <v>-9.3407630000000005E-2</v>
      </c>
      <c r="U2597">
        <v>-0.22897339999999999</v>
      </c>
      <c r="V2597">
        <v>5.6668169999999997E-2</v>
      </c>
      <c r="W2597">
        <v>0.17785860000000001</v>
      </c>
      <c r="X2597">
        <v>0.98242309999999999</v>
      </c>
      <c r="Y2597">
        <v>8.9002590000000006E-2</v>
      </c>
      <c r="Z2597">
        <v>-2.1294069999999998E-3</v>
      </c>
      <c r="AA2597">
        <v>0.9960291</v>
      </c>
      <c r="AB2597">
        <v>35</v>
      </c>
      <c r="AC2597">
        <v>36.283099999999898</v>
      </c>
      <c r="AD2597">
        <v>-1.1206589109559999</v>
      </c>
      <c r="AE2597">
        <v>-2.7517999999999998</v>
      </c>
      <c r="AF2597">
        <v>3.2668960751697602</v>
      </c>
      <c r="AG2597">
        <v>-1.1206589109559999</v>
      </c>
      <c r="AH2597">
        <v>36.205730972564403</v>
      </c>
      <c r="AI2597">
        <v>91.765714370044194</v>
      </c>
      <c r="AJ2597">
        <v>84.844080418229794</v>
      </c>
      <c r="AK2597">
        <v>36.370089931403399</v>
      </c>
      <c r="AL2597">
        <v>79.7549464846159</v>
      </c>
      <c r="AM2597">
        <v>86.698720585537899</v>
      </c>
      <c r="AN2597">
        <v>1.00000005524935</v>
      </c>
    </row>
    <row r="2598" spans="1:40" x14ac:dyDescent="0.25">
      <c r="A2598" t="str">
        <f>"20190303162558577"</f>
        <v>20190303162558577</v>
      </c>
      <c r="B2598" t="str">
        <f>"1551601558565517"</f>
        <v>1551601558565517</v>
      </c>
      <c r="C2598" t="s">
        <v>40</v>
      </c>
      <c r="D2598">
        <v>5.069197</v>
      </c>
      <c r="E2598">
        <v>0.51389609999999997</v>
      </c>
      <c r="F2598" t="s">
        <v>48</v>
      </c>
      <c r="G2598">
        <v>-338.11630000000002</v>
      </c>
      <c r="H2598" s="1">
        <v>2.9026209999999999E-6</v>
      </c>
      <c r="I2598">
        <v>211.86359999999999</v>
      </c>
      <c r="J2598">
        <v>-374.42500000000001</v>
      </c>
      <c r="K2598">
        <v>1.120663</v>
      </c>
      <c r="L2598">
        <v>214.60749999999999</v>
      </c>
      <c r="M2598">
        <v>0.99983759999999999</v>
      </c>
      <c r="N2598">
        <v>-1.098289E-2</v>
      </c>
      <c r="O2598">
        <v>1.428916E-2</v>
      </c>
      <c r="P2598">
        <v>0.98509029999999997</v>
      </c>
      <c r="Q2598">
        <v>0.1663578</v>
      </c>
      <c r="R2598">
        <v>-4.3846610000000001E-2</v>
      </c>
      <c r="S2598">
        <v>3.0515439999999998</v>
      </c>
      <c r="T2598">
        <v>-9.3353030000000004E-2</v>
      </c>
      <c r="U2598">
        <v>-0.22817989999999999</v>
      </c>
      <c r="V2598">
        <v>5.7925839999999999E-2</v>
      </c>
      <c r="W2598">
        <v>0.1771566</v>
      </c>
      <c r="X2598">
        <v>0.98247649999999997</v>
      </c>
      <c r="Y2598">
        <v>8.8750759999999998E-2</v>
      </c>
      <c r="Z2598">
        <v>-2.1233340000000002E-3</v>
      </c>
      <c r="AA2598">
        <v>0.99605160000000004</v>
      </c>
      <c r="AB2598">
        <v>35</v>
      </c>
      <c r="AC2598">
        <v>36.308699999999902</v>
      </c>
      <c r="AD2598">
        <v>-1.120660097379</v>
      </c>
      <c r="AE2598">
        <v>-2.7438999999999898</v>
      </c>
      <c r="AF2598">
        <v>3.2593845658797602</v>
      </c>
      <c r="AG2598">
        <v>-1.120660097379</v>
      </c>
      <c r="AH2598">
        <v>36.231462865064501</v>
      </c>
      <c r="AI2598">
        <v>91.764505775726604</v>
      </c>
      <c r="AJ2598">
        <v>84.859505468119494</v>
      </c>
      <c r="AK2598">
        <v>36.395032190461102</v>
      </c>
      <c r="AL2598">
        <v>79.795816275150301</v>
      </c>
      <c r="AM2598">
        <v>86.625803803191602</v>
      </c>
      <c r="AN2598">
        <v>0.99999996845775696</v>
      </c>
    </row>
    <row r="2599" spans="1:40" x14ac:dyDescent="0.25">
      <c r="A2599" t="str">
        <f>"20190303162558601"</f>
        <v>20190303162558601</v>
      </c>
      <c r="B2599" t="str">
        <f>"1551601558595774"</f>
        <v>1551601558595774</v>
      </c>
      <c r="C2599" t="s">
        <v>40</v>
      </c>
      <c r="D2599">
        <v>5.0927410000000002</v>
      </c>
      <c r="E2599">
        <v>0.51385219999999998</v>
      </c>
      <c r="F2599" t="s">
        <v>48</v>
      </c>
      <c r="G2599">
        <v>-338.34070000000003</v>
      </c>
      <c r="H2599" s="1">
        <v>3.021195E-6</v>
      </c>
      <c r="I2599">
        <v>211.8827</v>
      </c>
      <c r="J2599">
        <v>-374.05939999999998</v>
      </c>
      <c r="K2599">
        <v>1.120652</v>
      </c>
      <c r="L2599">
        <v>214.61269999999999</v>
      </c>
      <c r="M2599">
        <v>0.99983759999999999</v>
      </c>
      <c r="N2599">
        <v>-1.098537E-2</v>
      </c>
      <c r="O2599">
        <v>1.42895E-2</v>
      </c>
      <c r="P2599">
        <v>0.98515459999999999</v>
      </c>
      <c r="Q2599">
        <v>0.165578</v>
      </c>
      <c r="R2599">
        <v>-4.5328849999999997E-2</v>
      </c>
      <c r="S2599">
        <v>3.0511469999999998</v>
      </c>
      <c r="T2599">
        <v>-9.4758510000000004E-2</v>
      </c>
      <c r="U2599">
        <v>-0.2303925</v>
      </c>
      <c r="V2599">
        <v>5.9409150000000001E-2</v>
      </c>
      <c r="W2599">
        <v>0.17637990000000001</v>
      </c>
      <c r="X2599">
        <v>0.9825277</v>
      </c>
      <c r="Y2599">
        <v>8.9476849999999997E-2</v>
      </c>
      <c r="Z2599">
        <v>-2.16584E-3</v>
      </c>
      <c r="AA2599">
        <v>0.9959865</v>
      </c>
      <c r="AB2599">
        <v>35</v>
      </c>
      <c r="AC2599">
        <v>35.718699999999899</v>
      </c>
      <c r="AD2599">
        <v>-1.120648978805</v>
      </c>
      <c r="AE2599">
        <v>-2.72999999999998</v>
      </c>
      <c r="AF2599">
        <v>3.2369865620737301</v>
      </c>
      <c r="AG2599">
        <v>-1.120648978805</v>
      </c>
      <c r="AH2599">
        <v>35.641160498251899</v>
      </c>
      <c r="AI2599">
        <v>91.793555013256906</v>
      </c>
      <c r="AJ2599">
        <v>84.8105439549864</v>
      </c>
      <c r="AK2599">
        <v>35.805394255599197</v>
      </c>
      <c r="AL2599">
        <v>79.841030222483695</v>
      </c>
      <c r="AM2599">
        <v>86.539787814475801</v>
      </c>
      <c r="AN2599">
        <v>0.999999998747511</v>
      </c>
    </row>
    <row r="2600" spans="1:40" x14ac:dyDescent="0.25">
      <c r="A2600" t="str">
        <f>"20190303162558620"</f>
        <v>20190303162558620</v>
      </c>
      <c r="B2600" t="str">
        <f>"1551601558606509"</f>
        <v>1551601558606509</v>
      </c>
      <c r="C2600" t="s">
        <v>40</v>
      </c>
      <c r="D2600">
        <v>5.1275029999999999</v>
      </c>
      <c r="E2600">
        <v>0.51388370000000005</v>
      </c>
      <c r="F2600" t="s">
        <v>48</v>
      </c>
      <c r="G2600">
        <v>-339.2242</v>
      </c>
      <c r="H2600" s="1">
        <v>3.4889670000000001E-6</v>
      </c>
      <c r="I2600">
        <v>211.93709999999999</v>
      </c>
      <c r="J2600">
        <v>-373.74970000000002</v>
      </c>
      <c r="K2600">
        <v>1.1206480000000001</v>
      </c>
      <c r="L2600">
        <v>214.61709999999999</v>
      </c>
      <c r="M2600">
        <v>0.99983759999999999</v>
      </c>
      <c r="N2600">
        <v>-1.0987490000000001E-2</v>
      </c>
      <c r="O2600">
        <v>1.428979E-2</v>
      </c>
      <c r="P2600">
        <v>0.98525240000000003</v>
      </c>
      <c r="Q2600">
        <v>0.16463</v>
      </c>
      <c r="R2600">
        <v>-4.6633710000000002E-2</v>
      </c>
      <c r="S2600">
        <v>3.0509029999999999</v>
      </c>
      <c r="T2600">
        <v>-9.8147509999999993E-2</v>
      </c>
      <c r="U2600">
        <v>-0.23432919999999999</v>
      </c>
      <c r="V2600">
        <v>6.0715430000000001E-2</v>
      </c>
      <c r="W2600">
        <v>0.1754349</v>
      </c>
      <c r="X2600">
        <v>0.98261699999999996</v>
      </c>
      <c r="Y2600">
        <v>9.0755920000000004E-2</v>
      </c>
      <c r="Z2600">
        <v>-2.2590169999999999E-3</v>
      </c>
      <c r="AA2600">
        <v>0.99587060000000005</v>
      </c>
      <c r="AB2600">
        <v>35</v>
      </c>
      <c r="AC2600">
        <v>34.525500000000001</v>
      </c>
      <c r="AD2600">
        <v>-1.1206445110329999</v>
      </c>
      <c r="AE2600">
        <v>-2.68</v>
      </c>
      <c r="AF2600">
        <v>3.1697986741206901</v>
      </c>
      <c r="AG2600">
        <v>-1.1206445110329999</v>
      </c>
      <c r="AH2600">
        <v>34.447600473607601</v>
      </c>
      <c r="AI2600">
        <v>91.855447884885393</v>
      </c>
      <c r="AJ2600">
        <v>84.742563424961602</v>
      </c>
      <c r="AK2600">
        <v>34.611279175203201</v>
      </c>
      <c r="AL2600">
        <v>79.8960320883766</v>
      </c>
      <c r="AM2600">
        <v>86.464216683479705</v>
      </c>
      <c r="AN2600">
        <v>0.99999996813354597</v>
      </c>
    </row>
    <row r="2601" spans="1:40" x14ac:dyDescent="0.25">
      <c r="A2601" t="str">
        <f>"20190303162558643"</f>
        <v>20190303162558643</v>
      </c>
      <c r="B2601" t="str">
        <f>"1551601558635790"</f>
        <v>1551601558635790</v>
      </c>
      <c r="C2601" t="s">
        <v>40</v>
      </c>
      <c r="D2601">
        <v>5.135319</v>
      </c>
      <c r="E2601">
        <v>0.51390999999999998</v>
      </c>
      <c r="F2601" t="s">
        <v>48</v>
      </c>
      <c r="G2601">
        <v>-340.08769999999998</v>
      </c>
      <c r="H2601" s="1">
        <v>-1.4901309999999999E-6</v>
      </c>
      <c r="I2601">
        <v>211.98560000000001</v>
      </c>
      <c r="J2601">
        <v>-373.38170000000002</v>
      </c>
      <c r="K2601">
        <v>1.1206370000000001</v>
      </c>
      <c r="L2601">
        <v>214.6223</v>
      </c>
      <c r="M2601">
        <v>0.99983759999999999</v>
      </c>
      <c r="N2601">
        <v>-1.099001E-2</v>
      </c>
      <c r="O2601">
        <v>1.4289949999999999E-2</v>
      </c>
      <c r="P2601">
        <v>0.98549149999999996</v>
      </c>
      <c r="Q2601">
        <v>0.1629842</v>
      </c>
      <c r="R2601">
        <v>-4.7361559999999997E-2</v>
      </c>
      <c r="S2601">
        <v>3.0506289999999998</v>
      </c>
      <c r="T2601">
        <v>-0.1015592</v>
      </c>
      <c r="U2601">
        <v>-0.23847960000000001</v>
      </c>
      <c r="V2601">
        <v>6.1446750000000001E-2</v>
      </c>
      <c r="W2601">
        <v>0.173794</v>
      </c>
      <c r="X2601">
        <v>0.98286309999999999</v>
      </c>
      <c r="Y2601">
        <v>9.2104450000000004E-2</v>
      </c>
      <c r="Z2601">
        <v>-2.3556269999999999E-3</v>
      </c>
      <c r="AA2601">
        <v>0.99574660000000004</v>
      </c>
      <c r="AB2601">
        <v>35</v>
      </c>
      <c r="AC2601">
        <v>33.293999999999997</v>
      </c>
      <c r="AD2601">
        <v>-1.120638490131</v>
      </c>
      <c r="AE2601">
        <v>-2.6366999999999901</v>
      </c>
      <c r="AF2601">
        <v>3.1087290338942601</v>
      </c>
      <c r="AG2601">
        <v>-1.120638490131</v>
      </c>
      <c r="AH2601">
        <v>33.215523490339201</v>
      </c>
      <c r="AI2601">
        <v>91.923933056217393</v>
      </c>
      <c r="AJ2601">
        <v>84.653111741815493</v>
      </c>
      <c r="AK2601">
        <v>33.379500109633398</v>
      </c>
      <c r="AL2601">
        <v>79.991515646021497</v>
      </c>
      <c r="AM2601">
        <v>86.422631653853998</v>
      </c>
      <c r="AN2601">
        <v>0.99999996543158498</v>
      </c>
    </row>
    <row r="2602" spans="1:40" x14ac:dyDescent="0.25">
      <c r="A2602" t="str">
        <f>"20190303162558667"</f>
        <v>20190303162558667</v>
      </c>
      <c r="B2602" t="str">
        <f>"1551601558656285"</f>
        <v>1551601558656285</v>
      </c>
      <c r="C2602" t="s">
        <v>40</v>
      </c>
      <c r="D2602">
        <v>5.0994859999999997</v>
      </c>
      <c r="E2602">
        <v>0.51371160000000005</v>
      </c>
      <c r="F2602" t="s">
        <v>48</v>
      </c>
      <c r="G2602">
        <v>-342.01190000000003</v>
      </c>
      <c r="H2602" s="1">
        <v>-4.6617299999999997E-7</v>
      </c>
      <c r="I2602">
        <v>212.14709999999999</v>
      </c>
      <c r="J2602">
        <v>-373.02109999999999</v>
      </c>
      <c r="K2602">
        <v>1.1206400000000001</v>
      </c>
      <c r="L2602">
        <v>214.6275</v>
      </c>
      <c r="M2602">
        <v>0.99983750000000005</v>
      </c>
      <c r="N2602">
        <v>-1.099434E-2</v>
      </c>
      <c r="O2602">
        <v>1.429047E-2</v>
      </c>
      <c r="P2602">
        <v>0.98554620000000004</v>
      </c>
      <c r="Q2602">
        <v>0.1623531</v>
      </c>
      <c r="R2602">
        <v>-4.8376580000000002E-2</v>
      </c>
      <c r="S2602">
        <v>3.0506289999999998</v>
      </c>
      <c r="T2602">
        <v>-0.1089789</v>
      </c>
      <c r="U2602">
        <v>-0.24070739999999999</v>
      </c>
      <c r="V2602">
        <v>6.2463119999999997E-2</v>
      </c>
      <c r="W2602">
        <v>0.1731676</v>
      </c>
      <c r="X2602">
        <v>0.98290960000000005</v>
      </c>
      <c r="Y2602">
        <v>9.281731E-2</v>
      </c>
      <c r="Z2602">
        <v>-2.5188150000000002E-3</v>
      </c>
      <c r="AA2602">
        <v>0.99568000000000001</v>
      </c>
      <c r="AB2602">
        <v>35</v>
      </c>
      <c r="AC2602">
        <v>31.0091999999999</v>
      </c>
      <c r="AD2602">
        <v>-1.1206404661729901</v>
      </c>
      <c r="AE2602">
        <v>-2.4803999999999999</v>
      </c>
      <c r="AF2602">
        <v>2.9195207606118898</v>
      </c>
      <c r="AG2602">
        <v>-1.1206404661729901</v>
      </c>
      <c r="AH2602">
        <v>30.930445809057399</v>
      </c>
      <c r="AI2602">
        <v>92.065800664517695</v>
      </c>
      <c r="AJ2602">
        <v>84.607834685454705</v>
      </c>
      <c r="AK2602">
        <v>31.0881314085151</v>
      </c>
      <c r="AL2602">
        <v>80.0279583451306</v>
      </c>
      <c r="AM2602">
        <v>86.363788663110995</v>
      </c>
      <c r="AN2602">
        <v>0.99999997041102595</v>
      </c>
    </row>
    <row r="2603" spans="1:40" x14ac:dyDescent="0.25">
      <c r="A2603" t="str">
        <f>"20190303162558690"</f>
        <v>20190303162558690</v>
      </c>
      <c r="B2603" t="str">
        <f>"1551601558675806"</f>
        <v>1551601558675806</v>
      </c>
      <c r="C2603" t="s">
        <v>40</v>
      </c>
      <c r="D2603">
        <v>5.3454459999999999</v>
      </c>
      <c r="E2603">
        <v>0.51350640000000003</v>
      </c>
      <c r="F2603" t="s">
        <v>48</v>
      </c>
      <c r="G2603">
        <v>-342.08190000000002</v>
      </c>
      <c r="H2603" s="1">
        <v>-4.2888519999999998E-7</v>
      </c>
      <c r="I2603">
        <v>212.17240000000001</v>
      </c>
      <c r="J2603">
        <v>-372.67160000000001</v>
      </c>
      <c r="K2603">
        <v>1.1206290000000001</v>
      </c>
      <c r="L2603">
        <v>214.63249999999999</v>
      </c>
      <c r="M2603">
        <v>0.99983730000000004</v>
      </c>
      <c r="N2603">
        <v>-1.1003209999999999E-2</v>
      </c>
      <c r="O2603">
        <v>1.429071E-2</v>
      </c>
      <c r="P2603">
        <v>0.98543610000000004</v>
      </c>
      <c r="Q2603">
        <v>0.16256660000000001</v>
      </c>
      <c r="R2603">
        <v>-4.988095E-2</v>
      </c>
      <c r="S2603">
        <v>3.0502929999999999</v>
      </c>
      <c r="T2603">
        <v>-0.110483999999999</v>
      </c>
      <c r="U2603">
        <v>-0.24205019999999999</v>
      </c>
      <c r="V2603">
        <v>6.3965910000000001E-2</v>
      </c>
      <c r="W2603">
        <v>0.17338879999999901</v>
      </c>
      <c r="X2603">
        <v>0.98277400000000004</v>
      </c>
      <c r="Y2603">
        <v>9.3259270000000005E-2</v>
      </c>
      <c r="Z2603">
        <v>-2.559628E-3</v>
      </c>
      <c r="AA2603">
        <v>0.99563849999999998</v>
      </c>
      <c r="AB2603">
        <v>35</v>
      </c>
      <c r="AC2603">
        <v>30.589700000000001</v>
      </c>
      <c r="AD2603">
        <v>-1.1206294288851999</v>
      </c>
      <c r="AE2603">
        <v>-2.4600999999999802</v>
      </c>
      <c r="AF2603">
        <v>2.8931658992776401</v>
      </c>
      <c r="AG2603">
        <v>-1.1206294288851999</v>
      </c>
      <c r="AH2603">
        <v>30.5107329193319</v>
      </c>
      <c r="AI2603">
        <v>92.094087295522499</v>
      </c>
      <c r="AJ2603">
        <v>84.583151451519299</v>
      </c>
      <c r="AK2603">
        <v>30.668078559186402</v>
      </c>
      <c r="AL2603">
        <v>80.015090399607502</v>
      </c>
      <c r="AM2603">
        <v>86.276036566142807</v>
      </c>
      <c r="AN2603">
        <v>1.0000000243417799</v>
      </c>
    </row>
    <row r="2604" spans="1:40" x14ac:dyDescent="0.25">
      <c r="A2604" t="str">
        <f>"20190303162558713"</f>
        <v>20190303162558713</v>
      </c>
      <c r="B2604" t="str">
        <f>"1551601558706062"</f>
        <v>1551601558706062</v>
      </c>
      <c r="C2604" t="s">
        <v>40</v>
      </c>
      <c r="D2604">
        <v>5.2644419999999998</v>
      </c>
      <c r="E2604">
        <v>0.52040019999999998</v>
      </c>
      <c r="F2604" t="s">
        <v>48</v>
      </c>
      <c r="G2604">
        <v>-341.42590000000001</v>
      </c>
      <c r="H2604" s="1">
        <v>-7.7797349999999896E-7</v>
      </c>
      <c r="I2604">
        <v>212.13210000000001</v>
      </c>
      <c r="J2604">
        <v>-372.29820000000001</v>
      </c>
      <c r="K2604">
        <v>1.120611</v>
      </c>
      <c r="L2604">
        <v>214.6378</v>
      </c>
      <c r="M2604">
        <v>0.99983730000000004</v>
      </c>
      <c r="N2604">
        <v>-1.101855E-2</v>
      </c>
      <c r="O2604">
        <v>1.4291160000000001E-2</v>
      </c>
      <c r="P2604">
        <v>0.9857899</v>
      </c>
      <c r="Q2604">
        <v>0.16001279999999901</v>
      </c>
      <c r="R2604">
        <v>-5.1131099999999999E-2</v>
      </c>
      <c r="S2604">
        <v>3.0499879999999999</v>
      </c>
      <c r="T2604">
        <v>-0.1093881</v>
      </c>
      <c r="U2604">
        <v>-0.24406430000000001</v>
      </c>
      <c r="V2604">
        <v>6.5221329999999994E-2</v>
      </c>
      <c r="W2604">
        <v>0.17085320000000001</v>
      </c>
      <c r="X2604">
        <v>0.98313550000000005</v>
      </c>
      <c r="Y2604">
        <v>9.3921829999999998E-2</v>
      </c>
      <c r="Z2604">
        <v>-2.5539949999999999E-3</v>
      </c>
      <c r="AA2604">
        <v>0.99557629999999997</v>
      </c>
      <c r="AB2604">
        <v>35</v>
      </c>
      <c r="AC2604">
        <v>30.872299999999999</v>
      </c>
      <c r="AD2604">
        <v>-1.1206117779735001</v>
      </c>
      <c r="AE2604">
        <v>-2.5056999999999898</v>
      </c>
      <c r="AF2604">
        <v>2.9428197967874898</v>
      </c>
      <c r="AG2604">
        <v>-1.1206117779735001</v>
      </c>
      <c r="AH2604">
        <v>30.793028959751599</v>
      </c>
      <c r="AI2604">
        <v>92.074728544579898</v>
      </c>
      <c r="AJ2604">
        <v>84.540951788067702</v>
      </c>
      <c r="AK2604">
        <v>30.953620008480399</v>
      </c>
      <c r="AL2604">
        <v>80.162570643226204</v>
      </c>
      <c r="AM2604">
        <v>86.204552356715098</v>
      </c>
      <c r="AN2604">
        <v>1.0000000245987199</v>
      </c>
    </row>
    <row r="2605" spans="1:40" x14ac:dyDescent="0.25">
      <c r="A2605" t="str">
        <f>"20190303162558756"</f>
        <v>20190303162558756</v>
      </c>
      <c r="B2605" t="str">
        <f>"1551601558746078"</f>
        <v>1551601558746078</v>
      </c>
      <c r="C2605" t="s">
        <v>40</v>
      </c>
      <c r="D2605">
        <v>5.1978619999999998</v>
      </c>
      <c r="E2605">
        <v>0.52380179999999998</v>
      </c>
      <c r="F2605" t="s">
        <v>42</v>
      </c>
      <c r="G2605">
        <v>-371.4975</v>
      </c>
      <c r="H2605">
        <v>1.0442720000000001</v>
      </c>
      <c r="I2605">
        <v>214.56030000000001</v>
      </c>
      <c r="J2605">
        <v>-371.64</v>
      </c>
      <c r="K2605">
        <v>1.1205969999999901</v>
      </c>
      <c r="L2605">
        <v>214.6472</v>
      </c>
      <c r="M2605">
        <v>0.99983679999999997</v>
      </c>
      <c r="N2605">
        <v>-1.105574E-2</v>
      </c>
      <c r="O2605">
        <v>1.429179E-2</v>
      </c>
      <c r="P2605">
        <v>0.98660369999999997</v>
      </c>
      <c r="Q2605">
        <v>0.1544056</v>
      </c>
      <c r="R2605">
        <v>-5.2652629999999999E-2</v>
      </c>
      <c r="S2605">
        <v>3.0754700000000001</v>
      </c>
      <c r="T2605">
        <v>-0.29324099999999997</v>
      </c>
      <c r="U2605">
        <v>-0.29722599999999999</v>
      </c>
      <c r="V2605">
        <v>6.6754679999999997E-2</v>
      </c>
      <c r="W2605">
        <v>0.16529199999999999</v>
      </c>
      <c r="X2605">
        <v>0.98398289999999999</v>
      </c>
      <c r="Y2605">
        <v>0.1098107</v>
      </c>
      <c r="Z2605">
        <v>-7.0205709999999998E-3</v>
      </c>
      <c r="AA2605">
        <v>0.99392769999999997</v>
      </c>
      <c r="AB2605">
        <v>35</v>
      </c>
      <c r="AC2605">
        <v>0.142499999999984</v>
      </c>
      <c r="AD2605">
        <v>-7.6324999999999907E-2</v>
      </c>
      <c r="AE2605">
        <v>-8.6899999999985697E-2</v>
      </c>
      <c r="AF2605">
        <v>7.35478458529778E-2</v>
      </c>
      <c r="AG2605">
        <v>-7.6324999999999907E-2</v>
      </c>
      <c r="AH2605">
        <v>0.116815499925696</v>
      </c>
      <c r="AI2605">
        <v>118.93899217134999</v>
      </c>
      <c r="AJ2605">
        <v>57.805198296587498</v>
      </c>
      <c r="AK2605">
        <v>0.15773602086239999</v>
      </c>
      <c r="AL2605">
        <v>80.485802147361397</v>
      </c>
      <c r="AM2605">
        <v>86.118926630159805</v>
      </c>
      <c r="AN2605">
        <v>0.99999999002915596</v>
      </c>
    </row>
    <row r="2606" spans="1:40" x14ac:dyDescent="0.25">
      <c r="A2606" t="str">
        <f>"20190303162558778"</f>
        <v>20190303162558778</v>
      </c>
      <c r="B2606" t="str">
        <f>"1551601558765599"</f>
        <v>1551601558765599</v>
      </c>
      <c r="C2606" t="s">
        <v>40</v>
      </c>
      <c r="D2606">
        <v>5.2136709999999997</v>
      </c>
      <c r="E2606">
        <v>0.52396980000000004</v>
      </c>
      <c r="F2606" t="s">
        <v>42</v>
      </c>
      <c r="G2606">
        <v>-370.90699999999998</v>
      </c>
      <c r="H2606">
        <v>0.97643210000000003</v>
      </c>
      <c r="I2606">
        <v>214.57140000000001</v>
      </c>
      <c r="J2606">
        <v>-371.29489999999998</v>
      </c>
      <c r="K2606">
        <v>1.1206020000000001</v>
      </c>
      <c r="L2606">
        <v>214.65209999999999</v>
      </c>
      <c r="M2606">
        <v>0.99983659999999996</v>
      </c>
      <c r="N2606">
        <v>-1.1075410000000001E-2</v>
      </c>
      <c r="O2606">
        <v>1.4291979999999999E-2</v>
      </c>
      <c r="P2606">
        <v>0.98643230000000004</v>
      </c>
      <c r="Q2606">
        <v>0.1548021</v>
      </c>
      <c r="R2606">
        <v>-5.4661889999999998E-2</v>
      </c>
      <c r="S2606">
        <v>3.1195369999999998</v>
      </c>
      <c r="T2606">
        <v>-0.61352649999999997</v>
      </c>
      <c r="U2606">
        <v>-0.32226559999999999</v>
      </c>
      <c r="V2606">
        <v>6.8761509999999998E-2</v>
      </c>
      <c r="W2606">
        <v>0.165705399999999</v>
      </c>
      <c r="X2606">
        <v>0.98377519999999996</v>
      </c>
      <c r="Y2606">
        <v>0.11442860000000001</v>
      </c>
      <c r="Z2606">
        <v>-1.4379599999999999E-2</v>
      </c>
      <c r="AA2606">
        <v>0.99332739999999997</v>
      </c>
      <c r="AB2606">
        <v>35</v>
      </c>
      <c r="AC2606">
        <v>0.38790000000000102</v>
      </c>
      <c r="AD2606">
        <v>-0.14416989999999999</v>
      </c>
      <c r="AE2606">
        <v>-8.06999999999789E-2</v>
      </c>
      <c r="AF2606">
        <v>7.6152854700083206E-2</v>
      </c>
      <c r="AG2606">
        <v>-0.14416989999999999</v>
      </c>
      <c r="AH2606">
        <v>0.34149140641876802</v>
      </c>
      <c r="AI2606">
        <v>112.394399543277</v>
      </c>
      <c r="AJ2606">
        <v>77.428689682639799</v>
      </c>
      <c r="AK2606">
        <v>0.37841854870348302</v>
      </c>
      <c r="AL2606">
        <v>80.461785301719502</v>
      </c>
      <c r="AM2606">
        <v>86.001782389008596</v>
      </c>
      <c r="AN2606">
        <v>1.00000003449083</v>
      </c>
    </row>
    <row r="2607" spans="1:40" x14ac:dyDescent="0.25">
      <c r="A2607" t="str">
        <f>"20190303162558801"</f>
        <v>20190303162558801</v>
      </c>
      <c r="B2607" t="str">
        <f>"1551601558795854"</f>
        <v>1551601558795854</v>
      </c>
      <c r="C2607" t="s">
        <v>40</v>
      </c>
      <c r="D2607">
        <v>5.2395149999999999</v>
      </c>
      <c r="E2607">
        <v>0.5238273</v>
      </c>
      <c r="F2607" t="s">
        <v>42</v>
      </c>
      <c r="G2607">
        <v>-370.59780000000001</v>
      </c>
      <c r="H2607">
        <v>0.97052260000000001</v>
      </c>
      <c r="I2607">
        <v>214.5788</v>
      </c>
      <c r="J2607">
        <v>-370.93950000000001</v>
      </c>
      <c r="K2607">
        <v>1.1206</v>
      </c>
      <c r="L2607">
        <v>214.65719999999999</v>
      </c>
      <c r="M2607">
        <v>0.99983619999999995</v>
      </c>
      <c r="N2607">
        <v>-1.1099700000000001E-2</v>
      </c>
      <c r="O2607">
        <v>1.42922E-2</v>
      </c>
      <c r="P2607">
        <v>0.9866838</v>
      </c>
      <c r="Q2607">
        <v>0.15234300000000001</v>
      </c>
      <c r="R2607">
        <v>-5.6981009999999999E-2</v>
      </c>
      <c r="S2607">
        <v>3.1288149999999999</v>
      </c>
      <c r="T2607">
        <v>-0.67368130000000004</v>
      </c>
      <c r="U2607">
        <v>-0.3279572</v>
      </c>
      <c r="V2607">
        <v>7.1084090000000003E-2</v>
      </c>
      <c r="W2607">
        <v>0.1632728</v>
      </c>
      <c r="X2607">
        <v>0.98401680000000002</v>
      </c>
      <c r="Y2607">
        <v>0.1154037</v>
      </c>
      <c r="Z2607">
        <v>-1.5779109999999999E-2</v>
      </c>
      <c r="AA2607">
        <v>0.99319329999999995</v>
      </c>
      <c r="AB2607">
        <v>35</v>
      </c>
      <c r="AC2607">
        <v>0.341700000000003</v>
      </c>
      <c r="AD2607">
        <v>-0.1500774</v>
      </c>
      <c r="AE2607">
        <v>-7.8399999999987799E-2</v>
      </c>
      <c r="AF2607">
        <v>7.0378599445397802E-2</v>
      </c>
      <c r="AG2607">
        <v>-0.1500774</v>
      </c>
      <c r="AH2607">
        <v>0.287802779351442</v>
      </c>
      <c r="AI2607">
        <v>116.86376604485299</v>
      </c>
      <c r="AJ2607">
        <v>76.258695607369404</v>
      </c>
      <c r="AK2607">
        <v>0.33212469503647402</v>
      </c>
      <c r="AL2607">
        <v>80.603087499978997</v>
      </c>
      <c r="AM2607">
        <v>85.868204815124102</v>
      </c>
      <c r="AN2607">
        <v>1.0000000088765999</v>
      </c>
    </row>
    <row r="2608" spans="1:40" x14ac:dyDescent="0.25">
      <c r="A2608" t="str">
        <f>"20190303162558825"</f>
        <v>20190303162558825</v>
      </c>
      <c r="B2608" t="str">
        <f>"1551601558815374"</f>
        <v>1551601558815374</v>
      </c>
      <c r="C2608" t="s">
        <v>40</v>
      </c>
      <c r="D2608">
        <v>5.2573019999999904</v>
      </c>
      <c r="E2608">
        <v>0.52400849999999999</v>
      </c>
      <c r="F2608" t="s">
        <v>42</v>
      </c>
      <c r="G2608">
        <v>-370.0027</v>
      </c>
      <c r="H2608">
        <v>0.90463729999999998</v>
      </c>
      <c r="I2608">
        <v>214.5573</v>
      </c>
      <c r="J2608">
        <v>-370.5659</v>
      </c>
      <c r="K2608">
        <v>1.1206199999999999</v>
      </c>
      <c r="L2608">
        <v>214.66249999999999</v>
      </c>
      <c r="M2608">
        <v>0.99983610000000001</v>
      </c>
      <c r="N2608">
        <v>-1.112747E-2</v>
      </c>
      <c r="O2608">
        <v>1.429252E-2</v>
      </c>
      <c r="P2608">
        <v>0.98632600000000004</v>
      </c>
      <c r="Q2608">
        <v>0.153840899999999</v>
      </c>
      <c r="R2608">
        <v>-5.9114430000000003E-2</v>
      </c>
      <c r="S2608">
        <v>3.1327820000000002</v>
      </c>
      <c r="T2608">
        <v>-0.72232269999999998</v>
      </c>
      <c r="U2608">
        <v>-0.33302310000000002</v>
      </c>
      <c r="V2608">
        <v>7.32125E-2</v>
      </c>
      <c r="W2608">
        <v>0.16479349999999901</v>
      </c>
      <c r="X2608">
        <v>0.98360720000000001</v>
      </c>
      <c r="Y2608">
        <v>0.1164012</v>
      </c>
      <c r="Z2608">
        <v>-1.6955720000000001E-2</v>
      </c>
      <c r="AA2608">
        <v>0.99305750000000004</v>
      </c>
      <c r="AB2608">
        <v>35</v>
      </c>
      <c r="AC2608">
        <v>0.56319999999999404</v>
      </c>
      <c r="AD2608">
        <v>-0.2159827</v>
      </c>
      <c r="AE2608">
        <v>-0.10519999999999601</v>
      </c>
      <c r="AF2608">
        <v>9.9149384993892795E-2</v>
      </c>
      <c r="AG2608">
        <v>-0.2159827</v>
      </c>
      <c r="AH2608">
        <v>0.49175633189532902</v>
      </c>
      <c r="AI2608">
        <v>113.29394420362</v>
      </c>
      <c r="AJ2608">
        <v>78.600681240176598</v>
      </c>
      <c r="AK2608">
        <v>0.54617160050949698</v>
      </c>
      <c r="AL2608">
        <v>80.514761761213705</v>
      </c>
      <c r="AM2608">
        <v>85.743172415406704</v>
      </c>
      <c r="AN2608">
        <v>1.0000000458451599</v>
      </c>
    </row>
    <row r="2609" spans="1:40" x14ac:dyDescent="0.25">
      <c r="A2609" t="str">
        <f>"20190303162558845"</f>
        <v>20190303162558845</v>
      </c>
      <c r="B2609" t="str">
        <f>"1551601558835869"</f>
        <v>1551601558835869</v>
      </c>
      <c r="C2609" t="s">
        <v>40</v>
      </c>
      <c r="D2609">
        <v>5.2578480000000001</v>
      </c>
      <c r="E2609">
        <v>0.5244799</v>
      </c>
      <c r="F2609" t="s">
        <v>42</v>
      </c>
      <c r="G2609">
        <v>-369.6857</v>
      </c>
      <c r="H2609">
        <v>0.91583979999999998</v>
      </c>
      <c r="I2609">
        <v>214.56720000000001</v>
      </c>
      <c r="J2609">
        <v>-370.23349999999999</v>
      </c>
      <c r="K2609">
        <v>1.1206339999999999</v>
      </c>
      <c r="L2609">
        <v>214.66720000000001</v>
      </c>
      <c r="M2609">
        <v>0.99983580000000005</v>
      </c>
      <c r="N2609">
        <v>-1.1151370000000001E-2</v>
      </c>
      <c r="O2609">
        <v>1.4292920000000001E-2</v>
      </c>
      <c r="P2609">
        <v>0.98561509999999997</v>
      </c>
      <c r="Q2609">
        <v>0.157477799999999</v>
      </c>
      <c r="R2609">
        <v>-6.1353049999999999E-2</v>
      </c>
      <c r="S2609">
        <v>3.13504</v>
      </c>
      <c r="T2609">
        <v>-0.72936119999999904</v>
      </c>
      <c r="U2609">
        <v>-0.33920289999999997</v>
      </c>
      <c r="V2609">
        <v>7.5441170000000002E-2</v>
      </c>
      <c r="W2609">
        <v>0.16844479999999901</v>
      </c>
      <c r="X2609">
        <v>0.98281989999999997</v>
      </c>
      <c r="Y2609">
        <v>0.1181518</v>
      </c>
      <c r="Z2609">
        <v>-1.7310409999999998E-2</v>
      </c>
      <c r="AA2609">
        <v>0.99284459999999997</v>
      </c>
      <c r="AB2609">
        <v>35</v>
      </c>
      <c r="AC2609">
        <v>0.54779999999999496</v>
      </c>
      <c r="AD2609">
        <v>-0.20479419999999901</v>
      </c>
      <c r="AE2609">
        <v>-9.9999999999994302E-2</v>
      </c>
      <c r="AF2609">
        <v>9.4974158718441296E-2</v>
      </c>
      <c r="AG2609">
        <v>-0.20479419999999901</v>
      </c>
      <c r="AH2609">
        <v>0.48122619053541299</v>
      </c>
      <c r="AI2609">
        <v>112.661216474627</v>
      </c>
      <c r="AJ2609">
        <v>78.835657823881206</v>
      </c>
      <c r="AK2609">
        <v>0.53154435528480704</v>
      </c>
      <c r="AL2609">
        <v>80.302591142554604</v>
      </c>
      <c r="AM2609">
        <v>85.610588374336899</v>
      </c>
      <c r="AN2609">
        <v>0.99999998830700898</v>
      </c>
    </row>
    <row r="2610" spans="1:40" x14ac:dyDescent="0.25">
      <c r="A2610" t="str">
        <f>"20190303162558868"</f>
        <v>20190303162558868</v>
      </c>
      <c r="B2610" t="str">
        <f>"1551601558856365"</f>
        <v>1551601558856365</v>
      </c>
      <c r="C2610" t="s">
        <v>40</v>
      </c>
      <c r="D2610">
        <v>5.2553859999999997</v>
      </c>
      <c r="E2610">
        <v>0.52467719999999995</v>
      </c>
      <c r="F2610" t="s">
        <v>42</v>
      </c>
      <c r="G2610">
        <v>-369.37029999999999</v>
      </c>
      <c r="H2610">
        <v>0.9214078</v>
      </c>
      <c r="I2610">
        <v>214.57060000000001</v>
      </c>
      <c r="J2610">
        <v>-369.89190000000002</v>
      </c>
      <c r="K2610">
        <v>1.1206309999999999</v>
      </c>
      <c r="L2610">
        <v>214.6721</v>
      </c>
      <c r="M2610">
        <v>0.99983540000000004</v>
      </c>
      <c r="N2610">
        <v>-1.1176119999999999E-2</v>
      </c>
      <c r="O2610">
        <v>1.429326E-2</v>
      </c>
      <c r="P2610">
        <v>0.98562519999999998</v>
      </c>
      <c r="Q2610">
        <v>0.1563629</v>
      </c>
      <c r="R2610">
        <v>-6.3982990000000003E-2</v>
      </c>
      <c r="S2610">
        <v>3.1376650000000001</v>
      </c>
      <c r="T2610">
        <v>-0.72427900000000001</v>
      </c>
      <c r="U2610">
        <v>-0.35047909999999999</v>
      </c>
      <c r="V2610">
        <v>7.8071310000000005E-2</v>
      </c>
      <c r="W2610">
        <v>0.16735429999999901</v>
      </c>
      <c r="X2610">
        <v>0.98280080000000003</v>
      </c>
      <c r="Y2610">
        <v>0.1215512</v>
      </c>
      <c r="Z2610">
        <v>-1.7586330000000001E-2</v>
      </c>
      <c r="AA2610">
        <v>0.99242940000000002</v>
      </c>
      <c r="AB2610">
        <v>35</v>
      </c>
      <c r="AC2610">
        <v>0.52160000000003404</v>
      </c>
      <c r="AD2610">
        <v>-0.19922319999999899</v>
      </c>
      <c r="AE2610">
        <v>-0.101499999999987</v>
      </c>
      <c r="AF2610">
        <v>9.5519234650015494E-2</v>
      </c>
      <c r="AG2610">
        <v>-0.19922319999999899</v>
      </c>
      <c r="AH2610">
        <v>0.45600025776353997</v>
      </c>
      <c r="AI2610">
        <v>113.152131700686</v>
      </c>
      <c r="AJ2610">
        <v>78.169204534567498</v>
      </c>
      <c r="AK2610">
        <v>0.50670508452824903</v>
      </c>
      <c r="AL2610">
        <v>80.365972072739595</v>
      </c>
      <c r="AM2610">
        <v>85.458099952304906</v>
      </c>
      <c r="AN2610">
        <v>1.00000000182712</v>
      </c>
    </row>
    <row r="2611" spans="1:40" x14ac:dyDescent="0.25">
      <c r="A2611" t="str">
        <f>"20190303162558889"</f>
        <v>20190303162558889</v>
      </c>
      <c r="B2611" t="str">
        <f>"1551601558885646"</f>
        <v>1551601558885646</v>
      </c>
      <c r="C2611" t="s">
        <v>40</v>
      </c>
      <c r="D2611">
        <v>5.2591130000000001</v>
      </c>
      <c r="E2611">
        <v>0.5227522</v>
      </c>
      <c r="F2611" t="s">
        <v>42</v>
      </c>
      <c r="G2611">
        <v>-369.05650000000003</v>
      </c>
      <c r="H2611">
        <v>0.92373059999999996</v>
      </c>
      <c r="I2611">
        <v>214.57589999999999</v>
      </c>
      <c r="J2611">
        <v>-369.5575</v>
      </c>
      <c r="K2611">
        <v>1.120633</v>
      </c>
      <c r="L2611">
        <v>214.67689999999999</v>
      </c>
      <c r="M2611">
        <v>0.99983529999999998</v>
      </c>
      <c r="N2611">
        <v>-1.120284E-2</v>
      </c>
      <c r="O2611">
        <v>1.4293459999999999E-2</v>
      </c>
      <c r="P2611">
        <v>0.98559110000000005</v>
      </c>
      <c r="Q2611">
        <v>0.155443</v>
      </c>
      <c r="R2611">
        <v>-6.6694080000000003E-2</v>
      </c>
      <c r="S2611">
        <v>3.1376040000000001</v>
      </c>
      <c r="T2611">
        <v>-0.73950669999999996</v>
      </c>
      <c r="U2611">
        <v>-0.3614349</v>
      </c>
      <c r="V2611">
        <v>8.0781850000000002E-2</v>
      </c>
      <c r="W2611">
        <v>0.16645960000000001</v>
      </c>
      <c r="X2611">
        <v>0.98273370000000004</v>
      </c>
      <c r="Y2611">
        <v>0.12473430000000001</v>
      </c>
      <c r="Z2611">
        <v>-1.8321500000000001E-2</v>
      </c>
      <c r="AA2611">
        <v>0.99202100000000004</v>
      </c>
      <c r="AB2611">
        <v>35</v>
      </c>
      <c r="AC2611">
        <v>0.50099999999997602</v>
      </c>
      <c r="AD2611">
        <v>-0.19690239999999901</v>
      </c>
      <c r="AE2611">
        <v>-0.10099999999999899</v>
      </c>
      <c r="AF2611">
        <v>9.4172939402157999E-2</v>
      </c>
      <c r="AG2611">
        <v>-0.19690239999999901</v>
      </c>
      <c r="AH2611">
        <v>0.434945546011068</v>
      </c>
      <c r="AI2611">
        <v>113.867169360841</v>
      </c>
      <c r="AJ2611">
        <v>77.783089146211907</v>
      </c>
      <c r="AK2611">
        <v>0.48663818760581101</v>
      </c>
      <c r="AL2611">
        <v>80.417964047638705</v>
      </c>
      <c r="AM2611">
        <v>85.300785708177401</v>
      </c>
      <c r="AN2611">
        <v>1.0000000154186299</v>
      </c>
    </row>
    <row r="2612" spans="1:40" x14ac:dyDescent="0.25">
      <c r="A2612" t="str">
        <f>"20190303162558914"</f>
        <v>20190303162558914</v>
      </c>
      <c r="B2612" t="str">
        <f>"1551601558906142"</f>
        <v>1551601558906142</v>
      </c>
      <c r="C2612" t="s">
        <v>40</v>
      </c>
      <c r="D2612">
        <v>5.2965210000000003</v>
      </c>
      <c r="E2612">
        <v>0.52288710000000005</v>
      </c>
      <c r="F2612" t="s">
        <v>42</v>
      </c>
      <c r="G2612">
        <v>-368.76280000000003</v>
      </c>
      <c r="H2612">
        <v>0.88100970000000001</v>
      </c>
      <c r="I2612">
        <v>214.5889</v>
      </c>
      <c r="J2612">
        <v>-369.1644</v>
      </c>
      <c r="K2612">
        <v>1.1206339999999999</v>
      </c>
      <c r="L2612">
        <v>214.6825</v>
      </c>
      <c r="M2612">
        <v>0.99983469999999997</v>
      </c>
      <c r="N2612">
        <v>-1.1234900000000001E-2</v>
      </c>
      <c r="O2612">
        <v>1.429393E-2</v>
      </c>
      <c r="P2612">
        <v>0.98517100000000002</v>
      </c>
      <c r="Q2612">
        <v>0.15668689999999999</v>
      </c>
      <c r="R2612">
        <v>-6.9911169999999995E-2</v>
      </c>
      <c r="S2612">
        <v>3.1709900000000002</v>
      </c>
      <c r="T2612">
        <v>-0.95615320000000004</v>
      </c>
      <c r="U2612">
        <v>-0.3499603</v>
      </c>
      <c r="V2612">
        <v>8.3993109999999996E-2</v>
      </c>
      <c r="W2612">
        <v>0.16772989999999999</v>
      </c>
      <c r="X2612">
        <v>0.98224840000000002</v>
      </c>
      <c r="Y2612">
        <v>0.1179238</v>
      </c>
      <c r="Z2612">
        <v>-2.2070369999999999E-2</v>
      </c>
      <c r="AA2612">
        <v>0.99277729999999997</v>
      </c>
      <c r="AB2612">
        <v>35</v>
      </c>
      <c r="AC2612">
        <v>0.40159999999997298</v>
      </c>
      <c r="AD2612">
        <v>-0.23962429999999901</v>
      </c>
      <c r="AE2612">
        <v>-9.3600000000009204E-2</v>
      </c>
      <c r="AF2612">
        <v>7.4256515218522404E-2</v>
      </c>
      <c r="AG2612">
        <v>-0.23962429999999901</v>
      </c>
      <c r="AH2612">
        <v>0.29919101206746601</v>
      </c>
      <c r="AI2612">
        <v>127.858782549504</v>
      </c>
      <c r="AJ2612">
        <v>76.061349324695996</v>
      </c>
      <c r="AK2612">
        <v>0.39044730362091601</v>
      </c>
      <c r="AL2612">
        <v>80.344143603289595</v>
      </c>
      <c r="AM2612">
        <v>85.112466327063999</v>
      </c>
      <c r="AN2612">
        <v>1.00000004059202</v>
      </c>
    </row>
    <row r="2613" spans="1:40" x14ac:dyDescent="0.25">
      <c r="A2613" t="str">
        <f>"20190303162558937"</f>
        <v>20190303162558937</v>
      </c>
      <c r="B2613" t="str">
        <f>"1551601558925662"</f>
        <v>1551601558925662</v>
      </c>
      <c r="C2613" t="s">
        <v>40</v>
      </c>
      <c r="D2613">
        <v>5.2812400000000004</v>
      </c>
      <c r="E2613">
        <v>0.52273979999999998</v>
      </c>
      <c r="F2613" t="s">
        <v>42</v>
      </c>
      <c r="G2613">
        <v>-368.44069999999999</v>
      </c>
      <c r="H2613">
        <v>0.90337310000000004</v>
      </c>
      <c r="I2613">
        <v>214.59989999999999</v>
      </c>
      <c r="J2613">
        <v>-368.81380000000001</v>
      </c>
      <c r="K2613">
        <v>1.120641</v>
      </c>
      <c r="L2613">
        <v>214.6875</v>
      </c>
      <c r="M2613">
        <v>0.99983440000000001</v>
      </c>
      <c r="N2613">
        <v>-1.126159E-2</v>
      </c>
      <c r="O2613">
        <v>1.4294319999999999E-2</v>
      </c>
      <c r="P2613">
        <v>0.98472119999999996</v>
      </c>
      <c r="Q2613">
        <v>0.1581147</v>
      </c>
      <c r="R2613">
        <v>-7.2965950000000002E-2</v>
      </c>
      <c r="S2613">
        <v>3.1708980000000002</v>
      </c>
      <c r="T2613">
        <v>-0.95198799999999995</v>
      </c>
      <c r="U2613">
        <v>-0.36172490000000002</v>
      </c>
      <c r="V2613">
        <v>8.7041590000000002E-2</v>
      </c>
      <c r="W2613">
        <v>0.169178</v>
      </c>
      <c r="X2613">
        <v>0.98173449999999995</v>
      </c>
      <c r="Y2613">
        <v>0.12145639999999901</v>
      </c>
      <c r="Z2613">
        <v>-2.251595E-2</v>
      </c>
      <c r="AA2613">
        <v>0.99234129999999998</v>
      </c>
      <c r="AB2613">
        <v>35</v>
      </c>
      <c r="AC2613">
        <v>0.37310000000002203</v>
      </c>
      <c r="AD2613">
        <v>-0.21726790000000001</v>
      </c>
      <c r="AE2613">
        <v>-8.7600000000008907E-2</v>
      </c>
      <c r="AF2613">
        <v>7.0323216973072006E-2</v>
      </c>
      <c r="AG2613">
        <v>-0.21726790000000001</v>
      </c>
      <c r="AH2613">
        <v>0.28137703841887601</v>
      </c>
      <c r="AI2613">
        <v>126.837532232665</v>
      </c>
      <c r="AJ2613">
        <v>75.967789388246402</v>
      </c>
      <c r="AK2613">
        <v>0.36238616552681602</v>
      </c>
      <c r="AL2613">
        <v>80.2599706180917</v>
      </c>
      <c r="AM2613">
        <v>84.933345521265494</v>
      </c>
      <c r="AN2613">
        <v>1.0000000312819799</v>
      </c>
    </row>
    <row r="2614" spans="1:40" x14ac:dyDescent="0.25">
      <c r="A2614" t="str">
        <f>"20190303162558960"</f>
        <v>20190303162558960</v>
      </c>
      <c r="B2614" t="str">
        <f>"1551601558955918"</f>
        <v>1551601558955918</v>
      </c>
      <c r="C2614" t="s">
        <v>40</v>
      </c>
      <c r="D2614">
        <v>5.2690400000000004</v>
      </c>
      <c r="E2614">
        <v>0.52223839999999999</v>
      </c>
      <c r="F2614" t="s">
        <v>42</v>
      </c>
      <c r="G2614">
        <v>-368.12299999999999</v>
      </c>
      <c r="H2614">
        <v>0.91383950000000003</v>
      </c>
      <c r="I2614">
        <v>214.60599999999999</v>
      </c>
      <c r="J2614">
        <v>-368.45440000000002</v>
      </c>
      <c r="K2614">
        <v>1.120641</v>
      </c>
      <c r="L2614">
        <v>214.6926</v>
      </c>
      <c r="M2614">
        <v>0.99983420000000001</v>
      </c>
      <c r="N2614">
        <v>-1.1286849999999999E-2</v>
      </c>
      <c r="O2614">
        <v>1.429483E-2</v>
      </c>
      <c r="P2614">
        <v>0.98432869999999995</v>
      </c>
      <c r="Q2614">
        <v>0.1594257</v>
      </c>
      <c r="R2614">
        <v>-7.5371250000000001E-2</v>
      </c>
      <c r="S2614">
        <v>3.1713870000000002</v>
      </c>
      <c r="T2614">
        <v>-0.94933719999999999</v>
      </c>
      <c r="U2614">
        <v>-0.37226870000000001</v>
      </c>
      <c r="V2614">
        <v>8.9441649999999998E-2</v>
      </c>
      <c r="W2614">
        <v>0.17050879999999999</v>
      </c>
      <c r="X2614">
        <v>0.98128839999999995</v>
      </c>
      <c r="Y2614">
        <v>0.1245903</v>
      </c>
      <c r="Z2614">
        <v>-2.2927280000000001E-2</v>
      </c>
      <c r="AA2614">
        <v>0.99194340000000003</v>
      </c>
      <c r="AB2614">
        <v>35</v>
      </c>
      <c r="AC2614">
        <v>0.33139999999997299</v>
      </c>
      <c r="AD2614">
        <v>-0.2068015</v>
      </c>
      <c r="AE2614">
        <v>-8.6600000000004201E-2</v>
      </c>
      <c r="AF2614">
        <v>6.6931318345908805E-2</v>
      </c>
      <c r="AG2614">
        <v>-0.2068015</v>
      </c>
      <c r="AH2614">
        <v>0.241938146278107</v>
      </c>
      <c r="AI2614">
        <v>129.48259207850401</v>
      </c>
      <c r="AJ2614">
        <v>74.536085968059894</v>
      </c>
      <c r="AK2614">
        <v>0.32523949391526602</v>
      </c>
      <c r="AL2614">
        <v>80.182596846617798</v>
      </c>
      <c r="AM2614">
        <v>84.792042881324207</v>
      </c>
      <c r="AN2614">
        <v>0.99999999180336097</v>
      </c>
    </row>
    <row r="2615" spans="1:40" x14ac:dyDescent="0.25">
      <c r="A2615" t="str">
        <f>"20190303162558977"</f>
        <v>20190303162558977</v>
      </c>
      <c r="B2615" t="str">
        <f>"1551601558965678"</f>
        <v>1551601558965678</v>
      </c>
      <c r="C2615" t="s">
        <v>40</v>
      </c>
      <c r="D2615">
        <v>5.3043620000000002</v>
      </c>
      <c r="E2615">
        <v>0.52199890000000004</v>
      </c>
      <c r="F2615" t="s">
        <v>42</v>
      </c>
      <c r="G2615">
        <v>-367.52440000000001</v>
      </c>
      <c r="H2615">
        <v>0.84319</v>
      </c>
      <c r="I2615">
        <v>214.58189999999999</v>
      </c>
      <c r="J2615">
        <v>-368.16309999999999</v>
      </c>
      <c r="K2615">
        <v>1.1206259999999999</v>
      </c>
      <c r="L2615">
        <v>214.6968</v>
      </c>
      <c r="M2615">
        <v>0.999834</v>
      </c>
      <c r="N2615">
        <v>-1.130577E-2</v>
      </c>
      <c r="O2615">
        <v>1.429502E-2</v>
      </c>
      <c r="P2615">
        <v>0.98471129999999996</v>
      </c>
      <c r="Q2615">
        <v>0.15590519999999999</v>
      </c>
      <c r="R2615">
        <v>-7.770233E-2</v>
      </c>
      <c r="S2615">
        <v>3.172272</v>
      </c>
      <c r="T2615">
        <v>-0.94643829999999995</v>
      </c>
      <c r="U2615">
        <v>-0.37619019999999997</v>
      </c>
      <c r="V2615">
        <v>9.1778059999999995E-2</v>
      </c>
      <c r="W2615">
        <v>0.1670111</v>
      </c>
      <c r="X2615">
        <v>0.98167409999999999</v>
      </c>
      <c r="Y2615">
        <v>0.12575610000000001</v>
      </c>
      <c r="Z2615">
        <v>-2.3031739999999998E-2</v>
      </c>
      <c r="AA2615">
        <v>0.99179379999999995</v>
      </c>
      <c r="AB2615">
        <v>35</v>
      </c>
      <c r="AC2615">
        <v>0.63869999999997096</v>
      </c>
      <c r="AD2615">
        <v>-0.27743600000000002</v>
      </c>
      <c r="AE2615">
        <v>-0.114900000000005</v>
      </c>
      <c r="AF2615">
        <v>0.104854968686263</v>
      </c>
      <c r="AG2615">
        <v>-0.27743600000000002</v>
      </c>
      <c r="AH2615">
        <v>0.53856063843499702</v>
      </c>
      <c r="AI2615">
        <v>116.823398112243</v>
      </c>
      <c r="AJ2615">
        <v>78.982636739071694</v>
      </c>
      <c r="AK2615">
        <v>0.61482750412266796</v>
      </c>
      <c r="AL2615">
        <v>80.385916466718797</v>
      </c>
      <c r="AM2615">
        <v>84.658864409790098</v>
      </c>
      <c r="AN2615">
        <v>0.99999997921569095</v>
      </c>
    </row>
    <row r="2616" spans="1:40" x14ac:dyDescent="0.25">
      <c r="A2616" t="str">
        <f>"20190303162559002"</f>
        <v>20190303162559002</v>
      </c>
      <c r="B2616" t="str">
        <f>"1551601558995934"</f>
        <v>1551601558995934</v>
      </c>
      <c r="C2616" t="s">
        <v>40</v>
      </c>
      <c r="D2616">
        <v>5.3366669999999896</v>
      </c>
      <c r="E2616">
        <v>0.52199910000000005</v>
      </c>
      <c r="F2616" t="s">
        <v>42</v>
      </c>
      <c r="G2616">
        <v>-367.49430000000001</v>
      </c>
      <c r="H2616">
        <v>0.91836689999999999</v>
      </c>
      <c r="I2616">
        <v>214.6157</v>
      </c>
      <c r="J2616">
        <v>-367.78440000000001</v>
      </c>
      <c r="K2616">
        <v>1.120608</v>
      </c>
      <c r="L2616">
        <v>214.7022</v>
      </c>
      <c r="M2616">
        <v>0.99983379999999999</v>
      </c>
      <c r="N2616">
        <v>-1.132853E-2</v>
      </c>
      <c r="O2616">
        <v>1.42956E-2</v>
      </c>
      <c r="P2616">
        <v>0.98557439999999996</v>
      </c>
      <c r="Q2616">
        <v>0.14959929999999999</v>
      </c>
      <c r="R2616">
        <v>-7.9144359999999997E-2</v>
      </c>
      <c r="S2616">
        <v>3.1681520000000001</v>
      </c>
      <c r="T2616">
        <v>-0.95811060000000003</v>
      </c>
      <c r="U2616">
        <v>-0.38214110000000001</v>
      </c>
      <c r="V2616">
        <v>9.323244E-2</v>
      </c>
      <c r="W2616">
        <v>0.16073750000000001</v>
      </c>
      <c r="X2616">
        <v>0.98258389999999995</v>
      </c>
      <c r="Y2616">
        <v>0.1275008</v>
      </c>
      <c r="Z2616">
        <v>-2.3592060000000002E-2</v>
      </c>
      <c r="AA2616">
        <v>0.99155780000000004</v>
      </c>
      <c r="AB2616">
        <v>35</v>
      </c>
      <c r="AC2616">
        <v>0.29009999999999497</v>
      </c>
      <c r="AD2616">
        <v>-0.20224110000000001</v>
      </c>
      <c r="AE2616">
        <v>-8.6500000000000896E-2</v>
      </c>
      <c r="AF2616">
        <v>6.2668137687788006E-2</v>
      </c>
      <c r="AG2616">
        <v>-0.20224110000000001</v>
      </c>
      <c r="AH2616">
        <v>0.19970161202762199</v>
      </c>
      <c r="AI2616">
        <v>134.01683564882401</v>
      </c>
      <c r="AJ2616">
        <v>72.577679943545803</v>
      </c>
      <c r="AK2616">
        <v>0.291048950963401</v>
      </c>
      <c r="AL2616">
        <v>80.750293838988398</v>
      </c>
      <c r="AM2616">
        <v>84.579719580186307</v>
      </c>
      <c r="AN2616">
        <v>0.99999997615690595</v>
      </c>
    </row>
    <row r="2617" spans="1:40" x14ac:dyDescent="0.25">
      <c r="A2617" t="str">
        <f>"20190303162559023"</f>
        <v>20190303162559023</v>
      </c>
      <c r="B2617" t="str">
        <f>"1551601559016429"</f>
        <v>1551601559016429</v>
      </c>
      <c r="C2617" t="s">
        <v>40</v>
      </c>
      <c r="D2617">
        <v>5.309793</v>
      </c>
      <c r="E2617">
        <v>0.52477659999999904</v>
      </c>
      <c r="F2617" t="s">
        <v>42</v>
      </c>
      <c r="G2617">
        <v>-366.89699999999999</v>
      </c>
      <c r="H2617">
        <v>0.84458069999999896</v>
      </c>
      <c r="I2617">
        <v>214.5934</v>
      </c>
      <c r="J2617">
        <v>-367.4538</v>
      </c>
      <c r="K2617">
        <v>1.1206050000000001</v>
      </c>
      <c r="L2617">
        <v>214.70689999999999</v>
      </c>
      <c r="M2617">
        <v>0.99983359999999999</v>
      </c>
      <c r="N2617">
        <v>-1.135092E-2</v>
      </c>
      <c r="O2617">
        <v>1.429595E-2</v>
      </c>
      <c r="P2617">
        <v>0.98562190000000005</v>
      </c>
      <c r="Q2617">
        <v>0.14829319999999999</v>
      </c>
      <c r="R2617">
        <v>-8.0989190000000003E-2</v>
      </c>
      <c r="S2617">
        <v>3.1621700000000001</v>
      </c>
      <c r="T2617">
        <v>-0.98359410000000003</v>
      </c>
      <c r="U2617">
        <v>-0.38658140000000002</v>
      </c>
      <c r="V2617">
        <v>9.5078070000000001E-2</v>
      </c>
      <c r="W2617">
        <v>0.1594535</v>
      </c>
      <c r="X2617">
        <v>0.9826163</v>
      </c>
      <c r="Y2617">
        <v>0.12868070000000001</v>
      </c>
      <c r="Z2617">
        <v>-2.440554E-2</v>
      </c>
      <c r="AA2617">
        <v>0.99138570000000004</v>
      </c>
      <c r="AB2617">
        <v>35</v>
      </c>
      <c r="AC2617">
        <v>0.55680000000000895</v>
      </c>
      <c r="AD2617">
        <v>-0.2760243</v>
      </c>
      <c r="AE2617">
        <v>-0.113499999999987</v>
      </c>
      <c r="AF2617">
        <v>9.8263807241000298E-2</v>
      </c>
      <c r="AG2617">
        <v>-0.2760243</v>
      </c>
      <c r="AH2617">
        <v>0.44914565435043302</v>
      </c>
      <c r="AI2617">
        <v>120.978677279591</v>
      </c>
      <c r="AJ2617">
        <v>77.659306320635594</v>
      </c>
      <c r="AK2617">
        <v>0.53626207103044699</v>
      </c>
      <c r="AL2617">
        <v>80.824823395646902</v>
      </c>
      <c r="AM2617">
        <v>84.473258786361797</v>
      </c>
      <c r="AN2617">
        <v>1.0000000255414301</v>
      </c>
    </row>
    <row r="2618" spans="1:40" x14ac:dyDescent="0.25">
      <c r="A2618" t="str">
        <f>"20190303162559046"</f>
        <v>20190303162559046</v>
      </c>
      <c r="B2618" t="str">
        <f>"1551601559036926"</f>
        <v>1551601559036926</v>
      </c>
      <c r="C2618" t="s">
        <v>40</v>
      </c>
      <c r="D2618">
        <v>5.3107049999999996</v>
      </c>
      <c r="E2618">
        <v>0.52496640000000006</v>
      </c>
      <c r="F2618" t="s">
        <v>42</v>
      </c>
      <c r="G2618">
        <v>-366.59089999999998</v>
      </c>
      <c r="H2618">
        <v>0.82579340000000001</v>
      </c>
      <c r="I2618">
        <v>214.59440000000001</v>
      </c>
      <c r="J2618">
        <v>-367.09589999999997</v>
      </c>
      <c r="K2618">
        <v>1.1206199999999999</v>
      </c>
      <c r="L2618">
        <v>214.71199999999999</v>
      </c>
      <c r="M2618">
        <v>0.99983310000000003</v>
      </c>
      <c r="N2618">
        <v>-1.1376499999999999E-2</v>
      </c>
      <c r="O2618">
        <v>1.429628E-2</v>
      </c>
      <c r="P2618">
        <v>0.98495929999999998</v>
      </c>
      <c r="Q2618">
        <v>0.15126589999999901</v>
      </c>
      <c r="R2618">
        <v>-8.3509399999999998E-2</v>
      </c>
      <c r="S2618">
        <v>3.172882</v>
      </c>
      <c r="T2618">
        <v>-1.083985</v>
      </c>
      <c r="U2618">
        <v>-0.41329959999999999</v>
      </c>
      <c r="V2618">
        <v>9.7589289999999995E-2</v>
      </c>
      <c r="W2618">
        <v>0.1624428</v>
      </c>
      <c r="X2618">
        <v>0.98188019999999998</v>
      </c>
      <c r="Y2618">
        <v>0.1347901</v>
      </c>
      <c r="Z2618">
        <v>-2.7668689999999999E-2</v>
      </c>
      <c r="AA2618">
        <v>0.99048780000000003</v>
      </c>
      <c r="AB2618">
        <v>35</v>
      </c>
      <c r="AC2618">
        <v>0.50499999999999501</v>
      </c>
      <c r="AD2618">
        <v>-0.29482659999999999</v>
      </c>
      <c r="AE2618">
        <v>-0.11760000000001</v>
      </c>
      <c r="AF2618">
        <v>9.43152527315404E-2</v>
      </c>
      <c r="AG2618">
        <v>-0.29482659999999999</v>
      </c>
      <c r="AH2618">
        <v>0.38031000639940599</v>
      </c>
      <c r="AI2618">
        <v>126.959053917817</v>
      </c>
      <c r="AJ2618">
        <v>76.071889238707499</v>
      </c>
      <c r="AK2618">
        <v>0.49036087928472699</v>
      </c>
      <c r="AL2618">
        <v>80.651286675013594</v>
      </c>
      <c r="AM2618">
        <v>84.324000795813404</v>
      </c>
      <c r="AN2618">
        <v>1.0000000299732901</v>
      </c>
    </row>
    <row r="2619" spans="1:40" x14ac:dyDescent="0.25">
      <c r="A2619" t="str">
        <f>"20190303162559068"</f>
        <v>20190303162559068</v>
      </c>
      <c r="B2619" t="str">
        <f>"1551601559055470"</f>
        <v>1551601559055470</v>
      </c>
      <c r="C2619" t="s">
        <v>40</v>
      </c>
      <c r="D2619">
        <v>5.326085</v>
      </c>
      <c r="E2619">
        <v>0.52506079999999999</v>
      </c>
      <c r="F2619" t="s">
        <v>42</v>
      </c>
      <c r="G2619">
        <v>-366.27120000000002</v>
      </c>
      <c r="H2619">
        <v>0.84053369999999905</v>
      </c>
      <c r="I2619">
        <v>214.60130000000001</v>
      </c>
      <c r="J2619">
        <v>-366.75409999999999</v>
      </c>
      <c r="K2619">
        <v>1.1206309999999999</v>
      </c>
      <c r="L2619">
        <v>214.71690000000001</v>
      </c>
      <c r="M2619">
        <v>0.99983290000000002</v>
      </c>
      <c r="N2619">
        <v>-1.1399869999999999E-2</v>
      </c>
      <c r="O2619">
        <v>1.4296680000000001E-2</v>
      </c>
      <c r="P2619">
        <v>0.98431800000000003</v>
      </c>
      <c r="Q2619">
        <v>0.15386329999999901</v>
      </c>
      <c r="R2619">
        <v>-8.6281079999999996E-2</v>
      </c>
      <c r="S2619">
        <v>3.1754150000000001</v>
      </c>
      <c r="T2619">
        <v>-1.0784339999999999</v>
      </c>
      <c r="U2619">
        <v>-0.42480469999999998</v>
      </c>
      <c r="V2619">
        <v>0.1003518</v>
      </c>
      <c r="W2619">
        <v>0.16505539999999999</v>
      </c>
      <c r="X2619">
        <v>0.98116579999999998</v>
      </c>
      <c r="Y2619">
        <v>0.1381261</v>
      </c>
      <c r="Z2619">
        <v>-2.80813E-2</v>
      </c>
      <c r="AA2619">
        <v>0.99001649999999997</v>
      </c>
      <c r="AB2619">
        <v>35</v>
      </c>
      <c r="AC2619">
        <v>0.48289999999997202</v>
      </c>
      <c r="AD2619">
        <v>-0.28009729999999999</v>
      </c>
      <c r="AE2619">
        <v>-0.11559999999999999</v>
      </c>
      <c r="AF2619">
        <v>9.2923932998147996E-2</v>
      </c>
      <c r="AG2619">
        <v>-0.28009729999999999</v>
      </c>
      <c r="AH2619">
        <v>0.36504109241449201</v>
      </c>
      <c r="AI2619">
        <v>126.634104835011</v>
      </c>
      <c r="AJ2619">
        <v>75.718258302504395</v>
      </c>
      <c r="AK2619">
        <v>0.46940851498699898</v>
      </c>
      <c r="AL2619">
        <v>80.499547678668506</v>
      </c>
      <c r="AM2619">
        <v>84.160201526974504</v>
      </c>
      <c r="AN2619">
        <v>1.0000000479610101</v>
      </c>
    </row>
    <row r="2620" spans="1:40" x14ac:dyDescent="0.25">
      <c r="A2620" t="str">
        <f>"20190303162559090"</f>
        <v>20190303162559090</v>
      </c>
      <c r="B2620" t="str">
        <f>"1551601559085726"</f>
        <v>1551601559085726</v>
      </c>
      <c r="C2620" t="s">
        <v>40</v>
      </c>
      <c r="D2620">
        <v>5.3423629999999998</v>
      </c>
      <c r="E2620">
        <v>0.52475490000000002</v>
      </c>
      <c r="F2620" t="s">
        <v>42</v>
      </c>
      <c r="G2620">
        <v>-365.95260000000002</v>
      </c>
      <c r="H2620">
        <v>0.85241250000000002</v>
      </c>
      <c r="I2620">
        <v>214.6069</v>
      </c>
      <c r="J2620">
        <v>-366.40600000000001</v>
      </c>
      <c r="K2620">
        <v>1.1206449999999999</v>
      </c>
      <c r="L2620">
        <v>214.7218</v>
      </c>
      <c r="M2620">
        <v>0.99983270000000002</v>
      </c>
      <c r="N2620">
        <v>-1.142174E-2</v>
      </c>
      <c r="O2620">
        <v>1.4297030000000001E-2</v>
      </c>
      <c r="P2620">
        <v>0.98375429999999997</v>
      </c>
      <c r="Q2620">
        <v>0.15572250000000001</v>
      </c>
      <c r="R2620">
        <v>-8.9321970000000001E-2</v>
      </c>
      <c r="S2620">
        <v>3.175751</v>
      </c>
      <c r="T2620">
        <v>-1.062743</v>
      </c>
      <c r="U2620">
        <v>-0.43525700000000001</v>
      </c>
      <c r="V2620">
        <v>0.1033849</v>
      </c>
      <c r="W2620">
        <v>0.1669293</v>
      </c>
      <c r="X2620">
        <v>0.98053360000000001</v>
      </c>
      <c r="Y2620">
        <v>0.141376799999999</v>
      </c>
      <c r="Z2620">
        <v>-2.8241820000000001E-2</v>
      </c>
      <c r="AA2620">
        <v>0.98955289999999996</v>
      </c>
      <c r="AB2620">
        <v>35</v>
      </c>
      <c r="AC2620">
        <v>0.45339999999998698</v>
      </c>
      <c r="AD2620">
        <v>-0.26823249999999998</v>
      </c>
      <c r="AE2620">
        <v>-0.114900000000005</v>
      </c>
      <c r="AF2620">
        <v>9.13337613392632E-2</v>
      </c>
      <c r="AG2620">
        <v>-0.26823249999999998</v>
      </c>
      <c r="AH2620">
        <v>0.33992028518048201</v>
      </c>
      <c r="AI2620">
        <v>127.310097834253</v>
      </c>
      <c r="AJ2620">
        <v>74.960314311324794</v>
      </c>
      <c r="AK2620">
        <v>0.44253398772727898</v>
      </c>
      <c r="AL2620">
        <v>80.390670045409394</v>
      </c>
      <c r="AM2620">
        <v>83.981121065108795</v>
      </c>
      <c r="AN2620">
        <v>0.999999984737729</v>
      </c>
    </row>
    <row r="2621" spans="1:40" x14ac:dyDescent="0.25">
      <c r="A2621" t="str">
        <f>"20190303162559135"</f>
        <v>20190303162559135</v>
      </c>
      <c r="B2621" t="str">
        <f>"1551601559126718"</f>
        <v>1551601559126718</v>
      </c>
      <c r="C2621" t="s">
        <v>40</v>
      </c>
      <c r="D2621">
        <v>5.3549620000000004</v>
      </c>
      <c r="E2621">
        <v>0.52413339999999997</v>
      </c>
      <c r="F2621" t="s">
        <v>42</v>
      </c>
      <c r="G2621">
        <v>-365.63380000000001</v>
      </c>
      <c r="H2621">
        <v>0.8646722</v>
      </c>
      <c r="I2621">
        <v>214.6138</v>
      </c>
      <c r="J2621">
        <v>-365.70060000000001</v>
      </c>
      <c r="K2621">
        <v>1.120671</v>
      </c>
      <c r="L2621">
        <v>214.7319</v>
      </c>
      <c r="M2621">
        <v>0.99983219999999995</v>
      </c>
      <c r="N2621">
        <v>-1.145999E-2</v>
      </c>
      <c r="O2621">
        <v>1.429764E-2</v>
      </c>
      <c r="P2621">
        <v>0.98205140000000002</v>
      </c>
      <c r="Q2621">
        <v>0.1618164</v>
      </c>
      <c r="R2621">
        <v>-9.6906140000000002E-2</v>
      </c>
      <c r="S2621">
        <v>3.1758730000000002</v>
      </c>
      <c r="T2621">
        <v>-1.0526930000000001</v>
      </c>
      <c r="U2621">
        <v>-0.44380190000000003</v>
      </c>
      <c r="V2621">
        <v>0.1109446</v>
      </c>
      <c r="W2621">
        <v>0.1730389</v>
      </c>
      <c r="X2621">
        <v>0.97864649999999997</v>
      </c>
      <c r="Y2621">
        <v>0.14399989999999999</v>
      </c>
      <c r="Z2621">
        <v>-2.8427810000000001E-2</v>
      </c>
      <c r="AA2621">
        <v>0.98916930000000003</v>
      </c>
      <c r="AB2621">
        <v>35</v>
      </c>
      <c r="AC2621">
        <v>6.6800000000000595E-2</v>
      </c>
      <c r="AD2621">
        <v>-0.25599880000000003</v>
      </c>
      <c r="AE2621">
        <v>-0.118099999999998</v>
      </c>
      <c r="AF2621">
        <v>2.6107081321384701E-2</v>
      </c>
      <c r="AG2621">
        <v>-0.25599880000000003</v>
      </c>
      <c r="AH2621">
        <v>1.4277930567947201E-2</v>
      </c>
      <c r="AI2621">
        <v>173.36990904458901</v>
      </c>
      <c r="AJ2621">
        <v>28.6741946979005</v>
      </c>
      <c r="AK2621">
        <v>0.25772237892326</v>
      </c>
      <c r="AL2621">
        <v>80.035446326320994</v>
      </c>
      <c r="AM2621">
        <v>83.532256924313899</v>
      </c>
      <c r="AN2621">
        <v>1.0000000685723001</v>
      </c>
    </row>
    <row r="2622" spans="1:40" x14ac:dyDescent="0.25">
      <c r="A2622" t="str">
        <f>"20190303162559157"</f>
        <v>20190303162559157</v>
      </c>
      <c r="B2622" t="str">
        <f>"1551601559146238"</f>
        <v>1551601559146238</v>
      </c>
      <c r="C2622" t="s">
        <v>40</v>
      </c>
      <c r="D2622">
        <v>5.3541800000000004</v>
      </c>
      <c r="E2622">
        <v>0.52356359999999902</v>
      </c>
      <c r="F2622" t="s">
        <v>42</v>
      </c>
      <c r="G2622">
        <v>-364.99470000000002</v>
      </c>
      <c r="H2622">
        <v>0.89102530000000002</v>
      </c>
      <c r="I2622">
        <v>214.62790000000001</v>
      </c>
      <c r="J2622">
        <v>-365.34969999999998</v>
      </c>
      <c r="K2622">
        <v>1.1206750000000001</v>
      </c>
      <c r="L2622">
        <v>214.73689999999999</v>
      </c>
      <c r="M2622">
        <v>0.99983200000000005</v>
      </c>
      <c r="N2622">
        <v>-1.147623E-2</v>
      </c>
      <c r="O2622">
        <v>1.4298079999999999E-2</v>
      </c>
      <c r="P2622">
        <v>0.98170080000000004</v>
      </c>
      <c r="Q2622">
        <v>0.16133889999999901</v>
      </c>
      <c r="R2622">
        <v>-0.10116070000000001</v>
      </c>
      <c r="S2622">
        <v>3.1791689999999999</v>
      </c>
      <c r="T2622">
        <v>-1.03427</v>
      </c>
      <c r="U2622">
        <v>-0.46664430000000001</v>
      </c>
      <c r="V2622">
        <v>0.1151942</v>
      </c>
      <c r="W2622">
        <v>0.17257249999999999</v>
      </c>
      <c r="X2622">
        <v>0.97823769999999999</v>
      </c>
      <c r="Y2622">
        <v>0.1507762</v>
      </c>
      <c r="Z2622">
        <v>-2.903673E-2</v>
      </c>
      <c r="AA2622">
        <v>0.98814139999999995</v>
      </c>
      <c r="AB2622">
        <v>35</v>
      </c>
      <c r="AC2622">
        <v>0.35499999999996101</v>
      </c>
      <c r="AD2622">
        <v>-0.22964970000000001</v>
      </c>
      <c r="AE2622">
        <v>-0.10899999999998</v>
      </c>
      <c r="AF2622">
        <v>8.2510689111179994E-2</v>
      </c>
      <c r="AG2622">
        <v>-0.22964970000000001</v>
      </c>
      <c r="AH2622">
        <v>0.25564105751562899</v>
      </c>
      <c r="AI2622">
        <v>130.52721110042901</v>
      </c>
      <c r="AJ2622">
        <v>72.111999940877993</v>
      </c>
      <c r="AK2622">
        <v>0.35341101965756699</v>
      </c>
      <c r="AL2622">
        <v>80.062576392401397</v>
      </c>
      <c r="AM2622">
        <v>83.283958006650195</v>
      </c>
      <c r="AN2622">
        <v>0.99999998458558903</v>
      </c>
    </row>
    <row r="2623" spans="1:40" x14ac:dyDescent="0.25">
      <c r="A2623" t="str">
        <f>"20190303162559179"</f>
        <v>20190303162559179</v>
      </c>
      <c r="B2623" t="str">
        <f>"1551601559175519"</f>
        <v>1551601559175519</v>
      </c>
      <c r="C2623" t="s">
        <v>40</v>
      </c>
      <c r="D2623">
        <v>5.3733170000000001</v>
      </c>
      <c r="E2623">
        <v>0.52445580000000003</v>
      </c>
      <c r="F2623" t="s">
        <v>42</v>
      </c>
      <c r="G2623">
        <v>-364.67649999999998</v>
      </c>
      <c r="H2623">
        <v>0.90078150000000001</v>
      </c>
      <c r="I2623">
        <v>214.6361</v>
      </c>
      <c r="J2623">
        <v>-365.00819999999999</v>
      </c>
      <c r="K2623">
        <v>1.120682</v>
      </c>
      <c r="L2623">
        <v>214.74180000000001</v>
      </c>
      <c r="M2623">
        <v>0.99983180000000005</v>
      </c>
      <c r="N2623">
        <v>-1.14902999999999E-2</v>
      </c>
      <c r="O2623">
        <v>1.42983E-2</v>
      </c>
      <c r="P2623">
        <v>0.98150170000000003</v>
      </c>
      <c r="Q2623">
        <v>0.15983520000000001</v>
      </c>
      <c r="R2623">
        <v>-0.10539220000000001</v>
      </c>
      <c r="S2623">
        <v>3.1775509999999998</v>
      </c>
      <c r="T2623">
        <v>-1.0378909999999999</v>
      </c>
      <c r="U2623">
        <v>-0.47485349999999998</v>
      </c>
      <c r="V2623">
        <v>0.1194226</v>
      </c>
      <c r="W2623">
        <v>0.1710797</v>
      </c>
      <c r="X2623">
        <v>0.9779928</v>
      </c>
      <c r="Y2623">
        <v>0.1531575</v>
      </c>
      <c r="Z2623">
        <v>-2.953221E-2</v>
      </c>
      <c r="AA2623">
        <v>0.98776039999999998</v>
      </c>
      <c r="AB2623">
        <v>35</v>
      </c>
      <c r="AC2623">
        <v>0.33170000000001199</v>
      </c>
      <c r="AD2623">
        <v>-0.219900499999999</v>
      </c>
      <c r="AE2623">
        <v>-0.10570000000001301</v>
      </c>
      <c r="AF2623">
        <v>7.8937273309255901E-2</v>
      </c>
      <c r="AG2623">
        <v>-0.219900499999999</v>
      </c>
      <c r="AH2623">
        <v>0.23599544396515301</v>
      </c>
      <c r="AI2623">
        <v>131.46628284424301</v>
      </c>
      <c r="AJ2623">
        <v>71.505610997543599</v>
      </c>
      <c r="AK2623">
        <v>0.332086092135849</v>
      </c>
      <c r="AL2623">
        <v>80.149398671537696</v>
      </c>
      <c r="AM2623">
        <v>83.038084385716402</v>
      </c>
      <c r="AN2623">
        <v>0.999999968997344</v>
      </c>
    </row>
    <row r="2624" spans="1:40" x14ac:dyDescent="0.25">
      <c r="A2624" t="str">
        <f>"20190303162559201"</f>
        <v>20190303162559201</v>
      </c>
      <c r="B2624" t="str">
        <f>"1551601559196014"</f>
        <v>1551601559196014</v>
      </c>
      <c r="C2624" t="s">
        <v>40</v>
      </c>
      <c r="D2624">
        <v>5.3971070000000001</v>
      </c>
      <c r="E2624">
        <v>0.54620429999999998</v>
      </c>
      <c r="F2624" t="s">
        <v>42</v>
      </c>
      <c r="G2624">
        <v>-364.0779</v>
      </c>
      <c r="H2624">
        <v>0.82320419999999905</v>
      </c>
      <c r="I2624">
        <v>214.59549999999999</v>
      </c>
      <c r="J2624">
        <v>-364.64949999999999</v>
      </c>
      <c r="K2624">
        <v>1.1207049999999901</v>
      </c>
      <c r="L2624">
        <v>214.74690000000001</v>
      </c>
      <c r="M2624">
        <v>0.99983160000000004</v>
      </c>
      <c r="N2624">
        <v>-1.1503380000000001E-2</v>
      </c>
      <c r="O2624">
        <v>1.4298760000000001E-2</v>
      </c>
      <c r="P2624">
        <v>0.98047930000000005</v>
      </c>
      <c r="Q2624">
        <v>0.16342200000000001</v>
      </c>
      <c r="R2624">
        <v>-0.1093329</v>
      </c>
      <c r="S2624">
        <v>3.167999</v>
      </c>
      <c r="T2624">
        <v>-1.012958</v>
      </c>
      <c r="U2624">
        <v>-0.49797059999999999</v>
      </c>
      <c r="V2624">
        <v>0.123349</v>
      </c>
      <c r="W2624">
        <v>0.1746664</v>
      </c>
      <c r="X2624">
        <v>0.97687080000000004</v>
      </c>
      <c r="Y2624">
        <v>0.1606165</v>
      </c>
      <c r="Z2624">
        <v>-3.0140449999999999E-2</v>
      </c>
      <c r="AA2624">
        <v>0.98655660000000001</v>
      </c>
      <c r="AB2624">
        <v>35</v>
      </c>
      <c r="AC2624">
        <v>0.57159999999998901</v>
      </c>
      <c r="AD2624">
        <v>-0.29750079999999901</v>
      </c>
      <c r="AE2624">
        <v>-0.15140000000002299</v>
      </c>
      <c r="AF2624">
        <v>0.127327699858096</v>
      </c>
      <c r="AG2624">
        <v>-0.29750079999999901</v>
      </c>
      <c r="AH2624">
        <v>0.45436333484961799</v>
      </c>
      <c r="AI2624">
        <v>122.230450492497</v>
      </c>
      <c r="AJ2624">
        <v>74.345363291281998</v>
      </c>
      <c r="AK2624">
        <v>0.55782175397474398</v>
      </c>
      <c r="AL2624">
        <v>79.940754185713004</v>
      </c>
      <c r="AM2624">
        <v>82.803376192449903</v>
      </c>
      <c r="AN2624">
        <v>0.99999994349129795</v>
      </c>
    </row>
    <row r="2625" spans="1:40" x14ac:dyDescent="0.25">
      <c r="A2625" t="str">
        <f>"20190303162559225"</f>
        <v>20190303162559225</v>
      </c>
      <c r="B2625" t="str">
        <f>"1551601559215533"</f>
        <v>1551601559215533</v>
      </c>
      <c r="C2625" t="s">
        <v>40</v>
      </c>
      <c r="D2625">
        <v>5.3844799999999999</v>
      </c>
      <c r="E2625">
        <v>0.54723659999999996</v>
      </c>
      <c r="F2625" t="s">
        <v>48</v>
      </c>
      <c r="G2625">
        <v>-352.82150000000001</v>
      </c>
      <c r="H2625" s="1">
        <v>7.6654270000000006E-8</v>
      </c>
      <c r="I2625">
        <v>212.054</v>
      </c>
      <c r="J2625">
        <v>-364.2903</v>
      </c>
      <c r="K2625">
        <v>1.1207240000000001</v>
      </c>
      <c r="L2625">
        <v>214.75210000000001</v>
      </c>
      <c r="M2625">
        <v>0.99983149999999998</v>
      </c>
      <c r="N2625">
        <v>-1.1515009999999999E-2</v>
      </c>
      <c r="O2625">
        <v>1.429917E-2</v>
      </c>
      <c r="P2625">
        <v>0.97880100000000003</v>
      </c>
      <c r="Q2625">
        <v>0.1705468</v>
      </c>
      <c r="R2625">
        <v>-0.11341320000000001</v>
      </c>
      <c r="S2625">
        <v>3.0306700000000002</v>
      </c>
      <c r="T2625">
        <v>-0.28715489999999999</v>
      </c>
      <c r="U2625">
        <v>-0.68998719999999902</v>
      </c>
      <c r="V2625">
        <v>0.1274055</v>
      </c>
      <c r="W2625">
        <v>0.18178140000000001</v>
      </c>
      <c r="X2625">
        <v>0.97505039999999998</v>
      </c>
      <c r="Y2625">
        <v>0.234734</v>
      </c>
      <c r="Z2625">
        <v>-1.3501350000000001E-2</v>
      </c>
      <c r="AA2625">
        <v>0.97196590000000005</v>
      </c>
      <c r="AB2625">
        <v>35</v>
      </c>
      <c r="AC2625">
        <v>11.4687999999999</v>
      </c>
      <c r="AD2625">
        <v>-1.12072392334573</v>
      </c>
      <c r="AE2625">
        <v>-2.6981000000000099</v>
      </c>
      <c r="AF2625">
        <v>2.8361668254383501</v>
      </c>
      <c r="AG2625">
        <v>-1.12072392334573</v>
      </c>
      <c r="AH2625">
        <v>11.326558100914999</v>
      </c>
      <c r="AI2625">
        <v>95.482638140914503</v>
      </c>
      <c r="AJ2625">
        <v>75.942204205100396</v>
      </c>
      <c r="AK2625">
        <v>11.729909751889799</v>
      </c>
      <c r="AL2625">
        <v>79.526461044572102</v>
      </c>
      <c r="AM2625">
        <v>82.555591416836293</v>
      </c>
      <c r="AN2625">
        <v>0.99999996067818397</v>
      </c>
    </row>
    <row r="2626" spans="1:40" x14ac:dyDescent="0.25">
      <c r="A2626" t="str">
        <f>"20190303162559246"</f>
        <v>20190303162559246</v>
      </c>
      <c r="B2626" t="str">
        <f>"1551601559236030"</f>
        <v>1551601559236030</v>
      </c>
      <c r="C2626" t="s">
        <v>40</v>
      </c>
      <c r="D2626">
        <v>5.4101429999999997</v>
      </c>
      <c r="E2626">
        <v>0.54610930000000002</v>
      </c>
      <c r="F2626" t="s">
        <v>48</v>
      </c>
      <c r="G2626">
        <v>-349.59320000000002</v>
      </c>
      <c r="H2626" s="1">
        <v>3.5682540000000002E-6</v>
      </c>
      <c r="I2626">
        <v>211.2903</v>
      </c>
      <c r="J2626">
        <v>-363.94310000000002</v>
      </c>
      <c r="K2626">
        <v>1.1207290000000001</v>
      </c>
      <c r="L2626">
        <v>214.75700000000001</v>
      </c>
      <c r="M2626">
        <v>0.99983140000000004</v>
      </c>
      <c r="N2626">
        <v>-1.1525000000000001E-2</v>
      </c>
      <c r="O2626">
        <v>1.429946E-2</v>
      </c>
      <c r="P2626">
        <v>0.97813209999999995</v>
      </c>
      <c r="Q2626">
        <v>0.17236689999999999</v>
      </c>
      <c r="R2626">
        <v>-0.11639529999999999</v>
      </c>
      <c r="S2626">
        <v>3.022675</v>
      </c>
      <c r="T2626">
        <v>-0.2304929</v>
      </c>
      <c r="U2626">
        <v>-0.71195980000000003</v>
      </c>
      <c r="V2626">
        <v>0.13037779999999999</v>
      </c>
      <c r="W2626">
        <v>0.18360319999999999</v>
      </c>
      <c r="X2626">
        <v>0.97431590000000001</v>
      </c>
      <c r="Y2626">
        <v>0.24236089999999999</v>
      </c>
      <c r="Z2626">
        <v>-1.143316E-2</v>
      </c>
      <c r="AA2626">
        <v>0.97011879999999995</v>
      </c>
      <c r="AB2626">
        <v>35</v>
      </c>
      <c r="AC2626">
        <v>14.3498999999999</v>
      </c>
      <c r="AD2626">
        <v>-1.120725431746</v>
      </c>
      <c r="AE2626">
        <v>-3.4666999999999999</v>
      </c>
      <c r="AF2626">
        <v>3.6505161687705598</v>
      </c>
      <c r="AG2626">
        <v>-1.120725431746</v>
      </c>
      <c r="AH2626">
        <v>14.216921967794301</v>
      </c>
      <c r="AI2626">
        <v>94.366260680105398</v>
      </c>
      <c r="AJ2626">
        <v>75.599126515720798</v>
      </c>
      <c r="AK2626">
        <v>14.7208411454702</v>
      </c>
      <c r="AL2626">
        <v>79.42029308283</v>
      </c>
      <c r="AM2626">
        <v>82.378259229784902</v>
      </c>
      <c r="AN2626">
        <v>0.99999998938794399</v>
      </c>
    </row>
    <row r="2627" spans="1:40" x14ac:dyDescent="0.25">
      <c r="A2627" t="str">
        <f>"20190303162559269"</f>
        <v>20190303162559269</v>
      </c>
      <c r="B2627" t="str">
        <f>"1551601559265933"</f>
        <v>1551601559265933</v>
      </c>
      <c r="C2627" t="s">
        <v>40</v>
      </c>
      <c r="D2627">
        <v>5.4559980000000001</v>
      </c>
      <c r="E2627">
        <v>0.54489149999999997</v>
      </c>
      <c r="F2627" t="s">
        <v>48</v>
      </c>
      <c r="G2627">
        <v>-348.85559999999998</v>
      </c>
      <c r="H2627" s="1">
        <v>3.175734E-6</v>
      </c>
      <c r="I2627">
        <v>211.19839999999999</v>
      </c>
      <c r="J2627">
        <v>-363.58749999999998</v>
      </c>
      <c r="K2627">
        <v>1.120716</v>
      </c>
      <c r="L2627">
        <v>214.7621</v>
      </c>
      <c r="M2627">
        <v>0.99983120000000003</v>
      </c>
      <c r="N2627">
        <v>-1.153418E-2</v>
      </c>
      <c r="O2627">
        <v>1.430007E-2</v>
      </c>
      <c r="P2627">
        <v>0.97849079999999999</v>
      </c>
      <c r="Q2627">
        <v>0.1691223</v>
      </c>
      <c r="R2627">
        <v>-0.1181249</v>
      </c>
      <c r="S2627">
        <v>3.0217900000000002</v>
      </c>
      <c r="T2627">
        <v>-0.22446350000000001</v>
      </c>
      <c r="U2627">
        <v>-0.71273799999999998</v>
      </c>
      <c r="V2627">
        <v>0.13211310000000001</v>
      </c>
      <c r="W2627">
        <v>0.18037120000000001</v>
      </c>
      <c r="X2627">
        <v>0.97468580000000005</v>
      </c>
      <c r="Y2627">
        <v>0.2426989</v>
      </c>
      <c r="Z2627">
        <v>-1.1185489999999999E-2</v>
      </c>
      <c r="AA2627">
        <v>0.97003720000000004</v>
      </c>
      <c r="AB2627">
        <v>35</v>
      </c>
      <c r="AC2627">
        <v>14.7318999999999</v>
      </c>
      <c r="AD2627">
        <v>-1.1207128242660001</v>
      </c>
      <c r="AE2627">
        <v>-3.5637000000000101</v>
      </c>
      <c r="AF2627">
        <v>3.7534952817820599</v>
      </c>
      <c r="AG2627">
        <v>-1.1207128242660001</v>
      </c>
      <c r="AH2627">
        <v>14.599608405705199</v>
      </c>
      <c r="AI2627">
        <v>94.251859740658503</v>
      </c>
      <c r="AJ2627">
        <v>75.581765872488603</v>
      </c>
      <c r="AK2627">
        <v>15.1159944980399</v>
      </c>
      <c r="AL2627">
        <v>79.608618365372195</v>
      </c>
      <c r="AM2627">
        <v>82.280926802456506</v>
      </c>
      <c r="AN2627">
        <v>1.0000000248513401</v>
      </c>
    </row>
    <row r="2628" spans="1:40" x14ac:dyDescent="0.25">
      <c r="A2628" t="str">
        <f>"20190303162559291"</f>
        <v>20190303162559291</v>
      </c>
      <c r="B2628" t="str">
        <f>"1551601559275693"</f>
        <v>1551601559275693</v>
      </c>
      <c r="C2628" t="s">
        <v>40</v>
      </c>
      <c r="D2628">
        <v>5.4697250000000004</v>
      </c>
      <c r="E2628">
        <v>0.544458</v>
      </c>
      <c r="F2628" t="s">
        <v>48</v>
      </c>
      <c r="G2628">
        <v>-349.75389999999999</v>
      </c>
      <c r="H2628" s="1">
        <v>3.6537439999999998E-6</v>
      </c>
      <c r="I2628">
        <v>211.52</v>
      </c>
      <c r="J2628">
        <v>-363.2525</v>
      </c>
      <c r="K2628">
        <v>1.120703</v>
      </c>
      <c r="L2628">
        <v>214.76689999999999</v>
      </c>
      <c r="M2628">
        <v>0.99983129999999998</v>
      </c>
      <c r="N2628">
        <v>-1.154199E-2</v>
      </c>
      <c r="O2628">
        <v>1.4300200000000001E-2</v>
      </c>
      <c r="P2628">
        <v>0.97862669999999996</v>
      </c>
      <c r="Q2628">
        <v>0.16846939999999999</v>
      </c>
      <c r="R2628">
        <v>-0.11793289999999999</v>
      </c>
      <c r="S2628">
        <v>3.0227360000000001</v>
      </c>
      <c r="T2628">
        <v>-0.24488270000000001</v>
      </c>
      <c r="U2628">
        <v>-0.70841980000000004</v>
      </c>
      <c r="V2628">
        <v>0.13192319999999999</v>
      </c>
      <c r="W2628">
        <v>0.1797282</v>
      </c>
      <c r="X2628">
        <v>0.97483030000000004</v>
      </c>
      <c r="Y2628">
        <v>0.2411874</v>
      </c>
      <c r="Z2628">
        <v>-1.201612E-2</v>
      </c>
      <c r="AA2628">
        <v>0.97040409999999999</v>
      </c>
      <c r="AB2628">
        <v>35</v>
      </c>
      <c r="AC2628">
        <v>13.4986</v>
      </c>
      <c r="AD2628">
        <v>-1.120699346256</v>
      </c>
      <c r="AE2628">
        <v>-3.2468999999999801</v>
      </c>
      <c r="AF2628">
        <v>3.4173464114867902</v>
      </c>
      <c r="AG2628">
        <v>-1.120699346256</v>
      </c>
      <c r="AH2628">
        <v>13.363708716903099</v>
      </c>
      <c r="AI2628">
        <v>94.644908591285997</v>
      </c>
      <c r="AJ2628">
        <v>75.655805810182599</v>
      </c>
      <c r="AK2628">
        <v>13.839181124294599</v>
      </c>
      <c r="AL2628">
        <v>79.646071739010296</v>
      </c>
      <c r="AM2628">
        <v>82.293017595456007</v>
      </c>
      <c r="AN2628">
        <v>1.0000000351857801</v>
      </c>
    </row>
    <row r="2629" spans="1:40" x14ac:dyDescent="0.25">
      <c r="A2629" t="str">
        <f>"20190303162559314"</f>
        <v>20190303162559314</v>
      </c>
      <c r="B2629" t="str">
        <f>"1551601559305949"</f>
        <v>1551601559305949</v>
      </c>
      <c r="C2629" t="s">
        <v>40</v>
      </c>
      <c r="D2629">
        <v>5.4263089999999998</v>
      </c>
      <c r="E2629">
        <v>0.54375079999999998</v>
      </c>
      <c r="F2629" t="s">
        <v>48</v>
      </c>
      <c r="G2629">
        <v>-349.67140000000001</v>
      </c>
      <c r="H2629" s="1">
        <v>3.609849E-6</v>
      </c>
      <c r="I2629">
        <v>211.6011</v>
      </c>
      <c r="J2629">
        <v>-362.87790000000001</v>
      </c>
      <c r="K2629">
        <v>1.120703</v>
      </c>
      <c r="L2629">
        <v>214.7723</v>
      </c>
      <c r="M2629">
        <v>0.99983100000000003</v>
      </c>
      <c r="N2629">
        <v>-1.154965E-2</v>
      </c>
      <c r="O2629">
        <v>1.430063E-2</v>
      </c>
      <c r="P2629">
        <v>0.97866739999999997</v>
      </c>
      <c r="Q2629">
        <v>0.16877919999999999</v>
      </c>
      <c r="R2629">
        <v>-0.11714810000000001</v>
      </c>
      <c r="S2629">
        <v>3.0234990000000002</v>
      </c>
      <c r="T2629">
        <v>-0.24949560000000001</v>
      </c>
      <c r="U2629">
        <v>-0.70478819999999998</v>
      </c>
      <c r="V2629">
        <v>0.1311396</v>
      </c>
      <c r="W2629">
        <v>0.18004619999999999</v>
      </c>
      <c r="X2629">
        <v>0.97487729999999995</v>
      </c>
      <c r="Y2629">
        <v>0.24000050000000001</v>
      </c>
      <c r="Z2629">
        <v>-1.2162589999999999E-2</v>
      </c>
      <c r="AA2629">
        <v>0.97069660000000002</v>
      </c>
      <c r="AB2629">
        <v>35</v>
      </c>
      <c r="AC2629">
        <v>13.2065</v>
      </c>
      <c r="AD2629">
        <v>-1.1206993901510001</v>
      </c>
      <c r="AE2629">
        <v>-3.17119999999999</v>
      </c>
      <c r="AF2629">
        <v>3.33702909974838</v>
      </c>
      <c r="AG2629">
        <v>-1.1206993901510001</v>
      </c>
      <c r="AH2629">
        <v>13.070802476667</v>
      </c>
      <c r="AI2629">
        <v>94.748996444939394</v>
      </c>
      <c r="AJ2629">
        <v>75.678090990603707</v>
      </c>
      <c r="AK2629">
        <v>13.5365286436256</v>
      </c>
      <c r="AL2629">
        <v>79.627549053733802</v>
      </c>
      <c r="AM2629">
        <v>82.338615300503406</v>
      </c>
      <c r="AN2629">
        <v>0.99999998943894397</v>
      </c>
    </row>
    <row r="2630" spans="1:40" x14ac:dyDescent="0.25">
      <c r="A2630" t="str">
        <f>"20190303162559338"</f>
        <v>20190303162559338</v>
      </c>
      <c r="B2630" t="str">
        <f>"1551601559326445"</f>
        <v>1551601559326445</v>
      </c>
      <c r="C2630" t="s">
        <v>40</v>
      </c>
      <c r="D2630">
        <v>5.46488</v>
      </c>
      <c r="E2630">
        <v>0.54327320000000001</v>
      </c>
      <c r="F2630" t="s">
        <v>48</v>
      </c>
      <c r="G2630">
        <v>-349.71069999999997</v>
      </c>
      <c r="H2630" s="1">
        <v>3.630752E-6</v>
      </c>
      <c r="I2630">
        <v>211.7364</v>
      </c>
      <c r="J2630">
        <v>-362.5206</v>
      </c>
      <c r="K2630">
        <v>1.120706</v>
      </c>
      <c r="L2630">
        <v>214.7774</v>
      </c>
      <c r="M2630">
        <v>0.99983100000000003</v>
      </c>
      <c r="N2630">
        <v>-1.155608E-2</v>
      </c>
      <c r="O2630">
        <v>1.430095E-2</v>
      </c>
      <c r="P2630">
        <v>0.97862459999999996</v>
      </c>
      <c r="Q2630">
        <v>0.1695797</v>
      </c>
      <c r="R2630">
        <v>-0.11634650000000001</v>
      </c>
      <c r="S2630">
        <v>3.0262760000000002</v>
      </c>
      <c r="T2630">
        <v>-0.25757479999999999</v>
      </c>
      <c r="U2630">
        <v>-0.69776919999999898</v>
      </c>
      <c r="V2630">
        <v>0.1303376</v>
      </c>
      <c r="W2630">
        <v>0.1808524</v>
      </c>
      <c r="X2630">
        <v>0.97483560000000002</v>
      </c>
      <c r="Y2630">
        <v>0.23761969999999999</v>
      </c>
      <c r="Z2630">
        <v>-1.239445E-2</v>
      </c>
      <c r="AA2630">
        <v>0.97127920000000001</v>
      </c>
      <c r="AB2630">
        <v>35</v>
      </c>
      <c r="AC2630">
        <v>12.809900000000001</v>
      </c>
      <c r="AD2630">
        <v>-1.120702369248</v>
      </c>
      <c r="AE2630">
        <v>-3.0409999999999902</v>
      </c>
      <c r="AF2630">
        <v>3.2007036863850402</v>
      </c>
      <c r="AG2630">
        <v>-1.120702369248</v>
      </c>
      <c r="AH2630">
        <v>12.673271363879399</v>
      </c>
      <c r="AI2630">
        <v>94.900457312728804</v>
      </c>
      <c r="AJ2630">
        <v>75.826036122046304</v>
      </c>
      <c r="AK2630">
        <v>13.1191571738051</v>
      </c>
      <c r="AL2630">
        <v>79.580585996545096</v>
      </c>
      <c r="AM2630">
        <v>82.384596010356702</v>
      </c>
      <c r="AN2630">
        <v>0.99999996379343903</v>
      </c>
    </row>
    <row r="2631" spans="1:40" x14ac:dyDescent="0.25">
      <c r="A2631" t="str">
        <f>"20190303162559381"</f>
        <v>20190303162559381</v>
      </c>
      <c r="B2631" t="str">
        <f>"1551601559376402"</f>
        <v>1551601559376402</v>
      </c>
      <c r="C2631" t="s">
        <v>40</v>
      </c>
      <c r="D2631">
        <v>5.4509740000000004</v>
      </c>
      <c r="E2631">
        <v>0.54244799999999904</v>
      </c>
      <c r="F2631" t="s">
        <v>48</v>
      </c>
      <c r="G2631">
        <v>-349.49880000000002</v>
      </c>
      <c r="H2631" s="1">
        <v>3.5179889999999999E-6</v>
      </c>
      <c r="I2631">
        <v>211.80199999999999</v>
      </c>
      <c r="J2631">
        <v>-361.8365</v>
      </c>
      <c r="K2631">
        <v>1.1207290000000001</v>
      </c>
      <c r="L2631">
        <v>214.78720000000001</v>
      </c>
      <c r="M2631">
        <v>0.99983089999999997</v>
      </c>
      <c r="N2631">
        <v>-1.1566450000000001E-2</v>
      </c>
      <c r="O2631">
        <v>1.430154E-2</v>
      </c>
      <c r="P2631">
        <v>0.97813269999999997</v>
      </c>
      <c r="Q2631">
        <v>0.1745739</v>
      </c>
      <c r="R2631">
        <v>-0.1130514</v>
      </c>
      <c r="S2631">
        <v>3.028381</v>
      </c>
      <c r="T2631">
        <v>-0.26063360000000002</v>
      </c>
      <c r="U2631">
        <v>-0.6919708</v>
      </c>
      <c r="V2631">
        <v>0.1270367</v>
      </c>
      <c r="W2631">
        <v>0.18585119999999999</v>
      </c>
      <c r="X2631">
        <v>0.97433110000000001</v>
      </c>
      <c r="Y2631">
        <v>0.23569190000000001</v>
      </c>
      <c r="Z2631">
        <v>-1.242909E-2</v>
      </c>
      <c r="AA2631">
        <v>0.97174839999999996</v>
      </c>
      <c r="AB2631">
        <v>35</v>
      </c>
      <c r="AC2631">
        <v>12.3376999999999</v>
      </c>
      <c r="AD2631">
        <v>-1.120725482011</v>
      </c>
      <c r="AE2631">
        <v>-2.9851999999999901</v>
      </c>
      <c r="AF2631">
        <v>3.1369021089569</v>
      </c>
      <c r="AG2631">
        <v>-1.120725482011</v>
      </c>
      <c r="AH2631">
        <v>12.198652567257399</v>
      </c>
      <c r="AI2631">
        <v>95.084676893953002</v>
      </c>
      <c r="AJ2631">
        <v>75.578761050946596</v>
      </c>
      <c r="AK2631">
        <v>12.6452878537368</v>
      </c>
      <c r="AL2631">
        <v>79.289237205842497</v>
      </c>
      <c r="AM2631">
        <v>82.571481112373704</v>
      </c>
      <c r="AN2631">
        <v>1.0000000420577599</v>
      </c>
    </row>
    <row r="2632" spans="1:40" x14ac:dyDescent="0.25">
      <c r="A2632" t="str">
        <f>"20190303162559402"</f>
        <v>20190303162559402</v>
      </c>
      <c r="B2632" t="str">
        <f>"1551601559395922"</f>
        <v>1551601559395922</v>
      </c>
      <c r="C2632" t="s">
        <v>40</v>
      </c>
      <c r="D2632">
        <v>5.4728779999999997</v>
      </c>
      <c r="E2632">
        <v>0.54223920000000003</v>
      </c>
      <c r="F2632" t="s">
        <v>48</v>
      </c>
      <c r="G2632">
        <v>-348.56279999999998</v>
      </c>
      <c r="H2632" s="1">
        <v>3.0199129999999998E-6</v>
      </c>
      <c r="I2632">
        <v>211.8314</v>
      </c>
      <c r="J2632">
        <v>-361.48649999999998</v>
      </c>
      <c r="K2632">
        <v>1.1207469999999999</v>
      </c>
      <c r="L2632">
        <v>214.79230000000001</v>
      </c>
      <c r="M2632">
        <v>0.99983080000000002</v>
      </c>
      <c r="N2632">
        <v>-1.157101E-2</v>
      </c>
      <c r="O2632">
        <v>1.4301879999999999E-2</v>
      </c>
      <c r="P2632">
        <v>0.97790250000000001</v>
      </c>
      <c r="Q2632">
        <v>0.17763289999999901</v>
      </c>
      <c r="R2632">
        <v>-0.1102433</v>
      </c>
      <c r="S2632">
        <v>3.034729</v>
      </c>
      <c r="T2632">
        <v>-0.2562276</v>
      </c>
      <c r="U2632">
        <v>-0.67578130000000003</v>
      </c>
      <c r="V2632">
        <v>0.1242259</v>
      </c>
      <c r="W2632">
        <v>0.1889122</v>
      </c>
      <c r="X2632">
        <v>0.97410479999999999</v>
      </c>
      <c r="Y2632">
        <v>0.23036799999999999</v>
      </c>
      <c r="Z2632">
        <v>-1.197075E-2</v>
      </c>
      <c r="AA2632">
        <v>0.97302999999999995</v>
      </c>
      <c r="AB2632">
        <v>35</v>
      </c>
      <c r="AC2632">
        <v>12.923699999999901</v>
      </c>
      <c r="AD2632">
        <v>-1.120743980087</v>
      </c>
      <c r="AE2632">
        <v>-2.9609000000000001</v>
      </c>
      <c r="AF2632">
        <v>3.12312698308653</v>
      </c>
      <c r="AG2632">
        <v>-1.120743980087</v>
      </c>
      <c r="AH2632">
        <v>12.7886498482757</v>
      </c>
      <c r="AI2632">
        <v>94.866082327938997</v>
      </c>
      <c r="AJ2632">
        <v>76.276361990854198</v>
      </c>
      <c r="AK2632">
        <v>13.2120987796484</v>
      </c>
      <c r="AL2632">
        <v>79.110692057071105</v>
      </c>
      <c r="AM2632">
        <v>82.7323977135446</v>
      </c>
      <c r="AN2632">
        <v>1.0000000274613401</v>
      </c>
    </row>
    <row r="2633" spans="1:40" x14ac:dyDescent="0.25">
      <c r="A2633" t="str">
        <f>"20190303162559426"</f>
        <v>20190303162559426</v>
      </c>
      <c r="B2633" t="str">
        <f>"1551601559416418"</f>
        <v>1551601559416418</v>
      </c>
      <c r="C2633" t="s">
        <v>40</v>
      </c>
      <c r="D2633">
        <v>5.4460129999999998</v>
      </c>
      <c r="E2633">
        <v>0.51106770000000001</v>
      </c>
      <c r="F2633" t="s">
        <v>48</v>
      </c>
      <c r="G2633">
        <v>-347.71609999999998</v>
      </c>
      <c r="H2633" s="1">
        <v>2.5693379999999999E-6</v>
      </c>
      <c r="I2633">
        <v>211.77879999999999</v>
      </c>
      <c r="J2633">
        <v>-361.1241</v>
      </c>
      <c r="K2633">
        <v>1.120752</v>
      </c>
      <c r="L2633">
        <v>214.79750000000001</v>
      </c>
      <c r="M2633">
        <v>0.99983069999999996</v>
      </c>
      <c r="N2633">
        <v>-1.157536E-2</v>
      </c>
      <c r="O2633">
        <v>1.430233E-2</v>
      </c>
      <c r="P2633">
        <v>0.97774510000000003</v>
      </c>
      <c r="Q2633">
        <v>0.18023980000000001</v>
      </c>
      <c r="R2633">
        <v>-0.107368699999999</v>
      </c>
      <c r="S2633">
        <v>3.03775</v>
      </c>
      <c r="T2633">
        <v>-0.2472367</v>
      </c>
      <c r="U2633">
        <v>-0.66477969999999997</v>
      </c>
      <c r="V2633">
        <v>0.12135</v>
      </c>
      <c r="W2633">
        <v>0.191522</v>
      </c>
      <c r="X2633">
        <v>0.97395770000000004</v>
      </c>
      <c r="Y2633">
        <v>0.2268753</v>
      </c>
      <c r="Z2633">
        <v>-1.1426499999999999E-2</v>
      </c>
      <c r="AA2633">
        <v>0.97385670000000002</v>
      </c>
      <c r="AB2633">
        <v>35</v>
      </c>
      <c r="AC2633">
        <v>13.407999999999999</v>
      </c>
      <c r="AD2633">
        <v>-1.1207494306620001</v>
      </c>
      <c r="AE2633">
        <v>-3.0187000000000199</v>
      </c>
      <c r="AF2633">
        <v>3.1889634069989499</v>
      </c>
      <c r="AG2633">
        <v>-1.1207494306620001</v>
      </c>
      <c r="AH2633">
        <v>13.275172524416201</v>
      </c>
      <c r="AI2633">
        <v>94.692841459374506</v>
      </c>
      <c r="AJ2633">
        <v>76.492342781489398</v>
      </c>
      <c r="AK2633">
        <v>13.6987507624061</v>
      </c>
      <c r="AL2633">
        <v>78.9583808460998</v>
      </c>
      <c r="AM2633">
        <v>82.897847622808399</v>
      </c>
      <c r="AN2633">
        <v>1.00000005018664</v>
      </c>
    </row>
    <row r="2634" spans="1:40" x14ac:dyDescent="0.25">
      <c r="A2634" t="str">
        <f>"20190303162559448"</f>
        <v>20190303162559448</v>
      </c>
      <c r="B2634" t="str">
        <f>"1551601559435938"</f>
        <v>1551601559435938</v>
      </c>
      <c r="C2634" t="s">
        <v>40</v>
      </c>
      <c r="D2634">
        <v>5.6259569999999997</v>
      </c>
      <c r="E2634">
        <v>0.50886949999999997</v>
      </c>
      <c r="F2634" t="s">
        <v>48</v>
      </c>
      <c r="G2634">
        <v>-337.17020000000002</v>
      </c>
      <c r="H2634" s="1">
        <v>2.4113449999999999E-6</v>
      </c>
      <c r="I2634">
        <v>211.58459999999999</v>
      </c>
      <c r="J2634">
        <v>-360.77769999999998</v>
      </c>
      <c r="K2634">
        <v>1.120746</v>
      </c>
      <c r="L2634">
        <v>214.80240000000001</v>
      </c>
      <c r="M2634">
        <v>0.99983080000000002</v>
      </c>
      <c r="N2634">
        <v>-1.1579280000000001E-2</v>
      </c>
      <c r="O2634">
        <v>1.4302479999999999E-2</v>
      </c>
      <c r="P2634">
        <v>0.97841849999999997</v>
      </c>
      <c r="Q2634">
        <v>0.1778052</v>
      </c>
      <c r="R2634">
        <v>-0.1052757</v>
      </c>
      <c r="S2634">
        <v>3.049652</v>
      </c>
      <c r="T2634">
        <v>-0.14268620000000001</v>
      </c>
      <c r="U2634">
        <v>-0.40904239999999997</v>
      </c>
      <c r="V2634">
        <v>0.11926680000000001</v>
      </c>
      <c r="W2634">
        <v>0.1890995</v>
      </c>
      <c r="X2634">
        <v>0.97468809999999995</v>
      </c>
      <c r="Y2634">
        <v>0.14689369999999999</v>
      </c>
      <c r="Z2634">
        <v>-4.7753020000000004E-3</v>
      </c>
      <c r="AA2634">
        <v>0.98914069999999998</v>
      </c>
      <c r="AB2634">
        <v>35</v>
      </c>
      <c r="AC2634">
        <v>23.607499999999899</v>
      </c>
      <c r="AD2634">
        <v>-1.1207435886549999</v>
      </c>
      <c r="AE2634">
        <v>-3.2178000000000102</v>
      </c>
      <c r="AF2634">
        <v>3.5472902051153898</v>
      </c>
      <c r="AG2634">
        <v>-1.1207435886549999</v>
      </c>
      <c r="AH2634">
        <v>23.507045883751701</v>
      </c>
      <c r="AI2634">
        <v>92.699106623478002</v>
      </c>
      <c r="AJ2634">
        <v>81.418626112029003</v>
      </c>
      <c r="AK2634">
        <v>23.799591176564899</v>
      </c>
      <c r="AL2634">
        <v>79.099763736206299</v>
      </c>
      <c r="AM2634">
        <v>83.023735904791806</v>
      </c>
      <c r="AN2634">
        <v>1.00000004138204</v>
      </c>
    </row>
    <row r="2635" spans="1:40" x14ac:dyDescent="0.25">
      <c r="A2635" t="str">
        <f>"20190303162559493"</f>
        <v>20190303162559493</v>
      </c>
      <c r="B2635" t="str">
        <f>"1551601559485715"</f>
        <v>1551601559485715</v>
      </c>
      <c r="C2635" t="s">
        <v>40</v>
      </c>
      <c r="D2635">
        <v>5.343934</v>
      </c>
      <c r="E2635">
        <v>0.50827489999999997</v>
      </c>
      <c r="F2635" t="s">
        <v>48</v>
      </c>
      <c r="G2635">
        <v>-334.27100000000002</v>
      </c>
      <c r="H2635" s="1">
        <v>8.7418789999999997E-7</v>
      </c>
      <c r="I2635">
        <v>211.4556</v>
      </c>
      <c r="J2635">
        <v>-360.05610000000001</v>
      </c>
      <c r="K2635">
        <v>1.120762</v>
      </c>
      <c r="L2635">
        <v>214.81280000000001</v>
      </c>
      <c r="M2635">
        <v>0.99983060000000001</v>
      </c>
      <c r="N2635">
        <v>-1.158877E-2</v>
      </c>
      <c r="O2635">
        <v>1.4303079999999999E-2</v>
      </c>
      <c r="P2635">
        <v>0.97856620000000005</v>
      </c>
      <c r="Q2635">
        <v>0.1785418</v>
      </c>
      <c r="R2635">
        <v>-0.1026215</v>
      </c>
      <c r="S2635">
        <v>3.048187</v>
      </c>
      <c r="T2635">
        <v>-0.12888230000000001</v>
      </c>
      <c r="U2635">
        <v>-0.3848724</v>
      </c>
      <c r="V2635">
        <v>0.11661580000000001</v>
      </c>
      <c r="W2635">
        <v>0.18984760000000001</v>
      </c>
      <c r="X2635">
        <v>0.97486340000000005</v>
      </c>
      <c r="Y2635">
        <v>0.1392835</v>
      </c>
      <c r="Z2635">
        <v>-4.1795629999999999E-3</v>
      </c>
      <c r="AA2635">
        <v>0.99024369999999995</v>
      </c>
      <c r="AB2635">
        <v>35</v>
      </c>
      <c r="AC2635">
        <v>25.7851</v>
      </c>
      <c r="AD2635">
        <v>-1.1207611258121</v>
      </c>
      <c r="AE2635">
        <v>-3.3572000000000002</v>
      </c>
      <c r="AF2635">
        <v>3.7187790529362301</v>
      </c>
      <c r="AG2635">
        <v>-1.1207611258121</v>
      </c>
      <c r="AH2635">
        <v>25.6867208593481</v>
      </c>
      <c r="AI2635">
        <v>92.4725952030863</v>
      </c>
      <c r="AJ2635">
        <v>81.762274129014799</v>
      </c>
      <c r="AK2635">
        <v>25.978703810077899</v>
      </c>
      <c r="AL2635">
        <v>79.056109580608805</v>
      </c>
      <c r="AM2635">
        <v>83.178537898095598</v>
      </c>
      <c r="AN2635">
        <v>1.00000000234748</v>
      </c>
    </row>
    <row r="2636" spans="1:40" x14ac:dyDescent="0.25">
      <c r="A2636" t="str">
        <f>"20190303162559541"</f>
        <v>20190303162559541</v>
      </c>
      <c r="B2636" t="str">
        <f>"1551601559525730"</f>
        <v>1551601559525730</v>
      </c>
      <c r="C2636" t="s">
        <v>40</v>
      </c>
      <c r="D2636">
        <v>5.3331289999999996</v>
      </c>
      <c r="E2636">
        <v>0.5088627</v>
      </c>
      <c r="F2636" t="s">
        <v>48</v>
      </c>
      <c r="G2636">
        <v>-332.38720000000001</v>
      </c>
      <c r="H2636" s="1">
        <v>-1.2655980000000001E-7</v>
      </c>
      <c r="I2636">
        <v>211.4161</v>
      </c>
      <c r="J2636">
        <v>-359.33479999999997</v>
      </c>
      <c r="K2636">
        <v>1.1208039999999999</v>
      </c>
      <c r="L2636">
        <v>214.82310000000001</v>
      </c>
      <c r="M2636">
        <v>0.99982979999999999</v>
      </c>
      <c r="N2636">
        <v>-1.164771E-2</v>
      </c>
      <c r="O2636">
        <v>1.43041E-2</v>
      </c>
      <c r="P2636">
        <v>0.97765100000000005</v>
      </c>
      <c r="Q2636">
        <v>0.18419579999999999</v>
      </c>
      <c r="R2636">
        <v>-0.1013435</v>
      </c>
      <c r="S2636">
        <v>3.0489809999999999</v>
      </c>
      <c r="T2636">
        <v>-0.12350270000000001</v>
      </c>
      <c r="U2636">
        <v>-0.37429810000000002</v>
      </c>
      <c r="V2636">
        <v>0.115326</v>
      </c>
      <c r="W2636">
        <v>0.19554849999999999</v>
      </c>
      <c r="X2636">
        <v>0.97388949999999996</v>
      </c>
      <c r="Y2636">
        <v>0.13588539999999999</v>
      </c>
      <c r="Z2636">
        <v>-3.9466800000000002E-3</v>
      </c>
      <c r="AA2636">
        <v>0.99071670000000001</v>
      </c>
      <c r="AB2636">
        <v>35</v>
      </c>
      <c r="AC2636">
        <v>26.947599999999898</v>
      </c>
      <c r="AD2636">
        <v>-1.1208041265598001</v>
      </c>
      <c r="AE2636">
        <v>-3.4070000000000098</v>
      </c>
      <c r="AF2636">
        <v>3.7856929103129202</v>
      </c>
      <c r="AG2636">
        <v>-1.1208041265598001</v>
      </c>
      <c r="AH2636">
        <v>26.850387750416299</v>
      </c>
      <c r="AI2636">
        <v>92.366902508993704</v>
      </c>
      <c r="AJ2636">
        <v>81.974646038484394</v>
      </c>
      <c r="AK2636">
        <v>27.139104536609398</v>
      </c>
      <c r="AL2636">
        <v>78.723233134741903</v>
      </c>
      <c r="AM2636">
        <v>83.246601164494194</v>
      </c>
      <c r="AN2636">
        <v>1.00000003016924</v>
      </c>
    </row>
    <row r="2637" spans="1:40" x14ac:dyDescent="0.25">
      <c r="A2637" t="str">
        <f>"20190303162559584"</f>
        <v>20190303162559584</v>
      </c>
      <c r="B2637" t="str">
        <f>"1551601559575507"</f>
        <v>1551601559575507</v>
      </c>
      <c r="C2637" t="s">
        <v>40</v>
      </c>
      <c r="D2637">
        <v>5.2908489999999997</v>
      </c>
      <c r="E2637">
        <v>0.50928390000000001</v>
      </c>
      <c r="F2637" t="s">
        <v>48</v>
      </c>
      <c r="G2637">
        <v>-327.23590000000002</v>
      </c>
      <c r="H2637" s="1">
        <v>2.3137949999999998E-6</v>
      </c>
      <c r="I2637">
        <v>210.86799999999999</v>
      </c>
      <c r="J2637">
        <v>-358.63139999999999</v>
      </c>
      <c r="K2637">
        <v>1.120806</v>
      </c>
      <c r="L2637">
        <v>214.83320000000001</v>
      </c>
      <c r="M2637">
        <v>0.99982850000000001</v>
      </c>
      <c r="N2637">
        <v>-1.176809E-2</v>
      </c>
      <c r="O2637">
        <v>1.4304519999999999E-2</v>
      </c>
      <c r="P2637">
        <v>0.97902769999999995</v>
      </c>
      <c r="Q2637">
        <v>0.177508</v>
      </c>
      <c r="R2637">
        <v>-9.9978070000000002E-2</v>
      </c>
      <c r="S2637">
        <v>3.049652</v>
      </c>
      <c r="T2637">
        <v>-0.106485</v>
      </c>
      <c r="U2637">
        <v>-0.37576290000000001</v>
      </c>
      <c r="V2637">
        <v>0.1139807</v>
      </c>
      <c r="W2637">
        <v>0.18899460000000001</v>
      </c>
      <c r="X2637">
        <v>0.97534069999999995</v>
      </c>
      <c r="Y2637">
        <v>0.13636219999999999</v>
      </c>
      <c r="Z2637">
        <v>-3.5066339999999998E-3</v>
      </c>
      <c r="AA2637">
        <v>0.99065289999999995</v>
      </c>
      <c r="AB2637">
        <v>35</v>
      </c>
      <c r="AC2637">
        <v>31.395499999999899</v>
      </c>
      <c r="AD2637">
        <v>-1.1208036862049999</v>
      </c>
      <c r="AE2637">
        <v>-3.9651999999999998</v>
      </c>
      <c r="AF2637">
        <v>4.4083927887890599</v>
      </c>
      <c r="AG2637">
        <v>-1.1208036862049999</v>
      </c>
      <c r="AH2637">
        <v>31.2963036493361</v>
      </c>
      <c r="AI2637">
        <v>92.031004286588697</v>
      </c>
      <c r="AJ2637">
        <v>81.982076320870803</v>
      </c>
      <c r="AK2637">
        <v>31.625128458153501</v>
      </c>
      <c r="AL2637">
        <v>79.105884194953106</v>
      </c>
      <c r="AM2637">
        <v>83.334508497420302</v>
      </c>
      <c r="AN2637">
        <v>1.00000001993906</v>
      </c>
    </row>
    <row r="2638" spans="1:40" x14ac:dyDescent="0.25">
      <c r="A2638" t="str">
        <f>"20190303162559628"</f>
        <v>20190303162559628</v>
      </c>
      <c r="B2638" t="str">
        <f>"1551601559615523"</f>
        <v>1551601559615523</v>
      </c>
      <c r="C2638" t="s">
        <v>40</v>
      </c>
      <c r="D2638">
        <v>5.2876669999999999</v>
      </c>
      <c r="E2638">
        <v>0.51041020000000004</v>
      </c>
      <c r="F2638" t="s">
        <v>48</v>
      </c>
      <c r="G2638">
        <v>-331.8417</v>
      </c>
      <c r="H2638" s="1">
        <v>-4.2243470000000001E-7</v>
      </c>
      <c r="I2638">
        <v>211.5444</v>
      </c>
      <c r="J2638">
        <v>-357.93430000000001</v>
      </c>
      <c r="K2638">
        <v>1.1208769999999999</v>
      </c>
      <c r="L2638">
        <v>214.8432</v>
      </c>
      <c r="M2638">
        <v>0.99982530000000003</v>
      </c>
      <c r="N2638">
        <v>-1.204323E-2</v>
      </c>
      <c r="O2638">
        <v>1.430387E-2</v>
      </c>
      <c r="P2638">
        <v>0.97853429999999997</v>
      </c>
      <c r="Q2638">
        <v>0.18027399999999999</v>
      </c>
      <c r="R2638">
        <v>-9.9860039999999997E-2</v>
      </c>
      <c r="S2638">
        <v>3.0491329999999999</v>
      </c>
      <c r="T2638">
        <v>-0.1275674</v>
      </c>
      <c r="U2638">
        <v>-0.37431340000000002</v>
      </c>
      <c r="V2638">
        <v>0.113855</v>
      </c>
      <c r="W2638">
        <v>0.19202269999999999</v>
      </c>
      <c r="X2638">
        <v>0.97476379999999996</v>
      </c>
      <c r="Y2638">
        <v>0.1358742</v>
      </c>
      <c r="Z2638">
        <v>-4.07669E-3</v>
      </c>
      <c r="AA2638">
        <v>0.99071770000000003</v>
      </c>
      <c r="AB2638">
        <v>35</v>
      </c>
      <c r="AC2638">
        <v>26.092600000000001</v>
      </c>
      <c r="AD2638">
        <v>-1.1208774224347</v>
      </c>
      <c r="AE2638">
        <v>-3.2988</v>
      </c>
      <c r="AF2638">
        <v>3.6650576877007799</v>
      </c>
      <c r="AG2638">
        <v>-1.1208774224347</v>
      </c>
      <c r="AH2638">
        <v>25.995524717520599</v>
      </c>
      <c r="AI2638">
        <v>92.444806241304505</v>
      </c>
      <c r="AJ2638">
        <v>81.974875714324398</v>
      </c>
      <c r="AK2638">
        <v>26.2765355286713</v>
      </c>
      <c r="AL2638">
        <v>78.929150560572594</v>
      </c>
      <c r="AM2638">
        <v>83.337888135048999</v>
      </c>
      <c r="AN2638">
        <v>1.0000000720653599</v>
      </c>
    </row>
    <row r="2639" spans="1:40" x14ac:dyDescent="0.25">
      <c r="A2639" t="str">
        <f>"20190303162559671"</f>
        <v>20190303162559671</v>
      </c>
      <c r="B2639" t="str">
        <f>"1551601559655539"</f>
        <v>1551601559655539</v>
      </c>
      <c r="C2639" t="s">
        <v>40</v>
      </c>
      <c r="D2639">
        <v>5.2857960000000004</v>
      </c>
      <c r="E2639">
        <v>0.51197539999999997</v>
      </c>
      <c r="F2639" t="s">
        <v>48</v>
      </c>
      <c r="G2639">
        <v>-329.95929999999998</v>
      </c>
      <c r="H2639" s="1">
        <v>-1.4143200000000001E-6</v>
      </c>
      <c r="I2639">
        <v>211.31899999999999</v>
      </c>
      <c r="J2639">
        <v>-357.25959999999998</v>
      </c>
      <c r="K2639">
        <v>1.120919</v>
      </c>
      <c r="L2639">
        <v>214.8528</v>
      </c>
      <c r="M2639">
        <v>0.99982000000000004</v>
      </c>
      <c r="N2639">
        <v>-1.246982E-2</v>
      </c>
      <c r="O2639">
        <v>1.430388E-2</v>
      </c>
      <c r="P2639">
        <v>0.97950119999999896</v>
      </c>
      <c r="Q2639">
        <v>0.17403099999999999</v>
      </c>
      <c r="R2639">
        <v>-0.10144350000000001</v>
      </c>
      <c r="S2639">
        <v>3.0491329999999999</v>
      </c>
      <c r="T2639">
        <v>-0.12217</v>
      </c>
      <c r="U2639">
        <v>-0.38410949999999999</v>
      </c>
      <c r="V2639">
        <v>0.1154521</v>
      </c>
      <c r="W2639">
        <v>0.18620819999999999</v>
      </c>
      <c r="X2639">
        <v>0.97570349999999995</v>
      </c>
      <c r="Y2639">
        <v>0.13901569999999999</v>
      </c>
      <c r="Z2639">
        <v>-4.0367240000000002E-3</v>
      </c>
      <c r="AA2639">
        <v>0.99028190000000005</v>
      </c>
      <c r="AB2639">
        <v>35</v>
      </c>
      <c r="AC2639">
        <v>27.3003</v>
      </c>
      <c r="AD2639">
        <v>-1.12092041432</v>
      </c>
      <c r="AE2639">
        <v>-3.5337999999999798</v>
      </c>
      <c r="AF2639">
        <v>3.9174735923108801</v>
      </c>
      <c r="AG2639">
        <v>-1.12092041432</v>
      </c>
      <c r="AH2639">
        <v>27.201853504647499</v>
      </c>
      <c r="AI2639">
        <v>92.335611638528306</v>
      </c>
      <c r="AJ2639">
        <v>81.804897455153295</v>
      </c>
      <c r="AK2639">
        <v>27.505343044761201</v>
      </c>
      <c r="AL2639">
        <v>79.268418766062496</v>
      </c>
      <c r="AM2639">
        <v>83.251738465830599</v>
      </c>
      <c r="AN2639">
        <v>1.00000000052694</v>
      </c>
    </row>
    <row r="2640" spans="1:40" x14ac:dyDescent="0.25">
      <c r="A2640" t="str">
        <f>"20190303162559694"</f>
        <v>20190303162559694</v>
      </c>
      <c r="B2640" t="str">
        <f>"1551601559685794"</f>
        <v>1551601559685794</v>
      </c>
      <c r="C2640" t="s">
        <v>40</v>
      </c>
      <c r="D2640">
        <v>5.2595519999999896</v>
      </c>
      <c r="E2640">
        <v>0.51272079999999998</v>
      </c>
      <c r="F2640" t="s">
        <v>48</v>
      </c>
      <c r="G2640">
        <v>-334.49130000000002</v>
      </c>
      <c r="H2640" s="1">
        <v>9.7369630000000002E-7</v>
      </c>
      <c r="I2640">
        <v>211.86089999999999</v>
      </c>
      <c r="J2640">
        <v>-356.8974</v>
      </c>
      <c r="K2640">
        <v>1.12094</v>
      </c>
      <c r="L2640">
        <v>214.858</v>
      </c>
      <c r="M2640">
        <v>0.99981699999999996</v>
      </c>
      <c r="N2640">
        <v>-1.27089E-2</v>
      </c>
      <c r="O2640">
        <v>1.4304020000000001E-2</v>
      </c>
      <c r="P2640">
        <v>0.97987139999999995</v>
      </c>
      <c r="Q2640">
        <v>0.1714618</v>
      </c>
      <c r="R2640">
        <v>-0.1022406</v>
      </c>
      <c r="S2640">
        <v>3.0479430000000001</v>
      </c>
      <c r="T2640">
        <v>-0.15005460000000001</v>
      </c>
      <c r="U2640">
        <v>-0.4005127</v>
      </c>
      <c r="V2640">
        <v>0.1162547</v>
      </c>
      <c r="W2640">
        <v>0.1838765</v>
      </c>
      <c r="X2640">
        <v>0.97605039999999998</v>
      </c>
      <c r="Y2640">
        <v>0.144228</v>
      </c>
      <c r="Z2640">
        <v>-4.9741270000000001E-3</v>
      </c>
      <c r="AA2640">
        <v>0.98953199999999997</v>
      </c>
      <c r="AB2640">
        <v>35</v>
      </c>
      <c r="AC2640">
        <v>22.406099999999899</v>
      </c>
      <c r="AD2640">
        <v>-1.1209390263037</v>
      </c>
      <c r="AE2640">
        <v>-2.9971000000000099</v>
      </c>
      <c r="AF2640">
        <v>3.3091797576695701</v>
      </c>
      <c r="AG2640">
        <v>-1.1209390263037</v>
      </c>
      <c r="AH2640">
        <v>22.306086269673798</v>
      </c>
      <c r="AI2640">
        <v>92.845749247346404</v>
      </c>
      <c r="AJ2640">
        <v>81.561533827149205</v>
      </c>
      <c r="AK2640">
        <v>22.578057038624699</v>
      </c>
      <c r="AL2640">
        <v>79.404363614864295</v>
      </c>
      <c r="AM2640">
        <v>83.207655376643999</v>
      </c>
      <c r="AN2640">
        <v>1.0000000529322399</v>
      </c>
    </row>
    <row r="2641" spans="1:40" x14ac:dyDescent="0.25">
      <c r="A2641" t="str">
        <f>"20190303162559718"</f>
        <v>20190303162559718</v>
      </c>
      <c r="B2641" t="str">
        <f>"1551601559706292"</f>
        <v>1551601559706292</v>
      </c>
      <c r="C2641" t="s">
        <v>40</v>
      </c>
      <c r="D2641">
        <v>5.2685879999999896</v>
      </c>
      <c r="E2641">
        <v>0.51345459999999998</v>
      </c>
      <c r="F2641" t="s">
        <v>48</v>
      </c>
      <c r="G2641">
        <v>-335.86259999999999</v>
      </c>
      <c r="H2641" s="1">
        <v>1.6954549999999999E-6</v>
      </c>
      <c r="I2641">
        <v>212.0437</v>
      </c>
      <c r="J2641">
        <v>-356.51549999999997</v>
      </c>
      <c r="K2641">
        <v>1.1209750000000001</v>
      </c>
      <c r="L2641">
        <v>214.86340000000001</v>
      </c>
      <c r="M2641">
        <v>0.99981390000000003</v>
      </c>
      <c r="N2641">
        <v>-1.2947E-2</v>
      </c>
      <c r="O2641">
        <v>1.4304310000000001E-2</v>
      </c>
      <c r="P2641">
        <v>0.97950199999999998</v>
      </c>
      <c r="Q2641">
        <v>0.173350799999999</v>
      </c>
      <c r="R2641">
        <v>-0.1025925</v>
      </c>
      <c r="S2641">
        <v>3.0474549999999998</v>
      </c>
      <c r="T2641">
        <v>-0.1623983</v>
      </c>
      <c r="U2641">
        <v>-0.40773009999999998</v>
      </c>
      <c r="V2641">
        <v>0.1166016</v>
      </c>
      <c r="W2641">
        <v>0.18599270000000001</v>
      </c>
      <c r="X2641">
        <v>0.97560789999999997</v>
      </c>
      <c r="Y2641">
        <v>0.14651140000000001</v>
      </c>
      <c r="Z2641">
        <v>-5.4115389999999999E-3</v>
      </c>
      <c r="AA2641">
        <v>0.98919420000000002</v>
      </c>
      <c r="AB2641">
        <v>35</v>
      </c>
      <c r="AC2641">
        <v>20.652899999999899</v>
      </c>
      <c r="AD2641">
        <v>-1.1209733045450001</v>
      </c>
      <c r="AE2641">
        <v>-2.8197000000000099</v>
      </c>
      <c r="AF2641">
        <v>3.1058793005097201</v>
      </c>
      <c r="AG2641">
        <v>-1.1209733045450001</v>
      </c>
      <c r="AH2641">
        <v>20.551014535025999</v>
      </c>
      <c r="AI2641">
        <v>93.087167171395194</v>
      </c>
      <c r="AJ2641">
        <v>81.405913174975495</v>
      </c>
      <c r="AK2641">
        <v>20.8145926166641</v>
      </c>
      <c r="AL2641">
        <v>79.280985490542804</v>
      </c>
      <c r="AM2641">
        <v>83.184516650555196</v>
      </c>
      <c r="AN2641">
        <v>0.99999999605912904</v>
      </c>
    </row>
    <row r="2642" spans="1:40" x14ac:dyDescent="0.25">
      <c r="A2642" t="str">
        <f>"20190303162559762"</f>
        <v>20190303162559762</v>
      </c>
      <c r="B2642" t="str">
        <f>"1551601559756066"</f>
        <v>1551601559756066</v>
      </c>
      <c r="C2642" t="s">
        <v>40</v>
      </c>
      <c r="D2642">
        <v>5.2466860000000004</v>
      </c>
      <c r="E2642">
        <v>0.51386790000000004</v>
      </c>
      <c r="F2642" t="s">
        <v>48</v>
      </c>
      <c r="G2642">
        <v>-334.9332</v>
      </c>
      <c r="H2642" s="1">
        <v>1.205926E-6</v>
      </c>
      <c r="I2642">
        <v>211.9281</v>
      </c>
      <c r="J2642">
        <v>-355.8272</v>
      </c>
      <c r="K2642">
        <v>1.12103</v>
      </c>
      <c r="L2642">
        <v>214.8733</v>
      </c>
      <c r="M2642">
        <v>0.99980899999999995</v>
      </c>
      <c r="N2642">
        <v>-1.3321039999999999E-2</v>
      </c>
      <c r="O2642">
        <v>1.4304320000000001E-2</v>
      </c>
      <c r="P2642">
        <v>0.97916749999999997</v>
      </c>
      <c r="Q2642">
        <v>0.17456969999999999</v>
      </c>
      <c r="R2642">
        <v>-0.103713899999999</v>
      </c>
      <c r="S2642">
        <v>3.0473629999999998</v>
      </c>
      <c r="T2642">
        <v>-0.15827859999999999</v>
      </c>
      <c r="U2642">
        <v>-0.41445920000000003</v>
      </c>
      <c r="V2642">
        <v>0.1177182</v>
      </c>
      <c r="W2642">
        <v>0.1875723</v>
      </c>
      <c r="X2642">
        <v>0.97517129999999996</v>
      </c>
      <c r="Y2642">
        <v>0.14866779999999999</v>
      </c>
      <c r="Z2642">
        <v>-5.3859110000000002E-3</v>
      </c>
      <c r="AA2642">
        <v>0.98887250000000004</v>
      </c>
      <c r="AB2642">
        <v>35</v>
      </c>
      <c r="AC2642">
        <v>20.893999999999998</v>
      </c>
      <c r="AD2642">
        <v>-1.121028794074</v>
      </c>
      <c r="AE2642">
        <v>-2.9451999999999998</v>
      </c>
      <c r="AF2642">
        <v>3.2346694825760198</v>
      </c>
      <c r="AG2642">
        <v>-1.121028794074</v>
      </c>
      <c r="AH2642">
        <v>20.7910447741409</v>
      </c>
      <c r="AI2642">
        <v>93.049714611868794</v>
      </c>
      <c r="AJ2642">
        <v>81.156821370223994</v>
      </c>
      <c r="AK2642">
        <v>21.0710069768624</v>
      </c>
      <c r="AL2642">
        <v>79.188859852070294</v>
      </c>
      <c r="AM2642">
        <v>83.116822107601195</v>
      </c>
      <c r="AN2642">
        <v>1.0000000033411001</v>
      </c>
    </row>
    <row r="2643" spans="1:40" x14ac:dyDescent="0.25">
      <c r="A2643" t="str">
        <f>"20190303162559784"</f>
        <v>20190303162559784</v>
      </c>
      <c r="B2643" t="str">
        <f>"1551601559775586"</f>
        <v>1551601559775586</v>
      </c>
      <c r="C2643" t="s">
        <v>40</v>
      </c>
      <c r="D2643">
        <v>5.2630600000000003</v>
      </c>
      <c r="E2643">
        <v>0.51428699999999905</v>
      </c>
      <c r="F2643" t="s">
        <v>48</v>
      </c>
      <c r="G2643">
        <v>-333.24180000000001</v>
      </c>
      <c r="H2643" s="1">
        <v>3.1364139999999999E-7</v>
      </c>
      <c r="I2643">
        <v>211.74979999999999</v>
      </c>
      <c r="J2643">
        <v>-355.47559999999999</v>
      </c>
      <c r="K2643">
        <v>1.121022</v>
      </c>
      <c r="L2643">
        <v>214.8783</v>
      </c>
      <c r="M2643">
        <v>0.9998068</v>
      </c>
      <c r="N2643">
        <v>-1.34845E-2</v>
      </c>
      <c r="O2643">
        <v>1.430476E-2</v>
      </c>
      <c r="P2643">
        <v>0.97995569999999999</v>
      </c>
      <c r="Q2643">
        <v>0.16936979999999999</v>
      </c>
      <c r="R2643">
        <v>-0.1048856</v>
      </c>
      <c r="S2643">
        <v>3.046173</v>
      </c>
      <c r="T2643">
        <v>-0.15119739999999901</v>
      </c>
      <c r="U2643">
        <v>-0.42127989999999998</v>
      </c>
      <c r="V2643">
        <v>0.1189012</v>
      </c>
      <c r="W2643">
        <v>0.18254239999999999</v>
      </c>
      <c r="X2643">
        <v>0.97598200000000002</v>
      </c>
      <c r="Y2643">
        <v>0.1509094</v>
      </c>
      <c r="Z2643">
        <v>-5.2628550000000003E-3</v>
      </c>
      <c r="AA2643">
        <v>0.98853360000000001</v>
      </c>
      <c r="AB2643">
        <v>35</v>
      </c>
      <c r="AC2643">
        <v>22.233799999999899</v>
      </c>
      <c r="AD2643">
        <v>-1.1210216863586</v>
      </c>
      <c r="AE2643">
        <v>-3.1284999999999998</v>
      </c>
      <c r="AF2643">
        <v>3.4376884743888501</v>
      </c>
      <c r="AG2643">
        <v>-1.1210216863586</v>
      </c>
      <c r="AH2643">
        <v>22.131598682840501</v>
      </c>
      <c r="AI2643">
        <v>92.865395843142807</v>
      </c>
      <c r="AJ2643">
        <v>81.170836155414307</v>
      </c>
      <c r="AK2643">
        <v>22.4250318155079</v>
      </c>
      <c r="AL2643">
        <v>79.482117897066004</v>
      </c>
      <c r="AM2643">
        <v>83.054041658282401</v>
      </c>
      <c r="AN2643">
        <v>1.0000000437415899</v>
      </c>
    </row>
    <row r="2644" spans="1:40" x14ac:dyDescent="0.25">
      <c r="A2644" t="str">
        <f>"20190303162559805"</f>
        <v>20190303162559805</v>
      </c>
      <c r="B2644" t="str">
        <f>"1551601559796083"</f>
        <v>1551601559796083</v>
      </c>
      <c r="C2644" t="s">
        <v>40</v>
      </c>
      <c r="D2644">
        <v>5.2882809999999996</v>
      </c>
      <c r="E2644">
        <v>0.51463130000000001</v>
      </c>
      <c r="F2644" t="s">
        <v>48</v>
      </c>
      <c r="G2644">
        <v>-334.92790000000002</v>
      </c>
      <c r="H2644" s="1">
        <v>1.2004219999999999E-6</v>
      </c>
      <c r="I2644">
        <v>211.98869999999999</v>
      </c>
      <c r="J2644">
        <v>-355.14830000000001</v>
      </c>
      <c r="K2644">
        <v>1.121022</v>
      </c>
      <c r="L2644">
        <v>214.88300000000001</v>
      </c>
      <c r="M2644">
        <v>0.9998049</v>
      </c>
      <c r="N2644">
        <v>-1.3620419999999999E-2</v>
      </c>
      <c r="O2644">
        <v>1.430495E-2</v>
      </c>
      <c r="P2644">
        <v>0.98037430000000003</v>
      </c>
      <c r="Q2644">
        <v>0.16671989999999901</v>
      </c>
      <c r="R2644">
        <v>-0.1052177</v>
      </c>
      <c r="S2644">
        <v>3.0442200000000001</v>
      </c>
      <c r="T2644">
        <v>-0.16608310000000001</v>
      </c>
      <c r="U2644">
        <v>-0.42811579999999999</v>
      </c>
      <c r="V2644">
        <v>0.1192394</v>
      </c>
      <c r="W2644">
        <v>0.1800312</v>
      </c>
      <c r="X2644">
        <v>0.97640709999999997</v>
      </c>
      <c r="Y2644">
        <v>0.1531227</v>
      </c>
      <c r="Z2644">
        <v>-5.7848329999999996E-3</v>
      </c>
      <c r="AA2644">
        <v>0.98819020000000002</v>
      </c>
      <c r="AB2644">
        <v>35</v>
      </c>
      <c r="AC2644">
        <v>20.220399999999898</v>
      </c>
      <c r="AD2644">
        <v>-1.1210207995779999</v>
      </c>
      <c r="AE2644">
        <v>-2.8942999999999799</v>
      </c>
      <c r="AF2644">
        <v>3.1737235232452599</v>
      </c>
      <c r="AG2644">
        <v>-1.1210207995779999</v>
      </c>
      <c r="AH2644">
        <v>20.116335699757801</v>
      </c>
      <c r="AI2644">
        <v>93.150725298533402</v>
      </c>
      <c r="AJ2644">
        <v>81.034432054092306</v>
      </c>
      <c r="AK2644">
        <v>20.395984178765101</v>
      </c>
      <c r="AL2644">
        <v>79.628423362630798</v>
      </c>
      <c r="AM2644">
        <v>83.037481363158093</v>
      </c>
      <c r="AN2644">
        <v>1.0000000462081</v>
      </c>
    </row>
    <row r="2645" spans="1:40" x14ac:dyDescent="0.25">
      <c r="A2645" t="str">
        <f>"20190303162559849"</f>
        <v>20190303162559849</v>
      </c>
      <c r="B2645" t="str">
        <f>"1551601559836098"</f>
        <v>1551601559836098</v>
      </c>
      <c r="C2645" t="s">
        <v>40</v>
      </c>
      <c r="D2645">
        <v>5.2744499999999999</v>
      </c>
      <c r="E2645">
        <v>0.51526949999999905</v>
      </c>
      <c r="F2645" t="s">
        <v>48</v>
      </c>
      <c r="G2645">
        <v>-335.38729999999998</v>
      </c>
      <c r="H2645" s="1">
        <v>1.4413249999999999E-6</v>
      </c>
      <c r="I2645">
        <v>212.07069999999999</v>
      </c>
      <c r="J2645">
        <v>-354.471</v>
      </c>
      <c r="K2645">
        <v>1.121062</v>
      </c>
      <c r="L2645">
        <v>214.89269999999999</v>
      </c>
      <c r="M2645">
        <v>0.99980170000000002</v>
      </c>
      <c r="N2645">
        <v>-1.385545E-2</v>
      </c>
      <c r="O2645">
        <v>1.4305160000000001E-2</v>
      </c>
      <c r="P2645">
        <v>0.97974760000000005</v>
      </c>
      <c r="Q2645">
        <v>0.17075969999999999</v>
      </c>
      <c r="R2645">
        <v>-0.1045748</v>
      </c>
      <c r="S2645">
        <v>3.0429379999999999</v>
      </c>
      <c r="T2645">
        <v>-0.1726221</v>
      </c>
      <c r="U2645">
        <v>-0.43305969999999999</v>
      </c>
      <c r="V2645">
        <v>0.1185879</v>
      </c>
      <c r="W2645">
        <v>0.1842917</v>
      </c>
      <c r="X2645">
        <v>0.97569130000000004</v>
      </c>
      <c r="Y2645">
        <v>0.15472849999999999</v>
      </c>
      <c r="Z2645">
        <v>-6.0516519999999898E-3</v>
      </c>
      <c r="AA2645">
        <v>0.98793850000000005</v>
      </c>
      <c r="AB2645">
        <v>35</v>
      </c>
      <c r="AC2645">
        <v>19.0837</v>
      </c>
      <c r="AD2645">
        <v>-1.121060558675</v>
      </c>
      <c r="AE2645">
        <v>-2.8220000000000001</v>
      </c>
      <c r="AF2645">
        <v>3.08431684959324</v>
      </c>
      <c r="AG2645">
        <v>-1.121060558675</v>
      </c>
      <c r="AH2645">
        <v>18.977286456320499</v>
      </c>
      <c r="AI2645">
        <v>93.337064842454296</v>
      </c>
      <c r="AJ2645">
        <v>80.7686200663005</v>
      </c>
      <c r="AK2645">
        <v>19.2589508657701</v>
      </c>
      <c r="AL2645">
        <v>79.380160406013601</v>
      </c>
      <c r="AM2645">
        <v>83.070121859507495</v>
      </c>
      <c r="AN2645">
        <v>1.0000000168054901</v>
      </c>
    </row>
    <row r="2646" spans="1:40" x14ac:dyDescent="0.25">
      <c r="A2646" t="str">
        <f>"20190303162559871"</f>
        <v>20190303162559871</v>
      </c>
      <c r="B2646" t="str">
        <f>"1551601559866354"</f>
        <v>1551601559866354</v>
      </c>
      <c r="C2646" t="s">
        <v>40</v>
      </c>
      <c r="D2646">
        <v>5.3083200000000001</v>
      </c>
      <c r="E2646">
        <v>0.51586529999999997</v>
      </c>
      <c r="F2646" t="s">
        <v>48</v>
      </c>
      <c r="G2646">
        <v>-333.29329999999999</v>
      </c>
      <c r="H2646" s="1">
        <v>3.3656079999999998E-7</v>
      </c>
      <c r="I2646">
        <v>211.85230000000001</v>
      </c>
      <c r="J2646">
        <v>-354.12869999999998</v>
      </c>
      <c r="K2646">
        <v>1.1210709999999999</v>
      </c>
      <c r="L2646">
        <v>214.89760000000001</v>
      </c>
      <c r="M2646">
        <v>0.99980040000000003</v>
      </c>
      <c r="N2646">
        <v>-1.3952900000000001E-2</v>
      </c>
      <c r="O2646">
        <v>1.4305129999999999E-2</v>
      </c>
      <c r="P2646">
        <v>0.97964390000000001</v>
      </c>
      <c r="Q2646">
        <v>0.17146029999999901</v>
      </c>
      <c r="R2646">
        <v>-0.1044008</v>
      </c>
      <c r="S2646">
        <v>3.0434269999999999</v>
      </c>
      <c r="T2646">
        <v>-0.16110659999999999</v>
      </c>
      <c r="U2646">
        <v>-0.43693539999999997</v>
      </c>
      <c r="V2646">
        <v>0.1184122</v>
      </c>
      <c r="W2646">
        <v>0.1850861</v>
      </c>
      <c r="X2646">
        <v>0.97556220000000005</v>
      </c>
      <c r="Y2646">
        <v>0.15597449999999999</v>
      </c>
      <c r="Z2646">
        <v>-5.7537430000000004E-3</v>
      </c>
      <c r="AA2646">
        <v>0.98774430000000002</v>
      </c>
      <c r="AB2646">
        <v>35</v>
      </c>
      <c r="AC2646">
        <v>20.8354</v>
      </c>
      <c r="AD2646">
        <v>-1.1210706634392</v>
      </c>
      <c r="AE2646">
        <v>-3.0452999999999899</v>
      </c>
      <c r="AF2646">
        <v>3.3336211562816098</v>
      </c>
      <c r="AG2646">
        <v>-1.1210706634392</v>
      </c>
      <c r="AH2646">
        <v>20.7309373512158</v>
      </c>
      <c r="AI2646">
        <v>93.056193856208296</v>
      </c>
      <c r="AJ2646">
        <v>80.8648033164297</v>
      </c>
      <c r="AK2646">
        <v>21.027163215851701</v>
      </c>
      <c r="AL2646">
        <v>79.333847310977106</v>
      </c>
      <c r="AM2646">
        <v>83.079382724228907</v>
      </c>
      <c r="AN2646">
        <v>0.99999995979544398</v>
      </c>
    </row>
    <row r="2647" spans="1:40" x14ac:dyDescent="0.25">
      <c r="A2647" t="str">
        <f>"20190303162559894"</f>
        <v>20190303162559894</v>
      </c>
      <c r="B2647" t="str">
        <f>"1551601559885875"</f>
        <v>1551601559885875</v>
      </c>
      <c r="C2647" t="s">
        <v>40</v>
      </c>
      <c r="D2647">
        <v>5.2920980000000002</v>
      </c>
      <c r="E2647">
        <v>0.51621490000000003</v>
      </c>
      <c r="F2647" t="s">
        <v>48</v>
      </c>
      <c r="G2647">
        <v>-332.86439999999999</v>
      </c>
      <c r="H2647" s="1">
        <v>1.0995520000000001E-7</v>
      </c>
      <c r="I2647">
        <v>211.81479999999999</v>
      </c>
      <c r="J2647">
        <v>-353.76839999999999</v>
      </c>
      <c r="K2647">
        <v>1.1210690000000001</v>
      </c>
      <c r="L2647">
        <v>214.90280000000001</v>
      </c>
      <c r="M2647">
        <v>0.99979899999999999</v>
      </c>
      <c r="N2647">
        <v>-1.4042219999999999E-2</v>
      </c>
      <c r="O2647">
        <v>1.430533E-2</v>
      </c>
      <c r="P2647">
        <v>0.97975780000000001</v>
      </c>
      <c r="Q2647">
        <v>0.17075670000000001</v>
      </c>
      <c r="R2647">
        <v>-0.10448159999999999</v>
      </c>
      <c r="S2647">
        <v>3.0434269999999999</v>
      </c>
      <c r="T2647">
        <v>-0.16045200000000001</v>
      </c>
      <c r="U2647">
        <v>-0.44122309999999998</v>
      </c>
      <c r="V2647">
        <v>0.11849510000000001</v>
      </c>
      <c r="W2647">
        <v>0.18447079999999999</v>
      </c>
      <c r="X2647">
        <v>0.97566870000000006</v>
      </c>
      <c r="Y2647">
        <v>0.15733720000000001</v>
      </c>
      <c r="Z2647">
        <v>-5.7847599999999999E-3</v>
      </c>
      <c r="AA2647">
        <v>0.98752799999999996</v>
      </c>
      <c r="AB2647">
        <v>35</v>
      </c>
      <c r="AC2647">
        <v>20.904</v>
      </c>
      <c r="AD2647">
        <v>-1.1210688900448</v>
      </c>
      <c r="AE2647">
        <v>-3.0880000000000201</v>
      </c>
      <c r="AF2647">
        <v>3.3772461786724799</v>
      </c>
      <c r="AG2647">
        <v>-1.1210688900448</v>
      </c>
      <c r="AH2647">
        <v>20.799138206089399</v>
      </c>
      <c r="AI2647">
        <v>93.0454349166762</v>
      </c>
      <c r="AJ2647">
        <v>80.777128884962096</v>
      </c>
      <c r="AK2647">
        <v>21.101344443508602</v>
      </c>
      <c r="AL2647">
        <v>79.369719419736896</v>
      </c>
      <c r="AM2647">
        <v>83.075333269091203</v>
      </c>
      <c r="AN2647">
        <v>0.99999998846816995</v>
      </c>
    </row>
    <row r="2648" spans="1:40" x14ac:dyDescent="0.25">
      <c r="A2648" t="str">
        <f>"20190303162559918"</f>
        <v>20190303162559918</v>
      </c>
      <c r="B2648" t="str">
        <f>"1551601559906370"</f>
        <v>1551601559906370</v>
      </c>
      <c r="C2648" t="s">
        <v>40</v>
      </c>
      <c r="D2648">
        <v>5.3235109999999999</v>
      </c>
      <c r="E2648">
        <v>0.5165748</v>
      </c>
      <c r="F2648" t="s">
        <v>48</v>
      </c>
      <c r="G2648">
        <v>-332.89490000000001</v>
      </c>
      <c r="H2648" s="1">
        <v>1.242276E-7</v>
      </c>
      <c r="I2648">
        <v>211.85990000000001</v>
      </c>
      <c r="J2648">
        <v>-353.4128</v>
      </c>
      <c r="K2648">
        <v>1.1210719999999901</v>
      </c>
      <c r="L2648">
        <v>214.90790000000001</v>
      </c>
      <c r="M2648">
        <v>0.99979810000000002</v>
      </c>
      <c r="N2648">
        <v>-1.411809E-2</v>
      </c>
      <c r="O2648">
        <v>1.430533E-2</v>
      </c>
      <c r="P2648">
        <v>0.97952039999999996</v>
      </c>
      <c r="Q2648">
        <v>0.1711792</v>
      </c>
      <c r="R2648">
        <v>-0.1060075</v>
      </c>
      <c r="S2648">
        <v>3.0431210000000002</v>
      </c>
      <c r="T2648">
        <v>-0.16343959999999999</v>
      </c>
      <c r="U2648">
        <v>-0.44361879999999998</v>
      </c>
      <c r="V2648">
        <v>0.1200174</v>
      </c>
      <c r="W2648">
        <v>0.18496380000000001</v>
      </c>
      <c r="X2648">
        <v>0.97538919999999996</v>
      </c>
      <c r="Y2648">
        <v>0.1581012</v>
      </c>
      <c r="Z2648">
        <v>-5.9064410000000001E-3</v>
      </c>
      <c r="AA2648">
        <v>0.98740519999999998</v>
      </c>
      <c r="AB2648">
        <v>35</v>
      </c>
      <c r="AC2648">
        <v>20.517900000000001</v>
      </c>
      <c r="AD2648">
        <v>-1.1210718757724001</v>
      </c>
      <c r="AE2648">
        <v>-3.048</v>
      </c>
      <c r="AF2648">
        <v>3.3315015177874101</v>
      </c>
      <c r="AG2648">
        <v>-1.1210718757724001</v>
      </c>
      <c r="AH2648">
        <v>20.412569365640799</v>
      </c>
      <c r="AI2648">
        <v>93.102595706277299</v>
      </c>
      <c r="AJ2648">
        <v>80.730577546248995</v>
      </c>
      <c r="AK2648">
        <v>20.7130078120191</v>
      </c>
      <c r="AL2648">
        <v>79.340977459714296</v>
      </c>
      <c r="AM2648">
        <v>82.985263231050496</v>
      </c>
      <c r="AN2648">
        <v>0.99999993754491801</v>
      </c>
    </row>
    <row r="2649" spans="1:40" x14ac:dyDescent="0.25">
      <c r="A2649" t="str">
        <f>"20190303162559962"</f>
        <v>20190303162559962</v>
      </c>
      <c r="B2649" t="str">
        <f>"1551601559956146"</f>
        <v>1551601559956146</v>
      </c>
      <c r="C2649" t="s">
        <v>40</v>
      </c>
      <c r="D2649">
        <v>5.4003730000000001</v>
      </c>
      <c r="E2649">
        <v>0.51723490000000005</v>
      </c>
      <c r="F2649" t="s">
        <v>48</v>
      </c>
      <c r="G2649">
        <v>-332.51199999999898</v>
      </c>
      <c r="H2649" s="1">
        <v>-7.7313169999999993E-8</v>
      </c>
      <c r="I2649">
        <v>211.80889999999999</v>
      </c>
      <c r="J2649">
        <v>-352.71159999999998</v>
      </c>
      <c r="K2649">
        <v>1.121081</v>
      </c>
      <c r="L2649">
        <v>214.9179</v>
      </c>
      <c r="M2649">
        <v>0.99979629999999997</v>
      </c>
      <c r="N2649">
        <v>-1.423906E-2</v>
      </c>
      <c r="O2649">
        <v>1.430559E-2</v>
      </c>
      <c r="P2649">
        <v>0.97908910000000005</v>
      </c>
      <c r="Q2649">
        <v>0.17126569999999999</v>
      </c>
      <c r="R2649">
        <v>-0.1097844</v>
      </c>
      <c r="S2649">
        <v>3.0424190000000002</v>
      </c>
      <c r="T2649">
        <v>-0.16318869999999999</v>
      </c>
      <c r="U2649">
        <v>-0.45109559999999999</v>
      </c>
      <c r="V2649">
        <v>0.1237881</v>
      </c>
      <c r="W2649">
        <v>0.18516099999999999</v>
      </c>
      <c r="X2649">
        <v>0.97488050000000004</v>
      </c>
      <c r="Y2649">
        <v>0.160504799999999</v>
      </c>
      <c r="Z2649">
        <v>-5.9884919999999998E-3</v>
      </c>
      <c r="AA2649">
        <v>0.98701689999999997</v>
      </c>
      <c r="AB2649">
        <v>35</v>
      </c>
      <c r="AC2649">
        <v>20.1996</v>
      </c>
      <c r="AD2649">
        <v>-1.1210810773131701</v>
      </c>
      <c r="AE2649">
        <v>-3.109</v>
      </c>
      <c r="AF2649">
        <v>3.3874853810388799</v>
      </c>
      <c r="AG2649">
        <v>-1.1210810773131701</v>
      </c>
      <c r="AH2649">
        <v>20.092593618836698</v>
      </c>
      <c r="AI2649">
        <v>93.149197788576004</v>
      </c>
      <c r="AJ2649">
        <v>80.4302827918726</v>
      </c>
      <c r="AK2649">
        <v>20.4069644562923</v>
      </c>
      <c r="AL2649">
        <v>79.329481235479506</v>
      </c>
      <c r="AM2649">
        <v>82.763439424955706</v>
      </c>
      <c r="AN2649">
        <v>1.0000000394514199</v>
      </c>
    </row>
    <row r="2650" spans="1:40" x14ac:dyDescent="0.25">
      <c r="A2650" t="str">
        <f>"20190303162600050"</f>
        <v>20190303162600050</v>
      </c>
      <c r="B2650" t="str">
        <f>"1551601560036179"</f>
        <v>1551601560036179</v>
      </c>
      <c r="C2650" t="s">
        <v>40</v>
      </c>
      <c r="D2650">
        <v>5.5012980000000002</v>
      </c>
      <c r="E2650">
        <v>0.51815789999999995</v>
      </c>
      <c r="F2650" t="s">
        <v>48</v>
      </c>
      <c r="G2650">
        <v>-331.99810000000002</v>
      </c>
      <c r="H2650" s="1">
        <v>-3.472817E-7</v>
      </c>
      <c r="I2650">
        <v>211.72919999999999</v>
      </c>
      <c r="J2650">
        <v>-351.36369999999999</v>
      </c>
      <c r="K2650">
        <v>1.1210979999999999</v>
      </c>
      <c r="L2650">
        <v>214.93709999999999</v>
      </c>
      <c r="M2650">
        <v>0.99979410000000002</v>
      </c>
      <c r="N2650">
        <v>-1.4397989999999999E-2</v>
      </c>
      <c r="O2650">
        <v>1.4305979999999999E-2</v>
      </c>
      <c r="P2650">
        <v>0.97904590000000002</v>
      </c>
      <c r="Q2650">
        <v>0.17207939999999999</v>
      </c>
      <c r="R2650">
        <v>-0.1088966</v>
      </c>
      <c r="S2650">
        <v>3.0403440000000002</v>
      </c>
      <c r="T2650">
        <v>-0.16455359999999999</v>
      </c>
      <c r="U2650">
        <v>-0.46803280000000003</v>
      </c>
      <c r="V2650">
        <v>0.12289990000000001</v>
      </c>
      <c r="W2650">
        <v>0.18612960000000001</v>
      </c>
      <c r="X2650">
        <v>0.97480840000000002</v>
      </c>
      <c r="Y2650">
        <v>0.165961</v>
      </c>
      <c r="Z2650">
        <v>-6.2293440000000004E-3</v>
      </c>
      <c r="AA2650">
        <v>0.98611269999999995</v>
      </c>
      <c r="AB2650">
        <v>34</v>
      </c>
      <c r="AC2650">
        <v>19.365599999999901</v>
      </c>
      <c r="AD2650">
        <v>-1.1210983472817</v>
      </c>
      <c r="AE2650">
        <v>-3.2078999999999902</v>
      </c>
      <c r="AF2650">
        <v>3.4733146608940202</v>
      </c>
      <c r="AG2650">
        <v>-1.1210983472817</v>
      </c>
      <c r="AH2650">
        <v>19.254913502300202</v>
      </c>
      <c r="AI2650">
        <v>93.279419000996398</v>
      </c>
      <c r="AJ2650">
        <v>79.7746118683649</v>
      </c>
      <c r="AK2650">
        <v>19.597766970216799</v>
      </c>
      <c r="AL2650">
        <v>79.273002503367096</v>
      </c>
      <c r="AM2650">
        <v>82.814292454634199</v>
      </c>
      <c r="AN2650">
        <v>1.0000000150633599</v>
      </c>
    </row>
    <row r="2651" spans="1:40" x14ac:dyDescent="0.25">
      <c r="A2651" t="str">
        <f>"20190303162600073"</f>
        <v>20190303162600073</v>
      </c>
      <c r="B2651" t="str">
        <f>"1551601560066435"</f>
        <v>1551601560066435</v>
      </c>
      <c r="C2651" t="s">
        <v>40</v>
      </c>
      <c r="D2651">
        <v>5.3870639999999996</v>
      </c>
      <c r="E2651">
        <v>0.51855859999999998</v>
      </c>
      <c r="F2651" t="s">
        <v>48</v>
      </c>
      <c r="G2651">
        <v>-330.40530000000001</v>
      </c>
      <c r="H2651" s="1">
        <v>-1.1931569999999999E-6</v>
      </c>
      <c r="I2651">
        <v>211.68870000000001</v>
      </c>
      <c r="J2651">
        <v>-351.0181</v>
      </c>
      <c r="K2651">
        <v>1.121111</v>
      </c>
      <c r="L2651">
        <v>214.94210000000001</v>
      </c>
      <c r="M2651">
        <v>0.99979359999999995</v>
      </c>
      <c r="N2651">
        <v>-1.442592E-2</v>
      </c>
      <c r="O2651">
        <v>1.4306070000000001E-2</v>
      </c>
      <c r="P2651">
        <v>0.97872479999999995</v>
      </c>
      <c r="Q2651">
        <v>0.1741791</v>
      </c>
      <c r="R2651">
        <v>-0.1084413</v>
      </c>
      <c r="S2651">
        <v>3.0403440000000002</v>
      </c>
      <c r="T2651">
        <v>-0.16263250000000001</v>
      </c>
      <c r="U2651">
        <v>-0.47123720000000002</v>
      </c>
      <c r="V2651">
        <v>0.1224404</v>
      </c>
      <c r="W2651">
        <v>0.1882519</v>
      </c>
      <c r="X2651">
        <v>0.97445859999999995</v>
      </c>
      <c r="Y2651">
        <v>0.16698080000000001</v>
      </c>
      <c r="Z2651">
        <v>-6.2044719999999999E-3</v>
      </c>
      <c r="AA2651">
        <v>0.98594059999999994</v>
      </c>
      <c r="AB2651">
        <v>34</v>
      </c>
      <c r="AC2651">
        <v>20.6128</v>
      </c>
      <c r="AD2651">
        <v>-1.1211121931569901</v>
      </c>
      <c r="AE2651">
        <v>-3.2533999999999899</v>
      </c>
      <c r="AF2651">
        <v>3.5377748411970402</v>
      </c>
      <c r="AG2651">
        <v>-1.1211121931569901</v>
      </c>
      <c r="AH2651">
        <v>20.504958935734201</v>
      </c>
      <c r="AI2651">
        <v>93.084064782031206</v>
      </c>
      <c r="AJ2651">
        <v>80.210979863363406</v>
      </c>
      <c r="AK2651">
        <v>20.838092147142401</v>
      </c>
      <c r="AL2651">
        <v>79.149215329708696</v>
      </c>
      <c r="AM2651">
        <v>82.838335992165995</v>
      </c>
      <c r="AN2651">
        <v>0.99999999625986502</v>
      </c>
    </row>
    <row r="2652" spans="1:40" x14ac:dyDescent="0.25">
      <c r="A2652" t="str">
        <f>"20190303162600097"</f>
        <v>20190303162600097</v>
      </c>
      <c r="B2652" t="str">
        <f>"1551601560085955"</f>
        <v>1551601560085955</v>
      </c>
      <c r="C2652" t="s">
        <v>40</v>
      </c>
      <c r="D2652">
        <v>5.3887109999999998</v>
      </c>
      <c r="E2652">
        <v>0.51877280000000003</v>
      </c>
      <c r="F2652" t="s">
        <v>48</v>
      </c>
      <c r="G2652">
        <v>-329.22030000000001</v>
      </c>
      <c r="H2652" s="1">
        <v>3.369788E-6</v>
      </c>
      <c r="I2652">
        <v>211.55080000000001</v>
      </c>
      <c r="J2652">
        <v>-350.63639999999998</v>
      </c>
      <c r="K2652">
        <v>1.1211249999999999</v>
      </c>
      <c r="L2652">
        <v>214.94749999999999</v>
      </c>
      <c r="M2652">
        <v>0.9997933</v>
      </c>
      <c r="N2652">
        <v>-1.4452049999999999E-2</v>
      </c>
      <c r="O2652">
        <v>1.4306060000000001E-2</v>
      </c>
      <c r="P2652">
        <v>0.97832940000000002</v>
      </c>
      <c r="Q2652">
        <v>0.176324799999999</v>
      </c>
      <c r="R2652">
        <v>-0.1085421</v>
      </c>
      <c r="S2652">
        <v>3.0405880000000001</v>
      </c>
      <c r="T2652">
        <v>-0.15638360000000001</v>
      </c>
      <c r="U2652">
        <v>-0.473053</v>
      </c>
      <c r="V2652">
        <v>0.1225358</v>
      </c>
      <c r="W2652">
        <v>0.1904169</v>
      </c>
      <c r="X2652">
        <v>0.97402580000000005</v>
      </c>
      <c r="Y2652">
        <v>0.16756379999999901</v>
      </c>
      <c r="Z2652">
        <v>-6.0253809999999998E-3</v>
      </c>
      <c r="AA2652">
        <v>0.98584280000000002</v>
      </c>
      <c r="AB2652">
        <v>34</v>
      </c>
      <c r="AC2652">
        <v>21.416099999999901</v>
      </c>
      <c r="AD2652">
        <v>-1.121121630212</v>
      </c>
      <c r="AE2652">
        <v>-3.3966999999999801</v>
      </c>
      <c r="AF2652">
        <v>3.6928923870855099</v>
      </c>
      <c r="AG2652">
        <v>-1.121121630212</v>
      </c>
      <c r="AH2652">
        <v>21.308347489078201</v>
      </c>
      <c r="AI2652">
        <v>92.967637876076594</v>
      </c>
      <c r="AJ2652">
        <v>80.167883570488797</v>
      </c>
      <c r="AK2652">
        <v>21.655023449713202</v>
      </c>
      <c r="AL2652">
        <v>79.022884318069998</v>
      </c>
      <c r="AM2652">
        <v>82.8296624172105</v>
      </c>
      <c r="AN2652">
        <v>0.99999993857644298</v>
      </c>
    </row>
    <row r="2653" spans="1:40" x14ac:dyDescent="0.25">
      <c r="A2653" t="str">
        <f>"20190303162600118"</f>
        <v>20190303162600118</v>
      </c>
      <c r="B2653" t="str">
        <f>"1551601560105475"</f>
        <v>1551601560105475</v>
      </c>
      <c r="C2653" t="s">
        <v>40</v>
      </c>
      <c r="D2653">
        <v>5.4047029999999996</v>
      </c>
      <c r="E2653">
        <v>0.51877280000000003</v>
      </c>
      <c r="F2653" t="s">
        <v>48</v>
      </c>
      <c r="G2653">
        <v>-327.95609999999999</v>
      </c>
      <c r="H2653" s="1">
        <v>2.6970830000000001E-6</v>
      </c>
      <c r="I2653">
        <v>211.40219999999999</v>
      </c>
      <c r="J2653">
        <v>-350.32420000000002</v>
      </c>
      <c r="K2653">
        <v>1.1211230000000001</v>
      </c>
      <c r="L2653">
        <v>214.952</v>
      </c>
      <c r="M2653">
        <v>0.99979309999999999</v>
      </c>
      <c r="N2653">
        <v>-1.4469640000000001E-2</v>
      </c>
      <c r="O2653">
        <v>1.430611E-2</v>
      </c>
      <c r="P2653">
        <v>0.97853400000000001</v>
      </c>
      <c r="Q2653">
        <v>0.17529420000000001</v>
      </c>
      <c r="R2653">
        <v>-0.10836750000000001</v>
      </c>
      <c r="S2653">
        <v>3.0407709999999999</v>
      </c>
      <c r="T2653">
        <v>-0.15031029999999901</v>
      </c>
      <c r="U2653">
        <v>-0.47532649999999999</v>
      </c>
      <c r="V2653">
        <v>0.122363899999999</v>
      </c>
      <c r="W2653">
        <v>0.18940660000000001</v>
      </c>
      <c r="X2653">
        <v>0.97424440000000001</v>
      </c>
      <c r="Y2653">
        <v>0.1682931</v>
      </c>
      <c r="Z2653">
        <v>-5.854883E-3</v>
      </c>
      <c r="AA2653">
        <v>0.98571960000000003</v>
      </c>
      <c r="AB2653">
        <v>34</v>
      </c>
      <c r="AC2653">
        <v>22.368099999999998</v>
      </c>
      <c r="AD2653">
        <v>-1.1211203029169901</v>
      </c>
      <c r="AE2653">
        <v>-3.5497999999999998</v>
      </c>
      <c r="AF2653">
        <v>3.8600118832259902</v>
      </c>
      <c r="AG2653">
        <v>-1.1211203029169901</v>
      </c>
      <c r="AH2653">
        <v>22.260473361871298</v>
      </c>
      <c r="AI2653">
        <v>92.840869937502205</v>
      </c>
      <c r="AJ2653">
        <v>80.162613324391501</v>
      </c>
      <c r="AK2653">
        <v>22.620461462287601</v>
      </c>
      <c r="AL2653">
        <v>79.081843554342399</v>
      </c>
      <c r="AM2653">
        <v>82.841206852881896</v>
      </c>
      <c r="AN2653">
        <v>0.99999996753906395</v>
      </c>
    </row>
    <row r="2654" spans="1:40" x14ac:dyDescent="0.25">
      <c r="A2654" t="str">
        <f>"20190303162600165"</f>
        <v>20190303162600165</v>
      </c>
      <c r="B2654" t="str">
        <f>"1551601560156226"</f>
        <v>1551601560156226</v>
      </c>
      <c r="C2654" t="s">
        <v>40</v>
      </c>
      <c r="D2654">
        <v>5.1365020000000001</v>
      </c>
      <c r="E2654">
        <v>0.4968554</v>
      </c>
      <c r="F2654" t="s">
        <v>48</v>
      </c>
      <c r="G2654">
        <v>-328.13699999999898</v>
      </c>
      <c r="H2654" s="1">
        <v>2.7933250000000001E-6</v>
      </c>
      <c r="I2654">
        <v>211.49100000000001</v>
      </c>
      <c r="J2654">
        <v>-349.6309</v>
      </c>
      <c r="K2654">
        <v>1.121138</v>
      </c>
      <c r="L2654">
        <v>214.96190000000001</v>
      </c>
      <c r="M2654">
        <v>0.99979249999999997</v>
      </c>
      <c r="N2654">
        <v>-1.449959E-2</v>
      </c>
      <c r="O2654">
        <v>1.430625E-2</v>
      </c>
      <c r="P2654">
        <v>0.97864370000000001</v>
      </c>
      <c r="Q2654">
        <v>0.17569670000000001</v>
      </c>
      <c r="R2654">
        <v>-0.1067113</v>
      </c>
      <c r="S2654">
        <v>3.0408019999999998</v>
      </c>
      <c r="T2654">
        <v>-0.15365210000000001</v>
      </c>
      <c r="U2654">
        <v>-0.4743347</v>
      </c>
      <c r="V2654">
        <v>0.1207096</v>
      </c>
      <c r="W2654">
        <v>0.18984019999999999</v>
      </c>
      <c r="X2654">
        <v>0.97436639999999997</v>
      </c>
      <c r="Y2654">
        <v>0.16796749999999999</v>
      </c>
      <c r="Z2654">
        <v>-5.9538819999999998E-3</v>
      </c>
      <c r="AA2654">
        <v>0.98577459999999995</v>
      </c>
      <c r="AB2654">
        <v>34</v>
      </c>
      <c r="AC2654">
        <v>21.4939</v>
      </c>
      <c r="AD2654">
        <v>-1.121135206675</v>
      </c>
      <c r="AE2654">
        <v>-3.4709000000000199</v>
      </c>
      <c r="AF2654">
        <v>3.76808276350702</v>
      </c>
      <c r="AG2654">
        <v>-1.121135206675</v>
      </c>
      <c r="AH2654">
        <v>21.385334027241701</v>
      </c>
      <c r="AI2654">
        <v>92.955561953756998</v>
      </c>
      <c r="AJ2654">
        <v>80.007090250191595</v>
      </c>
      <c r="AK2654">
        <v>21.743686516342802</v>
      </c>
      <c r="AL2654">
        <v>79.056541344198806</v>
      </c>
      <c r="AM2654">
        <v>82.937881553900596</v>
      </c>
      <c r="AN2654">
        <v>0.99999999525857897</v>
      </c>
    </row>
    <row r="2655" spans="1:40" x14ac:dyDescent="0.25">
      <c r="A2655" t="str">
        <f>"20190303162600185"</f>
        <v>20190303162600185</v>
      </c>
      <c r="B2655" t="str">
        <f>"1551601560175747"</f>
        <v>1551601560175747</v>
      </c>
      <c r="C2655" t="s">
        <v>40</v>
      </c>
      <c r="D2655">
        <v>5.64344</v>
      </c>
      <c r="E2655">
        <v>0.497832</v>
      </c>
      <c r="F2655" t="s">
        <v>51</v>
      </c>
      <c r="G2655">
        <v>-299.40210000000002</v>
      </c>
      <c r="H2655" s="1">
        <v>2.5621910000000002E-6</v>
      </c>
      <c r="I2655">
        <v>210.09630000000001</v>
      </c>
      <c r="J2655">
        <v>-349.30020000000002</v>
      </c>
      <c r="K2655">
        <v>1.1211409999999999</v>
      </c>
      <c r="L2655">
        <v>214.9666</v>
      </c>
      <c r="M2655">
        <v>0.99979249999999997</v>
      </c>
      <c r="N2655">
        <v>-1.451039E-2</v>
      </c>
      <c r="O2655">
        <v>1.4306289999999999E-2</v>
      </c>
      <c r="P2655">
        <v>0.9786937</v>
      </c>
      <c r="Q2655">
        <v>0.1762138</v>
      </c>
      <c r="R2655">
        <v>-0.1053944</v>
      </c>
      <c r="S2655">
        <v>3.045471</v>
      </c>
      <c r="T2655">
        <v>-6.7976709999999996E-2</v>
      </c>
      <c r="U2655">
        <v>-0.29501339999999998</v>
      </c>
      <c r="V2655">
        <v>0.1193935</v>
      </c>
      <c r="W2655">
        <v>0.1903687</v>
      </c>
      <c r="X2655">
        <v>0.9744254</v>
      </c>
      <c r="Y2655">
        <v>0.1106039</v>
      </c>
      <c r="Z2655">
        <v>-2.1473799999999999E-3</v>
      </c>
      <c r="AA2655">
        <v>0.99386229999999998</v>
      </c>
      <c r="AB2655">
        <v>34</v>
      </c>
      <c r="AC2655">
        <v>49.898099999999999</v>
      </c>
      <c r="AD2655">
        <v>-1.1211384378089999</v>
      </c>
      <c r="AE2655">
        <v>-4.8702999999999799</v>
      </c>
      <c r="AF2655">
        <v>5.5809423522374004</v>
      </c>
      <c r="AG2655">
        <v>-1.1211384378089999</v>
      </c>
      <c r="AH2655">
        <v>49.7984062978935</v>
      </c>
      <c r="AI2655">
        <v>91.2816918754217</v>
      </c>
      <c r="AJ2655">
        <v>83.605503975793397</v>
      </c>
      <c r="AK2655">
        <v>50.1227008325151</v>
      </c>
      <c r="AL2655">
        <v>79.025697614507294</v>
      </c>
      <c r="AM2655">
        <v>83.014533852800696</v>
      </c>
      <c r="AN2655">
        <v>0.99999995497354799</v>
      </c>
    </row>
    <row r="2656" spans="1:40" x14ac:dyDescent="0.25">
      <c r="A2656" t="str">
        <f>"20190303162600207"</f>
        <v>20190303162600207</v>
      </c>
      <c r="B2656" t="str">
        <f>"1551601560196243"</f>
        <v>1551601560196243</v>
      </c>
      <c r="C2656" t="s">
        <v>40</v>
      </c>
      <c r="D2656">
        <v>5.5578960000000004</v>
      </c>
      <c r="E2656">
        <v>0.49710850000000001</v>
      </c>
      <c r="F2656" t="s">
        <v>51</v>
      </c>
      <c r="G2656">
        <v>-301.02370000000002</v>
      </c>
      <c r="H2656" s="1">
        <v>2.4716709999999998E-6</v>
      </c>
      <c r="I2656">
        <v>210.2313</v>
      </c>
      <c r="J2656">
        <v>-348.9631</v>
      </c>
      <c r="K2656">
        <v>1.1211409999999999</v>
      </c>
      <c r="L2656">
        <v>214.97139999999999</v>
      </c>
      <c r="M2656">
        <v>0.99979220000000002</v>
      </c>
      <c r="N2656">
        <v>-1.451933E-2</v>
      </c>
      <c r="O2656">
        <v>1.43064E-2</v>
      </c>
      <c r="P2656">
        <v>0.97876189999999996</v>
      </c>
      <c r="Q2656">
        <v>0.17617659999999999</v>
      </c>
      <c r="R2656">
        <v>-0.10481989999999899</v>
      </c>
      <c r="S2656">
        <v>3.0458980000000002</v>
      </c>
      <c r="T2656">
        <v>-7.0735690000000004E-2</v>
      </c>
      <c r="U2656">
        <v>-0.29876710000000001</v>
      </c>
      <c r="V2656">
        <v>0.1188203</v>
      </c>
      <c r="W2656">
        <v>0.1903415</v>
      </c>
      <c r="X2656">
        <v>0.97450079999999994</v>
      </c>
      <c r="Y2656">
        <v>0.1118002</v>
      </c>
      <c r="Z2656">
        <v>-2.232955E-3</v>
      </c>
      <c r="AA2656">
        <v>0.99372819999999995</v>
      </c>
      <c r="AB2656">
        <v>34</v>
      </c>
      <c r="AC2656">
        <v>47.9393999999999</v>
      </c>
      <c r="AD2656">
        <v>-1.1211385283290001</v>
      </c>
      <c r="AE2656">
        <v>-4.7400999999999804</v>
      </c>
      <c r="AF2656">
        <v>5.4225902736454099</v>
      </c>
      <c r="AG2656">
        <v>-1.1211385283290001</v>
      </c>
      <c r="AH2656">
        <v>47.840759534667797</v>
      </c>
      <c r="AI2656">
        <v>91.333930936017197</v>
      </c>
      <c r="AJ2656">
        <v>83.533314060795803</v>
      </c>
      <c r="AK2656">
        <v>48.160146487832101</v>
      </c>
      <c r="AL2656">
        <v>79.027285361543704</v>
      </c>
      <c r="AM2656">
        <v>83.0482742559483</v>
      </c>
      <c r="AN2656">
        <v>0.999999979757489</v>
      </c>
    </row>
    <row r="2657" spans="1:40" x14ac:dyDescent="0.25">
      <c r="A2657" t="str">
        <f>"20190303162600229"</f>
        <v>20190303162600229</v>
      </c>
      <c r="B2657" t="str">
        <f>"1551601560215763"</f>
        <v>1551601560215763</v>
      </c>
      <c r="C2657" t="s">
        <v>40</v>
      </c>
      <c r="D2657">
        <v>5.5606039999999997</v>
      </c>
      <c r="E2657">
        <v>0.46972039999999998</v>
      </c>
      <c r="F2657" t="s">
        <v>51</v>
      </c>
      <c r="G2657">
        <v>-301.42509999999999</v>
      </c>
      <c r="H2657" s="1">
        <v>2.4004610000000001E-6</v>
      </c>
      <c r="I2657">
        <v>210.43440000000001</v>
      </c>
      <c r="J2657">
        <v>-348.63920000000002</v>
      </c>
      <c r="K2657">
        <v>1.1211409999999999</v>
      </c>
      <c r="L2657">
        <v>214.976</v>
      </c>
      <c r="M2657">
        <v>0.99979229999999997</v>
      </c>
      <c r="N2657">
        <v>-1.452634E-2</v>
      </c>
      <c r="O2657">
        <v>1.430652E-2</v>
      </c>
      <c r="P2657">
        <v>0.97917549999999998</v>
      </c>
      <c r="Q2657">
        <v>0.174626799999999</v>
      </c>
      <c r="R2657">
        <v>-0.10354289999999899</v>
      </c>
      <c r="S2657">
        <v>3.0469360000000001</v>
      </c>
      <c r="T2657">
        <v>-7.1859119999999999E-2</v>
      </c>
      <c r="U2657">
        <v>-0.290802</v>
      </c>
      <c r="V2657">
        <v>0.1175494</v>
      </c>
      <c r="W2657">
        <v>0.18880449999999999</v>
      </c>
      <c r="X2657">
        <v>0.97495379999999998</v>
      </c>
      <c r="Y2657">
        <v>0.10919329999999999</v>
      </c>
      <c r="Z2657">
        <v>-2.208944E-3</v>
      </c>
      <c r="AA2657">
        <v>0.99401810000000002</v>
      </c>
      <c r="AB2657">
        <v>34</v>
      </c>
      <c r="AC2657">
        <v>47.214100000000002</v>
      </c>
      <c r="AD2657">
        <v>-1.121138599539</v>
      </c>
      <c r="AE2657">
        <v>-4.5415999999999803</v>
      </c>
      <c r="AF2657">
        <v>5.2137628240391702</v>
      </c>
      <c r="AG2657">
        <v>-1.121138599539</v>
      </c>
      <c r="AH2657">
        <v>47.117960994271101</v>
      </c>
      <c r="AI2657">
        <v>91.354789604500596</v>
      </c>
      <c r="AJ2657">
        <v>83.685714365584204</v>
      </c>
      <c r="AK2657">
        <v>47.418799255172701</v>
      </c>
      <c r="AL2657">
        <v>79.116975111321807</v>
      </c>
      <c r="AM2657">
        <v>83.125078937606901</v>
      </c>
      <c r="AN2657">
        <v>0.99999995639752304</v>
      </c>
    </row>
    <row r="2658" spans="1:40" x14ac:dyDescent="0.25">
      <c r="A2658" t="str">
        <f>"20190303162600252"</f>
        <v>20190303162600252</v>
      </c>
      <c r="B2658" t="str">
        <f>"1551601560246019"</f>
        <v>1551601560246019</v>
      </c>
      <c r="C2658" t="s">
        <v>40</v>
      </c>
      <c r="D2658">
        <v>5.4415620000000002</v>
      </c>
      <c r="E2658">
        <v>0.46581810000000001</v>
      </c>
      <c r="F2658" t="s">
        <v>51</v>
      </c>
      <c r="G2658">
        <v>-318.39929999999998</v>
      </c>
      <c r="H2658" s="1">
        <v>4.6303920000000004E-6</v>
      </c>
      <c r="I2658">
        <v>214.30350000000001</v>
      </c>
      <c r="J2658">
        <v>-348.26780000000002</v>
      </c>
      <c r="K2658">
        <v>1.1211359999999999</v>
      </c>
      <c r="L2658">
        <v>214.98140000000001</v>
      </c>
      <c r="M2658">
        <v>0.99979209999999996</v>
      </c>
      <c r="N2658">
        <v>-1.453279E-2</v>
      </c>
      <c r="O2658">
        <v>1.4306660000000001E-2</v>
      </c>
      <c r="P2658">
        <v>0.97935669999999997</v>
      </c>
      <c r="Q2658">
        <v>0.17432020000000001</v>
      </c>
      <c r="R2658">
        <v>-0.1023384</v>
      </c>
      <c r="S2658">
        <v>3.0768740000000001</v>
      </c>
      <c r="T2658">
        <v>-0.1140745</v>
      </c>
      <c r="U2658">
        <v>-6.8435670000000004E-2</v>
      </c>
      <c r="V2658">
        <v>0.1163476</v>
      </c>
      <c r="W2658">
        <v>0.1885076</v>
      </c>
      <c r="X2658">
        <v>0.97515540000000001</v>
      </c>
      <c r="Y2658">
        <v>3.6500270000000001E-2</v>
      </c>
      <c r="Z2658">
        <v>-1.264025E-3</v>
      </c>
      <c r="AA2658">
        <v>0.99933280000000002</v>
      </c>
      <c r="AB2658">
        <v>34</v>
      </c>
      <c r="AC2658">
        <v>29.868500000000001</v>
      </c>
      <c r="AD2658">
        <v>-1.1211313696080001</v>
      </c>
      <c r="AE2658">
        <v>-0.67789999999999395</v>
      </c>
      <c r="AF2658">
        <v>1.1036400456497599</v>
      </c>
      <c r="AG2658">
        <v>-1.1211313696080001</v>
      </c>
      <c r="AH2658">
        <v>29.8137593786665</v>
      </c>
      <c r="AI2658">
        <v>92.152091494890101</v>
      </c>
      <c r="AJ2658">
        <v>87.880003789164604</v>
      </c>
      <c r="AK2658">
        <v>29.855237483351399</v>
      </c>
      <c r="AL2658">
        <v>79.134297392868206</v>
      </c>
      <c r="AM2658">
        <v>83.196097831112994</v>
      </c>
      <c r="AN2658">
        <v>0.99999996671633895</v>
      </c>
    </row>
    <row r="2659" spans="1:40" x14ac:dyDescent="0.25">
      <c r="A2659" t="str">
        <f>"20190303162600273"</f>
        <v>20190303162600273</v>
      </c>
      <c r="B2659" t="str">
        <f>"1551601560265539"</f>
        <v>1551601560265539</v>
      </c>
      <c r="C2659" t="s">
        <v>40</v>
      </c>
      <c r="D2659">
        <v>5.2317559999999999</v>
      </c>
      <c r="E2659">
        <v>0.46578649999999999</v>
      </c>
      <c r="F2659" t="s">
        <v>48</v>
      </c>
      <c r="G2659">
        <v>-320.55529999999999</v>
      </c>
      <c r="H2659" s="1">
        <v>-1.2412859999999999E-6</v>
      </c>
      <c r="I2659">
        <v>214.67910000000001</v>
      </c>
      <c r="J2659">
        <v>-347.9599</v>
      </c>
      <c r="K2659">
        <v>1.1211370000000001</v>
      </c>
      <c r="L2659">
        <v>214.98580000000001</v>
      </c>
      <c r="M2659">
        <v>0.99979209999999996</v>
      </c>
      <c r="N2659">
        <v>-1.453687E-2</v>
      </c>
      <c r="O2659">
        <v>1.4306630000000001E-2</v>
      </c>
      <c r="P2659">
        <v>0.97952280000000003</v>
      </c>
      <c r="Q2659">
        <v>0.17379639999999999</v>
      </c>
      <c r="R2659">
        <v>-0.1016386</v>
      </c>
      <c r="S2659">
        <v>3.0818789999999998</v>
      </c>
      <c r="T2659">
        <v>-0.124680399999999</v>
      </c>
      <c r="U2659">
        <v>-3.3615109999999997E-2</v>
      </c>
      <c r="V2659">
        <v>0.1156503</v>
      </c>
      <c r="W2659">
        <v>0.18799009999999999</v>
      </c>
      <c r="X2659">
        <v>0.97533829999999999</v>
      </c>
      <c r="Y2659">
        <v>2.5180060000000001E-2</v>
      </c>
      <c r="Z2659">
        <v>-1.062861E-3</v>
      </c>
      <c r="AA2659">
        <v>0.99968239999999997</v>
      </c>
      <c r="AB2659">
        <v>34</v>
      </c>
      <c r="AC2659">
        <v>27.404599999999999</v>
      </c>
      <c r="AD2659">
        <v>-1.121138241286</v>
      </c>
      <c r="AE2659">
        <v>-0.30670000000000602</v>
      </c>
      <c r="AF2659">
        <v>0.69761003444998104</v>
      </c>
      <c r="AG2659">
        <v>-1.121138241286</v>
      </c>
      <c r="AH2659">
        <v>27.351634333663899</v>
      </c>
      <c r="AI2659">
        <v>92.346466784913801</v>
      </c>
      <c r="AJ2659">
        <v>88.538974068955199</v>
      </c>
      <c r="AK2659">
        <v>27.383489760048899</v>
      </c>
      <c r="AL2659">
        <v>79.164488465671795</v>
      </c>
      <c r="AM2659">
        <v>83.237752997746199</v>
      </c>
      <c r="AN2659">
        <v>1.00000003451749</v>
      </c>
    </row>
    <row r="2660" spans="1:40" x14ac:dyDescent="0.25">
      <c r="A2660" t="str">
        <f>"20190303162600296"</f>
        <v>20190303162600296</v>
      </c>
      <c r="B2660" t="str">
        <f>"1551601560286035"</f>
        <v>1551601560286035</v>
      </c>
      <c r="C2660" t="s">
        <v>40</v>
      </c>
      <c r="D2660">
        <v>5.4274959999999997</v>
      </c>
      <c r="E2660">
        <v>0.46604859999999998</v>
      </c>
      <c r="F2660" t="s">
        <v>48</v>
      </c>
      <c r="G2660">
        <v>-320.50689999999997</v>
      </c>
      <c r="H2660" s="1">
        <v>-1.267041E-6</v>
      </c>
      <c r="I2660">
        <v>214.70599999999999</v>
      </c>
      <c r="J2660">
        <v>-347.60109999999997</v>
      </c>
      <c r="K2660">
        <v>1.1211409999999999</v>
      </c>
      <c r="L2660">
        <v>214.99090000000001</v>
      </c>
      <c r="M2660">
        <v>0.99979189999999996</v>
      </c>
      <c r="N2660">
        <v>-1.454048E-2</v>
      </c>
      <c r="O2660">
        <v>1.4306900000000001E-2</v>
      </c>
      <c r="P2660">
        <v>0.97959799999999997</v>
      </c>
      <c r="Q2660">
        <v>0.1728441</v>
      </c>
      <c r="R2660">
        <v>-0.102531399999999</v>
      </c>
      <c r="S2660">
        <v>3.0817570000000001</v>
      </c>
      <c r="T2660">
        <v>-0.12585439999999901</v>
      </c>
      <c r="U2660">
        <v>-3.1402590000000001E-2</v>
      </c>
      <c r="V2660">
        <v>0.11654440000000001</v>
      </c>
      <c r="W2660">
        <v>0.1870426</v>
      </c>
      <c r="X2660">
        <v>0.975414</v>
      </c>
      <c r="Y2660">
        <v>2.4463329999999998E-2</v>
      </c>
      <c r="Z2660">
        <v>-1.0533000000000001E-3</v>
      </c>
      <c r="AA2660">
        <v>0.99970020000000004</v>
      </c>
      <c r="AB2660">
        <v>34</v>
      </c>
      <c r="AC2660">
        <v>27.094200000000001</v>
      </c>
      <c r="AD2660">
        <v>-1.1211422670409901</v>
      </c>
      <c r="AE2660">
        <v>-0.28490000000002103</v>
      </c>
      <c r="AF2660">
        <v>0.67139636185908502</v>
      </c>
      <c r="AG2660">
        <v>-1.1211422670409901</v>
      </c>
      <c r="AH2660">
        <v>27.041053786839001</v>
      </c>
      <c r="AI2660">
        <v>92.373435377463693</v>
      </c>
      <c r="AJ2660">
        <v>88.577707942274699</v>
      </c>
      <c r="AK2660">
        <v>27.072612045393502</v>
      </c>
      <c r="AL2660">
        <v>79.219756230433106</v>
      </c>
      <c r="AM2660">
        <v>83.186487178250999</v>
      </c>
      <c r="AN2660">
        <v>1.0000000013910599</v>
      </c>
    </row>
    <row r="2661" spans="1:40" x14ac:dyDescent="0.25">
      <c r="A2661" t="str">
        <f>"20190303162600341"</f>
        <v>20190303162600341</v>
      </c>
      <c r="B2661" t="str">
        <f>"1551601560335811"</f>
        <v>1551601560335811</v>
      </c>
      <c r="C2661" t="s">
        <v>40</v>
      </c>
      <c r="D2661">
        <v>5.3028810000000002</v>
      </c>
      <c r="E2661">
        <v>0.46665329999999999</v>
      </c>
      <c r="F2661" t="s">
        <v>48</v>
      </c>
      <c r="G2661">
        <v>-320.90660000000003</v>
      </c>
      <c r="H2661" s="1">
        <v>-1.0543589999999999E-6</v>
      </c>
      <c r="I2661">
        <v>214.67750000000001</v>
      </c>
      <c r="J2661">
        <v>-346.92590000000001</v>
      </c>
      <c r="K2661">
        <v>1.1211340000000001</v>
      </c>
      <c r="L2661">
        <v>215.00049999999999</v>
      </c>
      <c r="M2661">
        <v>0.99979200000000001</v>
      </c>
      <c r="N2661">
        <v>-1.454447E-2</v>
      </c>
      <c r="O2661">
        <v>1.4306869999999999E-2</v>
      </c>
      <c r="P2661">
        <v>0.98005889999999996</v>
      </c>
      <c r="Q2661">
        <v>0.17063989999999901</v>
      </c>
      <c r="R2661">
        <v>-0.1018169</v>
      </c>
      <c r="S2661">
        <v>3.0815429999999999</v>
      </c>
      <c r="T2661">
        <v>-0.12942139999999999</v>
      </c>
      <c r="U2661">
        <v>-3.6178589999999997E-2</v>
      </c>
      <c r="V2661">
        <v>0.1158365</v>
      </c>
      <c r="W2661">
        <v>0.1848494</v>
      </c>
      <c r="X2661">
        <v>0.97591629999999996</v>
      </c>
      <c r="Y2661">
        <v>2.6009529999999999E-2</v>
      </c>
      <c r="Z2661">
        <v>-1.1277559999999999E-3</v>
      </c>
      <c r="AA2661">
        <v>0.99966109999999997</v>
      </c>
      <c r="AB2661">
        <v>34</v>
      </c>
      <c r="AC2661">
        <v>26.019299999999902</v>
      </c>
      <c r="AD2661">
        <v>-1.121135054359</v>
      </c>
      <c r="AE2661">
        <v>-0.32299999999997903</v>
      </c>
      <c r="AF2661">
        <v>0.69397275645180001</v>
      </c>
      <c r="AG2661">
        <v>-1.121135054359</v>
      </c>
      <c r="AH2661">
        <v>25.963817098915701</v>
      </c>
      <c r="AI2661">
        <v>92.471652618676202</v>
      </c>
      <c r="AJ2661">
        <v>88.468936781493497</v>
      </c>
      <c r="AK2661">
        <v>25.997275633088101</v>
      </c>
      <c r="AL2661">
        <v>79.347647889010702</v>
      </c>
      <c r="AM2661">
        <v>83.230940857306805</v>
      </c>
      <c r="AN2661">
        <v>1.00000001000914</v>
      </c>
    </row>
    <row r="2662" spans="1:40" x14ac:dyDescent="0.25">
      <c r="A2662" t="str">
        <f>"20190303162600364"</f>
        <v>20190303162600364</v>
      </c>
      <c r="B2662" t="str">
        <f>"1551601560356307"</f>
        <v>1551601560356307</v>
      </c>
      <c r="C2662" t="s">
        <v>40</v>
      </c>
      <c r="D2662">
        <v>5.2427210000000004</v>
      </c>
      <c r="E2662">
        <v>0.46722069999999999</v>
      </c>
      <c r="F2662" t="s">
        <v>48</v>
      </c>
      <c r="G2662">
        <v>-320.92770000000002</v>
      </c>
      <c r="H2662" s="1">
        <v>-1.043114E-6</v>
      </c>
      <c r="I2662">
        <v>214.68459999999999</v>
      </c>
      <c r="J2662">
        <v>-346.58179999999999</v>
      </c>
      <c r="K2662">
        <v>1.121146</v>
      </c>
      <c r="L2662">
        <v>215.00550000000001</v>
      </c>
      <c r="M2662">
        <v>0.99979200000000001</v>
      </c>
      <c r="N2662">
        <v>-1.45454E-2</v>
      </c>
      <c r="O2662">
        <v>1.4306859999999999E-2</v>
      </c>
      <c r="P2662">
        <v>0.98008419999999896</v>
      </c>
      <c r="Q2662">
        <v>0.17086680000000001</v>
      </c>
      <c r="R2662">
        <v>-0.1011924</v>
      </c>
      <c r="S2662">
        <v>3.080292</v>
      </c>
      <c r="T2662">
        <v>-0.13283299999999901</v>
      </c>
      <c r="U2662">
        <v>-3.7429810000000001E-2</v>
      </c>
      <c r="V2662">
        <v>0.1152123</v>
      </c>
      <c r="W2662">
        <v>0.18507760000000001</v>
      </c>
      <c r="X2662">
        <v>0.97594689999999995</v>
      </c>
      <c r="Y2662">
        <v>2.6417880000000001E-2</v>
      </c>
      <c r="Z2662">
        <v>-1.1702080000000001E-3</v>
      </c>
      <c r="AA2662">
        <v>0.99965029999999999</v>
      </c>
      <c r="AB2662">
        <v>34</v>
      </c>
      <c r="AC2662">
        <v>25.6540999999999</v>
      </c>
      <c r="AD2662">
        <v>-1.121147043114</v>
      </c>
      <c r="AE2662">
        <v>-0.320900000000023</v>
      </c>
      <c r="AF2662">
        <v>0.68662436240580704</v>
      </c>
      <c r="AG2662">
        <v>-1.121147043114</v>
      </c>
      <c r="AH2662">
        <v>25.598000153987002</v>
      </c>
      <c r="AI2662">
        <v>92.506950281538394</v>
      </c>
      <c r="AJ2662">
        <v>88.463503132980904</v>
      </c>
      <c r="AK2662">
        <v>25.6317388327607</v>
      </c>
      <c r="AL2662">
        <v>79.334343017282606</v>
      </c>
      <c r="AM2662">
        <v>83.267290212615407</v>
      </c>
      <c r="AN2662">
        <v>0.99999997185632905</v>
      </c>
    </row>
    <row r="2663" spans="1:40" x14ac:dyDescent="0.25">
      <c r="A2663" t="str">
        <f>"20190303162600387"</f>
        <v>20190303162600387</v>
      </c>
      <c r="B2663" t="str">
        <f>"1551601560375827"</f>
        <v>1551601560375827</v>
      </c>
      <c r="C2663" t="s">
        <v>40</v>
      </c>
      <c r="D2663">
        <v>5.3130850000000001</v>
      </c>
      <c r="E2663">
        <v>0.46767940000000002</v>
      </c>
      <c r="F2663" t="s">
        <v>48</v>
      </c>
      <c r="G2663">
        <v>-320.04939999999999</v>
      </c>
      <c r="H2663" s="1">
        <v>-1.5105120000000001E-6</v>
      </c>
      <c r="I2663">
        <v>214.6551</v>
      </c>
      <c r="J2663">
        <v>-346.24020000000002</v>
      </c>
      <c r="K2663">
        <v>1.1211599999999999</v>
      </c>
      <c r="L2663">
        <v>215.0104</v>
      </c>
      <c r="M2663">
        <v>0.99979189999999996</v>
      </c>
      <c r="N2663">
        <v>-1.454573E-2</v>
      </c>
      <c r="O2663">
        <v>1.4307220000000001E-2</v>
      </c>
      <c r="P2663">
        <v>0.97978319999999997</v>
      </c>
      <c r="Q2663">
        <v>0.17261299999999999</v>
      </c>
      <c r="R2663">
        <v>-0.10114190000000001</v>
      </c>
      <c r="S2663">
        <v>3.0794679999999999</v>
      </c>
      <c r="T2663">
        <v>-0.1301253</v>
      </c>
      <c r="U2663">
        <v>-4.066467E-2</v>
      </c>
      <c r="V2663">
        <v>0.115158</v>
      </c>
      <c r="W2663">
        <v>0.1868196</v>
      </c>
      <c r="X2663">
        <v>0.97562139999999997</v>
      </c>
      <c r="Y2663">
        <v>2.747163E-2</v>
      </c>
      <c r="Z2663">
        <v>-1.176285E-3</v>
      </c>
      <c r="AA2663">
        <v>0.99962189999999995</v>
      </c>
      <c r="AB2663">
        <v>34</v>
      </c>
      <c r="AC2663">
        <v>26.190799999999999</v>
      </c>
      <c r="AD2663">
        <v>-1.1211615105120001</v>
      </c>
      <c r="AE2663">
        <v>-0.35529999999999901</v>
      </c>
      <c r="AF2663">
        <v>0.72868573380471402</v>
      </c>
      <c r="AG2663">
        <v>-1.1211615105120001</v>
      </c>
      <c r="AH2663">
        <v>26.1351515348227</v>
      </c>
      <c r="AI2663">
        <v>92.455449802723194</v>
      </c>
      <c r="AJ2663">
        <v>88.402924754447497</v>
      </c>
      <c r="AK2663">
        <v>26.169335715288</v>
      </c>
      <c r="AL2663">
        <v>79.232762674354206</v>
      </c>
      <c r="AM2663">
        <v>83.268209648754194</v>
      </c>
      <c r="AN2663">
        <v>1.0000000220230501</v>
      </c>
    </row>
    <row r="2664" spans="1:40" x14ac:dyDescent="0.25">
      <c r="A2664" t="str">
        <f>"20190303162600409"</f>
        <v>20190303162600409</v>
      </c>
      <c r="B2664" t="str">
        <f>"1551601560396323"</f>
        <v>1551601560396323</v>
      </c>
      <c r="C2664" t="s">
        <v>40</v>
      </c>
      <c r="D2664">
        <v>5.1968509999999997</v>
      </c>
      <c r="E2664">
        <v>0.4681169</v>
      </c>
      <c r="F2664" t="s">
        <v>51</v>
      </c>
      <c r="G2664">
        <v>-318.04059999999998</v>
      </c>
      <c r="H2664" s="1">
        <v>4.4713309999999997E-6</v>
      </c>
      <c r="I2664">
        <v>214.60489999999999</v>
      </c>
      <c r="J2664">
        <v>-345.90559999999999</v>
      </c>
      <c r="K2664">
        <v>1.12117</v>
      </c>
      <c r="L2664">
        <v>215.01509999999999</v>
      </c>
      <c r="M2664">
        <v>0.99979200000000001</v>
      </c>
      <c r="N2664">
        <v>-1.4545539999999999E-2</v>
      </c>
      <c r="O2664">
        <v>1.4307220000000001E-2</v>
      </c>
      <c r="P2664">
        <v>0.9796224</v>
      </c>
      <c r="Q2664">
        <v>0.1733085</v>
      </c>
      <c r="R2664">
        <v>-0.101511</v>
      </c>
      <c r="S2664">
        <v>3.0788570000000002</v>
      </c>
      <c r="T2664">
        <v>-0.122409</v>
      </c>
      <c r="U2664">
        <v>-4.426575E-2</v>
      </c>
      <c r="V2664">
        <v>0.11552460000000001</v>
      </c>
      <c r="W2664">
        <v>0.1875124</v>
      </c>
      <c r="X2664">
        <v>0.97544509999999995</v>
      </c>
      <c r="Y2664">
        <v>2.864616E-2</v>
      </c>
      <c r="Z2664">
        <v>-1.1381900000000001E-3</v>
      </c>
      <c r="AA2664">
        <v>0.99958899999999995</v>
      </c>
      <c r="AB2664">
        <v>34</v>
      </c>
      <c r="AC2664">
        <v>27.864999999999998</v>
      </c>
      <c r="AD2664">
        <v>-1.1211655286689901</v>
      </c>
      <c r="AE2664">
        <v>-0.41020000000000301</v>
      </c>
      <c r="AF2664">
        <v>0.80756372357760198</v>
      </c>
      <c r="AG2664">
        <v>-1.1211655286689901</v>
      </c>
      <c r="AH2664">
        <v>27.811263834438702</v>
      </c>
      <c r="AI2664">
        <v>92.307563849264895</v>
      </c>
      <c r="AJ2664">
        <v>88.336753212699193</v>
      </c>
      <c r="AK2664">
        <v>27.845566386394001</v>
      </c>
      <c r="AL2664">
        <v>79.192353700001604</v>
      </c>
      <c r="AM2664">
        <v>83.245767669557793</v>
      </c>
      <c r="AN2664">
        <v>0.99999998823646397</v>
      </c>
    </row>
    <row r="2665" spans="1:40" x14ac:dyDescent="0.25">
      <c r="A2665" t="str">
        <f>"20190303162600429"</f>
        <v>20190303162600429</v>
      </c>
      <c r="B2665" t="str">
        <f>"1551601560415843"</f>
        <v>1551601560415843</v>
      </c>
      <c r="C2665" t="s">
        <v>40</v>
      </c>
      <c r="D2665">
        <v>5.0165860000000002</v>
      </c>
      <c r="E2665">
        <v>0.46844350000000001</v>
      </c>
      <c r="F2665" t="s">
        <v>51</v>
      </c>
      <c r="G2665">
        <v>-316.85789999999997</v>
      </c>
      <c r="H2665" s="1">
        <v>3.9468479999999997E-6</v>
      </c>
      <c r="I2665">
        <v>214.55189999999999</v>
      </c>
      <c r="J2665">
        <v>-345.59589999999997</v>
      </c>
      <c r="K2665">
        <v>1.121165</v>
      </c>
      <c r="L2665">
        <v>215.0196</v>
      </c>
      <c r="M2665">
        <v>0.99979200000000001</v>
      </c>
      <c r="N2665">
        <v>-1.4544949999999999E-2</v>
      </c>
      <c r="O2665">
        <v>1.4307220000000001E-2</v>
      </c>
      <c r="P2665">
        <v>0.97976229999999997</v>
      </c>
      <c r="Q2665">
        <v>0.1723953</v>
      </c>
      <c r="R2665">
        <v>-0.1017165</v>
      </c>
      <c r="S2665">
        <v>3.0783689999999999</v>
      </c>
      <c r="T2665">
        <v>-0.1188172</v>
      </c>
      <c r="U2665">
        <v>-4.9087520000000003E-2</v>
      </c>
      <c r="V2665">
        <v>0.1157321</v>
      </c>
      <c r="W2665">
        <v>0.1866004</v>
      </c>
      <c r="X2665">
        <v>0.9755954</v>
      </c>
      <c r="Y2665">
        <v>3.0214100000000001E-2</v>
      </c>
      <c r="Z2665">
        <v>-1.1466460000000001E-3</v>
      </c>
      <c r="AA2665">
        <v>0.99954279999999995</v>
      </c>
      <c r="AB2665">
        <v>34</v>
      </c>
      <c r="AC2665">
        <v>28.738</v>
      </c>
      <c r="AD2665">
        <v>-1.121161053152</v>
      </c>
      <c r="AE2665">
        <v>-0.467700000000007</v>
      </c>
      <c r="AF2665">
        <v>0.87752118632930898</v>
      </c>
      <c r="AG2665">
        <v>-1.121161053152</v>
      </c>
      <c r="AH2665">
        <v>28.6847183372088</v>
      </c>
      <c r="AI2665">
        <v>92.237258242642099</v>
      </c>
      <c r="AJ2665">
        <v>88.247757428344997</v>
      </c>
      <c r="AK2665">
        <v>28.720029798462299</v>
      </c>
      <c r="AL2665">
        <v>79.245546545111097</v>
      </c>
      <c r="AM2665">
        <v>83.234781149992997</v>
      </c>
      <c r="AN2665">
        <v>1.0000000063758601</v>
      </c>
    </row>
    <row r="2666" spans="1:40" x14ac:dyDescent="0.25">
      <c r="A2666" t="str">
        <f>"20190303162600452"</f>
        <v>20190303162600452</v>
      </c>
      <c r="B2666" t="str">
        <f>"1551601560446099"</f>
        <v>1551601560446099</v>
      </c>
      <c r="C2666" t="s">
        <v>40</v>
      </c>
      <c r="D2666">
        <v>4.9089450000000001</v>
      </c>
      <c r="E2666">
        <v>0.46885209999999999</v>
      </c>
      <c r="F2666" t="s">
        <v>51</v>
      </c>
      <c r="G2666">
        <v>-316.62549999999999</v>
      </c>
      <c r="H2666" s="1">
        <v>3.8438039999999996E-6</v>
      </c>
      <c r="I2666">
        <v>214.52529999999999</v>
      </c>
      <c r="J2666">
        <v>-345.2525</v>
      </c>
      <c r="K2666">
        <v>1.121148</v>
      </c>
      <c r="L2666">
        <v>215.02449999999999</v>
      </c>
      <c r="M2666">
        <v>0.99979200000000001</v>
      </c>
      <c r="N2666">
        <v>-1.45438999999999E-2</v>
      </c>
      <c r="O2666">
        <v>1.4307230000000001E-2</v>
      </c>
      <c r="P2666">
        <v>0.97994429999999999</v>
      </c>
      <c r="Q2666">
        <v>0.1709156</v>
      </c>
      <c r="R2666">
        <v>-0.102457199999999</v>
      </c>
      <c r="S2666">
        <v>3.0774539999999999</v>
      </c>
      <c r="T2666">
        <v>-0.1190983</v>
      </c>
      <c r="U2666">
        <v>-5.2505490000000002E-2</v>
      </c>
      <c r="V2666">
        <v>0.1164752</v>
      </c>
      <c r="W2666">
        <v>0.1851226</v>
      </c>
      <c r="X2666">
        <v>0.97578849999999995</v>
      </c>
      <c r="Y2666">
        <v>3.1327340000000002E-2</v>
      </c>
      <c r="Z2666">
        <v>-1.179294E-3</v>
      </c>
      <c r="AA2666">
        <v>0.99950850000000002</v>
      </c>
      <c r="AB2666">
        <v>34</v>
      </c>
      <c r="AC2666">
        <v>28.626999999999999</v>
      </c>
      <c r="AD2666">
        <v>-1.1211441561960001</v>
      </c>
      <c r="AE2666">
        <v>-0.49920000000000098</v>
      </c>
      <c r="AF2666">
        <v>0.90737392243812498</v>
      </c>
      <c r="AG2666">
        <v>-1.1211441561960001</v>
      </c>
      <c r="AH2666">
        <v>28.5731140066782</v>
      </c>
      <c r="AI2666">
        <v>92.245872697402802</v>
      </c>
      <c r="AJ2666">
        <v>88.181114224133594</v>
      </c>
      <c r="AK2666">
        <v>28.609493803503799</v>
      </c>
      <c r="AL2666">
        <v>79.331719921526897</v>
      </c>
      <c r="AM2666">
        <v>83.193083713377305</v>
      </c>
      <c r="AN2666">
        <v>1.00000002298902</v>
      </c>
    </row>
    <row r="2667" spans="1:40" x14ac:dyDescent="0.25">
      <c r="A2667" t="str">
        <f>"20190303162600476"</f>
        <v>20190303162600476</v>
      </c>
      <c r="B2667" t="str">
        <f>"1551601560466595"</f>
        <v>1551601560466595</v>
      </c>
      <c r="C2667" t="s">
        <v>40</v>
      </c>
      <c r="D2667">
        <v>4.9073669999999998</v>
      </c>
      <c r="E2667">
        <v>0.46907589999999999</v>
      </c>
      <c r="F2667" t="s">
        <v>51</v>
      </c>
      <c r="G2667">
        <v>-316.76010000000002</v>
      </c>
      <c r="H2667" s="1">
        <v>3.9034520000000003E-6</v>
      </c>
      <c r="I2667">
        <v>214.4863</v>
      </c>
      <c r="J2667">
        <v>-344.89150000000001</v>
      </c>
      <c r="K2667">
        <v>1.1211420000000001</v>
      </c>
      <c r="L2667">
        <v>215.02959999999999</v>
      </c>
      <c r="M2667">
        <v>0.99979189999999996</v>
      </c>
      <c r="N2667">
        <v>-1.454242E-2</v>
      </c>
      <c r="O2667">
        <v>1.430742E-2</v>
      </c>
      <c r="P2667">
        <v>0.97995279999999996</v>
      </c>
      <c r="Q2667">
        <v>0.1704859</v>
      </c>
      <c r="R2667">
        <v>-0.10309</v>
      </c>
      <c r="S2667">
        <v>3.0764469999999999</v>
      </c>
      <c r="T2667">
        <v>-0.12105440000000001</v>
      </c>
      <c r="U2667">
        <v>-5.8105469999999999E-2</v>
      </c>
      <c r="V2667">
        <v>0.117108199999999</v>
      </c>
      <c r="W2667">
        <v>0.184692</v>
      </c>
      <c r="X2667">
        <v>0.9757943</v>
      </c>
      <c r="Y2667">
        <v>3.3148749999999998E-2</v>
      </c>
      <c r="Z2667">
        <v>-1.2477759999999999E-3</v>
      </c>
      <c r="AA2667">
        <v>0.9994497</v>
      </c>
      <c r="AB2667">
        <v>34</v>
      </c>
      <c r="AC2667">
        <v>28.1313999999999</v>
      </c>
      <c r="AD2667">
        <v>-1.121138096548</v>
      </c>
      <c r="AE2667">
        <v>-0.54329999999998702</v>
      </c>
      <c r="AF2667">
        <v>0.94427544983837297</v>
      </c>
      <c r="AG2667">
        <v>-1.121138096548</v>
      </c>
      <c r="AH2667">
        <v>28.076168860169599</v>
      </c>
      <c r="AI2667">
        <v>92.285430355665596</v>
      </c>
      <c r="AJ2667">
        <v>88.073718231619594</v>
      </c>
      <c r="AK2667">
        <v>28.114406709398299</v>
      </c>
      <c r="AL2667">
        <v>79.3568240377422</v>
      </c>
      <c r="AM2667">
        <v>83.156480816950506</v>
      </c>
      <c r="AN2667">
        <v>0.99999999064186496</v>
      </c>
    </row>
    <row r="2668" spans="1:40" x14ac:dyDescent="0.25">
      <c r="A2668" t="str">
        <f>"20190303162600497"</f>
        <v>20190303162600497</v>
      </c>
      <c r="B2668" t="str">
        <f>"1551601560485646"</f>
        <v>1551601560485646</v>
      </c>
      <c r="C2668" t="s">
        <v>40</v>
      </c>
      <c r="D2668">
        <v>4.8528760000000002</v>
      </c>
      <c r="E2668">
        <v>0.46935280000000001</v>
      </c>
      <c r="F2668" t="s">
        <v>51</v>
      </c>
      <c r="G2668">
        <v>-316.21429999999998</v>
      </c>
      <c r="H2668" s="1">
        <v>3.661422E-6</v>
      </c>
      <c r="I2668">
        <v>214.45660000000001</v>
      </c>
      <c r="J2668">
        <v>-344.577</v>
      </c>
      <c r="K2668">
        <v>1.1211409999999999</v>
      </c>
      <c r="L2668">
        <v>215.0341</v>
      </c>
      <c r="M2668">
        <v>0.99979200000000001</v>
      </c>
      <c r="N2668">
        <v>-1.4540859999999999E-2</v>
      </c>
      <c r="O2668">
        <v>1.4307429999999999E-2</v>
      </c>
      <c r="P2668">
        <v>0.97995180000000004</v>
      </c>
      <c r="Q2668">
        <v>0.16994029999999999</v>
      </c>
      <c r="R2668">
        <v>-0.1039943</v>
      </c>
      <c r="S2668">
        <v>3.0758359999999998</v>
      </c>
      <c r="T2668">
        <v>-0.12025</v>
      </c>
      <c r="U2668">
        <v>-6.14624E-2</v>
      </c>
      <c r="V2668">
        <v>0.1180126</v>
      </c>
      <c r="W2668">
        <v>0.18414410000000001</v>
      </c>
      <c r="X2668">
        <v>0.97578889999999996</v>
      </c>
      <c r="Y2668">
        <v>3.4242199999999903E-2</v>
      </c>
      <c r="Z2668">
        <v>-1.2692580000000001E-3</v>
      </c>
      <c r="AA2668">
        <v>0.99941279999999999</v>
      </c>
      <c r="AB2668">
        <v>34</v>
      </c>
      <c r="AC2668">
        <v>28.3627</v>
      </c>
      <c r="AD2668">
        <v>-1.1211373385779999</v>
      </c>
      <c r="AE2668">
        <v>-0.57749999999998602</v>
      </c>
      <c r="AF2668">
        <v>0.98174773762183298</v>
      </c>
      <c r="AG2668">
        <v>-1.1211373385779999</v>
      </c>
      <c r="AH2668">
        <v>28.307320755498399</v>
      </c>
      <c r="AI2668">
        <v>92.2667049570627</v>
      </c>
      <c r="AJ2668">
        <v>88.013677603081106</v>
      </c>
      <c r="AK2668">
        <v>28.346519820022898</v>
      </c>
      <c r="AL2668">
        <v>79.388764341924798</v>
      </c>
      <c r="AM2668">
        <v>83.104099063233207</v>
      </c>
      <c r="AN2668">
        <v>1.00000000034339</v>
      </c>
    </row>
    <row r="2669" spans="1:40" x14ac:dyDescent="0.25">
      <c r="A2669" t="str">
        <f>"20190303162600542"</f>
        <v>20190303162600542</v>
      </c>
      <c r="B2669" t="str">
        <f>"1551601560536398"</f>
        <v>1551601560536398</v>
      </c>
      <c r="C2669" t="s">
        <v>40</v>
      </c>
      <c r="D2669">
        <v>4.742413</v>
      </c>
      <c r="E2669">
        <v>0.4703504</v>
      </c>
      <c r="F2669" t="s">
        <v>51</v>
      </c>
      <c r="G2669">
        <v>-315.83670000000001</v>
      </c>
      <c r="H2669" s="1">
        <v>3.493988E-6</v>
      </c>
      <c r="I2669">
        <v>214.41489999999999</v>
      </c>
      <c r="J2669">
        <v>-343.91590000000002</v>
      </c>
      <c r="K2669">
        <v>1.12113</v>
      </c>
      <c r="L2669">
        <v>215.0436</v>
      </c>
      <c r="M2669">
        <v>0.99979200000000001</v>
      </c>
      <c r="N2669">
        <v>-1.4536800000000001E-2</v>
      </c>
      <c r="O2669">
        <v>1.430764E-2</v>
      </c>
      <c r="P2669">
        <v>0.98012520000000003</v>
      </c>
      <c r="Q2669">
        <v>0.16852519999999999</v>
      </c>
      <c r="R2669">
        <v>-0.1046604</v>
      </c>
      <c r="S2669">
        <v>3.0751339999999998</v>
      </c>
      <c r="T2669">
        <v>-0.1199586</v>
      </c>
      <c r="U2669">
        <v>-6.6253660000000006E-2</v>
      </c>
      <c r="V2669">
        <v>0.1186813</v>
      </c>
      <c r="W2669">
        <v>0.182728</v>
      </c>
      <c r="X2669">
        <v>0.97597400000000001</v>
      </c>
      <c r="Y2669">
        <v>3.5801939999999997E-2</v>
      </c>
      <c r="Z2669">
        <v>-1.3082980000000001E-3</v>
      </c>
      <c r="AA2669">
        <v>0.99935810000000003</v>
      </c>
      <c r="AB2669">
        <v>34</v>
      </c>
      <c r="AC2669">
        <v>28.0792</v>
      </c>
      <c r="AD2669">
        <v>-1.1211265060119999</v>
      </c>
      <c r="AE2669">
        <v>-0.62870000000000903</v>
      </c>
      <c r="AF2669">
        <v>1.02878590168706</v>
      </c>
      <c r="AG2669">
        <v>-1.1211265060119999</v>
      </c>
      <c r="AH2669">
        <v>28.022677998149</v>
      </c>
      <c r="AI2669">
        <v>92.2895171257572</v>
      </c>
      <c r="AJ2669">
        <v>87.897466145019607</v>
      </c>
      <c r="AK2669">
        <v>28.063959222852599</v>
      </c>
      <c r="AL2669">
        <v>79.471301532967203</v>
      </c>
      <c r="AM2669">
        <v>83.066706326237707</v>
      </c>
      <c r="AN2669">
        <v>1.0000000108148399</v>
      </c>
    </row>
    <row r="2670" spans="1:40" x14ac:dyDescent="0.25">
      <c r="A2670" t="str">
        <f>"20190303162600588"</f>
        <v>20190303162600588</v>
      </c>
      <c r="B2670" t="str">
        <f>"1551601560575990"</f>
        <v>1551601560575990</v>
      </c>
      <c r="C2670" t="s">
        <v>40</v>
      </c>
      <c r="D2670">
        <v>4.6345809999999998</v>
      </c>
      <c r="E2670">
        <v>0.50090469999999998</v>
      </c>
      <c r="F2670" t="s">
        <v>51</v>
      </c>
      <c r="G2670">
        <v>-314.858</v>
      </c>
      <c r="H2670" s="1">
        <v>3.0599839999999999E-6</v>
      </c>
      <c r="I2670">
        <v>214.3304</v>
      </c>
      <c r="J2670">
        <v>-343.2208</v>
      </c>
      <c r="K2670">
        <v>1.12113</v>
      </c>
      <c r="L2670">
        <v>215.05350000000001</v>
      </c>
      <c r="M2670">
        <v>0.99979209999999996</v>
      </c>
      <c r="N2670">
        <v>-1.453165E-2</v>
      </c>
      <c r="O2670">
        <v>1.430768E-2</v>
      </c>
      <c r="P2670">
        <v>0.9801185</v>
      </c>
      <c r="Q2670">
        <v>0.1677217</v>
      </c>
      <c r="R2670">
        <v>-0.1060083</v>
      </c>
      <c r="S2670">
        <v>3.0731809999999999</v>
      </c>
      <c r="T2670">
        <v>-0.1185713</v>
      </c>
      <c r="U2670">
        <v>-7.5424190000000002E-2</v>
      </c>
      <c r="V2670">
        <v>0.1200288</v>
      </c>
      <c r="W2670">
        <v>0.18191879999999999</v>
      </c>
      <c r="X2670">
        <v>0.97596039999999995</v>
      </c>
      <c r="Y2670">
        <v>3.8793830000000001E-2</v>
      </c>
      <c r="Z2670">
        <v>-1.3739710000000001E-3</v>
      </c>
      <c r="AA2670">
        <v>0.99924630000000003</v>
      </c>
      <c r="AB2670">
        <v>33</v>
      </c>
      <c r="AC2670">
        <v>28.3628</v>
      </c>
      <c r="AD2670">
        <v>-1.121126940016</v>
      </c>
      <c r="AE2670">
        <v>-0.72310000000001595</v>
      </c>
      <c r="AF2670">
        <v>1.1271147252003599</v>
      </c>
      <c r="AG2670">
        <v>-1.121126940016</v>
      </c>
      <c r="AH2670">
        <v>28.305351689654699</v>
      </c>
      <c r="AI2670">
        <v>92.266408701874497</v>
      </c>
      <c r="AJ2670">
        <v>87.719695646874598</v>
      </c>
      <c r="AK2670">
        <v>28.349960273242601</v>
      </c>
      <c r="AL2670">
        <v>79.518455876656603</v>
      </c>
      <c r="AM2670">
        <v>82.988668586801793</v>
      </c>
      <c r="AN2670">
        <v>1.0000000324955101</v>
      </c>
    </row>
    <row r="2671" spans="1:40" x14ac:dyDescent="0.25">
      <c r="A2671" t="str">
        <f>"20190303162600608"</f>
        <v>20190303162600608</v>
      </c>
      <c r="B2671" t="str">
        <f>"1551601560595511"</f>
        <v>1551601560595511</v>
      </c>
      <c r="C2671" t="s">
        <v>40</v>
      </c>
      <c r="D2671">
        <v>4.6173169999999999</v>
      </c>
      <c r="E2671">
        <v>0.50080069999999999</v>
      </c>
      <c r="F2671" t="s">
        <v>51</v>
      </c>
      <c r="G2671">
        <v>-288.38580000000002</v>
      </c>
      <c r="H2671" s="1">
        <v>3.9961510000000001E-6</v>
      </c>
      <c r="I2671">
        <v>209.24039999999999</v>
      </c>
      <c r="J2671">
        <v>-342.92669999999998</v>
      </c>
      <c r="K2671">
        <v>1.1211260000000001</v>
      </c>
      <c r="L2671">
        <v>215.05770000000001</v>
      </c>
      <c r="M2671">
        <v>0.99979209999999996</v>
      </c>
      <c r="N2671">
        <v>-1.4529240000000001E-2</v>
      </c>
      <c r="O2671">
        <v>1.4307810000000001E-2</v>
      </c>
      <c r="P2671">
        <v>0.98013320000000004</v>
      </c>
      <c r="Q2671">
        <v>0.16739879999999999</v>
      </c>
      <c r="R2671">
        <v>-0.1063791</v>
      </c>
      <c r="S2671">
        <v>3.0366209999999998</v>
      </c>
      <c r="T2671">
        <v>-6.2085149999999999E-2</v>
      </c>
      <c r="U2671">
        <v>-0.3219147</v>
      </c>
      <c r="V2671">
        <v>0.12039999999999999</v>
      </c>
      <c r="W2671">
        <v>0.18159339999999999</v>
      </c>
      <c r="X2671">
        <v>0.97597529999999999</v>
      </c>
      <c r="Y2671">
        <v>0.1195962</v>
      </c>
      <c r="Z2671">
        <v>-2.1749650000000001E-3</v>
      </c>
      <c r="AA2671">
        <v>0.99282029999999999</v>
      </c>
      <c r="AB2671">
        <v>33</v>
      </c>
      <c r="AC2671">
        <v>54.540899999999901</v>
      </c>
      <c r="AD2671">
        <v>-1.121122003849</v>
      </c>
      <c r="AE2671">
        <v>-5.8173000000000101</v>
      </c>
      <c r="AF2671">
        <v>6.5943925863702697</v>
      </c>
      <c r="AG2671">
        <v>-1.121122003849</v>
      </c>
      <c r="AH2671">
        <v>54.429334773527899</v>
      </c>
      <c r="AI2671">
        <v>91.171433717397903</v>
      </c>
      <c r="AJ2671">
        <v>83.091991541925196</v>
      </c>
      <c r="AK2671">
        <v>54.838813007025003</v>
      </c>
      <c r="AL2671">
        <v>79.537415958301693</v>
      </c>
      <c r="AM2671">
        <v>82.967308506286898</v>
      </c>
      <c r="AN2671">
        <v>1.00000005456682</v>
      </c>
    </row>
    <row r="2672" spans="1:40" x14ac:dyDescent="0.25">
      <c r="A2672" t="str">
        <f>"20190303162600630"</f>
        <v>20190303162600630</v>
      </c>
      <c r="B2672" t="str">
        <f>"1551601560625767"</f>
        <v>1551601560625767</v>
      </c>
      <c r="C2672" t="s">
        <v>40</v>
      </c>
      <c r="D2672">
        <v>4.5886839999999998</v>
      </c>
      <c r="E2672">
        <v>0.50095489999999998</v>
      </c>
      <c r="F2672" t="s">
        <v>51</v>
      </c>
      <c r="G2672">
        <v>-297.59350000000001</v>
      </c>
      <c r="H2672" s="1">
        <v>2.2413800000000001E-6</v>
      </c>
      <c r="I2672">
        <v>210.2568</v>
      </c>
      <c r="J2672">
        <v>-342.58789999999999</v>
      </c>
      <c r="K2672">
        <v>1.1211249999999999</v>
      </c>
      <c r="L2672">
        <v>215.0626</v>
      </c>
      <c r="M2672">
        <v>0.99979220000000002</v>
      </c>
      <c r="N2672">
        <v>-1.452633E-2</v>
      </c>
      <c r="O2672">
        <v>1.430784E-2</v>
      </c>
      <c r="P2672">
        <v>0.98023910000000003</v>
      </c>
      <c r="Q2672">
        <v>0.1662544</v>
      </c>
      <c r="R2672">
        <v>-0.10719579999999999</v>
      </c>
      <c r="S2672">
        <v>3.0386959999999998</v>
      </c>
      <c r="T2672">
        <v>-7.5149300000000002E-2</v>
      </c>
      <c r="U2672">
        <v>-0.32180789999999998</v>
      </c>
      <c r="V2672">
        <v>0.1212182</v>
      </c>
      <c r="W2672">
        <v>0.18044769999999999</v>
      </c>
      <c r="X2672">
        <v>0.97608640000000002</v>
      </c>
      <c r="Y2672">
        <v>0.119475</v>
      </c>
      <c r="Z2672">
        <v>-2.4890899999999998E-3</v>
      </c>
      <c r="AA2672">
        <v>0.99283410000000005</v>
      </c>
      <c r="AB2672">
        <v>33</v>
      </c>
      <c r="AC2672">
        <v>44.994399999999899</v>
      </c>
      <c r="AD2672">
        <v>-1.1211227586200001</v>
      </c>
      <c r="AE2672">
        <v>-4.8057999999999996</v>
      </c>
      <c r="AF2672">
        <v>5.44580560406418</v>
      </c>
      <c r="AG2672">
        <v>-1.1211227586200001</v>
      </c>
      <c r="AH2672">
        <v>44.893467527333897</v>
      </c>
      <c r="AI2672">
        <v>91.420141690509396</v>
      </c>
      <c r="AJ2672">
        <v>83.083523996513506</v>
      </c>
      <c r="AK2672">
        <v>45.2364581012366</v>
      </c>
      <c r="AL2672">
        <v>79.604161251309407</v>
      </c>
      <c r="AM2672">
        <v>82.920797667751202</v>
      </c>
      <c r="AN2672">
        <v>0.99999994235574297</v>
      </c>
    </row>
    <row r="2673" spans="1:40" x14ac:dyDescent="0.25">
      <c r="A2673" t="str">
        <f>"20190303162600653"</f>
        <v>20190303162600653</v>
      </c>
      <c r="B2673" t="str">
        <f>"1551601560646263"</f>
        <v>1551601560646263</v>
      </c>
      <c r="C2673" t="s">
        <v>40</v>
      </c>
      <c r="D2673">
        <v>4.6036659999999996</v>
      </c>
      <c r="E2673">
        <v>0.50082979999999999</v>
      </c>
      <c r="F2673" t="s">
        <v>51</v>
      </c>
      <c r="G2673">
        <v>-303.98790000000002</v>
      </c>
      <c r="H2673" s="1">
        <v>1.9458789999999999E-6</v>
      </c>
      <c r="I2673">
        <v>210.9427</v>
      </c>
      <c r="J2673">
        <v>-342.25240000000002</v>
      </c>
      <c r="K2673">
        <v>1.12112099999999</v>
      </c>
      <c r="L2673">
        <v>215.06739999999999</v>
      </c>
      <c r="M2673">
        <v>0.99979220000000002</v>
      </c>
      <c r="N2673">
        <v>-1.4523350000000001E-2</v>
      </c>
      <c r="O2673">
        <v>1.430786E-2</v>
      </c>
      <c r="P2673">
        <v>0.98025649999999998</v>
      </c>
      <c r="Q2673">
        <v>0.16579940000000001</v>
      </c>
      <c r="R2673">
        <v>-0.1077415</v>
      </c>
      <c r="S2673">
        <v>3.0399780000000001</v>
      </c>
      <c r="T2673">
        <v>-8.8294979999999995E-2</v>
      </c>
      <c r="U2673">
        <v>-0.3244629</v>
      </c>
      <c r="V2673">
        <v>0.1217641</v>
      </c>
      <c r="W2673">
        <v>0.17999039999999999</v>
      </c>
      <c r="X2673">
        <v>0.9761029</v>
      </c>
      <c r="Y2673">
        <v>0.1202699</v>
      </c>
      <c r="Z2673">
        <v>-2.824647E-3</v>
      </c>
      <c r="AA2673">
        <v>0.99273719999999999</v>
      </c>
      <c r="AB2673">
        <v>33</v>
      </c>
      <c r="AC2673">
        <v>38.264499999999998</v>
      </c>
      <c r="AD2673">
        <v>-1.1211190541210001</v>
      </c>
      <c r="AE2673">
        <v>-4.12469999999999</v>
      </c>
      <c r="AF2673">
        <v>4.6678574672703199</v>
      </c>
      <c r="AG2673">
        <v>-1.1211190541210001</v>
      </c>
      <c r="AH2673">
        <v>38.169170770300397</v>
      </c>
      <c r="AI2673">
        <v>91.669994602951206</v>
      </c>
      <c r="AJ2673">
        <v>83.027695849448705</v>
      </c>
      <c r="AK2673">
        <v>38.469876508257997</v>
      </c>
      <c r="AL2673">
        <v>79.630798902932696</v>
      </c>
      <c r="AM2673">
        <v>82.8893614423136</v>
      </c>
      <c r="AN2673">
        <v>0.99999995576468803</v>
      </c>
    </row>
    <row r="2674" spans="1:40" x14ac:dyDescent="0.25">
      <c r="A2674" t="str">
        <f>"20190303162600676"</f>
        <v>20190303162600676</v>
      </c>
      <c r="B2674" t="str">
        <f>"1551601560665783"</f>
        <v>1551601560665783</v>
      </c>
      <c r="C2674" t="s">
        <v>40</v>
      </c>
      <c r="D2674">
        <v>4.6140160000000003</v>
      </c>
      <c r="E2674">
        <v>0.50086609999999998</v>
      </c>
      <c r="F2674" t="s">
        <v>51</v>
      </c>
      <c r="G2674">
        <v>-305.09230000000002</v>
      </c>
      <c r="H2674" s="1">
        <v>1.74995999999999E-6</v>
      </c>
      <c r="I2674">
        <v>211.09970000000001</v>
      </c>
      <c r="J2674">
        <v>-341.9144</v>
      </c>
      <c r="K2674">
        <v>1.1211340000000001</v>
      </c>
      <c r="L2674">
        <v>215.07220000000001</v>
      </c>
      <c r="M2674">
        <v>0.99979220000000002</v>
      </c>
      <c r="N2674">
        <v>-1.452024E-2</v>
      </c>
      <c r="O2674">
        <v>1.4308059999999999E-2</v>
      </c>
      <c r="P2674">
        <v>0.98014950000000001</v>
      </c>
      <c r="Q2674">
        <v>0.1663347</v>
      </c>
      <c r="R2674">
        <v>-0.1078886</v>
      </c>
      <c r="S2674">
        <v>3.040222</v>
      </c>
      <c r="T2674">
        <v>-9.1723440000000003E-2</v>
      </c>
      <c r="U2674">
        <v>-0.3246155</v>
      </c>
      <c r="V2674">
        <v>0.1219097</v>
      </c>
      <c r="W2674">
        <v>0.18052090000000001</v>
      </c>
      <c r="X2674">
        <v>0.97598680000000004</v>
      </c>
      <c r="Y2674">
        <v>0.1203058</v>
      </c>
      <c r="Z2674">
        <v>-2.9088120000000002E-3</v>
      </c>
      <c r="AA2674">
        <v>0.99273259999999997</v>
      </c>
      <c r="AB2674">
        <v>33</v>
      </c>
      <c r="AC2674">
        <v>36.822099999999899</v>
      </c>
      <c r="AD2674">
        <v>-1.1211322500399901</v>
      </c>
      <c r="AE2674">
        <v>-3.9724999999999899</v>
      </c>
      <c r="AF2674">
        <v>4.4948826542566298</v>
      </c>
      <c r="AG2674">
        <v>-1.1211322500399901</v>
      </c>
      <c r="AH2674">
        <v>36.727828832975902</v>
      </c>
      <c r="AI2674">
        <v>91.735493995064402</v>
      </c>
      <c r="AJ2674">
        <v>83.022635194749299</v>
      </c>
      <c r="AK2674">
        <v>37.018837345086801</v>
      </c>
      <c r="AL2674">
        <v>79.599897802311801</v>
      </c>
      <c r="AM2674">
        <v>82.880107884460003</v>
      </c>
      <c r="AN2674">
        <v>1.0000000020325699</v>
      </c>
    </row>
    <row r="2675" spans="1:40" x14ac:dyDescent="0.25">
      <c r="A2675" t="str">
        <f>"20190303162600697"</f>
        <v>20190303162600697</v>
      </c>
      <c r="B2675" t="str">
        <f>"1551601560686279"</f>
        <v>1551601560686279</v>
      </c>
      <c r="C2675" t="s">
        <v>40</v>
      </c>
      <c r="D2675">
        <v>4.6114410000000001</v>
      </c>
      <c r="E2675">
        <v>0.50086109999999995</v>
      </c>
      <c r="F2675" t="s">
        <v>51</v>
      </c>
      <c r="G2675">
        <v>-305.20069999999998</v>
      </c>
      <c r="H2675" s="1">
        <v>1.7307340000000001E-6</v>
      </c>
      <c r="I2675">
        <v>211.1447</v>
      </c>
      <c r="J2675">
        <v>-341.59859999999998</v>
      </c>
      <c r="K2675">
        <v>1.121149</v>
      </c>
      <c r="L2675">
        <v>215.07669999999999</v>
      </c>
      <c r="M2675">
        <v>0.99979229999999997</v>
      </c>
      <c r="N2675">
        <v>-1.451728E-2</v>
      </c>
      <c r="O2675">
        <v>1.4308080000000001E-2</v>
      </c>
      <c r="P2675">
        <v>0.97977669999999994</v>
      </c>
      <c r="Q2675">
        <v>0.16838249999999999</v>
      </c>
      <c r="R2675">
        <v>-0.1080991</v>
      </c>
      <c r="S2675">
        <v>3.0407099999999998</v>
      </c>
      <c r="T2675">
        <v>-9.2854740000000005E-2</v>
      </c>
      <c r="U2675">
        <v>-0.32528689999999999</v>
      </c>
      <c r="V2675">
        <v>0.122114899999999</v>
      </c>
      <c r="W2675">
        <v>0.18255969999999999</v>
      </c>
      <c r="X2675">
        <v>0.97558180000000005</v>
      </c>
      <c r="Y2675">
        <v>0.12050379999999999</v>
      </c>
      <c r="Z2675">
        <v>-2.9403739999999999E-3</v>
      </c>
      <c r="AA2675">
        <v>0.99270849999999999</v>
      </c>
      <c r="AB2675">
        <v>33</v>
      </c>
      <c r="AC2675">
        <v>36.3978999999999</v>
      </c>
      <c r="AD2675">
        <v>-1.1211472692659901</v>
      </c>
      <c r="AE2675">
        <v>-3.93199999999998</v>
      </c>
      <c r="AF2675">
        <v>4.4482645258576703</v>
      </c>
      <c r="AG2675">
        <v>-1.1211472692659901</v>
      </c>
      <c r="AH2675">
        <v>36.303860412584903</v>
      </c>
      <c r="AI2675">
        <v>91.755741835988701</v>
      </c>
      <c r="AJ2675">
        <v>83.014442927377701</v>
      </c>
      <c r="AK2675">
        <v>36.5925444503089</v>
      </c>
      <c r="AL2675">
        <v>79.481108962129994</v>
      </c>
      <c r="AM2675">
        <v>82.865316739914903</v>
      </c>
      <c r="AN2675">
        <v>0.99999997067866897</v>
      </c>
    </row>
    <row r="2676" spans="1:40" x14ac:dyDescent="0.25">
      <c r="A2676" t="str">
        <f>"20190303162600719"</f>
        <v>20190303162600719</v>
      </c>
      <c r="B2676" t="str">
        <f>"1551601560705799"</f>
        <v>1551601560705799</v>
      </c>
      <c r="C2676" t="s">
        <v>40</v>
      </c>
      <c r="D2676">
        <v>4.5926080000000002</v>
      </c>
      <c r="E2676">
        <v>0.50103909999999996</v>
      </c>
      <c r="F2676" t="s">
        <v>51</v>
      </c>
      <c r="G2676">
        <v>-302.0093</v>
      </c>
      <c r="H2676" s="1">
        <v>2.2968449999999999E-6</v>
      </c>
      <c r="I2676">
        <v>210.82589999999999</v>
      </c>
      <c r="J2676">
        <v>-341.27719999999999</v>
      </c>
      <c r="K2676">
        <v>1.121162</v>
      </c>
      <c r="L2676">
        <v>215.0813</v>
      </c>
      <c r="M2676">
        <v>0.99979229999999997</v>
      </c>
      <c r="N2676">
        <v>-1.451422E-2</v>
      </c>
      <c r="O2676">
        <v>1.4308100000000001E-2</v>
      </c>
      <c r="P2676">
        <v>0.97940090000000002</v>
      </c>
      <c r="Q2676">
        <v>0.1702939</v>
      </c>
      <c r="R2676">
        <v>-0.10850750000000001</v>
      </c>
      <c r="S2676">
        <v>3.0407099999999998</v>
      </c>
      <c r="T2676">
        <v>-8.6111190000000004E-2</v>
      </c>
      <c r="U2676">
        <v>-0.32649230000000001</v>
      </c>
      <c r="V2676">
        <v>0.12251819999999999</v>
      </c>
      <c r="W2676">
        <v>0.1844623</v>
      </c>
      <c r="X2676">
        <v>0.97517330000000002</v>
      </c>
      <c r="Y2676">
        <v>0.1209028</v>
      </c>
      <c r="Z2676">
        <v>-2.783925E-3</v>
      </c>
      <c r="AA2676">
        <v>0.99266049999999995</v>
      </c>
      <c r="AB2676">
        <v>33</v>
      </c>
      <c r="AC2676">
        <v>39.267899999999997</v>
      </c>
      <c r="AD2676">
        <v>-1.121159703155</v>
      </c>
      <c r="AE2676">
        <v>-4.2553999999999998</v>
      </c>
      <c r="AF2676">
        <v>4.8129945512651098</v>
      </c>
      <c r="AG2676">
        <v>-1.121159703155</v>
      </c>
      <c r="AH2676">
        <v>39.171424789011198</v>
      </c>
      <c r="AI2676">
        <v>91.627234611606497</v>
      </c>
      <c r="AJ2676">
        <v>82.995175168439303</v>
      </c>
      <c r="AK2676">
        <v>39.481925429639901</v>
      </c>
      <c r="AL2676">
        <v>79.370215139443701</v>
      </c>
      <c r="AM2676">
        <v>82.839030193622193</v>
      </c>
      <c r="AN2676">
        <v>1.00000000724271</v>
      </c>
    </row>
    <row r="2677" spans="1:40" x14ac:dyDescent="0.25">
      <c r="A2677" t="str">
        <f>"20190303162600742"</f>
        <v>20190303162600742</v>
      </c>
      <c r="B2677" t="str">
        <f>"1551601560736055"</f>
        <v>1551601560736055</v>
      </c>
      <c r="C2677" t="s">
        <v>40</v>
      </c>
      <c r="D2677">
        <v>4.5569220000000001</v>
      </c>
      <c r="E2677">
        <v>0.50106649999999997</v>
      </c>
      <c r="F2677" t="s">
        <v>51</v>
      </c>
      <c r="G2677">
        <v>-298.33499999999998</v>
      </c>
      <c r="H2677" s="1">
        <v>2.3729000000000002E-6</v>
      </c>
      <c r="I2677">
        <v>210.42500000000001</v>
      </c>
      <c r="J2677">
        <v>-340.9341</v>
      </c>
      <c r="K2677">
        <v>1.121162</v>
      </c>
      <c r="L2677">
        <v>215.08629999999999</v>
      </c>
      <c r="M2677">
        <v>0.99979249999999997</v>
      </c>
      <c r="N2677">
        <v>-1.45112E-2</v>
      </c>
      <c r="O2677">
        <v>1.4308130000000001E-2</v>
      </c>
      <c r="P2677">
        <v>0.97930499999999998</v>
      </c>
      <c r="Q2677">
        <v>0.17101529999999901</v>
      </c>
      <c r="R2677">
        <v>-0.1082393</v>
      </c>
      <c r="S2677">
        <v>3.0404049999999998</v>
      </c>
      <c r="T2677">
        <v>-7.9380629999999994E-2</v>
      </c>
      <c r="U2677">
        <v>-0.32968140000000001</v>
      </c>
      <c r="V2677">
        <v>0.1222487</v>
      </c>
      <c r="W2677">
        <v>0.18517980000000001</v>
      </c>
      <c r="X2677">
        <v>0.97507109999999997</v>
      </c>
      <c r="Y2677">
        <v>0.12195159999999999</v>
      </c>
      <c r="Z2677">
        <v>-2.6402579999999999E-3</v>
      </c>
      <c r="AA2677">
        <v>0.99253259999999999</v>
      </c>
      <c r="AB2677">
        <v>33</v>
      </c>
      <c r="AC2677">
        <v>42.5991</v>
      </c>
      <c r="AD2677">
        <v>-1.1211596270999999</v>
      </c>
      <c r="AE2677">
        <v>-4.6612999999999802</v>
      </c>
      <c r="AF2677">
        <v>5.2667952284459796</v>
      </c>
      <c r="AG2677">
        <v>-1.1211596270999999</v>
      </c>
      <c r="AH2677">
        <v>42.4989468992596</v>
      </c>
      <c r="AI2677">
        <v>91.499695563856093</v>
      </c>
      <c r="AJ2677">
        <v>82.935486682759404</v>
      </c>
      <c r="AK2677">
        <v>42.838728020727999</v>
      </c>
      <c r="AL2677">
        <v>79.328384439618205</v>
      </c>
      <c r="AM2677">
        <v>82.853877810285198</v>
      </c>
      <c r="AN2677">
        <v>0.99999997651746897</v>
      </c>
    </row>
    <row r="2678" spans="1:40" x14ac:dyDescent="0.25">
      <c r="A2678" t="str">
        <f>"20190303162600767"</f>
        <v>20190303162600767</v>
      </c>
      <c r="B2678" t="str">
        <f>"1551601560756551"</f>
        <v>1551601560756551</v>
      </c>
      <c r="C2678" t="s">
        <v>40</v>
      </c>
      <c r="D2678">
        <v>4.583126</v>
      </c>
      <c r="E2678">
        <v>0.50105889999999997</v>
      </c>
      <c r="F2678" t="s">
        <v>51</v>
      </c>
      <c r="G2678">
        <v>-296.64420000000001</v>
      </c>
      <c r="H2678" s="1">
        <v>2.0729839999999999E-6</v>
      </c>
      <c r="I2678">
        <v>210.2946</v>
      </c>
      <c r="J2678">
        <v>-340.57319999999999</v>
      </c>
      <c r="K2678">
        <v>1.1211679999999999</v>
      </c>
      <c r="L2678">
        <v>215.09139999999999</v>
      </c>
      <c r="M2678">
        <v>0.99979240000000003</v>
      </c>
      <c r="N2678">
        <v>-1.4507630000000001E-2</v>
      </c>
      <c r="O2678">
        <v>1.4308329999999999E-2</v>
      </c>
      <c r="P2678">
        <v>0.97959149999999995</v>
      </c>
      <c r="Q2678">
        <v>0.17035059999999999</v>
      </c>
      <c r="R2678">
        <v>-0.1066826</v>
      </c>
      <c r="S2678">
        <v>3.0404969999999998</v>
      </c>
      <c r="T2678">
        <v>-7.6967599999999997E-2</v>
      </c>
      <c r="U2678">
        <v>-0.32894899999999999</v>
      </c>
      <c r="V2678">
        <v>0.1206965</v>
      </c>
      <c r="W2678">
        <v>0.18451619999999999</v>
      </c>
      <c r="X2678">
        <v>0.97539030000000004</v>
      </c>
      <c r="Y2678">
        <v>0.1217157</v>
      </c>
      <c r="Z2678">
        <v>-2.5757929999999998E-3</v>
      </c>
      <c r="AA2678">
        <v>0.99256160000000004</v>
      </c>
      <c r="AB2678">
        <v>33</v>
      </c>
      <c r="AC2678">
        <v>43.928999999999903</v>
      </c>
      <c r="AD2678">
        <v>-1.1211659270159999</v>
      </c>
      <c r="AE2678">
        <v>-4.7967999999999904</v>
      </c>
      <c r="AF2678">
        <v>5.4214357962718296</v>
      </c>
      <c r="AG2678">
        <v>-1.1211659270159999</v>
      </c>
      <c r="AH2678">
        <v>43.8276484019473</v>
      </c>
      <c r="AI2678">
        <v>91.4542985557771</v>
      </c>
      <c r="AJ2678">
        <v>82.948390999558299</v>
      </c>
      <c r="AK2678">
        <v>44.175918140698698</v>
      </c>
      <c r="AL2678">
        <v>79.367073476415399</v>
      </c>
      <c r="AM2678">
        <v>82.945978063160496</v>
      </c>
      <c r="AN2678">
        <v>1.00000005525438</v>
      </c>
    </row>
    <row r="2679" spans="1:40" x14ac:dyDescent="0.25">
      <c r="A2679" t="str">
        <f>"20190303162600789"</f>
        <v>20190303162600789</v>
      </c>
      <c r="B2679" t="str">
        <f>"1551601560776068"</f>
        <v>1551601560776068</v>
      </c>
      <c r="C2679" t="s">
        <v>40</v>
      </c>
      <c r="D2679">
        <v>4.6229519999999997</v>
      </c>
      <c r="E2679">
        <v>0.50110379999999999</v>
      </c>
      <c r="F2679" t="s">
        <v>51</v>
      </c>
      <c r="G2679">
        <v>-297.25209999999998</v>
      </c>
      <c r="H2679" s="1">
        <v>2.1808080000000002E-6</v>
      </c>
      <c r="I2679">
        <v>210.48439999999999</v>
      </c>
      <c r="J2679">
        <v>-340.23140000000001</v>
      </c>
      <c r="K2679">
        <v>1.1211580000000001</v>
      </c>
      <c r="L2679">
        <v>215.09630000000001</v>
      </c>
      <c r="M2679">
        <v>0.99979249999999997</v>
      </c>
      <c r="N2679">
        <v>-1.450397E-2</v>
      </c>
      <c r="O2679">
        <v>1.4308359999999999E-2</v>
      </c>
      <c r="P2679">
        <v>0.97977320000000001</v>
      </c>
      <c r="Q2679">
        <v>0.17096120000000001</v>
      </c>
      <c r="R2679">
        <v>-0.1040035</v>
      </c>
      <c r="S2679">
        <v>3.040985</v>
      </c>
      <c r="T2679">
        <v>-7.8701729999999998E-2</v>
      </c>
      <c r="U2679">
        <v>-0.32339479999999998</v>
      </c>
      <c r="V2679">
        <v>0.11802020000000001</v>
      </c>
      <c r="W2679">
        <v>0.1851264</v>
      </c>
      <c r="X2679">
        <v>0.97560210000000003</v>
      </c>
      <c r="Y2679">
        <v>0.11990480000000001</v>
      </c>
      <c r="Z2679">
        <v>-2.5815899999999999E-3</v>
      </c>
      <c r="AA2679">
        <v>0.9927821</v>
      </c>
      <c r="AB2679">
        <v>33</v>
      </c>
      <c r="AC2679">
        <v>42.979300000000002</v>
      </c>
      <c r="AD2679">
        <v>-1.1211558191919999</v>
      </c>
      <c r="AE2679">
        <v>-4.6119000000000199</v>
      </c>
      <c r="AF2679">
        <v>5.2229420964872197</v>
      </c>
      <c r="AG2679">
        <v>-1.1211558191919999</v>
      </c>
      <c r="AH2679">
        <v>42.880056900488803</v>
      </c>
      <c r="AI2679">
        <v>91.486749533541598</v>
      </c>
      <c r="AJ2679">
        <v>83.055380926274694</v>
      </c>
      <c r="AK2679">
        <v>43.211519231604399</v>
      </c>
      <c r="AL2679">
        <v>79.331498169063096</v>
      </c>
      <c r="AM2679">
        <v>83.102351511859794</v>
      </c>
      <c r="AN2679">
        <v>1.0000000045547</v>
      </c>
    </row>
    <row r="2680" spans="1:40" x14ac:dyDescent="0.25">
      <c r="A2680" t="str">
        <f>"20190303162600812"</f>
        <v>20190303162600812</v>
      </c>
      <c r="B2680" t="str">
        <f>"1551601560806323"</f>
        <v>1551601560806323</v>
      </c>
      <c r="C2680" t="s">
        <v>40</v>
      </c>
      <c r="D2680">
        <v>4.6092259999999996</v>
      </c>
      <c r="E2680">
        <v>0.46195360000000002</v>
      </c>
      <c r="F2680" t="s">
        <v>51</v>
      </c>
      <c r="G2680">
        <v>-295.767</v>
      </c>
      <c r="H2680" s="1">
        <v>1.9173770000000001E-6</v>
      </c>
      <c r="I2680">
        <v>210.48769999999999</v>
      </c>
      <c r="J2680">
        <v>-339.91090000000003</v>
      </c>
      <c r="K2680">
        <v>1.121154</v>
      </c>
      <c r="L2680">
        <v>215.1009</v>
      </c>
      <c r="M2680">
        <v>0.99979249999999997</v>
      </c>
      <c r="N2680">
        <v>-1.450047E-2</v>
      </c>
      <c r="O2680">
        <v>1.430856E-2</v>
      </c>
      <c r="P2680">
        <v>0.98028990000000005</v>
      </c>
      <c r="Q2680">
        <v>0.16948540000000001</v>
      </c>
      <c r="R2680">
        <v>-0.1015201</v>
      </c>
      <c r="S2680">
        <v>3.0418400000000001</v>
      </c>
      <c r="T2680">
        <v>-7.6699020000000007E-2</v>
      </c>
      <c r="U2680">
        <v>-0.31527709999999998</v>
      </c>
      <c r="V2680">
        <v>0.1155446</v>
      </c>
      <c r="W2680">
        <v>0.18365570000000001</v>
      </c>
      <c r="X2680">
        <v>0.97617619999999905</v>
      </c>
      <c r="Y2680">
        <v>0.11725869999999999</v>
      </c>
      <c r="Z2680">
        <v>-2.479752E-3</v>
      </c>
      <c r="AA2680">
        <v>0.99309829999999999</v>
      </c>
      <c r="AB2680">
        <v>33</v>
      </c>
      <c r="AC2680">
        <v>44.143900000000002</v>
      </c>
      <c r="AD2680">
        <v>-1.1211520826229999</v>
      </c>
      <c r="AE2680">
        <v>-4.6132</v>
      </c>
      <c r="AF2680">
        <v>5.2410854835265104</v>
      </c>
      <c r="AG2680">
        <v>-1.1211520826229999</v>
      </c>
      <c r="AH2680">
        <v>44.045260636229202</v>
      </c>
      <c r="AI2680">
        <v>91.447912802626306</v>
      </c>
      <c r="AJ2680">
        <v>83.214101169368305</v>
      </c>
      <c r="AK2680">
        <v>44.3701582547478</v>
      </c>
      <c r="AL2680">
        <v>79.4172328344589</v>
      </c>
      <c r="AM2680">
        <v>83.249621854546305</v>
      </c>
      <c r="AN2680">
        <v>0.99999997208904401</v>
      </c>
    </row>
    <row r="2681" spans="1:40" x14ac:dyDescent="0.25">
      <c r="A2681" t="str">
        <f>"20190303162600832"</f>
        <v>20190303162600832</v>
      </c>
      <c r="B2681" t="str">
        <f>"1551601560825844"</f>
        <v>1551601560825844</v>
      </c>
      <c r="C2681" t="s">
        <v>40</v>
      </c>
      <c r="D2681">
        <v>4.782813</v>
      </c>
      <c r="E2681">
        <v>0.39931319999999998</v>
      </c>
      <c r="F2681" t="s">
        <v>51</v>
      </c>
      <c r="G2681">
        <v>-310.82170000000002</v>
      </c>
      <c r="H2681" s="1">
        <v>1.270025E-6</v>
      </c>
      <c r="I2681">
        <v>215.1344</v>
      </c>
      <c r="J2681">
        <v>-339.59800000000001</v>
      </c>
      <c r="K2681">
        <v>1.1211439999999999</v>
      </c>
      <c r="L2681">
        <v>215.1054</v>
      </c>
      <c r="M2681">
        <v>0.99979260000000003</v>
      </c>
      <c r="N2681">
        <v>-1.4497060000000001E-2</v>
      </c>
      <c r="O2681">
        <v>1.4308410000000001E-2</v>
      </c>
      <c r="P2681">
        <v>0.98079539999999998</v>
      </c>
      <c r="Q2681">
        <v>0.168007399999999</v>
      </c>
      <c r="R2681">
        <v>-9.9066230000000005E-2</v>
      </c>
      <c r="S2681">
        <v>3.0812379999999999</v>
      </c>
      <c r="T2681">
        <v>-0.1187565</v>
      </c>
      <c r="U2681">
        <v>3.540039E-3</v>
      </c>
      <c r="V2681">
        <v>0.11309809999999999</v>
      </c>
      <c r="W2681">
        <v>0.18218229999999999</v>
      </c>
      <c r="X2681">
        <v>0.97673869999999896</v>
      </c>
      <c r="Y2681">
        <v>1.314355E-2</v>
      </c>
      <c r="Z2681">
        <v>-6.9237300000000003E-4</v>
      </c>
      <c r="AA2681">
        <v>0.99991339999999995</v>
      </c>
      <c r="AB2681">
        <v>33</v>
      </c>
      <c r="AC2681">
        <v>28.7762999999999</v>
      </c>
      <c r="AD2681">
        <v>-1.1211427299750001</v>
      </c>
      <c r="AE2681">
        <v>2.89999999999963E-2</v>
      </c>
      <c r="AF2681">
        <v>0.38220914696618402</v>
      </c>
      <c r="AG2681">
        <v>-1.1211427299750001</v>
      </c>
      <c r="AH2681">
        <v>28.730158182406502</v>
      </c>
      <c r="AI2681">
        <v>92.234533283157901</v>
      </c>
      <c r="AJ2681">
        <v>89.237815569563907</v>
      </c>
      <c r="AK2681">
        <v>28.754565446883401</v>
      </c>
      <c r="AL2681">
        <v>79.5031018276986</v>
      </c>
      <c r="AM2681">
        <v>83.395046419447695</v>
      </c>
      <c r="AN2681">
        <v>1.0000000293672899</v>
      </c>
    </row>
    <row r="2682" spans="1:40" x14ac:dyDescent="0.25">
      <c r="A2682" t="str">
        <f>"20190303162600855"</f>
        <v>20190303162600855</v>
      </c>
      <c r="B2682" t="str">
        <f>"1551601560846340"</f>
        <v>1551601560846340</v>
      </c>
      <c r="C2682" t="s">
        <v>40</v>
      </c>
      <c r="D2682">
        <v>4.6803160000000004</v>
      </c>
      <c r="E2682">
        <v>0.39571190000000001</v>
      </c>
      <c r="F2682" t="s">
        <v>51</v>
      </c>
      <c r="G2682">
        <v>-315.5249</v>
      </c>
      <c r="H2682" s="1">
        <v>3.3556979999999999E-6</v>
      </c>
      <c r="I2682">
        <v>219.0093</v>
      </c>
      <c r="J2682">
        <v>-339.27339999999998</v>
      </c>
      <c r="K2682">
        <v>1.121132</v>
      </c>
      <c r="L2682">
        <v>215.11009999999999</v>
      </c>
      <c r="M2682">
        <v>0.99979260000000003</v>
      </c>
      <c r="N2682">
        <v>-1.4493610000000001E-2</v>
      </c>
      <c r="O2682">
        <v>1.4308609999999999E-2</v>
      </c>
      <c r="P2682">
        <v>0.98114129999999999</v>
      </c>
      <c r="Q2682">
        <v>0.1667565</v>
      </c>
      <c r="R2682">
        <v>-9.7746520000000003E-2</v>
      </c>
      <c r="S2682">
        <v>3.1351010000000001</v>
      </c>
      <c r="T2682">
        <v>-0.14600869999999999</v>
      </c>
      <c r="U2682">
        <v>0.50840759999999996</v>
      </c>
      <c r="V2682">
        <v>0.11178339999999901</v>
      </c>
      <c r="W2682">
        <v>0.1809336</v>
      </c>
      <c r="X2682">
        <v>0.97712209999999999</v>
      </c>
      <c r="Y2682">
        <v>-0.14573739999999999</v>
      </c>
      <c r="Z2682">
        <v>3.978161E-3</v>
      </c>
      <c r="AA2682">
        <v>0.98931530000000001</v>
      </c>
      <c r="AB2682">
        <v>33</v>
      </c>
      <c r="AC2682">
        <v>23.7484999999999</v>
      </c>
      <c r="AD2682">
        <v>-1.1211286443019901</v>
      </c>
      <c r="AE2682">
        <v>3.8992</v>
      </c>
      <c r="AF2682">
        <v>-3.5512503473952601</v>
      </c>
      <c r="AG2682">
        <v>-1.1211286443019901</v>
      </c>
      <c r="AH2682">
        <v>23.750324934182601</v>
      </c>
      <c r="AI2682">
        <v>92.672956574485099</v>
      </c>
      <c r="AJ2682">
        <v>98.504107048845597</v>
      </c>
      <c r="AK2682">
        <v>24.040512535014798</v>
      </c>
      <c r="AL2682">
        <v>79.5758564190333</v>
      </c>
      <c r="AM2682">
        <v>83.473698099876302</v>
      </c>
      <c r="AN2682">
        <v>1.0000000472164601</v>
      </c>
    </row>
    <row r="2683" spans="1:40" x14ac:dyDescent="0.25">
      <c r="A2683" t="str">
        <f>"20190303162600877"</f>
        <v>20190303162600877</v>
      </c>
      <c r="B2683" t="str">
        <f>"1551601560865860"</f>
        <v>1551601560865860</v>
      </c>
      <c r="C2683" t="s">
        <v>40</v>
      </c>
      <c r="D2683">
        <v>4.6559140000000001</v>
      </c>
      <c r="E2683">
        <v>0.39757510000000001</v>
      </c>
      <c r="F2683" t="s">
        <v>51</v>
      </c>
      <c r="G2683">
        <v>-319.62380000000002</v>
      </c>
      <c r="H2683" s="1">
        <v>5.1734149999999997E-6</v>
      </c>
      <c r="I2683">
        <v>218.49289999999999</v>
      </c>
      <c r="J2683">
        <v>-338.94659999999999</v>
      </c>
      <c r="K2683">
        <v>1.1211340000000001</v>
      </c>
      <c r="L2683">
        <v>215.1148</v>
      </c>
      <c r="M2683">
        <v>0.99979260000000003</v>
      </c>
      <c r="N2683">
        <v>-1.449017E-2</v>
      </c>
      <c r="O2683">
        <v>1.4308639999999999E-2</v>
      </c>
      <c r="P2683">
        <v>0.98130300000000004</v>
      </c>
      <c r="Q2683">
        <v>0.16615360000000001</v>
      </c>
      <c r="R2683">
        <v>-9.7146739999999995E-2</v>
      </c>
      <c r="S2683">
        <v>3.142029</v>
      </c>
      <c r="T2683">
        <v>-0.1792715</v>
      </c>
      <c r="U2683">
        <v>0.54092410000000002</v>
      </c>
      <c r="V2683">
        <v>0.1111862</v>
      </c>
      <c r="W2683">
        <v>0.1803295</v>
      </c>
      <c r="X2683">
        <v>0.9773018</v>
      </c>
      <c r="Y2683">
        <v>-0.1552453</v>
      </c>
      <c r="Z2683">
        <v>4.9234179999999997E-3</v>
      </c>
      <c r="AA2683">
        <v>0.98786370000000001</v>
      </c>
      <c r="AB2683">
        <v>33</v>
      </c>
      <c r="AC2683">
        <v>19.322799999999901</v>
      </c>
      <c r="AD2683">
        <v>-1.1211288265849999</v>
      </c>
      <c r="AE2683">
        <v>3.3780999999999799</v>
      </c>
      <c r="AF2683">
        <v>-3.0911445349958</v>
      </c>
      <c r="AG2683">
        <v>-1.1211288265849999</v>
      </c>
      <c r="AH2683">
        <v>19.306097209343498</v>
      </c>
      <c r="AI2683">
        <v>93.281797169087497</v>
      </c>
      <c r="AJ2683">
        <v>99.096553143822803</v>
      </c>
      <c r="AK2683">
        <v>19.584113302334</v>
      </c>
      <c r="AL2683">
        <v>79.611046685416397</v>
      </c>
      <c r="AM2683">
        <v>83.509449755040393</v>
      </c>
      <c r="AN2683">
        <v>0.99999995396196295</v>
      </c>
    </row>
    <row r="2684" spans="1:40" x14ac:dyDescent="0.25">
      <c r="A2684" t="str">
        <f>"20190303162600899"</f>
        <v>20190303162600899</v>
      </c>
      <c r="B2684" t="str">
        <f>"1551601560885909"</f>
        <v>1551601560885909</v>
      </c>
      <c r="C2684" t="s">
        <v>40</v>
      </c>
      <c r="D2684">
        <v>4.7223980000000001</v>
      </c>
      <c r="E2684">
        <v>0.39902219999999999</v>
      </c>
      <c r="F2684" t="s">
        <v>48</v>
      </c>
      <c r="G2684">
        <v>-320.58319999999998</v>
      </c>
      <c r="H2684" s="1">
        <v>-1.2264480000000001E-6</v>
      </c>
      <c r="I2684">
        <v>218.1986</v>
      </c>
      <c r="J2684">
        <v>-338.62849999999997</v>
      </c>
      <c r="K2684">
        <v>1.1211370000000001</v>
      </c>
      <c r="L2684">
        <v>215.11930000000001</v>
      </c>
      <c r="M2684">
        <v>0.99979280000000004</v>
      </c>
      <c r="N2684">
        <v>-1.4486870000000001E-2</v>
      </c>
      <c r="O2684">
        <v>1.430849E-2</v>
      </c>
      <c r="P2684">
        <v>0.98132459999999999</v>
      </c>
      <c r="Q2684">
        <v>0.16628789999999999</v>
      </c>
      <c r="R2684">
        <v>-9.6699460000000001E-2</v>
      </c>
      <c r="S2684">
        <v>3.1418759999999999</v>
      </c>
      <c r="T2684">
        <v>-0.19182009999999999</v>
      </c>
      <c r="U2684">
        <v>0.52763369999999998</v>
      </c>
      <c r="V2684">
        <v>0.110739</v>
      </c>
      <c r="W2684">
        <v>0.18046090000000001</v>
      </c>
      <c r="X2684">
        <v>0.97732839999999999</v>
      </c>
      <c r="Y2684">
        <v>-0.151162299999999</v>
      </c>
      <c r="Z2684">
        <v>5.021368E-3</v>
      </c>
      <c r="AA2684">
        <v>0.98849620000000005</v>
      </c>
      <c r="AB2684">
        <v>33</v>
      </c>
      <c r="AC2684">
        <v>18.045300000000001</v>
      </c>
      <c r="AD2684">
        <v>-1.1211382264480001</v>
      </c>
      <c r="AE2684">
        <v>3.0792999999999799</v>
      </c>
      <c r="AF2684">
        <v>-2.8102160657952102</v>
      </c>
      <c r="AG2684">
        <v>-1.1211382264480001</v>
      </c>
      <c r="AH2684">
        <v>18.019927794779999</v>
      </c>
      <c r="AI2684">
        <v>93.517747253405602</v>
      </c>
      <c r="AJ2684">
        <v>98.863905140280195</v>
      </c>
      <c r="AK2684">
        <v>18.272166346340601</v>
      </c>
      <c r="AL2684">
        <v>79.603393266118402</v>
      </c>
      <c r="AM2684">
        <v>83.535508304211504</v>
      </c>
      <c r="AN2684">
        <v>1.0000000319981801</v>
      </c>
    </row>
    <row r="2685" spans="1:40" x14ac:dyDescent="0.25">
      <c r="A2685" t="str">
        <f>"20190303162600922"</f>
        <v>20190303162600922</v>
      </c>
      <c r="B2685" t="str">
        <f>"1551601560916165"</f>
        <v>1551601560916165</v>
      </c>
      <c r="C2685" t="s">
        <v>40</v>
      </c>
      <c r="D2685">
        <v>4.7571919999999999</v>
      </c>
      <c r="E2685">
        <v>0.4008255</v>
      </c>
      <c r="F2685" t="s">
        <v>48</v>
      </c>
      <c r="G2685">
        <v>-321.2133</v>
      </c>
      <c r="H2685" s="1">
        <v>-8.9111299999999997E-7</v>
      </c>
      <c r="I2685">
        <v>217.98220000000001</v>
      </c>
      <c r="J2685">
        <v>-338.30529999999999</v>
      </c>
      <c r="K2685">
        <v>1.1211500000000001</v>
      </c>
      <c r="L2685">
        <v>215.124</v>
      </c>
      <c r="M2685">
        <v>0.99979280000000004</v>
      </c>
      <c r="N2685">
        <v>-1.4483680000000001E-2</v>
      </c>
      <c r="O2685">
        <v>1.4308690000000001E-2</v>
      </c>
      <c r="P2685">
        <v>0.98103600000000002</v>
      </c>
      <c r="Q2685">
        <v>0.16785129999999901</v>
      </c>
      <c r="R2685">
        <v>-9.6926280000000004E-2</v>
      </c>
      <c r="S2685">
        <v>3.142242</v>
      </c>
      <c r="T2685">
        <v>-0.202288</v>
      </c>
      <c r="U2685">
        <v>0.51654049999999996</v>
      </c>
      <c r="V2685">
        <v>0.1109619</v>
      </c>
      <c r="W2685">
        <v>0.18201729999999999</v>
      </c>
      <c r="X2685">
        <v>0.97701439999999995</v>
      </c>
      <c r="Y2685">
        <v>-0.14772279999999999</v>
      </c>
      <c r="Z2685">
        <v>5.0887709999999997E-3</v>
      </c>
      <c r="AA2685">
        <v>0.98901570000000005</v>
      </c>
      <c r="AB2685">
        <v>33</v>
      </c>
      <c r="AC2685">
        <v>17.091999999999899</v>
      </c>
      <c r="AD2685">
        <v>-1.1211508911129999</v>
      </c>
      <c r="AE2685">
        <v>2.8581999999999801</v>
      </c>
      <c r="AF2685">
        <v>-2.60242468800958</v>
      </c>
      <c r="AG2685">
        <v>-1.1211508911129999</v>
      </c>
      <c r="AH2685">
        <v>17.059744857267699</v>
      </c>
      <c r="AI2685">
        <v>93.717140454385898</v>
      </c>
      <c r="AJ2685">
        <v>98.673471827608296</v>
      </c>
      <c r="AK2685">
        <v>17.293481088909701</v>
      </c>
      <c r="AL2685">
        <v>79.512715960771899</v>
      </c>
      <c r="AM2685">
        <v>83.520542734950297</v>
      </c>
      <c r="AN2685">
        <v>0.99999998927912903</v>
      </c>
    </row>
    <row r="2686" spans="1:40" x14ac:dyDescent="0.25">
      <c r="A2686" t="str">
        <f>"20190303162600943"</f>
        <v>20190303162600943</v>
      </c>
      <c r="B2686" t="str">
        <f>"1551601560935684"</f>
        <v>1551601560935684</v>
      </c>
      <c r="C2686" t="s">
        <v>40</v>
      </c>
      <c r="D2686">
        <v>4.6891780000000001</v>
      </c>
      <c r="E2686">
        <v>0.401756</v>
      </c>
      <c r="F2686" t="s">
        <v>48</v>
      </c>
      <c r="G2686">
        <v>-320.50150000000002</v>
      </c>
      <c r="H2686" s="1">
        <v>-1.2699159999999999E-6</v>
      </c>
      <c r="I2686">
        <v>217.95949999999999</v>
      </c>
      <c r="J2686">
        <v>-337.9708</v>
      </c>
      <c r="K2686">
        <v>1.1211549999999999</v>
      </c>
      <c r="L2686">
        <v>215.12880000000001</v>
      </c>
      <c r="M2686">
        <v>0.99979289999999998</v>
      </c>
      <c r="N2686">
        <v>-1.448032E-2</v>
      </c>
      <c r="O2686">
        <v>1.4308710000000001E-2</v>
      </c>
      <c r="P2686">
        <v>0.98085279999999997</v>
      </c>
      <c r="Q2686">
        <v>0.16870009999999999</v>
      </c>
      <c r="R2686">
        <v>-9.7305950000000002E-2</v>
      </c>
      <c r="S2686">
        <v>3.141235</v>
      </c>
      <c r="T2686">
        <v>-0.19781209999999999</v>
      </c>
      <c r="U2686">
        <v>0.50028989999999995</v>
      </c>
      <c r="V2686">
        <v>0.11133899999999999</v>
      </c>
      <c r="W2686">
        <v>0.18285969999999999</v>
      </c>
      <c r="X2686">
        <v>0.97681419999999997</v>
      </c>
      <c r="Y2686">
        <v>-0.14281060000000001</v>
      </c>
      <c r="Z2686">
        <v>4.8173720000000003E-3</v>
      </c>
      <c r="AA2686">
        <v>0.98973829999999996</v>
      </c>
      <c r="AB2686">
        <v>33</v>
      </c>
      <c r="AC2686">
        <v>17.469299999999901</v>
      </c>
      <c r="AD2686">
        <v>-1.12115626991599</v>
      </c>
      <c r="AE2686">
        <v>2.83069999999997</v>
      </c>
      <c r="AF2686">
        <v>-2.5701056526205002</v>
      </c>
      <c r="AG2686">
        <v>-1.12115626991599</v>
      </c>
      <c r="AH2686">
        <v>17.438031237547499</v>
      </c>
      <c r="AI2686">
        <v>93.639487367805501</v>
      </c>
      <c r="AJ2686">
        <v>98.384182753635898</v>
      </c>
      <c r="AK2686">
        <v>17.6620318165517</v>
      </c>
      <c r="AL2686">
        <v>79.463626375260603</v>
      </c>
      <c r="AM2686">
        <v>83.497389701562895</v>
      </c>
      <c r="AN2686">
        <v>1.0000000120633601</v>
      </c>
    </row>
    <row r="2687" spans="1:40" x14ac:dyDescent="0.25">
      <c r="A2687" t="str">
        <f>"20190303162600966"</f>
        <v>20190303162600966</v>
      </c>
      <c r="B2687" t="str">
        <f>"1551601560956181"</f>
        <v>1551601560956181</v>
      </c>
      <c r="C2687" t="s">
        <v>40</v>
      </c>
      <c r="D2687">
        <v>4.7533110000000001</v>
      </c>
      <c r="E2687">
        <v>0.40209820000000002</v>
      </c>
      <c r="F2687" t="s">
        <v>51</v>
      </c>
      <c r="G2687">
        <v>-319.75139999999999</v>
      </c>
      <c r="H2687" s="1">
        <v>5.229997E-6</v>
      </c>
      <c r="I2687">
        <v>217.97810000000001</v>
      </c>
      <c r="J2687">
        <v>-337.64</v>
      </c>
      <c r="K2687">
        <v>1.121157</v>
      </c>
      <c r="L2687">
        <v>215.1335</v>
      </c>
      <c r="M2687">
        <v>0.99979289999999998</v>
      </c>
      <c r="N2687">
        <v>-1.4476940000000001E-2</v>
      </c>
      <c r="O2687">
        <v>1.4308919999999999E-2</v>
      </c>
      <c r="P2687">
        <v>0.98092650000000003</v>
      </c>
      <c r="Q2687">
        <v>0.16781840000000001</v>
      </c>
      <c r="R2687">
        <v>-9.8083290000000004E-2</v>
      </c>
      <c r="S2687">
        <v>3.1405639999999999</v>
      </c>
      <c r="T2687">
        <v>-0.1932585</v>
      </c>
      <c r="U2687">
        <v>0.49116520000000002</v>
      </c>
      <c r="V2687">
        <v>0.11211749999999999</v>
      </c>
      <c r="W2687">
        <v>0.181976</v>
      </c>
      <c r="X2687">
        <v>0.97689020000000004</v>
      </c>
      <c r="Y2687">
        <v>-0.14005619999999999</v>
      </c>
      <c r="Z2687">
        <v>4.6320950000000001E-3</v>
      </c>
      <c r="AA2687">
        <v>0.99013269999999998</v>
      </c>
      <c r="AB2687">
        <v>33</v>
      </c>
      <c r="AC2687">
        <v>17.888599999999901</v>
      </c>
      <c r="AD2687">
        <v>-1.121151770003</v>
      </c>
      <c r="AE2687">
        <v>2.84460000000001</v>
      </c>
      <c r="AF2687">
        <v>-2.5784369461545502</v>
      </c>
      <c r="AG2687">
        <v>-1.121151770003</v>
      </c>
      <c r="AH2687">
        <v>17.859054653383101</v>
      </c>
      <c r="AI2687">
        <v>93.555418977803996</v>
      </c>
      <c r="AJ2687">
        <v>98.215424575817707</v>
      </c>
      <c r="AK2687">
        <v>18.079025180833199</v>
      </c>
      <c r="AL2687">
        <v>79.515122905542796</v>
      </c>
      <c r="AM2687">
        <v>83.452820861121296</v>
      </c>
      <c r="AN2687">
        <v>1.0000000306191399</v>
      </c>
    </row>
    <row r="2688" spans="1:40" x14ac:dyDescent="0.25">
      <c r="A2688" t="str">
        <f>"20190303162601010"</f>
        <v>20190303162601010</v>
      </c>
      <c r="B2688" t="str">
        <f>"1551601560995768"</f>
        <v>1551601560995768</v>
      </c>
      <c r="C2688" t="s">
        <v>40</v>
      </c>
      <c r="D2688">
        <v>4.7379540000000002</v>
      </c>
      <c r="E2688">
        <v>0.40260449999999998</v>
      </c>
      <c r="F2688" t="s">
        <v>51</v>
      </c>
      <c r="G2688">
        <v>-319.7</v>
      </c>
      <c r="H2688" s="1">
        <v>5.2072080000000001E-6</v>
      </c>
      <c r="I2688">
        <v>217.91290000000001</v>
      </c>
      <c r="J2688">
        <v>-337.01589999999999</v>
      </c>
      <c r="K2688">
        <v>1.1211500000000001</v>
      </c>
      <c r="L2688">
        <v>215.14240000000001</v>
      </c>
      <c r="M2688">
        <v>0.99979300000000004</v>
      </c>
      <c r="N2688">
        <v>-1.447056E-2</v>
      </c>
      <c r="O2688">
        <v>1.430944E-2</v>
      </c>
      <c r="P2688">
        <v>0.98077199999999998</v>
      </c>
      <c r="Q2688">
        <v>0.16772529999999999</v>
      </c>
      <c r="R2688">
        <v>-9.9774150000000006E-2</v>
      </c>
      <c r="S2688">
        <v>3.1405639999999999</v>
      </c>
      <c r="T2688">
        <v>-0.1962682</v>
      </c>
      <c r="U2688">
        <v>0.48657230000000001</v>
      </c>
      <c r="V2688">
        <v>0.1138064</v>
      </c>
      <c r="W2688">
        <v>0.1818738</v>
      </c>
      <c r="X2688">
        <v>0.97671390000000002</v>
      </c>
      <c r="Y2688">
        <v>-0.1386366</v>
      </c>
      <c r="Z2688">
        <v>4.6303809999999898E-3</v>
      </c>
      <c r="AA2688">
        <v>0.99033249999999995</v>
      </c>
      <c r="AB2688">
        <v>33</v>
      </c>
      <c r="AC2688">
        <v>17.315899999999999</v>
      </c>
      <c r="AD2688">
        <v>-1.121144792792</v>
      </c>
      <c r="AE2688">
        <v>2.77049999999999</v>
      </c>
      <c r="AF2688">
        <v>-2.5121412025398699</v>
      </c>
      <c r="AG2688">
        <v>-1.121144792792</v>
      </c>
      <c r="AH2688">
        <v>17.2831307416883</v>
      </c>
      <c r="AI2688">
        <v>93.673046931245494</v>
      </c>
      <c r="AJ2688">
        <v>98.270150684533405</v>
      </c>
      <c r="AK2688">
        <v>17.500697909003399</v>
      </c>
      <c r="AL2688">
        <v>79.521077680844499</v>
      </c>
      <c r="AM2688">
        <v>83.353883204237206</v>
      </c>
      <c r="AN2688">
        <v>1.0000000091303001</v>
      </c>
    </row>
    <row r="2689" spans="1:40" x14ac:dyDescent="0.25">
      <c r="A2689" t="str">
        <f>"20190303162601032"</f>
        <v>20190303162601032</v>
      </c>
      <c r="B2689" t="str">
        <f>"1551601561026024"</f>
        <v>1551601561026024</v>
      </c>
      <c r="C2689" t="s">
        <v>40</v>
      </c>
      <c r="D2689">
        <v>4.8100120000000004</v>
      </c>
      <c r="E2689">
        <v>0.40286290000000002</v>
      </c>
      <c r="F2689" t="s">
        <v>51</v>
      </c>
      <c r="G2689">
        <v>-319.255</v>
      </c>
      <c r="H2689" s="1">
        <v>5.0098680000000001E-6</v>
      </c>
      <c r="I2689">
        <v>217.83969999999999</v>
      </c>
      <c r="J2689">
        <v>-336.67809999999997</v>
      </c>
      <c r="K2689">
        <v>1.1211519999999999</v>
      </c>
      <c r="L2689">
        <v>215.1472</v>
      </c>
      <c r="M2689">
        <v>0.99979300000000004</v>
      </c>
      <c r="N2689">
        <v>-1.446712E-2</v>
      </c>
      <c r="O2689">
        <v>1.430946E-2</v>
      </c>
      <c r="P2689">
        <v>0.98058710000000004</v>
      </c>
      <c r="Q2689">
        <v>0.16796610000000001</v>
      </c>
      <c r="R2689">
        <v>-0.10117669999999999</v>
      </c>
      <c r="S2689">
        <v>3.1412659999999999</v>
      </c>
      <c r="T2689">
        <v>-0.1982902</v>
      </c>
      <c r="U2689">
        <v>0.4770508</v>
      </c>
      <c r="V2689">
        <v>0.1152063</v>
      </c>
      <c r="W2689">
        <v>0.1821082</v>
      </c>
      <c r="X2689">
        <v>0.97650610000000004</v>
      </c>
      <c r="Y2689">
        <v>-0.13567109999999999</v>
      </c>
      <c r="Z2689">
        <v>4.5504819999999998E-3</v>
      </c>
      <c r="AA2689">
        <v>0.9907435</v>
      </c>
      <c r="AB2689">
        <v>33</v>
      </c>
      <c r="AC2689">
        <v>17.423099999999899</v>
      </c>
      <c r="AD2689">
        <v>-1.1211469901319999</v>
      </c>
      <c r="AE2689">
        <v>2.6924999999999901</v>
      </c>
      <c r="AF2689">
        <v>-2.4330435023658099</v>
      </c>
      <c r="AG2689">
        <v>-1.1211469901319999</v>
      </c>
      <c r="AH2689">
        <v>17.389522599837399</v>
      </c>
      <c r="AI2689">
        <v>93.653411319757197</v>
      </c>
      <c r="AJ2689">
        <v>97.964796485282704</v>
      </c>
      <c r="AK2689">
        <v>17.594663040483098</v>
      </c>
      <c r="AL2689">
        <v>79.507419636471695</v>
      </c>
      <c r="AM2689">
        <v>83.271457573874599</v>
      </c>
      <c r="AN2689">
        <v>1.00000002570206</v>
      </c>
    </row>
    <row r="2690" spans="1:40" x14ac:dyDescent="0.25">
      <c r="A2690" t="str">
        <f>"20190303162601055"</f>
        <v>20190303162601055</v>
      </c>
      <c r="B2690" t="str">
        <f>"1551601561045544"</f>
        <v>1551601561045544</v>
      </c>
      <c r="C2690" t="s">
        <v>40</v>
      </c>
      <c r="D2690">
        <v>4.8772330000000004</v>
      </c>
      <c r="E2690">
        <v>0.40292499999999998</v>
      </c>
      <c r="F2690" t="s">
        <v>51</v>
      </c>
      <c r="G2690">
        <v>-318.84390000000002</v>
      </c>
      <c r="H2690" s="1">
        <v>4.8275650000000003E-6</v>
      </c>
      <c r="I2690">
        <v>217.81780000000001</v>
      </c>
      <c r="J2690">
        <v>-336.34730000000002</v>
      </c>
      <c r="K2690">
        <v>1.121149</v>
      </c>
      <c r="L2690">
        <v>215.15199999999999</v>
      </c>
      <c r="M2690">
        <v>0.99979320000000005</v>
      </c>
      <c r="N2690">
        <v>-1.4463800000000001E-2</v>
      </c>
      <c r="O2690">
        <v>1.4309489999999999E-2</v>
      </c>
      <c r="P2690">
        <v>0.98035749999999999</v>
      </c>
      <c r="Q2690">
        <v>0.16772960000000001</v>
      </c>
      <c r="R2690">
        <v>-0.1037612</v>
      </c>
      <c r="S2690">
        <v>3.1417540000000002</v>
      </c>
      <c r="T2690">
        <v>-0.1975064</v>
      </c>
      <c r="U2690">
        <v>0.47045900000000002</v>
      </c>
      <c r="V2690">
        <v>0.11778719999999999</v>
      </c>
      <c r="W2690">
        <v>0.18186440000000001</v>
      </c>
      <c r="X2690">
        <v>0.97624359999999999</v>
      </c>
      <c r="Y2690">
        <v>-0.13362249999999901</v>
      </c>
      <c r="Z2690">
        <v>4.4579479999999998E-3</v>
      </c>
      <c r="AA2690">
        <v>0.99102230000000002</v>
      </c>
      <c r="AB2690">
        <v>33</v>
      </c>
      <c r="AC2690">
        <v>17.503399999999999</v>
      </c>
      <c r="AD2690">
        <v>-1.121144172435</v>
      </c>
      <c r="AE2690">
        <v>2.6657999999999902</v>
      </c>
      <c r="AF2690">
        <v>-2.4053910612632201</v>
      </c>
      <c r="AG2690">
        <v>-1.121144172435</v>
      </c>
      <c r="AH2690">
        <v>17.469708254677901</v>
      </c>
      <c r="AI2690">
        <v>93.637777364989205</v>
      </c>
      <c r="AJ2690">
        <v>97.839718372935806</v>
      </c>
      <c r="AK2690">
        <v>17.6701323400973</v>
      </c>
      <c r="AL2690">
        <v>79.521625569072299</v>
      </c>
      <c r="AM2690">
        <v>83.120318592193001</v>
      </c>
      <c r="AN2690">
        <v>1.0000000255060699</v>
      </c>
    </row>
    <row r="2691" spans="1:40" x14ac:dyDescent="0.25">
      <c r="A2691" t="str">
        <f>"20190303162601076"</f>
        <v>20190303162601076</v>
      </c>
      <c r="B2691" t="str">
        <f>"1551601561066041"</f>
        <v>1551601561066041</v>
      </c>
      <c r="C2691" t="s">
        <v>40</v>
      </c>
      <c r="D2691">
        <v>4.9854969999999996</v>
      </c>
      <c r="E2691">
        <v>0.4032095</v>
      </c>
      <c r="F2691" t="s">
        <v>51</v>
      </c>
      <c r="G2691">
        <v>-318.59949999999998</v>
      </c>
      <c r="H2691" s="1">
        <v>4.7191479999999999E-6</v>
      </c>
      <c r="I2691">
        <v>217.76349999999999</v>
      </c>
      <c r="J2691">
        <v>-336.04450000000003</v>
      </c>
      <c r="K2691">
        <v>1.1211549999999999</v>
      </c>
      <c r="L2691">
        <v>215.15629999999999</v>
      </c>
      <c r="M2691">
        <v>0.99979309999999999</v>
      </c>
      <c r="N2691">
        <v>-1.446071E-2</v>
      </c>
      <c r="O2691">
        <v>1.430969E-2</v>
      </c>
      <c r="P2691">
        <v>0.98014990000000002</v>
      </c>
      <c r="Q2691">
        <v>0.1674764</v>
      </c>
      <c r="R2691">
        <v>-0.1061038</v>
      </c>
      <c r="S2691">
        <v>3.1430359999999999</v>
      </c>
      <c r="T2691">
        <v>-0.19854759999999999</v>
      </c>
      <c r="U2691">
        <v>0.46247860000000002</v>
      </c>
      <c r="V2691">
        <v>0.12012680000000001</v>
      </c>
      <c r="W2691">
        <v>0.1816046</v>
      </c>
      <c r="X2691">
        <v>0.97600679999999995</v>
      </c>
      <c r="Y2691">
        <v>-0.131104</v>
      </c>
      <c r="Z2691">
        <v>4.3767099999999998E-3</v>
      </c>
      <c r="AA2691">
        <v>0.99135890000000004</v>
      </c>
      <c r="AB2691">
        <v>33</v>
      </c>
      <c r="AC2691">
        <v>17.445</v>
      </c>
      <c r="AD2691">
        <v>-1.121150280852</v>
      </c>
      <c r="AE2691">
        <v>2.6072000000000002</v>
      </c>
      <c r="AF2691">
        <v>-2.3477890637614198</v>
      </c>
      <c r="AG2691">
        <v>-1.121150280852</v>
      </c>
      <c r="AH2691">
        <v>17.410186694556</v>
      </c>
      <c r="AI2691">
        <v>93.651582719863796</v>
      </c>
      <c r="AJ2691">
        <v>97.680089122017094</v>
      </c>
      <c r="AK2691">
        <v>17.6035136316437</v>
      </c>
      <c r="AL2691">
        <v>79.536762566362299</v>
      </c>
      <c r="AM2691">
        <v>82.983331353954696</v>
      </c>
      <c r="AN2691">
        <v>0.999999976232819</v>
      </c>
    </row>
    <row r="2692" spans="1:40" x14ac:dyDescent="0.25">
      <c r="A2692" t="str">
        <f>"20190303162601121"</f>
        <v>20190303162601121</v>
      </c>
      <c r="B2692" t="str">
        <f>"1551601561116390"</f>
        <v>1551601561116390</v>
      </c>
      <c r="C2692" t="s">
        <v>40</v>
      </c>
      <c r="D2692">
        <v>4.9929670000000002</v>
      </c>
      <c r="E2692">
        <v>0.54263809999999901</v>
      </c>
      <c r="F2692" t="s">
        <v>51</v>
      </c>
      <c r="G2692">
        <v>-318.3492</v>
      </c>
      <c r="H2692" s="1">
        <v>4.6081809999999999E-6</v>
      </c>
      <c r="I2692">
        <v>217.70590000000001</v>
      </c>
      <c r="J2692">
        <v>-335.3913</v>
      </c>
      <c r="K2692">
        <v>1.1211599999999999</v>
      </c>
      <c r="L2692">
        <v>215.16560000000001</v>
      </c>
      <c r="M2692">
        <v>0.99979309999999999</v>
      </c>
      <c r="N2692">
        <v>-1.445393E-2</v>
      </c>
      <c r="O2692">
        <v>1.430992E-2</v>
      </c>
      <c r="P2692">
        <v>0.97966929999999997</v>
      </c>
      <c r="Q2692">
        <v>0.16728029999999999</v>
      </c>
      <c r="R2692">
        <v>-0.110749</v>
      </c>
      <c r="S2692">
        <v>3.1437680000000001</v>
      </c>
      <c r="T2692">
        <v>-0.19918530000000001</v>
      </c>
      <c r="U2692">
        <v>0.4529724</v>
      </c>
      <c r="V2692">
        <v>0.1247648</v>
      </c>
      <c r="W2692">
        <v>0.1813941</v>
      </c>
      <c r="X2692">
        <v>0.97546390000000005</v>
      </c>
      <c r="Y2692">
        <v>-0.12814</v>
      </c>
      <c r="Z2692">
        <v>4.2713760000000003E-3</v>
      </c>
      <c r="AA2692">
        <v>0.99174689999999999</v>
      </c>
      <c r="AB2692">
        <v>32</v>
      </c>
      <c r="AC2692">
        <v>17.042100000000001</v>
      </c>
      <c r="AD2692">
        <v>-1.121155391819</v>
      </c>
      <c r="AE2692">
        <v>2.5402999999999998</v>
      </c>
      <c r="AF2692">
        <v>-2.28646259133957</v>
      </c>
      <c r="AG2692">
        <v>-1.121155391819</v>
      </c>
      <c r="AH2692">
        <v>17.0047135456958</v>
      </c>
      <c r="AI2692">
        <v>93.738619494778504</v>
      </c>
      <c r="AJ2692">
        <v>97.658088810524205</v>
      </c>
      <c r="AK2692">
        <v>17.194335793085202</v>
      </c>
      <c r="AL2692">
        <v>79.549026724455999</v>
      </c>
      <c r="AM2692">
        <v>82.711269501686601</v>
      </c>
      <c r="AN2692">
        <v>0.99999994751852805</v>
      </c>
    </row>
    <row r="2693" spans="1:40" x14ac:dyDescent="0.25">
      <c r="A2693" t="str">
        <f>"20190303162601144"</f>
        <v>20190303162601144</v>
      </c>
      <c r="B2693" t="str">
        <f>"1551601561135911"</f>
        <v>1551601561135911</v>
      </c>
      <c r="C2693" t="s">
        <v>40</v>
      </c>
      <c r="D2693">
        <v>4.881151</v>
      </c>
      <c r="E2693">
        <v>0.54009600000000002</v>
      </c>
      <c r="F2693" t="s">
        <v>51</v>
      </c>
      <c r="G2693">
        <v>-319.73649999999998</v>
      </c>
      <c r="H2693" s="1">
        <v>5.2233719999999999E-6</v>
      </c>
      <c r="I2693">
        <v>211.70930000000001</v>
      </c>
      <c r="J2693">
        <v>-335.05259999999998</v>
      </c>
      <c r="K2693">
        <v>1.1211530000000001</v>
      </c>
      <c r="L2693">
        <v>215.1705</v>
      </c>
      <c r="M2693">
        <v>0.99979320000000005</v>
      </c>
      <c r="N2693">
        <v>-1.4450380000000001E-2</v>
      </c>
      <c r="O2693">
        <v>1.430994E-2</v>
      </c>
      <c r="P2693">
        <v>0.97954059999999998</v>
      </c>
      <c r="Q2693">
        <v>0.16715869999999999</v>
      </c>
      <c r="R2693">
        <v>-0.11206380000000001</v>
      </c>
      <c r="S2693">
        <v>3.0237430000000001</v>
      </c>
      <c r="T2693">
        <v>-0.21655260000000001</v>
      </c>
      <c r="U2693">
        <v>-0.66760249999999999</v>
      </c>
      <c r="V2693">
        <v>0.12607760000000001</v>
      </c>
      <c r="W2693">
        <v>0.1812665</v>
      </c>
      <c r="X2693">
        <v>0.97531880000000004</v>
      </c>
      <c r="Y2693">
        <v>0.2288483</v>
      </c>
      <c r="Z2693">
        <v>-1.0570649999999999E-2</v>
      </c>
      <c r="AA2693">
        <v>0.97340470000000001</v>
      </c>
      <c r="AB2693">
        <v>32</v>
      </c>
      <c r="AC2693">
        <v>15.3161</v>
      </c>
      <c r="AD2693">
        <v>-1.121147776628</v>
      </c>
      <c r="AE2693">
        <v>-3.4611999999999901</v>
      </c>
      <c r="AF2693">
        <v>3.6613752629529501</v>
      </c>
      <c r="AG2693">
        <v>-1.121147776628</v>
      </c>
      <c r="AH2693">
        <v>15.1875707529182</v>
      </c>
      <c r="AI2693">
        <v>94.104745172232199</v>
      </c>
      <c r="AJ2693">
        <v>76.445929693151299</v>
      </c>
      <c r="AK2693">
        <v>15.662852439070599</v>
      </c>
      <c r="AL2693">
        <v>79.556460759671197</v>
      </c>
      <c r="AM2693">
        <v>82.634330056446103</v>
      </c>
      <c r="AN2693">
        <v>0.99999993343872196</v>
      </c>
    </row>
    <row r="2694" spans="1:40" x14ac:dyDescent="0.25">
      <c r="A2694" t="str">
        <f>"20190303162601168"</f>
        <v>20190303162601168</v>
      </c>
      <c r="B2694" t="str">
        <f>"1551601561156407"</f>
        <v>1551601561156407</v>
      </c>
      <c r="C2694" t="s">
        <v>40</v>
      </c>
      <c r="D2694">
        <v>4.9340489999999999</v>
      </c>
      <c r="E2694">
        <v>0.53843350000000001</v>
      </c>
      <c r="F2694" t="s">
        <v>51</v>
      </c>
      <c r="G2694">
        <v>-319.71199999999999</v>
      </c>
      <c r="H2694" s="1">
        <v>5.2125340000000002E-6</v>
      </c>
      <c r="I2694">
        <v>211.86439999999999</v>
      </c>
      <c r="J2694">
        <v>-334.72539999999998</v>
      </c>
      <c r="K2694">
        <v>1.121156</v>
      </c>
      <c r="L2694">
        <v>215.17519999999999</v>
      </c>
      <c r="M2694">
        <v>0.99979340000000005</v>
      </c>
      <c r="N2694">
        <v>-1.444695E-2</v>
      </c>
      <c r="O2694">
        <v>1.430997E-2</v>
      </c>
      <c r="P2694">
        <v>0.97953869999999998</v>
      </c>
      <c r="Q2694">
        <v>0.16677510000000001</v>
      </c>
      <c r="R2694">
        <v>-0.1126515</v>
      </c>
      <c r="S2694">
        <v>3.0257869999999998</v>
      </c>
      <c r="T2694">
        <v>-0.22113659999999999</v>
      </c>
      <c r="U2694">
        <v>-0.6520996</v>
      </c>
      <c r="V2694">
        <v>0.12666520000000001</v>
      </c>
      <c r="W2694">
        <v>0.1808797</v>
      </c>
      <c r="X2694">
        <v>0.97531460000000003</v>
      </c>
      <c r="Y2694">
        <v>0.22393360000000001</v>
      </c>
      <c r="Z2694">
        <v>-1.054708E-2</v>
      </c>
      <c r="AA2694">
        <v>0.97454730000000001</v>
      </c>
      <c r="AB2694">
        <v>32</v>
      </c>
      <c r="AC2694">
        <v>15.013399999999899</v>
      </c>
      <c r="AD2694">
        <v>-1.1211507874660001</v>
      </c>
      <c r="AE2694">
        <v>-3.3108</v>
      </c>
      <c r="AF2694">
        <v>3.5066761506699602</v>
      </c>
      <c r="AG2694">
        <v>-1.1211507874660001</v>
      </c>
      <c r="AH2694">
        <v>14.885320048572501</v>
      </c>
      <c r="AI2694">
        <v>94.192987571458303</v>
      </c>
      <c r="AJ2694">
        <v>76.743988012859106</v>
      </c>
      <c r="AK2694">
        <v>15.333835451782701</v>
      </c>
      <c r="AL2694">
        <v>79.578996541502306</v>
      </c>
      <c r="AM2694">
        <v>82.600349519290702</v>
      </c>
      <c r="AN2694">
        <v>1.0000000538681399</v>
      </c>
    </row>
    <row r="2695" spans="1:40" x14ac:dyDescent="0.25">
      <c r="A2695" t="str">
        <f>"20190303162601212"</f>
        <v>20190303162601212</v>
      </c>
      <c r="B2695" t="str">
        <f>"1551601561206188"</f>
        <v>1551601561206188</v>
      </c>
      <c r="C2695" t="s">
        <v>40</v>
      </c>
      <c r="D2695">
        <v>4.9564820000000003</v>
      </c>
      <c r="E2695">
        <v>0.53566340000000001</v>
      </c>
      <c r="F2695" t="s">
        <v>51</v>
      </c>
      <c r="G2695">
        <v>-319.0865</v>
      </c>
      <c r="H2695" s="1">
        <v>4.9351170000000002E-6</v>
      </c>
      <c r="I2695">
        <v>211.86519999999999</v>
      </c>
      <c r="J2695">
        <v>-334.09120000000001</v>
      </c>
      <c r="K2695">
        <v>1.121159</v>
      </c>
      <c r="L2695">
        <v>215.1842</v>
      </c>
      <c r="M2695">
        <v>0.99979340000000005</v>
      </c>
      <c r="N2695">
        <v>-1.444026E-2</v>
      </c>
      <c r="O2695">
        <v>1.431032E-2</v>
      </c>
      <c r="P2695">
        <v>0.9797399</v>
      </c>
      <c r="Q2695">
        <v>0.16703899999999999</v>
      </c>
      <c r="R2695">
        <v>-0.1104888</v>
      </c>
      <c r="S2695">
        <v>3.0259399999999999</v>
      </c>
      <c r="T2695">
        <v>-0.21692919999999999</v>
      </c>
      <c r="U2695">
        <v>-0.64042659999999996</v>
      </c>
      <c r="V2695">
        <v>0.12450609999999999</v>
      </c>
      <c r="W2695">
        <v>0.18114040000000001</v>
      </c>
      <c r="X2695">
        <v>0.97554419999999997</v>
      </c>
      <c r="Y2695">
        <v>0.2203619</v>
      </c>
      <c r="Z2695">
        <v>-1.02232E-2</v>
      </c>
      <c r="AA2695">
        <v>0.97536460000000003</v>
      </c>
      <c r="AB2695">
        <v>32</v>
      </c>
      <c r="AC2695">
        <v>15.0047</v>
      </c>
      <c r="AD2695">
        <v>-1.1211540648829901</v>
      </c>
      <c r="AE2695">
        <v>-3.3190000000000102</v>
      </c>
      <c r="AF2695">
        <v>3.5146969049161201</v>
      </c>
      <c r="AG2695">
        <v>-1.1211540648829901</v>
      </c>
      <c r="AH2695">
        <v>14.8764796231709</v>
      </c>
      <c r="AI2695">
        <v>94.194848145444098</v>
      </c>
      <c r="AJ2695">
        <v>76.707127119985202</v>
      </c>
      <c r="AK2695">
        <v>15.32709126838</v>
      </c>
      <c r="AL2695">
        <v>79.563808604570397</v>
      </c>
      <c r="AM2695">
        <v>82.726812985192097</v>
      </c>
      <c r="AN2695">
        <v>1.0000000498015</v>
      </c>
    </row>
    <row r="2696" spans="1:40" x14ac:dyDescent="0.25">
      <c r="A2696" t="str">
        <f>"20190303162601233"</f>
        <v>20190303162601233</v>
      </c>
      <c r="B2696" t="str">
        <f>"1551601561225708"</f>
        <v>1551601561225708</v>
      </c>
      <c r="C2696" t="s">
        <v>40</v>
      </c>
      <c r="D2696">
        <v>4.9379689999999998</v>
      </c>
      <c r="E2696">
        <v>0.53504069999999904</v>
      </c>
      <c r="F2696" t="s">
        <v>51</v>
      </c>
      <c r="G2696">
        <v>-318.02980000000002</v>
      </c>
      <c r="H2696" s="1">
        <v>4.466534E-6</v>
      </c>
      <c r="I2696">
        <v>211.94820000000001</v>
      </c>
      <c r="J2696">
        <v>-333.77850000000001</v>
      </c>
      <c r="K2696">
        <v>1.121157</v>
      </c>
      <c r="L2696">
        <v>215.18870000000001</v>
      </c>
      <c r="M2696">
        <v>0.9997935</v>
      </c>
      <c r="N2696">
        <v>-1.443698E-2</v>
      </c>
      <c r="O2696">
        <v>1.4310160000000001E-2</v>
      </c>
      <c r="P2696">
        <v>0.97997060000000002</v>
      </c>
      <c r="Q2696">
        <v>0.16669289999999901</v>
      </c>
      <c r="R2696">
        <v>-0.108958</v>
      </c>
      <c r="S2696">
        <v>3.0292659999999998</v>
      </c>
      <c r="T2696">
        <v>-0.21145610000000001</v>
      </c>
      <c r="U2696">
        <v>-0.61033630000000005</v>
      </c>
      <c r="V2696">
        <v>0.1229784</v>
      </c>
      <c r="W2696">
        <v>0.18079480000000001</v>
      </c>
      <c r="X2696">
        <v>0.97580199999999995</v>
      </c>
      <c r="Y2696">
        <v>0.21090020000000001</v>
      </c>
      <c r="Z2696">
        <v>-9.6026700000000006E-3</v>
      </c>
      <c r="AA2696">
        <v>0.97746040000000001</v>
      </c>
      <c r="AB2696">
        <v>32</v>
      </c>
      <c r="AC2696">
        <v>15.7486999999999</v>
      </c>
      <c r="AD2696">
        <v>-1.121152533466</v>
      </c>
      <c r="AE2696">
        <v>-3.2404999999999902</v>
      </c>
      <c r="AF2696">
        <v>3.4487893538737699</v>
      </c>
      <c r="AG2696">
        <v>-1.121152533466</v>
      </c>
      <c r="AH2696">
        <v>15.624739832119699</v>
      </c>
      <c r="AI2696">
        <v>94.008072119926695</v>
      </c>
      <c r="AJ2696">
        <v>77.552900530607005</v>
      </c>
      <c r="AK2696">
        <v>16.0400631492559</v>
      </c>
      <c r="AL2696">
        <v>79.583941875515904</v>
      </c>
      <c r="AM2696">
        <v>82.816995624578496</v>
      </c>
      <c r="AN2696">
        <v>0.99999999488879898</v>
      </c>
    </row>
    <row r="2697" spans="1:40" x14ac:dyDescent="0.25">
      <c r="A2697" t="str">
        <f>"20190303162601255"</f>
        <v>20190303162601255</v>
      </c>
      <c r="B2697" t="str">
        <f>"1551601561246203"</f>
        <v>1551601561246203</v>
      </c>
      <c r="C2697" t="s">
        <v>40</v>
      </c>
      <c r="D2697">
        <v>4.957192</v>
      </c>
      <c r="E2697">
        <v>0.53455629999999998</v>
      </c>
      <c r="F2697" t="s">
        <v>51</v>
      </c>
      <c r="G2697">
        <v>-317.70999999999998</v>
      </c>
      <c r="H2697" s="1">
        <v>4.3246960000000002E-6</v>
      </c>
      <c r="I2697">
        <v>212.0043</v>
      </c>
      <c r="J2697">
        <v>-333.45769999999999</v>
      </c>
      <c r="K2697">
        <v>1.1211549999999999</v>
      </c>
      <c r="L2697">
        <v>215.19329999999999</v>
      </c>
      <c r="M2697">
        <v>0.9997935</v>
      </c>
      <c r="N2697">
        <v>-1.4433619999999999E-2</v>
      </c>
      <c r="O2697">
        <v>1.4310369999999999E-2</v>
      </c>
      <c r="P2697">
        <v>0.98012390000000005</v>
      </c>
      <c r="Q2697">
        <v>0.16657720000000001</v>
      </c>
      <c r="R2697">
        <v>-0.1077463</v>
      </c>
      <c r="S2697">
        <v>3.0305179999999998</v>
      </c>
      <c r="T2697">
        <v>-0.21144930000000001</v>
      </c>
      <c r="U2697">
        <v>-0.60057069999999901</v>
      </c>
      <c r="V2697">
        <v>0.1217694</v>
      </c>
      <c r="W2697">
        <v>0.18067849999999999</v>
      </c>
      <c r="X2697">
        <v>0.97597520000000004</v>
      </c>
      <c r="Y2697">
        <v>0.20780129999999999</v>
      </c>
      <c r="Z2697">
        <v>-9.4712289999999994E-3</v>
      </c>
      <c r="AA2697">
        <v>0.97812520000000003</v>
      </c>
      <c r="AB2697">
        <v>32</v>
      </c>
      <c r="AC2697">
        <v>15.7477</v>
      </c>
      <c r="AD2697">
        <v>-1.1211506753039999</v>
      </c>
      <c r="AE2697">
        <v>-3.1889999999999898</v>
      </c>
      <c r="AF2697">
        <v>3.3975097958791198</v>
      </c>
      <c r="AG2697">
        <v>-1.1211506753039999</v>
      </c>
      <c r="AH2697">
        <v>15.6243716033923</v>
      </c>
      <c r="AI2697">
        <v>94.010897335610196</v>
      </c>
      <c r="AJ2697">
        <v>77.732049405905798</v>
      </c>
      <c r="AK2697">
        <v>16.028756647061599</v>
      </c>
      <c r="AL2697">
        <v>79.590717520193095</v>
      </c>
      <c r="AM2697">
        <v>82.888134213326893</v>
      </c>
      <c r="AN2697">
        <v>1.0000000490768199</v>
      </c>
    </row>
    <row r="2698" spans="1:40" x14ac:dyDescent="0.25">
      <c r="A2698" t="str">
        <f>"20190303162601279"</f>
        <v>20190303162601279</v>
      </c>
      <c r="B2698" t="str">
        <f>"1551601561265724"</f>
        <v>1551601561265724</v>
      </c>
      <c r="C2698" t="s">
        <v>40</v>
      </c>
      <c r="D2698">
        <v>4.9584919999999997</v>
      </c>
      <c r="E2698">
        <v>0.53443589999999996</v>
      </c>
      <c r="F2698" t="s">
        <v>51</v>
      </c>
      <c r="G2698">
        <v>-317.34199999999998</v>
      </c>
      <c r="H2698" s="1">
        <v>4.1615340000000004E-6</v>
      </c>
      <c r="I2698">
        <v>212.03890000000001</v>
      </c>
      <c r="J2698">
        <v>-333.13060000000002</v>
      </c>
      <c r="K2698">
        <v>1.121156</v>
      </c>
      <c r="L2698">
        <v>215.19800000000001</v>
      </c>
      <c r="M2698">
        <v>0.99979359999999995</v>
      </c>
      <c r="N2698">
        <v>-1.4430180000000001E-2</v>
      </c>
      <c r="O2698">
        <v>1.4310389999999999E-2</v>
      </c>
      <c r="P2698">
        <v>0.98032189999999997</v>
      </c>
      <c r="Q2698">
        <v>0.1658249</v>
      </c>
      <c r="R2698">
        <v>-0.1071038</v>
      </c>
      <c r="S2698">
        <v>3.0314640000000002</v>
      </c>
      <c r="T2698">
        <v>-0.21089579999999999</v>
      </c>
      <c r="U2698">
        <v>-0.59336849999999997</v>
      </c>
      <c r="V2698">
        <v>0.1211299</v>
      </c>
      <c r="W2698">
        <v>0.17992620000000001</v>
      </c>
      <c r="X2698">
        <v>0.97619370000000005</v>
      </c>
      <c r="Y2698">
        <v>0.2055149</v>
      </c>
      <c r="Z2698">
        <v>-9.3531940000000004E-3</v>
      </c>
      <c r="AA2698">
        <v>0.97860930000000002</v>
      </c>
      <c r="AB2698">
        <v>32</v>
      </c>
      <c r="AC2698">
        <v>15.788600000000001</v>
      </c>
      <c r="AD2698">
        <v>-1.121151838466</v>
      </c>
      <c r="AE2698">
        <v>-3.1590999999999601</v>
      </c>
      <c r="AF2698">
        <v>3.3684097473899102</v>
      </c>
      <c r="AG2698">
        <v>-1.121151838466</v>
      </c>
      <c r="AH2698">
        <v>15.6658169599704</v>
      </c>
      <c r="AI2698">
        <v>94.002329145761095</v>
      </c>
      <c r="AJ2698">
        <v>77.865214071535107</v>
      </c>
      <c r="AK2698">
        <v>16.063031678188999</v>
      </c>
      <c r="AL2698">
        <v>79.634538962319397</v>
      </c>
      <c r="AM2698">
        <v>82.9266718504918</v>
      </c>
      <c r="AN2698">
        <v>1.0000000150200601</v>
      </c>
    </row>
    <row r="2699" spans="1:40" x14ac:dyDescent="0.25">
      <c r="A2699" t="str">
        <f>"20190303162601302"</f>
        <v>20190303162601302</v>
      </c>
      <c r="B2699" t="str">
        <f>"1551601561295980"</f>
        <v>1551601561295980</v>
      </c>
      <c r="C2699" t="s">
        <v>40</v>
      </c>
      <c r="D2699">
        <v>5.0225989999999996</v>
      </c>
      <c r="E2699">
        <v>0.53448689999999999</v>
      </c>
      <c r="F2699" t="s">
        <v>51</v>
      </c>
      <c r="G2699">
        <v>-317.2432</v>
      </c>
      <c r="H2699" s="1">
        <v>4.1177039999999997E-6</v>
      </c>
      <c r="I2699">
        <v>212.10249999999999</v>
      </c>
      <c r="J2699">
        <v>-332.7971</v>
      </c>
      <c r="K2699">
        <v>1.121151</v>
      </c>
      <c r="L2699">
        <v>215.2028</v>
      </c>
      <c r="M2699">
        <v>0.99979359999999995</v>
      </c>
      <c r="N2699">
        <v>-1.4426639999999999E-2</v>
      </c>
      <c r="O2699">
        <v>1.4310420000000001E-2</v>
      </c>
      <c r="P2699">
        <v>0.98050619999999999</v>
      </c>
      <c r="Q2699">
        <v>0.16491539999999999</v>
      </c>
      <c r="R2699">
        <v>-0.106822</v>
      </c>
      <c r="S2699">
        <v>3.03186</v>
      </c>
      <c r="T2699">
        <v>-0.21395359999999999</v>
      </c>
      <c r="U2699">
        <v>-0.59072880000000005</v>
      </c>
      <c r="V2699">
        <v>0.12085070000000001</v>
      </c>
      <c r="W2699">
        <v>0.1790156</v>
      </c>
      <c r="X2699">
        <v>0.97639569999999998</v>
      </c>
      <c r="Y2699">
        <v>0.20465630000000001</v>
      </c>
      <c r="Z2699">
        <v>-9.4327479999999995E-3</v>
      </c>
      <c r="AA2699">
        <v>0.9787884</v>
      </c>
      <c r="AB2699">
        <v>32</v>
      </c>
      <c r="AC2699">
        <v>15.553900000000001</v>
      </c>
      <c r="AD2699">
        <v>-1.121146882296</v>
      </c>
      <c r="AE2699">
        <v>-3.1002999999999998</v>
      </c>
      <c r="AF2699">
        <v>3.3060674242771801</v>
      </c>
      <c r="AG2699">
        <v>-1.121146882296</v>
      </c>
      <c r="AH2699">
        <v>15.4308250585589</v>
      </c>
      <c r="AI2699">
        <v>94.063695270368299</v>
      </c>
      <c r="AJ2699">
        <v>77.907152675132195</v>
      </c>
      <c r="AK2699">
        <v>15.820790566005201</v>
      </c>
      <c r="AL2699">
        <v>79.687573659373896</v>
      </c>
      <c r="AM2699">
        <v>82.944256326114598</v>
      </c>
      <c r="AN2699">
        <v>1.00000001985616</v>
      </c>
    </row>
    <row r="2700" spans="1:40" x14ac:dyDescent="0.25">
      <c r="A2700" t="str">
        <f>"20190303162601324"</f>
        <v>20190303162601324</v>
      </c>
      <c r="B2700" t="str">
        <f>"1551601561316476"</f>
        <v>1551601561316476</v>
      </c>
      <c r="C2700" t="s">
        <v>40</v>
      </c>
      <c r="D2700">
        <v>4.9943980000000003</v>
      </c>
      <c r="E2700">
        <v>0.53453719999999905</v>
      </c>
      <c r="F2700" t="s">
        <v>51</v>
      </c>
      <c r="G2700">
        <v>-317.0317</v>
      </c>
      <c r="H2700" s="1">
        <v>4.0239069999999997E-6</v>
      </c>
      <c r="I2700">
        <v>212.13200000000001</v>
      </c>
      <c r="J2700">
        <v>-332.48239999999998</v>
      </c>
      <c r="K2700">
        <v>1.121138</v>
      </c>
      <c r="L2700">
        <v>215.2073</v>
      </c>
      <c r="M2700">
        <v>0.99979359999999995</v>
      </c>
      <c r="N2700">
        <v>-1.44233E-2</v>
      </c>
      <c r="O2700">
        <v>1.431062E-2</v>
      </c>
      <c r="P2700">
        <v>0.98072669999999995</v>
      </c>
      <c r="Q2700">
        <v>0.16349720000000001</v>
      </c>
      <c r="R2700">
        <v>-0.106978</v>
      </c>
      <c r="S2700">
        <v>3.0315859999999999</v>
      </c>
      <c r="T2700">
        <v>-0.2155899</v>
      </c>
      <c r="U2700">
        <v>-0.59049989999999997</v>
      </c>
      <c r="V2700">
        <v>0.1210098</v>
      </c>
      <c r="W2700">
        <v>0.1775977</v>
      </c>
      <c r="X2700">
        <v>0.97663489999999997</v>
      </c>
      <c r="Y2700">
        <v>0.20459330000000001</v>
      </c>
      <c r="Z2700">
        <v>-9.4927339999999992E-3</v>
      </c>
      <c r="AA2700">
        <v>0.97880100000000003</v>
      </c>
      <c r="AB2700">
        <v>32</v>
      </c>
      <c r="AC2700">
        <v>15.4506999999999</v>
      </c>
      <c r="AD2700">
        <v>-1.1211339760929999</v>
      </c>
      <c r="AE2700">
        <v>-3.0752999999999902</v>
      </c>
      <c r="AF2700">
        <v>3.2795077024015402</v>
      </c>
      <c r="AG2700">
        <v>-1.1211339760929999</v>
      </c>
      <c r="AH2700">
        <v>15.3274758718655</v>
      </c>
      <c r="AI2700">
        <v>94.091196594830805</v>
      </c>
      <c r="AJ2700">
        <v>77.922940429651803</v>
      </c>
      <c r="AK2700">
        <v>15.714440135273</v>
      </c>
      <c r="AL2700">
        <v>79.770136437209104</v>
      </c>
      <c r="AM2700">
        <v>82.936774128535703</v>
      </c>
      <c r="AN2700">
        <v>1.00000002131966</v>
      </c>
    </row>
    <row r="2701" spans="1:40" x14ac:dyDescent="0.25">
      <c r="A2701" t="str">
        <f>"20190303162601346"</f>
        <v>20190303162601346</v>
      </c>
      <c r="B2701" t="str">
        <f>"1551601561335996"</f>
        <v>1551601561335996</v>
      </c>
      <c r="C2701" t="s">
        <v>40</v>
      </c>
      <c r="D2701">
        <v>4.991301</v>
      </c>
      <c r="E2701">
        <v>0.5346554</v>
      </c>
      <c r="F2701" t="s">
        <v>51</v>
      </c>
      <c r="G2701">
        <v>-317.01220000000001</v>
      </c>
      <c r="H2701" s="1">
        <v>4.0152820000000003E-6</v>
      </c>
      <c r="I2701">
        <v>212.18969999999999</v>
      </c>
      <c r="J2701">
        <v>-332.16250000000002</v>
      </c>
      <c r="K2701">
        <v>1.1211279999999999</v>
      </c>
      <c r="L2701">
        <v>215.21180000000001</v>
      </c>
      <c r="M2701">
        <v>0.99979370000000001</v>
      </c>
      <c r="N2701">
        <v>-1.4419970000000001E-2</v>
      </c>
      <c r="O2701">
        <v>1.4310639999999999E-2</v>
      </c>
      <c r="P2701">
        <v>0.98120980000000002</v>
      </c>
      <c r="Q2701">
        <v>0.16054679999999999</v>
      </c>
      <c r="R2701">
        <v>-0.1070156</v>
      </c>
      <c r="S2701">
        <v>3.0310969999999999</v>
      </c>
      <c r="T2701">
        <v>-0.21966550000000001</v>
      </c>
      <c r="U2701">
        <v>-0.59123230000000004</v>
      </c>
      <c r="V2701">
        <v>0.1210543</v>
      </c>
      <c r="W2701">
        <v>0.174651</v>
      </c>
      <c r="X2701">
        <v>0.97716060000000005</v>
      </c>
      <c r="Y2701">
        <v>0.20482790000000001</v>
      </c>
      <c r="Z2701">
        <v>-9.6585439999999998E-3</v>
      </c>
      <c r="AA2701">
        <v>0.97875029999999996</v>
      </c>
      <c r="AB2701">
        <v>32</v>
      </c>
      <c r="AC2701">
        <v>15.1503</v>
      </c>
      <c r="AD2701">
        <v>-1.1211239847179999</v>
      </c>
      <c r="AE2701">
        <v>-3.02210000000002</v>
      </c>
      <c r="AF2701">
        <v>3.22165674059808</v>
      </c>
      <c r="AG2701">
        <v>-1.1211239847179999</v>
      </c>
      <c r="AH2701">
        <v>15.026359785076201</v>
      </c>
      <c r="AI2701">
        <v>94.172484353584196</v>
      </c>
      <c r="AJ2701">
        <v>77.898963491512504</v>
      </c>
      <c r="AK2701">
        <v>15.408681953168699</v>
      </c>
      <c r="AL2701">
        <v>79.941650653361904</v>
      </c>
      <c r="AM2701">
        <v>82.937965872380005</v>
      </c>
      <c r="AN2701">
        <v>0.999999976770924</v>
      </c>
    </row>
    <row r="2702" spans="1:40" x14ac:dyDescent="0.25">
      <c r="A2702" t="str">
        <f>"20190303162601371"</f>
        <v>20190303162601371</v>
      </c>
      <c r="B2702" t="str">
        <f>"1551601561366251"</f>
        <v>1551601561366251</v>
      </c>
      <c r="C2702" t="s">
        <v>40</v>
      </c>
      <c r="D2702">
        <v>4.9568399999999997</v>
      </c>
      <c r="E2702">
        <v>0.53487419999999997</v>
      </c>
      <c r="F2702" t="s">
        <v>51</v>
      </c>
      <c r="G2702">
        <v>-317.23379999999997</v>
      </c>
      <c r="H2702" s="1">
        <v>4.1135450000000003E-6</v>
      </c>
      <c r="I2702">
        <v>212.29640000000001</v>
      </c>
      <c r="J2702">
        <v>-331.8236</v>
      </c>
      <c r="K2702">
        <v>1.1211100000000001</v>
      </c>
      <c r="L2702">
        <v>215.2167</v>
      </c>
      <c r="M2702">
        <v>0.99979370000000001</v>
      </c>
      <c r="N2702">
        <v>-1.4416460000000001E-2</v>
      </c>
      <c r="O2702">
        <v>1.4310669999999999E-2</v>
      </c>
      <c r="P2702">
        <v>0.9816899</v>
      </c>
      <c r="Q2702">
        <v>0.15745229999999999</v>
      </c>
      <c r="R2702">
        <v>-0.1072106</v>
      </c>
      <c r="S2702">
        <v>3.030151</v>
      </c>
      <c r="T2702">
        <v>-0.22756080000000001</v>
      </c>
      <c r="U2702">
        <v>-0.59176640000000003</v>
      </c>
      <c r="V2702">
        <v>0.121256</v>
      </c>
      <c r="W2702">
        <v>0.171560299999999</v>
      </c>
      <c r="X2702">
        <v>0.97768299999999997</v>
      </c>
      <c r="Y2702">
        <v>0.20500679999999999</v>
      </c>
      <c r="Z2702">
        <v>-9.9689140000000006E-3</v>
      </c>
      <c r="AA2702">
        <v>0.97870979999999996</v>
      </c>
      <c r="AB2702">
        <v>32</v>
      </c>
      <c r="AC2702">
        <v>14.5898</v>
      </c>
      <c r="AD2702">
        <v>-1.1211058864550001</v>
      </c>
      <c r="AE2702">
        <v>-2.9202999999999899</v>
      </c>
      <c r="AF2702">
        <v>3.11114976674813</v>
      </c>
      <c r="AG2702">
        <v>-1.1211058864550001</v>
      </c>
      <c r="AH2702">
        <v>14.464392562655901</v>
      </c>
      <c r="AI2702">
        <v>94.333305479456797</v>
      </c>
      <c r="AJ2702">
        <v>77.861177615827003</v>
      </c>
      <c r="AK2702">
        <v>14.837613807024301</v>
      </c>
      <c r="AL2702">
        <v>80.121449418586593</v>
      </c>
      <c r="AM2702">
        <v>82.930059637894203</v>
      </c>
      <c r="AN2702">
        <v>1.0000000012805399</v>
      </c>
    </row>
    <row r="2703" spans="1:40" x14ac:dyDescent="0.25">
      <c r="A2703" t="str">
        <f>"20190303162601414"</f>
        <v>20190303162601414</v>
      </c>
      <c r="B2703" t="str">
        <f>"1551601561406267"</f>
        <v>1551601561406267</v>
      </c>
      <c r="C2703" t="s">
        <v>40</v>
      </c>
      <c r="D2703">
        <v>4.9780959999999999</v>
      </c>
      <c r="E2703">
        <v>0.53538619999999904</v>
      </c>
      <c r="F2703" t="s">
        <v>51</v>
      </c>
      <c r="G2703">
        <v>-317.51049999999998</v>
      </c>
      <c r="H2703" s="1">
        <v>4.2362430000000003E-6</v>
      </c>
      <c r="I2703">
        <v>212.41200000000001</v>
      </c>
      <c r="J2703">
        <v>-331.21249999999998</v>
      </c>
      <c r="K2703">
        <v>1.1210990000000001</v>
      </c>
      <c r="L2703">
        <v>215.22540000000001</v>
      </c>
      <c r="M2703">
        <v>0.99979379999999995</v>
      </c>
      <c r="N2703">
        <v>-1.4409969999999999E-2</v>
      </c>
      <c r="O2703">
        <v>1.43109E-2</v>
      </c>
      <c r="P2703">
        <v>0.98191439999999997</v>
      </c>
      <c r="Q2703">
        <v>0.1553774</v>
      </c>
      <c r="R2703">
        <v>-0.1081757</v>
      </c>
      <c r="S2703">
        <v>3.029175</v>
      </c>
      <c r="T2703">
        <v>-0.23726630000000001</v>
      </c>
      <c r="U2703">
        <v>-0.59358219999999995</v>
      </c>
      <c r="V2703">
        <v>0.1222245</v>
      </c>
      <c r="W2703">
        <v>0.16948260000000001</v>
      </c>
      <c r="X2703">
        <v>0.97792480000000004</v>
      </c>
      <c r="Y2703">
        <v>0.20557320000000001</v>
      </c>
      <c r="Z2703">
        <v>-1.0366159999999999E-2</v>
      </c>
      <c r="AA2703">
        <v>0.97858690000000004</v>
      </c>
      <c r="AB2703">
        <v>32</v>
      </c>
      <c r="AC2703">
        <v>13.7019999999999</v>
      </c>
      <c r="AD2703">
        <v>-1.1210947637569999</v>
      </c>
      <c r="AE2703">
        <v>-2.8134000000000001</v>
      </c>
      <c r="AF2703">
        <v>2.9900133062941499</v>
      </c>
      <c r="AG2703">
        <v>-1.1210947637569999</v>
      </c>
      <c r="AH2703">
        <v>13.5731408322613</v>
      </c>
      <c r="AI2703">
        <v>94.611640914507802</v>
      </c>
      <c r="AJ2703">
        <v>77.576789648588104</v>
      </c>
      <c r="AK2703">
        <v>13.9437148957349</v>
      </c>
      <c r="AL2703">
        <v>80.242262766754493</v>
      </c>
      <c r="AM2703">
        <v>82.875912426159999</v>
      </c>
      <c r="AN2703">
        <v>1.00000004727902</v>
      </c>
    </row>
    <row r="2704" spans="1:40" x14ac:dyDescent="0.25">
      <c r="A2704" t="str">
        <f>"20190303162601439"</f>
        <v>20190303162601439</v>
      </c>
      <c r="B2704" t="str">
        <f>"1551601561425788"</f>
        <v>1551601561425788</v>
      </c>
      <c r="C2704" t="s">
        <v>40</v>
      </c>
      <c r="D2704">
        <v>4.9611340000000004</v>
      </c>
      <c r="E2704">
        <v>0.52138180000000001</v>
      </c>
      <c r="F2704" t="s">
        <v>51</v>
      </c>
      <c r="G2704">
        <v>-317.3141</v>
      </c>
      <c r="H2704" s="1">
        <v>4.1491720000000001E-6</v>
      </c>
      <c r="I2704">
        <v>212.47</v>
      </c>
      <c r="J2704">
        <v>-330.85149999999999</v>
      </c>
      <c r="K2704">
        <v>1.121097</v>
      </c>
      <c r="L2704">
        <v>215.23060000000001</v>
      </c>
      <c r="M2704">
        <v>0.99979379999999995</v>
      </c>
      <c r="N2704">
        <v>-1.440639E-2</v>
      </c>
      <c r="O2704">
        <v>1.431092E-2</v>
      </c>
      <c r="P2704">
        <v>0.98183540000000002</v>
      </c>
      <c r="Q2704">
        <v>0.15521209999999999</v>
      </c>
      <c r="R2704">
        <v>-0.1091266</v>
      </c>
      <c r="S2704">
        <v>3.0278019999999999</v>
      </c>
      <c r="T2704">
        <v>-0.24423439999999999</v>
      </c>
      <c r="U2704">
        <v>-0.60028079999999995</v>
      </c>
      <c r="V2704">
        <v>0.1231743</v>
      </c>
      <c r="W2704">
        <v>0.1693124</v>
      </c>
      <c r="X2704">
        <v>0.97783509999999996</v>
      </c>
      <c r="Y2704">
        <v>0.20769080000000001</v>
      </c>
      <c r="Z2704">
        <v>-1.073404E-2</v>
      </c>
      <c r="AA2704">
        <v>0.97813559999999999</v>
      </c>
      <c r="AB2704">
        <v>32</v>
      </c>
      <c r="AC2704">
        <v>13.5373999999999</v>
      </c>
      <c r="AD2704">
        <v>-1.121092850828</v>
      </c>
      <c r="AE2704">
        <v>-2.7606000000000099</v>
      </c>
      <c r="AF2704">
        <v>2.9347463736555301</v>
      </c>
      <c r="AG2704">
        <v>-1.121092850828</v>
      </c>
      <c r="AH2704">
        <v>13.408217151913</v>
      </c>
      <c r="AI2704">
        <v>94.669483026005594</v>
      </c>
      <c r="AJ2704">
        <v>77.653984832714599</v>
      </c>
      <c r="AK2704">
        <v>13.771342441850599</v>
      </c>
      <c r="AL2704">
        <v>80.252157435852297</v>
      </c>
      <c r="AM2704">
        <v>82.820475250182696</v>
      </c>
      <c r="AN2704">
        <v>1.0000000398831199</v>
      </c>
    </row>
    <row r="2705" spans="1:40" x14ac:dyDescent="0.25">
      <c r="A2705" t="str">
        <f>"20190303162601482"</f>
        <v>20190303162601482</v>
      </c>
      <c r="B2705" t="str">
        <f>"1551601561476540"</f>
        <v>1551601561476540</v>
      </c>
      <c r="C2705" t="s">
        <v>40</v>
      </c>
      <c r="D2705">
        <v>4.9681889999999997</v>
      </c>
      <c r="E2705">
        <v>0.51016830000000002</v>
      </c>
      <c r="F2705" t="s">
        <v>42</v>
      </c>
      <c r="G2705">
        <v>-329.88749999999999</v>
      </c>
      <c r="H2705">
        <v>0.94810130000000004</v>
      </c>
      <c r="I2705">
        <v>215.07749999999999</v>
      </c>
      <c r="J2705">
        <v>-330.24290000000002</v>
      </c>
      <c r="K2705">
        <v>1.1211089999999999</v>
      </c>
      <c r="L2705">
        <v>215.23929999999999</v>
      </c>
      <c r="M2705">
        <v>0.99979390000000001</v>
      </c>
      <c r="N2705">
        <v>-1.439966E-2</v>
      </c>
      <c r="O2705">
        <v>1.431115E-2</v>
      </c>
      <c r="P2705">
        <v>0.98142079999999998</v>
      </c>
      <c r="Q2705">
        <v>0.15685289999999999</v>
      </c>
      <c r="R2705">
        <v>-0.1105023</v>
      </c>
      <c r="S2705">
        <v>3.0886840000000002</v>
      </c>
      <c r="T2705">
        <v>-0.55436989999999997</v>
      </c>
      <c r="U2705">
        <v>-0.48989870000000002</v>
      </c>
      <c r="V2705">
        <v>0.124544</v>
      </c>
      <c r="W2705">
        <v>0.17094010000000001</v>
      </c>
      <c r="X2705">
        <v>0.97737819999999997</v>
      </c>
      <c r="Y2705">
        <v>0.16774939999999999</v>
      </c>
      <c r="Z2705">
        <v>-1.8399860000000001E-2</v>
      </c>
      <c r="AA2705">
        <v>0.98565789999999998</v>
      </c>
      <c r="AB2705">
        <v>32</v>
      </c>
      <c r="AC2705">
        <v>0.35540000000003102</v>
      </c>
      <c r="AD2705">
        <v>-0.17300769999999899</v>
      </c>
      <c r="AE2705">
        <v>-0.161799999999999</v>
      </c>
      <c r="AF2705">
        <v>0.13948991996151899</v>
      </c>
      <c r="AG2705">
        <v>-0.17300769999999899</v>
      </c>
      <c r="AH2705">
        <v>0.29511937829891599</v>
      </c>
      <c r="AI2705">
        <v>117.92396943210299</v>
      </c>
      <c r="AJ2705">
        <v>64.701963157620298</v>
      </c>
      <c r="AK2705">
        <v>0.36943815379262002</v>
      </c>
      <c r="AL2705">
        <v>80.157516417277606</v>
      </c>
      <c r="AM2705">
        <v>82.738128729616506</v>
      </c>
      <c r="AN2705">
        <v>0.99999993577962298</v>
      </c>
    </row>
    <row r="2706" spans="1:40" x14ac:dyDescent="0.25">
      <c r="A2706" t="str">
        <f>"20190303162601504"</f>
        <v>20190303162601504</v>
      </c>
      <c r="B2706" t="str">
        <f>"1551601561496060"</f>
        <v>1551601561496060</v>
      </c>
      <c r="C2706" t="s">
        <v>40</v>
      </c>
      <c r="D2706">
        <v>4.9230600000000004</v>
      </c>
      <c r="E2706">
        <v>0.50981030000000005</v>
      </c>
      <c r="F2706" t="s">
        <v>42</v>
      </c>
      <c r="G2706">
        <v>-329.35750000000002</v>
      </c>
      <c r="H2706">
        <v>0.87208509999999995</v>
      </c>
      <c r="I2706">
        <v>215.12569999999999</v>
      </c>
      <c r="J2706">
        <v>-329.9248</v>
      </c>
      <c r="K2706">
        <v>1.1211169999999999</v>
      </c>
      <c r="L2706">
        <v>215.2439</v>
      </c>
      <c r="M2706">
        <v>0.99979410000000002</v>
      </c>
      <c r="N2706">
        <v>-1.4395969999999999E-2</v>
      </c>
      <c r="O2706">
        <v>1.4311000000000001E-2</v>
      </c>
      <c r="P2706">
        <v>0.98137890000000005</v>
      </c>
      <c r="Q2706">
        <v>0.1572799</v>
      </c>
      <c r="R2706">
        <v>-0.11026850000000001</v>
      </c>
      <c r="S2706">
        <v>3.1531069999999999</v>
      </c>
      <c r="T2706">
        <v>-0.88686549999999997</v>
      </c>
      <c r="U2706">
        <v>-0.40344239999999998</v>
      </c>
      <c r="V2706">
        <v>0.1243093</v>
      </c>
      <c r="W2706">
        <v>0.17136299999999999</v>
      </c>
      <c r="X2706">
        <v>0.97733409999999998</v>
      </c>
      <c r="Y2706">
        <v>0.13516539999999999</v>
      </c>
      <c r="Z2706">
        <v>-2.330436E-2</v>
      </c>
      <c r="AA2706">
        <v>0.99054900000000001</v>
      </c>
      <c r="AB2706">
        <v>32</v>
      </c>
      <c r="AC2706">
        <v>0.56729999999998804</v>
      </c>
      <c r="AD2706">
        <v>-0.249031899999999</v>
      </c>
      <c r="AE2706">
        <v>-0.118200000000001</v>
      </c>
      <c r="AF2706">
        <v>0.106616949756264</v>
      </c>
      <c r="AG2706">
        <v>-0.249031899999999</v>
      </c>
      <c r="AH2706">
        <v>0.477384936408418</v>
      </c>
      <c r="AI2706">
        <v>116.981370479505</v>
      </c>
      <c r="AJ2706">
        <v>77.410428361852098</v>
      </c>
      <c r="AK2706">
        <v>0.54889018820034396</v>
      </c>
      <c r="AL2706">
        <v>80.132923903530994</v>
      </c>
      <c r="AM2706">
        <v>82.751344278270494</v>
      </c>
      <c r="AN2706">
        <v>1.0000000114291501</v>
      </c>
    </row>
    <row r="2707" spans="1:40" x14ac:dyDescent="0.25">
      <c r="A2707" t="str">
        <f>"20190303162601525"</f>
        <v>20190303162601525</v>
      </c>
      <c r="B2707" t="str">
        <f>"1551601561515580"</f>
        <v>1551601561515580</v>
      </c>
      <c r="C2707" t="s">
        <v>40</v>
      </c>
      <c r="D2707">
        <v>4.890898</v>
      </c>
      <c r="E2707">
        <v>0.50975429999999999</v>
      </c>
      <c r="F2707" t="s">
        <v>42</v>
      </c>
      <c r="G2707">
        <v>-329.07380000000001</v>
      </c>
      <c r="H2707">
        <v>0.87596929999999995</v>
      </c>
      <c r="I2707">
        <v>215.13570000000001</v>
      </c>
      <c r="J2707">
        <v>-329.63159999999999</v>
      </c>
      <c r="K2707">
        <v>1.1211230000000001</v>
      </c>
      <c r="L2707">
        <v>215.24809999999999</v>
      </c>
      <c r="M2707">
        <v>0.99979390000000001</v>
      </c>
      <c r="N2707">
        <v>-1.439259E-2</v>
      </c>
      <c r="O2707">
        <v>1.431138E-2</v>
      </c>
      <c r="P2707">
        <v>0.98138060000000005</v>
      </c>
      <c r="Q2707">
        <v>0.15788260000000001</v>
      </c>
      <c r="R2707">
        <v>-0.10938539999999999</v>
      </c>
      <c r="S2707">
        <v>3.157654</v>
      </c>
      <c r="T2707">
        <v>-0.90962619999999905</v>
      </c>
      <c r="U2707">
        <v>-0.4011383</v>
      </c>
      <c r="V2707">
        <v>0.123427</v>
      </c>
      <c r="W2707">
        <v>0.1719619</v>
      </c>
      <c r="X2707">
        <v>0.97734069999999995</v>
      </c>
      <c r="Y2707">
        <v>0.13404160000000001</v>
      </c>
      <c r="Z2707">
        <v>-2.3663839999999998E-2</v>
      </c>
      <c r="AA2707">
        <v>0.99069320000000005</v>
      </c>
      <c r="AB2707">
        <v>32</v>
      </c>
      <c r="AC2707">
        <v>0.55779999999998597</v>
      </c>
      <c r="AD2707">
        <v>-0.245153699999999</v>
      </c>
      <c r="AE2707">
        <v>-0.112399999999979</v>
      </c>
      <c r="AF2707">
        <v>0.101526455087998</v>
      </c>
      <c r="AG2707">
        <v>-0.245153699999999</v>
      </c>
      <c r="AH2707">
        <v>0.46906447225937897</v>
      </c>
      <c r="AI2707">
        <v>117.05864843472899</v>
      </c>
      <c r="AJ2707">
        <v>77.787032832825901</v>
      </c>
      <c r="AK2707">
        <v>0.53891505531242601</v>
      </c>
      <c r="AL2707">
        <v>80.098092118327301</v>
      </c>
      <c r="AM2707">
        <v>82.802299092297503</v>
      </c>
      <c r="AN2707">
        <v>0.99999998162854897</v>
      </c>
    </row>
    <row r="2708" spans="1:40" x14ac:dyDescent="0.25">
      <c r="A2708" t="str">
        <f>"20190303162601547"</f>
        <v>20190303162601547</v>
      </c>
      <c r="B2708" t="str">
        <f>"1551601561536076"</f>
        <v>1551601561536076</v>
      </c>
      <c r="C2708" t="s">
        <v>40</v>
      </c>
      <c r="D2708">
        <v>4.8761390000000002</v>
      </c>
      <c r="E2708">
        <v>0.50972209999999996</v>
      </c>
      <c r="F2708" t="s">
        <v>42</v>
      </c>
      <c r="G2708">
        <v>-328.79169999999999</v>
      </c>
      <c r="H2708">
        <v>0.876185399999999</v>
      </c>
      <c r="I2708">
        <v>215.14240000000001</v>
      </c>
      <c r="J2708">
        <v>-329.31290000000001</v>
      </c>
      <c r="K2708">
        <v>1.12113</v>
      </c>
      <c r="L2708">
        <v>215.2526</v>
      </c>
      <c r="M2708">
        <v>0.99979410000000002</v>
      </c>
      <c r="N2708">
        <v>-1.4388929999999999E-2</v>
      </c>
      <c r="O2708">
        <v>1.431141E-2</v>
      </c>
      <c r="P2708">
        <v>0.98130850000000003</v>
      </c>
      <c r="Q2708">
        <v>0.1588318</v>
      </c>
      <c r="R2708">
        <v>-0.1086565</v>
      </c>
      <c r="S2708">
        <v>3.161041</v>
      </c>
      <c r="T2708">
        <v>-0.92186630000000003</v>
      </c>
      <c r="U2708">
        <v>-0.39630130000000002</v>
      </c>
      <c r="V2708">
        <v>0.12269720000000001</v>
      </c>
      <c r="W2708">
        <v>0.1729069</v>
      </c>
      <c r="X2708">
        <v>0.97726590000000002</v>
      </c>
      <c r="Y2708">
        <v>0.1323405</v>
      </c>
      <c r="Z2708">
        <v>-2.3683570000000001E-2</v>
      </c>
      <c r="AA2708">
        <v>0.9909213</v>
      </c>
      <c r="AB2708">
        <v>32</v>
      </c>
      <c r="AC2708">
        <v>0.52120000000002098</v>
      </c>
      <c r="AD2708">
        <v>-0.24494460000000001</v>
      </c>
      <c r="AE2708">
        <v>-0.110199999999991</v>
      </c>
      <c r="AF2708">
        <v>9.7116766240544106E-2</v>
      </c>
      <c r="AG2708">
        <v>-0.24494460000000001</v>
      </c>
      <c r="AH2708">
        <v>0.42889500837515898</v>
      </c>
      <c r="AI2708">
        <v>119.118030271626</v>
      </c>
      <c r="AJ2708">
        <v>77.2413924773671</v>
      </c>
      <c r="AK2708">
        <v>0.50336910072362295</v>
      </c>
      <c r="AL2708">
        <v>80.043124616937305</v>
      </c>
      <c r="AM2708">
        <v>82.843873255526603</v>
      </c>
      <c r="AN2708">
        <v>1.0000000191291201</v>
      </c>
    </row>
    <row r="2709" spans="1:40" x14ac:dyDescent="0.25">
      <c r="A2709" t="str">
        <f>"20190303162601571"</f>
        <v>20190303162601571</v>
      </c>
      <c r="B2709" t="str">
        <f>"1551601561566332"</f>
        <v>1551601561566332</v>
      </c>
      <c r="C2709" t="s">
        <v>40</v>
      </c>
      <c r="D2709">
        <v>4.8421649999999996</v>
      </c>
      <c r="E2709">
        <v>0.50996390000000003</v>
      </c>
      <c r="F2709" t="s">
        <v>42</v>
      </c>
      <c r="G2709">
        <v>-328.50650000000002</v>
      </c>
      <c r="H2709">
        <v>0.88464900000000002</v>
      </c>
      <c r="I2709">
        <v>215.15219999999999</v>
      </c>
      <c r="J2709">
        <v>-328.9787</v>
      </c>
      <c r="K2709">
        <v>1.1211279999999999</v>
      </c>
      <c r="L2709">
        <v>215.25739999999999</v>
      </c>
      <c r="M2709">
        <v>0.99979419999999997</v>
      </c>
      <c r="N2709">
        <v>-1.438507E-2</v>
      </c>
      <c r="O2709">
        <v>1.431143E-2</v>
      </c>
      <c r="P2709">
        <v>0.98137779999999997</v>
      </c>
      <c r="Q2709">
        <v>0.1586919</v>
      </c>
      <c r="R2709">
        <v>-0.10823480000000001</v>
      </c>
      <c r="S2709">
        <v>3.1637270000000002</v>
      </c>
      <c r="T2709">
        <v>-0.92769310000000005</v>
      </c>
      <c r="U2709">
        <v>-0.3933258</v>
      </c>
      <c r="V2709">
        <v>0.1222766</v>
      </c>
      <c r="W2709">
        <v>0.17276420000000001</v>
      </c>
      <c r="X2709">
        <v>0.97734390000000004</v>
      </c>
      <c r="Y2709">
        <v>0.13129759999999999</v>
      </c>
      <c r="Z2709">
        <v>-2.3648269999999999E-2</v>
      </c>
      <c r="AA2709">
        <v>0.99106090000000002</v>
      </c>
      <c r="AB2709">
        <v>32</v>
      </c>
      <c r="AC2709">
        <v>0.47219999999998602</v>
      </c>
      <c r="AD2709">
        <v>-0.23647899999999999</v>
      </c>
      <c r="AE2709">
        <v>-0.10519999999999601</v>
      </c>
      <c r="AF2709">
        <v>9.0357450635609196E-2</v>
      </c>
      <c r="AG2709">
        <v>-0.23647899999999999</v>
      </c>
      <c r="AH2709">
        <v>0.37987680383851302</v>
      </c>
      <c r="AI2709">
        <v>121.19987481416</v>
      </c>
      <c r="AJ2709">
        <v>76.620264551357195</v>
      </c>
      <c r="AK2709">
        <v>0.45650101031753598</v>
      </c>
      <c r="AL2709">
        <v>80.051426133271406</v>
      </c>
      <c r="AM2709">
        <v>82.868714399324404</v>
      </c>
      <c r="AN2709">
        <v>1.0000000672881999</v>
      </c>
    </row>
    <row r="2710" spans="1:40" x14ac:dyDescent="0.25">
      <c r="A2710" t="str">
        <f>"20190303162601614"</f>
        <v>20190303162601614</v>
      </c>
      <c r="B2710" t="str">
        <f>"1551601561606347"</f>
        <v>1551601561606347</v>
      </c>
      <c r="C2710" t="s">
        <v>40</v>
      </c>
      <c r="D2710">
        <v>4.8607969999999998</v>
      </c>
      <c r="E2710">
        <v>0.50922440000000002</v>
      </c>
      <c r="F2710" t="s">
        <v>42</v>
      </c>
      <c r="G2710">
        <v>-328.22030000000001</v>
      </c>
      <c r="H2710">
        <v>0.89630330000000002</v>
      </c>
      <c r="I2710">
        <v>215.16239999999999</v>
      </c>
      <c r="J2710">
        <v>-328.38199999999898</v>
      </c>
      <c r="K2710">
        <v>1.121119</v>
      </c>
      <c r="L2710">
        <v>215.26599999999999</v>
      </c>
      <c r="M2710">
        <v>0.99979419999999997</v>
      </c>
      <c r="N2710">
        <v>-1.437833E-2</v>
      </c>
      <c r="O2710">
        <v>1.4311600000000001E-2</v>
      </c>
      <c r="P2710">
        <v>0.98173999999999995</v>
      </c>
      <c r="Q2710">
        <v>0.15630189999999999</v>
      </c>
      <c r="R2710">
        <v>-0.10842789999999999</v>
      </c>
      <c r="S2710">
        <v>3.1650999999999998</v>
      </c>
      <c r="T2710">
        <v>-0.93833160000000004</v>
      </c>
      <c r="U2710">
        <v>-0.39488220000000002</v>
      </c>
      <c r="V2710">
        <v>0.1224749</v>
      </c>
      <c r="W2710">
        <v>0.170373</v>
      </c>
      <c r="X2710">
        <v>0.97773869999999896</v>
      </c>
      <c r="Y2710">
        <v>0.1315791</v>
      </c>
      <c r="Z2710">
        <v>-2.3932789999999999E-2</v>
      </c>
      <c r="AA2710">
        <v>0.99101669999999997</v>
      </c>
      <c r="AB2710">
        <v>32</v>
      </c>
      <c r="AC2710">
        <v>0.161699999999939</v>
      </c>
      <c r="AD2710">
        <v>-0.22481569999999901</v>
      </c>
      <c r="AE2710">
        <v>-0.1036</v>
      </c>
      <c r="AF2710">
        <v>4.4676614557914301E-2</v>
      </c>
      <c r="AG2710">
        <v>-0.22481569999999901</v>
      </c>
      <c r="AH2710">
        <v>6.7582274227797598E-2</v>
      </c>
      <c r="AI2710">
        <v>160.182864933383</v>
      </c>
      <c r="AJ2710">
        <v>56.532505073944698</v>
      </c>
      <c r="AK2710">
        <v>0.23896749286178501</v>
      </c>
      <c r="AL2710">
        <v>80.190493361769001</v>
      </c>
      <c r="AM2710">
        <v>82.860123097579006</v>
      </c>
      <c r="AN2710">
        <v>1.0000000128683499</v>
      </c>
    </row>
    <row r="2711" spans="1:40" x14ac:dyDescent="0.25">
      <c r="A2711" t="str">
        <f>"20190303162601635"</f>
        <v>20190303162601635</v>
      </c>
      <c r="B2711" t="str">
        <f>"1551601561625868"</f>
        <v>1551601561625868</v>
      </c>
      <c r="C2711" t="s">
        <v>40</v>
      </c>
      <c r="D2711">
        <v>4.9189480000000003</v>
      </c>
      <c r="E2711">
        <v>0.50890079999999904</v>
      </c>
      <c r="F2711" t="s">
        <v>42</v>
      </c>
      <c r="G2711">
        <v>-327.65660000000003</v>
      </c>
      <c r="H2711">
        <v>0.90087620000000002</v>
      </c>
      <c r="I2711">
        <v>215.1763</v>
      </c>
      <c r="J2711">
        <v>-328.0745</v>
      </c>
      <c r="K2711">
        <v>1.121113</v>
      </c>
      <c r="L2711">
        <v>215.2704</v>
      </c>
      <c r="M2711">
        <v>0.99979430000000002</v>
      </c>
      <c r="N2711">
        <v>-1.4374980000000001E-2</v>
      </c>
      <c r="O2711">
        <v>1.4311630000000001E-2</v>
      </c>
      <c r="P2711">
        <v>0.98167910000000003</v>
      </c>
      <c r="Q2711">
        <v>0.15599180000000001</v>
      </c>
      <c r="R2711">
        <v>-0.109421</v>
      </c>
      <c r="S2711">
        <v>3.1658019999999998</v>
      </c>
      <c r="T2711">
        <v>-0.96122750000000001</v>
      </c>
      <c r="U2711">
        <v>-0.389679</v>
      </c>
      <c r="V2711">
        <v>0.12346699999999999</v>
      </c>
      <c r="W2711">
        <v>0.17005870000000001</v>
      </c>
      <c r="X2711">
        <v>0.9776686</v>
      </c>
      <c r="Y2711">
        <v>0.1297305</v>
      </c>
      <c r="Z2711">
        <v>-2.4185080000000001E-2</v>
      </c>
      <c r="AA2711">
        <v>0.99125430000000003</v>
      </c>
      <c r="AB2711">
        <v>31</v>
      </c>
      <c r="AC2711">
        <v>0.41789999999997401</v>
      </c>
      <c r="AD2711">
        <v>-0.22023680000000001</v>
      </c>
      <c r="AE2711">
        <v>-9.4099999999997394E-2</v>
      </c>
      <c r="AF2711">
        <v>7.9149744046609793E-2</v>
      </c>
      <c r="AG2711">
        <v>-0.22023680000000001</v>
      </c>
      <c r="AH2711">
        <v>0.32943029939544199</v>
      </c>
      <c r="AI2711">
        <v>123.025458309171</v>
      </c>
      <c r="AJ2711">
        <v>76.490047091092706</v>
      </c>
      <c r="AK2711">
        <v>0.40409559786844301</v>
      </c>
      <c r="AL2711">
        <v>80.208767752382201</v>
      </c>
      <c r="AM2711">
        <v>82.802380429518706</v>
      </c>
      <c r="AN2711">
        <v>0.99999997648032402</v>
      </c>
    </row>
    <row r="2712" spans="1:40" x14ac:dyDescent="0.25">
      <c r="A2712" t="str">
        <f>"20190303162601657"</f>
        <v>20190303162601657</v>
      </c>
      <c r="B2712" t="str">
        <f>"1551601561646363"</f>
        <v>1551601561646363</v>
      </c>
      <c r="C2712" t="s">
        <v>40</v>
      </c>
      <c r="D2712">
        <v>4.9019599999999999</v>
      </c>
      <c r="E2712">
        <v>0.50855479999999997</v>
      </c>
      <c r="F2712" t="s">
        <v>42</v>
      </c>
      <c r="G2712">
        <v>-327.3741</v>
      </c>
      <c r="H2712">
        <v>0.90611640000000004</v>
      </c>
      <c r="I2712">
        <v>215.18389999999999</v>
      </c>
      <c r="J2712">
        <v>-327.77229999999997</v>
      </c>
      <c r="K2712">
        <v>1.1211059999999999</v>
      </c>
      <c r="L2712">
        <v>215.2747</v>
      </c>
      <c r="M2712">
        <v>0.99979439999999997</v>
      </c>
      <c r="N2712">
        <v>-1.437161E-2</v>
      </c>
      <c r="O2712">
        <v>1.4311829999999999E-2</v>
      </c>
      <c r="P2712">
        <v>0.98167879999999996</v>
      </c>
      <c r="Q2712">
        <v>0.1553292</v>
      </c>
      <c r="R2712">
        <v>-0.1103623</v>
      </c>
      <c r="S2712">
        <v>3.1668699999999999</v>
      </c>
      <c r="T2712">
        <v>-0.97201040000000005</v>
      </c>
      <c r="U2712">
        <v>-0.39086910000000002</v>
      </c>
      <c r="V2712">
        <v>0.1244083</v>
      </c>
      <c r="W2712">
        <v>0.16939279999999901</v>
      </c>
      <c r="X2712">
        <v>0.97766489999999995</v>
      </c>
      <c r="Y2712">
        <v>0.12990940000000001</v>
      </c>
      <c r="Z2712">
        <v>-2.4456889999999998E-2</v>
      </c>
      <c r="AA2712">
        <v>0.9912242</v>
      </c>
      <c r="AB2712">
        <v>31</v>
      </c>
      <c r="AC2712">
        <v>0.39819999999997402</v>
      </c>
      <c r="AD2712">
        <v>-0.214989599999999</v>
      </c>
      <c r="AE2712">
        <v>-9.0800000000001505E-2</v>
      </c>
      <c r="AF2712">
        <v>7.5554877276249002E-2</v>
      </c>
      <c r="AG2712">
        <v>-0.214989599999999</v>
      </c>
      <c r="AH2712">
        <v>0.31075339872206997</v>
      </c>
      <c r="AI2712">
        <v>123.910925785627</v>
      </c>
      <c r="AJ2712">
        <v>76.334574613401699</v>
      </c>
      <c r="AK2712">
        <v>0.385352750613911</v>
      </c>
      <c r="AL2712">
        <v>80.247482960036294</v>
      </c>
      <c r="AM2712">
        <v>82.748061350593005</v>
      </c>
      <c r="AN2712">
        <v>1.0000000012463699</v>
      </c>
    </row>
    <row r="2713" spans="1:40" x14ac:dyDescent="0.25">
      <c r="A2713" t="str">
        <f>"20190303162601680"</f>
        <v>20190303162601680</v>
      </c>
      <c r="B2713" t="str">
        <f>"1551601561675644"</f>
        <v>1551601561675644</v>
      </c>
      <c r="C2713" t="s">
        <v>40</v>
      </c>
      <c r="D2713">
        <v>4.9396180000000003</v>
      </c>
      <c r="E2713">
        <v>0.50796909999999995</v>
      </c>
      <c r="F2713" t="s">
        <v>42</v>
      </c>
      <c r="G2713">
        <v>-327.09199999999998</v>
      </c>
      <c r="H2713">
        <v>0.91041729999999998</v>
      </c>
      <c r="I2713">
        <v>215.19030000000001</v>
      </c>
      <c r="J2713">
        <v>-327.45</v>
      </c>
      <c r="K2713">
        <v>1.1211</v>
      </c>
      <c r="L2713">
        <v>215.27930000000001</v>
      </c>
      <c r="M2713">
        <v>0.99979450000000003</v>
      </c>
      <c r="N2713">
        <v>-1.4367410000000001E-2</v>
      </c>
      <c r="O2713">
        <v>1.431168E-2</v>
      </c>
      <c r="P2713">
        <v>0.9816821</v>
      </c>
      <c r="Q2713">
        <v>0.15505629999999901</v>
      </c>
      <c r="R2713">
        <v>-0.1107166</v>
      </c>
      <c r="S2713">
        <v>3.1671749999999999</v>
      </c>
      <c r="T2713">
        <v>-0.98083089999999995</v>
      </c>
      <c r="U2713">
        <v>-0.39149479999999998</v>
      </c>
      <c r="V2713">
        <v>0.1247626</v>
      </c>
      <c r="W2713">
        <v>0.1691155</v>
      </c>
      <c r="X2713">
        <v>0.97766770000000003</v>
      </c>
      <c r="Y2713">
        <v>0.12997010000000001</v>
      </c>
      <c r="Z2713">
        <v>-2.4669799999999999E-2</v>
      </c>
      <c r="AA2713">
        <v>0.99121090000000001</v>
      </c>
      <c r="AB2713">
        <v>31</v>
      </c>
      <c r="AC2713">
        <v>0.35800000000000398</v>
      </c>
      <c r="AD2713">
        <v>-0.210682699999999</v>
      </c>
      <c r="AE2713">
        <v>-8.8999999999998594E-2</v>
      </c>
      <c r="AF2713">
        <v>7.0967377570119103E-2</v>
      </c>
      <c r="AG2713">
        <v>-0.210682699999999</v>
      </c>
      <c r="AH2713">
        <v>0.26896156099062601</v>
      </c>
      <c r="AI2713">
        <v>127.14019282749901</v>
      </c>
      <c r="AJ2713">
        <v>75.218984713382497</v>
      </c>
      <c r="AK2713">
        <v>0.34894682983082698</v>
      </c>
      <c r="AL2713">
        <v>80.2636031107577</v>
      </c>
      <c r="AM2713">
        <v>82.727650092103602</v>
      </c>
      <c r="AN2713">
        <v>0.99999994516114799</v>
      </c>
    </row>
    <row r="2714" spans="1:40" x14ac:dyDescent="0.25">
      <c r="A2714" t="str">
        <f>"20190303162601702"</f>
        <v>20190303162601702</v>
      </c>
      <c r="B2714" t="str">
        <f>"1551601561696140"</f>
        <v>1551601561696140</v>
      </c>
      <c r="C2714" t="s">
        <v>40</v>
      </c>
      <c r="D2714">
        <v>4.8813040000000001</v>
      </c>
      <c r="E2714">
        <v>0.50774569999999997</v>
      </c>
      <c r="F2714" t="s">
        <v>42</v>
      </c>
      <c r="G2714">
        <v>-326.55970000000002</v>
      </c>
      <c r="H2714">
        <v>0.84274470000000001</v>
      </c>
      <c r="I2714">
        <v>215.16990000000001</v>
      </c>
      <c r="J2714">
        <v>-327.13580000000002</v>
      </c>
      <c r="K2714">
        <v>1.121102</v>
      </c>
      <c r="L2714">
        <v>215.28380000000001</v>
      </c>
      <c r="M2714">
        <v>0.99979459999999998</v>
      </c>
      <c r="N2714">
        <v>-1.4355639999999999E-2</v>
      </c>
      <c r="O2714">
        <v>1.431177E-2</v>
      </c>
      <c r="P2714">
        <v>0.98157700000000003</v>
      </c>
      <c r="Q2714">
        <v>0.15555769999999999</v>
      </c>
      <c r="R2714">
        <v>-0.11094560000000001</v>
      </c>
      <c r="S2714">
        <v>3.168701</v>
      </c>
      <c r="T2714">
        <v>-0.9907646</v>
      </c>
      <c r="U2714">
        <v>-0.38813779999999998</v>
      </c>
      <c r="V2714">
        <v>0.12499010000000001</v>
      </c>
      <c r="W2714">
        <v>0.16960430000000001</v>
      </c>
      <c r="X2714">
        <v>0.97755400000000003</v>
      </c>
      <c r="Y2714">
        <v>0.12880549999999999</v>
      </c>
      <c r="Z2714">
        <v>-2.4705520000000002E-2</v>
      </c>
      <c r="AA2714">
        <v>0.99136210000000002</v>
      </c>
      <c r="AB2714">
        <v>31</v>
      </c>
      <c r="AC2714">
        <v>0.57609999999999595</v>
      </c>
      <c r="AD2714">
        <v>-0.27835729999999997</v>
      </c>
      <c r="AE2714">
        <v>-0.1139</v>
      </c>
      <c r="AF2714">
        <v>9.9727751493820002E-2</v>
      </c>
      <c r="AG2714">
        <v>-0.27835729999999997</v>
      </c>
      <c r="AH2714">
        <v>0.46903072149115099</v>
      </c>
      <c r="AI2714">
        <v>120.135018015906</v>
      </c>
      <c r="AJ2714">
        <v>77.996237303202193</v>
      </c>
      <c r="AK2714">
        <v>0.55445308961517403</v>
      </c>
      <c r="AL2714">
        <v>80.235186808277007</v>
      </c>
      <c r="AM2714">
        <v>82.713693308062602</v>
      </c>
      <c r="AN2714">
        <v>0.99999998329624995</v>
      </c>
    </row>
    <row r="2715" spans="1:40" x14ac:dyDescent="0.25">
      <c r="A2715" t="str">
        <f>"20190303162601725"</f>
        <v>20190303162601725</v>
      </c>
      <c r="B2715" t="str">
        <f>"1551601561716636"</f>
        <v>1551601561716636</v>
      </c>
      <c r="C2715" t="s">
        <v>40</v>
      </c>
      <c r="D2715">
        <v>4.9152649999999998</v>
      </c>
      <c r="E2715">
        <v>0.5075904</v>
      </c>
      <c r="F2715" t="s">
        <v>42</v>
      </c>
      <c r="G2715">
        <v>-326.27679999999998</v>
      </c>
      <c r="H2715">
        <v>0.85187209999999902</v>
      </c>
      <c r="I2715">
        <v>215.17869999999999</v>
      </c>
      <c r="J2715">
        <v>-326.81779999999998</v>
      </c>
      <c r="K2715">
        <v>1.121108</v>
      </c>
      <c r="L2715">
        <v>215.28829999999999</v>
      </c>
      <c r="M2715">
        <v>0.99979479999999998</v>
      </c>
      <c r="N2715">
        <v>-1.4335789999999999E-2</v>
      </c>
      <c r="O2715">
        <v>1.4311910000000001E-2</v>
      </c>
      <c r="P2715">
        <v>0.98139520000000002</v>
      </c>
      <c r="Q2715">
        <v>0.1569257</v>
      </c>
      <c r="R2715">
        <v>-0.1106258</v>
      </c>
      <c r="S2715">
        <v>3.1699830000000002</v>
      </c>
      <c r="T2715">
        <v>-0.99355130000000003</v>
      </c>
      <c r="U2715">
        <v>-0.38722230000000002</v>
      </c>
      <c r="V2715">
        <v>0.124667899999999</v>
      </c>
      <c r="W2715">
        <v>0.17094999999999999</v>
      </c>
      <c r="X2715">
        <v>0.97736069999999997</v>
      </c>
      <c r="Y2715">
        <v>0.12845999999999999</v>
      </c>
      <c r="Z2715">
        <v>-2.470489E-2</v>
      </c>
      <c r="AA2715">
        <v>0.99140689999999998</v>
      </c>
      <c r="AB2715">
        <v>31</v>
      </c>
      <c r="AC2715">
        <v>0.54099999999999604</v>
      </c>
      <c r="AD2715">
        <v>-0.26923589999999997</v>
      </c>
      <c r="AE2715">
        <v>-0.1096</v>
      </c>
      <c r="AF2715">
        <v>9.4782983374936597E-2</v>
      </c>
      <c r="AG2715">
        <v>-0.26923589999999997</v>
      </c>
      <c r="AH2715">
        <v>0.43571672553243201</v>
      </c>
      <c r="AI2715">
        <v>121.12333177837399</v>
      </c>
      <c r="AJ2715">
        <v>77.727447062814605</v>
      </c>
      <c r="AK2715">
        <v>0.520884678882925</v>
      </c>
      <c r="AL2715">
        <v>80.156940984092898</v>
      </c>
      <c r="AM2715">
        <v>82.730852879006505</v>
      </c>
      <c r="AN2715">
        <v>0.99999996284744896</v>
      </c>
    </row>
    <row r="2716" spans="1:40" x14ac:dyDescent="0.25">
      <c r="A2716" t="str">
        <f>"20190303162601747"</f>
        <v>20190303162601747</v>
      </c>
      <c r="B2716" t="str">
        <f>"1551601561736156"</f>
        <v>1551601561736156</v>
      </c>
      <c r="C2716" t="s">
        <v>40</v>
      </c>
      <c r="D2716">
        <v>4.9752179999999999</v>
      </c>
      <c r="E2716">
        <v>0.50739719999999999</v>
      </c>
      <c r="F2716" t="s">
        <v>42</v>
      </c>
      <c r="G2716">
        <v>-325.99349999999998</v>
      </c>
      <c r="H2716">
        <v>0.86301269999999997</v>
      </c>
      <c r="I2716">
        <v>215.18819999999999</v>
      </c>
      <c r="J2716">
        <v>-326.50790000000001</v>
      </c>
      <c r="K2716">
        <v>1.1211089999999999</v>
      </c>
      <c r="L2716">
        <v>215.2928</v>
      </c>
      <c r="M2716">
        <v>0.9997954</v>
      </c>
      <c r="N2716">
        <v>-1.430118E-2</v>
      </c>
      <c r="O2716">
        <v>1.4311870000000001E-2</v>
      </c>
      <c r="P2716">
        <v>0.98114749999999995</v>
      </c>
      <c r="Q2716">
        <v>0.15853689999999901</v>
      </c>
      <c r="R2716">
        <v>-0.1105265</v>
      </c>
      <c r="S2716">
        <v>3.1723629999999998</v>
      </c>
      <c r="T2716">
        <v>-0.99326440000000005</v>
      </c>
      <c r="U2716">
        <v>-0.38423160000000001</v>
      </c>
      <c r="V2716">
        <v>0.124565</v>
      </c>
      <c r="W2716">
        <v>0.1725237</v>
      </c>
      <c r="X2716">
        <v>0.97709729999999995</v>
      </c>
      <c r="Y2716">
        <v>0.12750989999999901</v>
      </c>
      <c r="Z2716">
        <v>-2.4528830000000001E-2</v>
      </c>
      <c r="AA2716">
        <v>0.99153389999999997</v>
      </c>
      <c r="AB2716">
        <v>31</v>
      </c>
      <c r="AC2716">
        <v>0.51440000000002295</v>
      </c>
      <c r="AD2716">
        <v>-0.258096299999999</v>
      </c>
      <c r="AE2716">
        <v>-0.104600000000004</v>
      </c>
      <c r="AF2716">
        <v>9.0156725143712799E-2</v>
      </c>
      <c r="AG2716">
        <v>-0.258096299999999</v>
      </c>
      <c r="AH2716">
        <v>0.41300612970764999</v>
      </c>
      <c r="AI2716">
        <v>121.40588663050301</v>
      </c>
      <c r="AJ2716">
        <v>77.685853476153198</v>
      </c>
      <c r="AK2716">
        <v>0.49529385049525998</v>
      </c>
      <c r="AL2716">
        <v>80.065415156994007</v>
      </c>
      <c r="AM2716">
        <v>82.7348516278647</v>
      </c>
      <c r="AN2716">
        <v>0.99999999997698996</v>
      </c>
    </row>
    <row r="2717" spans="1:40" x14ac:dyDescent="0.25">
      <c r="A2717" t="str">
        <f>"20190303162601770"</f>
        <v>20190303162601770</v>
      </c>
      <c r="B2717" t="str">
        <f>"1551601561766413"</f>
        <v>1551601561766413</v>
      </c>
      <c r="C2717" t="s">
        <v>40</v>
      </c>
      <c r="D2717">
        <v>4.9496149999999997</v>
      </c>
      <c r="E2717">
        <v>0.50762450000000003</v>
      </c>
      <c r="F2717" t="s">
        <v>42</v>
      </c>
      <c r="G2717">
        <v>-325.71109999999999</v>
      </c>
      <c r="H2717">
        <v>0.87221909999999903</v>
      </c>
      <c r="I2717">
        <v>215.19659999999999</v>
      </c>
      <c r="J2717">
        <v>-326.19850000000002</v>
      </c>
      <c r="K2717">
        <v>1.121108</v>
      </c>
      <c r="L2717">
        <v>215.2972</v>
      </c>
      <c r="M2717">
        <v>0.99979609999999997</v>
      </c>
      <c r="N2717">
        <v>-1.4246719999999999E-2</v>
      </c>
      <c r="O2717">
        <v>1.431208E-2</v>
      </c>
      <c r="P2717">
        <v>0.98083869999999895</v>
      </c>
      <c r="Q2717">
        <v>0.16078149999999999</v>
      </c>
      <c r="R2717">
        <v>-0.1100211</v>
      </c>
      <c r="S2717">
        <v>3.1747740000000002</v>
      </c>
      <c r="T2717">
        <v>-0.99167680000000002</v>
      </c>
      <c r="U2717">
        <v>-0.38267519999999999</v>
      </c>
      <c r="V2717">
        <v>0.1240557</v>
      </c>
      <c r="W2717">
        <v>0.17471010000000001</v>
      </c>
      <c r="X2717">
        <v>0.97677360000000002</v>
      </c>
      <c r="Y2717">
        <v>0.126998</v>
      </c>
      <c r="Z2717">
        <v>-2.4391590000000001E-2</v>
      </c>
      <c r="AA2717">
        <v>0.99160300000000001</v>
      </c>
      <c r="AB2717">
        <v>31</v>
      </c>
      <c r="AC2717">
        <v>0.48740000000003603</v>
      </c>
      <c r="AD2717">
        <v>-0.2488889</v>
      </c>
      <c r="AE2717">
        <v>-0.100600000000014</v>
      </c>
      <c r="AF2717">
        <v>8.6045688295860998E-2</v>
      </c>
      <c r="AG2717">
        <v>-0.2488889</v>
      </c>
      <c r="AH2717">
        <v>0.388695579344989</v>
      </c>
      <c r="AI2717">
        <v>122.012923618416</v>
      </c>
      <c r="AJ2717">
        <v>77.517710810975402</v>
      </c>
      <c r="AK2717">
        <v>0.46950377891967499</v>
      </c>
      <c r="AL2717">
        <v>79.938212349389602</v>
      </c>
      <c r="AM2717">
        <v>82.761868177025505</v>
      </c>
      <c r="AN2717">
        <v>1.0000000507007201</v>
      </c>
    </row>
    <row r="2718" spans="1:40" x14ac:dyDescent="0.25">
      <c r="A2718" t="str">
        <f>"20190303162601796"</f>
        <v>20190303162601796</v>
      </c>
      <c r="B2718" t="str">
        <f>"1551601561785932"</f>
        <v>1551601561785932</v>
      </c>
      <c r="C2718" t="s">
        <v>40</v>
      </c>
      <c r="D2718">
        <v>4.9707790000000003</v>
      </c>
      <c r="E2718">
        <v>0.51854909999999999</v>
      </c>
      <c r="F2718" t="s">
        <v>42</v>
      </c>
      <c r="G2718">
        <v>-325.4282</v>
      </c>
      <c r="H2718">
        <v>0.88278719999999999</v>
      </c>
      <c r="I2718">
        <v>215.20349999999999</v>
      </c>
      <c r="J2718">
        <v>-325.8329</v>
      </c>
      <c r="K2718">
        <v>1.1211040000000001</v>
      </c>
      <c r="L2718">
        <v>215.30250000000001</v>
      </c>
      <c r="M2718">
        <v>0.99979739999999995</v>
      </c>
      <c r="N2718">
        <v>-1.416156E-2</v>
      </c>
      <c r="O2718">
        <v>1.4312160000000001E-2</v>
      </c>
      <c r="P2718">
        <v>0.98063160000000005</v>
      </c>
      <c r="Q2718">
        <v>0.16265470000000001</v>
      </c>
      <c r="R2718">
        <v>-0.109111</v>
      </c>
      <c r="S2718">
        <v>3.1765140000000001</v>
      </c>
      <c r="T2718">
        <v>-0.98278929999999998</v>
      </c>
      <c r="U2718">
        <v>-0.38493349999999998</v>
      </c>
      <c r="V2718">
        <v>0.1231429</v>
      </c>
      <c r="W2718">
        <v>0.17649719999999999</v>
      </c>
      <c r="X2718">
        <v>0.97656770000000004</v>
      </c>
      <c r="Y2718">
        <v>0.12772059999999999</v>
      </c>
      <c r="Z2718">
        <v>-2.4285169999999998E-2</v>
      </c>
      <c r="AA2718">
        <v>0.99151279999999997</v>
      </c>
      <c r="AB2718">
        <v>31</v>
      </c>
      <c r="AC2718">
        <v>0.40469999999999101</v>
      </c>
      <c r="AD2718">
        <v>-0.2383168</v>
      </c>
      <c r="AE2718">
        <v>-9.9000000000017893E-2</v>
      </c>
      <c r="AF2718">
        <v>7.8950608044652301E-2</v>
      </c>
      <c r="AG2718">
        <v>-0.2383168</v>
      </c>
      <c r="AH2718">
        <v>0.30383069820381597</v>
      </c>
      <c r="AI2718">
        <v>127.204390393322</v>
      </c>
      <c r="AJ2718">
        <v>75.433798743841805</v>
      </c>
      <c r="AK2718">
        <v>0.39413346577508401</v>
      </c>
      <c r="AL2718">
        <v>79.834201849727606</v>
      </c>
      <c r="AM2718">
        <v>82.813068416695799</v>
      </c>
      <c r="AN2718">
        <v>0.99999995405576803</v>
      </c>
    </row>
    <row r="2719" spans="1:40" x14ac:dyDescent="0.25">
      <c r="A2719" t="str">
        <f>"20190303162601819"</f>
        <v>20190303162601819</v>
      </c>
      <c r="B2719" t="str">
        <f>"1551601561807404"</f>
        <v>1551601561807404</v>
      </c>
      <c r="C2719" t="s">
        <v>40</v>
      </c>
      <c r="D2719">
        <v>4.960629</v>
      </c>
      <c r="E2719">
        <v>0.51873170000000002</v>
      </c>
      <c r="F2719" t="s">
        <v>42</v>
      </c>
      <c r="G2719">
        <v>-325.11450000000002</v>
      </c>
      <c r="H2719">
        <v>0.95810189999999995</v>
      </c>
      <c r="I2719">
        <v>215.19460000000001</v>
      </c>
      <c r="J2719">
        <v>-325.52620000000002</v>
      </c>
      <c r="K2719">
        <v>1.1210960000000001</v>
      </c>
      <c r="L2719">
        <v>215.30690000000001</v>
      </c>
      <c r="M2719">
        <v>0.99979850000000003</v>
      </c>
      <c r="N2719">
        <v>-1.4079339999999999E-2</v>
      </c>
      <c r="O2719">
        <v>1.4312450000000001E-2</v>
      </c>
      <c r="P2719">
        <v>0.98045870000000002</v>
      </c>
      <c r="Q2719">
        <v>0.164023799999999</v>
      </c>
      <c r="R2719">
        <v>-0.1086145</v>
      </c>
      <c r="S2719">
        <v>3.1246640000000001</v>
      </c>
      <c r="T2719">
        <v>-0.70903479999999997</v>
      </c>
      <c r="U2719">
        <v>-0.4692383</v>
      </c>
      <c r="V2719">
        <v>0.1226443</v>
      </c>
      <c r="W2719">
        <v>0.17778350000000001</v>
      </c>
      <c r="X2719">
        <v>0.97639719999999997</v>
      </c>
      <c r="Y2719">
        <v>0.15814439999999999</v>
      </c>
      <c r="Z2719">
        <v>-2.1748900000000002E-2</v>
      </c>
      <c r="AA2719">
        <v>0.98717650000000001</v>
      </c>
      <c r="AB2719">
        <v>31</v>
      </c>
      <c r="AC2719">
        <v>0.41169999999999601</v>
      </c>
      <c r="AD2719">
        <v>-0.162994099999999</v>
      </c>
      <c r="AE2719">
        <v>-0.11230000000000399</v>
      </c>
      <c r="AF2719">
        <v>0.10313546921478101</v>
      </c>
      <c r="AG2719">
        <v>-0.162994099999999</v>
      </c>
      <c r="AH2719">
        <v>0.35784562394161901</v>
      </c>
      <c r="AI2719">
        <v>113.637643796644</v>
      </c>
      <c r="AJ2719">
        <v>73.922373929428105</v>
      </c>
      <c r="AK2719">
        <v>0.40651874768469198</v>
      </c>
      <c r="AL2719">
        <v>79.759318974838607</v>
      </c>
      <c r="AM2719">
        <v>82.840628525274894</v>
      </c>
      <c r="AN2719">
        <v>1.00000004468128</v>
      </c>
    </row>
    <row r="2720" spans="1:40" x14ac:dyDescent="0.25">
      <c r="A2720" t="str">
        <f>"20190303162601841"</f>
        <v>20190303162601841</v>
      </c>
      <c r="B2720" t="str">
        <f>"1551601561835708"</f>
        <v>1551601561835708</v>
      </c>
      <c r="C2720" t="s">
        <v>40</v>
      </c>
      <c r="D2720">
        <v>4.9856680000000004</v>
      </c>
      <c r="E2720">
        <v>0.51894410000000002</v>
      </c>
      <c r="F2720" t="s">
        <v>42</v>
      </c>
      <c r="G2720">
        <v>-324.83190000000002</v>
      </c>
      <c r="H2720">
        <v>0.96749099999999999</v>
      </c>
      <c r="I2720">
        <v>215.20230000000001</v>
      </c>
      <c r="J2720">
        <v>-325.21499999999997</v>
      </c>
      <c r="K2720">
        <v>1.121089</v>
      </c>
      <c r="L2720">
        <v>215.31129999999999</v>
      </c>
      <c r="M2720">
        <v>0.99979969999999996</v>
      </c>
      <c r="N2720">
        <v>-1.399417E-2</v>
      </c>
      <c r="O2720">
        <v>1.431253E-2</v>
      </c>
      <c r="P2720">
        <v>0.98036840000000003</v>
      </c>
      <c r="Q2720">
        <v>0.16509099999999999</v>
      </c>
      <c r="R2720">
        <v>-0.1078104</v>
      </c>
      <c r="S2720">
        <v>3.1235050000000002</v>
      </c>
      <c r="T2720">
        <v>-0.69115400000000005</v>
      </c>
      <c r="U2720">
        <v>-0.46881099999999998</v>
      </c>
      <c r="V2720">
        <v>0.121839</v>
      </c>
      <c r="W2720">
        <v>0.17876700000000001</v>
      </c>
      <c r="X2720">
        <v>0.97631840000000003</v>
      </c>
      <c r="Y2720">
        <v>0.15827769999999999</v>
      </c>
      <c r="Z2720">
        <v>-2.1252839999999999E-2</v>
      </c>
      <c r="AA2720">
        <v>0.98716590000000004</v>
      </c>
      <c r="AB2720">
        <v>31</v>
      </c>
      <c r="AC2720">
        <v>0.38309999999995598</v>
      </c>
      <c r="AD2720">
        <v>-0.15359800000000001</v>
      </c>
      <c r="AE2720">
        <v>-0.10899999999998</v>
      </c>
      <c r="AF2720">
        <v>9.9653084508281004E-2</v>
      </c>
      <c r="AG2720">
        <v>-0.15359800000000001</v>
      </c>
      <c r="AH2720">
        <v>0.33211212219889102</v>
      </c>
      <c r="AI2720">
        <v>113.892211974055</v>
      </c>
      <c r="AJ2720">
        <v>73.297677713867401</v>
      </c>
      <c r="AK2720">
        <v>0.37923811064747398</v>
      </c>
      <c r="AL2720">
        <v>79.702050720249304</v>
      </c>
      <c r="AM2720">
        <v>82.886586709324405</v>
      </c>
      <c r="AN2720">
        <v>1.0000000001942799</v>
      </c>
    </row>
    <row r="2721" spans="1:40" x14ac:dyDescent="0.25">
      <c r="A2721" t="str">
        <f>"20190303162601860"</f>
        <v>20190303162601860</v>
      </c>
      <c r="B2721" t="str">
        <f>"1551601561856205"</f>
        <v>1551601561856205</v>
      </c>
      <c r="C2721" t="s">
        <v>40</v>
      </c>
      <c r="D2721">
        <v>5.035018</v>
      </c>
      <c r="E2721">
        <v>0.51913209999999999</v>
      </c>
      <c r="F2721" t="s">
        <v>42</v>
      </c>
      <c r="G2721">
        <v>-324.29689999999999</v>
      </c>
      <c r="H2721">
        <v>0.9183694</v>
      </c>
      <c r="I2721">
        <v>215.17310000000001</v>
      </c>
      <c r="J2721">
        <v>-324.94400000000002</v>
      </c>
      <c r="K2721">
        <v>1.1210869999999999</v>
      </c>
      <c r="L2721">
        <v>215.3152</v>
      </c>
      <c r="M2721">
        <v>0.99980060000000004</v>
      </c>
      <c r="N2721">
        <v>-1.392322E-2</v>
      </c>
      <c r="O2721">
        <v>1.4312729999999999E-2</v>
      </c>
      <c r="P2721">
        <v>0.98046789999999995</v>
      </c>
      <c r="Q2721">
        <v>0.16545079999999901</v>
      </c>
      <c r="R2721">
        <v>-0.1063431</v>
      </c>
      <c r="S2721">
        <v>3.124695</v>
      </c>
      <c r="T2721">
        <v>-0.69003919999999996</v>
      </c>
      <c r="U2721">
        <v>-0.46943659999999998</v>
      </c>
      <c r="V2721">
        <v>0.1203736</v>
      </c>
      <c r="W2721">
        <v>0.17905879999999999</v>
      </c>
      <c r="X2721">
        <v>0.9764467</v>
      </c>
      <c r="Y2721">
        <v>0.15842979999999901</v>
      </c>
      <c r="Z2721">
        <v>-2.1225919999999999E-2</v>
      </c>
      <c r="AA2721">
        <v>0.98714210000000002</v>
      </c>
      <c r="AB2721">
        <v>31</v>
      </c>
      <c r="AC2721">
        <v>0.64710000000002299</v>
      </c>
      <c r="AD2721">
        <v>-0.2027176</v>
      </c>
      <c r="AE2721">
        <v>-0.142099999999999</v>
      </c>
      <c r="AF2721">
        <v>0.13839136471580701</v>
      </c>
      <c r="AG2721">
        <v>-0.2027176</v>
      </c>
      <c r="AH2721">
        <v>0.58978196560212703</v>
      </c>
      <c r="AI2721">
        <v>108.501649846311</v>
      </c>
      <c r="AJ2721">
        <v>76.794543952697495</v>
      </c>
      <c r="AK2721">
        <v>0.63881872399544803</v>
      </c>
      <c r="AL2721">
        <v>79.685057704882894</v>
      </c>
      <c r="AM2721">
        <v>82.972195610755307</v>
      </c>
      <c r="AN2721">
        <v>1.0000000076876401</v>
      </c>
    </row>
    <row r="2722" spans="1:40" x14ac:dyDescent="0.25">
      <c r="A2722" t="str">
        <f>"20190303162601880"</f>
        <v>20190303162601880</v>
      </c>
      <c r="B2722" t="str">
        <f>"1551601561875725"</f>
        <v>1551601561875725</v>
      </c>
      <c r="C2722" t="s">
        <v>40</v>
      </c>
      <c r="D2722">
        <v>5.0382129999999998</v>
      </c>
      <c r="E2722">
        <v>0.51924729999999997</v>
      </c>
      <c r="F2722" t="s">
        <v>42</v>
      </c>
      <c r="G2722">
        <v>-324.02</v>
      </c>
      <c r="H2722">
        <v>0.91645540000000003</v>
      </c>
      <c r="I2722">
        <v>215.1773</v>
      </c>
      <c r="J2722">
        <v>-324.65600000000001</v>
      </c>
      <c r="K2722">
        <v>1.121078</v>
      </c>
      <c r="L2722">
        <v>215.3193</v>
      </c>
      <c r="M2722">
        <v>0.99980170000000002</v>
      </c>
      <c r="N2722">
        <v>-1.3852639999999999E-2</v>
      </c>
      <c r="O2722">
        <v>1.431287E-2</v>
      </c>
      <c r="P2722">
        <v>0.98051480000000002</v>
      </c>
      <c r="Q2722">
        <v>0.16571060000000001</v>
      </c>
      <c r="R2722">
        <v>-0.105503399999999</v>
      </c>
      <c r="S2722">
        <v>3.1259769999999998</v>
      </c>
      <c r="T2722">
        <v>-0.69234700000000005</v>
      </c>
      <c r="U2722">
        <v>-0.46676640000000003</v>
      </c>
      <c r="V2722">
        <v>0.11953469999999999</v>
      </c>
      <c r="W2722">
        <v>0.17925060000000001</v>
      </c>
      <c r="X2722">
        <v>0.97651449999999995</v>
      </c>
      <c r="Y2722">
        <v>0.15754409999999999</v>
      </c>
      <c r="Z2722">
        <v>-2.117809E-2</v>
      </c>
      <c r="AA2722">
        <v>0.98728479999999996</v>
      </c>
      <c r="AB2722">
        <v>31</v>
      </c>
      <c r="AC2722">
        <v>0.63600000000002399</v>
      </c>
      <c r="AD2722">
        <v>-0.20462259999999999</v>
      </c>
      <c r="AE2722">
        <v>-0.14199999999999499</v>
      </c>
      <c r="AF2722">
        <v>0.137529269295594</v>
      </c>
      <c r="AG2722">
        <v>-0.20462259999999999</v>
      </c>
      <c r="AH2722">
        <v>0.57701043822929698</v>
      </c>
      <c r="AI2722">
        <v>109.032499440625</v>
      </c>
      <c r="AJ2722">
        <v>76.593799153343696</v>
      </c>
      <c r="AK2722">
        <v>0.62747570006280395</v>
      </c>
      <c r="AL2722">
        <v>79.673887003061097</v>
      </c>
      <c r="AM2722">
        <v>83.021168409897996</v>
      </c>
      <c r="AN2722">
        <v>0.99999994540734805</v>
      </c>
    </row>
    <row r="2723" spans="1:40" x14ac:dyDescent="0.25">
      <c r="A2723" t="str">
        <f>"20190303162601905"</f>
        <v>20190303162601905</v>
      </c>
      <c r="B2723" t="str">
        <f>"1551601561896220"</f>
        <v>1551601561896220</v>
      </c>
      <c r="C2723" t="s">
        <v>40</v>
      </c>
      <c r="D2723">
        <v>5.0507169999999997</v>
      </c>
      <c r="E2723">
        <v>0.51937909999999998</v>
      </c>
      <c r="F2723" t="s">
        <v>42</v>
      </c>
      <c r="G2723">
        <v>-323.74209999999999</v>
      </c>
      <c r="H2723">
        <v>0.91759669999999904</v>
      </c>
      <c r="I2723">
        <v>215.1832</v>
      </c>
      <c r="J2723">
        <v>-324.31950000000001</v>
      </c>
      <c r="K2723">
        <v>1.121067</v>
      </c>
      <c r="L2723">
        <v>215.32409999999999</v>
      </c>
      <c r="M2723">
        <v>0.99980259999999999</v>
      </c>
      <c r="N2723">
        <v>-1.377712E-2</v>
      </c>
      <c r="O2723">
        <v>1.431311E-2</v>
      </c>
      <c r="P2723">
        <v>0.98056200000000004</v>
      </c>
      <c r="Q2723">
        <v>0.16573080000000001</v>
      </c>
      <c r="R2723">
        <v>-0.105030399999999</v>
      </c>
      <c r="S2723">
        <v>3.1272890000000002</v>
      </c>
      <c r="T2723">
        <v>-0.69627640000000002</v>
      </c>
      <c r="U2723">
        <v>-0.46481319999999998</v>
      </c>
      <c r="V2723">
        <v>0.1190626</v>
      </c>
      <c r="W2723">
        <v>0.17919769999999999</v>
      </c>
      <c r="X2723">
        <v>0.9765819</v>
      </c>
      <c r="Y2723">
        <v>0.1568552</v>
      </c>
      <c r="Z2723">
        <v>-2.1197980000000002E-2</v>
      </c>
      <c r="AA2723">
        <v>0.98739410000000005</v>
      </c>
      <c r="AB2723">
        <v>31</v>
      </c>
      <c r="AC2723">
        <v>0.57740000000001102</v>
      </c>
      <c r="AD2723">
        <v>-0.20347029999999999</v>
      </c>
      <c r="AE2723">
        <v>-0.14089999999998701</v>
      </c>
      <c r="AF2723">
        <v>0.133504056586877</v>
      </c>
      <c r="AG2723">
        <v>-0.20347029999999999</v>
      </c>
      <c r="AH2723">
        <v>0.51496948469289505</v>
      </c>
      <c r="AI2723">
        <v>110.93024132612</v>
      </c>
      <c r="AJ2723">
        <v>75.466227837454198</v>
      </c>
      <c r="AK2723">
        <v>0.56957621638557598</v>
      </c>
      <c r="AL2723">
        <v>79.676968016581199</v>
      </c>
      <c r="AM2723">
        <v>83.0489360270563</v>
      </c>
      <c r="AN2723">
        <v>0.99999996290582904</v>
      </c>
    </row>
    <row r="2724" spans="1:40" x14ac:dyDescent="0.25">
      <c r="A2724" t="str">
        <f>"20190303162601926"</f>
        <v>20190303162601926</v>
      </c>
      <c r="B2724" t="str">
        <f>"1551601561915740"</f>
        <v>1551601561915740</v>
      </c>
      <c r="C2724" t="s">
        <v>40</v>
      </c>
      <c r="D2724">
        <v>5.0843249999999998</v>
      </c>
      <c r="E2724">
        <v>0.51946870000000001</v>
      </c>
      <c r="F2724" t="s">
        <v>42</v>
      </c>
      <c r="G2724">
        <v>-323.46039999999999</v>
      </c>
      <c r="H2724">
        <v>0.92902859999999998</v>
      </c>
      <c r="I2724">
        <v>215.197</v>
      </c>
      <c r="J2724">
        <v>-324.02879999999999</v>
      </c>
      <c r="K2724">
        <v>1.1210639999999901</v>
      </c>
      <c r="L2724">
        <v>215.32830000000001</v>
      </c>
      <c r="M2724">
        <v>0.99980349999999996</v>
      </c>
      <c r="N2724">
        <v>-1.3717780000000001E-2</v>
      </c>
      <c r="O2724">
        <v>1.431316E-2</v>
      </c>
      <c r="P2724">
        <v>0.98055930000000002</v>
      </c>
      <c r="Q2724">
        <v>0.16560710000000001</v>
      </c>
      <c r="R2724">
        <v>-0.1052517</v>
      </c>
      <c r="S2724">
        <v>3.1280519999999998</v>
      </c>
      <c r="T2724">
        <v>-0.69924830000000004</v>
      </c>
      <c r="U2724">
        <v>-0.46328740000000002</v>
      </c>
      <c r="V2724">
        <v>0.1192836</v>
      </c>
      <c r="W2724">
        <v>0.1790156</v>
      </c>
      <c r="X2724">
        <v>0.97658840000000002</v>
      </c>
      <c r="Y2724">
        <v>0.15632939999999901</v>
      </c>
      <c r="Z2724">
        <v>-2.1213200000000001E-2</v>
      </c>
      <c r="AA2724">
        <v>0.9874771</v>
      </c>
      <c r="AB2724">
        <v>31</v>
      </c>
      <c r="AC2724">
        <v>0.56839999999999602</v>
      </c>
      <c r="AD2724">
        <v>-0.192035399999999</v>
      </c>
      <c r="AE2724">
        <v>-0.13130000000000999</v>
      </c>
      <c r="AF2724">
        <v>0.12579184606393901</v>
      </c>
      <c r="AG2724">
        <v>-0.192035399999999</v>
      </c>
      <c r="AH2724">
        <v>0.51108051818005595</v>
      </c>
      <c r="AI2724">
        <v>110.044752020194</v>
      </c>
      <c r="AJ2724">
        <v>76.172679742603606</v>
      </c>
      <c r="AK2724">
        <v>0.56027179069852195</v>
      </c>
      <c r="AL2724">
        <v>79.687573792684404</v>
      </c>
      <c r="AM2724">
        <v>83.036206166038795</v>
      </c>
      <c r="AN2724">
        <v>1.00000003264343</v>
      </c>
    </row>
    <row r="2725" spans="1:40" x14ac:dyDescent="0.25">
      <c r="A2725" t="str">
        <f>"20190303162601947"</f>
        <v>20190303162601947</v>
      </c>
      <c r="B2725" t="str">
        <f>"1551601561936237"</f>
        <v>1551601561936237</v>
      </c>
      <c r="C2725" t="s">
        <v>40</v>
      </c>
      <c r="D2725">
        <v>5.0806459999999998</v>
      </c>
      <c r="E2725">
        <v>0.51875420000000005</v>
      </c>
      <c r="F2725" t="s">
        <v>42</v>
      </c>
      <c r="G2725">
        <v>-323.18239999999997</v>
      </c>
      <c r="H2725">
        <v>0.93104920000000002</v>
      </c>
      <c r="I2725">
        <v>215.20240000000001</v>
      </c>
      <c r="J2725">
        <v>-323.72899999999998</v>
      </c>
      <c r="K2725">
        <v>1.121057</v>
      </c>
      <c r="L2725">
        <v>215.33260000000001</v>
      </c>
      <c r="M2725">
        <v>0.99980429999999998</v>
      </c>
      <c r="N2725">
        <v>-1.3662469999999999E-2</v>
      </c>
      <c r="O2725">
        <v>1.4313370000000001E-2</v>
      </c>
      <c r="P2725">
        <v>0.9806241</v>
      </c>
      <c r="Q2725">
        <v>0.16496569999999999</v>
      </c>
      <c r="R2725">
        <v>-0.1056545</v>
      </c>
      <c r="S2725">
        <v>3.1282040000000002</v>
      </c>
      <c r="T2725">
        <v>-0.70224619999999904</v>
      </c>
      <c r="U2725">
        <v>-0.4645996</v>
      </c>
      <c r="V2725">
        <v>0.1196878</v>
      </c>
      <c r="W2725">
        <v>0.17832129999999999</v>
      </c>
      <c r="X2725">
        <v>0.97666589999999998</v>
      </c>
      <c r="Y2725">
        <v>0.1566844</v>
      </c>
      <c r="Z2725">
        <v>-2.1334849999999999E-2</v>
      </c>
      <c r="AA2725">
        <v>0.98741829999999997</v>
      </c>
      <c r="AB2725">
        <v>31</v>
      </c>
      <c r="AC2725">
        <v>0.54660000000006903</v>
      </c>
      <c r="AD2725">
        <v>-0.19000779999999901</v>
      </c>
      <c r="AE2725">
        <v>-0.13020000000000201</v>
      </c>
      <c r="AF2725">
        <v>0.123848960287622</v>
      </c>
      <c r="AG2725">
        <v>-0.19000779999999901</v>
      </c>
      <c r="AH2725">
        <v>0.488787424302292</v>
      </c>
      <c r="AI2725">
        <v>110.64765381839</v>
      </c>
      <c r="AJ2725">
        <v>75.781633701889405</v>
      </c>
      <c r="AK2725">
        <v>0.53884568772630403</v>
      </c>
      <c r="AL2725">
        <v>79.728004141221007</v>
      </c>
      <c r="AM2725">
        <v>83.0133907428485</v>
      </c>
      <c r="AN2725">
        <v>0.99999996786266898</v>
      </c>
    </row>
    <row r="2726" spans="1:40" x14ac:dyDescent="0.25">
      <c r="A2726" t="str">
        <f>"20190303162601970"</f>
        <v>20190303162601970</v>
      </c>
      <c r="B2726" t="str">
        <f>"1551601561966492"</f>
        <v>1551601561966492</v>
      </c>
      <c r="C2726" t="s">
        <v>40</v>
      </c>
      <c r="D2726">
        <v>5.1153079999999997</v>
      </c>
      <c r="E2726">
        <v>0.50717950000000001</v>
      </c>
      <c r="F2726" t="s">
        <v>42</v>
      </c>
      <c r="G2726">
        <v>-322.90480000000002</v>
      </c>
      <c r="H2726">
        <v>0.93261179999999999</v>
      </c>
      <c r="I2726">
        <v>215.21129999999999</v>
      </c>
      <c r="J2726">
        <v>-323.41820000000001</v>
      </c>
      <c r="K2726">
        <v>1.1210530000000001</v>
      </c>
      <c r="L2726">
        <v>215.33699999999999</v>
      </c>
      <c r="M2726">
        <v>0.99980500000000005</v>
      </c>
      <c r="N2726">
        <v>-1.3611180000000001E-2</v>
      </c>
      <c r="O2726">
        <v>1.431355E-2</v>
      </c>
      <c r="P2726">
        <v>0.98072559999999998</v>
      </c>
      <c r="Q2726">
        <v>0.16404859999999999</v>
      </c>
      <c r="R2726">
        <v>-0.1061399</v>
      </c>
      <c r="S2726">
        <v>3.1300050000000001</v>
      </c>
      <c r="T2726">
        <v>-0.71568969999999998</v>
      </c>
      <c r="U2726">
        <v>-0.46086120000000003</v>
      </c>
      <c r="V2726">
        <v>0.1201747</v>
      </c>
      <c r="W2726">
        <v>0.1773556</v>
      </c>
      <c r="X2726">
        <v>0.97678200000000004</v>
      </c>
      <c r="Y2726">
        <v>0.15532599999999999</v>
      </c>
      <c r="Z2726">
        <v>-2.1541830000000001E-2</v>
      </c>
      <c r="AA2726">
        <v>0.98762830000000001</v>
      </c>
      <c r="AB2726">
        <v>31</v>
      </c>
      <c r="AC2726">
        <v>0.51339999999998998</v>
      </c>
      <c r="AD2726">
        <v>-0.1884412</v>
      </c>
      <c r="AE2726">
        <v>-0.12570000000002299</v>
      </c>
      <c r="AF2726">
        <v>0.118033896449232</v>
      </c>
      <c r="AG2726">
        <v>-0.1884412</v>
      </c>
      <c r="AH2726">
        <v>0.45386086742356402</v>
      </c>
      <c r="AI2726">
        <v>111.891717431475</v>
      </c>
      <c r="AJ2726">
        <v>75.422228053566499</v>
      </c>
      <c r="AK2726">
        <v>0.50540258561556395</v>
      </c>
      <c r="AL2726">
        <v>79.784231505507506</v>
      </c>
      <c r="AM2726">
        <v>82.986076698483004</v>
      </c>
      <c r="AN2726">
        <v>1.00000002144772</v>
      </c>
    </row>
    <row r="2727" spans="1:40" x14ac:dyDescent="0.25">
      <c r="A2727" t="str">
        <f>"20190303162601995"</f>
        <v>20190303162601995</v>
      </c>
      <c r="B2727" t="str">
        <f>"1551601561986013"</f>
        <v>1551601561986013</v>
      </c>
      <c r="C2727" t="s">
        <v>40</v>
      </c>
      <c r="D2727">
        <v>5.1212609999999996</v>
      </c>
      <c r="E2727">
        <v>0.50740629999999998</v>
      </c>
      <c r="F2727" t="s">
        <v>42</v>
      </c>
      <c r="G2727">
        <v>-322.64980000000003</v>
      </c>
      <c r="H2727">
        <v>0.88799599999999901</v>
      </c>
      <c r="I2727">
        <v>215.2473</v>
      </c>
      <c r="J2727">
        <v>-323.06200000000001</v>
      </c>
      <c r="K2727">
        <v>1.121043</v>
      </c>
      <c r="L2727">
        <v>215.34209999999999</v>
      </c>
      <c r="M2727">
        <v>0.99980570000000002</v>
      </c>
      <c r="N2727">
        <v>-1.355925E-2</v>
      </c>
      <c r="O2727">
        <v>1.431379E-2</v>
      </c>
      <c r="P2727">
        <v>0.98070500000000005</v>
      </c>
      <c r="Q2727">
        <v>0.1639774</v>
      </c>
      <c r="R2727">
        <v>-0.1064407</v>
      </c>
      <c r="S2727">
        <v>3.1802670000000002</v>
      </c>
      <c r="T2727">
        <v>-0.96466260000000004</v>
      </c>
      <c r="U2727">
        <v>-0.37046810000000002</v>
      </c>
      <c r="V2727">
        <v>0.12047529999999999</v>
      </c>
      <c r="W2727">
        <v>0.17723359999999999</v>
      </c>
      <c r="X2727">
        <v>0.9767671</v>
      </c>
      <c r="Y2727">
        <v>0.12358520000000001</v>
      </c>
      <c r="Z2727">
        <v>-2.317719E-2</v>
      </c>
      <c r="AA2727">
        <v>0.99206329999999998</v>
      </c>
      <c r="AB2727">
        <v>31</v>
      </c>
      <c r="AC2727">
        <v>0.41219999999998402</v>
      </c>
      <c r="AD2727">
        <v>-0.233047</v>
      </c>
      <c r="AE2727">
        <v>-9.4799999999992196E-2</v>
      </c>
      <c r="AF2727">
        <v>7.72413211313627E-2</v>
      </c>
      <c r="AG2727">
        <v>-0.233047</v>
      </c>
      <c r="AH2727">
        <v>0.31513041718893198</v>
      </c>
      <c r="AI2727">
        <v>125.688332110986</v>
      </c>
      <c r="AJ2727">
        <v>76.227804486537593</v>
      </c>
      <c r="AK2727">
        <v>0.39948004422847999</v>
      </c>
      <c r="AL2727">
        <v>79.791333964796493</v>
      </c>
      <c r="AM2727">
        <v>82.9686015774993</v>
      </c>
      <c r="AN2727">
        <v>1.00000000726073</v>
      </c>
    </row>
    <row r="2728" spans="1:40" x14ac:dyDescent="0.25">
      <c r="A2728" t="str">
        <f>"20190303162602018"</f>
        <v>20190303162602018</v>
      </c>
      <c r="B2728" t="str">
        <f>"1551601562006508"</f>
        <v>1551601562006508</v>
      </c>
      <c r="C2728" t="s">
        <v>40</v>
      </c>
      <c r="D2728">
        <v>5.1031380000000004</v>
      </c>
      <c r="E2728">
        <v>0.507909099999999</v>
      </c>
      <c r="F2728" t="s">
        <v>42</v>
      </c>
      <c r="G2728">
        <v>-322.3648</v>
      </c>
      <c r="H2728">
        <v>0.90833030000000003</v>
      </c>
      <c r="I2728">
        <v>215.2602</v>
      </c>
      <c r="J2728">
        <v>-322.76080000000002</v>
      </c>
      <c r="K2728">
        <v>1.1210420000000001</v>
      </c>
      <c r="L2728">
        <v>215.34649999999999</v>
      </c>
      <c r="M2728">
        <v>0.99980619999999998</v>
      </c>
      <c r="N2728">
        <v>-1.352107E-2</v>
      </c>
      <c r="O2728">
        <v>1.4313869999999999E-2</v>
      </c>
      <c r="P2728">
        <v>0.98059019999999997</v>
      </c>
      <c r="Q2728">
        <v>0.16393489999999999</v>
      </c>
      <c r="R2728">
        <v>-0.1075569</v>
      </c>
      <c r="S2728">
        <v>3.1807560000000001</v>
      </c>
      <c r="T2728">
        <v>-0.97044790000000003</v>
      </c>
      <c r="U2728">
        <v>-0.37323000000000001</v>
      </c>
      <c r="V2728">
        <v>0.1215897</v>
      </c>
      <c r="W2728">
        <v>0.17715139999999999</v>
      </c>
      <c r="X2728">
        <v>0.97664390000000001</v>
      </c>
      <c r="Y2728">
        <v>0.1243131</v>
      </c>
      <c r="Z2728">
        <v>-2.3413699999999999E-2</v>
      </c>
      <c r="AA2728">
        <v>0.99196680000000004</v>
      </c>
      <c r="AB2728">
        <v>31</v>
      </c>
      <c r="AC2728">
        <v>0.39600000000001501</v>
      </c>
      <c r="AD2728">
        <v>-0.2127117</v>
      </c>
      <c r="AE2728">
        <v>-8.6299999999994201E-2</v>
      </c>
      <c r="AF2728">
        <v>7.2100074708144002E-2</v>
      </c>
      <c r="AG2728">
        <v>-0.2127117</v>
      </c>
      <c r="AH2728">
        <v>0.30947848681578999</v>
      </c>
      <c r="AI2728">
        <v>123.798228665555</v>
      </c>
      <c r="AJ2728">
        <v>76.885568808565296</v>
      </c>
      <c r="AK2728">
        <v>0.38238935901983601</v>
      </c>
      <c r="AL2728">
        <v>79.796119229103894</v>
      </c>
      <c r="AM2728">
        <v>82.903334973917197</v>
      </c>
      <c r="AN2728">
        <v>0.99999999053763</v>
      </c>
    </row>
    <row r="2729" spans="1:40" x14ac:dyDescent="0.25">
      <c r="A2729" t="str">
        <f>"20190303162602037"</f>
        <v>20190303162602037</v>
      </c>
      <c r="B2729" t="str">
        <f>"1551601562026028"</f>
        <v>1551601562026028</v>
      </c>
      <c r="C2729" t="s">
        <v>40</v>
      </c>
      <c r="D2729">
        <v>5.1074099999999998</v>
      </c>
      <c r="E2729">
        <v>0.50813560000000002</v>
      </c>
      <c r="F2729" t="s">
        <v>42</v>
      </c>
      <c r="G2729">
        <v>-322.08589999999998</v>
      </c>
      <c r="H2729">
        <v>0.9135858</v>
      </c>
      <c r="I2729">
        <v>215.26560000000001</v>
      </c>
      <c r="J2729">
        <v>-322.49149999999997</v>
      </c>
      <c r="K2729">
        <v>1.1210420000000001</v>
      </c>
      <c r="L2729">
        <v>215.3503</v>
      </c>
      <c r="M2729">
        <v>0.99980659999999999</v>
      </c>
      <c r="N2729">
        <v>-1.3490820000000001E-2</v>
      </c>
      <c r="O2729">
        <v>1.4314260000000001E-2</v>
      </c>
      <c r="P2729">
        <v>0.98049419999999998</v>
      </c>
      <c r="Q2729">
        <v>0.16431560000000001</v>
      </c>
      <c r="R2729">
        <v>-0.1078503</v>
      </c>
      <c r="S2729">
        <v>3.1812130000000001</v>
      </c>
      <c r="T2729">
        <v>-0.97780469999999997</v>
      </c>
      <c r="U2729">
        <v>-0.37959290000000001</v>
      </c>
      <c r="V2729">
        <v>0.121882199999999</v>
      </c>
      <c r="W2729">
        <v>0.17750150000000001</v>
      </c>
      <c r="X2729">
        <v>0.97654390000000002</v>
      </c>
      <c r="Y2729">
        <v>0.12607889999999999</v>
      </c>
      <c r="Z2729">
        <v>-2.3848600000000001E-2</v>
      </c>
      <c r="AA2729">
        <v>0.99173350000000005</v>
      </c>
      <c r="AB2729">
        <v>31</v>
      </c>
      <c r="AC2729">
        <v>0.40559999999999202</v>
      </c>
      <c r="AD2729">
        <v>-0.20745620000000001</v>
      </c>
      <c r="AE2729">
        <v>-8.4699999999997999E-2</v>
      </c>
      <c r="AF2729">
        <v>7.2358818092065194E-2</v>
      </c>
      <c r="AG2729">
        <v>-0.20745620000000001</v>
      </c>
      <c r="AH2729">
        <v>0.32330090218258301</v>
      </c>
      <c r="AI2729">
        <v>122.05436785593</v>
      </c>
      <c r="AJ2729">
        <v>77.384387310882005</v>
      </c>
      <c r="AK2729">
        <v>0.39089301199457699</v>
      </c>
      <c r="AL2729">
        <v>79.775737273756803</v>
      </c>
      <c r="AM2729">
        <v>82.885716725335001</v>
      </c>
      <c r="AN2729">
        <v>1.0000000209031401</v>
      </c>
    </row>
    <row r="2730" spans="1:40" x14ac:dyDescent="0.25">
      <c r="A2730" t="str">
        <f>"20190303162602060"</f>
        <v>20190303162602060</v>
      </c>
      <c r="B2730" t="str">
        <f>"1551601562046524"</f>
        <v>1551601562046524</v>
      </c>
      <c r="C2730" t="s">
        <v>40</v>
      </c>
      <c r="D2730">
        <v>5.1169479999999998</v>
      </c>
      <c r="E2730">
        <v>0.50835980000000003</v>
      </c>
      <c r="F2730" t="s">
        <v>42</v>
      </c>
      <c r="G2730">
        <v>-321.81049999999999</v>
      </c>
      <c r="H2730">
        <v>0.91133509999999995</v>
      </c>
      <c r="I2730">
        <v>215.26849999999999</v>
      </c>
      <c r="J2730">
        <v>-322.18619999999999</v>
      </c>
      <c r="K2730">
        <v>1.1210469999999999</v>
      </c>
      <c r="L2730">
        <v>215.35470000000001</v>
      </c>
      <c r="M2730">
        <v>0.999807</v>
      </c>
      <c r="N2730">
        <v>-1.3460379999999999E-2</v>
      </c>
      <c r="O2730">
        <v>1.431459E-2</v>
      </c>
      <c r="P2730">
        <v>0.98046060000000002</v>
      </c>
      <c r="Q2730">
        <v>0.16447729999999999</v>
      </c>
      <c r="R2730">
        <v>-0.10791000000000001</v>
      </c>
      <c r="S2730">
        <v>3.1818240000000002</v>
      </c>
      <c r="T2730">
        <v>-0.97979939999999999</v>
      </c>
      <c r="U2730">
        <v>-0.3823242</v>
      </c>
      <c r="V2730">
        <v>0.1219417</v>
      </c>
      <c r="W2730">
        <v>0.1776334</v>
      </c>
      <c r="X2730">
        <v>0.97651250000000001</v>
      </c>
      <c r="Y2730">
        <v>0.12683739999999999</v>
      </c>
      <c r="Z2730">
        <v>-2.400615E-2</v>
      </c>
      <c r="AA2730">
        <v>0.99163299999999999</v>
      </c>
      <c r="AB2730">
        <v>31</v>
      </c>
      <c r="AC2730">
        <v>0.37569999999999398</v>
      </c>
      <c r="AD2730">
        <v>-0.20971189999999901</v>
      </c>
      <c r="AE2730">
        <v>-8.6200000000019303E-2</v>
      </c>
      <c r="AF2730">
        <v>7.0655910936863603E-2</v>
      </c>
      <c r="AG2730">
        <v>-0.20971189999999901</v>
      </c>
      <c r="AH2730">
        <v>0.28891139646458802</v>
      </c>
      <c r="AI2730">
        <v>125.187281875572</v>
      </c>
      <c r="AJ2730">
        <v>76.2575330113239</v>
      </c>
      <c r="AK2730">
        <v>0.36392462648060198</v>
      </c>
      <c r="AL2730">
        <v>79.768058048547999</v>
      </c>
      <c r="AM2730">
        <v>82.882052789426595</v>
      </c>
      <c r="AN2730">
        <v>1.00000003282534</v>
      </c>
    </row>
    <row r="2731" spans="1:40" x14ac:dyDescent="0.25">
      <c r="A2731" t="str">
        <f>"20190303162602082"</f>
        <v>20190303162602082</v>
      </c>
      <c r="B2731" t="str">
        <f>"1551601562075804"</f>
        <v>1551601562075804</v>
      </c>
      <c r="C2731" t="s">
        <v>40</v>
      </c>
      <c r="D2731">
        <v>5.1934879999999897</v>
      </c>
      <c r="E2731">
        <v>0.50856689999999904</v>
      </c>
      <c r="F2731" t="s">
        <v>42</v>
      </c>
      <c r="G2731">
        <v>-321.28530000000001</v>
      </c>
      <c r="H2731">
        <v>0.84359200000000001</v>
      </c>
      <c r="I2731">
        <v>215.2457</v>
      </c>
      <c r="J2731">
        <v>-321.87079999999997</v>
      </c>
      <c r="K2731">
        <v>1.121041</v>
      </c>
      <c r="L2731">
        <v>215.35919999999999</v>
      </c>
      <c r="M2731">
        <v>0.99980740000000001</v>
      </c>
      <c r="N2731">
        <v>-1.3432899999999999E-2</v>
      </c>
      <c r="O2731">
        <v>1.431466E-2</v>
      </c>
      <c r="P2731">
        <v>0.98050040000000005</v>
      </c>
      <c r="Q2731">
        <v>0.16455449999999999</v>
      </c>
      <c r="R2731">
        <v>-0.1074302</v>
      </c>
      <c r="S2731">
        <v>3.1818849999999999</v>
      </c>
      <c r="T2731">
        <v>-0.97998790000000002</v>
      </c>
      <c r="U2731">
        <v>-0.38461299999999998</v>
      </c>
      <c r="V2731">
        <v>0.1214625</v>
      </c>
      <c r="W2731">
        <v>0.17768410000000001</v>
      </c>
      <c r="X2731">
        <v>0.97656299999999996</v>
      </c>
      <c r="Y2731">
        <v>0.12750529999999999</v>
      </c>
      <c r="Z2731">
        <v>-2.4112519999999998E-2</v>
      </c>
      <c r="AA2731">
        <v>0.99154469999999995</v>
      </c>
      <c r="AB2731">
        <v>31</v>
      </c>
      <c r="AC2731">
        <v>0.58549999999996705</v>
      </c>
      <c r="AD2731">
        <v>-0.277448999999999</v>
      </c>
      <c r="AE2731">
        <v>-0.113499999999987</v>
      </c>
      <c r="AF2731">
        <v>0.100187966177589</v>
      </c>
      <c r="AG2731">
        <v>-0.277448999999999</v>
      </c>
      <c r="AH2731">
        <v>0.479946498082652</v>
      </c>
      <c r="AI2731">
        <v>119.50487912310101</v>
      </c>
      <c r="AJ2731">
        <v>78.208931779721496</v>
      </c>
      <c r="AK2731">
        <v>0.56335088283378298</v>
      </c>
      <c r="AL2731">
        <v>79.765106224050797</v>
      </c>
      <c r="AM2731">
        <v>82.910102193743796</v>
      </c>
      <c r="AN2731">
        <v>1.00000003563402</v>
      </c>
    </row>
    <row r="2732" spans="1:40" x14ac:dyDescent="0.25">
      <c r="A2732" t="str">
        <f>"20190303162602105"</f>
        <v>20190303162602105</v>
      </c>
      <c r="B2732" t="str">
        <f>"1551601562096300"</f>
        <v>1551601562096300</v>
      </c>
      <c r="C2732" t="s">
        <v>40</v>
      </c>
      <c r="D2732">
        <v>5.1398210000000004</v>
      </c>
      <c r="E2732">
        <v>0.50871379999999999</v>
      </c>
      <c r="F2732" t="s">
        <v>42</v>
      </c>
      <c r="G2732">
        <v>-321.0052</v>
      </c>
      <c r="H2732">
        <v>0.85442229999999997</v>
      </c>
      <c r="I2732">
        <v>215.2543</v>
      </c>
      <c r="J2732">
        <v>-321.55529999999999</v>
      </c>
      <c r="K2732">
        <v>1.121046</v>
      </c>
      <c r="L2732">
        <v>215.36369999999999</v>
      </c>
      <c r="M2732">
        <v>0.99980769999999997</v>
      </c>
      <c r="N2732">
        <v>-1.340878E-2</v>
      </c>
      <c r="O2732">
        <v>1.431494E-2</v>
      </c>
      <c r="P2732">
        <v>0.9805817</v>
      </c>
      <c r="Q2732">
        <v>0.16468039999999901</v>
      </c>
      <c r="R2732">
        <v>-0.1064915</v>
      </c>
      <c r="S2732">
        <v>3.1819760000000001</v>
      </c>
      <c r="T2732">
        <v>-0.9800605</v>
      </c>
      <c r="U2732">
        <v>-0.38450620000000002</v>
      </c>
      <c r="V2732">
        <v>0.1205253</v>
      </c>
      <c r="W2732">
        <v>0.1777878</v>
      </c>
      <c r="X2732">
        <v>0.97666019999999998</v>
      </c>
      <c r="Y2732">
        <v>0.12747069999999999</v>
      </c>
      <c r="Z2732">
        <v>-2.4107E-2</v>
      </c>
      <c r="AA2732">
        <v>0.99154929999999997</v>
      </c>
      <c r="AB2732">
        <v>31</v>
      </c>
      <c r="AC2732">
        <v>0.55009999999998604</v>
      </c>
      <c r="AD2732">
        <v>-0.26662370000000002</v>
      </c>
      <c r="AE2732">
        <v>-0.109399999999993</v>
      </c>
      <c r="AF2732">
        <v>9.5649367880464506E-2</v>
      </c>
      <c r="AG2732">
        <v>-0.26662370000000002</v>
      </c>
      <c r="AH2732">
        <v>0.447379032239901</v>
      </c>
      <c r="AI2732">
        <v>120.23351256117699</v>
      </c>
      <c r="AJ2732">
        <v>77.931886141035207</v>
      </c>
      <c r="AK2732">
        <v>0.52951392565779898</v>
      </c>
      <c r="AL2732">
        <v>79.759068131521801</v>
      </c>
      <c r="AM2732">
        <v>82.964950395233501</v>
      </c>
      <c r="AN2732">
        <v>0.99999999801648498</v>
      </c>
    </row>
    <row r="2733" spans="1:40" x14ac:dyDescent="0.25">
      <c r="A2733" t="str">
        <f>"20190303162602126"</f>
        <v>20190303162602126</v>
      </c>
      <c r="B2733" t="str">
        <f>"1551601562115821"</f>
        <v>1551601562115821</v>
      </c>
      <c r="C2733" t="s">
        <v>40</v>
      </c>
      <c r="D2733">
        <v>5.2427169999999998</v>
      </c>
      <c r="E2733">
        <v>0.50880709999999996</v>
      </c>
      <c r="F2733" t="s">
        <v>42</v>
      </c>
      <c r="G2733">
        <v>-320.7251</v>
      </c>
      <c r="H2733">
        <v>0.86559370000000002</v>
      </c>
      <c r="I2733">
        <v>215.2636</v>
      </c>
      <c r="J2733">
        <v>-321.26549999999997</v>
      </c>
      <c r="K2733">
        <v>1.121051</v>
      </c>
      <c r="L2733">
        <v>215.36789999999999</v>
      </c>
      <c r="M2733">
        <v>0.99980800000000003</v>
      </c>
      <c r="N2733">
        <v>-1.338933E-2</v>
      </c>
      <c r="O2733">
        <v>1.4314779999999999E-2</v>
      </c>
      <c r="P2733">
        <v>0.9805372</v>
      </c>
      <c r="Q2733">
        <v>0.16539089999999901</v>
      </c>
      <c r="R2733">
        <v>-0.10579570000000001</v>
      </c>
      <c r="S2733">
        <v>3.1822509999999999</v>
      </c>
      <c r="T2733">
        <v>-0.97927010000000003</v>
      </c>
      <c r="U2733">
        <v>-0.38337710000000003</v>
      </c>
      <c r="V2733">
        <v>0.1198289</v>
      </c>
      <c r="W2733">
        <v>0.1784789</v>
      </c>
      <c r="X2733">
        <v>0.97661980000000004</v>
      </c>
      <c r="Y2733">
        <v>0.1271408</v>
      </c>
      <c r="Z2733">
        <v>-2.4034659999999999E-2</v>
      </c>
      <c r="AA2733">
        <v>0.99159339999999996</v>
      </c>
      <c r="AB2733">
        <v>31</v>
      </c>
      <c r="AC2733">
        <v>0.54039999999997601</v>
      </c>
      <c r="AD2733">
        <v>-0.2554573</v>
      </c>
      <c r="AE2733">
        <v>-0.10429999999999399</v>
      </c>
      <c r="AF2733">
        <v>9.2169013113709605E-2</v>
      </c>
      <c r="AG2733">
        <v>-0.2554573</v>
      </c>
      <c r="AH2733">
        <v>0.44333935757547599</v>
      </c>
      <c r="AI2733">
        <v>119.429474431984</v>
      </c>
      <c r="AJ2733">
        <v>78.255662041658496</v>
      </c>
      <c r="AK2733">
        <v>0.51990705426747297</v>
      </c>
      <c r="AL2733">
        <v>79.718827009883299</v>
      </c>
      <c r="AM2733">
        <v>83.004908865749996</v>
      </c>
      <c r="AN2733">
        <v>0.99999995838622902</v>
      </c>
    </row>
    <row r="2734" spans="1:40" x14ac:dyDescent="0.25">
      <c r="A2734" t="str">
        <f>"20190303162602148"</f>
        <v>20190303162602148</v>
      </c>
      <c r="B2734" t="str">
        <f>"1551601562136315"</f>
        <v>1551601562136315</v>
      </c>
      <c r="C2734" t="s">
        <v>40</v>
      </c>
      <c r="D2734">
        <v>5.1370239999999896</v>
      </c>
      <c r="E2734">
        <v>0.50889220000000002</v>
      </c>
      <c r="F2734" t="s">
        <v>42</v>
      </c>
      <c r="G2734">
        <v>-320.44760000000002</v>
      </c>
      <c r="H2734">
        <v>0.87068639999999997</v>
      </c>
      <c r="I2734">
        <v>215.26949999999999</v>
      </c>
      <c r="J2734">
        <v>-320.96300000000002</v>
      </c>
      <c r="K2734">
        <v>1.1210599999999999</v>
      </c>
      <c r="L2734">
        <v>215.37219999999999</v>
      </c>
      <c r="M2734">
        <v>0.99980809999999998</v>
      </c>
      <c r="N2734">
        <v>-1.3371549999999999E-2</v>
      </c>
      <c r="O2734">
        <v>1.431472E-2</v>
      </c>
      <c r="P2734">
        <v>0.98048080000000004</v>
      </c>
      <c r="Q2734">
        <v>0.16607179999999999</v>
      </c>
      <c r="R2734">
        <v>-0.1052507</v>
      </c>
      <c r="S2734">
        <v>3.182617</v>
      </c>
      <c r="T2734">
        <v>-0.97417880000000001</v>
      </c>
      <c r="U2734">
        <v>-0.38221739999999998</v>
      </c>
      <c r="V2734">
        <v>0.119283</v>
      </c>
      <c r="W2734">
        <v>0.17914179999999999</v>
      </c>
      <c r="X2734">
        <v>0.97656529999999997</v>
      </c>
      <c r="Y2734">
        <v>0.12685279999999999</v>
      </c>
      <c r="Z2734">
        <v>-2.3870349999999999E-2</v>
      </c>
      <c r="AA2734">
        <v>0.99163429999999997</v>
      </c>
      <c r="AB2734">
        <v>31</v>
      </c>
      <c r="AC2734">
        <v>0.51539999999994202</v>
      </c>
      <c r="AD2734">
        <v>-0.25037359999999997</v>
      </c>
      <c r="AE2734">
        <v>-0.102699999999998</v>
      </c>
      <c r="AF2734">
        <v>8.9706758788573607E-2</v>
      </c>
      <c r="AG2734">
        <v>-0.25037359999999997</v>
      </c>
      <c r="AH2734">
        <v>0.41881616851989001</v>
      </c>
      <c r="AI2734">
        <v>120.308590014663</v>
      </c>
      <c r="AJ2734">
        <v>77.910417792829193</v>
      </c>
      <c r="AK2734">
        <v>0.49612621898362902</v>
      </c>
      <c r="AL2734">
        <v>79.680223937557102</v>
      </c>
      <c r="AM2734">
        <v>83.036077744585995</v>
      </c>
      <c r="AN2734">
        <v>1.00000000188016</v>
      </c>
    </row>
    <row r="2735" spans="1:40" x14ac:dyDescent="0.25">
      <c r="A2735" t="str">
        <f>"20190303162602172"</f>
        <v>20190303162602172</v>
      </c>
      <c r="B2735" t="str">
        <f>"1551601562165596"</f>
        <v>1551601562165596</v>
      </c>
      <c r="C2735" t="s">
        <v>40</v>
      </c>
      <c r="D2735">
        <v>5.1434360000000003</v>
      </c>
      <c r="E2735">
        <v>0.50223509999999905</v>
      </c>
      <c r="F2735" t="s">
        <v>42</v>
      </c>
      <c r="G2735">
        <v>-320.16910000000001</v>
      </c>
      <c r="H2735">
        <v>0.87880539999999996</v>
      </c>
      <c r="I2735">
        <v>215.27690000000001</v>
      </c>
      <c r="J2735">
        <v>-320.62920000000003</v>
      </c>
      <c r="K2735">
        <v>1.1210629999999999</v>
      </c>
      <c r="L2735">
        <v>215.37700000000001</v>
      </c>
      <c r="M2735">
        <v>0.99980849999999999</v>
      </c>
      <c r="N2735">
        <v>-1.335415E-2</v>
      </c>
      <c r="O2735">
        <v>1.431501E-2</v>
      </c>
      <c r="P2735">
        <v>0.98051699999999997</v>
      </c>
      <c r="Q2735">
        <v>0.1664177</v>
      </c>
      <c r="R2735">
        <v>-0.10436520000000001</v>
      </c>
      <c r="S2735">
        <v>3.183319</v>
      </c>
      <c r="T2735">
        <v>-0.9713733</v>
      </c>
      <c r="U2735">
        <v>-0.38139339999999999</v>
      </c>
      <c r="V2735">
        <v>0.1183984</v>
      </c>
      <c r="W2735">
        <v>0.1794712</v>
      </c>
      <c r="X2735">
        <v>0.97661240000000005</v>
      </c>
      <c r="Y2735">
        <v>0.12662419999999999</v>
      </c>
      <c r="Z2735">
        <v>-2.3765439999999999E-2</v>
      </c>
      <c r="AA2735">
        <v>0.99166600000000005</v>
      </c>
      <c r="AB2735">
        <v>31</v>
      </c>
      <c r="AC2735">
        <v>0.460100000000011</v>
      </c>
      <c r="AD2735">
        <v>-0.24225759999999999</v>
      </c>
      <c r="AE2735">
        <v>-0.100099999999997</v>
      </c>
      <c r="AF2735">
        <v>8.4348909205308603E-2</v>
      </c>
      <c r="AG2735">
        <v>-0.24225759999999999</v>
      </c>
      <c r="AH2735">
        <v>0.36262925159543602</v>
      </c>
      <c r="AI2735">
        <v>123.051567158067</v>
      </c>
      <c r="AJ2735">
        <v>76.9056299416727</v>
      </c>
      <c r="AK2735">
        <v>0.44418853807201197</v>
      </c>
      <c r="AL2735">
        <v>79.661039109764502</v>
      </c>
      <c r="AM2735">
        <v>83.087550638396607</v>
      </c>
      <c r="AN2735">
        <v>0.99999993629287798</v>
      </c>
    </row>
    <row r="2736" spans="1:40" x14ac:dyDescent="0.25">
      <c r="A2736" t="str">
        <f>"20190303162602194"</f>
        <v>20190303162602194</v>
      </c>
      <c r="B2736" t="str">
        <f>"1551601562186092"</f>
        <v>1551601562186092</v>
      </c>
      <c r="C2736" t="s">
        <v>40</v>
      </c>
      <c r="D2736">
        <v>5.0950030000000002</v>
      </c>
      <c r="E2736">
        <v>0.49219109999999999</v>
      </c>
      <c r="F2736" t="s">
        <v>42</v>
      </c>
      <c r="G2736">
        <v>-319.87509999999997</v>
      </c>
      <c r="H2736">
        <v>0.92337469999999999</v>
      </c>
      <c r="I2736">
        <v>215.29910000000001</v>
      </c>
      <c r="J2736">
        <v>-320.32389999999998</v>
      </c>
      <c r="K2736">
        <v>1.121065</v>
      </c>
      <c r="L2736">
        <v>215.38130000000001</v>
      </c>
      <c r="M2736">
        <v>0.99980860000000005</v>
      </c>
      <c r="N2736">
        <v>-1.3340019999999999E-2</v>
      </c>
      <c r="O2736">
        <v>1.431558E-2</v>
      </c>
      <c r="P2736">
        <v>0.98045329999999997</v>
      </c>
      <c r="Q2736">
        <v>0.16718720000000001</v>
      </c>
      <c r="R2736">
        <v>-0.1037298</v>
      </c>
      <c r="S2736">
        <v>3.1657709999999999</v>
      </c>
      <c r="T2736">
        <v>-0.82986260000000001</v>
      </c>
      <c r="U2736">
        <v>-0.32608029999999999</v>
      </c>
      <c r="V2736">
        <v>0.1177629</v>
      </c>
      <c r="W2736">
        <v>0.18022630000000001</v>
      </c>
      <c r="X2736">
        <v>0.97655020000000003</v>
      </c>
      <c r="Y2736">
        <v>0.1123036</v>
      </c>
      <c r="Z2736">
        <v>-1.8696709999999998E-2</v>
      </c>
      <c r="AA2736">
        <v>0.99349799999999999</v>
      </c>
      <c r="AB2736">
        <v>31</v>
      </c>
      <c r="AC2736">
        <v>0.44880000000000497</v>
      </c>
      <c r="AD2736">
        <v>-0.19769030000000001</v>
      </c>
      <c r="AE2736">
        <v>-8.2200000000000203E-2</v>
      </c>
      <c r="AF2736">
        <v>7.4610329319602695E-2</v>
      </c>
      <c r="AG2736">
        <v>-0.19769030000000001</v>
      </c>
      <c r="AH2736">
        <v>0.376833869552191</v>
      </c>
      <c r="AI2736">
        <v>117.231201422865</v>
      </c>
      <c r="AJ2736">
        <v>78.800700255972998</v>
      </c>
      <c r="AK2736">
        <v>0.43203231499153799</v>
      </c>
      <c r="AL2736">
        <v>79.617058129284203</v>
      </c>
      <c r="AM2736">
        <v>83.123863142011004</v>
      </c>
      <c r="AN2736">
        <v>0.99999995647406903</v>
      </c>
    </row>
    <row r="2737" spans="1:40" x14ac:dyDescent="0.25">
      <c r="A2737" t="str">
        <f>"20190303162602240"</f>
        <v>20190303162602240</v>
      </c>
      <c r="B2737" t="str">
        <f>"1551601562226108"</f>
        <v>1551601562226108</v>
      </c>
      <c r="C2737" t="s">
        <v>40</v>
      </c>
      <c r="D2737">
        <v>5.1016380000000003</v>
      </c>
      <c r="E2737">
        <v>0.49030370000000001</v>
      </c>
      <c r="F2737" t="s">
        <v>42</v>
      </c>
      <c r="G2737">
        <v>-319.55529999999999</v>
      </c>
      <c r="H2737">
        <v>1.0153270000000001</v>
      </c>
      <c r="I2737">
        <v>215.3203</v>
      </c>
      <c r="J2737">
        <v>-319.68490000000003</v>
      </c>
      <c r="K2737">
        <v>1.121062</v>
      </c>
      <c r="L2737">
        <v>215.3905</v>
      </c>
      <c r="M2737">
        <v>0.99980880000000005</v>
      </c>
      <c r="N2737">
        <v>-1.3315240000000001E-2</v>
      </c>
      <c r="O2737">
        <v>1.4315929999999999E-2</v>
      </c>
      <c r="P2737">
        <v>0.98044790000000004</v>
      </c>
      <c r="Q2737">
        <v>0.16739899999999999</v>
      </c>
      <c r="R2737">
        <v>-0.10343769999999999</v>
      </c>
      <c r="S2737">
        <v>3.1066280000000002</v>
      </c>
      <c r="T2737">
        <v>-0.42748789999999998</v>
      </c>
      <c r="U2737">
        <v>-0.24652099999999999</v>
      </c>
      <c r="V2737">
        <v>0.1174713</v>
      </c>
      <c r="W2737">
        <v>0.18041389999999999</v>
      </c>
      <c r="X2737">
        <v>0.97655069999999999</v>
      </c>
      <c r="Y2737">
        <v>9.2309829999999995E-2</v>
      </c>
      <c r="Z2737">
        <v>-8.6986809999999998E-3</v>
      </c>
      <c r="AA2737">
        <v>0.99569229999999997</v>
      </c>
      <c r="AB2737">
        <v>31</v>
      </c>
      <c r="AC2737">
        <v>0.12960000000003899</v>
      </c>
      <c r="AD2737">
        <v>-0.105734999999999</v>
      </c>
      <c r="AE2737">
        <v>-7.0199999999999804E-2</v>
      </c>
      <c r="AF2737">
        <v>4.7568310502448502E-2</v>
      </c>
      <c r="AG2737">
        <v>-0.105734999999999</v>
      </c>
      <c r="AH2737">
        <v>8.4893198402060804E-2</v>
      </c>
      <c r="AI2737">
        <v>137.375478490235</v>
      </c>
      <c r="AJ2737">
        <v>60.736728206854799</v>
      </c>
      <c r="AK2737">
        <v>0.14369930244781601</v>
      </c>
      <c r="AL2737">
        <v>79.606130513123603</v>
      </c>
      <c r="AM2737">
        <v>83.140730632326395</v>
      </c>
      <c r="AN2737">
        <v>0.99999997565369403</v>
      </c>
    </row>
    <row r="2738" spans="1:40" x14ac:dyDescent="0.25">
      <c r="A2738" t="str">
        <f>"20190303162602260"</f>
        <v>20190303162602260</v>
      </c>
      <c r="B2738" t="str">
        <f>"1551601562245628"</f>
        <v>1551601562245628</v>
      </c>
      <c r="C2738" t="s">
        <v>40</v>
      </c>
      <c r="D2738">
        <v>5.133013</v>
      </c>
      <c r="E2738">
        <v>0.4912029</v>
      </c>
      <c r="F2738" t="s">
        <v>42</v>
      </c>
      <c r="G2738">
        <v>-318.73129999999998</v>
      </c>
      <c r="H2738">
        <v>1.0146309999999901</v>
      </c>
      <c r="I2738">
        <v>215.31890000000001</v>
      </c>
      <c r="J2738">
        <v>-319.42329999999998</v>
      </c>
      <c r="K2738">
        <v>1.1210580000000001</v>
      </c>
      <c r="L2738">
        <v>215.39420000000001</v>
      </c>
      <c r="M2738">
        <v>0.99980910000000001</v>
      </c>
      <c r="N2738">
        <v>-1.3305900000000001E-2</v>
      </c>
      <c r="O2738">
        <v>1.4315990000000001E-2</v>
      </c>
      <c r="P2738">
        <v>0.98050329999999997</v>
      </c>
      <c r="Q2738">
        <v>0.1666463</v>
      </c>
      <c r="R2738">
        <v>-0.1041282</v>
      </c>
      <c r="S2738">
        <v>3.09436</v>
      </c>
      <c r="T2738">
        <v>-0.34546169999999998</v>
      </c>
      <c r="U2738">
        <v>-0.23164370000000001</v>
      </c>
      <c r="V2738">
        <v>0.1181622</v>
      </c>
      <c r="W2738">
        <v>0.1796527</v>
      </c>
      <c r="X2738">
        <v>0.97660769999999997</v>
      </c>
      <c r="Y2738">
        <v>8.8241089999999994E-2</v>
      </c>
      <c r="Z2738">
        <v>-6.8952029999999999E-3</v>
      </c>
      <c r="AA2738">
        <v>0.9960753</v>
      </c>
      <c r="AB2738">
        <v>31</v>
      </c>
      <c r="AC2738">
        <v>0.69200000000000705</v>
      </c>
      <c r="AD2738">
        <v>-0.10642699999999999</v>
      </c>
      <c r="AE2738">
        <v>-7.5299999999998493E-2</v>
      </c>
      <c r="AF2738">
        <v>8.3253644985594302E-2</v>
      </c>
      <c r="AG2738">
        <v>-0.10642699999999999</v>
      </c>
      <c r="AH2738">
        <v>0.67507021054913197</v>
      </c>
      <c r="AI2738">
        <v>98.8928425976098</v>
      </c>
      <c r="AJ2738">
        <v>82.969445908664198</v>
      </c>
      <c r="AK2738">
        <v>0.68846035826562701</v>
      </c>
      <c r="AL2738">
        <v>79.6504687663559</v>
      </c>
      <c r="AM2738">
        <v>83.101174785040001</v>
      </c>
      <c r="AN2738">
        <v>0.99999999891270996</v>
      </c>
    </row>
    <row r="2739" spans="1:40" x14ac:dyDescent="0.25">
      <c r="A2739" t="str">
        <f>"20190303162602283"</f>
        <v>20190303162602283</v>
      </c>
      <c r="B2739" t="str">
        <f>"1551601562275885"</f>
        <v>1551601562275885</v>
      </c>
      <c r="C2739" t="s">
        <v>40</v>
      </c>
      <c r="D2739">
        <v>5.3546339999999999</v>
      </c>
      <c r="E2739">
        <v>0.48850329999999897</v>
      </c>
      <c r="F2739" t="s">
        <v>42</v>
      </c>
      <c r="G2739">
        <v>-318.45749999999998</v>
      </c>
      <c r="H2739">
        <v>1.0134339999999999</v>
      </c>
      <c r="I2739">
        <v>215.31890000000001</v>
      </c>
      <c r="J2739">
        <v>-319.09570000000002</v>
      </c>
      <c r="K2739">
        <v>1.1210530000000001</v>
      </c>
      <c r="L2739">
        <v>215.3989</v>
      </c>
      <c r="M2739">
        <v>0.99980939999999996</v>
      </c>
      <c r="N2739">
        <v>-1.328037E-2</v>
      </c>
      <c r="O2739">
        <v>1.4316519999999999E-2</v>
      </c>
      <c r="P2739">
        <v>0.98060829999999999</v>
      </c>
      <c r="Q2739">
        <v>0.16594159999999999</v>
      </c>
      <c r="R2739">
        <v>-0.1042638</v>
      </c>
      <c r="S2739">
        <v>3.09259</v>
      </c>
      <c r="T2739">
        <v>-0.34462320000000002</v>
      </c>
      <c r="U2739">
        <v>-0.24118039999999999</v>
      </c>
      <c r="V2739">
        <v>0.1183</v>
      </c>
      <c r="W2739">
        <v>0.17892420000000001</v>
      </c>
      <c r="X2739">
        <v>0.9767247</v>
      </c>
      <c r="Y2739">
        <v>9.1318910000000003E-2</v>
      </c>
      <c r="Z2739">
        <v>-7.0730740000000004E-3</v>
      </c>
      <c r="AA2739">
        <v>0.99579660000000003</v>
      </c>
      <c r="AB2739">
        <v>31</v>
      </c>
      <c r="AC2739">
        <v>0.63820000000003996</v>
      </c>
      <c r="AD2739">
        <v>-0.10761900000000001</v>
      </c>
      <c r="AE2739">
        <v>-7.9999999999984001E-2</v>
      </c>
      <c r="AF2739">
        <v>8.6702111117637898E-2</v>
      </c>
      <c r="AG2739">
        <v>-0.10761900000000001</v>
      </c>
      <c r="AH2739">
        <v>0.61964177970684498</v>
      </c>
      <c r="AI2739">
        <v>99.759590475992098</v>
      </c>
      <c r="AJ2739">
        <v>82.034718941774798</v>
      </c>
      <c r="AK2739">
        <v>0.63486615943167302</v>
      </c>
      <c r="AL2739">
        <v>79.692895698650105</v>
      </c>
      <c r="AM2739">
        <v>83.094026450106497</v>
      </c>
      <c r="AN2739">
        <v>0.99999994946786297</v>
      </c>
    </row>
    <row r="2740" spans="1:40" x14ac:dyDescent="0.25">
      <c r="A2740" t="str">
        <f>"20190303162602306"</f>
        <v>20190303162602306</v>
      </c>
      <c r="B2740" t="str">
        <f>"1551601562296381"</f>
        <v>1551601562296381</v>
      </c>
      <c r="C2740" t="s">
        <v>40</v>
      </c>
      <c r="D2740">
        <v>5.0734180000000002</v>
      </c>
      <c r="E2740">
        <v>0.48910110000000001</v>
      </c>
      <c r="F2740" t="s">
        <v>51</v>
      </c>
      <c r="G2740">
        <v>-284.61430000000001</v>
      </c>
      <c r="H2740" s="1">
        <v>5.248455E-6</v>
      </c>
      <c r="I2740">
        <v>212.90690000000001</v>
      </c>
      <c r="J2740">
        <v>-318.78840000000002</v>
      </c>
      <c r="K2740">
        <v>1.121038</v>
      </c>
      <c r="L2740">
        <v>215.4034</v>
      </c>
      <c r="M2740">
        <v>0.99980999999999998</v>
      </c>
      <c r="N2740">
        <v>-1.323447E-2</v>
      </c>
      <c r="O2740">
        <v>1.431965E-2</v>
      </c>
      <c r="P2740">
        <v>0.98071969999999997</v>
      </c>
      <c r="Q2740">
        <v>0.1650392</v>
      </c>
      <c r="R2740">
        <v>-0.1046469</v>
      </c>
      <c r="S2740">
        <v>3.052673</v>
      </c>
      <c r="T2740">
        <v>-9.9247340000000003E-2</v>
      </c>
      <c r="U2740">
        <v>-0.22062680000000001</v>
      </c>
      <c r="V2740">
        <v>0.1186873</v>
      </c>
      <c r="W2740">
        <v>0.17797879999999899</v>
      </c>
      <c r="X2740">
        <v>0.97685049999999995</v>
      </c>
      <c r="Y2740">
        <v>8.6294999999999997E-2</v>
      </c>
      <c r="Z2740">
        <v>-2.2482629999999999E-3</v>
      </c>
      <c r="AA2740">
        <v>0.99626709999999996</v>
      </c>
      <c r="AB2740">
        <v>31</v>
      </c>
      <c r="AC2740">
        <v>34.174100000000003</v>
      </c>
      <c r="AD2740">
        <v>-1.12103275154499</v>
      </c>
      <c r="AE2740">
        <v>-2.4964999999999899</v>
      </c>
      <c r="AF2740">
        <v>2.9824556307271801</v>
      </c>
      <c r="AG2740">
        <v>-1.12103275154499</v>
      </c>
      <c r="AH2740">
        <v>34.0983457410982</v>
      </c>
      <c r="AI2740">
        <v>91.875847299786699</v>
      </c>
      <c r="AJ2740">
        <v>85.001272450997206</v>
      </c>
      <c r="AK2740">
        <v>34.246882169020402</v>
      </c>
      <c r="AL2740">
        <v>79.747947442155905</v>
      </c>
      <c r="AM2740">
        <v>83.072520097824295</v>
      </c>
      <c r="AN2740">
        <v>1.0000000138904801</v>
      </c>
    </row>
    <row r="2741" spans="1:40" x14ac:dyDescent="0.25">
      <c r="A2741" t="str">
        <f>"20190303162602328"</f>
        <v>20190303162602328</v>
      </c>
      <c r="B2741" t="str">
        <f>"1551601562315901"</f>
        <v>1551601562315901</v>
      </c>
      <c r="C2741" t="s">
        <v>40</v>
      </c>
      <c r="D2741">
        <v>5.3502789999999996</v>
      </c>
      <c r="E2741">
        <v>0.48908299999999999</v>
      </c>
      <c r="F2741" t="s">
        <v>51</v>
      </c>
      <c r="G2741">
        <v>-284.17</v>
      </c>
      <c r="H2741" s="1">
        <v>5.4535439999999999E-6</v>
      </c>
      <c r="I2741">
        <v>212.8391</v>
      </c>
      <c r="J2741">
        <v>-318.48599999999999</v>
      </c>
      <c r="K2741">
        <v>1.1210209999999901</v>
      </c>
      <c r="L2741">
        <v>215.40770000000001</v>
      </c>
      <c r="M2741">
        <v>0.9998108</v>
      </c>
      <c r="N2741">
        <v>-1.3164790000000001E-2</v>
      </c>
      <c r="O2741">
        <v>1.4324679999999999E-2</v>
      </c>
      <c r="P2741">
        <v>0.9808095</v>
      </c>
      <c r="Q2741">
        <v>0.16439019999999999</v>
      </c>
      <c r="R2741">
        <v>-0.1048304</v>
      </c>
      <c r="S2741">
        <v>3.051453</v>
      </c>
      <c r="T2741">
        <v>-9.8814009999999994E-2</v>
      </c>
      <c r="U2741">
        <v>-0.22602839999999999</v>
      </c>
      <c r="V2741">
        <v>0.1188758</v>
      </c>
      <c r="W2741">
        <v>0.17726310000000001</v>
      </c>
      <c r="X2741">
        <v>0.97695770000000004</v>
      </c>
      <c r="Y2741">
        <v>8.8081909999999999E-2</v>
      </c>
      <c r="Z2741">
        <v>-2.2795419999999999E-3</v>
      </c>
      <c r="AA2741">
        <v>0.99611059999999996</v>
      </c>
      <c r="AB2741">
        <v>31</v>
      </c>
      <c r="AC2741">
        <v>34.315999999999903</v>
      </c>
      <c r="AD2741">
        <v>-1.1210155464560001</v>
      </c>
      <c r="AE2741">
        <v>-2.5686</v>
      </c>
      <c r="AF2741">
        <v>3.0567008753084699</v>
      </c>
      <c r="AG2741">
        <v>-1.1210155464560001</v>
      </c>
      <c r="AH2741">
        <v>34.239345571515003</v>
      </c>
      <c r="AI2741">
        <v>91.867803309903195</v>
      </c>
      <c r="AJ2741">
        <v>84.898471502061597</v>
      </c>
      <c r="AK2741">
        <v>34.393791318523299</v>
      </c>
      <c r="AL2741">
        <v>79.789616522829704</v>
      </c>
      <c r="AM2741">
        <v>83.062378906297695</v>
      </c>
      <c r="AN2741">
        <v>1.00000000501827</v>
      </c>
    </row>
    <row r="2742" spans="1:40" x14ac:dyDescent="0.25">
      <c r="A2742" t="str">
        <f>"20190303162602350"</f>
        <v>20190303162602350</v>
      </c>
      <c r="B2742" t="str">
        <f>"1551601562336396"</f>
        <v>1551601562336396</v>
      </c>
      <c r="C2742" t="s">
        <v>40</v>
      </c>
      <c r="D2742">
        <v>5.3421629999999896</v>
      </c>
      <c r="E2742">
        <v>0.4896779</v>
      </c>
      <c r="F2742" t="s">
        <v>51</v>
      </c>
      <c r="G2742">
        <v>-285.42509999999999</v>
      </c>
      <c r="H2742" s="1">
        <v>4.8823260000000001E-6</v>
      </c>
      <c r="I2742">
        <v>212.96190000000001</v>
      </c>
      <c r="J2742">
        <v>-318.19920000000002</v>
      </c>
      <c r="K2742">
        <v>1.1210070000000001</v>
      </c>
      <c r="L2742">
        <v>215.4118</v>
      </c>
      <c r="M2742">
        <v>0.99981189999999998</v>
      </c>
      <c r="N2742">
        <v>-1.307938E-2</v>
      </c>
      <c r="O2742">
        <v>1.433016E-2</v>
      </c>
      <c r="P2742">
        <v>0.98073270000000001</v>
      </c>
      <c r="Q2742">
        <v>0.1645422</v>
      </c>
      <c r="R2742">
        <v>-0.1053062</v>
      </c>
      <c r="S2742">
        <v>3.0518800000000001</v>
      </c>
      <c r="T2742">
        <v>-0.1034819</v>
      </c>
      <c r="U2742">
        <v>-0.225769</v>
      </c>
      <c r="V2742">
        <v>0.1193554</v>
      </c>
      <c r="W2742">
        <v>0.17733119999999999</v>
      </c>
      <c r="X2742">
        <v>0.9768869</v>
      </c>
      <c r="Y2742">
        <v>8.7987300000000004E-2</v>
      </c>
      <c r="Z2742">
        <v>-2.363726E-3</v>
      </c>
      <c r="AA2742">
        <v>0.99611879999999997</v>
      </c>
      <c r="AB2742">
        <v>31</v>
      </c>
      <c r="AC2742">
        <v>32.774099999999997</v>
      </c>
      <c r="AD2742">
        <v>-1.1210021176739999</v>
      </c>
      <c r="AE2742">
        <v>-2.44989999999998</v>
      </c>
      <c r="AF2742">
        <v>2.9159541707675101</v>
      </c>
      <c r="AG2742">
        <v>-1.1210021176739999</v>
      </c>
      <c r="AH2742">
        <v>32.697583087635103</v>
      </c>
      <c r="AI2742">
        <v>91.955800482269694</v>
      </c>
      <c r="AJ2742">
        <v>84.903872200173694</v>
      </c>
      <c r="AK2742">
        <v>32.8464819158255</v>
      </c>
      <c r="AL2742">
        <v>79.785652238061601</v>
      </c>
      <c r="AM2742">
        <v>83.034163887891495</v>
      </c>
      <c r="AN2742">
        <v>1.0000000406970999</v>
      </c>
    </row>
    <row r="2743" spans="1:40" x14ac:dyDescent="0.25">
      <c r="A2743" t="str">
        <f>"20190303162602374"</f>
        <v>20190303162602374</v>
      </c>
      <c r="B2743" t="str">
        <f>"1551601562365677"</f>
        <v>1551601562365677</v>
      </c>
      <c r="C2743" t="s">
        <v>40</v>
      </c>
      <c r="D2743">
        <v>5.3402289999999999</v>
      </c>
      <c r="E2743">
        <v>0.49005650000000001</v>
      </c>
      <c r="F2743" t="s">
        <v>51</v>
      </c>
      <c r="G2743">
        <v>-285.69439999999997</v>
      </c>
      <c r="H2743" s="1">
        <v>4.7655299999999999E-6</v>
      </c>
      <c r="I2743">
        <v>212.93989999999999</v>
      </c>
      <c r="J2743">
        <v>-317.85820000000001</v>
      </c>
      <c r="K2743">
        <v>1.120989</v>
      </c>
      <c r="L2743">
        <v>215.41669999999999</v>
      </c>
      <c r="M2743">
        <v>0.99981339999999996</v>
      </c>
      <c r="N2743">
        <v>-1.2957079999999999E-2</v>
      </c>
      <c r="O2743">
        <v>1.433748E-2</v>
      </c>
      <c r="P2743">
        <v>0.98068580000000005</v>
      </c>
      <c r="Q2743">
        <v>0.16465260000000001</v>
      </c>
      <c r="R2743">
        <v>-0.1055712</v>
      </c>
      <c r="S2743">
        <v>3.0516969999999999</v>
      </c>
      <c r="T2743">
        <v>-0.1052448</v>
      </c>
      <c r="U2743">
        <v>-0.2320709</v>
      </c>
      <c r="V2743">
        <v>0.1196263</v>
      </c>
      <c r="W2743">
        <v>0.177321799999999</v>
      </c>
      <c r="X2743">
        <v>0.97685540000000004</v>
      </c>
      <c r="Y2743">
        <v>9.0040560000000006E-2</v>
      </c>
      <c r="Z2743">
        <v>-2.4425639999999999E-3</v>
      </c>
      <c r="AA2743">
        <v>0.99593509999999996</v>
      </c>
      <c r="AB2743">
        <v>31</v>
      </c>
      <c r="AC2743">
        <v>32.163800000000002</v>
      </c>
      <c r="AD2743">
        <v>-1.1209842344700001</v>
      </c>
      <c r="AE2743">
        <v>-2.4767999999999901</v>
      </c>
      <c r="AF2743">
        <v>2.9341887533048698</v>
      </c>
      <c r="AG2743">
        <v>-1.1209842344700001</v>
      </c>
      <c r="AH2743">
        <v>32.086234409276699</v>
      </c>
      <c r="AI2743">
        <v>91.992598935118593</v>
      </c>
      <c r="AJ2743">
        <v>84.775007270972196</v>
      </c>
      <c r="AK2743">
        <v>32.2396108515752</v>
      </c>
      <c r="AL2743">
        <v>79.786198786733195</v>
      </c>
      <c r="AM2743">
        <v>83.018286536504107</v>
      </c>
      <c r="AN2743">
        <v>0.99999997245804395</v>
      </c>
    </row>
    <row r="2744" spans="1:40" x14ac:dyDescent="0.25">
      <c r="A2744" t="str">
        <f>"20190303162602397"</f>
        <v>20190303162602397</v>
      </c>
      <c r="B2744" t="str">
        <f>"1551601562386173"</f>
        <v>1551601562386173</v>
      </c>
      <c r="C2744" t="s">
        <v>40</v>
      </c>
      <c r="D2744">
        <v>5.2804630000000001</v>
      </c>
      <c r="E2744">
        <v>0.4903033</v>
      </c>
      <c r="F2744" t="s">
        <v>51</v>
      </c>
      <c r="G2744">
        <v>-285.84019999999998</v>
      </c>
      <c r="H2744" s="1">
        <v>4.7008330000000002E-6</v>
      </c>
      <c r="I2744">
        <v>212.9401</v>
      </c>
      <c r="J2744">
        <v>-317.53609999999998</v>
      </c>
      <c r="K2744">
        <v>1.120965</v>
      </c>
      <c r="L2744">
        <v>215.4213</v>
      </c>
      <c r="M2744">
        <v>0.99981489999999995</v>
      </c>
      <c r="N2744">
        <v>-1.282727E-2</v>
      </c>
      <c r="O2744">
        <v>1.4345719999999999E-2</v>
      </c>
      <c r="P2744">
        <v>0.98059019999999997</v>
      </c>
      <c r="Q2744">
        <v>0.1649774</v>
      </c>
      <c r="R2744">
        <v>-0.105951</v>
      </c>
      <c r="S2744">
        <v>3.0516359999999998</v>
      </c>
      <c r="T2744">
        <v>-0.10684109999999999</v>
      </c>
      <c r="U2744">
        <v>-0.2360382</v>
      </c>
      <c r="V2744">
        <v>0.1200128</v>
      </c>
      <c r="W2744">
        <v>0.17751839999999999</v>
      </c>
      <c r="X2744">
        <v>0.97677230000000004</v>
      </c>
      <c r="Y2744">
        <v>9.133434E-2</v>
      </c>
      <c r="Z2744">
        <v>-2.5006339999999998E-3</v>
      </c>
      <c r="AA2744">
        <v>0.99581710000000001</v>
      </c>
      <c r="AB2744">
        <v>31</v>
      </c>
      <c r="AC2744">
        <v>31.695899999999899</v>
      </c>
      <c r="AD2744">
        <v>-1.120960299167</v>
      </c>
      <c r="AE2744">
        <v>-2.4811999999999999</v>
      </c>
      <c r="AF2744">
        <v>2.9320375678824599</v>
      </c>
      <c r="AG2744">
        <v>-1.120960299167</v>
      </c>
      <c r="AH2744">
        <v>31.6177349035563</v>
      </c>
      <c r="AI2744">
        <v>92.021819605535697</v>
      </c>
      <c r="AJ2744">
        <v>84.701888347227296</v>
      </c>
      <c r="AK2744">
        <v>31.773173538747201</v>
      </c>
      <c r="AL2744">
        <v>79.774753032857305</v>
      </c>
      <c r="AM2744">
        <v>82.995363093116694</v>
      </c>
      <c r="AN2744">
        <v>0.99999999027484499</v>
      </c>
    </row>
    <row r="2745" spans="1:40" x14ac:dyDescent="0.25">
      <c r="A2745" t="str">
        <f>"20190303162602439"</f>
        <v>20190303162602439</v>
      </c>
      <c r="B2745" t="str">
        <f>"1551601562426188"</f>
        <v>1551601562426188</v>
      </c>
      <c r="C2745" t="s">
        <v>40</v>
      </c>
      <c r="D2745">
        <v>5.0663519999999904</v>
      </c>
      <c r="E2745">
        <v>0.49040159999999999</v>
      </c>
      <c r="F2745" t="s">
        <v>51</v>
      </c>
      <c r="G2745">
        <v>-284.99579999999997</v>
      </c>
      <c r="H2745" s="1">
        <v>5.0831310000000003E-6</v>
      </c>
      <c r="I2745">
        <v>212.87450000000001</v>
      </c>
      <c r="J2745">
        <v>-316.9649</v>
      </c>
      <c r="K2745">
        <v>1.120916</v>
      </c>
      <c r="L2745">
        <v>215.42949999999999</v>
      </c>
      <c r="M2745">
        <v>0.99981810000000004</v>
      </c>
      <c r="N2745">
        <v>-1.2560959999999999E-2</v>
      </c>
      <c r="O2745">
        <v>1.4361799999999999E-2</v>
      </c>
      <c r="P2745">
        <v>0.9804735</v>
      </c>
      <c r="Q2745">
        <v>0.1657245</v>
      </c>
      <c r="R2745">
        <v>-0.1058627</v>
      </c>
      <c r="S2745">
        <v>3.0512999999999999</v>
      </c>
      <c r="T2745">
        <v>-0.1051122</v>
      </c>
      <c r="U2745">
        <v>-0.23881530000000001</v>
      </c>
      <c r="V2745">
        <v>0.119939</v>
      </c>
      <c r="W2745">
        <v>0.1780041</v>
      </c>
      <c r="X2745">
        <v>0.97669300000000003</v>
      </c>
      <c r="Y2745">
        <v>9.226144E-2</v>
      </c>
      <c r="Z2745">
        <v>-2.4806390000000002E-3</v>
      </c>
      <c r="AA2745">
        <v>0.9957317</v>
      </c>
      <c r="AB2745">
        <v>31</v>
      </c>
      <c r="AC2745">
        <v>31.969100000000001</v>
      </c>
      <c r="AD2745">
        <v>-1.1209109168689999</v>
      </c>
      <c r="AE2745">
        <v>-2.55499999999997</v>
      </c>
      <c r="AF2745">
        <v>3.01022924130248</v>
      </c>
      <c r="AG2745">
        <v>-1.1209109168689999</v>
      </c>
      <c r="AH2745">
        <v>31.890149170860099</v>
      </c>
      <c r="AI2745">
        <v>92.004166288234103</v>
      </c>
      <c r="AJ2745">
        <v>84.607617063354397</v>
      </c>
      <c r="AK2745">
        <v>32.051513778735298</v>
      </c>
      <c r="AL2745">
        <v>79.746474397633193</v>
      </c>
      <c r="AM2745">
        <v>82.999064997070505</v>
      </c>
      <c r="AN2745">
        <v>1.0000000197934</v>
      </c>
    </row>
    <row r="2746" spans="1:40" x14ac:dyDescent="0.25">
      <c r="A2746" t="str">
        <f>"20190303162602462"</f>
        <v>20190303162602462</v>
      </c>
      <c r="B2746" t="str">
        <f>"1551601562456444"</f>
        <v>1551601562456444</v>
      </c>
      <c r="C2746" t="s">
        <v>40</v>
      </c>
      <c r="D2746">
        <v>5.2805099999999996</v>
      </c>
      <c r="E2746">
        <v>0.49054690000000001</v>
      </c>
      <c r="F2746" t="s">
        <v>51</v>
      </c>
      <c r="G2746">
        <v>-283.57479999999998</v>
      </c>
      <c r="H2746" s="1">
        <v>5.7208590000000001E-6</v>
      </c>
      <c r="I2746">
        <v>212.8107</v>
      </c>
      <c r="J2746">
        <v>-316.65789999999998</v>
      </c>
      <c r="K2746">
        <v>1.1208979999999999</v>
      </c>
      <c r="L2746">
        <v>215.43389999999999</v>
      </c>
      <c r="M2746">
        <v>0.99981989999999998</v>
      </c>
      <c r="N2746">
        <v>-1.240466E-2</v>
      </c>
      <c r="O2746">
        <v>1.4370310000000001E-2</v>
      </c>
      <c r="P2746">
        <v>0.98047320000000004</v>
      </c>
      <c r="Q2746">
        <v>0.16630889999999901</v>
      </c>
      <c r="R2746">
        <v>-0.1049474</v>
      </c>
      <c r="S2746">
        <v>3.0512079999999999</v>
      </c>
      <c r="T2746">
        <v>-0.1024296</v>
      </c>
      <c r="U2746">
        <v>-0.23930360000000001</v>
      </c>
      <c r="V2746">
        <v>0.1190316</v>
      </c>
      <c r="W2746">
        <v>0.17843580000000001</v>
      </c>
      <c r="X2746">
        <v>0.97672519999999996</v>
      </c>
      <c r="Y2746">
        <v>9.2434160000000001E-2</v>
      </c>
      <c r="Z2746">
        <v>-2.4267849999999999E-3</v>
      </c>
      <c r="AA2746">
        <v>0.99571589999999999</v>
      </c>
      <c r="AB2746">
        <v>31</v>
      </c>
      <c r="AC2746">
        <v>33.083100000000002</v>
      </c>
      <c r="AD2746">
        <v>-1.1208922791410001</v>
      </c>
      <c r="AE2746">
        <v>-2.62319999999999</v>
      </c>
      <c r="AF2746">
        <v>3.0948495510159701</v>
      </c>
      <c r="AG2746">
        <v>-1.1208922791410001</v>
      </c>
      <c r="AH2746">
        <v>33.004334326202098</v>
      </c>
      <c r="AI2746">
        <v>91.936640748156705</v>
      </c>
      <c r="AJ2746">
        <v>84.642982029873494</v>
      </c>
      <c r="AK2746">
        <v>33.168065628863303</v>
      </c>
      <c r="AL2746">
        <v>79.721337036498198</v>
      </c>
      <c r="AM2746">
        <v>83.051737750312398</v>
      </c>
      <c r="AN2746">
        <v>0.999999986417619</v>
      </c>
    </row>
    <row r="2747" spans="1:40" x14ac:dyDescent="0.25">
      <c r="A2747" t="str">
        <f>"20190303162602484"</f>
        <v>20190303162602484</v>
      </c>
      <c r="B2747" t="str">
        <f>"1551601562475966"</f>
        <v>1551601562475966</v>
      </c>
      <c r="C2747" t="s">
        <v>40</v>
      </c>
      <c r="D2747">
        <v>5.2790819999999998</v>
      </c>
      <c r="E2747">
        <v>0.49051869999999997</v>
      </c>
      <c r="F2747" t="s">
        <v>51</v>
      </c>
      <c r="G2747">
        <v>-282.56889999999999</v>
      </c>
      <c r="H2747" s="1">
        <v>6.1704329999999997E-6</v>
      </c>
      <c r="I2747">
        <v>212.78149999999999</v>
      </c>
      <c r="J2747">
        <v>-316.34230000000002</v>
      </c>
      <c r="K2747">
        <v>1.120887</v>
      </c>
      <c r="L2747">
        <v>215.4385</v>
      </c>
      <c r="M2747">
        <v>0.99982170000000004</v>
      </c>
      <c r="N2747">
        <v>-1.224124E-2</v>
      </c>
      <c r="O2747">
        <v>1.4380230000000001E-2</v>
      </c>
      <c r="P2747">
        <v>0.98044620000000005</v>
      </c>
      <c r="Q2747">
        <v>0.16694349999999999</v>
      </c>
      <c r="R2747">
        <v>-0.1041897</v>
      </c>
      <c r="S2747">
        <v>3.0513919999999999</v>
      </c>
      <c r="T2747">
        <v>-0.1003339</v>
      </c>
      <c r="U2747">
        <v>-0.23742679999999999</v>
      </c>
      <c r="V2747">
        <v>0.1182827</v>
      </c>
      <c r="W2747">
        <v>0.17891099999999999</v>
      </c>
      <c r="X2747">
        <v>0.97672930000000002</v>
      </c>
      <c r="Y2747">
        <v>9.1833960000000006E-2</v>
      </c>
      <c r="Z2747">
        <v>-2.3666189999999999E-3</v>
      </c>
      <c r="AA2747">
        <v>0.99577150000000003</v>
      </c>
      <c r="AB2747">
        <v>31</v>
      </c>
      <c r="AC2747">
        <v>33.773400000000002</v>
      </c>
      <c r="AD2747">
        <v>-1.1208808295670001</v>
      </c>
      <c r="AE2747">
        <v>-2.6570000000000098</v>
      </c>
      <c r="AF2747">
        <v>3.1389946435021101</v>
      </c>
      <c r="AG2747">
        <v>-1.1208808295670001</v>
      </c>
      <c r="AH2747">
        <v>33.694810898882103</v>
      </c>
      <c r="AI2747">
        <v>91.897072287527607</v>
      </c>
      <c r="AJ2747">
        <v>84.677710279141493</v>
      </c>
      <c r="AK2747">
        <v>33.859266718543203</v>
      </c>
      <c r="AL2747">
        <v>79.693665290245207</v>
      </c>
      <c r="AM2747">
        <v>83.095058823275096</v>
      </c>
      <c r="AN2747">
        <v>1.00000003425938</v>
      </c>
    </row>
    <row r="2748" spans="1:40" x14ac:dyDescent="0.25">
      <c r="A2748" t="str">
        <f>"20190303162602506"</f>
        <v>20190303162602506</v>
      </c>
      <c r="B2748" t="str">
        <f>"1551601562496461"</f>
        <v>1551601562496461</v>
      </c>
      <c r="C2748" t="s">
        <v>40</v>
      </c>
      <c r="D2748">
        <v>5.218318</v>
      </c>
      <c r="E2748">
        <v>0.49059320000000001</v>
      </c>
      <c r="F2748" t="s">
        <v>51</v>
      </c>
      <c r="G2748">
        <v>-281.51979999999998</v>
      </c>
      <c r="H2748" s="1">
        <v>6.6385199999999998E-6</v>
      </c>
      <c r="I2748">
        <v>212.7577</v>
      </c>
      <c r="J2748">
        <v>-316.041</v>
      </c>
      <c r="K2748">
        <v>1.12087</v>
      </c>
      <c r="L2748">
        <v>215.44280000000001</v>
      </c>
      <c r="M2748">
        <v>0.99982349999999998</v>
      </c>
      <c r="N2748">
        <v>-1.208409E-2</v>
      </c>
      <c r="O2748">
        <v>1.439262E-2</v>
      </c>
      <c r="P2748">
        <v>0.98032300000000006</v>
      </c>
      <c r="Q2748">
        <v>0.16792109999999999</v>
      </c>
      <c r="R2748">
        <v>-0.1037759</v>
      </c>
      <c r="S2748">
        <v>3.0515750000000001</v>
      </c>
      <c r="T2748">
        <v>-9.8225119999999999E-2</v>
      </c>
      <c r="U2748">
        <v>-0.2349243</v>
      </c>
      <c r="V2748">
        <v>0.11787839999999999</v>
      </c>
      <c r="W2748">
        <v>0.17973430000000001</v>
      </c>
      <c r="X2748">
        <v>0.97662700000000002</v>
      </c>
      <c r="Y2748">
        <v>9.1033290000000003E-2</v>
      </c>
      <c r="Z2748">
        <v>-2.3025189999999998E-3</v>
      </c>
      <c r="AA2748">
        <v>0.99584519999999999</v>
      </c>
      <c r="AB2748">
        <v>31</v>
      </c>
      <c r="AC2748">
        <v>34.5212</v>
      </c>
      <c r="AD2748">
        <v>-1.1208633614799901</v>
      </c>
      <c r="AE2748">
        <v>-2.6850999999999998</v>
      </c>
      <c r="AF2748">
        <v>3.1783780044418299</v>
      </c>
      <c r="AG2748">
        <v>-1.1208633614799901</v>
      </c>
      <c r="AH2748">
        <v>34.442883144945903</v>
      </c>
      <c r="AI2748">
        <v>91.856019627501794</v>
      </c>
      <c r="AJ2748">
        <v>84.7276958537648</v>
      </c>
      <c r="AK2748">
        <v>34.607378125923198</v>
      </c>
      <c r="AL2748">
        <v>79.645716253066794</v>
      </c>
      <c r="AM2748">
        <v>83.117719856849604</v>
      </c>
      <c r="AN2748">
        <v>1.0000000164560201</v>
      </c>
    </row>
    <row r="2749" spans="1:40" x14ac:dyDescent="0.25">
      <c r="A2749" t="str">
        <f>"20190303162602529"</f>
        <v>20190303162602529</v>
      </c>
      <c r="B2749" t="str">
        <f>"1551601562515981"</f>
        <v>1551601562515981</v>
      </c>
      <c r="C2749" t="s">
        <v>40</v>
      </c>
      <c r="D2749">
        <v>5.2330990000000002</v>
      </c>
      <c r="E2749">
        <v>0.49061939999999998</v>
      </c>
      <c r="F2749" t="s">
        <v>51</v>
      </c>
      <c r="G2749">
        <v>-280.19499999999999</v>
      </c>
      <c r="H2749" s="1">
        <v>7.2339710000000004E-6</v>
      </c>
      <c r="I2749">
        <v>212.69069999999999</v>
      </c>
      <c r="J2749">
        <v>-315.73160000000001</v>
      </c>
      <c r="K2749">
        <v>1.1208610000000001</v>
      </c>
      <c r="L2749">
        <v>215.44730000000001</v>
      </c>
      <c r="M2749">
        <v>0.99982510000000002</v>
      </c>
      <c r="N2749">
        <v>-1.1926590000000001E-2</v>
      </c>
      <c r="O2749">
        <v>1.4410020000000001E-2</v>
      </c>
      <c r="P2749">
        <v>0.98038320000000001</v>
      </c>
      <c r="Q2749">
        <v>0.16815060000000001</v>
      </c>
      <c r="R2749">
        <v>-0.10283200000000001</v>
      </c>
      <c r="S2749">
        <v>3.0517270000000001</v>
      </c>
      <c r="T2749">
        <v>-9.5424060000000005E-2</v>
      </c>
      <c r="U2749">
        <v>-0.2342987</v>
      </c>
      <c r="V2749">
        <v>0.11695079999999999</v>
      </c>
      <c r="W2749">
        <v>0.17981169999999999</v>
      </c>
      <c r="X2749">
        <v>0.97672429999999999</v>
      </c>
      <c r="Y2749">
        <v>9.0847520000000001E-2</v>
      </c>
      <c r="Z2749">
        <v>-2.238959E-3</v>
      </c>
      <c r="AA2749">
        <v>0.99586229999999998</v>
      </c>
      <c r="AB2749">
        <v>31</v>
      </c>
      <c r="AC2749">
        <v>35.5366</v>
      </c>
      <c r="AD2749">
        <v>-1.1208537660289899</v>
      </c>
      <c r="AE2749">
        <v>-2.7566000000000201</v>
      </c>
      <c r="AF2749">
        <v>3.2652043775520401</v>
      </c>
      <c r="AG2749">
        <v>-1.1208537660289899</v>
      </c>
      <c r="AH2749">
        <v>35.458120639138102</v>
      </c>
      <c r="AI2749">
        <v>91.802930066469699</v>
      </c>
      <c r="AJ2749">
        <v>84.738686389047302</v>
      </c>
      <c r="AK2749">
        <v>35.625779879908201</v>
      </c>
      <c r="AL2749">
        <v>79.641208440385498</v>
      </c>
      <c r="AM2749">
        <v>83.172037832570794</v>
      </c>
      <c r="AN2749">
        <v>1.0000000476440001</v>
      </c>
    </row>
    <row r="2750" spans="1:40" x14ac:dyDescent="0.25">
      <c r="A2750" t="str">
        <f>"20190303162602553"</f>
        <v>20190303162602553</v>
      </c>
      <c r="B2750" t="str">
        <f>"1551601562546236"</f>
        <v>1551601562546236</v>
      </c>
      <c r="C2750" t="s">
        <v>40</v>
      </c>
      <c r="D2750">
        <v>5.1019019999999999</v>
      </c>
      <c r="E2750">
        <v>0.46281549999999999</v>
      </c>
      <c r="F2750" t="s">
        <v>48</v>
      </c>
      <c r="G2750">
        <v>-279.4092</v>
      </c>
      <c r="H2750" s="1">
        <v>3.5545189999999999E-6</v>
      </c>
      <c r="I2750">
        <v>212.68960000000001</v>
      </c>
      <c r="J2750">
        <v>-315.40019999999998</v>
      </c>
      <c r="K2750">
        <v>1.1208530000000001</v>
      </c>
      <c r="L2750">
        <v>215.4521</v>
      </c>
      <c r="M2750">
        <v>0.99982660000000001</v>
      </c>
      <c r="N2750">
        <v>-1.176983E-2</v>
      </c>
      <c r="O2750">
        <v>1.4436849999999999E-2</v>
      </c>
      <c r="P2750">
        <v>0.98044089999999995</v>
      </c>
      <c r="Q2750">
        <v>0.16844790000000001</v>
      </c>
      <c r="R2750">
        <v>-0.101789</v>
      </c>
      <c r="S2750">
        <v>3.0518800000000001</v>
      </c>
      <c r="T2750">
        <v>-9.4176650000000001E-2</v>
      </c>
      <c r="U2750">
        <v>-0.23170470000000001</v>
      </c>
      <c r="V2750">
        <v>0.1159326</v>
      </c>
      <c r="W2750">
        <v>0.17995799999999901</v>
      </c>
      <c r="X2750">
        <v>0.97681870000000004</v>
      </c>
      <c r="Y2750">
        <v>9.0031040000000007E-2</v>
      </c>
      <c r="Z2750">
        <v>-2.1927349999999999E-3</v>
      </c>
      <c r="AA2750">
        <v>0.99593659999999995</v>
      </c>
      <c r="AB2750">
        <v>31</v>
      </c>
      <c r="AC2750">
        <v>35.9909999999999</v>
      </c>
      <c r="AD2750">
        <v>-1.1208494454809901</v>
      </c>
      <c r="AE2750">
        <v>-2.7624999999999802</v>
      </c>
      <c r="AF2750">
        <v>3.2786834528213</v>
      </c>
      <c r="AG2750">
        <v>-1.1208494454809901</v>
      </c>
      <c r="AH2750">
        <v>35.9127379118991</v>
      </c>
      <c r="AI2750">
        <v>91.780242653888195</v>
      </c>
      <c r="AJ2750">
        <v>84.783594593251706</v>
      </c>
      <c r="AK2750">
        <v>36.0795068285585</v>
      </c>
      <c r="AL2750">
        <v>79.6326866816174</v>
      </c>
      <c r="AM2750">
        <v>83.231577710586905</v>
      </c>
      <c r="AN2750">
        <v>1.0000000110882199</v>
      </c>
    </row>
    <row r="2751" spans="1:40" x14ac:dyDescent="0.25">
      <c r="A2751" t="str">
        <f>"20190303162602575"</f>
        <v>20190303162602575</v>
      </c>
      <c r="B2751" t="str">
        <f>"1551601562566733"</f>
        <v>1551601562566733</v>
      </c>
      <c r="C2751" t="s">
        <v>40</v>
      </c>
      <c r="D2751">
        <v>5.1622890000000003</v>
      </c>
      <c r="E2751">
        <v>0.40638950000000001</v>
      </c>
      <c r="F2751" t="s">
        <v>51</v>
      </c>
      <c r="G2751">
        <v>-281.23070000000001</v>
      </c>
      <c r="H2751" s="1">
        <v>6.4566269999999998E-6</v>
      </c>
      <c r="I2751">
        <v>215.3587</v>
      </c>
      <c r="J2751">
        <v>-315.09440000000001</v>
      </c>
      <c r="K2751">
        <v>1.120851</v>
      </c>
      <c r="L2751">
        <v>215.45650000000001</v>
      </c>
      <c r="M2751">
        <v>0.99982769999999999</v>
      </c>
      <c r="N2751">
        <v>-1.1638809999999999E-2</v>
      </c>
      <c r="O2751">
        <v>1.4470510000000001E-2</v>
      </c>
      <c r="P2751">
        <v>0.9804657</v>
      </c>
      <c r="Q2751">
        <v>0.169066299999999</v>
      </c>
      <c r="R2751">
        <v>-0.100519</v>
      </c>
      <c r="S2751">
        <v>3.0763240000000001</v>
      </c>
      <c r="T2751">
        <v>-0.1009114</v>
      </c>
      <c r="U2751">
        <v>-8.4075929999999997E-3</v>
      </c>
      <c r="V2751">
        <v>0.11469310000000001</v>
      </c>
      <c r="W2751">
        <v>0.180451</v>
      </c>
      <c r="X2751">
        <v>0.97687409999999997</v>
      </c>
      <c r="Y2751">
        <v>1.7188370000000001E-2</v>
      </c>
      <c r="Z2751">
        <v>-6.8803339999999895E-4</v>
      </c>
      <c r="AA2751">
        <v>0.99985210000000002</v>
      </c>
      <c r="AB2751">
        <v>31</v>
      </c>
      <c r="AC2751">
        <v>33.863699999999902</v>
      </c>
      <c r="AD2751">
        <v>-1.1208445433730001</v>
      </c>
      <c r="AE2751">
        <v>-9.7800000000006507E-2</v>
      </c>
      <c r="AF2751">
        <v>0.58720459951484305</v>
      </c>
      <c r="AG2751">
        <v>-1.1208445433730001</v>
      </c>
      <c r="AH2751">
        <v>33.821686403054102</v>
      </c>
      <c r="AI2751">
        <v>91.897791279165602</v>
      </c>
      <c r="AJ2751">
        <v>89.0053433472618</v>
      </c>
      <c r="AK2751">
        <v>33.8453478764606</v>
      </c>
      <c r="AL2751">
        <v>79.603970034649095</v>
      </c>
      <c r="AM2751">
        <v>83.303658267737106</v>
      </c>
      <c r="AN2751">
        <v>1.0000000389196999</v>
      </c>
    </row>
    <row r="2752" spans="1:40" x14ac:dyDescent="0.25">
      <c r="A2752" t="str">
        <f>"20190303162602600"</f>
        <v>20190303162602600</v>
      </c>
      <c r="B2752" t="str">
        <f>"1551601562596294"</f>
        <v>1551601562596294</v>
      </c>
      <c r="C2752" t="s">
        <v>40</v>
      </c>
      <c r="D2752">
        <v>4.9694880000000001</v>
      </c>
      <c r="E2752">
        <v>0.40488980000000002</v>
      </c>
      <c r="F2752" t="s">
        <v>51</v>
      </c>
      <c r="G2752">
        <v>-295.11930000000001</v>
      </c>
      <c r="H2752" s="1">
        <v>1.80249E-6</v>
      </c>
      <c r="I2752">
        <v>218.28360000000001</v>
      </c>
      <c r="J2752">
        <v>-314.76330000000002</v>
      </c>
      <c r="K2752">
        <v>1.1208499999999999</v>
      </c>
      <c r="L2752">
        <v>215.4614</v>
      </c>
      <c r="M2752">
        <v>0.99982839999999995</v>
      </c>
      <c r="N2752">
        <v>-1.1512039999999999E-2</v>
      </c>
      <c r="O2752">
        <v>1.4517260000000001E-2</v>
      </c>
      <c r="P2752">
        <v>0.98041710000000004</v>
      </c>
      <c r="Q2752">
        <v>0.16946800000000001</v>
      </c>
      <c r="R2752">
        <v>-0.1003141</v>
      </c>
      <c r="S2752">
        <v>3.1356809999999999</v>
      </c>
      <c r="T2752">
        <v>-0.17595079999999999</v>
      </c>
      <c r="U2752">
        <v>0.44378659999999998</v>
      </c>
      <c r="V2752">
        <v>0.1145296</v>
      </c>
      <c r="W2752">
        <v>0.18073</v>
      </c>
      <c r="X2752">
        <v>0.97684159999999998</v>
      </c>
      <c r="Y2752">
        <v>-0.12552199999999999</v>
      </c>
      <c r="Z2752">
        <v>3.5848289999999999E-3</v>
      </c>
      <c r="AA2752">
        <v>0.99208439999999998</v>
      </c>
      <c r="AB2752">
        <v>31</v>
      </c>
      <c r="AC2752">
        <v>19.643999999999998</v>
      </c>
      <c r="AD2752">
        <v>-1.12084819751</v>
      </c>
      <c r="AE2752">
        <v>2.8222</v>
      </c>
      <c r="AF2752">
        <v>-2.5286408020234399</v>
      </c>
      <c r="AG2752">
        <v>-1.12084819751</v>
      </c>
      <c r="AH2752">
        <v>19.6203184026302</v>
      </c>
      <c r="AI2752">
        <v>93.242815033752393</v>
      </c>
      <c r="AJ2752">
        <v>97.343724107761105</v>
      </c>
      <c r="AK2752">
        <v>19.814318540088902</v>
      </c>
      <c r="AL2752">
        <v>79.587716216378496</v>
      </c>
      <c r="AM2752">
        <v>83.312897225941398</v>
      </c>
      <c r="AN2752">
        <v>0.99999993683335797</v>
      </c>
    </row>
    <row r="2753" spans="1:40" x14ac:dyDescent="0.25">
      <c r="A2753" t="str">
        <f>"20190303162602623"</f>
        <v>20190303162602623</v>
      </c>
      <c r="B2753" t="str">
        <f>"1551601562615813"</f>
        <v>1551601562615813</v>
      </c>
      <c r="C2753" t="s">
        <v>40</v>
      </c>
      <c r="D2753">
        <v>4.9463990000000004</v>
      </c>
      <c r="E2753">
        <v>0.40578189999999997</v>
      </c>
      <c r="F2753" t="s">
        <v>51</v>
      </c>
      <c r="G2753">
        <v>-297.64170000000001</v>
      </c>
      <c r="H2753" s="1">
        <v>2.2499190000000002E-6</v>
      </c>
      <c r="I2753">
        <v>217.94489999999999</v>
      </c>
      <c r="J2753">
        <v>-314.42939999999999</v>
      </c>
      <c r="K2753">
        <v>1.120849</v>
      </c>
      <c r="L2753">
        <v>215.46629999999999</v>
      </c>
      <c r="M2753">
        <v>0.99982879999999996</v>
      </c>
      <c r="N2753">
        <v>-1.140044E-2</v>
      </c>
      <c r="O2753">
        <v>1.457469E-2</v>
      </c>
      <c r="P2753">
        <v>0.98059929999999995</v>
      </c>
      <c r="Q2753">
        <v>0.16884179999999999</v>
      </c>
      <c r="R2753">
        <v>-9.9587750000000003E-2</v>
      </c>
      <c r="S2753">
        <v>3.1421199999999998</v>
      </c>
      <c r="T2753">
        <v>-0.20569519999999999</v>
      </c>
      <c r="U2753">
        <v>0.45576480000000003</v>
      </c>
      <c r="V2753">
        <v>0.1138591</v>
      </c>
      <c r="W2753">
        <v>0.1799993</v>
      </c>
      <c r="X2753">
        <v>0.97705500000000001</v>
      </c>
      <c r="Y2753">
        <v>-0.12881090000000001</v>
      </c>
      <c r="Z2753">
        <v>4.1461960000000004E-3</v>
      </c>
      <c r="AA2753">
        <v>0.99166049999999994</v>
      </c>
      <c r="AB2753">
        <v>31</v>
      </c>
      <c r="AC2753">
        <v>16.787699999999901</v>
      </c>
      <c r="AD2753">
        <v>-1.120846750081</v>
      </c>
      <c r="AE2753">
        <v>2.4786000000000001</v>
      </c>
      <c r="AF2753">
        <v>-2.2239431157813101</v>
      </c>
      <c r="AG2753">
        <v>-1.120846750081</v>
      </c>
      <c r="AH2753">
        <v>16.748974846724199</v>
      </c>
      <c r="AI2753">
        <v>93.795331075390607</v>
      </c>
      <c r="AJ2753">
        <v>97.563539078914204</v>
      </c>
      <c r="AK2753">
        <v>16.933114859221799</v>
      </c>
      <c r="AL2753">
        <v>79.630281573938305</v>
      </c>
      <c r="AM2753">
        <v>83.353133675666598</v>
      </c>
      <c r="AN2753">
        <v>1.0000000578391399</v>
      </c>
    </row>
    <row r="2754" spans="1:40" x14ac:dyDescent="0.25">
      <c r="A2754" t="str">
        <f>"20190303162602644"</f>
        <v>20190303162602644</v>
      </c>
      <c r="B2754" t="str">
        <f>"1551601562636310"</f>
        <v>1551601562636310</v>
      </c>
      <c r="C2754" t="s">
        <v>40</v>
      </c>
      <c r="D2754">
        <v>4.9358029999999999</v>
      </c>
      <c r="E2754">
        <v>0.40641119999999997</v>
      </c>
      <c r="F2754" t="s">
        <v>51</v>
      </c>
      <c r="G2754">
        <v>-298.58280000000002</v>
      </c>
      <c r="H2754" s="1">
        <v>2.4168529999999999E-6</v>
      </c>
      <c r="I2754">
        <v>217.73609999999999</v>
      </c>
      <c r="J2754">
        <v>-314.14800000000002</v>
      </c>
      <c r="K2754">
        <v>1.120844</v>
      </c>
      <c r="L2754">
        <v>215.47049999999999</v>
      </c>
      <c r="M2754">
        <v>0.99982910000000003</v>
      </c>
      <c r="N2754">
        <v>-1.1316919999999999E-2</v>
      </c>
      <c r="O2754">
        <v>1.462828E-2</v>
      </c>
      <c r="P2754">
        <v>0.98063460000000002</v>
      </c>
      <c r="Q2754">
        <v>0.16920199999999999</v>
      </c>
      <c r="R2754">
        <v>-9.8624180000000006E-2</v>
      </c>
      <c r="S2754">
        <v>3.143402</v>
      </c>
      <c r="T2754">
        <v>-0.2223357</v>
      </c>
      <c r="U2754">
        <v>0.45024110000000001</v>
      </c>
      <c r="V2754">
        <v>0.11294659999999999</v>
      </c>
      <c r="W2754">
        <v>0.18027979999999999</v>
      </c>
      <c r="X2754">
        <v>0.97710909999999995</v>
      </c>
      <c r="Y2754">
        <v>-0.12695399999999901</v>
      </c>
      <c r="Z2754">
        <v>4.3212889999999999E-3</v>
      </c>
      <c r="AA2754">
        <v>0.99189919999999998</v>
      </c>
      <c r="AB2754">
        <v>31</v>
      </c>
      <c r="AC2754">
        <v>15.5651999999999</v>
      </c>
      <c r="AD2754">
        <v>-1.120841583147</v>
      </c>
      <c r="AE2754">
        <v>2.2656000000000001</v>
      </c>
      <c r="AF2754">
        <v>-2.0273564254165302</v>
      </c>
      <c r="AG2754">
        <v>-1.120841583147</v>
      </c>
      <c r="AH2754">
        <v>15.517881856155601</v>
      </c>
      <c r="AI2754">
        <v>94.096551335123294</v>
      </c>
      <c r="AJ2754">
        <v>97.443333321954199</v>
      </c>
      <c r="AK2754">
        <v>15.689841211172</v>
      </c>
      <c r="AL2754">
        <v>79.613941870411594</v>
      </c>
      <c r="AM2754">
        <v>83.406294472803296</v>
      </c>
      <c r="AN2754">
        <v>0.99999996702120397</v>
      </c>
    </row>
    <row r="2755" spans="1:40" x14ac:dyDescent="0.25">
      <c r="A2755" t="str">
        <f>"20190303162602663"</f>
        <v>20190303162602663</v>
      </c>
      <c r="B2755" t="str">
        <f>"1551601562655832"</f>
        <v>1551601562655832</v>
      </c>
      <c r="C2755" t="s">
        <v>40</v>
      </c>
      <c r="D2755">
        <v>4.8853210000000002</v>
      </c>
      <c r="E2755">
        <v>0.4071321</v>
      </c>
      <c r="F2755" t="s">
        <v>51</v>
      </c>
      <c r="G2755">
        <v>-298.79250000000002</v>
      </c>
      <c r="H2755" s="1">
        <v>2.454056E-6</v>
      </c>
      <c r="I2755">
        <v>217.65620000000001</v>
      </c>
      <c r="J2755">
        <v>-313.87060000000002</v>
      </c>
      <c r="K2755">
        <v>1.120841</v>
      </c>
      <c r="L2755">
        <v>215.47460000000001</v>
      </c>
      <c r="M2755">
        <v>0.99982910000000003</v>
      </c>
      <c r="N2755">
        <v>-1.1243700000000001E-2</v>
      </c>
      <c r="O2755">
        <v>1.4685490000000001E-2</v>
      </c>
      <c r="P2755">
        <v>0.98068029999999995</v>
      </c>
      <c r="Q2755">
        <v>0.16946359999999999</v>
      </c>
      <c r="R2755">
        <v>-9.7716529999999996E-2</v>
      </c>
      <c r="S2755">
        <v>3.1438600000000001</v>
      </c>
      <c r="T2755">
        <v>-0.22947980000000001</v>
      </c>
      <c r="U2755">
        <v>0.44750980000000001</v>
      </c>
      <c r="V2755">
        <v>0.11209379999999999</v>
      </c>
      <c r="W2755">
        <v>0.18047160000000001</v>
      </c>
      <c r="X2755">
        <v>0.97717200000000004</v>
      </c>
      <c r="Y2755">
        <v>-0.12601580000000001</v>
      </c>
      <c r="Z2755">
        <v>4.3824720000000001E-3</v>
      </c>
      <c r="AA2755">
        <v>0.99201850000000003</v>
      </c>
      <c r="AB2755">
        <v>31</v>
      </c>
      <c r="AC2755">
        <v>15.078099999999999</v>
      </c>
      <c r="AD2755">
        <v>-1.120838545944</v>
      </c>
      <c r="AE2755">
        <v>2.1816</v>
      </c>
      <c r="AF2755">
        <v>-1.9493705615649599</v>
      </c>
      <c r="AG2755">
        <v>-1.120838545944</v>
      </c>
      <c r="AH2755">
        <v>15.0271796079982</v>
      </c>
      <c r="AI2755">
        <v>94.230330378237497</v>
      </c>
      <c r="AJ2755">
        <v>97.391303436293896</v>
      </c>
      <c r="AK2755">
        <v>15.1944875400063</v>
      </c>
      <c r="AL2755">
        <v>79.602770345892793</v>
      </c>
      <c r="AM2755">
        <v>83.456064151695401</v>
      </c>
      <c r="AN2755">
        <v>1.00000006799449</v>
      </c>
    </row>
    <row r="2756" spans="1:40" x14ac:dyDescent="0.25">
      <c r="A2756" t="str">
        <f>"20190303162602685"</f>
        <v>20190303162602685</v>
      </c>
      <c r="B2756" t="str">
        <f>"1551601562676325"</f>
        <v>1551601562676325</v>
      </c>
      <c r="C2756" t="s">
        <v>40</v>
      </c>
      <c r="D2756">
        <v>4.9045930000000002</v>
      </c>
      <c r="E2756">
        <v>0.40785929999999998</v>
      </c>
      <c r="F2756" t="s">
        <v>51</v>
      </c>
      <c r="G2756">
        <v>-298.81009999999998</v>
      </c>
      <c r="H2756" s="1">
        <v>2.457179E-6</v>
      </c>
      <c r="I2756">
        <v>217.60579999999999</v>
      </c>
      <c r="J2756">
        <v>-313.57369999999997</v>
      </c>
      <c r="K2756">
        <v>1.1208309999999999</v>
      </c>
      <c r="L2756">
        <v>215.47900000000001</v>
      </c>
      <c r="M2756">
        <v>0.99982879999999996</v>
      </c>
      <c r="N2756">
        <v>-1.117478E-2</v>
      </c>
      <c r="O2756">
        <v>1.475018E-2</v>
      </c>
      <c r="P2756">
        <v>0.9807593</v>
      </c>
      <c r="Q2756">
        <v>0.16949149999999999</v>
      </c>
      <c r="R2756">
        <v>-9.6871890000000002E-2</v>
      </c>
      <c r="S2756">
        <v>3.1438600000000001</v>
      </c>
      <c r="T2756">
        <v>-0.23397390000000001</v>
      </c>
      <c r="U2756">
        <v>0.44488529999999998</v>
      </c>
      <c r="V2756">
        <v>0.1113123</v>
      </c>
      <c r="W2756">
        <v>0.1804336</v>
      </c>
      <c r="X2756">
        <v>0.97726829999999998</v>
      </c>
      <c r="Y2756">
        <v>-0.125130399999999</v>
      </c>
      <c r="Z2756">
        <v>4.4039769999999999E-3</v>
      </c>
      <c r="AA2756">
        <v>0.99213050000000003</v>
      </c>
      <c r="AB2756">
        <v>31</v>
      </c>
      <c r="AC2756">
        <v>14.763599999999901</v>
      </c>
      <c r="AD2756">
        <v>-1.1208285428210001</v>
      </c>
      <c r="AE2756">
        <v>2.12679999999997</v>
      </c>
      <c r="AF2756">
        <v>-1.89807193240381</v>
      </c>
      <c r="AG2756">
        <v>-1.1208285428210001</v>
      </c>
      <c r="AH2756">
        <v>14.710305703078999</v>
      </c>
      <c r="AI2756">
        <v>94.321455313282399</v>
      </c>
      <c r="AJ2756">
        <v>97.352256650697598</v>
      </c>
      <c r="AK2756">
        <v>14.874542936205501</v>
      </c>
      <c r="AL2756">
        <v>79.604983431935395</v>
      </c>
      <c r="AM2756">
        <v>83.501930688039707</v>
      </c>
      <c r="AN2756">
        <v>1.0000000211625599</v>
      </c>
    </row>
    <row r="2757" spans="1:40" x14ac:dyDescent="0.25">
      <c r="A2757" t="str">
        <f>"20190303162602707"</f>
        <v>20190303162602707</v>
      </c>
      <c r="B2757" t="str">
        <f>"1551601562695846"</f>
        <v>1551601562695846</v>
      </c>
      <c r="C2757" t="s">
        <v>40</v>
      </c>
      <c r="D2757">
        <v>4.8553839999999999</v>
      </c>
      <c r="E2757">
        <v>0.40827859999999999</v>
      </c>
      <c r="F2757" t="s">
        <v>51</v>
      </c>
      <c r="G2757">
        <v>-298.70440000000002</v>
      </c>
      <c r="H2757" s="1">
        <v>2.4384269999999999E-6</v>
      </c>
      <c r="I2757">
        <v>217.5728</v>
      </c>
      <c r="J2757">
        <v>-313.27</v>
      </c>
      <c r="K2757">
        <v>1.1208309999999999</v>
      </c>
      <c r="L2757">
        <v>215.4836</v>
      </c>
      <c r="M2757">
        <v>0.99982859999999996</v>
      </c>
      <c r="N2757">
        <v>-1.1113400000000001E-2</v>
      </c>
      <c r="O2757">
        <v>1.4818319999999999E-2</v>
      </c>
      <c r="P2757">
        <v>0.98091139999999999</v>
      </c>
      <c r="Q2757">
        <v>0.16882849999999999</v>
      </c>
      <c r="R2757">
        <v>-9.6488480000000001E-2</v>
      </c>
      <c r="S2757">
        <v>3.143494</v>
      </c>
      <c r="T2757">
        <v>-0.2369531</v>
      </c>
      <c r="U2757">
        <v>0.44264219999999999</v>
      </c>
      <c r="V2757">
        <v>0.1109969</v>
      </c>
      <c r="W2757">
        <v>0.1797127</v>
      </c>
      <c r="X2757">
        <v>0.977437</v>
      </c>
      <c r="Y2757">
        <v>-0.124379</v>
      </c>
      <c r="Z2757">
        <v>4.4080040000000001E-3</v>
      </c>
      <c r="AA2757">
        <v>0.99222500000000002</v>
      </c>
      <c r="AB2757">
        <v>31</v>
      </c>
      <c r="AC2757">
        <v>14.5655999999999</v>
      </c>
      <c r="AD2757">
        <v>-1.12082856157299</v>
      </c>
      <c r="AE2757">
        <v>2.0891999999999999</v>
      </c>
      <c r="AF2757">
        <v>-1.8623144248093</v>
      </c>
      <c r="AG2757">
        <v>-1.12082856157299</v>
      </c>
      <c r="AH2757">
        <v>14.510769452482601</v>
      </c>
      <c r="AI2757">
        <v>94.381030687035107</v>
      </c>
      <c r="AJ2757">
        <v>97.313370858203001</v>
      </c>
      <c r="AK2757">
        <v>14.6726583066734</v>
      </c>
      <c r="AL2757">
        <v>79.646974444163504</v>
      </c>
      <c r="AM2757">
        <v>83.521294822629898</v>
      </c>
      <c r="AN2757">
        <v>1.0000000276599399</v>
      </c>
    </row>
    <row r="2758" spans="1:40" x14ac:dyDescent="0.25">
      <c r="A2758" t="str">
        <f>"20190303162602729"</f>
        <v>20190303162602729</v>
      </c>
      <c r="B2758" t="str">
        <f>"1551601562716342"</f>
        <v>1551601562716342</v>
      </c>
      <c r="C2758" t="s">
        <v>40</v>
      </c>
      <c r="D2758">
        <v>4.8901659999999998</v>
      </c>
      <c r="E2758">
        <v>0.40865580000000001</v>
      </c>
      <c r="F2758" t="s">
        <v>51</v>
      </c>
      <c r="G2758">
        <v>-298.22829999999999</v>
      </c>
      <c r="H2758" s="1">
        <v>2.3539820000000002E-6</v>
      </c>
      <c r="I2758">
        <v>217.5951</v>
      </c>
      <c r="J2758">
        <v>-312.96249999999998</v>
      </c>
      <c r="K2758">
        <v>1.12083</v>
      </c>
      <c r="L2758">
        <v>215.48820000000001</v>
      </c>
      <c r="M2758">
        <v>0.99982800000000005</v>
      </c>
      <c r="N2758">
        <v>-1.105691E-2</v>
      </c>
      <c r="O2758">
        <v>1.4888759999999999E-2</v>
      </c>
      <c r="P2758">
        <v>0.98099769999999997</v>
      </c>
      <c r="Q2758">
        <v>0.16849510000000001</v>
      </c>
      <c r="R2758">
        <v>-9.6192169999999994E-2</v>
      </c>
      <c r="S2758">
        <v>3.1420590000000002</v>
      </c>
      <c r="T2758">
        <v>-0.2341307</v>
      </c>
      <c r="U2758">
        <v>0.44107059999999998</v>
      </c>
      <c r="V2758">
        <v>0.1107701</v>
      </c>
      <c r="W2758">
        <v>0.17932619999999999</v>
      </c>
      <c r="X2758">
        <v>0.97753369999999995</v>
      </c>
      <c r="Y2758">
        <v>-0.1238945</v>
      </c>
      <c r="Z2758">
        <v>4.3380789999999999E-3</v>
      </c>
      <c r="AA2758">
        <v>0.99228590000000005</v>
      </c>
      <c r="AB2758">
        <v>31</v>
      </c>
      <c r="AC2758">
        <v>14.7341999999999</v>
      </c>
      <c r="AD2758">
        <v>-1.120827646018</v>
      </c>
      <c r="AE2758">
        <v>2.1068999999999898</v>
      </c>
      <c r="AF2758">
        <v>-1.87663727046588</v>
      </c>
      <c r="AG2758">
        <v>-1.120827646018</v>
      </c>
      <c r="AH2758">
        <v>14.680688387438099</v>
      </c>
      <c r="AI2758">
        <v>94.330790916198893</v>
      </c>
      <c r="AJ2758">
        <v>97.284631549259203</v>
      </c>
      <c r="AK2758">
        <v>14.842527870482099</v>
      </c>
      <c r="AL2758">
        <v>79.669484856265996</v>
      </c>
      <c r="AM2758">
        <v>83.535054728675703</v>
      </c>
      <c r="AN2758">
        <v>1.0000000178480699</v>
      </c>
    </row>
    <row r="2759" spans="1:40" x14ac:dyDescent="0.25">
      <c r="A2759" t="str">
        <f>"20190303162602752"</f>
        <v>20190303162602752</v>
      </c>
      <c r="B2759" t="str">
        <f>"1551601562745624"</f>
        <v>1551601562745624</v>
      </c>
      <c r="C2759" t="s">
        <v>40</v>
      </c>
      <c r="D2759">
        <v>4.8303890000000003</v>
      </c>
      <c r="E2759">
        <v>0.40926020000000002</v>
      </c>
      <c r="F2759" t="s">
        <v>51</v>
      </c>
      <c r="G2759">
        <v>-297.7998</v>
      </c>
      <c r="H2759" s="1">
        <v>2.277968E-6</v>
      </c>
      <c r="I2759">
        <v>217.60730000000001</v>
      </c>
      <c r="J2759">
        <v>-312.6481</v>
      </c>
      <c r="K2759">
        <v>1.120827</v>
      </c>
      <c r="L2759">
        <v>215.49289999999999</v>
      </c>
      <c r="M2759">
        <v>0.99982769999999999</v>
      </c>
      <c r="N2759">
        <v>-1.099879E-2</v>
      </c>
      <c r="O2759">
        <v>1.49611E-2</v>
      </c>
      <c r="P2759">
        <v>0.98115140000000001</v>
      </c>
      <c r="Q2759">
        <v>0.1677717</v>
      </c>
      <c r="R2759">
        <v>-9.5889959999999996E-2</v>
      </c>
      <c r="S2759">
        <v>3.1410520000000002</v>
      </c>
      <c r="T2759">
        <v>-0.2321867</v>
      </c>
      <c r="U2759">
        <v>0.43899539999999998</v>
      </c>
      <c r="V2759">
        <v>0.1105405</v>
      </c>
      <c r="W2759">
        <v>0.17854790000000001</v>
      </c>
      <c r="X2759">
        <v>0.97770210000000002</v>
      </c>
      <c r="Y2759">
        <v>-0.1232312</v>
      </c>
      <c r="Z2759">
        <v>4.2733959999999996E-3</v>
      </c>
      <c r="AA2759">
        <v>0.99236880000000005</v>
      </c>
      <c r="AB2759">
        <v>31</v>
      </c>
      <c r="AC2759">
        <v>14.848299999999901</v>
      </c>
      <c r="AD2759">
        <v>-1.120824722032</v>
      </c>
      <c r="AE2759">
        <v>2.11440000000001</v>
      </c>
      <c r="AF2759">
        <v>-1.8814953321415999</v>
      </c>
      <c r="AG2759">
        <v>-1.120824722032</v>
      </c>
      <c r="AH2759">
        <v>14.795643659297699</v>
      </c>
      <c r="AI2759">
        <v>94.297615154933993</v>
      </c>
      <c r="AJ2759">
        <v>97.2471484432305</v>
      </c>
      <c r="AK2759">
        <v>14.95684940204</v>
      </c>
      <c r="AL2759">
        <v>79.714809240914803</v>
      </c>
      <c r="AM2759">
        <v>83.5494437886138</v>
      </c>
      <c r="AN2759">
        <v>0.99999997553953401</v>
      </c>
    </row>
    <row r="2760" spans="1:40" x14ac:dyDescent="0.25">
      <c r="A2760" t="str">
        <f>"20190303162602775"</f>
        <v>20190303162602775</v>
      </c>
      <c r="B2760" t="str">
        <f>"1551601562767094"</f>
        <v>1551601562767094</v>
      </c>
      <c r="C2760" t="s">
        <v>40</v>
      </c>
      <c r="D2760">
        <v>4.8478050000000001</v>
      </c>
      <c r="E2760">
        <v>0.4097787</v>
      </c>
      <c r="F2760" t="s">
        <v>51</v>
      </c>
      <c r="G2760">
        <v>-297.23590000000002</v>
      </c>
      <c r="H2760" s="1">
        <v>2.1779380000000001E-6</v>
      </c>
      <c r="I2760">
        <v>217.62710000000001</v>
      </c>
      <c r="J2760">
        <v>-312.31740000000002</v>
      </c>
      <c r="K2760">
        <v>1.1208209999999901</v>
      </c>
      <c r="L2760">
        <v>215.49799999999999</v>
      </c>
      <c r="M2760">
        <v>0.99982729999999997</v>
      </c>
      <c r="N2760">
        <v>-1.093362E-2</v>
      </c>
      <c r="O2760">
        <v>1.503759E-2</v>
      </c>
      <c r="P2760">
        <v>0.98120450000000003</v>
      </c>
      <c r="Q2760">
        <v>0.1676021</v>
      </c>
      <c r="R2760">
        <v>-9.5642690000000002E-2</v>
      </c>
      <c r="S2760">
        <v>3.13916</v>
      </c>
      <c r="T2760">
        <v>-0.22828979999999999</v>
      </c>
      <c r="U2760">
        <v>0.43469239999999998</v>
      </c>
      <c r="V2760">
        <v>0.1103683</v>
      </c>
      <c r="W2760">
        <v>0.17831520000000001</v>
      </c>
      <c r="X2760">
        <v>0.97776410000000002</v>
      </c>
      <c r="Y2760">
        <v>-0.1219174</v>
      </c>
      <c r="Z2760">
        <v>4.1538510000000001E-3</v>
      </c>
      <c r="AA2760">
        <v>0.99253150000000001</v>
      </c>
      <c r="AB2760">
        <v>31</v>
      </c>
      <c r="AC2760">
        <v>15.0815</v>
      </c>
      <c r="AD2760">
        <v>-1.1208188220619999</v>
      </c>
      <c r="AE2760">
        <v>2.1291000000000202</v>
      </c>
      <c r="AF2760">
        <v>-1.8918118278959299</v>
      </c>
      <c r="AG2760">
        <v>-1.1208188220619999</v>
      </c>
      <c r="AH2760">
        <v>15.030420792179999</v>
      </c>
      <c r="AI2760">
        <v>94.231391736046604</v>
      </c>
      <c r="AJ2760">
        <v>97.173839218116498</v>
      </c>
      <c r="AK2760">
        <v>15.1904159263021</v>
      </c>
      <c r="AL2760">
        <v>79.728360229769393</v>
      </c>
      <c r="AM2760">
        <v>83.559812931370601</v>
      </c>
      <c r="AN2760">
        <v>1.0000000537223599</v>
      </c>
    </row>
    <row r="2761" spans="1:40" x14ac:dyDescent="0.25">
      <c r="A2761" t="str">
        <f>"20190303162602798"</f>
        <v>20190303162602798</v>
      </c>
      <c r="B2761" t="str">
        <f>"1551601562785638"</f>
        <v>1551601562785638</v>
      </c>
      <c r="C2761" t="s">
        <v>40</v>
      </c>
      <c r="D2761">
        <v>4.817761</v>
      </c>
      <c r="E2761">
        <v>0.4103272</v>
      </c>
      <c r="F2761" t="s">
        <v>51</v>
      </c>
      <c r="G2761">
        <v>-296.60109999999997</v>
      </c>
      <c r="H2761" s="1">
        <v>2.0653430000000001E-6</v>
      </c>
      <c r="I2761">
        <v>217.65870000000001</v>
      </c>
      <c r="J2761">
        <v>-312.0138</v>
      </c>
      <c r="K2761">
        <v>1.1208180000000001</v>
      </c>
      <c r="L2761">
        <v>215.5026</v>
      </c>
      <c r="M2761">
        <v>0.99982680000000002</v>
      </c>
      <c r="N2761">
        <v>-1.086929E-2</v>
      </c>
      <c r="O2761">
        <v>1.511057E-2</v>
      </c>
      <c r="P2761">
        <v>0.98118649999999996</v>
      </c>
      <c r="Q2761">
        <v>0.16822500000000001</v>
      </c>
      <c r="R2761">
        <v>-9.4728880000000001E-2</v>
      </c>
      <c r="S2761">
        <v>3.137756</v>
      </c>
      <c r="T2761">
        <v>-0.22377250000000001</v>
      </c>
      <c r="U2761">
        <v>0.43139650000000002</v>
      </c>
      <c r="V2761">
        <v>0.109525</v>
      </c>
      <c r="W2761">
        <v>0.17887539999999999</v>
      </c>
      <c r="X2761">
        <v>0.97775659999999998</v>
      </c>
      <c r="Y2761">
        <v>-0.1208973</v>
      </c>
      <c r="Z2761">
        <v>4.0389060000000001E-3</v>
      </c>
      <c r="AA2761">
        <v>0.99265680000000001</v>
      </c>
      <c r="AB2761">
        <v>31</v>
      </c>
      <c r="AC2761">
        <v>15.412699999999999</v>
      </c>
      <c r="AD2761">
        <v>-1.1208159346569999</v>
      </c>
      <c r="AE2761">
        <v>2.1560999999999999</v>
      </c>
      <c r="AF2761">
        <v>-1.91302302858092</v>
      </c>
      <c r="AG2761">
        <v>-1.1208159346569999</v>
      </c>
      <c r="AH2761">
        <v>15.3638337515195</v>
      </c>
      <c r="AI2761">
        <v>94.140564757746802</v>
      </c>
      <c r="AJ2761">
        <v>97.097636405502101</v>
      </c>
      <c r="AK2761">
        <v>15.522991754542501</v>
      </c>
      <c r="AL2761">
        <v>79.695738643918801</v>
      </c>
      <c r="AM2761">
        <v>83.608563621524198</v>
      </c>
      <c r="AN2761">
        <v>1.0000000515968499</v>
      </c>
    </row>
    <row r="2762" spans="1:40" x14ac:dyDescent="0.25">
      <c r="A2762" t="str">
        <f>"20190303162602844"</f>
        <v>20190303162602844</v>
      </c>
      <c r="B2762" t="str">
        <f>"1551601562836390"</f>
        <v>1551601562836390</v>
      </c>
      <c r="C2762" t="s">
        <v>40</v>
      </c>
      <c r="D2762">
        <v>4.8022210000000003</v>
      </c>
      <c r="E2762">
        <v>0.4111514</v>
      </c>
      <c r="F2762" t="s">
        <v>51</v>
      </c>
      <c r="G2762">
        <v>-295.8503</v>
      </c>
      <c r="H2762" s="1">
        <v>1.9321640000000002E-6</v>
      </c>
      <c r="I2762">
        <v>217.7159</v>
      </c>
      <c r="J2762">
        <v>-311.37509999999997</v>
      </c>
      <c r="K2762">
        <v>1.1207940000000001</v>
      </c>
      <c r="L2762">
        <v>215.51249999999999</v>
      </c>
      <c r="M2762">
        <v>0.99982579999999999</v>
      </c>
      <c r="N2762">
        <v>-1.071212E-2</v>
      </c>
      <c r="O2762">
        <v>1.528786E-2</v>
      </c>
      <c r="P2762">
        <v>0.98146999999999995</v>
      </c>
      <c r="Q2762">
        <v>0.16784160000000001</v>
      </c>
      <c r="R2762">
        <v>-9.2443949999999997E-2</v>
      </c>
      <c r="S2762">
        <v>3.1362610000000002</v>
      </c>
      <c r="T2762">
        <v>-0.21747710000000001</v>
      </c>
      <c r="U2762">
        <v>0.42944339999999998</v>
      </c>
      <c r="V2762">
        <v>0.1074138</v>
      </c>
      <c r="W2762">
        <v>0.1783438</v>
      </c>
      <c r="X2762">
        <v>0.97808779999999995</v>
      </c>
      <c r="Y2762">
        <v>-0.1201974</v>
      </c>
      <c r="Z2762">
        <v>3.9000889999999998E-3</v>
      </c>
      <c r="AA2762">
        <v>0.99274240000000002</v>
      </c>
      <c r="AB2762">
        <v>31</v>
      </c>
      <c r="AC2762">
        <v>15.5247999999999</v>
      </c>
      <c r="AD2762">
        <v>-1.1207920678359999</v>
      </c>
      <c r="AE2762">
        <v>2.20340000000001</v>
      </c>
      <c r="AF2762">
        <v>-1.9557957106750601</v>
      </c>
      <c r="AG2762">
        <v>-1.1207920678359999</v>
      </c>
      <c r="AH2762">
        <v>15.477597459860601</v>
      </c>
      <c r="AI2762">
        <v>94.109213317525999</v>
      </c>
      <c r="AJ2762">
        <v>97.201896333955602</v>
      </c>
      <c r="AK2762">
        <v>15.640886638893001</v>
      </c>
      <c r="AL2762">
        <v>79.726694214259098</v>
      </c>
      <c r="AM2762">
        <v>83.732880202507403</v>
      </c>
      <c r="AN2762">
        <v>0.99999998996885997</v>
      </c>
    </row>
    <row r="2763" spans="1:40" x14ac:dyDescent="0.25">
      <c r="A2763" t="str">
        <f>"20190303162602864"</f>
        <v>20190303162602864</v>
      </c>
      <c r="B2763" t="str">
        <f>"1551601562855911"</f>
        <v>1551601562855911</v>
      </c>
      <c r="C2763" t="s">
        <v>40</v>
      </c>
      <c r="D2763">
        <v>4.7608420000000002</v>
      </c>
      <c r="E2763">
        <v>0.41159059999999997</v>
      </c>
      <c r="F2763" t="s">
        <v>51</v>
      </c>
      <c r="G2763">
        <v>-294.78640000000001</v>
      </c>
      <c r="H2763" s="1">
        <v>1.7434370000000001E-6</v>
      </c>
      <c r="I2763">
        <v>217.78970000000001</v>
      </c>
      <c r="J2763">
        <v>-311.0804</v>
      </c>
      <c r="K2763">
        <v>1.1207910000000001</v>
      </c>
      <c r="L2763">
        <v>215.5171</v>
      </c>
      <c r="M2763">
        <v>0.99982510000000002</v>
      </c>
      <c r="N2763">
        <v>-1.06429E-2</v>
      </c>
      <c r="O2763">
        <v>1.538082E-2</v>
      </c>
      <c r="P2763">
        <v>0.98152119999999998</v>
      </c>
      <c r="Q2763">
        <v>0.16802259999999999</v>
      </c>
      <c r="R2763">
        <v>-9.156955E-2</v>
      </c>
      <c r="S2763">
        <v>3.1333310000000001</v>
      </c>
      <c r="T2763">
        <v>-0.2116992</v>
      </c>
      <c r="U2763">
        <v>0.43013000000000001</v>
      </c>
      <c r="V2763">
        <v>0.1066285</v>
      </c>
      <c r="W2763">
        <v>0.1784597</v>
      </c>
      <c r="X2763">
        <v>0.97815260000000004</v>
      </c>
      <c r="Y2763">
        <v>-0.1204571</v>
      </c>
      <c r="Z2763">
        <v>3.820529E-3</v>
      </c>
      <c r="AA2763">
        <v>0.99271120000000002</v>
      </c>
      <c r="AB2763">
        <v>31</v>
      </c>
      <c r="AC2763">
        <v>16.293999999999901</v>
      </c>
      <c r="AD2763">
        <v>-1.120789256563</v>
      </c>
      <c r="AE2763">
        <v>2.2726000000000099</v>
      </c>
      <c r="AF2763">
        <v>-2.0123622061612001</v>
      </c>
      <c r="AG2763">
        <v>-1.120789256563</v>
      </c>
      <c r="AH2763">
        <v>16.251602707792799</v>
      </c>
      <c r="AI2763">
        <v>93.915339677182004</v>
      </c>
      <c r="AJ2763">
        <v>97.058746026797195</v>
      </c>
      <c r="AK2763">
        <v>16.414029388859699</v>
      </c>
      <c r="AL2763">
        <v>79.719945524905796</v>
      </c>
      <c r="AM2763">
        <v>83.778747279816301</v>
      </c>
      <c r="AN2763">
        <v>1.0000000052115501</v>
      </c>
    </row>
    <row r="2764" spans="1:40" x14ac:dyDescent="0.25">
      <c r="A2764" t="str">
        <f>"20190303162602886"</f>
        <v>20190303162602886</v>
      </c>
      <c r="B2764" t="str">
        <f>"1551601562876407"</f>
        <v>1551601562876407</v>
      </c>
      <c r="C2764" t="s">
        <v>40</v>
      </c>
      <c r="D2764">
        <v>4.8433519999999897</v>
      </c>
      <c r="E2764">
        <v>0.41184490000000001</v>
      </c>
      <c r="F2764" t="s">
        <v>51</v>
      </c>
      <c r="G2764">
        <v>-294.2321</v>
      </c>
      <c r="H2764" s="1">
        <v>1.645119E-6</v>
      </c>
      <c r="I2764">
        <v>217.82589999999999</v>
      </c>
      <c r="J2764">
        <v>-310.7724</v>
      </c>
      <c r="K2764">
        <v>1.120792</v>
      </c>
      <c r="L2764">
        <v>215.52199999999999</v>
      </c>
      <c r="M2764">
        <v>0.99982420000000005</v>
      </c>
      <c r="N2764">
        <v>-1.057487E-2</v>
      </c>
      <c r="O2764">
        <v>1.548767E-2</v>
      </c>
      <c r="P2764">
        <v>0.98155990000000004</v>
      </c>
      <c r="Q2764">
        <v>0.16785890000000001</v>
      </c>
      <c r="R2764">
        <v>-9.1454579999999994E-2</v>
      </c>
      <c r="S2764">
        <v>3.1321720000000002</v>
      </c>
      <c r="T2764">
        <v>-0.2083604</v>
      </c>
      <c r="U2764">
        <v>0.4292145</v>
      </c>
      <c r="V2764">
        <v>0.1066155</v>
      </c>
      <c r="W2764">
        <v>0.17823169999999999</v>
      </c>
      <c r="X2764">
        <v>0.97819560000000005</v>
      </c>
      <c r="Y2764">
        <v>-0.1201251</v>
      </c>
      <c r="Z2764">
        <v>3.7503839999999998E-3</v>
      </c>
      <c r="AA2764">
        <v>0.99275170000000001</v>
      </c>
      <c r="AB2764">
        <v>31</v>
      </c>
      <c r="AC2764">
        <v>16.540299999999998</v>
      </c>
      <c r="AD2764">
        <v>-1.1207903548810001</v>
      </c>
      <c r="AE2764">
        <v>2.3038999999999699</v>
      </c>
      <c r="AF2764">
        <v>-2.0382579205224798</v>
      </c>
      <c r="AG2764">
        <v>-1.1207903548810001</v>
      </c>
      <c r="AH2764">
        <v>16.4996822586996</v>
      </c>
      <c r="AI2764">
        <v>93.856790607043806</v>
      </c>
      <c r="AJ2764">
        <v>97.042250813672297</v>
      </c>
      <c r="AK2764">
        <v>16.662838323893499</v>
      </c>
      <c r="AL2764">
        <v>79.733221939995602</v>
      </c>
      <c r="AM2764">
        <v>83.779771120102296</v>
      </c>
      <c r="AN2764">
        <v>1.0000000177922499</v>
      </c>
    </row>
    <row r="2765" spans="1:40" x14ac:dyDescent="0.25">
      <c r="A2765" t="str">
        <f>"20190303162602907"</f>
        <v>20190303162602907</v>
      </c>
      <c r="B2765" t="str">
        <f>"1551601562895927"</f>
        <v>1551601562895927</v>
      </c>
      <c r="C2765" t="s">
        <v>40</v>
      </c>
      <c r="D2765">
        <v>4.7614999999999998</v>
      </c>
      <c r="E2765">
        <v>0.43333290000000002</v>
      </c>
      <c r="F2765" t="s">
        <v>51</v>
      </c>
      <c r="G2765">
        <v>-293.85149999999999</v>
      </c>
      <c r="H2765" s="1">
        <v>1.5776050000000001E-6</v>
      </c>
      <c r="I2765">
        <v>217.83179999999999</v>
      </c>
      <c r="J2765">
        <v>-310.47640000000001</v>
      </c>
      <c r="K2765">
        <v>1.1207879999999999</v>
      </c>
      <c r="L2765">
        <v>215.52670000000001</v>
      </c>
      <c r="M2765">
        <v>0.99982300000000002</v>
      </c>
      <c r="N2765">
        <v>-1.051059E-2</v>
      </c>
      <c r="O2765">
        <v>1.5608250000000001E-2</v>
      </c>
      <c r="P2765">
        <v>0.98154600000000003</v>
      </c>
      <c r="Q2765">
        <v>0.16783689999999901</v>
      </c>
      <c r="R2765">
        <v>-9.1642180000000004E-2</v>
      </c>
      <c r="S2765">
        <v>3.131653</v>
      </c>
      <c r="T2765">
        <v>-0.2074317</v>
      </c>
      <c r="U2765">
        <v>0.42750549999999998</v>
      </c>
      <c r="V2765">
        <v>0.10691639999999999</v>
      </c>
      <c r="W2765">
        <v>0.17814959999999999</v>
      </c>
      <c r="X2765">
        <v>0.97817770000000004</v>
      </c>
      <c r="Y2765">
        <v>-0.1194998</v>
      </c>
      <c r="Z2765">
        <v>3.7023899999999998E-3</v>
      </c>
      <c r="AA2765">
        <v>0.99282729999999997</v>
      </c>
      <c r="AB2765">
        <v>31</v>
      </c>
      <c r="AC2765">
        <v>16.6249</v>
      </c>
      <c r="AD2765">
        <v>-1.1207864223949999</v>
      </c>
      <c r="AE2765">
        <v>2.3050999999999799</v>
      </c>
      <c r="AF2765">
        <v>-2.0362392437851802</v>
      </c>
      <c r="AG2765">
        <v>-1.1207864223949999</v>
      </c>
      <c r="AH2765">
        <v>16.584899651702798</v>
      </c>
      <c r="AI2765">
        <v>93.837370460524994</v>
      </c>
      <c r="AJ2765">
        <v>96.999556274393001</v>
      </c>
      <c r="AK2765">
        <v>16.746979695443802</v>
      </c>
      <c r="AL2765">
        <v>79.7380022943792</v>
      </c>
      <c r="AM2765">
        <v>83.762240768159799</v>
      </c>
      <c r="AN2765">
        <v>1.0000000046732</v>
      </c>
    </row>
    <row r="2766" spans="1:40" x14ac:dyDescent="0.25">
      <c r="A2766" t="str">
        <f>"20190303162602930"</f>
        <v>20190303162602930</v>
      </c>
      <c r="B2766" t="str">
        <f>"1551601562916422"</f>
        <v>1551601562916422</v>
      </c>
      <c r="C2766" t="s">
        <v>40</v>
      </c>
      <c r="D2766">
        <v>4.8442860000000003</v>
      </c>
      <c r="E2766">
        <v>0.46823959999999998</v>
      </c>
      <c r="F2766" t="s">
        <v>51</v>
      </c>
      <c r="G2766">
        <v>-286.74770000000001</v>
      </c>
      <c r="H2766" s="1">
        <v>3.757171E-6</v>
      </c>
      <c r="I2766">
        <v>217.48050000000001</v>
      </c>
      <c r="J2766">
        <v>-310.15589999999997</v>
      </c>
      <c r="K2766">
        <v>1.1207940000000001</v>
      </c>
      <c r="L2766">
        <v>215.5318</v>
      </c>
      <c r="M2766">
        <v>0.99982119999999997</v>
      </c>
      <c r="N2766">
        <v>-1.0444770000000001E-2</v>
      </c>
      <c r="O2766">
        <v>1.5761859999999999E-2</v>
      </c>
      <c r="P2766">
        <v>0.98148329999999995</v>
      </c>
      <c r="Q2766">
        <v>0.1678489</v>
      </c>
      <c r="R2766">
        <v>-9.2291120000000004E-2</v>
      </c>
      <c r="S2766">
        <v>3.1053769999999998</v>
      </c>
      <c r="T2766">
        <v>-0.1466769</v>
      </c>
      <c r="U2766">
        <v>0.25569150000000002</v>
      </c>
      <c r="V2766">
        <v>0.1077075</v>
      </c>
      <c r="W2766">
        <v>0.1781007</v>
      </c>
      <c r="X2766">
        <v>0.97809979999999996</v>
      </c>
      <c r="Y2766">
        <v>-6.6261760000000003E-2</v>
      </c>
      <c r="Z2766">
        <v>1.3298870000000001E-3</v>
      </c>
      <c r="AA2766">
        <v>0.99780139999999995</v>
      </c>
      <c r="AB2766">
        <v>31</v>
      </c>
      <c r="AC2766">
        <v>23.408199999999901</v>
      </c>
      <c r="AD2766">
        <v>-1.120790242829</v>
      </c>
      <c r="AE2766">
        <v>1.9487000000000001</v>
      </c>
      <c r="AF2766">
        <v>-1.5758930922886101</v>
      </c>
      <c r="AG2766">
        <v>-1.120790242829</v>
      </c>
      <c r="AH2766">
        <v>23.382772126109099</v>
      </c>
      <c r="AI2766">
        <v>92.738016921747999</v>
      </c>
      <c r="AJ2766">
        <v>93.855645830925695</v>
      </c>
      <c r="AK2766">
        <v>23.462600923774101</v>
      </c>
      <c r="AL2766">
        <v>79.740849459224094</v>
      </c>
      <c r="AM2766">
        <v>83.715957498273895</v>
      </c>
      <c r="AN2766">
        <v>0.99999999182838994</v>
      </c>
    </row>
    <row r="2767" spans="1:40" x14ac:dyDescent="0.25">
      <c r="A2767" t="str">
        <f>"20190303162602953"</f>
        <v>20190303162602953</v>
      </c>
      <c r="B2767" t="str">
        <f>"1551601562945703"</f>
        <v>1551601562945703</v>
      </c>
      <c r="C2767" t="s">
        <v>40</v>
      </c>
      <c r="D2767">
        <v>4.8190670000000004</v>
      </c>
      <c r="E2767">
        <v>0.46971659999999998</v>
      </c>
      <c r="F2767" t="s">
        <v>48</v>
      </c>
      <c r="G2767">
        <v>-269.60770000000002</v>
      </c>
      <c r="H2767" s="1">
        <v>3.5496439999999998E-6</v>
      </c>
      <c r="I2767">
        <v>215.2183</v>
      </c>
      <c r="J2767">
        <v>-309.8297</v>
      </c>
      <c r="K2767">
        <v>1.120797</v>
      </c>
      <c r="L2767">
        <v>215.53710000000001</v>
      </c>
      <c r="M2767">
        <v>0.99981920000000002</v>
      </c>
      <c r="N2767">
        <v>-1.0384600000000001E-2</v>
      </c>
      <c r="O2767">
        <v>1.5940860000000001E-2</v>
      </c>
      <c r="P2767">
        <v>0.98152870000000003</v>
      </c>
      <c r="Q2767">
        <v>0.16747970000000001</v>
      </c>
      <c r="R2767">
        <v>-9.247851E-2</v>
      </c>
      <c r="S2767">
        <v>3.0688780000000002</v>
      </c>
      <c r="T2767">
        <v>-8.4826589999999993E-2</v>
      </c>
      <c r="U2767">
        <v>-2.3727419999999999E-2</v>
      </c>
      <c r="V2767">
        <v>0.1080628</v>
      </c>
      <c r="W2767">
        <v>0.17767839999999999</v>
      </c>
      <c r="X2767">
        <v>0.97813740000000005</v>
      </c>
      <c r="Y2767">
        <v>2.365685E-2</v>
      </c>
      <c r="Z2767">
        <v>-7.2474970000000003E-4</v>
      </c>
      <c r="AA2767">
        <v>0.99971989999999999</v>
      </c>
      <c r="AB2767">
        <v>31</v>
      </c>
      <c r="AC2767">
        <v>40.221999999999902</v>
      </c>
      <c r="AD2767">
        <v>-1.120793450356</v>
      </c>
      <c r="AE2767">
        <v>-0.31880000000001002</v>
      </c>
      <c r="AF2767">
        <v>0.95922245128793404</v>
      </c>
      <c r="AG2767">
        <v>-1.120793450356</v>
      </c>
      <c r="AH2767">
        <v>40.180609462154401</v>
      </c>
      <c r="AI2767">
        <v>91.597332922671299</v>
      </c>
      <c r="AJ2767">
        <v>88.632450782706101</v>
      </c>
      <c r="AK2767">
        <v>40.207681634478597</v>
      </c>
      <c r="AL2767">
        <v>79.765437493617995</v>
      </c>
      <c r="AM2767">
        <v>83.695635072005402</v>
      </c>
      <c r="AN2767">
        <v>0.99999997792457895</v>
      </c>
    </row>
    <row r="2768" spans="1:40" x14ac:dyDescent="0.25">
      <c r="A2768" t="str">
        <f>"20190303162602975"</f>
        <v>20190303162602975</v>
      </c>
      <c r="B2768" t="str">
        <f>"1551601562966198"</f>
        <v>1551601562966198</v>
      </c>
      <c r="C2768" t="s">
        <v>40</v>
      </c>
      <c r="D2768">
        <v>4.7628649999999997</v>
      </c>
      <c r="E2768">
        <v>0.46994190000000002</v>
      </c>
      <c r="F2768" t="s">
        <v>48</v>
      </c>
      <c r="G2768">
        <v>-273.7038</v>
      </c>
      <c r="H2768" s="1">
        <v>4.1267740000000001E-7</v>
      </c>
      <c r="I2768">
        <v>215.10810000000001</v>
      </c>
      <c r="J2768">
        <v>-309.51150000000001</v>
      </c>
      <c r="K2768">
        <v>1.1208039999999999</v>
      </c>
      <c r="L2768">
        <v>215.54239999999999</v>
      </c>
      <c r="M2768">
        <v>0.9998165</v>
      </c>
      <c r="N2768">
        <v>-1.0324440000000001E-2</v>
      </c>
      <c r="O2768">
        <v>1.6134309999999999E-2</v>
      </c>
      <c r="P2768">
        <v>0.98164359999999995</v>
      </c>
      <c r="Q2768">
        <v>0.1669756</v>
      </c>
      <c r="R2768">
        <v>-9.2169710000000002E-2</v>
      </c>
      <c r="S2768">
        <v>3.0693049999999999</v>
      </c>
      <c r="T2768">
        <v>-9.5224379999999997E-2</v>
      </c>
      <c r="U2768">
        <v>-3.645325E-2</v>
      </c>
      <c r="V2768">
        <v>0.1079382</v>
      </c>
      <c r="W2768">
        <v>0.17712049999999999</v>
      </c>
      <c r="X2768">
        <v>0.97825240000000002</v>
      </c>
      <c r="Y2768">
        <v>2.798695E-2</v>
      </c>
      <c r="Z2768">
        <v>-9.1242340000000002E-4</v>
      </c>
      <c r="AA2768">
        <v>0.99960789999999999</v>
      </c>
      <c r="AB2768">
        <v>31</v>
      </c>
      <c r="AC2768">
        <v>35.807699999999997</v>
      </c>
      <c r="AD2768">
        <v>-1.1208035873226001</v>
      </c>
      <c r="AE2768">
        <v>-0.43429999999997898</v>
      </c>
      <c r="AF2768">
        <v>1.01101642812449</v>
      </c>
      <c r="AG2768">
        <v>-1.1208035873226001</v>
      </c>
      <c r="AH2768">
        <v>35.761000084602401</v>
      </c>
      <c r="AI2768">
        <v>91.794431856142793</v>
      </c>
      <c r="AJ2768">
        <v>88.380594827203595</v>
      </c>
      <c r="AK2768">
        <v>35.792841210921303</v>
      </c>
      <c r="AL2768">
        <v>79.797918649563002</v>
      </c>
      <c r="AM2768">
        <v>83.703580110594103</v>
      </c>
      <c r="AN2768">
        <v>1.0000000423226201</v>
      </c>
    </row>
    <row r="2769" spans="1:40" x14ac:dyDescent="0.25">
      <c r="A2769" t="str">
        <f>"20190303162603000"</f>
        <v>20190303162603000</v>
      </c>
      <c r="B2769" t="str">
        <f>"1551601562985718"</f>
        <v>1551601562985718</v>
      </c>
      <c r="C2769" t="s">
        <v>40</v>
      </c>
      <c r="D2769">
        <v>4.7629229999999998</v>
      </c>
      <c r="E2769">
        <v>0.4698464</v>
      </c>
      <c r="F2769" t="s">
        <v>48</v>
      </c>
      <c r="G2769">
        <v>-272.9633</v>
      </c>
      <c r="H2769" s="1">
        <v>1.945484E-8</v>
      </c>
      <c r="I2769">
        <v>215.089</v>
      </c>
      <c r="J2769">
        <v>-309.1807</v>
      </c>
      <c r="K2769">
        <v>1.120811</v>
      </c>
      <c r="L2769">
        <v>215.548</v>
      </c>
      <c r="M2769">
        <v>0.99981390000000003</v>
      </c>
      <c r="N2769">
        <v>-1.0248760000000001E-2</v>
      </c>
      <c r="O2769">
        <v>1.6350079999999999E-2</v>
      </c>
      <c r="P2769">
        <v>0.981769</v>
      </c>
      <c r="Q2769">
        <v>0.16650379999999901</v>
      </c>
      <c r="R2769">
        <v>-9.1684669999999996E-2</v>
      </c>
      <c r="S2769">
        <v>3.0685419999999999</v>
      </c>
      <c r="T2769">
        <v>-9.4101309999999994E-2</v>
      </c>
      <c r="U2769">
        <v>-3.8070680000000003E-2</v>
      </c>
      <c r="V2769">
        <v>0.10766149999999999</v>
      </c>
      <c r="W2769">
        <v>0.17657929999999999</v>
      </c>
      <c r="X2769">
        <v>0.97838069999999999</v>
      </c>
      <c r="Y2769">
        <v>2.8732400000000002E-2</v>
      </c>
      <c r="Z2769">
        <v>-9.2144790000000002E-4</v>
      </c>
      <c r="AA2769">
        <v>0.99958670000000005</v>
      </c>
      <c r="AB2769">
        <v>31</v>
      </c>
      <c r="AC2769">
        <v>36.217399999999998</v>
      </c>
      <c r="AD2769">
        <v>-1.12081098054515</v>
      </c>
      <c r="AE2769">
        <v>-0.45899999999997398</v>
      </c>
      <c r="AF2769">
        <v>1.05012152758442</v>
      </c>
      <c r="AG2769">
        <v>-1.12081098054515</v>
      </c>
      <c r="AH2769">
        <v>36.170418273660097</v>
      </c>
      <c r="AI2769">
        <v>91.774106539539702</v>
      </c>
      <c r="AJ2769">
        <v>88.3370213006597</v>
      </c>
      <c r="AK2769">
        <v>36.203012727787304</v>
      </c>
      <c r="AL2769">
        <v>79.829423492890498</v>
      </c>
      <c r="AM2769">
        <v>83.720408865609897</v>
      </c>
      <c r="AN2769">
        <v>1.00000002095161</v>
      </c>
    </row>
    <row r="2770" spans="1:40" x14ac:dyDescent="0.25">
      <c r="A2770" t="str">
        <f>"20190303162603043"</f>
        <v>20190303162603043</v>
      </c>
      <c r="B2770" t="str">
        <f>"1551601563036471"</f>
        <v>1551601563036471</v>
      </c>
      <c r="C2770" t="s">
        <v>40</v>
      </c>
      <c r="D2770">
        <v>4.8450899999999999</v>
      </c>
      <c r="E2770">
        <v>0.51064350000000003</v>
      </c>
      <c r="F2770" t="s">
        <v>48</v>
      </c>
      <c r="G2770">
        <v>-273.15309999999999</v>
      </c>
      <c r="H2770" s="1">
        <v>1.1880739999999999E-7</v>
      </c>
      <c r="I2770">
        <v>215.12729999999999</v>
      </c>
      <c r="J2770">
        <v>-308.56580000000002</v>
      </c>
      <c r="K2770">
        <v>1.1207879999999999</v>
      </c>
      <c r="L2770">
        <v>215.55850000000001</v>
      </c>
      <c r="M2770">
        <v>0.99980869999999999</v>
      </c>
      <c r="N2770">
        <v>-1.006292E-2</v>
      </c>
      <c r="O2770">
        <v>1.677646E-2</v>
      </c>
      <c r="P2770">
        <v>0.98170800000000003</v>
      </c>
      <c r="Q2770">
        <v>0.1670122</v>
      </c>
      <c r="R2770">
        <v>-9.1412649999999998E-2</v>
      </c>
      <c r="S2770">
        <v>3.0685419999999999</v>
      </c>
      <c r="T2770">
        <v>-9.5461729999999995E-2</v>
      </c>
      <c r="U2770">
        <v>-3.5827640000000001E-2</v>
      </c>
      <c r="V2770">
        <v>0.10780140000000001</v>
      </c>
      <c r="W2770">
        <v>0.17690790000000001</v>
      </c>
      <c r="X2770">
        <v>0.97830589999999995</v>
      </c>
      <c r="Y2770">
        <v>2.8427600000000001E-2</v>
      </c>
      <c r="Z2770">
        <v>-9.3812289999999998E-4</v>
      </c>
      <c r="AA2770">
        <v>0.99959540000000002</v>
      </c>
      <c r="AB2770">
        <v>32</v>
      </c>
      <c r="AC2770">
        <v>35.412700000000001</v>
      </c>
      <c r="AD2770">
        <v>-1.1207878811926</v>
      </c>
      <c r="AE2770">
        <v>-0.43120000000001801</v>
      </c>
      <c r="AF2770">
        <v>1.02424328084321</v>
      </c>
      <c r="AG2770">
        <v>-1.1207878811926</v>
      </c>
      <c r="AH2770">
        <v>35.365062119477997</v>
      </c>
      <c r="AI2770">
        <v>91.814447277136907</v>
      </c>
      <c r="AJ2770">
        <v>88.341062797922902</v>
      </c>
      <c r="AK2770">
        <v>35.3976391654517</v>
      </c>
      <c r="AL2770">
        <v>79.810294644024296</v>
      </c>
      <c r="AM2770">
        <v>83.711837310952802</v>
      </c>
      <c r="AN2770">
        <v>0.99999999044958898</v>
      </c>
    </row>
    <row r="2771" spans="1:40" x14ac:dyDescent="0.25">
      <c r="A2771" t="str">
        <f>"20190303162603064"</f>
        <v>20190303162603064</v>
      </c>
      <c r="B2771" t="str">
        <f>"1551601563055991"</f>
        <v>1551601563055991</v>
      </c>
      <c r="C2771" t="s">
        <v>40</v>
      </c>
      <c r="D2771">
        <v>4.883991</v>
      </c>
      <c r="E2771">
        <v>0.51620529999999998</v>
      </c>
      <c r="F2771" t="s">
        <v>50</v>
      </c>
      <c r="G2771">
        <v>-234.77500000000001</v>
      </c>
      <c r="H2771">
        <v>0.34846179999999999</v>
      </c>
      <c r="I2771">
        <v>206.834</v>
      </c>
      <c r="J2771">
        <v>-308.25349999999997</v>
      </c>
      <c r="K2771">
        <v>1.120781</v>
      </c>
      <c r="L2771">
        <v>215.56399999999999</v>
      </c>
      <c r="M2771">
        <v>0.99980599999999997</v>
      </c>
      <c r="N2771">
        <v>-9.9599679999999996E-3</v>
      </c>
      <c r="O2771">
        <v>1.6997470000000001E-2</v>
      </c>
      <c r="P2771">
        <v>0.9817804</v>
      </c>
      <c r="Q2771">
        <v>0.1670005</v>
      </c>
      <c r="R2771">
        <v>-9.0655109999999997E-2</v>
      </c>
      <c r="S2771">
        <v>3.0279539999999998</v>
      </c>
      <c r="T2771">
        <v>-3.1689879999999997E-2</v>
      </c>
      <c r="U2771">
        <v>-0.35800169999999998</v>
      </c>
      <c r="V2771">
        <v>0.1072607</v>
      </c>
      <c r="W2771">
        <v>0.17679619999999999</v>
      </c>
      <c r="X2771">
        <v>0.97838550000000002</v>
      </c>
      <c r="Y2771">
        <v>0.13426389999999999</v>
      </c>
      <c r="Z2771">
        <v>-1.3797690000000001E-3</v>
      </c>
      <c r="AA2771">
        <v>0.99094459999999995</v>
      </c>
      <c r="AB2771">
        <v>32</v>
      </c>
      <c r="AC2771">
        <v>73.478499999999897</v>
      </c>
      <c r="AD2771">
        <v>-0.77231919999999998</v>
      </c>
      <c r="AE2771">
        <v>-8.7300000000000093</v>
      </c>
      <c r="AF2771">
        <v>9.9766622786158798</v>
      </c>
      <c r="AG2771">
        <v>-0.77231919999999998</v>
      </c>
      <c r="AH2771">
        <v>73.311501915091796</v>
      </c>
      <c r="AI2771">
        <v>90.598062988358905</v>
      </c>
      <c r="AJ2771">
        <v>82.250456750489406</v>
      </c>
      <c r="AK2771">
        <v>73.991260161013301</v>
      </c>
      <c r="AL2771">
        <v>79.816796870802094</v>
      </c>
      <c r="AM2771">
        <v>83.743631120760099</v>
      </c>
      <c r="AN2771">
        <v>0.99999997035458899</v>
      </c>
    </row>
    <row r="2772" spans="1:40" x14ac:dyDescent="0.25">
      <c r="A2772" t="str">
        <f>"20190303162603087"</f>
        <v>20190303162603087</v>
      </c>
      <c r="B2772" t="str">
        <f>"1551601563076486"</f>
        <v>1551601563076486</v>
      </c>
      <c r="C2772" t="s">
        <v>40</v>
      </c>
      <c r="D2772">
        <v>4.7829269999999999</v>
      </c>
      <c r="E2772">
        <v>0.5176944</v>
      </c>
      <c r="F2772" t="s">
        <v>48</v>
      </c>
      <c r="G2772">
        <v>-236.2731</v>
      </c>
      <c r="H2772">
        <v>8.0001459999999996E-2</v>
      </c>
      <c r="I2772">
        <v>206.06450000000001</v>
      </c>
      <c r="J2772">
        <v>-307.94080000000002</v>
      </c>
      <c r="K2772">
        <v>1.120784</v>
      </c>
      <c r="L2772">
        <v>215.56950000000001</v>
      </c>
      <c r="M2772">
        <v>0.9998032</v>
      </c>
      <c r="N2772">
        <v>-9.8506170000000007E-3</v>
      </c>
      <c r="O2772">
        <v>1.7218250000000001E-2</v>
      </c>
      <c r="P2772">
        <v>0.98142609999999997</v>
      </c>
      <c r="Q2772">
        <v>0.16910459999999999</v>
      </c>
      <c r="R2772">
        <v>-9.0589020000000006E-2</v>
      </c>
      <c r="S2772">
        <v>3.0262449999999999</v>
      </c>
      <c r="T2772">
        <v>-4.3757079999999997E-2</v>
      </c>
      <c r="U2772">
        <v>-0.3993835</v>
      </c>
      <c r="V2772">
        <v>0.107403399999999</v>
      </c>
      <c r="W2772">
        <v>0.17879</v>
      </c>
      <c r="X2772">
        <v>0.97800750000000003</v>
      </c>
      <c r="Y2772">
        <v>0.14786459999999901</v>
      </c>
      <c r="Z2772">
        <v>-1.874934E-3</v>
      </c>
      <c r="AA2772">
        <v>0.98900580000000005</v>
      </c>
      <c r="AB2772">
        <v>32</v>
      </c>
      <c r="AC2772">
        <v>71.667699999999996</v>
      </c>
      <c r="AD2772">
        <v>-1.0407825399999999</v>
      </c>
      <c r="AE2772">
        <v>-9.5049999999999901</v>
      </c>
      <c r="AF2772">
        <v>10.7354181345773</v>
      </c>
      <c r="AG2772">
        <v>-1.0407825399999999</v>
      </c>
      <c r="AH2772">
        <v>71.478593036620595</v>
      </c>
      <c r="AI2772">
        <v>90.824959842774305</v>
      </c>
      <c r="AJ2772">
        <v>81.458550218184499</v>
      </c>
      <c r="AK2772">
        <v>72.287770012047105</v>
      </c>
      <c r="AL2772">
        <v>79.700711464471695</v>
      </c>
      <c r="AM2772">
        <v>83.732971745722807</v>
      </c>
      <c r="AN2772">
        <v>1.0000000122438999</v>
      </c>
    </row>
    <row r="2773" spans="1:40" x14ac:dyDescent="0.25">
      <c r="A2773" t="str">
        <f>"20190303162603108"</f>
        <v>20190303162603108</v>
      </c>
      <c r="B2773" t="str">
        <f>"1551601563096007"</f>
        <v>1551601563096007</v>
      </c>
      <c r="C2773" t="s">
        <v>40</v>
      </c>
      <c r="D2773">
        <v>4.8357970000000003</v>
      </c>
      <c r="E2773">
        <v>0.51917239999999998</v>
      </c>
      <c r="F2773" t="s">
        <v>41</v>
      </c>
      <c r="G2773">
        <v>-179.95779999999999</v>
      </c>
      <c r="H2773">
        <v>1.8443129999999999E-2</v>
      </c>
      <c r="I2773">
        <v>198.22790000000001</v>
      </c>
      <c r="J2773">
        <v>-307.6429</v>
      </c>
      <c r="K2773">
        <v>1.1207819999999999</v>
      </c>
      <c r="L2773">
        <v>215.57480000000001</v>
      </c>
      <c r="M2773">
        <v>0.99980089999999999</v>
      </c>
      <c r="N2773">
        <v>-9.7334369999999993E-3</v>
      </c>
      <c r="O2773">
        <v>1.7427089999999999E-2</v>
      </c>
      <c r="P2773">
        <v>0.98073860000000002</v>
      </c>
      <c r="Q2773">
        <v>0.1727766</v>
      </c>
      <c r="R2773">
        <v>-9.1106549999999994E-2</v>
      </c>
      <c r="S2773">
        <v>3.0234070000000002</v>
      </c>
      <c r="T2773">
        <v>-2.6041149999999999E-2</v>
      </c>
      <c r="U2773">
        <v>-0.40966799999999998</v>
      </c>
      <c r="V2773">
        <v>0.1081112</v>
      </c>
      <c r="W2773">
        <v>0.18234130000000001</v>
      </c>
      <c r="X2773">
        <v>0.97727359999999996</v>
      </c>
      <c r="Y2773">
        <v>0.15150959999999999</v>
      </c>
      <c r="Z2773">
        <v>-1.3709060000000001E-3</v>
      </c>
      <c r="AA2773">
        <v>0.98845479999999997</v>
      </c>
      <c r="AB2773">
        <v>32</v>
      </c>
      <c r="AC2773">
        <v>127.68510000000001</v>
      </c>
      <c r="AD2773">
        <v>-1.1023388700000001</v>
      </c>
      <c r="AE2773">
        <v>-17.346900000000002</v>
      </c>
      <c r="AF2773">
        <v>19.5681181796309</v>
      </c>
      <c r="AG2773">
        <v>-1.1023388700000001</v>
      </c>
      <c r="AH2773">
        <v>127.354067140851</v>
      </c>
      <c r="AI2773">
        <v>90.490170703101498</v>
      </c>
      <c r="AJ2773">
        <v>81.264744136247202</v>
      </c>
      <c r="AK2773">
        <v>128.85334616296501</v>
      </c>
      <c r="AL2773">
        <v>79.493836669471094</v>
      </c>
      <c r="AM2773">
        <v>83.687304335877897</v>
      </c>
      <c r="AN2773">
        <v>1.0000000352540399</v>
      </c>
    </row>
    <row r="2774" spans="1:40" x14ac:dyDescent="0.25">
      <c r="A2774" t="str">
        <f>"20190303162603131"</f>
        <v>20190303162603131</v>
      </c>
      <c r="B2774" t="str">
        <f>"1551601563116502"</f>
        <v>1551601563116502</v>
      </c>
      <c r="C2774" t="s">
        <v>40</v>
      </c>
      <c r="D2774">
        <v>4.8487669999999996</v>
      </c>
      <c r="E2774">
        <v>0.52025940000000004</v>
      </c>
      <c r="F2774" t="s">
        <v>57</v>
      </c>
      <c r="G2774">
        <v>-168.41399999999999</v>
      </c>
      <c r="H2774">
        <v>0.20642469999999999</v>
      </c>
      <c r="I2774">
        <v>196.16130000000001</v>
      </c>
      <c r="J2774">
        <v>-307.31920000000002</v>
      </c>
      <c r="K2774">
        <v>1.120779</v>
      </c>
      <c r="L2774">
        <v>215.5806</v>
      </c>
      <c r="M2774">
        <v>0.99979819999999997</v>
      </c>
      <c r="N2774">
        <v>-9.6005670000000008E-3</v>
      </c>
      <c r="O2774">
        <v>1.7652500000000002E-2</v>
      </c>
      <c r="P2774">
        <v>0.97992590000000002</v>
      </c>
      <c r="Q2774">
        <v>0.17629700000000001</v>
      </c>
      <c r="R2774">
        <v>-9.3084979999999998E-2</v>
      </c>
      <c r="S2774">
        <v>3.023285</v>
      </c>
      <c r="T2774">
        <v>-1.9854070000000001E-2</v>
      </c>
      <c r="U2774">
        <v>-0.4215546</v>
      </c>
      <c r="V2774">
        <v>0.1102935</v>
      </c>
      <c r="W2774">
        <v>0.18572430000000001</v>
      </c>
      <c r="X2774">
        <v>0.97639229999999999</v>
      </c>
      <c r="Y2774">
        <v>0.15555429999999901</v>
      </c>
      <c r="Z2774">
        <v>-1.205418E-3</v>
      </c>
      <c r="AA2774">
        <v>0.9878266</v>
      </c>
      <c r="AB2774">
        <v>32</v>
      </c>
      <c r="AC2774">
        <v>138.90520000000001</v>
      </c>
      <c r="AD2774">
        <v>-0.91435429999999995</v>
      </c>
      <c r="AE2774">
        <v>-19.4193</v>
      </c>
      <c r="AF2774">
        <v>21.867481274284501</v>
      </c>
      <c r="AG2774">
        <v>-0.91435429999999995</v>
      </c>
      <c r="AH2774">
        <v>138.53485150410901</v>
      </c>
      <c r="AI2774">
        <v>90.373531986567301</v>
      </c>
      <c r="AJ2774">
        <v>81.029973164768805</v>
      </c>
      <c r="AK2774">
        <v>140.25308503677499</v>
      </c>
      <c r="AL2774">
        <v>79.296636929124702</v>
      </c>
      <c r="AM2774">
        <v>83.555174860064199</v>
      </c>
      <c r="AN2774">
        <v>1.00000004762601</v>
      </c>
    </row>
    <row r="2775" spans="1:40" x14ac:dyDescent="0.25">
      <c r="A2775" t="str">
        <f>"20190303162603153"</f>
        <v>20190303162603153</v>
      </c>
      <c r="B2775" t="str">
        <f>"1551601563146758"</f>
        <v>1551601563146758</v>
      </c>
      <c r="C2775" t="s">
        <v>40</v>
      </c>
      <c r="D2775">
        <v>4.9131939999999998</v>
      </c>
      <c r="E2775">
        <v>0.52120349999999904</v>
      </c>
      <c r="F2775" t="s">
        <v>57</v>
      </c>
      <c r="G2775">
        <v>-168.41419999999999</v>
      </c>
      <c r="H2775">
        <v>0.27951340000000002</v>
      </c>
      <c r="I2775">
        <v>195.5728</v>
      </c>
      <c r="J2775">
        <v>-306.98790000000002</v>
      </c>
      <c r="K2775">
        <v>1.120768</v>
      </c>
      <c r="L2775">
        <v>215.58670000000001</v>
      </c>
      <c r="M2775">
        <v>0.99979530000000005</v>
      </c>
      <c r="N2775">
        <v>-9.4708280000000006E-3</v>
      </c>
      <c r="O2775">
        <v>1.7881999999999999E-2</v>
      </c>
      <c r="P2775">
        <v>0.97930499999999998</v>
      </c>
      <c r="Q2775">
        <v>0.17885580000000001</v>
      </c>
      <c r="R2775">
        <v>-9.4723409999999994E-2</v>
      </c>
      <c r="S2775">
        <v>3.0233759999999998</v>
      </c>
      <c r="T2775">
        <v>-1.8310070000000001E-2</v>
      </c>
      <c r="U2775">
        <v>-0.43548579999999998</v>
      </c>
      <c r="V2775">
        <v>0.1121433</v>
      </c>
      <c r="W2775">
        <v>0.18815119999999999</v>
      </c>
      <c r="X2775">
        <v>0.97571669999999999</v>
      </c>
      <c r="Y2775">
        <v>0.16023799999999999</v>
      </c>
      <c r="Z2775">
        <v>-1.1847660000000001E-3</v>
      </c>
      <c r="AA2775">
        <v>0.98707769999999995</v>
      </c>
      <c r="AB2775">
        <v>32</v>
      </c>
      <c r="AC2775">
        <v>138.5737</v>
      </c>
      <c r="AD2775">
        <v>-0.84125459999999996</v>
      </c>
      <c r="AE2775">
        <v>-20.0139</v>
      </c>
      <c r="AF2775">
        <v>22.487973636722199</v>
      </c>
      <c r="AG2775">
        <v>-0.84125459999999996</v>
      </c>
      <c r="AH2775">
        <v>138.18864723505601</v>
      </c>
      <c r="AI2775">
        <v>90.344268079705401</v>
      </c>
      <c r="AJ2775">
        <v>80.757059096332497</v>
      </c>
      <c r="AK2775">
        <v>140.00899575471101</v>
      </c>
      <c r="AL2775">
        <v>79.155090431140806</v>
      </c>
      <c r="AM2775">
        <v>83.443519748577103</v>
      </c>
      <c r="AN2775">
        <v>1.0000000362276</v>
      </c>
    </row>
    <row r="2776" spans="1:40" x14ac:dyDescent="0.25">
      <c r="A2776" t="str">
        <f>"20190303162603177"</f>
        <v>20190303162603177</v>
      </c>
      <c r="B2776" t="str">
        <f>"1551601563166279"</f>
        <v>1551601563166279</v>
      </c>
      <c r="C2776" t="s">
        <v>40</v>
      </c>
      <c r="D2776">
        <v>4.8591350000000002</v>
      </c>
      <c r="E2776">
        <v>0.52154449999999997</v>
      </c>
      <c r="F2776" t="s">
        <v>57</v>
      </c>
      <c r="G2776">
        <v>-168.4143</v>
      </c>
      <c r="H2776">
        <v>8.3329199999999895E-2</v>
      </c>
      <c r="I2776">
        <v>195.07900000000001</v>
      </c>
      <c r="J2776">
        <v>-306.6653</v>
      </c>
      <c r="K2776">
        <v>1.1207499999999999</v>
      </c>
      <c r="L2776">
        <v>215.59270000000001</v>
      </c>
      <c r="M2776">
        <v>0.99979229999999997</v>
      </c>
      <c r="N2776">
        <v>-9.3551180000000008E-3</v>
      </c>
      <c r="O2776">
        <v>1.8105220000000002E-2</v>
      </c>
      <c r="P2776">
        <v>0.97880940000000005</v>
      </c>
      <c r="Q2776">
        <v>0.1806036</v>
      </c>
      <c r="R2776">
        <v>-9.6512849999999997E-2</v>
      </c>
      <c r="S2776">
        <v>3.0242</v>
      </c>
      <c r="T2776">
        <v>-2.2640110000000001E-2</v>
      </c>
      <c r="U2776">
        <v>-0.44755549999999999</v>
      </c>
      <c r="V2776">
        <v>0.1141403</v>
      </c>
      <c r="W2776">
        <v>0.18978210000000001</v>
      </c>
      <c r="X2776">
        <v>0.97516910000000001</v>
      </c>
      <c r="Y2776">
        <v>0.16427349999999999</v>
      </c>
      <c r="Z2776">
        <v>-1.3505959999999999E-3</v>
      </c>
      <c r="AA2776">
        <v>0.98641389999999995</v>
      </c>
      <c r="AB2776">
        <v>32</v>
      </c>
      <c r="AC2776">
        <v>138.251</v>
      </c>
      <c r="AD2776">
        <v>-1.0374208</v>
      </c>
      <c r="AE2776">
        <v>-20.5137</v>
      </c>
      <c r="AF2776">
        <v>23.0122437349637</v>
      </c>
      <c r="AG2776">
        <v>-1.0374208</v>
      </c>
      <c r="AH2776">
        <v>137.84932071292499</v>
      </c>
      <c r="AI2776">
        <v>90.425300864037396</v>
      </c>
      <c r="AJ2776">
        <v>80.522571040353299</v>
      </c>
      <c r="AK2776">
        <v>139.76077713238601</v>
      </c>
      <c r="AL2776">
        <v>79.059932069510694</v>
      </c>
      <c r="AM2776">
        <v>83.324095435889504</v>
      </c>
      <c r="AN2776">
        <v>1.0000000135796501</v>
      </c>
    </row>
    <row r="2777" spans="1:40" x14ac:dyDescent="0.25">
      <c r="A2777" t="str">
        <f>"20190303162603199"</f>
        <v>20190303162603199</v>
      </c>
      <c r="B2777" t="str">
        <f>"1551601563185799"</f>
        <v>1551601563185799</v>
      </c>
      <c r="C2777" t="s">
        <v>40</v>
      </c>
      <c r="D2777">
        <v>4.912337</v>
      </c>
      <c r="E2777">
        <v>0.52177750000000001</v>
      </c>
      <c r="F2777" t="s">
        <v>57</v>
      </c>
      <c r="G2777">
        <v>-168.4144</v>
      </c>
      <c r="H2777">
        <v>3.1640050000000003E-2</v>
      </c>
      <c r="I2777">
        <v>194.761</v>
      </c>
      <c r="J2777">
        <v>-306.34960000000001</v>
      </c>
      <c r="K2777">
        <v>1.1207400000000001</v>
      </c>
      <c r="L2777">
        <v>215.5986</v>
      </c>
      <c r="M2777">
        <v>0.99978929999999999</v>
      </c>
      <c r="N2777">
        <v>-9.2526689999999998E-3</v>
      </c>
      <c r="O2777">
        <v>1.8323659999999999E-2</v>
      </c>
      <c r="P2777">
        <v>0.97853210000000002</v>
      </c>
      <c r="Q2777">
        <v>0.1812839</v>
      </c>
      <c r="R2777">
        <v>-9.8036680000000001E-2</v>
      </c>
      <c r="S2777">
        <v>3.0244140000000002</v>
      </c>
      <c r="T2777">
        <v>-2.3824930000000001E-2</v>
      </c>
      <c r="U2777">
        <v>-0.45571899999999999</v>
      </c>
      <c r="V2777">
        <v>0.11587169999999899</v>
      </c>
      <c r="W2777">
        <v>0.19036020000000001</v>
      </c>
      <c r="X2777">
        <v>0.9748521</v>
      </c>
      <c r="Y2777">
        <v>0.1670818</v>
      </c>
      <c r="Z2777">
        <v>-1.406783E-3</v>
      </c>
      <c r="AA2777">
        <v>0.98594199999999999</v>
      </c>
      <c r="AB2777">
        <v>32</v>
      </c>
      <c r="AC2777">
        <v>137.93520000000001</v>
      </c>
      <c r="AD2777">
        <v>-1.08909995</v>
      </c>
      <c r="AE2777">
        <v>-20.837599999999998</v>
      </c>
      <c r="AF2777">
        <v>23.360263269153499</v>
      </c>
      <c r="AG2777">
        <v>-1.08909995</v>
      </c>
      <c r="AH2777">
        <v>137.52182013145099</v>
      </c>
      <c r="AI2777">
        <v>90.447335095567993</v>
      </c>
      <c r="AJ2777">
        <v>80.359424214094503</v>
      </c>
      <c r="AK2777">
        <v>139.496018047012</v>
      </c>
      <c r="AL2777">
        <v>79.026193497756097</v>
      </c>
      <c r="AM2777">
        <v>83.221580048149903</v>
      </c>
      <c r="AN2777">
        <v>0.99999993673966703</v>
      </c>
    </row>
    <row r="2778" spans="1:40" x14ac:dyDescent="0.25">
      <c r="A2778" t="str">
        <f>"20190303162603222"</f>
        <v>20190303162603222</v>
      </c>
      <c r="B2778" t="str">
        <f>"1551601563216054"</f>
        <v>1551601563216054</v>
      </c>
      <c r="C2778" t="s">
        <v>40</v>
      </c>
      <c r="D2778">
        <v>4.9310140000000002</v>
      </c>
      <c r="E2778">
        <v>0.52219629999999995</v>
      </c>
      <c r="F2778" t="s">
        <v>41</v>
      </c>
      <c r="G2778">
        <v>-184.30289999999999</v>
      </c>
      <c r="H2778" s="1">
        <v>-4.1484160000000004E-6</v>
      </c>
      <c r="I2778">
        <v>196.94720000000001</v>
      </c>
      <c r="J2778">
        <v>-306.01299999999998</v>
      </c>
      <c r="K2778">
        <v>1.120725</v>
      </c>
      <c r="L2778">
        <v>215.60499999999999</v>
      </c>
      <c r="M2778">
        <v>0.99978610000000001</v>
      </c>
      <c r="N2778">
        <v>-9.1562589999999999E-3</v>
      </c>
      <c r="O2778">
        <v>1.855561E-2</v>
      </c>
      <c r="P2778">
        <v>0.97827790000000003</v>
      </c>
      <c r="Q2778">
        <v>0.18232119999999999</v>
      </c>
      <c r="R2778">
        <v>-9.8649550000000003E-2</v>
      </c>
      <c r="S2778">
        <v>3.0246580000000001</v>
      </c>
      <c r="T2778">
        <v>-2.7775169999999998E-2</v>
      </c>
      <c r="U2778">
        <v>-0.46223449999999999</v>
      </c>
      <c r="V2778">
        <v>0.1167053</v>
      </c>
      <c r="W2778">
        <v>0.19130159999999999</v>
      </c>
      <c r="X2778">
        <v>0.9745684</v>
      </c>
      <c r="Y2778">
        <v>0.16937149999999901</v>
      </c>
      <c r="Z2778">
        <v>-1.5536759999999999E-3</v>
      </c>
      <c r="AA2778">
        <v>0.98555110000000001</v>
      </c>
      <c r="AB2778">
        <v>32</v>
      </c>
      <c r="AC2778">
        <v>121.710099999999</v>
      </c>
      <c r="AD2778">
        <v>-1.120729148416</v>
      </c>
      <c r="AE2778">
        <v>-18.657799999999899</v>
      </c>
      <c r="AF2778">
        <v>20.911354417871099</v>
      </c>
      <c r="AG2778">
        <v>-1.120729148416</v>
      </c>
      <c r="AH2778">
        <v>121.332870417465</v>
      </c>
      <c r="AI2778">
        <v>90.521526934222706</v>
      </c>
      <c r="AJ2778">
        <v>80.221310319996505</v>
      </c>
      <c r="AK2778">
        <v>123.12678920996601</v>
      </c>
      <c r="AL2778">
        <v>78.971246142148999</v>
      </c>
      <c r="AM2778">
        <v>83.171305064550793</v>
      </c>
      <c r="AN2778">
        <v>0.99999999774460502</v>
      </c>
    </row>
    <row r="2779" spans="1:40" x14ac:dyDescent="0.25">
      <c r="A2779" t="str">
        <f>"20190303162603246"</f>
        <v>20190303162603246</v>
      </c>
      <c r="B2779" t="str">
        <f>"1551601563236551"</f>
        <v>1551601563236551</v>
      </c>
      <c r="C2779" t="s">
        <v>40</v>
      </c>
      <c r="D2779">
        <v>4.9639939999999996</v>
      </c>
      <c r="E2779">
        <v>0.52202559999999998</v>
      </c>
      <c r="F2779" t="s">
        <v>44</v>
      </c>
      <c r="G2779">
        <v>-203.32939999999999</v>
      </c>
      <c r="H2779">
        <v>-0.05</v>
      </c>
      <c r="I2779">
        <v>199.72300000000001</v>
      </c>
      <c r="J2779">
        <v>-305.666</v>
      </c>
      <c r="K2779">
        <v>1.1207199999999999</v>
      </c>
      <c r="L2779">
        <v>215.61170000000001</v>
      </c>
      <c r="M2779">
        <v>0.99978239999999996</v>
      </c>
      <c r="N2779">
        <v>-9.0690690000000008E-3</v>
      </c>
      <c r="O2779">
        <v>1.879513E-2</v>
      </c>
      <c r="P2779">
        <v>0.97831210000000002</v>
      </c>
      <c r="Q2779">
        <v>0.18252789999999999</v>
      </c>
      <c r="R2779">
        <v>-9.792592E-2</v>
      </c>
      <c r="S2779">
        <v>3.0258180000000001</v>
      </c>
      <c r="T2779">
        <v>-3.4498210000000001E-2</v>
      </c>
      <c r="U2779">
        <v>-0.46800229999999998</v>
      </c>
      <c r="V2779">
        <v>0.116215899999999</v>
      </c>
      <c r="W2779">
        <v>0.1914237</v>
      </c>
      <c r="X2779">
        <v>0.97460290000000005</v>
      </c>
      <c r="Y2779">
        <v>0.17138049999999999</v>
      </c>
      <c r="Z2779">
        <v>-1.7966460000000001E-3</v>
      </c>
      <c r="AA2779">
        <v>0.9852033</v>
      </c>
      <c r="AB2779">
        <v>32</v>
      </c>
      <c r="AC2779">
        <v>102.3366</v>
      </c>
      <c r="AD2779">
        <v>-1.17072</v>
      </c>
      <c r="AE2779">
        <v>-15.8887</v>
      </c>
      <c r="AF2779">
        <v>17.8071260055127</v>
      </c>
      <c r="AG2779">
        <v>-1.17072</v>
      </c>
      <c r="AH2779">
        <v>102.00684342431001</v>
      </c>
      <c r="AI2779">
        <v>90.647752868742501</v>
      </c>
      <c r="AJ2779">
        <v>80.097775059700098</v>
      </c>
      <c r="AK2779">
        <v>103.556073830975</v>
      </c>
      <c r="AL2779">
        <v>78.964118525497298</v>
      </c>
      <c r="AM2779">
        <v>83.199910726061304</v>
      </c>
      <c r="AN2779">
        <v>0.99999999051145505</v>
      </c>
    </row>
    <row r="2780" spans="1:40" x14ac:dyDescent="0.25">
      <c r="A2780" t="str">
        <f>"20190303162603266"</f>
        <v>20190303162603266</v>
      </c>
      <c r="B2780" t="str">
        <f>"1551601563256071"</f>
        <v>1551601563256071</v>
      </c>
      <c r="C2780" t="s">
        <v>40</v>
      </c>
      <c r="D2780">
        <v>4.9101749999999997</v>
      </c>
      <c r="E2780">
        <v>0.50534089999999998</v>
      </c>
      <c r="F2780" t="s">
        <v>44</v>
      </c>
      <c r="G2780">
        <v>-215.53960000000001</v>
      </c>
      <c r="H2780">
        <v>-0.05</v>
      </c>
      <c r="I2780">
        <v>201.76</v>
      </c>
      <c r="J2780">
        <v>-305.37180000000001</v>
      </c>
      <c r="K2780">
        <v>1.120714</v>
      </c>
      <c r="L2780">
        <v>215.6174</v>
      </c>
      <c r="M2780">
        <v>0.99977899999999997</v>
      </c>
      <c r="N2780">
        <v>-9.0041640000000003E-3</v>
      </c>
      <c r="O2780">
        <v>1.8998020000000001E-2</v>
      </c>
      <c r="P2780">
        <v>0.97845700000000002</v>
      </c>
      <c r="Q2780">
        <v>0.18204909999999999</v>
      </c>
      <c r="R2780">
        <v>-9.7367510000000004E-2</v>
      </c>
      <c r="S2780">
        <v>3.0273129999999999</v>
      </c>
      <c r="T2780">
        <v>-3.9324049999999999E-2</v>
      </c>
      <c r="U2780">
        <v>-0.46527099999999999</v>
      </c>
      <c r="V2780">
        <v>0.1158583</v>
      </c>
      <c r="W2780">
        <v>0.19088269999999999</v>
      </c>
      <c r="X2780">
        <v>0.97475160000000005</v>
      </c>
      <c r="Y2780">
        <v>0.17063420000000001</v>
      </c>
      <c r="Z2780">
        <v>-1.949894E-3</v>
      </c>
      <c r="AA2780">
        <v>0.98533249999999994</v>
      </c>
      <c r="AB2780">
        <v>32</v>
      </c>
      <c r="AC2780">
        <v>89.8322</v>
      </c>
      <c r="AD2780">
        <v>-1.170714</v>
      </c>
      <c r="AE2780">
        <v>-13.8574</v>
      </c>
      <c r="AF2780">
        <v>15.5590208000036</v>
      </c>
      <c r="AG2780">
        <v>-1.170714</v>
      </c>
      <c r="AH2780">
        <v>89.537858488759596</v>
      </c>
      <c r="AI2780">
        <v>90.738044868941003</v>
      </c>
      <c r="AJ2780">
        <v>80.142131574236402</v>
      </c>
      <c r="AK2780">
        <v>90.8871927296574</v>
      </c>
      <c r="AL2780">
        <v>78.9956981460995</v>
      </c>
      <c r="AM2780">
        <v>83.221664351854699</v>
      </c>
      <c r="AN2780">
        <v>1.0000000162703699</v>
      </c>
    </row>
    <row r="2781" spans="1:40" x14ac:dyDescent="0.25">
      <c r="A2781" t="str">
        <f>"20190303162603289"</f>
        <v>20190303162603289</v>
      </c>
      <c r="B2781" t="str">
        <f>"1551601563275591"</f>
        <v>1551601563275591</v>
      </c>
      <c r="C2781" t="s">
        <v>40</v>
      </c>
      <c r="D2781">
        <v>4.8507350000000002</v>
      </c>
      <c r="E2781">
        <v>0.50164940000000002</v>
      </c>
      <c r="F2781" t="s">
        <v>48</v>
      </c>
      <c r="G2781">
        <v>-277.04410000000001</v>
      </c>
      <c r="H2781" s="1">
        <v>2.3020740000000001E-6</v>
      </c>
      <c r="I2781">
        <v>212.54910000000001</v>
      </c>
      <c r="J2781">
        <v>-305.03840000000002</v>
      </c>
      <c r="K2781">
        <v>1.1207119999999999</v>
      </c>
      <c r="L2781">
        <v>215.624</v>
      </c>
      <c r="M2781">
        <v>0.99977530000000003</v>
      </c>
      <c r="N2781">
        <v>-8.9401700000000008E-3</v>
      </c>
      <c r="O2781">
        <v>1.92255E-2</v>
      </c>
      <c r="P2781">
        <v>0.97858149999999999</v>
      </c>
      <c r="Q2781">
        <v>0.18192759999999999</v>
      </c>
      <c r="R2781">
        <v>-9.6338140000000003E-2</v>
      </c>
      <c r="S2781">
        <v>3.0556030000000001</v>
      </c>
      <c r="T2781">
        <v>-0.1208867</v>
      </c>
      <c r="U2781">
        <v>-0.33096310000000001</v>
      </c>
      <c r="V2781">
        <v>0.1150538</v>
      </c>
      <c r="W2781">
        <v>0.1906997</v>
      </c>
      <c r="X2781">
        <v>0.97488269999999999</v>
      </c>
      <c r="Y2781">
        <v>0.12664900000000001</v>
      </c>
      <c r="Z2781">
        <v>-3.6520139999999999E-3</v>
      </c>
      <c r="AA2781">
        <v>0.99194090000000001</v>
      </c>
      <c r="AB2781">
        <v>32</v>
      </c>
      <c r="AC2781">
        <v>27.994299999999999</v>
      </c>
      <c r="AD2781">
        <v>-1.1207096979260001</v>
      </c>
      <c r="AE2781">
        <v>-3.0749000000000102</v>
      </c>
      <c r="AF2781">
        <v>3.6068457900437401</v>
      </c>
      <c r="AG2781">
        <v>-1.1207096979260001</v>
      </c>
      <c r="AH2781">
        <v>27.885847302598801</v>
      </c>
      <c r="AI2781">
        <v>92.282439915900696</v>
      </c>
      <c r="AJ2781">
        <v>82.630095280061099</v>
      </c>
      <c r="AK2781">
        <v>28.140465642274599</v>
      </c>
      <c r="AL2781">
        <v>79.006379475612505</v>
      </c>
      <c r="AM2781">
        <v>83.269195459587195</v>
      </c>
      <c r="AN2781">
        <v>1.0000000156169</v>
      </c>
    </row>
    <row r="2782" spans="1:40" x14ac:dyDescent="0.25">
      <c r="A2782" t="str">
        <f>"20190303162603309"</f>
        <v>20190303162603309</v>
      </c>
      <c r="B2782" t="str">
        <f>"1551601563296087"</f>
        <v>1551601563296087</v>
      </c>
      <c r="C2782" t="s">
        <v>40</v>
      </c>
      <c r="D2782">
        <v>4.8327280000000004</v>
      </c>
      <c r="E2782">
        <v>0.50142659999999994</v>
      </c>
      <c r="F2782" t="s">
        <v>48</v>
      </c>
      <c r="G2782">
        <v>-269.21260000000001</v>
      </c>
      <c r="H2782" s="1">
        <v>3.4745660000000001E-6</v>
      </c>
      <c r="I2782">
        <v>212.12610000000001</v>
      </c>
      <c r="J2782">
        <v>-304.74509999999998</v>
      </c>
      <c r="K2782">
        <v>1.1207069999999999</v>
      </c>
      <c r="L2782">
        <v>215.62979999999999</v>
      </c>
      <c r="M2782">
        <v>0.99977190000000005</v>
      </c>
      <c r="N2782">
        <v>-8.8915560000000001E-3</v>
      </c>
      <c r="O2782">
        <v>1.942089E-2</v>
      </c>
      <c r="P2782">
        <v>0.97866030000000004</v>
      </c>
      <c r="Q2782">
        <v>0.18235870000000001</v>
      </c>
      <c r="R2782">
        <v>-9.470721E-2</v>
      </c>
      <c r="S2782">
        <v>3.0540769999999999</v>
      </c>
      <c r="T2782">
        <v>-9.553826E-2</v>
      </c>
      <c r="U2782">
        <v>-0.29818729999999999</v>
      </c>
      <c r="V2782">
        <v>0.1136162</v>
      </c>
      <c r="W2782">
        <v>0.191083</v>
      </c>
      <c r="X2782">
        <v>0.97497619999999896</v>
      </c>
      <c r="Y2782">
        <v>0.11640780000000001</v>
      </c>
      <c r="Z2782">
        <v>-2.7687499999999999E-3</v>
      </c>
      <c r="AA2782">
        <v>0.99319760000000001</v>
      </c>
      <c r="AB2782">
        <v>32</v>
      </c>
      <c r="AC2782">
        <v>35.532499999999899</v>
      </c>
      <c r="AD2782">
        <v>-1.1207035254340001</v>
      </c>
      <c r="AE2782">
        <v>-3.5036999999999798</v>
      </c>
      <c r="AF2782">
        <v>4.1890121181409103</v>
      </c>
      <c r="AG2782">
        <v>-1.1207035254340001</v>
      </c>
      <c r="AH2782">
        <v>35.422851409106897</v>
      </c>
      <c r="AI2782">
        <v>91.799580537889497</v>
      </c>
      <c r="AJ2782">
        <v>83.255676565029503</v>
      </c>
      <c r="AK2782">
        <v>35.687283461613099</v>
      </c>
      <c r="AL2782">
        <v>78.984006107921999</v>
      </c>
      <c r="AM2782">
        <v>83.353171437768793</v>
      </c>
      <c r="AN2782">
        <v>0.99999997217893899</v>
      </c>
    </row>
    <row r="2783" spans="1:40" x14ac:dyDescent="0.25">
      <c r="A2783" t="str">
        <f>"20190303162603333"</f>
        <v>20190303162603333</v>
      </c>
      <c r="B2783" t="str">
        <f>"1551601563326342"</f>
        <v>1551601563326342</v>
      </c>
      <c r="C2783" t="s">
        <v>40</v>
      </c>
      <c r="D2783">
        <v>5.0710220000000001</v>
      </c>
      <c r="E2783">
        <v>0.4984846</v>
      </c>
      <c r="F2783" t="s">
        <v>48</v>
      </c>
      <c r="G2783">
        <v>-263.3</v>
      </c>
      <c r="H2783" s="1">
        <v>3.48298799999999E-7</v>
      </c>
      <c r="I2783">
        <v>211.66540000000001</v>
      </c>
      <c r="J2783">
        <v>-304.41210000000001</v>
      </c>
      <c r="K2783">
        <v>1.1207</v>
      </c>
      <c r="L2783">
        <v>215.63650000000001</v>
      </c>
      <c r="M2783">
        <v>0.99976810000000005</v>
      </c>
      <c r="N2783">
        <v>-8.8439409999999993E-3</v>
      </c>
      <c r="O2783">
        <v>1.9632690000000001E-2</v>
      </c>
      <c r="P2783">
        <v>0.97873239999999995</v>
      </c>
      <c r="Q2783">
        <v>0.18265229999999999</v>
      </c>
      <c r="R2783">
        <v>-9.3385650000000001E-2</v>
      </c>
      <c r="S2783">
        <v>3.0525509999999998</v>
      </c>
      <c r="T2783">
        <v>-8.2543370000000005E-2</v>
      </c>
      <c r="U2783">
        <v>-0.29199219999999998</v>
      </c>
      <c r="V2783">
        <v>0.11250590000000001</v>
      </c>
      <c r="W2783">
        <v>0.19132869999999999</v>
      </c>
      <c r="X2783">
        <v>0.97505679999999995</v>
      </c>
      <c r="Y2783">
        <v>0.1146879</v>
      </c>
      <c r="Z2783">
        <v>-2.411739E-3</v>
      </c>
      <c r="AA2783">
        <v>0.99339869999999997</v>
      </c>
      <c r="AB2783">
        <v>32</v>
      </c>
      <c r="AC2783">
        <v>41.112099999999998</v>
      </c>
      <c r="AD2783">
        <v>-1.1206996517012</v>
      </c>
      <c r="AE2783">
        <v>-3.9710999999999999</v>
      </c>
      <c r="AF2783">
        <v>4.7739925729037997</v>
      </c>
      <c r="AG2783">
        <v>-1.1206996517012</v>
      </c>
      <c r="AH2783">
        <v>40.9960270317724</v>
      </c>
      <c r="AI2783">
        <v>91.555387235108</v>
      </c>
      <c r="AJ2783">
        <v>83.357815439486799</v>
      </c>
      <c r="AK2783">
        <v>41.288269583324499</v>
      </c>
      <c r="AL2783">
        <v>78.969664299388199</v>
      </c>
      <c r="AM2783">
        <v>83.418093260990702</v>
      </c>
      <c r="AN2783">
        <v>1.0000000061023699</v>
      </c>
    </row>
    <row r="2784" spans="1:40" x14ac:dyDescent="0.25">
      <c r="A2784" t="str">
        <f>"20190303162603354"</f>
        <v>20190303162603354</v>
      </c>
      <c r="B2784" t="str">
        <f>"1551601563345863"</f>
        <v>1551601563345863</v>
      </c>
      <c r="C2784" t="s">
        <v>40</v>
      </c>
      <c r="D2784">
        <v>5.0717910000000002</v>
      </c>
      <c r="E2784">
        <v>0.49670360000000002</v>
      </c>
      <c r="F2784" t="s">
        <v>48</v>
      </c>
      <c r="G2784">
        <v>-262.74079999999998</v>
      </c>
      <c r="H2784" s="1">
        <v>3.4628510000000001E-8</v>
      </c>
      <c r="I2784">
        <v>212.03319999999999</v>
      </c>
      <c r="J2784">
        <v>-304.08920000000001</v>
      </c>
      <c r="K2784">
        <v>1.1206910000000001</v>
      </c>
      <c r="L2784">
        <v>215.643</v>
      </c>
      <c r="M2784">
        <v>0.99976469999999995</v>
      </c>
      <c r="N2784">
        <v>-8.8048350000000004E-3</v>
      </c>
      <c r="O2784">
        <v>1.982488E-2</v>
      </c>
      <c r="P2784">
        <v>0.97870840000000003</v>
      </c>
      <c r="Q2784">
        <v>0.18328059999999999</v>
      </c>
      <c r="R2784">
        <v>-9.2403360000000004E-2</v>
      </c>
      <c r="S2784">
        <v>3.0552980000000001</v>
      </c>
      <c r="T2784">
        <v>-8.2168459999999999E-2</v>
      </c>
      <c r="U2784">
        <v>-0.2641907</v>
      </c>
      <c r="V2784">
        <v>0.1117146</v>
      </c>
      <c r="W2784">
        <v>0.19191649999999999</v>
      </c>
      <c r="X2784">
        <v>0.97503229999999996</v>
      </c>
      <c r="Y2784">
        <v>0.10582950000000001</v>
      </c>
      <c r="Z2784">
        <v>-2.245047E-3</v>
      </c>
      <c r="AA2784">
        <v>0.99438170000000004</v>
      </c>
      <c r="AB2784">
        <v>32</v>
      </c>
      <c r="AC2784">
        <v>41.348399999999998</v>
      </c>
      <c r="AD2784">
        <v>-1.1206909653714801</v>
      </c>
      <c r="AE2784">
        <v>-3.6097999999999999</v>
      </c>
      <c r="AF2784">
        <v>4.4256228482757898</v>
      </c>
      <c r="AG2784">
        <v>-1.1206909653714801</v>
      </c>
      <c r="AH2784">
        <v>41.238641451937603</v>
      </c>
      <c r="AI2784">
        <v>91.547789496463494</v>
      </c>
      <c r="AJ2784">
        <v>83.874610827056799</v>
      </c>
      <c r="AK2784">
        <v>41.490572840544303</v>
      </c>
      <c r="AL2784">
        <v>78.935350334478798</v>
      </c>
      <c r="AM2784">
        <v>83.463821723298693</v>
      </c>
      <c r="AN2784">
        <v>1.0000000404343401</v>
      </c>
    </row>
    <row r="2785" spans="1:40" x14ac:dyDescent="0.25">
      <c r="A2785" t="str">
        <f>"20190303162603376"</f>
        <v>20190303162603376</v>
      </c>
      <c r="B2785" t="str">
        <f>"1551601563366358"</f>
        <v>1551601563366358</v>
      </c>
      <c r="C2785" t="s">
        <v>40</v>
      </c>
      <c r="D2785">
        <v>5.0100230000000003</v>
      </c>
      <c r="E2785">
        <v>0.49582510000000002</v>
      </c>
      <c r="F2785" t="s">
        <v>48</v>
      </c>
      <c r="G2785">
        <v>-260.18099999999998</v>
      </c>
      <c r="H2785" s="1">
        <v>-1.3303650000000001E-6</v>
      </c>
      <c r="I2785">
        <v>212.0977</v>
      </c>
      <c r="J2785">
        <v>-303.77159999999998</v>
      </c>
      <c r="K2785">
        <v>1.120676</v>
      </c>
      <c r="L2785">
        <v>215.64949999999999</v>
      </c>
      <c r="M2785">
        <v>0.99976149999999997</v>
      </c>
      <c r="N2785">
        <v>-8.7725169999999901E-3</v>
      </c>
      <c r="O2785">
        <v>2.0001640000000001E-2</v>
      </c>
      <c r="P2785">
        <v>0.97852490000000003</v>
      </c>
      <c r="Q2785">
        <v>0.1840579</v>
      </c>
      <c r="R2785">
        <v>-9.2800750000000001E-2</v>
      </c>
      <c r="S2785">
        <v>3.0565190000000002</v>
      </c>
      <c r="T2785">
        <v>-7.8013180000000001E-2</v>
      </c>
      <c r="U2785">
        <v>-0.24679570000000001</v>
      </c>
      <c r="V2785">
        <v>0.1122853</v>
      </c>
      <c r="W2785">
        <v>0.1926573</v>
      </c>
      <c r="X2785">
        <v>0.97482060000000004</v>
      </c>
      <c r="Y2785">
        <v>0.100357</v>
      </c>
      <c r="Z2785">
        <v>-2.0539970000000001E-3</v>
      </c>
      <c r="AA2785">
        <v>0.99494930000000004</v>
      </c>
      <c r="AB2785">
        <v>33</v>
      </c>
      <c r="AC2785">
        <v>43.590600000000002</v>
      </c>
      <c r="AD2785">
        <v>-1.1206773303649999</v>
      </c>
      <c r="AE2785">
        <v>-3.5517999999999801</v>
      </c>
      <c r="AF2785">
        <v>4.4201041567372696</v>
      </c>
      <c r="AG2785">
        <v>-1.1206773303649999</v>
      </c>
      <c r="AH2785">
        <v>43.482283831844697</v>
      </c>
      <c r="AI2785">
        <v>91.468802428854701</v>
      </c>
      <c r="AJ2785">
        <v>84.195650665191394</v>
      </c>
      <c r="AK2785">
        <v>43.720730159368401</v>
      </c>
      <c r="AL2785">
        <v>78.892098179806894</v>
      </c>
      <c r="AM2785">
        <v>83.429308275014805</v>
      </c>
      <c r="AN2785">
        <v>1.00000001301187</v>
      </c>
    </row>
    <row r="2786" spans="1:40" x14ac:dyDescent="0.25">
      <c r="A2786" t="str">
        <f>"20190303162603401"</f>
        <v>20190303162603401</v>
      </c>
      <c r="B2786" t="str">
        <f>"1551601563385879"</f>
        <v>1551601563385879</v>
      </c>
      <c r="C2786" t="s">
        <v>40</v>
      </c>
      <c r="D2786">
        <v>4.7592569999999998</v>
      </c>
      <c r="E2786">
        <v>0.49534420000000001</v>
      </c>
      <c r="F2786" t="s">
        <v>48</v>
      </c>
      <c r="G2786">
        <v>-256.73570000000001</v>
      </c>
      <c r="H2786" s="1">
        <v>2.1640770000000002E-6</v>
      </c>
      <c r="I2786">
        <v>211.9522</v>
      </c>
      <c r="J2786">
        <v>-303.42469999999997</v>
      </c>
      <c r="K2786">
        <v>1.120668</v>
      </c>
      <c r="L2786">
        <v>215.6566</v>
      </c>
      <c r="M2786">
        <v>0.99975809999999998</v>
      </c>
      <c r="N2786">
        <v>-8.743186E-3</v>
      </c>
      <c r="O2786">
        <v>2.018257E-2</v>
      </c>
      <c r="P2786">
        <v>0.97853699999999999</v>
      </c>
      <c r="Q2786">
        <v>0.18358849999999999</v>
      </c>
      <c r="R2786">
        <v>-9.3598760000000003E-2</v>
      </c>
      <c r="S2786">
        <v>3.0567630000000001</v>
      </c>
      <c r="T2786">
        <v>-7.2830199999999998E-2</v>
      </c>
      <c r="U2786">
        <v>-0.2402802</v>
      </c>
      <c r="V2786">
        <v>0.1132645</v>
      </c>
      <c r="W2786">
        <v>0.19215750000000001</v>
      </c>
      <c r="X2786">
        <v>0.97480599999999995</v>
      </c>
      <c r="Y2786">
        <v>9.8429370000000002E-2</v>
      </c>
      <c r="Z2786">
        <v>-1.9056419999999999E-3</v>
      </c>
      <c r="AA2786">
        <v>0.99514219999999998</v>
      </c>
      <c r="AB2786">
        <v>33</v>
      </c>
      <c r="AC2786">
        <v>46.688999999999901</v>
      </c>
      <c r="AD2786">
        <v>-1.120665835923</v>
      </c>
      <c r="AE2786">
        <v>-3.7043999999999899</v>
      </c>
      <c r="AF2786">
        <v>4.6433269679728602</v>
      </c>
      <c r="AG2786">
        <v>-1.120665835923</v>
      </c>
      <c r="AH2786">
        <v>46.578054775357899</v>
      </c>
      <c r="AI2786">
        <v>91.371472551192397</v>
      </c>
      <c r="AJ2786">
        <v>84.307041117689707</v>
      </c>
      <c r="AK2786">
        <v>46.822340435987897</v>
      </c>
      <c r="AL2786">
        <v>78.921280221783405</v>
      </c>
      <c r="AM2786">
        <v>83.372416818927704</v>
      </c>
      <c r="AN2786">
        <v>1.00000004470124</v>
      </c>
    </row>
    <row r="2787" spans="1:40" x14ac:dyDescent="0.25">
      <c r="A2787" t="str">
        <f>"20190303162603426"</f>
        <v>20190303162603426</v>
      </c>
      <c r="B2787" t="str">
        <f>"1551601563416135"</f>
        <v>1551601563416135</v>
      </c>
      <c r="C2787" t="s">
        <v>40</v>
      </c>
      <c r="D2787">
        <v>4.7708519999999996</v>
      </c>
      <c r="E2787">
        <v>0.49489129999999998</v>
      </c>
      <c r="F2787" t="s">
        <v>48</v>
      </c>
      <c r="G2787">
        <v>-259.98680000000002</v>
      </c>
      <c r="H2787" s="1">
        <v>-1.4412920000000001E-6</v>
      </c>
      <c r="I2787">
        <v>212.2714</v>
      </c>
      <c r="J2787">
        <v>-303.048</v>
      </c>
      <c r="K2787">
        <v>1.120654</v>
      </c>
      <c r="L2787">
        <v>215.6644</v>
      </c>
      <c r="M2787">
        <v>0.9997547</v>
      </c>
      <c r="N2787">
        <v>-8.7175480000000003E-3</v>
      </c>
      <c r="O2787">
        <v>2.036582E-2</v>
      </c>
      <c r="P2787">
        <v>0.97864620000000002</v>
      </c>
      <c r="Q2787">
        <v>0.1829112</v>
      </c>
      <c r="R2787">
        <v>-9.3783019999999995E-2</v>
      </c>
      <c r="S2787">
        <v>3.0577700000000001</v>
      </c>
      <c r="T2787">
        <v>-7.8888420000000001E-2</v>
      </c>
      <c r="U2787">
        <v>-0.23829649999999999</v>
      </c>
      <c r="V2787">
        <v>0.11363379999999999</v>
      </c>
      <c r="W2787">
        <v>0.1914537</v>
      </c>
      <c r="X2787">
        <v>0.97490140000000003</v>
      </c>
      <c r="Y2787">
        <v>9.7938430000000007E-2</v>
      </c>
      <c r="Z2787">
        <v>-2.0362819999999999E-3</v>
      </c>
      <c r="AA2787">
        <v>0.99519040000000003</v>
      </c>
      <c r="AB2787">
        <v>33</v>
      </c>
      <c r="AC2787">
        <v>43.0611999999999</v>
      </c>
      <c r="AD2787">
        <v>-1.120655441292</v>
      </c>
      <c r="AE2787">
        <v>-3.3929999999999998</v>
      </c>
      <c r="AF2787">
        <v>4.2664343322982203</v>
      </c>
      <c r="AG2787">
        <v>-1.120655441292</v>
      </c>
      <c r="AH2787">
        <v>42.954251582569299</v>
      </c>
      <c r="AI2787">
        <v>91.487165403190303</v>
      </c>
      <c r="AJ2787">
        <v>84.327696799214394</v>
      </c>
      <c r="AK2787">
        <v>43.180158169564102</v>
      </c>
      <c r="AL2787">
        <v>78.962366805983393</v>
      </c>
      <c r="AM2787">
        <v>83.351645514570606</v>
      </c>
      <c r="AN2787">
        <v>0.99999994973404305</v>
      </c>
    </row>
    <row r="2788" spans="1:40" x14ac:dyDescent="0.25">
      <c r="A2788" t="str">
        <f>"20190303162603447"</f>
        <v>20190303162603447</v>
      </c>
      <c r="B2788" t="str">
        <f>"1551601563435655"</f>
        <v>1551601563435655</v>
      </c>
      <c r="C2788" t="s">
        <v>40</v>
      </c>
      <c r="D2788">
        <v>4.6122439999999996</v>
      </c>
      <c r="E2788">
        <v>0.49452550000000001</v>
      </c>
      <c r="F2788" t="s">
        <v>48</v>
      </c>
      <c r="G2788">
        <v>-265.5634</v>
      </c>
      <c r="H2788" s="1">
        <v>1.5040079999999999E-6</v>
      </c>
      <c r="I2788">
        <v>212.78020000000001</v>
      </c>
      <c r="J2788">
        <v>-302.74930000000001</v>
      </c>
      <c r="K2788">
        <v>1.120649</v>
      </c>
      <c r="L2788">
        <v>215.67060000000001</v>
      </c>
      <c r="M2788">
        <v>0.99975190000000003</v>
      </c>
      <c r="N2788">
        <v>-8.7008459999999999E-3</v>
      </c>
      <c r="O2788">
        <v>2.050455E-2</v>
      </c>
      <c r="P2788">
        <v>0.97859689999999999</v>
      </c>
      <c r="Q2788">
        <v>0.18270110000000001</v>
      </c>
      <c r="R2788">
        <v>-9.4703330000000002E-2</v>
      </c>
      <c r="S2788">
        <v>3.0599980000000002</v>
      </c>
      <c r="T2788">
        <v>-9.1482640000000004E-2</v>
      </c>
      <c r="U2788">
        <v>-0.23544309999999999</v>
      </c>
      <c r="V2788">
        <v>0.1146903</v>
      </c>
      <c r="W2788">
        <v>0.1912257</v>
      </c>
      <c r="X2788">
        <v>0.97482250000000004</v>
      </c>
      <c r="Y2788">
        <v>9.7083939999999994E-2</v>
      </c>
      <c r="Z2788">
        <v>-2.3058359999999999E-3</v>
      </c>
      <c r="AA2788">
        <v>0.99527350000000003</v>
      </c>
      <c r="AB2788">
        <v>33</v>
      </c>
      <c r="AC2788">
        <v>37.185899999999997</v>
      </c>
      <c r="AD2788">
        <v>-1.1206474959919901</v>
      </c>
      <c r="AE2788">
        <v>-2.8904000000000001</v>
      </c>
      <c r="AF2788">
        <v>3.6490071573938998</v>
      </c>
      <c r="AG2788">
        <v>-1.1206474959919901</v>
      </c>
      <c r="AH2788">
        <v>37.085334205958503</v>
      </c>
      <c r="AI2788">
        <v>91.722528351560598</v>
      </c>
      <c r="AJ2788">
        <v>84.380477073049505</v>
      </c>
      <c r="AK2788">
        <v>37.281270327238303</v>
      </c>
      <c r="AL2788">
        <v>78.975676932510694</v>
      </c>
      <c r="AM2788">
        <v>83.289855934450699</v>
      </c>
      <c r="AN2788">
        <v>1.00000001988041</v>
      </c>
    </row>
    <row r="2789" spans="1:40" x14ac:dyDescent="0.25">
      <c r="A2789" t="str">
        <f>"20190303162603489"</f>
        <v>20190303162603489</v>
      </c>
      <c r="B2789" t="str">
        <f>"1551601563475670"</f>
        <v>1551601563475670</v>
      </c>
      <c r="C2789" t="s">
        <v>40</v>
      </c>
      <c r="D2789">
        <v>4.6145709999999998</v>
      </c>
      <c r="E2789">
        <v>0.49415730000000002</v>
      </c>
      <c r="F2789" t="s">
        <v>48</v>
      </c>
      <c r="G2789">
        <v>-267.52080000000001</v>
      </c>
      <c r="H2789" s="1">
        <v>2.5376979999999998E-6</v>
      </c>
      <c r="I2789">
        <v>212.96199999999999</v>
      </c>
      <c r="J2789">
        <v>-302.13010000000003</v>
      </c>
      <c r="K2789">
        <v>1.120625</v>
      </c>
      <c r="L2789">
        <v>215.68360000000001</v>
      </c>
      <c r="M2789">
        <v>0.99974640000000004</v>
      </c>
      <c r="N2789">
        <v>-8.6754610000000006E-3</v>
      </c>
      <c r="O2789">
        <v>2.07817E-2</v>
      </c>
      <c r="P2789">
        <v>0.97895829999999995</v>
      </c>
      <c r="Q2789">
        <v>0.1798236</v>
      </c>
      <c r="R2789">
        <v>-9.6460030000000002E-2</v>
      </c>
      <c r="S2789">
        <v>3.061035</v>
      </c>
      <c r="T2789">
        <v>-9.7373959999999996E-2</v>
      </c>
      <c r="U2789">
        <v>-0.23535159999999999</v>
      </c>
      <c r="V2789">
        <v>0.1167281</v>
      </c>
      <c r="W2789">
        <v>0.1883254</v>
      </c>
      <c r="X2789">
        <v>0.97514520000000005</v>
      </c>
      <c r="Y2789">
        <v>9.7296900000000006E-2</v>
      </c>
      <c r="Z2789">
        <v>-2.447758E-3</v>
      </c>
      <c r="AA2789">
        <v>0.99525240000000004</v>
      </c>
      <c r="AB2789">
        <v>33</v>
      </c>
      <c r="AC2789">
        <v>34.609299999999998</v>
      </c>
      <c r="AD2789">
        <v>-1.120622462302</v>
      </c>
      <c r="AE2789">
        <v>-2.7215999999999898</v>
      </c>
      <c r="AF2789">
        <v>3.4366984061882402</v>
      </c>
      <c r="AG2789">
        <v>-1.120622462302</v>
      </c>
      <c r="AH2789">
        <v>34.509305814047103</v>
      </c>
      <c r="AI2789">
        <v>91.850766614083398</v>
      </c>
      <c r="AJ2789">
        <v>84.312803531294094</v>
      </c>
      <c r="AK2789">
        <v>34.698110588410103</v>
      </c>
      <c r="AL2789">
        <v>79.1449278022383</v>
      </c>
      <c r="AM2789">
        <v>83.173985421251999</v>
      </c>
      <c r="AN2789">
        <v>1.0000000333489001</v>
      </c>
    </row>
    <row r="2790" spans="1:40" x14ac:dyDescent="0.25">
      <c r="A2790" t="str">
        <f>"20190303162603512"</f>
        <v>20190303162603512</v>
      </c>
      <c r="B2790" t="str">
        <f>"1551601563505927"</f>
        <v>1551601563505927</v>
      </c>
      <c r="C2790" t="s">
        <v>40</v>
      </c>
      <c r="D2790">
        <v>4.7546879999999998</v>
      </c>
      <c r="E2790">
        <v>0.49405769999999999</v>
      </c>
      <c r="F2790" t="s">
        <v>48</v>
      </c>
      <c r="G2790">
        <v>-271.82839999999999</v>
      </c>
      <c r="H2790" s="1">
        <v>-5.0788149999999995E-7</v>
      </c>
      <c r="I2790">
        <v>213.33699999999999</v>
      </c>
      <c r="J2790">
        <v>-301.77620000000002</v>
      </c>
      <c r="K2790">
        <v>1.1206149999999999</v>
      </c>
      <c r="L2790">
        <v>215.69110000000001</v>
      </c>
      <c r="M2790">
        <v>0.9997433</v>
      </c>
      <c r="N2790">
        <v>-8.6657000000000001E-3</v>
      </c>
      <c r="O2790">
        <v>2.093716E-2</v>
      </c>
      <c r="P2790">
        <v>0.97919350000000005</v>
      </c>
      <c r="Q2790">
        <v>0.17874949999999901</v>
      </c>
      <c r="R2790">
        <v>-9.6065940000000002E-2</v>
      </c>
      <c r="S2790">
        <v>3.0619510000000001</v>
      </c>
      <c r="T2790">
        <v>-0.1132377</v>
      </c>
      <c r="U2790">
        <v>-0.23712159999999999</v>
      </c>
      <c r="V2790">
        <v>0.1164926</v>
      </c>
      <c r="W2790">
        <v>0.1872431</v>
      </c>
      <c r="X2790">
        <v>0.97538170000000002</v>
      </c>
      <c r="Y2790">
        <v>9.7978049999999997E-2</v>
      </c>
      <c r="Z2790">
        <v>-2.8256470000000001E-3</v>
      </c>
      <c r="AA2790">
        <v>0.99518450000000003</v>
      </c>
      <c r="AB2790">
        <v>33</v>
      </c>
      <c r="AC2790">
        <v>29.947800000000001</v>
      </c>
      <c r="AD2790">
        <v>-1.1206155078815001</v>
      </c>
      <c r="AE2790">
        <v>-2.3540999999999799</v>
      </c>
      <c r="AF2790">
        <v>2.9764872930196802</v>
      </c>
      <c r="AG2790">
        <v>-1.1206155078815001</v>
      </c>
      <c r="AH2790">
        <v>29.850405519055901</v>
      </c>
      <c r="AI2790">
        <v>92.139334777291495</v>
      </c>
      <c r="AJ2790">
        <v>84.305662161036693</v>
      </c>
      <c r="AK2790">
        <v>30.019359842842999</v>
      </c>
      <c r="AL2790">
        <v>79.208061612005096</v>
      </c>
      <c r="AM2790">
        <v>83.189263687203606</v>
      </c>
      <c r="AN2790">
        <v>0.99999998252362998</v>
      </c>
    </row>
    <row r="2791" spans="1:40" x14ac:dyDescent="0.25">
      <c r="A2791" t="str">
        <f>"20190303162603557"</f>
        <v>20190303162603557</v>
      </c>
      <c r="B2791" t="str">
        <f>"1551601563545943"</f>
        <v>1551601563545943</v>
      </c>
      <c r="C2791" t="s">
        <v>40</v>
      </c>
      <c r="D2791">
        <v>4.7442149999999996</v>
      </c>
      <c r="E2791">
        <v>0.49399310000000002</v>
      </c>
      <c r="F2791" t="s">
        <v>48</v>
      </c>
      <c r="G2791">
        <v>-272.1343</v>
      </c>
      <c r="H2791" s="1">
        <v>-3.483753E-7</v>
      </c>
      <c r="I2791">
        <v>213.4117</v>
      </c>
      <c r="J2791">
        <v>-301.12459999999999</v>
      </c>
      <c r="K2791">
        <v>1.1205989999999999</v>
      </c>
      <c r="L2791">
        <v>215.70509999999999</v>
      </c>
      <c r="M2791">
        <v>0.99973749999999995</v>
      </c>
      <c r="N2791">
        <v>-8.6581829999999999E-3</v>
      </c>
      <c r="O2791">
        <v>2.1219200000000001E-2</v>
      </c>
      <c r="P2791">
        <v>0.97952249999999996</v>
      </c>
      <c r="Q2791">
        <v>0.17772789999999999</v>
      </c>
      <c r="R2791">
        <v>-9.4596910000000006E-2</v>
      </c>
      <c r="S2791">
        <v>3.0617679999999998</v>
      </c>
      <c r="T2791">
        <v>-0.1157502</v>
      </c>
      <c r="U2791">
        <v>-0.23544309999999999</v>
      </c>
      <c r="V2791">
        <v>0.11530839999999901</v>
      </c>
      <c r="W2791">
        <v>0.18621570000000001</v>
      </c>
      <c r="X2791">
        <v>0.975719</v>
      </c>
      <c r="Y2791">
        <v>9.7717319999999996E-2</v>
      </c>
      <c r="Z2791">
        <v>-2.885037E-3</v>
      </c>
      <c r="AA2791">
        <v>0.99521009999999999</v>
      </c>
      <c r="AB2791">
        <v>33</v>
      </c>
      <c r="AC2791">
        <v>28.990299999999898</v>
      </c>
      <c r="AD2791">
        <v>-1.1205993483752901</v>
      </c>
      <c r="AE2791">
        <v>-2.2933999999999899</v>
      </c>
      <c r="AF2791">
        <v>2.9037458807754799</v>
      </c>
      <c r="AG2791">
        <v>-1.1205993483752901</v>
      </c>
      <c r="AH2791">
        <v>28.8922054275566</v>
      </c>
      <c r="AI2791">
        <v>92.210011281326103</v>
      </c>
      <c r="AJ2791">
        <v>84.260888462298496</v>
      </c>
      <c r="AK2791">
        <v>29.0593705628294</v>
      </c>
      <c r="AL2791">
        <v>79.267980746110297</v>
      </c>
      <c r="AM2791">
        <v>83.260166602944693</v>
      </c>
      <c r="AN2791">
        <v>0.99999994049902297</v>
      </c>
    </row>
    <row r="2792" spans="1:40" x14ac:dyDescent="0.25">
      <c r="A2792" t="str">
        <f>"20190303162603579"</f>
        <v>20190303162603579</v>
      </c>
      <c r="B2792" t="str">
        <f>"1551601563566438"</f>
        <v>1551601563566438</v>
      </c>
      <c r="C2792" t="s">
        <v>40</v>
      </c>
      <c r="D2792">
        <v>4.8184849999999999</v>
      </c>
      <c r="E2792">
        <v>0.49401</v>
      </c>
      <c r="F2792" t="s">
        <v>48</v>
      </c>
      <c r="G2792">
        <v>-271.18790000000001</v>
      </c>
      <c r="H2792" s="1">
        <v>-8.5368719999999897E-7</v>
      </c>
      <c r="I2792">
        <v>213.45060000000001</v>
      </c>
      <c r="J2792">
        <v>-300.80090000000001</v>
      </c>
      <c r="K2792">
        <v>1.120595</v>
      </c>
      <c r="L2792">
        <v>215.71209999999999</v>
      </c>
      <c r="M2792">
        <v>0.99973429999999996</v>
      </c>
      <c r="N2792">
        <v>-8.6630809999999996E-3</v>
      </c>
      <c r="O2792">
        <v>2.135457E-2</v>
      </c>
      <c r="P2792">
        <v>0.97982119999999995</v>
      </c>
      <c r="Q2792">
        <v>0.1763005</v>
      </c>
      <c r="R2792">
        <v>-9.4173450000000006E-2</v>
      </c>
      <c r="S2792">
        <v>3.0612180000000002</v>
      </c>
      <c r="T2792">
        <v>-0.1145886</v>
      </c>
      <c r="U2792">
        <v>-0.23052980000000001</v>
      </c>
      <c r="V2792">
        <v>0.11502519999999999</v>
      </c>
      <c r="W2792">
        <v>0.18479509999999999</v>
      </c>
      <c r="X2792">
        <v>0.97602250000000002</v>
      </c>
      <c r="Y2792">
        <v>9.6280409999999997E-2</v>
      </c>
      <c r="Z2792">
        <v>-2.8300420000000001E-3</v>
      </c>
      <c r="AA2792">
        <v>0.99535019999999996</v>
      </c>
      <c r="AB2792">
        <v>33</v>
      </c>
      <c r="AC2792">
        <v>29.613</v>
      </c>
      <c r="AD2792">
        <v>-1.1205958536872</v>
      </c>
      <c r="AE2792">
        <v>-2.2614999999999799</v>
      </c>
      <c r="AF2792">
        <v>2.8892676075711301</v>
      </c>
      <c r="AG2792">
        <v>-1.1205958536872</v>
      </c>
      <c r="AH2792">
        <v>29.515930730396299</v>
      </c>
      <c r="AI2792">
        <v>92.163902931618793</v>
      </c>
      <c r="AJ2792">
        <v>84.409218907351402</v>
      </c>
      <c r="AK2792">
        <v>29.678169910845401</v>
      </c>
      <c r="AL2792">
        <v>79.350813190544201</v>
      </c>
      <c r="AM2792">
        <v>83.278639618991605</v>
      </c>
      <c r="AN2792">
        <v>0.99999997306264898</v>
      </c>
    </row>
    <row r="2793" spans="1:40" x14ac:dyDescent="0.25">
      <c r="A2793" t="str">
        <f>"20190303162603601"</f>
        <v>20190303162603601</v>
      </c>
      <c r="B2793" t="str">
        <f>"1551601563585959"</f>
        <v>1551601563585959</v>
      </c>
      <c r="C2793" t="s">
        <v>40</v>
      </c>
      <c r="D2793">
        <v>4.7190019999999997</v>
      </c>
      <c r="E2793">
        <v>0.49404340000000002</v>
      </c>
      <c r="F2793" t="s">
        <v>48</v>
      </c>
      <c r="G2793">
        <v>-271.53160000000003</v>
      </c>
      <c r="H2793" s="1">
        <v>-6.7367929999999998E-7</v>
      </c>
      <c r="I2793">
        <v>213.51609999999999</v>
      </c>
      <c r="J2793">
        <v>-300.4692</v>
      </c>
      <c r="K2793">
        <v>1.1205849999999999</v>
      </c>
      <c r="L2793">
        <v>215.7193</v>
      </c>
      <c r="M2793">
        <v>0.9997317</v>
      </c>
      <c r="N2793">
        <v>-8.6758709999999999E-3</v>
      </c>
      <c r="O2793">
        <v>2.1481699999999999E-2</v>
      </c>
      <c r="P2793">
        <v>0.98014579999999996</v>
      </c>
      <c r="Q2793">
        <v>0.17497550000000001</v>
      </c>
      <c r="R2793">
        <v>-9.3265630000000002E-2</v>
      </c>
      <c r="S2793">
        <v>3.060791</v>
      </c>
      <c r="T2793">
        <v>-0.11718430000000001</v>
      </c>
      <c r="U2793">
        <v>-0.22964480000000001</v>
      </c>
      <c r="V2793">
        <v>0.1142522</v>
      </c>
      <c r="W2793">
        <v>0.1834827</v>
      </c>
      <c r="X2793">
        <v>0.97636089999999998</v>
      </c>
      <c r="Y2793">
        <v>9.6127309999999994E-2</v>
      </c>
      <c r="Z2793">
        <v>-2.8897369999999999E-3</v>
      </c>
      <c r="AA2793">
        <v>0.99536480000000005</v>
      </c>
      <c r="AB2793">
        <v>33</v>
      </c>
      <c r="AC2793">
        <v>28.9375999999999</v>
      </c>
      <c r="AD2793">
        <v>-1.1205856736792901</v>
      </c>
      <c r="AE2793">
        <v>-2.2031999999999998</v>
      </c>
      <c r="AF2793">
        <v>2.82013912224593</v>
      </c>
      <c r="AG2793">
        <v>-1.1205856736792901</v>
      </c>
      <c r="AH2793">
        <v>28.840592576948001</v>
      </c>
      <c r="AI2793">
        <v>92.2145258805444</v>
      </c>
      <c r="AJ2793">
        <v>84.415163054943704</v>
      </c>
      <c r="AK2793">
        <v>28.999804777108199</v>
      </c>
      <c r="AL2793">
        <v>79.427317047271202</v>
      </c>
      <c r="AM2793">
        <v>83.325692984036195</v>
      </c>
      <c r="AN2793">
        <v>1.0000000367264601</v>
      </c>
    </row>
    <row r="2794" spans="1:40" x14ac:dyDescent="0.25">
      <c r="A2794" t="str">
        <f>"20190303162603624"</f>
        <v>20190303162603624</v>
      </c>
      <c r="B2794" t="str">
        <f>"1551601563616215"</f>
        <v>1551601563616215</v>
      </c>
      <c r="C2794" t="s">
        <v>40</v>
      </c>
      <c r="D2794">
        <v>4.8371570000000004</v>
      </c>
      <c r="E2794">
        <v>0.5102624</v>
      </c>
      <c r="F2794" t="s">
        <v>48</v>
      </c>
      <c r="G2794">
        <v>-271.61840000000001</v>
      </c>
      <c r="H2794" s="1">
        <v>-6.2983989999999999E-7</v>
      </c>
      <c r="I2794">
        <v>213.57040000000001</v>
      </c>
      <c r="J2794">
        <v>-300.12049999999999</v>
      </c>
      <c r="K2794">
        <v>1.1205750000000001</v>
      </c>
      <c r="L2794">
        <v>215.7269</v>
      </c>
      <c r="M2794">
        <v>0.99972890000000003</v>
      </c>
      <c r="N2794">
        <v>-8.6952539999999995E-3</v>
      </c>
      <c r="O2794">
        <v>2.160258E-2</v>
      </c>
      <c r="P2794">
        <v>0.98038729999999996</v>
      </c>
      <c r="Q2794">
        <v>0.17422270000000001</v>
      </c>
      <c r="R2794">
        <v>-9.2125620000000005E-2</v>
      </c>
      <c r="S2794">
        <v>3.0603030000000002</v>
      </c>
      <c r="T2794">
        <v>-0.11886430000000001</v>
      </c>
      <c r="U2794">
        <v>-0.22793579999999999</v>
      </c>
      <c r="V2794">
        <v>0.1132406</v>
      </c>
      <c r="W2794">
        <v>0.1827482</v>
      </c>
      <c r="X2794">
        <v>0.97661640000000005</v>
      </c>
      <c r="Y2794">
        <v>9.5704410000000004E-2</v>
      </c>
      <c r="Z2794">
        <v>-2.9224089999999999E-3</v>
      </c>
      <c r="AA2794">
        <v>0.99540550000000005</v>
      </c>
      <c r="AB2794">
        <v>33</v>
      </c>
      <c r="AC2794">
        <v>28.502099999999899</v>
      </c>
      <c r="AD2794">
        <v>-1.1205756298398999</v>
      </c>
      <c r="AE2794">
        <v>-2.1564999999999901</v>
      </c>
      <c r="AF2794">
        <v>2.7674854540601301</v>
      </c>
      <c r="AG2794">
        <v>-1.1205756298398999</v>
      </c>
      <c r="AH2794">
        <v>28.4052040875772</v>
      </c>
      <c r="AI2794">
        <v>92.248491984683497</v>
      </c>
      <c r="AJ2794">
        <v>84.435302982975699</v>
      </c>
      <c r="AK2794">
        <v>28.5616926098146</v>
      </c>
      <c r="AL2794">
        <v>79.470123852701803</v>
      </c>
      <c r="AM2794">
        <v>83.385977235502807</v>
      </c>
      <c r="AN2794">
        <v>0.99999996542027902</v>
      </c>
    </row>
    <row r="2795" spans="1:40" x14ac:dyDescent="0.25">
      <c r="A2795" t="str">
        <f>"20190303162603648"</f>
        <v>20190303162603648</v>
      </c>
      <c r="B2795" t="str">
        <f>"1551601563636711"</f>
        <v>1551601563636711</v>
      </c>
      <c r="C2795" t="s">
        <v>40</v>
      </c>
      <c r="D2795">
        <v>4.7756080000000001</v>
      </c>
      <c r="E2795">
        <v>0.51292349999999998</v>
      </c>
      <c r="F2795" t="s">
        <v>48</v>
      </c>
      <c r="G2795">
        <v>-242.4838</v>
      </c>
      <c r="H2795">
        <v>8.0000970000000005E-2</v>
      </c>
      <c r="I2795">
        <v>209.00030000000001</v>
      </c>
      <c r="J2795">
        <v>-299.75940000000003</v>
      </c>
      <c r="K2795">
        <v>1.1205529999999999</v>
      </c>
      <c r="L2795">
        <v>215.73480000000001</v>
      </c>
      <c r="M2795">
        <v>0.99972629999999996</v>
      </c>
      <c r="N2795">
        <v>-8.7241469999999998E-3</v>
      </c>
      <c r="O2795">
        <v>2.1708399999999999E-2</v>
      </c>
      <c r="P2795">
        <v>0.98053469999999998</v>
      </c>
      <c r="Q2795">
        <v>0.1741444</v>
      </c>
      <c r="R2795">
        <v>-9.0693899999999994E-2</v>
      </c>
      <c r="S2795">
        <v>3.03653</v>
      </c>
      <c r="T2795">
        <v>-5.482161E-2</v>
      </c>
      <c r="U2795">
        <v>-0.35438540000000002</v>
      </c>
      <c r="V2795">
        <v>0.1119219</v>
      </c>
      <c r="W2795">
        <v>0.18269569999999999</v>
      </c>
      <c r="X2795">
        <v>0.97677829999999999</v>
      </c>
      <c r="Y2795">
        <v>0.1374223</v>
      </c>
      <c r="Z2795">
        <v>-2.039749E-3</v>
      </c>
      <c r="AA2795">
        <v>0.99051049999999996</v>
      </c>
      <c r="AB2795">
        <v>33</v>
      </c>
      <c r="AC2795">
        <v>57.275599999999997</v>
      </c>
      <c r="AD2795">
        <v>-1.04055203</v>
      </c>
      <c r="AE2795">
        <v>-6.7344999999999899</v>
      </c>
      <c r="AF2795">
        <v>7.9737258979390404</v>
      </c>
      <c r="AG2795">
        <v>-1.04055203</v>
      </c>
      <c r="AH2795">
        <v>57.097312553973097</v>
      </c>
      <c r="AI2795">
        <v>91.034021230571994</v>
      </c>
      <c r="AJ2795">
        <v>82.049973734879202</v>
      </c>
      <c r="AK2795">
        <v>57.660785236663997</v>
      </c>
      <c r="AL2795">
        <v>79.473184172263103</v>
      </c>
      <c r="AM2795">
        <v>83.463401873891598</v>
      </c>
      <c r="AN2795">
        <v>1.0000000389244901</v>
      </c>
    </row>
    <row r="2796" spans="1:40" x14ac:dyDescent="0.25">
      <c r="A2796" t="str">
        <f>"20190303162603690"</f>
        <v>20190303162603690</v>
      </c>
      <c r="B2796" t="str">
        <f>"1551601563675751"</f>
        <v>1551601563675751</v>
      </c>
      <c r="C2796" t="s">
        <v>40</v>
      </c>
      <c r="D2796">
        <v>4.8033590000000004</v>
      </c>
      <c r="E2796">
        <v>0.51398980000000005</v>
      </c>
      <c r="F2796" t="s">
        <v>48</v>
      </c>
      <c r="G2796">
        <v>-239.345</v>
      </c>
      <c r="H2796">
        <v>8.0000459999999995E-2</v>
      </c>
      <c r="I2796">
        <v>208.33080000000001</v>
      </c>
      <c r="J2796">
        <v>-299.14920000000001</v>
      </c>
      <c r="K2796">
        <v>1.1205309999999999</v>
      </c>
      <c r="L2796">
        <v>215.7483</v>
      </c>
      <c r="M2796">
        <v>0.99972329999999998</v>
      </c>
      <c r="N2796">
        <v>-8.8008099999999992E-3</v>
      </c>
      <c r="O2796">
        <v>2.182479E-2</v>
      </c>
      <c r="P2796">
        <v>0.98089440000000006</v>
      </c>
      <c r="Q2796">
        <v>0.17402100000000001</v>
      </c>
      <c r="R2796">
        <v>-8.6969190000000002E-2</v>
      </c>
      <c r="S2796">
        <v>3.0344850000000001</v>
      </c>
      <c r="T2796">
        <v>-5.2264690000000003E-2</v>
      </c>
      <c r="U2796">
        <v>-0.37188719999999997</v>
      </c>
      <c r="V2796">
        <v>0.1083341</v>
      </c>
      <c r="W2796">
        <v>0.18264179999999999</v>
      </c>
      <c r="X2796">
        <v>0.97719279999999997</v>
      </c>
      <c r="Y2796">
        <v>0.1432456</v>
      </c>
      <c r="Z2796">
        <v>-2.0449539999999999E-3</v>
      </c>
      <c r="AA2796">
        <v>0.98968509999999998</v>
      </c>
      <c r="AB2796">
        <v>33</v>
      </c>
      <c r="AC2796">
        <v>59.804200000000002</v>
      </c>
      <c r="AD2796">
        <v>-1.04053054</v>
      </c>
      <c r="AE2796">
        <v>-7.4174999999999898</v>
      </c>
      <c r="AF2796">
        <v>8.7183981780972406</v>
      </c>
      <c r="AG2796">
        <v>-1.04053054</v>
      </c>
      <c r="AH2796">
        <v>59.610290533489298</v>
      </c>
      <c r="AI2796">
        <v>90.989502814296202</v>
      </c>
      <c r="AJ2796">
        <v>81.679110321900296</v>
      </c>
      <c r="AK2796">
        <v>60.253463867926499</v>
      </c>
      <c r="AL2796">
        <v>79.476325237671503</v>
      </c>
      <c r="AM2796">
        <v>83.673875632170706</v>
      </c>
      <c r="AN2796">
        <v>1.00000003635094</v>
      </c>
    </row>
    <row r="2797" spans="1:40" x14ac:dyDescent="0.25">
      <c r="A2797" t="str">
        <f>"20190303162603712"</f>
        <v>20190303162603712</v>
      </c>
      <c r="B2797" t="str">
        <f>"1551601563705840"</f>
        <v>1551601563705840</v>
      </c>
      <c r="C2797" t="s">
        <v>40</v>
      </c>
      <c r="D2797">
        <v>4.7976979999999996</v>
      </c>
      <c r="E2797">
        <v>0.51424040000000004</v>
      </c>
      <c r="F2797" t="s">
        <v>48</v>
      </c>
      <c r="G2797">
        <v>-236.05189999999999</v>
      </c>
      <c r="H2797">
        <v>8.0001429999999998E-2</v>
      </c>
      <c r="I2797">
        <v>208.06</v>
      </c>
      <c r="J2797">
        <v>-298.81139999999999</v>
      </c>
      <c r="K2797">
        <v>1.1205130000000001</v>
      </c>
      <c r="L2797">
        <v>215.75569999999999</v>
      </c>
      <c r="M2797">
        <v>0.99972190000000005</v>
      </c>
      <c r="N2797">
        <v>-8.8594520000000003E-3</v>
      </c>
      <c r="O2797">
        <v>2.1858849999999999E-2</v>
      </c>
      <c r="P2797">
        <v>0.98103209999999996</v>
      </c>
      <c r="Q2797">
        <v>0.173812299999999</v>
      </c>
      <c r="R2797">
        <v>-8.5821220000000004E-2</v>
      </c>
      <c r="S2797">
        <v>3.0345149999999999</v>
      </c>
      <c r="T2797">
        <v>-5.0041790000000003E-2</v>
      </c>
      <c r="U2797">
        <v>-0.369751</v>
      </c>
      <c r="V2797">
        <v>0.1072308</v>
      </c>
      <c r="W2797">
        <v>0.18248700000000001</v>
      </c>
      <c r="X2797">
        <v>0.97734339999999997</v>
      </c>
      <c r="Y2797">
        <v>0.142594</v>
      </c>
      <c r="Z2797">
        <v>-1.9717239999999998E-3</v>
      </c>
      <c r="AA2797">
        <v>0.98977930000000003</v>
      </c>
      <c r="AB2797">
        <v>33</v>
      </c>
      <c r="AC2797">
        <v>62.759500000000003</v>
      </c>
      <c r="AD2797">
        <v>-1.0405115699999901</v>
      </c>
      <c r="AE2797">
        <v>-7.69569999999998</v>
      </c>
      <c r="AF2797">
        <v>9.0633109433685899</v>
      </c>
      <c r="AG2797">
        <v>-1.0405115699999901</v>
      </c>
      <c r="AH2797">
        <v>62.559336506054301</v>
      </c>
      <c r="AI2797">
        <v>90.943034723913101</v>
      </c>
      <c r="AJ2797">
        <v>81.756603108209305</v>
      </c>
      <c r="AK2797">
        <v>63.221015917661603</v>
      </c>
      <c r="AL2797">
        <v>79.485346223577196</v>
      </c>
      <c r="AM2797">
        <v>83.738745205192899</v>
      </c>
      <c r="AN2797">
        <v>1.00000003558059</v>
      </c>
    </row>
    <row r="2798" spans="1:40" x14ac:dyDescent="0.25">
      <c r="A2798" t="str">
        <f>"20190303162603734"</f>
        <v>20190303162603734</v>
      </c>
      <c r="B2798" t="str">
        <f>"1551601563726335"</f>
        <v>1551601563726335</v>
      </c>
      <c r="C2798" t="s">
        <v>40</v>
      </c>
      <c r="D2798">
        <v>4.7794999999999996</v>
      </c>
      <c r="E2798">
        <v>0.51424629999999905</v>
      </c>
      <c r="F2798" t="s">
        <v>48</v>
      </c>
      <c r="G2798">
        <v>-234.1525</v>
      </c>
      <c r="H2798">
        <v>8.000053E-2</v>
      </c>
      <c r="I2798">
        <v>207.91120000000001</v>
      </c>
      <c r="J2798">
        <v>-298.46839999999997</v>
      </c>
      <c r="K2798">
        <v>1.1205099999999999</v>
      </c>
      <c r="L2798">
        <v>215.76320000000001</v>
      </c>
      <c r="M2798">
        <v>0.99972090000000002</v>
      </c>
      <c r="N2798">
        <v>-8.9254820000000002E-3</v>
      </c>
      <c r="O2798">
        <v>2.1878060000000001E-2</v>
      </c>
      <c r="P2798">
        <v>0.98105419999999999</v>
      </c>
      <c r="Q2798">
        <v>0.1739627</v>
      </c>
      <c r="R2798">
        <v>-8.526475E-2</v>
      </c>
      <c r="S2798">
        <v>3.0344850000000001</v>
      </c>
      <c r="T2798">
        <v>-4.8831939999999997E-2</v>
      </c>
      <c r="U2798">
        <v>-0.3681488</v>
      </c>
      <c r="V2798">
        <v>0.1067002</v>
      </c>
      <c r="W2798">
        <v>0.18269850000000001</v>
      </c>
      <c r="X2798">
        <v>0.97736190000000001</v>
      </c>
      <c r="Y2798">
        <v>0.14210049999999999</v>
      </c>
      <c r="Z2798">
        <v>-1.9320170000000001E-3</v>
      </c>
      <c r="AA2798">
        <v>0.98985029999999996</v>
      </c>
      <c r="AB2798">
        <v>34</v>
      </c>
      <c r="AC2798">
        <v>64.3158999999999</v>
      </c>
      <c r="AD2798">
        <v>-1.0405094699999999</v>
      </c>
      <c r="AE2798">
        <v>-7.8520000000000003</v>
      </c>
      <c r="AF2798">
        <v>9.2548967623016001</v>
      </c>
      <c r="AG2798">
        <v>-1.0405094699999999</v>
      </c>
      <c r="AH2798">
        <v>64.112177471521903</v>
      </c>
      <c r="AI2798">
        <v>90.920263756738194</v>
      </c>
      <c r="AJ2798">
        <v>81.785825411271304</v>
      </c>
      <c r="AK2798">
        <v>64.785083732121095</v>
      </c>
      <c r="AL2798">
        <v>79.473020360536907</v>
      </c>
      <c r="AM2798">
        <v>83.769599922041806</v>
      </c>
      <c r="AN2798">
        <v>0.99999997907694904</v>
      </c>
    </row>
    <row r="2799" spans="1:40" x14ac:dyDescent="0.25">
      <c r="A2799" t="str">
        <f>"20190303162603756"</f>
        <v>20190303162603756</v>
      </c>
      <c r="B2799" t="str">
        <f>"1551601563745854"</f>
        <v>1551601563745854</v>
      </c>
      <c r="C2799" t="s">
        <v>40</v>
      </c>
      <c r="D2799">
        <v>4.8078289999999999</v>
      </c>
      <c r="E2799">
        <v>0.51485329999999996</v>
      </c>
      <c r="F2799" t="s">
        <v>48</v>
      </c>
      <c r="G2799">
        <v>-232.2704</v>
      </c>
      <c r="H2799">
        <v>8.0001089999999997E-2</v>
      </c>
      <c r="I2799">
        <v>207.77269999999999</v>
      </c>
      <c r="J2799">
        <v>-298.13409999999999</v>
      </c>
      <c r="K2799">
        <v>1.120514</v>
      </c>
      <c r="L2799">
        <v>215.7705</v>
      </c>
      <c r="M2799">
        <v>0.9997201</v>
      </c>
      <c r="N2799">
        <v>-8.9958709999999904E-3</v>
      </c>
      <c r="O2799">
        <v>2.1885450000000001E-2</v>
      </c>
      <c r="P2799">
        <v>0.9809194</v>
      </c>
      <c r="Q2799">
        <v>0.17472219999999999</v>
      </c>
      <c r="R2799">
        <v>-8.5263030000000004E-2</v>
      </c>
      <c r="S2799">
        <v>3.0345460000000002</v>
      </c>
      <c r="T2799">
        <v>-4.769731E-2</v>
      </c>
      <c r="U2799">
        <v>-0.36628719999999998</v>
      </c>
      <c r="V2799">
        <v>0.106707</v>
      </c>
      <c r="W2799">
        <v>0.18352260000000001</v>
      </c>
      <c r="X2799">
        <v>0.97720680000000004</v>
      </c>
      <c r="Y2799">
        <v>0.1415081</v>
      </c>
      <c r="Z2799">
        <v>-1.8936129999999999E-3</v>
      </c>
      <c r="AA2799">
        <v>0.98993529999999996</v>
      </c>
      <c r="AB2799">
        <v>34</v>
      </c>
      <c r="AC2799">
        <v>65.863699999999994</v>
      </c>
      <c r="AD2799">
        <v>-1.0405129099999999</v>
      </c>
      <c r="AE2799">
        <v>-7.9978000000000096</v>
      </c>
      <c r="AF2799">
        <v>9.4350786139931095</v>
      </c>
      <c r="AG2799">
        <v>-1.0405129099999999</v>
      </c>
      <c r="AH2799">
        <v>65.656732620714607</v>
      </c>
      <c r="AI2799">
        <v>90.898703999571296</v>
      </c>
      <c r="AJ2799">
        <v>81.822400679810201</v>
      </c>
      <c r="AK2799">
        <v>66.339354187360897</v>
      </c>
      <c r="AL2799">
        <v>79.424991375545005</v>
      </c>
      <c r="AM2799">
        <v>83.768224824906696</v>
      </c>
      <c r="AN2799">
        <v>1.00000002926299</v>
      </c>
    </row>
    <row r="2800" spans="1:40" x14ac:dyDescent="0.25">
      <c r="A2800" t="str">
        <f>"20190303162603779"</f>
        <v>20190303162603779</v>
      </c>
      <c r="B2800" t="str">
        <f>"1551601563766350"</f>
        <v>1551601563766350</v>
      </c>
      <c r="C2800" t="s">
        <v>40</v>
      </c>
      <c r="D2800">
        <v>4.8553030000000001</v>
      </c>
      <c r="E2800">
        <v>0.5149918</v>
      </c>
      <c r="F2800" t="s">
        <v>48</v>
      </c>
      <c r="G2800">
        <v>-228.69059999999999</v>
      </c>
      <c r="H2800">
        <v>8.0000699999999994E-2</v>
      </c>
      <c r="I2800">
        <v>207.28579999999999</v>
      </c>
      <c r="J2800">
        <v>-297.80869999999999</v>
      </c>
      <c r="K2800">
        <v>1.1205160000000001</v>
      </c>
      <c r="L2800">
        <v>215.77760000000001</v>
      </c>
      <c r="M2800">
        <v>0.99971940000000004</v>
      </c>
      <c r="N2800">
        <v>-9.0705839999999996E-3</v>
      </c>
      <c r="O2800">
        <v>2.1885689999999999E-2</v>
      </c>
      <c r="P2800">
        <v>0.9808403</v>
      </c>
      <c r="Q2800">
        <v>0.17481079999999999</v>
      </c>
      <c r="R2800">
        <v>-8.5986309999999996E-2</v>
      </c>
      <c r="S2800">
        <v>3.0342410000000002</v>
      </c>
      <c r="T2800">
        <v>-4.5463799999999999E-2</v>
      </c>
      <c r="U2800">
        <v>-0.37072749999999999</v>
      </c>
      <c r="V2800">
        <v>0.1074316</v>
      </c>
      <c r="W2800">
        <v>0.18368200000000001</v>
      </c>
      <c r="X2800">
        <v>0.97709749999999995</v>
      </c>
      <c r="Y2800">
        <v>0.14294949999999901</v>
      </c>
      <c r="Z2800">
        <v>-1.8467690000000001E-3</v>
      </c>
      <c r="AA2800">
        <v>0.98972830000000001</v>
      </c>
      <c r="AB2800">
        <v>34</v>
      </c>
      <c r="AC2800">
        <v>69.118099999999998</v>
      </c>
      <c r="AD2800">
        <v>-1.0405153</v>
      </c>
      <c r="AE2800">
        <v>-8.4918000000000102</v>
      </c>
      <c r="AF2800">
        <v>10.0002926674366</v>
      </c>
      <c r="AG2800">
        <v>-1.0405153</v>
      </c>
      <c r="AH2800">
        <v>68.9003043691839</v>
      </c>
      <c r="AI2800">
        <v>90.856230537474204</v>
      </c>
      <c r="AJ2800">
        <v>81.741673224653297</v>
      </c>
      <c r="AK2800">
        <v>69.630025618910295</v>
      </c>
      <c r="AL2800">
        <v>79.415700980466596</v>
      </c>
      <c r="AM2800">
        <v>83.725547715824106</v>
      </c>
      <c r="AN2800">
        <v>1.0000000751544</v>
      </c>
    </row>
    <row r="2801" spans="1:40" x14ac:dyDescent="0.25">
      <c r="A2801" t="str">
        <f>"20190303162603801"</f>
        <v>20190303162603801</v>
      </c>
      <c r="B2801" t="str">
        <f>"1551601563785871"</f>
        <v>1551601563785871</v>
      </c>
      <c r="C2801" t="s">
        <v>40</v>
      </c>
      <c r="D2801">
        <v>4.8444629999999904</v>
      </c>
      <c r="E2801">
        <v>0.51529990000000003</v>
      </c>
      <c r="F2801" t="s">
        <v>48</v>
      </c>
      <c r="G2801">
        <v>-228.172</v>
      </c>
      <c r="H2801">
        <v>8.0000859999999993E-2</v>
      </c>
      <c r="I2801">
        <v>207.19450000000001</v>
      </c>
      <c r="J2801">
        <v>-297.46550000000002</v>
      </c>
      <c r="K2801">
        <v>1.1205210000000001</v>
      </c>
      <c r="L2801">
        <v>215.7852</v>
      </c>
      <c r="M2801">
        <v>0.99971869999999996</v>
      </c>
      <c r="N2801">
        <v>-9.1503079999999994E-3</v>
      </c>
      <c r="O2801">
        <v>2.188265E-2</v>
      </c>
      <c r="P2801">
        <v>0.98077130000000001</v>
      </c>
      <c r="Q2801">
        <v>0.1747273</v>
      </c>
      <c r="R2801">
        <v>-8.6938890000000005E-2</v>
      </c>
      <c r="S2801">
        <v>3.0339049999999999</v>
      </c>
      <c r="T2801">
        <v>-4.5332789999999998E-2</v>
      </c>
      <c r="U2801">
        <v>-0.37394709999999998</v>
      </c>
      <c r="V2801">
        <v>0.10838100000000001</v>
      </c>
      <c r="W2801">
        <v>0.18367449999999999</v>
      </c>
      <c r="X2801">
        <v>0.97699400000000003</v>
      </c>
      <c r="Y2801">
        <v>0.14399419999999999</v>
      </c>
      <c r="Z2801">
        <v>-1.859411E-3</v>
      </c>
      <c r="AA2801">
        <v>0.98957680000000003</v>
      </c>
      <c r="AB2801">
        <v>34</v>
      </c>
      <c r="AC2801">
        <v>69.293499999999995</v>
      </c>
      <c r="AD2801">
        <v>-1.0405201399999999</v>
      </c>
      <c r="AE2801">
        <v>-8.5906999999999893</v>
      </c>
      <c r="AF2801">
        <v>10.102788063826299</v>
      </c>
      <c r="AG2801">
        <v>-1.0405201399999999</v>
      </c>
      <c r="AH2801">
        <v>69.073571638051703</v>
      </c>
      <c r="AI2801">
        <v>90.853950601566297</v>
      </c>
      <c r="AJ2801">
        <v>81.678848329268206</v>
      </c>
      <c r="AK2801">
        <v>69.816239569754799</v>
      </c>
      <c r="AL2801">
        <v>79.416137541323806</v>
      </c>
      <c r="AM2801">
        <v>83.6698817963848</v>
      </c>
      <c r="AN2801">
        <v>1.0000000195736201</v>
      </c>
    </row>
    <row r="2802" spans="1:40" x14ac:dyDescent="0.25">
      <c r="A2802" t="str">
        <f>"20190303162603827"</f>
        <v>20190303162603827</v>
      </c>
      <c r="B2802" t="str">
        <f>"1551601563816128"</f>
        <v>1551601563816128</v>
      </c>
      <c r="C2802" t="s">
        <v>40</v>
      </c>
      <c r="D2802">
        <v>4.8593859999999998</v>
      </c>
      <c r="E2802">
        <v>0.51537189999999999</v>
      </c>
      <c r="F2802" t="s">
        <v>48</v>
      </c>
      <c r="G2802">
        <v>-229.0196</v>
      </c>
      <c r="H2802">
        <v>8.0000600000000005E-2</v>
      </c>
      <c r="I2802">
        <v>207.22290000000001</v>
      </c>
      <c r="J2802">
        <v>-297.06799999999998</v>
      </c>
      <c r="K2802">
        <v>1.12053</v>
      </c>
      <c r="L2802">
        <v>215.79390000000001</v>
      </c>
      <c r="M2802">
        <v>0.999718</v>
      </c>
      <c r="N2802">
        <v>-9.2390000000000007E-3</v>
      </c>
      <c r="O2802">
        <v>2.1878499999999999E-2</v>
      </c>
      <c r="P2802">
        <v>0.98063849999999997</v>
      </c>
      <c r="Q2802">
        <v>0.1750765</v>
      </c>
      <c r="R2802">
        <v>-8.772945E-2</v>
      </c>
      <c r="S2802">
        <v>3.0334469999999998</v>
      </c>
      <c r="T2802">
        <v>-4.6114679999999998E-2</v>
      </c>
      <c r="U2802">
        <v>-0.3794708</v>
      </c>
      <c r="V2802">
        <v>0.1091661</v>
      </c>
      <c r="W2802">
        <v>0.18410799999999999</v>
      </c>
      <c r="X2802">
        <v>0.9768249</v>
      </c>
      <c r="Y2802">
        <v>0.14578139999999901</v>
      </c>
      <c r="Z2802">
        <v>-1.909942E-3</v>
      </c>
      <c r="AA2802">
        <v>0.98931500000000006</v>
      </c>
      <c r="AB2802">
        <v>34</v>
      </c>
      <c r="AC2802">
        <v>68.048399999999901</v>
      </c>
      <c r="AD2802">
        <v>-1.0405294</v>
      </c>
      <c r="AE2802">
        <v>-8.5709999999999908</v>
      </c>
      <c r="AF2802">
        <v>10.0554942181698</v>
      </c>
      <c r="AG2802">
        <v>-1.0405294</v>
      </c>
      <c r="AH2802">
        <v>67.828969947144202</v>
      </c>
      <c r="AI2802">
        <v>90.8693762817595</v>
      </c>
      <c r="AJ2802">
        <v>81.567445169768902</v>
      </c>
      <c r="AK2802">
        <v>68.578165836470802</v>
      </c>
      <c r="AL2802">
        <v>79.390868041848293</v>
      </c>
      <c r="AM2802">
        <v>83.623308761517805</v>
      </c>
      <c r="AN2802">
        <v>0.99999993915660801</v>
      </c>
    </row>
    <row r="2803" spans="1:40" x14ac:dyDescent="0.25">
      <c r="A2803" t="str">
        <f>"20190303162603853"</f>
        <v>20190303162603853</v>
      </c>
      <c r="B2803" t="str">
        <f>"1551601563846382"</f>
        <v>1551601563846382</v>
      </c>
      <c r="C2803" t="s">
        <v>40</v>
      </c>
      <c r="D2803">
        <v>4.8595280000000001</v>
      </c>
      <c r="E2803">
        <v>0.51547659999999995</v>
      </c>
      <c r="F2803" t="s">
        <v>48</v>
      </c>
      <c r="G2803">
        <v>-226.56559999999999</v>
      </c>
      <c r="H2803">
        <v>8.0001329999999996E-2</v>
      </c>
      <c r="I2803">
        <v>206.8921</v>
      </c>
      <c r="J2803">
        <v>-296.69470000000001</v>
      </c>
      <c r="K2803">
        <v>1.12053799999999</v>
      </c>
      <c r="L2803">
        <v>215.80199999999999</v>
      </c>
      <c r="M2803">
        <v>0.99971719999999997</v>
      </c>
      <c r="N2803">
        <v>-9.3211270000000002E-3</v>
      </c>
      <c r="O2803">
        <v>2.1876409999999999E-2</v>
      </c>
      <c r="P2803">
        <v>0.98048369999999996</v>
      </c>
      <c r="Q2803">
        <v>0.17585629999999999</v>
      </c>
      <c r="R2803">
        <v>-8.7901469999999995E-2</v>
      </c>
      <c r="S2803">
        <v>3.0329899999999999</v>
      </c>
      <c r="T2803">
        <v>-4.4763209999999998E-2</v>
      </c>
      <c r="U2803">
        <v>-0.38294980000000001</v>
      </c>
      <c r="V2803">
        <v>0.109334</v>
      </c>
      <c r="W2803">
        <v>0.18496609999999999</v>
      </c>
      <c r="X2803">
        <v>0.97664399999999996</v>
      </c>
      <c r="Y2803">
        <v>0.14691580000000001</v>
      </c>
      <c r="Z2803">
        <v>-1.8859149999999999E-3</v>
      </c>
      <c r="AA2803">
        <v>0.9891472</v>
      </c>
      <c r="AB2803">
        <v>34</v>
      </c>
      <c r="AC2803">
        <v>70.129099999999994</v>
      </c>
      <c r="AD2803">
        <v>-1.0405366699999901</v>
      </c>
      <c r="AE2803">
        <v>-8.9099000000000199</v>
      </c>
      <c r="AF2803">
        <v>10.4397453645251</v>
      </c>
      <c r="AG2803">
        <v>-1.0405366699999901</v>
      </c>
      <c r="AH2803">
        <v>69.902245828997593</v>
      </c>
      <c r="AI2803">
        <v>90.843465507915795</v>
      </c>
      <c r="AJ2803">
        <v>81.505784918275793</v>
      </c>
      <c r="AK2803">
        <v>70.685182123096695</v>
      </c>
      <c r="AL2803">
        <v>79.340843416057396</v>
      </c>
      <c r="AM2803">
        <v>83.612409077704399</v>
      </c>
      <c r="AN2803">
        <v>0.99999994222060296</v>
      </c>
    </row>
    <row r="2804" spans="1:40" x14ac:dyDescent="0.25">
      <c r="A2804" t="str">
        <f>"20190303162603873"</f>
        <v>20190303162603873</v>
      </c>
      <c r="B2804" t="str">
        <f>"1551601563865902"</f>
        <v>1551601563865902</v>
      </c>
      <c r="C2804" t="s">
        <v>40</v>
      </c>
      <c r="D2804">
        <v>4.8901430000000001</v>
      </c>
      <c r="E2804">
        <v>0.51553689999999996</v>
      </c>
      <c r="F2804" t="s">
        <v>48</v>
      </c>
      <c r="G2804">
        <v>-223.52289999999999</v>
      </c>
      <c r="H2804">
        <v>8.0000769999999999E-2</v>
      </c>
      <c r="I2804">
        <v>206.52500000000001</v>
      </c>
      <c r="J2804">
        <v>-296.37939999999998</v>
      </c>
      <c r="K2804">
        <v>1.1205400000000001</v>
      </c>
      <c r="L2804">
        <v>215.809</v>
      </c>
      <c r="M2804">
        <v>0.99971670000000001</v>
      </c>
      <c r="N2804">
        <v>-9.3871040000000003E-3</v>
      </c>
      <c r="O2804">
        <v>2.1876070000000001E-2</v>
      </c>
      <c r="P2804">
        <v>0.98037459999999998</v>
      </c>
      <c r="Q2804">
        <v>0.17639649999999901</v>
      </c>
      <c r="R2804">
        <v>-8.8035349999999998E-2</v>
      </c>
      <c r="S2804">
        <v>3.0329899999999999</v>
      </c>
      <c r="T2804">
        <v>-4.3130519999999999E-2</v>
      </c>
      <c r="U2804">
        <v>-0.38453670000000001</v>
      </c>
      <c r="V2804">
        <v>0.1094661</v>
      </c>
      <c r="W2804">
        <v>0.18556919999999999</v>
      </c>
      <c r="X2804">
        <v>0.97651489999999996</v>
      </c>
      <c r="Y2804">
        <v>0.14742629999999901</v>
      </c>
      <c r="Z2804">
        <v>-1.844233E-3</v>
      </c>
      <c r="AA2804">
        <v>0.98907129999999999</v>
      </c>
      <c r="AB2804">
        <v>34</v>
      </c>
      <c r="AC2804">
        <v>72.856499999999897</v>
      </c>
      <c r="AD2804">
        <v>-1.04053922999999</v>
      </c>
      <c r="AE2804">
        <v>-9.2840000000000096</v>
      </c>
      <c r="AF2804">
        <v>10.8734795484917</v>
      </c>
      <c r="AG2804">
        <v>-1.04053922999999</v>
      </c>
      <c r="AH2804">
        <v>72.621380452101505</v>
      </c>
      <c r="AI2804">
        <v>90.811845071285504</v>
      </c>
      <c r="AJ2804">
        <v>81.484456841240004</v>
      </c>
      <c r="AK2804">
        <v>73.438274613102905</v>
      </c>
      <c r="AL2804">
        <v>79.305680768842805</v>
      </c>
      <c r="AM2804">
        <v>83.603916861854998</v>
      </c>
      <c r="AN2804">
        <v>1.00000005247992</v>
      </c>
    </row>
    <row r="2805" spans="1:40" x14ac:dyDescent="0.25">
      <c r="A2805" t="str">
        <f>"20190303162603894"</f>
        <v>20190303162603894</v>
      </c>
      <c r="B2805" t="str">
        <f>"1551601563886398"</f>
        <v>1551601563886398</v>
      </c>
      <c r="C2805" t="s">
        <v>40</v>
      </c>
      <c r="D2805">
        <v>4.9168419999999999</v>
      </c>
      <c r="E2805">
        <v>0.51202460000000005</v>
      </c>
      <c r="F2805" t="s">
        <v>48</v>
      </c>
      <c r="G2805">
        <v>-220.77670000000001</v>
      </c>
      <c r="H2805">
        <v>8.0001589999999997E-2</v>
      </c>
      <c r="I2805">
        <v>206.21039999999999</v>
      </c>
      <c r="J2805">
        <v>-296.072</v>
      </c>
      <c r="K2805">
        <v>1.1205339999999999</v>
      </c>
      <c r="L2805">
        <v>215.81569999999999</v>
      </c>
      <c r="M2805">
        <v>0.99971620000000005</v>
      </c>
      <c r="N2805">
        <v>-9.4463989999999994E-3</v>
      </c>
      <c r="O2805">
        <v>2.1876420000000001E-2</v>
      </c>
      <c r="P2805">
        <v>0.98046129999999998</v>
      </c>
      <c r="Q2805">
        <v>0.17652419999999999</v>
      </c>
      <c r="R2805">
        <v>-8.6805980000000005E-2</v>
      </c>
      <c r="S2805">
        <v>3.0329899999999999</v>
      </c>
      <c r="T2805">
        <v>-4.1743759999999998E-2</v>
      </c>
      <c r="U2805">
        <v>-0.38507079999999999</v>
      </c>
      <c r="V2805">
        <v>0.10824</v>
      </c>
      <c r="W2805">
        <v>0.18575520000000001</v>
      </c>
      <c r="X2805">
        <v>0.97661609999999999</v>
      </c>
      <c r="Y2805">
        <v>0.14759929999999999</v>
      </c>
      <c r="Z2805">
        <v>-1.805802E-3</v>
      </c>
      <c r="AA2805">
        <v>0.98904559999999997</v>
      </c>
      <c r="AB2805">
        <v>34</v>
      </c>
      <c r="AC2805">
        <v>75.295299999999997</v>
      </c>
      <c r="AD2805">
        <v>-1.04053241</v>
      </c>
      <c r="AE2805">
        <v>-9.6052999999999997</v>
      </c>
      <c r="AF2805">
        <v>11.2481522298729</v>
      </c>
      <c r="AG2805">
        <v>-1.04053241</v>
      </c>
      <c r="AH2805">
        <v>75.053036290505503</v>
      </c>
      <c r="AI2805">
        <v>90.785523941427897</v>
      </c>
      <c r="AJ2805">
        <v>81.476553661242505</v>
      </c>
      <c r="AK2805">
        <v>75.898365547003706</v>
      </c>
      <c r="AL2805">
        <v>79.294834072144795</v>
      </c>
      <c r="AM2805">
        <v>83.675623893832906</v>
      </c>
      <c r="AN2805">
        <v>0.99999994935312297</v>
      </c>
    </row>
    <row r="2806" spans="1:40" x14ac:dyDescent="0.25">
      <c r="A2806" t="str">
        <f>"20190303162603917"</f>
        <v>20190303162603917</v>
      </c>
      <c r="B2806" t="str">
        <f>"1551601563905919"</f>
        <v>1551601563905919</v>
      </c>
      <c r="C2806" t="s">
        <v>40</v>
      </c>
      <c r="D2806">
        <v>4.8650699999999896</v>
      </c>
      <c r="E2806">
        <v>0.50966020000000001</v>
      </c>
      <c r="F2806" t="s">
        <v>48</v>
      </c>
      <c r="G2806">
        <v>-269.74740000000003</v>
      </c>
      <c r="H2806" s="1">
        <v>3.7310130000000001E-6</v>
      </c>
      <c r="I2806">
        <v>212.76990000000001</v>
      </c>
      <c r="J2806">
        <v>-295.7208</v>
      </c>
      <c r="K2806">
        <v>1.120541</v>
      </c>
      <c r="L2806">
        <v>215.82339999999999</v>
      </c>
      <c r="M2806">
        <v>0.99971560000000004</v>
      </c>
      <c r="N2806">
        <v>-9.5084220000000007E-3</v>
      </c>
      <c r="O2806">
        <v>2.1877110000000002E-2</v>
      </c>
      <c r="P2806">
        <v>0.98061410000000004</v>
      </c>
      <c r="Q2806">
        <v>0.1763344</v>
      </c>
      <c r="R2806">
        <v>-8.5455580000000003E-2</v>
      </c>
      <c r="S2806">
        <v>3.0518800000000001</v>
      </c>
      <c r="T2806">
        <v>-0.1299061</v>
      </c>
      <c r="U2806">
        <v>-0.35310360000000002</v>
      </c>
      <c r="V2806">
        <v>0.1068947</v>
      </c>
      <c r="W2806">
        <v>0.1856273</v>
      </c>
      <c r="X2806">
        <v>0.97678860000000001</v>
      </c>
      <c r="Y2806">
        <v>0.13647790000000001</v>
      </c>
      <c r="Z2806">
        <v>-4.2658110000000004E-3</v>
      </c>
      <c r="AA2806">
        <v>0.99063400000000001</v>
      </c>
      <c r="AB2806">
        <v>34</v>
      </c>
      <c r="AC2806">
        <v>25.973399999999899</v>
      </c>
      <c r="AD2806">
        <v>-1.1205372689869999</v>
      </c>
      <c r="AE2806">
        <v>-3.0534999999999801</v>
      </c>
      <c r="AF2806">
        <v>3.6143822533744201</v>
      </c>
      <c r="AG2806">
        <v>-1.1205372689869999</v>
      </c>
      <c r="AH2806">
        <v>25.852916693312999</v>
      </c>
      <c r="AI2806">
        <v>92.457930139934405</v>
      </c>
      <c r="AJ2806">
        <v>82.041314684090807</v>
      </c>
      <c r="AK2806">
        <v>26.1283880941033</v>
      </c>
      <c r="AL2806">
        <v>79.302292134460203</v>
      </c>
      <c r="AM2806">
        <v>83.754697866736606</v>
      </c>
      <c r="AN2806">
        <v>0.99999997024166898</v>
      </c>
    </row>
    <row r="2807" spans="1:40" x14ac:dyDescent="0.25">
      <c r="A2807" t="str">
        <f>"20190303162603935"</f>
        <v>20190303162603935</v>
      </c>
      <c r="B2807" t="str">
        <f>"1551601563926415"</f>
        <v>1551601563926415</v>
      </c>
      <c r="C2807" t="s">
        <v>40</v>
      </c>
      <c r="D2807">
        <v>5.1752399999999996</v>
      </c>
      <c r="E2807">
        <v>0.50799729999999998</v>
      </c>
      <c r="F2807" t="s">
        <v>48</v>
      </c>
      <c r="G2807">
        <v>-269.44940000000003</v>
      </c>
      <c r="H2807" s="1">
        <v>3.5632149999999998E-6</v>
      </c>
      <c r="I2807">
        <v>212.98089999999999</v>
      </c>
      <c r="J2807">
        <v>-295.43110000000001</v>
      </c>
      <c r="K2807">
        <v>1.1205459999999901</v>
      </c>
      <c r="L2807">
        <v>215.8297</v>
      </c>
      <c r="M2807">
        <v>0.99971509999999997</v>
      </c>
      <c r="N2807">
        <v>-9.5545030000000006E-3</v>
      </c>
      <c r="O2807">
        <v>2.1877710000000002E-2</v>
      </c>
      <c r="P2807">
        <v>0.98059030000000003</v>
      </c>
      <c r="Q2807">
        <v>0.176768799999999</v>
      </c>
      <c r="R2807">
        <v>-8.4828020000000004E-2</v>
      </c>
      <c r="S2807">
        <v>3.053925</v>
      </c>
      <c r="T2807">
        <v>-0.1302575</v>
      </c>
      <c r="U2807">
        <v>-0.33042909999999998</v>
      </c>
      <c r="V2807">
        <v>0.10626770000000001</v>
      </c>
      <c r="W2807">
        <v>0.18610650000000001</v>
      </c>
      <c r="X2807">
        <v>0.97676589999999996</v>
      </c>
      <c r="Y2807">
        <v>0.12914210000000001</v>
      </c>
      <c r="Z2807">
        <v>-4.0858769999999999E-3</v>
      </c>
      <c r="AA2807">
        <v>0.99161770000000005</v>
      </c>
      <c r="AB2807">
        <v>34</v>
      </c>
      <c r="AC2807">
        <v>25.981699999999901</v>
      </c>
      <c r="AD2807">
        <v>-1.1205424367850001</v>
      </c>
      <c r="AE2807">
        <v>-2.84880000000001</v>
      </c>
      <c r="AF2807">
        <v>3.4102961559542901</v>
      </c>
      <c r="AG2807">
        <v>-1.1205424367850001</v>
      </c>
      <c r="AH2807">
        <v>25.8656133131297</v>
      </c>
      <c r="AI2807">
        <v>92.459342237625194</v>
      </c>
      <c r="AJ2807">
        <v>82.489062002997301</v>
      </c>
      <c r="AK2807">
        <v>26.113515414212301</v>
      </c>
      <c r="AL2807">
        <v>79.274349825981403</v>
      </c>
      <c r="AM2807">
        <v>83.790900099705496</v>
      </c>
      <c r="AN2807">
        <v>1.0000000384041701</v>
      </c>
    </row>
    <row r="2808" spans="1:40" x14ac:dyDescent="0.25">
      <c r="A2808" t="str">
        <f>"20190303162603958"</f>
        <v>20190303162603958</v>
      </c>
      <c r="B2808" t="str">
        <f>"1551601563945935"</f>
        <v>1551601563945935</v>
      </c>
      <c r="C2808" t="s">
        <v>40</v>
      </c>
      <c r="D2808">
        <v>4.907216</v>
      </c>
      <c r="E2808">
        <v>0.50695539999999994</v>
      </c>
      <c r="F2808" t="s">
        <v>48</v>
      </c>
      <c r="G2808">
        <v>-265.44369999999998</v>
      </c>
      <c r="H2808" s="1">
        <v>1.442088E-6</v>
      </c>
      <c r="I2808">
        <v>212.7398</v>
      </c>
      <c r="J2808">
        <v>-295.08859999999999</v>
      </c>
      <c r="K2808">
        <v>1.1205430000000001</v>
      </c>
      <c r="L2808">
        <v>215.8372</v>
      </c>
      <c r="M2808">
        <v>0.99971460000000001</v>
      </c>
      <c r="N2808">
        <v>-9.6041149999999999E-3</v>
      </c>
      <c r="O2808">
        <v>2.1878120000000001E-2</v>
      </c>
      <c r="P2808">
        <v>0.98061379999999998</v>
      </c>
      <c r="Q2808">
        <v>0.17652699999999999</v>
      </c>
      <c r="R2808">
        <v>-8.5059140000000005E-2</v>
      </c>
      <c r="S2808">
        <v>3.0527340000000001</v>
      </c>
      <c r="T2808">
        <v>-0.1140721</v>
      </c>
      <c r="U2808">
        <v>-0.3145599</v>
      </c>
      <c r="V2808">
        <v>0.1065</v>
      </c>
      <c r="W2808">
        <v>0.1859131</v>
      </c>
      <c r="X2808">
        <v>0.97677740000000002</v>
      </c>
      <c r="Y2808">
        <v>0.1241223</v>
      </c>
      <c r="Z2808">
        <v>-3.5158099999999999E-3</v>
      </c>
      <c r="AA2808">
        <v>0.9922607</v>
      </c>
      <c r="AB2808">
        <v>34</v>
      </c>
      <c r="AC2808">
        <v>29.6449</v>
      </c>
      <c r="AD2808">
        <v>-1.1205415579119999</v>
      </c>
      <c r="AE2808">
        <v>-3.0973999999999902</v>
      </c>
      <c r="AF2808">
        <v>3.73997730677742</v>
      </c>
      <c r="AG2808">
        <v>-1.1205415579119999</v>
      </c>
      <c r="AH2808">
        <v>29.528302346821899</v>
      </c>
      <c r="AI2808">
        <v>92.156012228121199</v>
      </c>
      <c r="AJ2808">
        <v>82.781503059535396</v>
      </c>
      <c r="AK2808">
        <v>29.785293067612201</v>
      </c>
      <c r="AL2808">
        <v>79.285627342714704</v>
      </c>
      <c r="AM2808">
        <v>83.777506125135602</v>
      </c>
      <c r="AN2808">
        <v>1.0000000099511801</v>
      </c>
    </row>
    <row r="2809" spans="1:40" x14ac:dyDescent="0.25">
      <c r="A2809" t="str">
        <f>"20190303162603980"</f>
        <v>20190303162603980</v>
      </c>
      <c r="B2809" t="str">
        <f>"1551601563966430"</f>
        <v>1551601563966430</v>
      </c>
      <c r="C2809" t="s">
        <v>40</v>
      </c>
      <c r="D2809">
        <v>4.8783479999999999</v>
      </c>
      <c r="E2809">
        <v>0.506409</v>
      </c>
      <c r="F2809" t="s">
        <v>48</v>
      </c>
      <c r="G2809">
        <v>-262.73270000000002</v>
      </c>
      <c r="H2809" s="1">
        <v>6.2593410000000003E-9</v>
      </c>
      <c r="I2809">
        <v>212.58430000000001</v>
      </c>
      <c r="J2809">
        <v>-294.76769999999999</v>
      </c>
      <c r="K2809">
        <v>1.120547</v>
      </c>
      <c r="L2809">
        <v>215.8443</v>
      </c>
      <c r="M2809">
        <v>0.99971410000000005</v>
      </c>
      <c r="N2809">
        <v>-9.6453719999999993E-3</v>
      </c>
      <c r="O2809">
        <v>2.1878749999999999E-2</v>
      </c>
      <c r="P2809">
        <v>0.98062059999999995</v>
      </c>
      <c r="Q2809">
        <v>0.1764655</v>
      </c>
      <c r="R2809">
        <v>-8.5108299999999998E-2</v>
      </c>
      <c r="S2809">
        <v>3.0517270000000001</v>
      </c>
      <c r="T2809">
        <v>-0.105687</v>
      </c>
      <c r="U2809">
        <v>-0.30680849999999998</v>
      </c>
      <c r="V2809">
        <v>0.10655009999999999</v>
      </c>
      <c r="W2809">
        <v>0.185892</v>
      </c>
      <c r="X2809">
        <v>0.97677590000000003</v>
      </c>
      <c r="Y2809">
        <v>0.12167849999999999</v>
      </c>
      <c r="Z2809">
        <v>-3.2349060000000001E-3</v>
      </c>
      <c r="AA2809">
        <v>0.99256429999999995</v>
      </c>
      <c r="AB2809">
        <v>34</v>
      </c>
      <c r="AC2809">
        <v>32.034999999999897</v>
      </c>
      <c r="AD2809">
        <v>-1.12054699374065</v>
      </c>
      <c r="AE2809">
        <v>-3.25999999999999</v>
      </c>
      <c r="AF2809">
        <v>3.9553481088839</v>
      </c>
      <c r="AG2809">
        <v>-1.12054699374065</v>
      </c>
      <c r="AH2809">
        <v>31.917351855356301</v>
      </c>
      <c r="AI2809">
        <v>91.995449595799201</v>
      </c>
      <c r="AJ2809">
        <v>82.935654216660893</v>
      </c>
      <c r="AK2809">
        <v>32.181015423479799</v>
      </c>
      <c r="AL2809">
        <v>79.286857180857595</v>
      </c>
      <c r="AM2809">
        <v>83.774592417357795</v>
      </c>
      <c r="AN2809">
        <v>0.99999995914740902</v>
      </c>
    </row>
    <row r="2810" spans="1:40" x14ac:dyDescent="0.25">
      <c r="A2810" t="str">
        <f>"20190303162604002"</f>
        <v>20190303162604002</v>
      </c>
      <c r="B2810" t="str">
        <f>"1551601563996686"</f>
        <v>1551601563996686</v>
      </c>
      <c r="C2810" t="s">
        <v>40</v>
      </c>
      <c r="D2810">
        <v>4.9793859999999999</v>
      </c>
      <c r="E2810">
        <v>0.50602290000000005</v>
      </c>
      <c r="F2810" t="s">
        <v>48</v>
      </c>
      <c r="G2810">
        <v>-261.29860000000002</v>
      </c>
      <c r="H2810" s="1">
        <v>-7.5402190000000003E-7</v>
      </c>
      <c r="I2810">
        <v>212.5179</v>
      </c>
      <c r="J2810">
        <v>-294.41750000000002</v>
      </c>
      <c r="K2810">
        <v>1.1205449999999999</v>
      </c>
      <c r="L2810">
        <v>215.8519</v>
      </c>
      <c r="M2810">
        <v>0.99971390000000004</v>
      </c>
      <c r="N2810">
        <v>-9.6855259999999999E-3</v>
      </c>
      <c r="O2810">
        <v>2.18789E-2</v>
      </c>
      <c r="P2810">
        <v>0.98060519999999995</v>
      </c>
      <c r="Q2810">
        <v>0.17651439999999999</v>
      </c>
      <c r="R2810">
        <v>-8.5184159999999995E-2</v>
      </c>
      <c r="S2810">
        <v>3.0513919999999999</v>
      </c>
      <c r="T2810">
        <v>-0.10216069999999999</v>
      </c>
      <c r="U2810">
        <v>-0.30326839999999999</v>
      </c>
      <c r="V2810">
        <v>0.106626</v>
      </c>
      <c r="W2810">
        <v>0.18598010000000001</v>
      </c>
      <c r="X2810">
        <v>0.97675089999999998</v>
      </c>
      <c r="Y2810">
        <v>0.1205561</v>
      </c>
      <c r="Z2810">
        <v>-3.117426E-3</v>
      </c>
      <c r="AA2810">
        <v>0.99270159999999996</v>
      </c>
      <c r="AB2810">
        <v>34</v>
      </c>
      <c r="AC2810">
        <v>33.118899999999996</v>
      </c>
      <c r="AD2810">
        <v>-1.1205457540218999</v>
      </c>
      <c r="AE2810">
        <v>-3.3340000000000001</v>
      </c>
      <c r="AF2810">
        <v>4.0532474430877601</v>
      </c>
      <c r="AG2810">
        <v>-1.1205457540218999</v>
      </c>
      <c r="AH2810">
        <v>33.000625678768202</v>
      </c>
      <c r="AI2810">
        <v>91.930253628583401</v>
      </c>
      <c r="AJ2810">
        <v>82.997810489691204</v>
      </c>
      <c r="AK2810">
        <v>33.267487623984003</v>
      </c>
      <c r="AL2810">
        <v>79.2817203996904</v>
      </c>
      <c r="AM2810">
        <v>83.770034462986999</v>
      </c>
      <c r="AN2810">
        <v>1.00000001106141</v>
      </c>
    </row>
    <row r="2811" spans="1:40" x14ac:dyDescent="0.25">
      <c r="A2811" t="str">
        <f>"20190303162604025"</f>
        <v>20190303162604025</v>
      </c>
      <c r="B2811" t="str">
        <f>"1551601564016208"</f>
        <v>1551601564016208</v>
      </c>
      <c r="C2811" t="s">
        <v>40</v>
      </c>
      <c r="D2811">
        <v>4.9418810000000004</v>
      </c>
      <c r="E2811">
        <v>0.50585420000000003</v>
      </c>
      <c r="F2811" t="s">
        <v>48</v>
      </c>
      <c r="G2811">
        <v>-259.35140000000001</v>
      </c>
      <c r="H2811" s="1">
        <v>3.5364390000000002E-6</v>
      </c>
      <c r="I2811">
        <v>212.39959999999999</v>
      </c>
      <c r="J2811">
        <v>-294.06119999999999</v>
      </c>
      <c r="K2811">
        <v>1.120544</v>
      </c>
      <c r="L2811">
        <v>215.85980000000001</v>
      </c>
      <c r="M2811">
        <v>0.99971339999999997</v>
      </c>
      <c r="N2811">
        <v>-9.721838E-3</v>
      </c>
      <c r="O2811">
        <v>2.1879369999999999E-2</v>
      </c>
      <c r="P2811">
        <v>0.98057930000000004</v>
      </c>
      <c r="Q2811">
        <v>0.1764558</v>
      </c>
      <c r="R2811">
        <v>-8.5602419999999999E-2</v>
      </c>
      <c r="S2811">
        <v>3.050751</v>
      </c>
      <c r="T2811">
        <v>-9.748685E-2</v>
      </c>
      <c r="U2811">
        <v>-0.30035400000000001</v>
      </c>
      <c r="V2811">
        <v>0.1070441</v>
      </c>
      <c r="W2811">
        <v>0.18595619999999999</v>
      </c>
      <c r="X2811">
        <v>0.97670970000000001</v>
      </c>
      <c r="Y2811">
        <v>0.119646</v>
      </c>
      <c r="Z2811">
        <v>-2.975073E-3</v>
      </c>
      <c r="AA2811">
        <v>0.99281220000000003</v>
      </c>
      <c r="AB2811">
        <v>34</v>
      </c>
      <c r="AC2811">
        <v>34.709799999999902</v>
      </c>
      <c r="AD2811">
        <v>-1.1205404635609999</v>
      </c>
      <c r="AE2811">
        <v>-3.4602000000000102</v>
      </c>
      <c r="AF2811">
        <v>4.2144869057593599</v>
      </c>
      <c r="AG2811">
        <v>-1.1205404635609999</v>
      </c>
      <c r="AH2811">
        <v>34.590084708763499</v>
      </c>
      <c r="AI2811">
        <v>91.841827776443097</v>
      </c>
      <c r="AJ2811">
        <v>83.053271068845206</v>
      </c>
      <c r="AK2811">
        <v>34.863899250782701</v>
      </c>
      <c r="AL2811">
        <v>79.283113883213801</v>
      </c>
      <c r="AM2811">
        <v>83.745537117847604</v>
      </c>
      <c r="AN2811">
        <v>0.99999999286867003</v>
      </c>
    </row>
    <row r="2812" spans="1:40" x14ac:dyDescent="0.25">
      <c r="A2812" t="str">
        <f>"20190303162604050"</f>
        <v>20190303162604050</v>
      </c>
      <c r="B2812" t="str">
        <f>"1551601564035726"</f>
        <v>1551601564035726</v>
      </c>
      <c r="C2812" t="s">
        <v>40</v>
      </c>
      <c r="D2812">
        <v>4.9732229999999999</v>
      </c>
      <c r="E2812">
        <v>0.50576620000000005</v>
      </c>
      <c r="F2812" t="s">
        <v>48</v>
      </c>
      <c r="G2812">
        <v>-258.91039999999998</v>
      </c>
      <c r="H2812" s="1">
        <v>3.301514E-6</v>
      </c>
      <c r="I2812">
        <v>212.40549999999999</v>
      </c>
      <c r="J2812">
        <v>-293.67930000000001</v>
      </c>
      <c r="K2812">
        <v>1.1205510000000001</v>
      </c>
      <c r="L2812">
        <v>215.8681</v>
      </c>
      <c r="M2812">
        <v>0.99971310000000002</v>
      </c>
      <c r="N2812">
        <v>-9.7562819999999998E-3</v>
      </c>
      <c r="O2812">
        <v>2.1879860000000001E-2</v>
      </c>
      <c r="P2812">
        <v>0.98059759999999996</v>
      </c>
      <c r="Q2812">
        <v>0.17659320000000001</v>
      </c>
      <c r="R2812">
        <v>-8.5108119999999995E-2</v>
      </c>
      <c r="S2812">
        <v>3.0507200000000001</v>
      </c>
      <c r="T2812">
        <v>-9.7251299999999999E-2</v>
      </c>
      <c r="U2812">
        <v>-0.29978939999999998</v>
      </c>
      <c r="V2812">
        <v>0.1065507</v>
      </c>
      <c r="W2812">
        <v>0.18612770000000001</v>
      </c>
      <c r="X2812">
        <v>0.97673100000000002</v>
      </c>
      <c r="Y2812">
        <v>0.1194659</v>
      </c>
      <c r="Z2812">
        <v>-2.9664069999999999E-3</v>
      </c>
      <c r="AA2812">
        <v>0.99283390000000005</v>
      </c>
      <c r="AB2812">
        <v>34</v>
      </c>
      <c r="AC2812">
        <v>34.768900000000002</v>
      </c>
      <c r="AD2812">
        <v>-1.1205476984860001</v>
      </c>
      <c r="AE2812">
        <v>-3.4626000000000001</v>
      </c>
      <c r="AF2812">
        <v>4.2182074872458903</v>
      </c>
      <c r="AG2812">
        <v>-1.1205476984860001</v>
      </c>
      <c r="AH2812">
        <v>34.649175258635999</v>
      </c>
      <c r="AI2812">
        <v>91.838722894408605</v>
      </c>
      <c r="AJ2812">
        <v>83.058939953027405</v>
      </c>
      <c r="AK2812">
        <v>34.922975927800202</v>
      </c>
      <c r="AL2812">
        <v>79.2731132396991</v>
      </c>
      <c r="AM2812">
        <v>83.774273702111003</v>
      </c>
      <c r="AN2812">
        <v>1.0000000093693899</v>
      </c>
    </row>
    <row r="2813" spans="1:40" x14ac:dyDescent="0.25">
      <c r="A2813" t="str">
        <f>"20190303162604073"</f>
        <v>20190303162604073</v>
      </c>
      <c r="B2813" t="str">
        <f>"1551601564065983"</f>
        <v>1551601564065983</v>
      </c>
      <c r="C2813" t="s">
        <v>40</v>
      </c>
      <c r="D2813">
        <v>4.865062</v>
      </c>
      <c r="E2813">
        <v>0.5056176</v>
      </c>
      <c r="F2813" t="s">
        <v>48</v>
      </c>
      <c r="G2813">
        <v>-257.70929999999998</v>
      </c>
      <c r="H2813" s="1">
        <v>2.6645480000000001E-6</v>
      </c>
      <c r="I2813">
        <v>212.35570000000001</v>
      </c>
      <c r="J2813">
        <v>-293.33440000000002</v>
      </c>
      <c r="K2813">
        <v>1.1205510000000001</v>
      </c>
      <c r="L2813">
        <v>215.87569999999999</v>
      </c>
      <c r="M2813">
        <v>0.99971270000000001</v>
      </c>
      <c r="N2813">
        <v>-9.7838360000000006E-3</v>
      </c>
      <c r="O2813">
        <v>2.188025E-2</v>
      </c>
      <c r="P2813">
        <v>0.98057950000000005</v>
      </c>
      <c r="Q2813">
        <v>0.17704610000000001</v>
      </c>
      <c r="R2813">
        <v>-8.4371420000000003E-2</v>
      </c>
      <c r="S2813">
        <v>3.050659</v>
      </c>
      <c r="T2813">
        <v>-9.50352E-2</v>
      </c>
      <c r="U2813">
        <v>-0.29789729999999998</v>
      </c>
      <c r="V2813">
        <v>0.1058143</v>
      </c>
      <c r="W2813">
        <v>0.18660740000000001</v>
      </c>
      <c r="X2813">
        <v>0.97671949999999996</v>
      </c>
      <c r="Y2813">
        <v>0.1188622</v>
      </c>
      <c r="Z2813">
        <v>-2.8961120000000002E-3</v>
      </c>
      <c r="AA2813">
        <v>0.99290659999999997</v>
      </c>
      <c r="AB2813">
        <v>34</v>
      </c>
      <c r="AC2813">
        <v>35.625100000000003</v>
      </c>
      <c r="AD2813">
        <v>-1.1205483354520001</v>
      </c>
      <c r="AE2813">
        <v>-3.51999999999998</v>
      </c>
      <c r="AF2813">
        <v>4.2944730008568204</v>
      </c>
      <c r="AG2813">
        <v>-1.1205483354520001</v>
      </c>
      <c r="AH2813">
        <v>35.504761376801703</v>
      </c>
      <c r="AI2813">
        <v>91.794612579730199</v>
      </c>
      <c r="AJ2813">
        <v>83.103300580286501</v>
      </c>
      <c r="AK2813">
        <v>35.781087285754701</v>
      </c>
      <c r="AL2813">
        <v>79.245138068639903</v>
      </c>
      <c r="AM2813">
        <v>83.8168946832442</v>
      </c>
      <c r="AN2813">
        <v>0.99999998474974905</v>
      </c>
    </row>
    <row r="2814" spans="1:40" x14ac:dyDescent="0.25">
      <c r="A2814" t="str">
        <f>"20190303162604092"</f>
        <v>20190303162604092</v>
      </c>
      <c r="B2814" t="str">
        <f>"1551601564076719"</f>
        <v>1551601564076719</v>
      </c>
      <c r="C2814" t="s">
        <v>40</v>
      </c>
      <c r="D2814">
        <v>5.0688139999999997</v>
      </c>
      <c r="E2814">
        <v>0.50533359999999905</v>
      </c>
      <c r="F2814" t="s">
        <v>48</v>
      </c>
      <c r="G2814">
        <v>-256.51440000000002</v>
      </c>
      <c r="H2814" s="1">
        <v>2.030405E-6</v>
      </c>
      <c r="I2814">
        <v>212.3158</v>
      </c>
      <c r="J2814">
        <v>-293.05180000000001</v>
      </c>
      <c r="K2814">
        <v>1.1205369999999999</v>
      </c>
      <c r="L2814">
        <v>215.8819</v>
      </c>
      <c r="M2814">
        <v>0.99971259999999995</v>
      </c>
      <c r="N2814">
        <v>-9.8013949999999992E-3</v>
      </c>
      <c r="O2814">
        <v>2.1875970000000002E-2</v>
      </c>
      <c r="P2814">
        <v>0.98062400000000005</v>
      </c>
      <c r="Q2814">
        <v>0.1773882</v>
      </c>
      <c r="R2814">
        <v>-8.3127099999999995E-2</v>
      </c>
      <c r="S2814">
        <v>3.0508419999999998</v>
      </c>
      <c r="T2814">
        <v>-9.2846750000000006E-2</v>
      </c>
      <c r="U2814">
        <v>-0.2949677</v>
      </c>
      <c r="V2814">
        <v>0.10456790000000001</v>
      </c>
      <c r="W2814">
        <v>0.18696670000000001</v>
      </c>
      <c r="X2814">
        <v>0.97678509999999996</v>
      </c>
      <c r="Y2814">
        <v>0.1179114</v>
      </c>
      <c r="Z2814">
        <v>-2.81935E-3</v>
      </c>
      <c r="AA2814">
        <v>0.99302009999999996</v>
      </c>
      <c r="AB2814">
        <v>34</v>
      </c>
      <c r="AC2814">
        <v>36.537399999999899</v>
      </c>
      <c r="AD2814">
        <v>-1.120534969595</v>
      </c>
      <c r="AE2814">
        <v>-3.5661</v>
      </c>
      <c r="AF2814">
        <v>4.3605135001191702</v>
      </c>
      <c r="AG2814">
        <v>-1.120534969595</v>
      </c>
      <c r="AH2814">
        <v>36.416711792424202</v>
      </c>
      <c r="AI2814">
        <v>91.749931326459802</v>
      </c>
      <c r="AJ2814">
        <v>83.171949030434604</v>
      </c>
      <c r="AK2814">
        <v>36.693958281647603</v>
      </c>
      <c r="AL2814">
        <v>79.224183735932201</v>
      </c>
      <c r="AM2814">
        <v>83.889579254911695</v>
      </c>
      <c r="AN2814">
        <v>1.00000006210065</v>
      </c>
    </row>
    <row r="2815" spans="1:40" x14ac:dyDescent="0.25">
      <c r="A2815" t="str">
        <f>"20190303162604114"</f>
        <v>20190303162604114</v>
      </c>
      <c r="B2815" t="str">
        <f>"1551601564105754"</f>
        <v>1551601564105754</v>
      </c>
      <c r="C2815" t="s">
        <v>40</v>
      </c>
      <c r="D2815">
        <v>4.8829370000000001</v>
      </c>
      <c r="E2815">
        <v>0.4757942</v>
      </c>
      <c r="F2815" t="s">
        <v>48</v>
      </c>
      <c r="G2815">
        <v>-255.84989999999999</v>
      </c>
      <c r="H2815" s="1">
        <v>1.6749930000000001E-6</v>
      </c>
      <c r="I2815">
        <v>212.3571</v>
      </c>
      <c r="J2815">
        <v>-292.70370000000003</v>
      </c>
      <c r="K2815">
        <v>1.12053799999999</v>
      </c>
      <c r="L2815">
        <v>215.8895</v>
      </c>
      <c r="M2815">
        <v>0.99971299999999996</v>
      </c>
      <c r="N2815">
        <v>-9.8167640000000004E-3</v>
      </c>
      <c r="O2815">
        <v>2.1854080000000001E-2</v>
      </c>
      <c r="P2815">
        <v>0.98074130000000004</v>
      </c>
      <c r="Q2815">
        <v>0.17738689999999999</v>
      </c>
      <c r="R2815">
        <v>-8.1734500000000002E-2</v>
      </c>
      <c r="S2815">
        <v>3.0513919999999999</v>
      </c>
      <c r="T2815">
        <v>-9.1909169999999998E-2</v>
      </c>
      <c r="U2815">
        <v>-0.28910829999999998</v>
      </c>
      <c r="V2815">
        <v>0.10316110000000001</v>
      </c>
      <c r="W2815">
        <v>0.1869798</v>
      </c>
      <c r="X2815">
        <v>0.97693209999999997</v>
      </c>
      <c r="Y2815">
        <v>0.1159854</v>
      </c>
      <c r="Z2815">
        <v>-2.7560039999999998E-3</v>
      </c>
      <c r="AA2815">
        <v>0.99324710000000005</v>
      </c>
      <c r="AB2815">
        <v>34</v>
      </c>
      <c r="AC2815">
        <v>36.8538</v>
      </c>
      <c r="AD2815">
        <v>-1.12053632500699</v>
      </c>
      <c r="AE2815">
        <v>-3.5323999999999902</v>
      </c>
      <c r="AF2815">
        <v>4.3330317211690197</v>
      </c>
      <c r="AG2815">
        <v>-1.12053632500699</v>
      </c>
      <c r="AH2815">
        <v>36.734146285658703</v>
      </c>
      <c r="AI2815">
        <v>91.735183128227106</v>
      </c>
      <c r="AJ2815">
        <v>83.272675583236705</v>
      </c>
      <c r="AK2815">
        <v>37.005786964858501</v>
      </c>
      <c r="AL2815">
        <v>79.223418934634793</v>
      </c>
      <c r="AM2815">
        <v>83.972076516037305</v>
      </c>
      <c r="AN2815">
        <v>0.99999999308582999</v>
      </c>
    </row>
    <row r="2816" spans="1:40" x14ac:dyDescent="0.25">
      <c r="A2816" t="str">
        <f>"20190303162604136"</f>
        <v>20190303162604136</v>
      </c>
      <c r="B2816" t="str">
        <f>"1551601564126249"</f>
        <v>1551601564126249</v>
      </c>
      <c r="C2816" t="s">
        <v>40</v>
      </c>
      <c r="D2816">
        <v>5.1674360000000004</v>
      </c>
      <c r="E2816">
        <v>0.4643427</v>
      </c>
      <c r="F2816" t="s">
        <v>48</v>
      </c>
      <c r="G2816">
        <v>-267.47469999999998</v>
      </c>
      <c r="H2816" s="1">
        <v>2.4032480000000002E-6</v>
      </c>
      <c r="I2816">
        <v>215.47710000000001</v>
      </c>
      <c r="J2816">
        <v>-292.36970000000002</v>
      </c>
      <c r="K2816">
        <v>1.120514</v>
      </c>
      <c r="L2816">
        <v>215.89680000000001</v>
      </c>
      <c r="M2816">
        <v>0.99971399999999999</v>
      </c>
      <c r="N2816">
        <v>-9.8272889999999995E-3</v>
      </c>
      <c r="O2816">
        <v>2.180259E-2</v>
      </c>
      <c r="P2816">
        <v>0.98075210000000002</v>
      </c>
      <c r="Q2816">
        <v>0.17807329999999999</v>
      </c>
      <c r="R2816">
        <v>-8.0094349999999995E-2</v>
      </c>
      <c r="S2816">
        <v>3.0794679999999999</v>
      </c>
      <c r="T2816">
        <v>-0.13677310000000001</v>
      </c>
      <c r="U2816">
        <v>-5.0338750000000002E-2</v>
      </c>
      <c r="V2816">
        <v>0.1014803</v>
      </c>
      <c r="W2816">
        <v>0.18767210000000001</v>
      </c>
      <c r="X2816">
        <v>0.97697540000000005</v>
      </c>
      <c r="Y2816">
        <v>3.8082360000000003E-2</v>
      </c>
      <c r="Z2816">
        <v>-1.78610799999999E-3</v>
      </c>
      <c r="AA2816">
        <v>0.99927299999999997</v>
      </c>
      <c r="AB2816">
        <v>34</v>
      </c>
      <c r="AC2816">
        <v>24.895</v>
      </c>
      <c r="AD2816">
        <v>-1.1205115967520001</v>
      </c>
      <c r="AE2816">
        <v>-0.41970000000000601</v>
      </c>
      <c r="AF2816">
        <v>0.96045671867555804</v>
      </c>
      <c r="AG2816">
        <v>-1.1205115967520001</v>
      </c>
      <c r="AH2816">
        <v>24.829643804416602</v>
      </c>
      <c r="AI2816">
        <v>92.581961178762995</v>
      </c>
      <c r="AJ2816">
        <v>87.784797297061601</v>
      </c>
      <c r="AK2816">
        <v>24.8734644712213</v>
      </c>
      <c r="AL2816">
        <v>79.183038317587503</v>
      </c>
      <c r="AM2816">
        <v>84.069844530771505</v>
      </c>
      <c r="AN2816">
        <v>1.00000000030583</v>
      </c>
    </row>
    <row r="2817" spans="1:40" x14ac:dyDescent="0.25">
      <c r="A2817" t="str">
        <f>"20190303162604158"</f>
        <v>20190303162604158</v>
      </c>
      <c r="B2817" t="str">
        <f>"1551601564145770"</f>
        <v>1551601564145770</v>
      </c>
      <c r="C2817" t="s">
        <v>40</v>
      </c>
      <c r="D2817">
        <v>5.1611050000000001</v>
      </c>
      <c r="E2817">
        <v>0.46003870000000002</v>
      </c>
      <c r="F2817" t="s">
        <v>48</v>
      </c>
      <c r="G2817">
        <v>-268.43920000000003</v>
      </c>
      <c r="H2817" s="1">
        <v>2.8828289999999999E-6</v>
      </c>
      <c r="I2817">
        <v>216.24789999999999</v>
      </c>
      <c r="J2817">
        <v>-292.03399999999999</v>
      </c>
      <c r="K2817">
        <v>1.1204799999999999</v>
      </c>
      <c r="L2817">
        <v>215.904</v>
      </c>
      <c r="M2817">
        <v>0.99971600000000005</v>
      </c>
      <c r="N2817">
        <v>-9.8360940000000001E-3</v>
      </c>
      <c r="O2817">
        <v>2.1709659999999999E-2</v>
      </c>
      <c r="P2817">
        <v>0.98071779999999997</v>
      </c>
      <c r="Q2817">
        <v>0.17860509999999999</v>
      </c>
      <c r="R2817">
        <v>-7.9330869999999998E-2</v>
      </c>
      <c r="S2817">
        <v>3.088867</v>
      </c>
      <c r="T2817">
        <v>-0.1446317</v>
      </c>
      <c r="U2817">
        <v>4.5318600000000001E-2</v>
      </c>
      <c r="V2817">
        <v>0.1006396</v>
      </c>
      <c r="W2817">
        <v>0.1882046</v>
      </c>
      <c r="X2817">
        <v>0.97695989999999999</v>
      </c>
      <c r="Y2817">
        <v>7.0176839999999997E-3</v>
      </c>
      <c r="Z2817">
        <v>-1.001088E-3</v>
      </c>
      <c r="AA2817">
        <v>0.99997480000000005</v>
      </c>
      <c r="AB2817">
        <v>34</v>
      </c>
      <c r="AC2817">
        <v>23.5947999999999</v>
      </c>
      <c r="AD2817">
        <v>-1.120477117171</v>
      </c>
      <c r="AE2817">
        <v>0.34389999999996201</v>
      </c>
      <c r="AF2817">
        <v>0.16806196744434701</v>
      </c>
      <c r="AG2817">
        <v>-1.120477117171</v>
      </c>
      <c r="AH2817">
        <v>23.543622023732301</v>
      </c>
      <c r="AI2817">
        <v>92.724668901776994</v>
      </c>
      <c r="AJ2817">
        <v>89.591011193104706</v>
      </c>
      <c r="AK2817">
        <v>23.570868711003801</v>
      </c>
      <c r="AL2817">
        <v>79.151974492534407</v>
      </c>
      <c r="AM2817">
        <v>84.118533658365493</v>
      </c>
      <c r="AN2817">
        <v>0.99999997337866398</v>
      </c>
    </row>
    <row r="2818" spans="1:40" x14ac:dyDescent="0.25">
      <c r="A2818" t="str">
        <f>"20190303162604181"</f>
        <v>20190303162604181</v>
      </c>
      <c r="B2818" t="str">
        <f>"1551601564176026"</f>
        <v>1551601564176026</v>
      </c>
      <c r="C2818" t="s">
        <v>40</v>
      </c>
      <c r="D2818">
        <v>5.0018269999999996</v>
      </c>
      <c r="E2818">
        <v>0.45800689999999999</v>
      </c>
      <c r="F2818" t="s">
        <v>48</v>
      </c>
      <c r="G2818">
        <v>-267.77449999999999</v>
      </c>
      <c r="H2818" s="1">
        <v>2.5161200000000001E-6</v>
      </c>
      <c r="I2818">
        <v>216.54429999999999</v>
      </c>
      <c r="J2818">
        <v>-291.67079999999999</v>
      </c>
      <c r="K2818">
        <v>1.120436</v>
      </c>
      <c r="L2818">
        <v>215.9118</v>
      </c>
      <c r="M2818">
        <v>0.99971940000000004</v>
      </c>
      <c r="N2818">
        <v>-9.8442830000000005E-3</v>
      </c>
      <c r="O2818">
        <v>2.1548319999999999E-2</v>
      </c>
      <c r="P2818">
        <v>0.98080990000000001</v>
      </c>
      <c r="Q2818">
        <v>0.17864959999999999</v>
      </c>
      <c r="R2818">
        <v>-7.8079309999999999E-2</v>
      </c>
      <c r="S2818">
        <v>3.0916139999999999</v>
      </c>
      <c r="T2818">
        <v>-0.1427928</v>
      </c>
      <c r="U2818">
        <v>8.1588750000000002E-2</v>
      </c>
      <c r="V2818">
        <v>9.925283E-2</v>
      </c>
      <c r="W2818">
        <v>0.1882481</v>
      </c>
      <c r="X2818">
        <v>0.9770934</v>
      </c>
      <c r="Y2818">
        <v>-4.8411130000000002E-3</v>
      </c>
      <c r="Z2818">
        <v>-6.4682119999999997E-4</v>
      </c>
      <c r="AA2818">
        <v>0.99998810000000005</v>
      </c>
      <c r="AB2818">
        <v>34</v>
      </c>
      <c r="AC2818">
        <v>23.8963</v>
      </c>
      <c r="AD2818">
        <v>-1.1204334838799901</v>
      </c>
      <c r="AE2818">
        <v>0.63249999999999296</v>
      </c>
      <c r="AF2818">
        <v>-0.11714572790027999</v>
      </c>
      <c r="AG2818">
        <v>-1.1204334838799901</v>
      </c>
      <c r="AH2818">
        <v>23.8519809234425</v>
      </c>
      <c r="AI2818">
        <v>92.689427834141995</v>
      </c>
      <c r="AJ2818">
        <v>90.281398088131795</v>
      </c>
      <c r="AK2818">
        <v>23.878569644885101</v>
      </c>
      <c r="AL2818">
        <v>79.149436968981504</v>
      </c>
      <c r="AM2818">
        <v>84.199808365373499</v>
      </c>
      <c r="AN2818">
        <v>0.99999999187008903</v>
      </c>
    </row>
    <row r="2819" spans="1:40" x14ac:dyDescent="0.25">
      <c r="A2819" t="str">
        <f>"20190303162604203"</f>
        <v>20190303162604203</v>
      </c>
      <c r="B2819" t="str">
        <f>"1551601564196411"</f>
        <v>1551601564196411</v>
      </c>
      <c r="C2819" t="s">
        <v>40</v>
      </c>
      <c r="D2819">
        <v>5.0351269999999904</v>
      </c>
      <c r="E2819">
        <v>0.45735629999999999</v>
      </c>
      <c r="F2819" t="s">
        <v>48</v>
      </c>
      <c r="G2819">
        <v>-267.95499999999998</v>
      </c>
      <c r="H2819" s="1">
        <v>2.6060020000000002E-6</v>
      </c>
      <c r="I2819">
        <v>216.68549999999999</v>
      </c>
      <c r="J2819">
        <v>-291.33049999999997</v>
      </c>
      <c r="K2819">
        <v>1.12039</v>
      </c>
      <c r="L2819">
        <v>215.91890000000001</v>
      </c>
      <c r="M2819">
        <v>0.99972369999999999</v>
      </c>
      <c r="N2819">
        <v>-9.851014E-3</v>
      </c>
      <c r="O2819">
        <v>2.1340419999999999E-2</v>
      </c>
      <c r="P2819">
        <v>0.98090739999999998</v>
      </c>
      <c r="Q2819">
        <v>0.1784876</v>
      </c>
      <c r="R2819">
        <v>-7.722089E-2</v>
      </c>
      <c r="S2819">
        <v>3.093353</v>
      </c>
      <c r="T2819">
        <v>-0.14614260000000001</v>
      </c>
      <c r="U2819">
        <v>0.1009216</v>
      </c>
      <c r="V2819">
        <v>9.8213809999999999E-2</v>
      </c>
      <c r="W2819">
        <v>0.18808330000000001</v>
      </c>
      <c r="X2819">
        <v>0.97723009999999999</v>
      </c>
      <c r="Y2819">
        <v>-1.127014E-2</v>
      </c>
      <c r="Z2819">
        <v>-4.7555319999999999E-4</v>
      </c>
      <c r="AA2819">
        <v>0.99993639999999995</v>
      </c>
      <c r="AB2819">
        <v>34</v>
      </c>
      <c r="AC2819">
        <v>23.375499999999899</v>
      </c>
      <c r="AD2819">
        <v>-1.120387393998</v>
      </c>
      <c r="AE2819">
        <v>0.76659999999998196</v>
      </c>
      <c r="AF2819">
        <v>-0.26694560143296198</v>
      </c>
      <c r="AG2819">
        <v>-1.120387393998</v>
      </c>
      <c r="AH2819">
        <v>23.332991567501701</v>
      </c>
      <c r="AI2819">
        <v>92.748897836765394</v>
      </c>
      <c r="AJ2819">
        <v>90.655474846334897</v>
      </c>
      <c r="AK2819">
        <v>23.361400286709301</v>
      </c>
      <c r="AL2819">
        <v>79.1590508539566</v>
      </c>
      <c r="AM2819">
        <v>84.260917197261193</v>
      </c>
      <c r="AN2819">
        <v>0.99999997427980702</v>
      </c>
    </row>
    <row r="2820" spans="1:40" x14ac:dyDescent="0.25">
      <c r="A2820" t="str">
        <f>"20190303162604227"</f>
        <v>20190303162604227</v>
      </c>
      <c r="B2820" t="str">
        <f>"1551601564215930"</f>
        <v>1551601564215930</v>
      </c>
      <c r="C2820" t="s">
        <v>40</v>
      </c>
      <c r="D2820">
        <v>5.0161059999999997</v>
      </c>
      <c r="E2820">
        <v>0.45687680000000003</v>
      </c>
      <c r="F2820" t="s">
        <v>48</v>
      </c>
      <c r="G2820">
        <v>-267.40230000000003</v>
      </c>
      <c r="H2820" s="1">
        <v>2.3085169999999998E-6</v>
      </c>
      <c r="I2820">
        <v>216.76320000000001</v>
      </c>
      <c r="J2820">
        <v>-290.97500000000002</v>
      </c>
      <c r="K2820">
        <v>1.12035</v>
      </c>
      <c r="L2820">
        <v>215.9263</v>
      </c>
      <c r="M2820">
        <v>0.99972950000000005</v>
      </c>
      <c r="N2820">
        <v>-9.8573649999999999E-3</v>
      </c>
      <c r="O2820">
        <v>2.1070780000000001E-2</v>
      </c>
      <c r="P2820">
        <v>0.98096289999999997</v>
      </c>
      <c r="Q2820">
        <v>0.17854529999999999</v>
      </c>
      <c r="R2820">
        <v>-7.6379550000000004E-2</v>
      </c>
      <c r="S2820">
        <v>3.0933839999999999</v>
      </c>
      <c r="T2820">
        <v>-0.1448411</v>
      </c>
      <c r="U2820">
        <v>0.1091461</v>
      </c>
      <c r="V2820">
        <v>9.7130369999999994E-2</v>
      </c>
      <c r="W2820">
        <v>0.1881381</v>
      </c>
      <c r="X2820">
        <v>0.97732790000000003</v>
      </c>
      <c r="Y2820">
        <v>-1.419082E-2</v>
      </c>
      <c r="Z2820">
        <v>-3.7606320000000001E-4</v>
      </c>
      <c r="AA2820">
        <v>0.99989919999999999</v>
      </c>
      <c r="AB2820">
        <v>34</v>
      </c>
      <c r="AC2820">
        <v>23.572700000000001</v>
      </c>
      <c r="AD2820">
        <v>-1.120347691483</v>
      </c>
      <c r="AE2820">
        <v>0.83690000000001397</v>
      </c>
      <c r="AF2820">
        <v>-0.33922962085347602</v>
      </c>
      <c r="AG2820">
        <v>-1.120347691483</v>
      </c>
      <c r="AH2820">
        <v>23.5320127029266</v>
      </c>
      <c r="AI2820">
        <v>92.725483249767805</v>
      </c>
      <c r="AJ2820">
        <v>90.825899577890198</v>
      </c>
      <c r="AK2820">
        <v>23.561109429230498</v>
      </c>
      <c r="AL2820">
        <v>79.155854681874203</v>
      </c>
      <c r="AM2820">
        <v>84.3243761509205</v>
      </c>
      <c r="AN2820">
        <v>1.00000003878317</v>
      </c>
    </row>
    <row r="2821" spans="1:40" x14ac:dyDescent="0.25">
      <c r="A2821" t="str">
        <f>"20190303162604252"</f>
        <v>20190303162604252</v>
      </c>
      <c r="B2821" t="str">
        <f>"1551601564236426"</f>
        <v>1551601564236426</v>
      </c>
      <c r="C2821" t="s">
        <v>40</v>
      </c>
      <c r="D2821">
        <v>4.9470460000000003</v>
      </c>
      <c r="E2821">
        <v>0.45683240000000003</v>
      </c>
      <c r="F2821" t="s">
        <v>48</v>
      </c>
      <c r="G2821">
        <v>-267.86239999999998</v>
      </c>
      <c r="H2821" s="1">
        <v>2.552135E-6</v>
      </c>
      <c r="I2821">
        <v>216.7903</v>
      </c>
      <c r="J2821">
        <v>-290.5829</v>
      </c>
      <c r="K2821">
        <v>1.1203050000000001</v>
      </c>
      <c r="L2821">
        <v>215.9342</v>
      </c>
      <c r="M2821">
        <v>0.99973679999999998</v>
      </c>
      <c r="N2821">
        <v>-9.863821E-3</v>
      </c>
      <c r="O2821">
        <v>2.0713869999999999E-2</v>
      </c>
      <c r="P2821">
        <v>0.98102579999999995</v>
      </c>
      <c r="Q2821">
        <v>0.17843709999999999</v>
      </c>
      <c r="R2821">
        <v>-7.5818730000000001E-2</v>
      </c>
      <c r="S2821">
        <v>3.0945130000000001</v>
      </c>
      <c r="T2821">
        <v>-0.15000150000000001</v>
      </c>
      <c r="U2821">
        <v>0.11569210000000001</v>
      </c>
      <c r="V2821">
        <v>9.6242110000000006E-2</v>
      </c>
      <c r="W2821">
        <v>0.1880271</v>
      </c>
      <c r="X2821">
        <v>0.97743709999999995</v>
      </c>
      <c r="Y2821">
        <v>-1.6643599999999901E-2</v>
      </c>
      <c r="Z2821">
        <v>-3.1361269999999997E-4</v>
      </c>
      <c r="AA2821">
        <v>0.99986140000000001</v>
      </c>
      <c r="AB2821">
        <v>35</v>
      </c>
      <c r="AC2821">
        <v>22.720500000000001</v>
      </c>
      <c r="AD2821">
        <v>-1.1203024478650001</v>
      </c>
      <c r="AE2821">
        <v>0.85609999999999697</v>
      </c>
      <c r="AF2821">
        <v>-0.38433083746329</v>
      </c>
      <c r="AG2821">
        <v>-1.1203024478650001</v>
      </c>
      <c r="AH2821">
        <v>22.678299626929501</v>
      </c>
      <c r="AI2821">
        <v>92.827693095408804</v>
      </c>
      <c r="AJ2821">
        <v>90.970902912699003</v>
      </c>
      <c r="AK2821">
        <v>22.709206541315101</v>
      </c>
      <c r="AL2821">
        <v>79.1623297543711</v>
      </c>
      <c r="AM2821">
        <v>84.376569914265701</v>
      </c>
      <c r="AN2821">
        <v>1.00000000926403</v>
      </c>
    </row>
    <row r="2822" spans="1:40" x14ac:dyDescent="0.25">
      <c r="A2822" t="str">
        <f>"20190303162604277"</f>
        <v>20190303162604277</v>
      </c>
      <c r="B2822" t="str">
        <f>"1551601564266682"</f>
        <v>1551601564266682</v>
      </c>
      <c r="C2822" t="s">
        <v>40</v>
      </c>
      <c r="D2822">
        <v>4.9224319999999997</v>
      </c>
      <c r="E2822">
        <v>0.45661200000000002</v>
      </c>
      <c r="F2822" t="s">
        <v>48</v>
      </c>
      <c r="G2822">
        <v>-268.0086</v>
      </c>
      <c r="H2822" s="1">
        <v>2.6298569999999999E-6</v>
      </c>
      <c r="I2822">
        <v>216.7927</v>
      </c>
      <c r="J2822">
        <v>-290.19619999999998</v>
      </c>
      <c r="K2822">
        <v>1.1202620000000001</v>
      </c>
      <c r="L2822">
        <v>215.9418</v>
      </c>
      <c r="M2822">
        <v>0.9997452</v>
      </c>
      <c r="N2822">
        <v>-9.8697209999999997E-3</v>
      </c>
      <c r="O2822">
        <v>2.0305210000000001E-2</v>
      </c>
      <c r="P2822">
        <v>0.98118899999999998</v>
      </c>
      <c r="Q2822">
        <v>0.1777601</v>
      </c>
      <c r="R2822">
        <v>-7.5295819999999999E-2</v>
      </c>
      <c r="S2822">
        <v>3.0950929999999999</v>
      </c>
      <c r="T2822">
        <v>-0.15360079999999901</v>
      </c>
      <c r="U2822">
        <v>0.1177063</v>
      </c>
      <c r="V2822">
        <v>9.5340510000000003E-2</v>
      </c>
      <c r="W2822">
        <v>0.1873494</v>
      </c>
      <c r="X2822">
        <v>0.97765559999999996</v>
      </c>
      <c r="Y2822">
        <v>-1.7693070000000002E-2</v>
      </c>
      <c r="Z2822">
        <v>-2.8027739999999997E-4</v>
      </c>
      <c r="AA2822">
        <v>0.99984340000000005</v>
      </c>
      <c r="AB2822">
        <v>35</v>
      </c>
      <c r="AC2822">
        <v>22.1875999999999</v>
      </c>
      <c r="AD2822">
        <v>-1.1202593701429999</v>
      </c>
      <c r="AE2822">
        <v>0.85089999999999499</v>
      </c>
      <c r="AF2822">
        <v>-0.399162688485938</v>
      </c>
      <c r="AG2822">
        <v>-1.1202593701429999</v>
      </c>
      <c r="AH2822">
        <v>22.143935579684701</v>
      </c>
      <c r="AI2822">
        <v>92.895648820821407</v>
      </c>
      <c r="AJ2822">
        <v>91.032691804086099</v>
      </c>
      <c r="AK2822">
        <v>22.175847105928</v>
      </c>
      <c r="AL2822">
        <v>79.201861990440406</v>
      </c>
      <c r="AM2822">
        <v>84.430154742587007</v>
      </c>
      <c r="AN2822">
        <v>1.0000000413693799</v>
      </c>
    </row>
    <row r="2823" spans="1:40" x14ac:dyDescent="0.25">
      <c r="A2823" t="str">
        <f>"20190303162604296"</f>
        <v>20190303162604296</v>
      </c>
      <c r="B2823" t="str">
        <f>"1551601564286202"</f>
        <v>1551601564286202</v>
      </c>
      <c r="C2823" t="s">
        <v>40</v>
      </c>
      <c r="D2823">
        <v>5.0248309999999998</v>
      </c>
      <c r="E2823">
        <v>0.45641559999999998</v>
      </c>
      <c r="F2823" t="s">
        <v>48</v>
      </c>
      <c r="G2823">
        <v>-268.20780000000002</v>
      </c>
      <c r="H2823" s="1">
        <v>2.7354390000000001E-6</v>
      </c>
      <c r="I2823">
        <v>216.80189999999999</v>
      </c>
      <c r="J2823">
        <v>-289.8929</v>
      </c>
      <c r="K2823">
        <v>1.1202289999999999</v>
      </c>
      <c r="L2823">
        <v>215.9477</v>
      </c>
      <c r="M2823">
        <v>0.99975230000000004</v>
      </c>
      <c r="N2823">
        <v>-9.8741709999999993E-3</v>
      </c>
      <c r="O2823">
        <v>1.9947360000000001E-2</v>
      </c>
      <c r="P2823">
        <v>0.98122790000000004</v>
      </c>
      <c r="Q2823">
        <v>0.17762069999999999</v>
      </c>
      <c r="R2823">
        <v>-7.5118909999999997E-2</v>
      </c>
      <c r="S2823">
        <v>3.0953979999999999</v>
      </c>
      <c r="T2823">
        <v>-0.15770329999999999</v>
      </c>
      <c r="U2823">
        <v>0.12107850000000001</v>
      </c>
      <c r="V2823">
        <v>9.482749E-2</v>
      </c>
      <c r="W2823">
        <v>0.1872084</v>
      </c>
      <c r="X2823">
        <v>0.9777325</v>
      </c>
      <c r="Y2823">
        <v>-1.9132090000000001E-2</v>
      </c>
      <c r="Z2823">
        <v>-2.3682210000000001E-4</v>
      </c>
      <c r="AA2823">
        <v>0.99981699999999996</v>
      </c>
      <c r="AB2823">
        <v>35</v>
      </c>
      <c r="AC2823">
        <v>21.685099999999899</v>
      </c>
      <c r="AD2823">
        <v>-1.1202262645609999</v>
      </c>
      <c r="AE2823">
        <v>0.85419999999999097</v>
      </c>
      <c r="AF2823">
        <v>-0.42032848797161398</v>
      </c>
      <c r="AG2823">
        <v>-1.1202262645609999</v>
      </c>
      <c r="AH2823">
        <v>21.640164634630601</v>
      </c>
      <c r="AI2823">
        <v>92.962774375628101</v>
      </c>
      <c r="AJ2823">
        <v>91.112746637017807</v>
      </c>
      <c r="AK2823">
        <v>21.6732163818739</v>
      </c>
      <c r="AL2823">
        <v>79.210086189912005</v>
      </c>
      <c r="AM2823">
        <v>84.460371720175004</v>
      </c>
      <c r="AN2823">
        <v>1.00000003972325</v>
      </c>
    </row>
    <row r="2824" spans="1:40" x14ac:dyDescent="0.25">
      <c r="A2824" t="str">
        <f>"20190303162604316"</f>
        <v>20190303162604316</v>
      </c>
      <c r="B2824" t="str">
        <f>"1551601564305722"</f>
        <v>1551601564305722</v>
      </c>
      <c r="C2824" t="s">
        <v>40</v>
      </c>
      <c r="D2824">
        <v>5.0263309999999999</v>
      </c>
      <c r="E2824">
        <v>0.45629999999999998</v>
      </c>
      <c r="F2824" t="s">
        <v>48</v>
      </c>
      <c r="G2824">
        <v>-267.95870000000002</v>
      </c>
      <c r="H2824" s="1">
        <v>2.6022069999999998E-6</v>
      </c>
      <c r="I2824">
        <v>216.81790000000001</v>
      </c>
      <c r="J2824">
        <v>-289.58679999999998</v>
      </c>
      <c r="K2824">
        <v>1.1202000000000001</v>
      </c>
      <c r="L2824">
        <v>215.95349999999999</v>
      </c>
      <c r="M2824">
        <v>0.99975990000000003</v>
      </c>
      <c r="N2824">
        <v>-9.8786140000000008E-3</v>
      </c>
      <c r="O2824">
        <v>1.9561729999999999E-2</v>
      </c>
      <c r="P2824">
        <v>0.98126590000000002</v>
      </c>
      <c r="Q2824">
        <v>0.17724089999999901</v>
      </c>
      <c r="R2824">
        <v>-7.5518699999999994E-2</v>
      </c>
      <c r="S2824">
        <v>3.0953979999999999</v>
      </c>
      <c r="T2824">
        <v>-0.15808900000000001</v>
      </c>
      <c r="U2824">
        <v>0.1228027</v>
      </c>
      <c r="V2824">
        <v>9.486311E-2</v>
      </c>
      <c r="W2824">
        <v>0.1868271</v>
      </c>
      <c r="X2824">
        <v>0.9778019</v>
      </c>
      <c r="Y2824">
        <v>-2.007198E-2</v>
      </c>
      <c r="Z2824">
        <v>-1.934913E-4</v>
      </c>
      <c r="AA2824">
        <v>0.99979850000000003</v>
      </c>
      <c r="AB2824">
        <v>35</v>
      </c>
      <c r="AC2824">
        <v>21.6280999999999</v>
      </c>
      <c r="AD2824">
        <v>-1.120197397793</v>
      </c>
      <c r="AE2824">
        <v>0.86440000000001704</v>
      </c>
      <c r="AF2824">
        <v>-0.43995258141636001</v>
      </c>
      <c r="AG2824">
        <v>-1.120197397793</v>
      </c>
      <c r="AH2824">
        <v>21.583065141971801</v>
      </c>
      <c r="AI2824">
        <v>92.970465496568195</v>
      </c>
      <c r="AJ2824">
        <v>91.167764423661893</v>
      </c>
      <c r="AK2824">
        <v>21.6165931961194</v>
      </c>
      <c r="AL2824">
        <v>79.232324636402197</v>
      </c>
      <c r="AM2824">
        <v>84.458694699913593</v>
      </c>
      <c r="AN2824">
        <v>0.99999996528844504</v>
      </c>
    </row>
    <row r="2825" spans="1:40" x14ac:dyDescent="0.25">
      <c r="A2825" t="str">
        <f>"20190303162604338"</f>
        <v>20190303162604338</v>
      </c>
      <c r="B2825" t="str">
        <f>"1551601564326219"</f>
        <v>1551601564326219</v>
      </c>
      <c r="C2825" t="s">
        <v>40</v>
      </c>
      <c r="D2825">
        <v>4.9066269999999896</v>
      </c>
      <c r="E2825">
        <v>0.45628340000000001</v>
      </c>
      <c r="F2825" t="s">
        <v>48</v>
      </c>
      <c r="G2825">
        <v>-267.65050000000002</v>
      </c>
      <c r="H2825" s="1">
        <v>2.438268E-6</v>
      </c>
      <c r="I2825">
        <v>216.8168</v>
      </c>
      <c r="J2825">
        <v>-289.2448</v>
      </c>
      <c r="K2825">
        <v>1.120166</v>
      </c>
      <c r="L2825">
        <v>215.9598</v>
      </c>
      <c r="M2825">
        <v>0.99976860000000001</v>
      </c>
      <c r="N2825">
        <v>-9.8833570000000006E-3</v>
      </c>
      <c r="O2825">
        <v>1.910893E-2</v>
      </c>
      <c r="P2825">
        <v>0.98128079999999995</v>
      </c>
      <c r="Q2825">
        <v>0.1768808</v>
      </c>
      <c r="R2825">
        <v>-7.6165739999999996E-2</v>
      </c>
      <c r="S2825">
        <v>3.0951840000000002</v>
      </c>
      <c r="T2825">
        <v>-0.15805859999999999</v>
      </c>
      <c r="U2825">
        <v>0.1218109</v>
      </c>
      <c r="V2825">
        <v>9.5079689999999994E-2</v>
      </c>
      <c r="W2825">
        <v>0.18646499999999999</v>
      </c>
      <c r="X2825">
        <v>0.97785</v>
      </c>
      <c r="Y2825">
        <v>-2.0207050000000001E-2</v>
      </c>
      <c r="Z2825">
        <v>-1.7056250000000001E-4</v>
      </c>
      <c r="AA2825">
        <v>0.99979580000000001</v>
      </c>
      <c r="AB2825">
        <v>35</v>
      </c>
      <c r="AC2825">
        <v>21.594299999999901</v>
      </c>
      <c r="AD2825">
        <v>-1.120163561732</v>
      </c>
      <c r="AE2825">
        <v>0.85699999999999898</v>
      </c>
      <c r="AF2825">
        <v>-0.44298926868232602</v>
      </c>
      <c r="AG2825">
        <v>-1.120163561732</v>
      </c>
      <c r="AH2825">
        <v>21.5488409480737</v>
      </c>
      <c r="AI2825">
        <v>92.975074529635705</v>
      </c>
      <c r="AJ2825">
        <v>91.177689369111405</v>
      </c>
      <c r="AK2825">
        <v>21.582482528721702</v>
      </c>
      <c r="AL2825">
        <v>79.253442732755204</v>
      </c>
      <c r="AM2825">
        <v>84.446393955588803</v>
      </c>
      <c r="AN2825">
        <v>0.99999998308774796</v>
      </c>
    </row>
    <row r="2826" spans="1:40" x14ac:dyDescent="0.25">
      <c r="A2826" t="str">
        <f>"20190303162604359"</f>
        <v>20190303162604359</v>
      </c>
      <c r="B2826" t="str">
        <f>"1551601564345738"</f>
        <v>1551601564345738</v>
      </c>
      <c r="C2826" t="s">
        <v>40</v>
      </c>
      <c r="D2826">
        <v>5.0298410000000002</v>
      </c>
      <c r="E2826">
        <v>0.45626319999999998</v>
      </c>
      <c r="F2826" t="s">
        <v>48</v>
      </c>
      <c r="G2826">
        <v>-267.20710000000003</v>
      </c>
      <c r="H2826" s="1">
        <v>2.2026319999999999E-6</v>
      </c>
      <c r="I2826">
        <v>216.8092</v>
      </c>
      <c r="J2826">
        <v>-288.93060000000003</v>
      </c>
      <c r="K2826">
        <v>1.1201449999999999</v>
      </c>
      <c r="L2826">
        <v>215.96539999999999</v>
      </c>
      <c r="M2826">
        <v>0.99977669999999996</v>
      </c>
      <c r="N2826">
        <v>-9.8878239999999999E-3</v>
      </c>
      <c r="O2826">
        <v>1.8675580000000001E-2</v>
      </c>
      <c r="P2826">
        <v>0.98123570000000004</v>
      </c>
      <c r="Q2826">
        <v>0.1767792</v>
      </c>
      <c r="R2826">
        <v>-7.6979259999999994E-2</v>
      </c>
      <c r="S2826">
        <v>3.0948180000000001</v>
      </c>
      <c r="T2826">
        <v>-0.157308</v>
      </c>
      <c r="U2826">
        <v>0.1192932</v>
      </c>
      <c r="V2826">
        <v>9.547804E-2</v>
      </c>
      <c r="W2826">
        <v>0.1863619</v>
      </c>
      <c r="X2826">
        <v>0.97783089999999995</v>
      </c>
      <c r="Y2826">
        <v>-1.9833219999999999E-2</v>
      </c>
      <c r="Z2826">
        <v>-1.6194159999999999E-4</v>
      </c>
      <c r="AA2826">
        <v>0.99980329999999995</v>
      </c>
      <c r="AB2826">
        <v>35</v>
      </c>
      <c r="AC2826">
        <v>21.723500000000001</v>
      </c>
      <c r="AD2826">
        <v>-1.120142797368</v>
      </c>
      <c r="AE2826">
        <v>0.84380000000001498</v>
      </c>
      <c r="AF2826">
        <v>-0.43677447633472299</v>
      </c>
      <c r="AG2826">
        <v>-1.120142797368</v>
      </c>
      <c r="AH2826">
        <v>21.677919568614001</v>
      </c>
      <c r="AI2826">
        <v>92.9573611860136</v>
      </c>
      <c r="AJ2826">
        <v>91.154259680729098</v>
      </c>
      <c r="AK2826">
        <v>21.711234157757399</v>
      </c>
      <c r="AL2826">
        <v>79.259455954274998</v>
      </c>
      <c r="AM2826">
        <v>84.423164453288607</v>
      </c>
      <c r="AN2826">
        <v>1.00000004144433</v>
      </c>
    </row>
    <row r="2827" spans="1:40" x14ac:dyDescent="0.25">
      <c r="A2827" t="str">
        <f>"20190303162604381"</f>
        <v>20190303162604381</v>
      </c>
      <c r="B2827" t="str">
        <f>"1551601564375995"</f>
        <v>1551601564375995</v>
      </c>
      <c r="C2827" t="s">
        <v>40</v>
      </c>
      <c r="D2827">
        <v>4.909198</v>
      </c>
      <c r="E2827">
        <v>0.45622810000000003</v>
      </c>
      <c r="F2827" t="s">
        <v>48</v>
      </c>
      <c r="G2827">
        <v>-266.66719999999998</v>
      </c>
      <c r="H2827" s="1">
        <v>1.915563E-6</v>
      </c>
      <c r="I2827">
        <v>216.80330000000001</v>
      </c>
      <c r="J2827">
        <v>-288.56040000000002</v>
      </c>
      <c r="K2827">
        <v>1.1201159999999999</v>
      </c>
      <c r="L2827">
        <v>215.9718</v>
      </c>
      <c r="M2827">
        <v>0.99978639999999996</v>
      </c>
      <c r="N2827">
        <v>-9.8932859999999994E-3</v>
      </c>
      <c r="O2827">
        <v>1.814644E-2</v>
      </c>
      <c r="P2827">
        <v>0.98124469999999997</v>
      </c>
      <c r="Q2827">
        <v>0.17641889999999999</v>
      </c>
      <c r="R2827">
        <v>-7.768825E-2</v>
      </c>
      <c r="S2827">
        <v>3.0945429999999998</v>
      </c>
      <c r="T2827">
        <v>-0.15569630000000001</v>
      </c>
      <c r="U2827">
        <v>0.1164703</v>
      </c>
      <c r="V2827">
        <v>9.5678899999999997E-2</v>
      </c>
      <c r="W2827">
        <v>0.18600159999999999</v>
      </c>
      <c r="X2827">
        <v>0.97787979999999997</v>
      </c>
      <c r="Y2827">
        <v>-1.9455389999999999E-2</v>
      </c>
      <c r="Z2827">
        <v>-1.4729289999999999E-4</v>
      </c>
      <c r="AA2827">
        <v>0.99981070000000005</v>
      </c>
      <c r="AB2827">
        <v>35</v>
      </c>
      <c r="AC2827">
        <v>21.8932</v>
      </c>
      <c r="AD2827">
        <v>-1.1201140844369999</v>
      </c>
      <c r="AE2827">
        <v>0.83150000000000501</v>
      </c>
      <c r="AF2827">
        <v>-0.43292838251393201</v>
      </c>
      <c r="AG2827">
        <v>-1.1201140844369999</v>
      </c>
      <c r="AH2827">
        <v>21.847578003858001</v>
      </c>
      <c r="AI2827">
        <v>92.934380315090706</v>
      </c>
      <c r="AJ2827">
        <v>91.135216141755194</v>
      </c>
      <c r="AK2827">
        <v>21.880556372752501</v>
      </c>
      <c r="AL2827">
        <v>79.280466275412707</v>
      </c>
      <c r="AM2827">
        <v>84.411784179414596</v>
      </c>
      <c r="AN2827">
        <v>0.99999997517790395</v>
      </c>
    </row>
    <row r="2828" spans="1:40" x14ac:dyDescent="0.25">
      <c r="A2828" t="str">
        <f>"20190303162604404"</f>
        <v>20190303162604404</v>
      </c>
      <c r="B2828" t="str">
        <f>"1551601564396491"</f>
        <v>1551601564396491</v>
      </c>
      <c r="C2828" t="s">
        <v>40</v>
      </c>
      <c r="D2828">
        <v>5.0269579999999996</v>
      </c>
      <c r="E2828">
        <v>0.45624350000000002</v>
      </c>
      <c r="F2828" t="s">
        <v>48</v>
      </c>
      <c r="G2828">
        <v>-265.88799999999998</v>
      </c>
      <c r="H2828" s="1">
        <v>1.500635E-6</v>
      </c>
      <c r="I2828">
        <v>216.80959999999999</v>
      </c>
      <c r="J2828">
        <v>-288.21600000000001</v>
      </c>
      <c r="K2828">
        <v>1.1200939999999999</v>
      </c>
      <c r="L2828">
        <v>215.9776</v>
      </c>
      <c r="M2828">
        <v>0.9997954</v>
      </c>
      <c r="N2828">
        <v>-9.8984069999999997E-3</v>
      </c>
      <c r="O2828">
        <v>1.764133E-2</v>
      </c>
      <c r="P2828">
        <v>0.98131290000000004</v>
      </c>
      <c r="Q2828">
        <v>0.1756199</v>
      </c>
      <c r="R2828">
        <v>-7.863096E-2</v>
      </c>
      <c r="S2828">
        <v>3.0939030000000001</v>
      </c>
      <c r="T2828">
        <v>-0.15285209999999999</v>
      </c>
      <c r="U2828">
        <v>0.1143188</v>
      </c>
      <c r="V2828">
        <v>9.6135040000000005E-2</v>
      </c>
      <c r="W2828">
        <v>0.1852037</v>
      </c>
      <c r="X2828">
        <v>0.97798649999999998</v>
      </c>
      <c r="Y2828">
        <v>-1.9274159999999999E-2</v>
      </c>
      <c r="Z2828">
        <v>-1.2496569999999999E-4</v>
      </c>
      <c r="AA2828">
        <v>0.99981419999999999</v>
      </c>
      <c r="AB2828">
        <v>35</v>
      </c>
      <c r="AC2828">
        <v>22.327999999999999</v>
      </c>
      <c r="AD2828">
        <v>-1.1200924993649899</v>
      </c>
      <c r="AE2828">
        <v>0.83199999999999297</v>
      </c>
      <c r="AF2828">
        <v>-0.43685774763816998</v>
      </c>
      <c r="AG2828">
        <v>-1.1200924993649899</v>
      </c>
      <c r="AH2828">
        <v>22.2832039004035</v>
      </c>
      <c r="AI2828">
        <v>92.877068531298704</v>
      </c>
      <c r="AJ2828">
        <v>91.123128401106896</v>
      </c>
      <c r="AK2828">
        <v>22.315613994819</v>
      </c>
      <c r="AL2828">
        <v>79.326990953532999</v>
      </c>
      <c r="AM2828">
        <v>84.385921383778197</v>
      </c>
      <c r="AN2828">
        <v>0.99999997529587004</v>
      </c>
    </row>
    <row r="2829" spans="1:40" x14ac:dyDescent="0.25">
      <c r="A2829" t="str">
        <f>"20190303162604426"</f>
        <v>20190303162604426</v>
      </c>
      <c r="B2829" t="str">
        <f>"1551601564416012"</f>
        <v>1551601564416012</v>
      </c>
      <c r="C2829" t="s">
        <v>40</v>
      </c>
      <c r="D2829">
        <v>4.8614920000000001</v>
      </c>
      <c r="E2829">
        <v>0.4562908</v>
      </c>
      <c r="F2829" t="s">
        <v>48</v>
      </c>
      <c r="G2829">
        <v>-265.59199999999998</v>
      </c>
      <c r="H2829" s="1">
        <v>1.3438839999999999E-6</v>
      </c>
      <c r="I2829">
        <v>216.79239999999999</v>
      </c>
      <c r="J2829">
        <v>-287.86520000000002</v>
      </c>
      <c r="K2829">
        <v>1.1200779999999999</v>
      </c>
      <c r="L2829">
        <v>215.98330000000001</v>
      </c>
      <c r="M2829">
        <v>0.99980469999999999</v>
      </c>
      <c r="N2829">
        <v>-9.9035240000000004E-3</v>
      </c>
      <c r="O2829">
        <v>1.71139999999999E-2</v>
      </c>
      <c r="P2829">
        <v>0.98144609999999999</v>
      </c>
      <c r="Q2829">
        <v>0.174851799999999</v>
      </c>
      <c r="R2829">
        <v>-7.8685190000000002E-2</v>
      </c>
      <c r="S2829">
        <v>3.0934750000000002</v>
      </c>
      <c r="T2829">
        <v>-0.15315509999999999</v>
      </c>
      <c r="U2829">
        <v>0.1114044</v>
      </c>
      <c r="V2829">
        <v>9.5681440000000006E-2</v>
      </c>
      <c r="W2829">
        <v>0.18443889999999999</v>
      </c>
      <c r="X2829">
        <v>0.97817549999999998</v>
      </c>
      <c r="Y2829">
        <v>-1.8866040000000001E-2</v>
      </c>
      <c r="Z2829">
        <v>-1.169305E-4</v>
      </c>
      <c r="AA2829">
        <v>0.99982199999999999</v>
      </c>
      <c r="AB2829">
        <v>35</v>
      </c>
      <c r="AC2829">
        <v>22.273199999999999</v>
      </c>
      <c r="AD2829">
        <v>-1.120076656116</v>
      </c>
      <c r="AE2829">
        <v>0.80909999999997195</v>
      </c>
      <c r="AF2829">
        <v>-0.42670166938770099</v>
      </c>
      <c r="AG2829">
        <v>-1.120076656116</v>
      </c>
      <c r="AH2829">
        <v>22.227648028554398</v>
      </c>
      <c r="AI2829">
        <v>92.884229411270198</v>
      </c>
      <c r="AJ2829">
        <v>91.099765579244206</v>
      </c>
      <c r="AK2829">
        <v>22.2599412153656</v>
      </c>
      <c r="AL2829">
        <v>79.371578944683506</v>
      </c>
      <c r="AM2829">
        <v>84.413315426749094</v>
      </c>
      <c r="AN2829">
        <v>0.99999997729696599</v>
      </c>
    </row>
    <row r="2830" spans="1:40" x14ac:dyDescent="0.25">
      <c r="A2830" t="str">
        <f>"20190303162604453"</f>
        <v>20190303162604453</v>
      </c>
      <c r="B2830" t="str">
        <f>"1551601564446266"</f>
        <v>1551601564446266</v>
      </c>
      <c r="C2830" t="s">
        <v>40</v>
      </c>
      <c r="D2830">
        <v>5.0304029999999997</v>
      </c>
      <c r="E2830">
        <v>0.4562775</v>
      </c>
      <c r="F2830" t="s">
        <v>48</v>
      </c>
      <c r="G2830">
        <v>-265.33870000000002</v>
      </c>
      <c r="H2830" s="1">
        <v>1.209368E-6</v>
      </c>
      <c r="I2830">
        <v>216.78540000000001</v>
      </c>
      <c r="J2830">
        <v>-287.46769999999998</v>
      </c>
      <c r="K2830">
        <v>1.1200619999999999</v>
      </c>
      <c r="L2830">
        <v>215.98949999999999</v>
      </c>
      <c r="M2830">
        <v>0.9998148</v>
      </c>
      <c r="N2830">
        <v>-9.9093749999999998E-3</v>
      </c>
      <c r="O2830">
        <v>1.649722E-2</v>
      </c>
      <c r="P2830">
        <v>0.98148389999999996</v>
      </c>
      <c r="Q2830">
        <v>0.17476659999999999</v>
      </c>
      <c r="R2830">
        <v>-7.8397389999999997E-2</v>
      </c>
      <c r="S2830">
        <v>3.0929570000000002</v>
      </c>
      <c r="T2830">
        <v>-0.15378939999999999</v>
      </c>
      <c r="U2830">
        <v>0.1101227</v>
      </c>
      <c r="V2830">
        <v>9.4798900000000005E-2</v>
      </c>
      <c r="W2830">
        <v>0.18435689999999999</v>
      </c>
      <c r="X2830">
        <v>0.9782769</v>
      </c>
      <c r="Y2830">
        <v>-1.9074190000000001E-2</v>
      </c>
      <c r="Z2830" s="1">
        <v>-8.7688419999999993E-5</v>
      </c>
      <c r="AA2830">
        <v>0.99981810000000004</v>
      </c>
      <c r="AB2830">
        <v>35</v>
      </c>
      <c r="AC2830">
        <v>22.128999999999898</v>
      </c>
      <c r="AD2830">
        <v>-1.1200607906319999</v>
      </c>
      <c r="AE2830">
        <v>0.79590000000001704</v>
      </c>
      <c r="AF2830">
        <v>-0.42960758446771402</v>
      </c>
      <c r="AG2830">
        <v>-1.1200607906319999</v>
      </c>
      <c r="AH2830">
        <v>22.082618945986798</v>
      </c>
      <c r="AI2830">
        <v>92.903084004259597</v>
      </c>
      <c r="AJ2830">
        <v>91.114523454522995</v>
      </c>
      <c r="AK2830">
        <v>22.115179365426801</v>
      </c>
      <c r="AL2830">
        <v>79.3763593677279</v>
      </c>
      <c r="AM2830">
        <v>84.465094179362296</v>
      </c>
      <c r="AN2830">
        <v>0.99999999554621399</v>
      </c>
    </row>
    <row r="2831" spans="1:40" x14ac:dyDescent="0.25">
      <c r="A2831" t="str">
        <f>"20190303162604475"</f>
        <v>20190303162604475</v>
      </c>
      <c r="B2831" t="str">
        <f>"1551601564465786"</f>
        <v>1551601564465786</v>
      </c>
      <c r="C2831" t="s">
        <v>40</v>
      </c>
      <c r="D2831">
        <v>4.9694760000000002</v>
      </c>
      <c r="E2831">
        <v>0.456293</v>
      </c>
      <c r="F2831" t="s">
        <v>48</v>
      </c>
      <c r="G2831">
        <v>-264.51769999999999</v>
      </c>
      <c r="H2831" s="1">
        <v>7.7144939999999998E-7</v>
      </c>
      <c r="I2831">
        <v>216.80940000000001</v>
      </c>
      <c r="J2831">
        <v>-287.10730000000001</v>
      </c>
      <c r="K2831">
        <v>1.1200429999999999</v>
      </c>
      <c r="L2831">
        <v>215.995</v>
      </c>
      <c r="M2831">
        <v>0.99982420000000005</v>
      </c>
      <c r="N2831">
        <v>-9.9146410000000001E-3</v>
      </c>
      <c r="O2831">
        <v>1.5913960000000001E-2</v>
      </c>
      <c r="P2831">
        <v>0.98139359999999998</v>
      </c>
      <c r="Q2831">
        <v>0.1757649</v>
      </c>
      <c r="R2831">
        <v>-7.7286640000000004E-2</v>
      </c>
      <c r="S2831">
        <v>3.0923159999999998</v>
      </c>
      <c r="T2831">
        <v>-0.15091849999999901</v>
      </c>
      <c r="U2831">
        <v>0.11047360000000001</v>
      </c>
      <c r="V2831">
        <v>9.3126769999999998E-2</v>
      </c>
      <c r="W2831">
        <v>0.18535689999999999</v>
      </c>
      <c r="X2831">
        <v>0.97824849999999997</v>
      </c>
      <c r="Y2831">
        <v>-1.9777030000000001E-2</v>
      </c>
      <c r="Z2831" s="1">
        <v>-3.789875E-5</v>
      </c>
      <c r="AA2831">
        <v>0.99980440000000004</v>
      </c>
      <c r="AB2831">
        <v>35</v>
      </c>
      <c r="AC2831">
        <v>22.589600000000001</v>
      </c>
      <c r="AD2831">
        <v>-1.1200422285506</v>
      </c>
      <c r="AE2831">
        <v>0.81440000000000601</v>
      </c>
      <c r="AF2831">
        <v>-0.45367532896423202</v>
      </c>
      <c r="AG2831">
        <v>-1.1200422285506</v>
      </c>
      <c r="AH2831">
        <v>22.5443490700751</v>
      </c>
      <c r="AI2831">
        <v>92.843640016281</v>
      </c>
      <c r="AJ2831">
        <v>91.152846487931697</v>
      </c>
      <c r="AK2831">
        <v>22.576713465233301</v>
      </c>
      <c r="AL2831">
        <v>79.318058327336004</v>
      </c>
      <c r="AM2831">
        <v>84.561975419733798</v>
      </c>
      <c r="AN2831">
        <v>0.99999995171024503</v>
      </c>
    </row>
    <row r="2832" spans="1:40" x14ac:dyDescent="0.25">
      <c r="A2832" t="str">
        <f>"20190303162604497"</f>
        <v>20190303162604497</v>
      </c>
      <c r="B2832" t="str">
        <f>"1551601564486283"</f>
        <v>1551601564486283</v>
      </c>
      <c r="C2832" t="s">
        <v>40</v>
      </c>
      <c r="D2832">
        <v>4.833164</v>
      </c>
      <c r="E2832">
        <v>0.45629960000000003</v>
      </c>
      <c r="F2832" t="s">
        <v>48</v>
      </c>
      <c r="G2832">
        <v>-263.43310000000002</v>
      </c>
      <c r="H2832" s="1">
        <v>1.9194850000000001E-7</v>
      </c>
      <c r="I2832">
        <v>216.86269999999999</v>
      </c>
      <c r="J2832">
        <v>-286.76749999999998</v>
      </c>
      <c r="K2832">
        <v>1.120009</v>
      </c>
      <c r="L2832">
        <v>215.9999</v>
      </c>
      <c r="M2832">
        <v>0.99983330000000004</v>
      </c>
      <c r="N2832">
        <v>-9.9197739999999993E-3</v>
      </c>
      <c r="O2832">
        <v>1.5333380000000001E-2</v>
      </c>
      <c r="P2832">
        <v>0.98129390000000005</v>
      </c>
      <c r="Q2832">
        <v>0.17661949999999901</v>
      </c>
      <c r="R2832">
        <v>-7.6601710000000003E-2</v>
      </c>
      <c r="S2832">
        <v>3.09198</v>
      </c>
      <c r="T2832">
        <v>-0.14628350000000001</v>
      </c>
      <c r="U2832">
        <v>0.113327</v>
      </c>
      <c r="V2832">
        <v>9.1884729999999998E-2</v>
      </c>
      <c r="W2832">
        <v>0.1862115</v>
      </c>
      <c r="X2832">
        <v>0.97820370000000001</v>
      </c>
      <c r="Y2832">
        <v>-2.1281109999999999E-2</v>
      </c>
      <c r="Z2832" s="1">
        <v>3.5915869999999997E-5</v>
      </c>
      <c r="AA2832">
        <v>0.99977349999999998</v>
      </c>
      <c r="AB2832">
        <v>35</v>
      </c>
      <c r="AC2832">
        <v>23.334399999999899</v>
      </c>
      <c r="AD2832">
        <v>-1.1200088080515</v>
      </c>
      <c r="AE2832">
        <v>0.86279999999999202</v>
      </c>
      <c r="AF2832">
        <v>-0.50372684019095904</v>
      </c>
      <c r="AG2832">
        <v>-1.1200088080515</v>
      </c>
      <c r="AH2832">
        <v>23.2913009207921</v>
      </c>
      <c r="AI2832">
        <v>92.752418844312302</v>
      </c>
      <c r="AJ2832">
        <v>91.238957131219195</v>
      </c>
      <c r="AK2832">
        <v>23.323654495865998</v>
      </c>
      <c r="AL2832">
        <v>79.268226345786104</v>
      </c>
      <c r="AM2832">
        <v>84.633832343567306</v>
      </c>
      <c r="AN2832">
        <v>1.0000000025165501</v>
      </c>
    </row>
    <row r="2833" spans="1:40" x14ac:dyDescent="0.25">
      <c r="A2833" t="str">
        <f>"20190303162604519"</f>
        <v>20190303162604519</v>
      </c>
      <c r="B2833" t="str">
        <f>"1551601564505803"</f>
        <v>1551601564505803</v>
      </c>
      <c r="C2833" t="s">
        <v>40</v>
      </c>
      <c r="D2833">
        <v>4.8421409999999998</v>
      </c>
      <c r="E2833">
        <v>0.4563333</v>
      </c>
      <c r="F2833" t="s">
        <v>48</v>
      </c>
      <c r="G2833">
        <v>-262.48430000000002</v>
      </c>
      <c r="H2833" s="1">
        <v>-3.1483039999999999E-7</v>
      </c>
      <c r="I2833">
        <v>216.9059</v>
      </c>
      <c r="J2833">
        <v>-286.43180000000001</v>
      </c>
      <c r="K2833">
        <v>1.11998</v>
      </c>
      <c r="L2833">
        <v>216.00450000000001</v>
      </c>
      <c r="M2833">
        <v>0.99984249999999997</v>
      </c>
      <c r="N2833">
        <v>-9.9249950000000007E-3</v>
      </c>
      <c r="O2833">
        <v>1.472453E-2</v>
      </c>
      <c r="P2833">
        <v>0.98124160000000005</v>
      </c>
      <c r="Q2833">
        <v>0.1769406</v>
      </c>
      <c r="R2833">
        <v>-7.653356E-2</v>
      </c>
      <c r="S2833">
        <v>3.0918580000000002</v>
      </c>
      <c r="T2833">
        <v>-0.14260529999999999</v>
      </c>
      <c r="U2833">
        <v>0.115356399999999</v>
      </c>
      <c r="V2833">
        <v>9.1234330000000002E-2</v>
      </c>
      <c r="W2833">
        <v>0.18653149999999999</v>
      </c>
      <c r="X2833">
        <v>0.97820359999999995</v>
      </c>
      <c r="Y2833">
        <v>-2.2545280000000001E-2</v>
      </c>
      <c r="Z2833" s="1">
        <v>9.9035129999999999E-5</v>
      </c>
      <c r="AA2833">
        <v>0.99974580000000002</v>
      </c>
      <c r="AB2833">
        <v>35</v>
      </c>
      <c r="AC2833">
        <v>23.947499999999899</v>
      </c>
      <c r="AD2833">
        <v>-1.1199803148303999</v>
      </c>
      <c r="AE2833">
        <v>0.90139999999999498</v>
      </c>
      <c r="AF2833">
        <v>-0.54747350489455304</v>
      </c>
      <c r="AG2833">
        <v>-1.1199803148303999</v>
      </c>
      <c r="AH2833">
        <v>23.905962320138599</v>
      </c>
      <c r="AI2833">
        <v>92.681610293729307</v>
      </c>
      <c r="AJ2833">
        <v>91.311908668358299</v>
      </c>
      <c r="AK2833">
        <v>23.9384443436923</v>
      </c>
      <c r="AL2833">
        <v>79.249564631900398</v>
      </c>
      <c r="AM2833">
        <v>84.671596464675204</v>
      </c>
      <c r="AN2833">
        <v>0.99999999325787903</v>
      </c>
    </row>
    <row r="2834" spans="1:40" x14ac:dyDescent="0.25">
      <c r="A2834" t="str">
        <f>"20190303162604540"</f>
        <v>20190303162604540</v>
      </c>
      <c r="B2834" t="str">
        <f>"1551601564526299"</f>
        <v>1551601564526299</v>
      </c>
      <c r="C2834" t="s">
        <v>40</v>
      </c>
      <c r="D2834">
        <v>4.8725949999999996</v>
      </c>
      <c r="E2834">
        <v>0.45626329999999998</v>
      </c>
      <c r="F2834" t="s">
        <v>48</v>
      </c>
      <c r="G2834">
        <v>-261.54910000000001</v>
      </c>
      <c r="H2834" s="1">
        <v>-8.1386750000000001E-7</v>
      </c>
      <c r="I2834">
        <v>216.93709999999999</v>
      </c>
      <c r="J2834">
        <v>-286.0804</v>
      </c>
      <c r="K2834">
        <v>1.1199410000000001</v>
      </c>
      <c r="L2834">
        <v>216.00899999999999</v>
      </c>
      <c r="M2834">
        <v>0.99985219999999997</v>
      </c>
      <c r="N2834">
        <v>-9.9305590000000003E-3</v>
      </c>
      <c r="O2834">
        <v>1.4043659999999999E-2</v>
      </c>
      <c r="P2834">
        <v>0.98129730000000004</v>
      </c>
      <c r="Q2834">
        <v>0.17643539999999999</v>
      </c>
      <c r="R2834">
        <v>-7.6984629999999998E-2</v>
      </c>
      <c r="S2834">
        <v>3.0915219999999999</v>
      </c>
      <c r="T2834">
        <v>-0.1391511</v>
      </c>
      <c r="U2834">
        <v>0.1158752</v>
      </c>
      <c r="V2834">
        <v>9.1035370000000004E-2</v>
      </c>
      <c r="W2834">
        <v>0.1860251</v>
      </c>
      <c r="X2834">
        <v>0.97831860000000004</v>
      </c>
      <c r="Y2834">
        <v>-2.3396859999999998E-2</v>
      </c>
      <c r="Z2834">
        <v>1.5024830000000001E-4</v>
      </c>
      <c r="AA2834">
        <v>0.99972620000000001</v>
      </c>
      <c r="AB2834">
        <v>35</v>
      </c>
      <c r="AC2834">
        <v>24.531299999999899</v>
      </c>
      <c r="AD2834">
        <v>-1.1199418138674999</v>
      </c>
      <c r="AE2834">
        <v>0.92809999999997195</v>
      </c>
      <c r="AF2834">
        <v>-0.58227042234083004</v>
      </c>
      <c r="AG2834">
        <v>-1.1199418138674999</v>
      </c>
      <c r="AH2834">
        <v>24.490942833445501</v>
      </c>
      <c r="AI2834">
        <v>92.617505504545704</v>
      </c>
      <c r="AJ2834">
        <v>91.361946505504605</v>
      </c>
      <c r="AK2834">
        <v>24.523449785506902</v>
      </c>
      <c r="AL2834">
        <v>79.279096499965206</v>
      </c>
      <c r="AM2834">
        <v>84.683771165715797</v>
      </c>
      <c r="AN2834">
        <v>1.0000000297635001</v>
      </c>
    </row>
    <row r="2835" spans="1:40" x14ac:dyDescent="0.25">
      <c r="A2835" t="str">
        <f>"20190303162604561"</f>
        <v>20190303162604561</v>
      </c>
      <c r="B2835" t="str">
        <f>"1551601564556555"</f>
        <v>1551601564556555</v>
      </c>
      <c r="C2835" t="s">
        <v>40</v>
      </c>
      <c r="D2835">
        <v>4.8620590000000004</v>
      </c>
      <c r="E2835">
        <v>0.43797580000000003</v>
      </c>
      <c r="F2835" t="s">
        <v>48</v>
      </c>
      <c r="G2835">
        <v>-261.16739999999999</v>
      </c>
      <c r="H2835" s="1">
        <v>-1.0169209999999999E-6</v>
      </c>
      <c r="I2835">
        <v>216.93520000000001</v>
      </c>
      <c r="J2835">
        <v>-285.76220000000001</v>
      </c>
      <c r="K2835">
        <v>1.11991</v>
      </c>
      <c r="L2835">
        <v>216.0129</v>
      </c>
      <c r="M2835">
        <v>0.99986090000000005</v>
      </c>
      <c r="N2835">
        <v>-9.9356170000000008E-3</v>
      </c>
      <c r="O2835">
        <v>1.3396770000000001E-2</v>
      </c>
      <c r="P2835">
        <v>0.98133190000000003</v>
      </c>
      <c r="Q2835">
        <v>0.17591679999999901</v>
      </c>
      <c r="R2835">
        <v>-7.7722449999999998E-2</v>
      </c>
      <c r="S2835">
        <v>3.0911559999999998</v>
      </c>
      <c r="T2835">
        <v>-0.1389601</v>
      </c>
      <c r="U2835">
        <v>0.1149292</v>
      </c>
      <c r="V2835">
        <v>9.1153730000000002E-2</v>
      </c>
      <c r="W2835">
        <v>0.18550449999999999</v>
      </c>
      <c r="X2835">
        <v>0.97840640000000001</v>
      </c>
      <c r="Y2835">
        <v>-2.3741769999999999E-2</v>
      </c>
      <c r="Z2835">
        <v>1.825966E-4</v>
      </c>
      <c r="AA2835">
        <v>0.99971810000000005</v>
      </c>
      <c r="AB2835">
        <v>35</v>
      </c>
      <c r="AC2835">
        <v>24.594799999999999</v>
      </c>
      <c r="AD2835">
        <v>-1.119911016921</v>
      </c>
      <c r="AE2835">
        <v>0.922300000000007</v>
      </c>
      <c r="AF2835">
        <v>-0.59148542613101895</v>
      </c>
      <c r="AG2835">
        <v>-1.119911016921</v>
      </c>
      <c r="AH2835">
        <v>24.554110386543499</v>
      </c>
      <c r="AI2835">
        <v>92.610689794401793</v>
      </c>
      <c r="AJ2835">
        <v>91.379934565794699</v>
      </c>
      <c r="AK2835">
        <v>24.586752379476799</v>
      </c>
      <c r="AL2835">
        <v>79.309452769502101</v>
      </c>
      <c r="AM2835">
        <v>84.677373868235307</v>
      </c>
      <c r="AN2835">
        <v>1.0000000027870599</v>
      </c>
    </row>
    <row r="2836" spans="1:40" x14ac:dyDescent="0.25">
      <c r="A2836" t="str">
        <f>"20190303162604584"</f>
        <v>20190303162604584</v>
      </c>
      <c r="B2836" t="str">
        <f>"1551601564576076"</f>
        <v>1551601564576076</v>
      </c>
      <c r="C2836" t="s">
        <v>40</v>
      </c>
      <c r="D2836">
        <v>4.8523239999999896</v>
      </c>
      <c r="E2836">
        <v>0.43397989999999997</v>
      </c>
      <c r="F2836" t="s">
        <v>48</v>
      </c>
      <c r="G2836">
        <v>-255.78299999999999</v>
      </c>
      <c r="H2836" s="1">
        <v>1.3704790000000001E-6</v>
      </c>
      <c r="I2836">
        <v>218.5094</v>
      </c>
      <c r="J2836">
        <v>-285.38909999999998</v>
      </c>
      <c r="K2836">
        <v>1.1198760000000001</v>
      </c>
      <c r="L2836">
        <v>216.0171</v>
      </c>
      <c r="M2836">
        <v>0.99987130000000002</v>
      </c>
      <c r="N2836">
        <v>-9.9415560000000007E-3</v>
      </c>
      <c r="O2836">
        <v>1.259887E-2</v>
      </c>
      <c r="P2836">
        <v>0.98130799999999996</v>
      </c>
      <c r="Q2836">
        <v>0.17587710000000001</v>
      </c>
      <c r="R2836">
        <v>-7.8116840000000007E-2</v>
      </c>
      <c r="S2836">
        <v>3.098236</v>
      </c>
      <c r="T2836">
        <v>-0.11573840000000001</v>
      </c>
      <c r="U2836">
        <v>0.25801089999999999</v>
      </c>
      <c r="V2836">
        <v>9.0781609999999999E-2</v>
      </c>
      <c r="W2836">
        <v>0.18546370000000001</v>
      </c>
      <c r="X2836">
        <v>0.97844869999999995</v>
      </c>
      <c r="Y2836">
        <v>-7.0369719999999997E-2</v>
      </c>
      <c r="Z2836">
        <v>1.3176329999999999E-3</v>
      </c>
      <c r="AA2836">
        <v>0.99752010000000002</v>
      </c>
      <c r="AB2836">
        <v>35</v>
      </c>
      <c r="AC2836">
        <v>29.606100000000001</v>
      </c>
      <c r="AD2836">
        <v>-1.119874629521</v>
      </c>
      <c r="AE2836">
        <v>2.4923000000000002</v>
      </c>
      <c r="AF2836">
        <v>-2.1160740078831699</v>
      </c>
      <c r="AG2836">
        <v>-1.119874629521</v>
      </c>
      <c r="AH2836">
        <v>29.5931080504226</v>
      </c>
      <c r="AI2836">
        <v>92.161662422176306</v>
      </c>
      <c r="AJ2836">
        <v>94.090009808394896</v>
      </c>
      <c r="AK2836">
        <v>29.689795089839699</v>
      </c>
      <c r="AL2836">
        <v>79.311831381660994</v>
      </c>
      <c r="AM2836">
        <v>84.699206436248502</v>
      </c>
      <c r="AN2836">
        <v>0.999999971631785</v>
      </c>
    </row>
    <row r="2837" spans="1:40" x14ac:dyDescent="0.25">
      <c r="A2837" t="str">
        <f>"20190303162604605"</f>
        <v>20190303162604605</v>
      </c>
      <c r="B2837" t="str">
        <f>"1551601564596570"</f>
        <v>1551601564596570</v>
      </c>
      <c r="C2837" t="s">
        <v>40</v>
      </c>
      <c r="D2837">
        <v>4.8452060000000001</v>
      </c>
      <c r="E2837">
        <v>0.43289860000000002</v>
      </c>
      <c r="F2837" t="s">
        <v>48</v>
      </c>
      <c r="G2837">
        <v>-258.67939999999999</v>
      </c>
      <c r="H2837" s="1">
        <v>2.9120729999999999E-6</v>
      </c>
      <c r="I2837">
        <v>218.50210000000001</v>
      </c>
      <c r="J2837">
        <v>-285.07159999999999</v>
      </c>
      <c r="K2837">
        <v>1.1198520000000001</v>
      </c>
      <c r="L2837">
        <v>216.0204</v>
      </c>
      <c r="M2837">
        <v>0.99987990000000004</v>
      </c>
      <c r="N2837">
        <v>-9.9465400000000002E-3</v>
      </c>
      <c r="O2837">
        <v>1.189024E-2</v>
      </c>
      <c r="P2837">
        <v>0.98116800000000004</v>
      </c>
      <c r="Q2837">
        <v>0.17626539999999999</v>
      </c>
      <c r="R2837">
        <v>-7.8994129999999996E-2</v>
      </c>
      <c r="S2837">
        <v>3.1034549999999999</v>
      </c>
      <c r="T2837">
        <v>-0.13012029999999999</v>
      </c>
      <c r="U2837">
        <v>0.2887421</v>
      </c>
      <c r="V2837">
        <v>9.0975399999999901E-2</v>
      </c>
      <c r="W2837">
        <v>0.1858494</v>
      </c>
      <c r="X2837">
        <v>0.97835760000000005</v>
      </c>
      <c r="Y2837">
        <v>-8.071151E-2</v>
      </c>
      <c r="Z2837">
        <v>1.710961E-3</v>
      </c>
      <c r="AA2837">
        <v>0.99673599999999996</v>
      </c>
      <c r="AB2837">
        <v>35</v>
      </c>
      <c r="AC2837">
        <v>26.392199999999999</v>
      </c>
      <c r="AD2837">
        <v>-1.119849087927</v>
      </c>
      <c r="AE2837">
        <v>2.4817000000000098</v>
      </c>
      <c r="AF2837">
        <v>-2.1638378323510801</v>
      </c>
      <c r="AG2837">
        <v>-1.119849087927</v>
      </c>
      <c r="AH2837">
        <v>26.372778308724399</v>
      </c>
      <c r="AI2837">
        <v>92.423317186345898</v>
      </c>
      <c r="AJ2837">
        <v>94.690506551523598</v>
      </c>
      <c r="AK2837">
        <v>26.485084328081101</v>
      </c>
      <c r="AL2837">
        <v>79.289342341601994</v>
      </c>
      <c r="AM2837">
        <v>84.687463780709294</v>
      </c>
      <c r="AN2837">
        <v>1.00000005818163</v>
      </c>
    </row>
    <row r="2838" spans="1:40" x14ac:dyDescent="0.25">
      <c r="A2838" t="str">
        <f>"20190303162604626"</f>
        <v>20190303162604626</v>
      </c>
      <c r="B2838" t="str">
        <f>"1551601564616090"</f>
        <v>1551601564616090</v>
      </c>
      <c r="C2838" t="s">
        <v>40</v>
      </c>
      <c r="D2838">
        <v>4.8409079999999998</v>
      </c>
      <c r="E2838">
        <v>0.43223010000000001</v>
      </c>
      <c r="F2838" t="s">
        <v>48</v>
      </c>
      <c r="G2838">
        <v>-258.9083</v>
      </c>
      <c r="H2838" s="1">
        <v>3.0338749999999998E-6</v>
      </c>
      <c r="I2838">
        <v>218.50239999999999</v>
      </c>
      <c r="J2838">
        <v>-284.72930000000002</v>
      </c>
      <c r="K2838">
        <v>1.1198250000000001</v>
      </c>
      <c r="L2838">
        <v>216.02369999999999</v>
      </c>
      <c r="M2838">
        <v>0.99988909999999998</v>
      </c>
      <c r="N2838">
        <v>-9.9534210000000005E-3</v>
      </c>
      <c r="O2838">
        <v>1.1098820000000001E-2</v>
      </c>
      <c r="P2838">
        <v>0.98103739999999995</v>
      </c>
      <c r="Q2838">
        <v>0.17628460000000001</v>
      </c>
      <c r="R2838">
        <v>-8.0557770000000001E-2</v>
      </c>
      <c r="S2838">
        <v>3.1051639999999998</v>
      </c>
      <c r="T2838">
        <v>-0.1329079</v>
      </c>
      <c r="U2838">
        <v>0.29457090000000002</v>
      </c>
      <c r="V2838">
        <v>9.1774229999999998E-2</v>
      </c>
      <c r="W2838">
        <v>0.18586720000000001</v>
      </c>
      <c r="X2838">
        <v>0.97827949999999997</v>
      </c>
      <c r="Y2838">
        <v>-8.3297930000000006E-2</v>
      </c>
      <c r="Z2838">
        <v>1.8300860000000001E-3</v>
      </c>
      <c r="AA2838">
        <v>0.99652300000000005</v>
      </c>
      <c r="AB2838">
        <v>35</v>
      </c>
      <c r="AC2838">
        <v>25.821000000000002</v>
      </c>
      <c r="AD2838">
        <v>-1.119821966125</v>
      </c>
      <c r="AE2838">
        <v>2.4786999999999999</v>
      </c>
      <c r="AF2838">
        <v>-2.1878730862599598</v>
      </c>
      <c r="AG2838">
        <v>-1.119821966125</v>
      </c>
      <c r="AH2838">
        <v>25.7988410071851</v>
      </c>
      <c r="AI2838">
        <v>92.476536453624206</v>
      </c>
      <c r="AJ2838">
        <v>94.847375439292193</v>
      </c>
      <c r="AK2838">
        <v>25.915651394310199</v>
      </c>
      <c r="AL2838">
        <v>79.288303249159</v>
      </c>
      <c r="AM2838">
        <v>84.640660930348901</v>
      </c>
      <c r="AN2838">
        <v>0.99999995272409004</v>
      </c>
    </row>
    <row r="2839" spans="1:40" x14ac:dyDescent="0.25">
      <c r="A2839" t="str">
        <f>"20190303162604652"</f>
        <v>20190303162604652</v>
      </c>
      <c r="B2839" t="str">
        <f>"1551601564646346"</f>
        <v>1551601564646346</v>
      </c>
      <c r="C2839" t="s">
        <v>40</v>
      </c>
      <c r="D2839">
        <v>4.8758629999999998</v>
      </c>
      <c r="E2839">
        <v>0.43190709999999999</v>
      </c>
      <c r="F2839" t="s">
        <v>48</v>
      </c>
      <c r="G2839">
        <v>-259.5908</v>
      </c>
      <c r="H2839" s="1">
        <v>3.401134E-6</v>
      </c>
      <c r="I2839">
        <v>218.40989999999999</v>
      </c>
      <c r="J2839">
        <v>-284.33850000000001</v>
      </c>
      <c r="K2839">
        <v>1.119796</v>
      </c>
      <c r="L2839">
        <v>216.02719999999999</v>
      </c>
      <c r="M2839">
        <v>0.99989870000000003</v>
      </c>
      <c r="N2839">
        <v>-9.9663310000000001E-3</v>
      </c>
      <c r="O2839">
        <v>1.0170459999999999E-2</v>
      </c>
      <c r="P2839">
        <v>0.98082749999999996</v>
      </c>
      <c r="Q2839">
        <v>0.17649379999999901</v>
      </c>
      <c r="R2839">
        <v>-8.2629530000000007E-2</v>
      </c>
      <c r="S2839">
        <v>3.1070859999999998</v>
      </c>
      <c r="T2839">
        <v>-0.13840829999999901</v>
      </c>
      <c r="U2839">
        <v>0.29492190000000001</v>
      </c>
      <c r="V2839">
        <v>9.2946070000000006E-2</v>
      </c>
      <c r="W2839">
        <v>0.18607989999999999</v>
      </c>
      <c r="X2839">
        <v>0.97812849999999996</v>
      </c>
      <c r="Y2839">
        <v>-8.4268579999999996E-2</v>
      </c>
      <c r="Z2839">
        <v>1.942271E-3</v>
      </c>
      <c r="AA2839">
        <v>0.99644120000000003</v>
      </c>
      <c r="AB2839">
        <v>35</v>
      </c>
      <c r="AC2839">
        <v>24.747699999999998</v>
      </c>
      <c r="AD2839">
        <v>-1.119792598866</v>
      </c>
      <c r="AE2839">
        <v>2.3826999999999998</v>
      </c>
      <c r="AF2839">
        <v>-2.12655483442088</v>
      </c>
      <c r="AG2839">
        <v>-1.119792598866</v>
      </c>
      <c r="AH2839">
        <v>24.720506039131202</v>
      </c>
      <c r="AI2839">
        <v>92.584087805128405</v>
      </c>
      <c r="AJ2839">
        <v>94.916703338782199</v>
      </c>
      <c r="AK2839">
        <v>24.837060811597599</v>
      </c>
      <c r="AL2839">
        <v>79.275900917696902</v>
      </c>
      <c r="AM2839">
        <v>84.571802214498405</v>
      </c>
      <c r="AN2839">
        <v>1.0000000318123501</v>
      </c>
    </row>
    <row r="2840" spans="1:40" x14ac:dyDescent="0.25">
      <c r="A2840" t="str">
        <f>"20190303162604677"</f>
        <v>20190303162604677</v>
      </c>
      <c r="B2840" t="str">
        <f>"1551601564665868"</f>
        <v>1551601564665868</v>
      </c>
      <c r="C2840" t="s">
        <v>40</v>
      </c>
      <c r="D2840">
        <v>4.8449109999999997</v>
      </c>
      <c r="E2840">
        <v>0.43172660000000002</v>
      </c>
      <c r="F2840" t="s">
        <v>48</v>
      </c>
      <c r="G2840">
        <v>-259.7088</v>
      </c>
      <c r="H2840" s="1">
        <v>3.4672559999999999E-6</v>
      </c>
      <c r="I2840">
        <v>218.3338</v>
      </c>
      <c r="J2840">
        <v>-283.93349999999998</v>
      </c>
      <c r="K2840">
        <v>1.119775</v>
      </c>
      <c r="L2840">
        <v>216.03039999999999</v>
      </c>
      <c r="M2840">
        <v>0.99990800000000002</v>
      </c>
      <c r="N2840">
        <v>-9.9825750000000005E-3</v>
      </c>
      <c r="O2840">
        <v>9.1912910000000007E-3</v>
      </c>
      <c r="P2840">
        <v>0.98061659999999995</v>
      </c>
      <c r="Q2840">
        <v>0.176505299999999</v>
      </c>
      <c r="R2840">
        <v>-8.5074109999999994E-2</v>
      </c>
      <c r="S2840">
        <v>3.1086119999999999</v>
      </c>
      <c r="T2840">
        <v>-0.1413336</v>
      </c>
      <c r="U2840">
        <v>0.2911224</v>
      </c>
      <c r="V2840">
        <v>9.443907E-2</v>
      </c>
      <c r="W2840">
        <v>0.1860977</v>
      </c>
      <c r="X2840">
        <v>0.97798200000000002</v>
      </c>
      <c r="Y2840">
        <v>-8.398738E-2</v>
      </c>
      <c r="Z2840">
        <v>1.9993189999999998E-3</v>
      </c>
      <c r="AA2840">
        <v>0.99646480000000004</v>
      </c>
      <c r="AB2840">
        <v>35</v>
      </c>
      <c r="AC2840">
        <v>24.224699999999899</v>
      </c>
      <c r="AD2840">
        <v>-1.1197715327440001</v>
      </c>
      <c r="AE2840">
        <v>2.3034000000000101</v>
      </c>
      <c r="AF2840">
        <v>-2.0762388120949602</v>
      </c>
      <c r="AG2840">
        <v>-1.1197715327440001</v>
      </c>
      <c r="AH2840">
        <v>24.193617764770199</v>
      </c>
      <c r="AI2840">
        <v>92.640282035092795</v>
      </c>
      <c r="AJ2840">
        <v>94.904970112855096</v>
      </c>
      <c r="AK2840">
        <v>24.308348286919799</v>
      </c>
      <c r="AL2840">
        <v>79.274861948602194</v>
      </c>
      <c r="AM2840">
        <v>84.484320959869095</v>
      </c>
      <c r="AN2840">
        <v>0.99999994210587495</v>
      </c>
    </row>
    <row r="2841" spans="1:40" x14ac:dyDescent="0.25">
      <c r="A2841" t="str">
        <f>"20190303162604696"</f>
        <v>20190303162604696</v>
      </c>
      <c r="B2841" t="str">
        <f>"1551601564686362"</f>
        <v>1551601564686362</v>
      </c>
      <c r="C2841" t="s">
        <v>40</v>
      </c>
      <c r="D2841">
        <v>4.8624510000000001</v>
      </c>
      <c r="E2841">
        <v>0.43142659999999999</v>
      </c>
      <c r="F2841" t="s">
        <v>48</v>
      </c>
      <c r="G2841">
        <v>-259.62180000000001</v>
      </c>
      <c r="H2841" s="1">
        <v>3.4243949999999998E-6</v>
      </c>
      <c r="I2841">
        <v>218.25559999999999</v>
      </c>
      <c r="J2841">
        <v>-283.63189999999997</v>
      </c>
      <c r="K2841">
        <v>1.119766</v>
      </c>
      <c r="L2841">
        <v>216.0325</v>
      </c>
      <c r="M2841">
        <v>0.99991419999999998</v>
      </c>
      <c r="N2841">
        <v>-9.9982860000000003E-3</v>
      </c>
      <c r="O2841">
        <v>8.4552069999999993E-3</v>
      </c>
      <c r="P2841">
        <v>0.98048259999999998</v>
      </c>
      <c r="Q2841">
        <v>0.17657870000000001</v>
      </c>
      <c r="R2841">
        <v>-8.6450059999999995E-2</v>
      </c>
      <c r="S2841">
        <v>3.109772</v>
      </c>
      <c r="T2841">
        <v>-0.1432331</v>
      </c>
      <c r="U2841">
        <v>0.28463749999999999</v>
      </c>
      <c r="V2841">
        <v>9.5098959999999996E-2</v>
      </c>
      <c r="W2841">
        <v>0.1861816</v>
      </c>
      <c r="X2841">
        <v>0.97790220000000005</v>
      </c>
      <c r="Y2841">
        <v>-8.2624909999999996E-2</v>
      </c>
      <c r="Z2841">
        <v>2.0079899999999999E-3</v>
      </c>
      <c r="AA2841">
        <v>0.99657870000000004</v>
      </c>
      <c r="AB2841">
        <v>35</v>
      </c>
      <c r="AC2841">
        <v>24.010099999999898</v>
      </c>
      <c r="AD2841">
        <v>-1.119762575605</v>
      </c>
      <c r="AE2841">
        <v>2.2230999999999801</v>
      </c>
      <c r="AF2841">
        <v>-2.0156531701419498</v>
      </c>
      <c r="AG2841">
        <v>-1.119762575605</v>
      </c>
      <c r="AH2841">
        <v>23.976333544527101</v>
      </c>
      <c r="AI2841">
        <v>92.664546314866499</v>
      </c>
      <c r="AJ2841">
        <v>94.805467679171002</v>
      </c>
      <c r="AK2841">
        <v>24.086952820280999</v>
      </c>
      <c r="AL2841">
        <v>79.269970568241106</v>
      </c>
      <c r="AM2841">
        <v>84.445570087933206</v>
      </c>
      <c r="AN2841">
        <v>1.0000000565682301</v>
      </c>
    </row>
    <row r="2842" spans="1:40" x14ac:dyDescent="0.25">
      <c r="A2842" t="str">
        <f>"20190303162604716"</f>
        <v>20190303162604716</v>
      </c>
      <c r="B2842" t="str">
        <f>"1551601564705883"</f>
        <v>1551601564705883</v>
      </c>
      <c r="C2842" t="s">
        <v>40</v>
      </c>
      <c r="D2842">
        <v>4.9235389999999999</v>
      </c>
      <c r="E2842">
        <v>0.43119960000000002</v>
      </c>
      <c r="F2842" t="s">
        <v>48</v>
      </c>
      <c r="G2842">
        <v>-259.52769999999998</v>
      </c>
      <c r="H2842" s="1">
        <v>3.375949E-6</v>
      </c>
      <c r="I2842">
        <v>218.21799999999999</v>
      </c>
      <c r="J2842">
        <v>-283.30799999999999</v>
      </c>
      <c r="K2842">
        <v>1.1197549999999901</v>
      </c>
      <c r="L2842">
        <v>216.03450000000001</v>
      </c>
      <c r="M2842">
        <v>0.99992040000000004</v>
      </c>
      <c r="N2842">
        <v>-1.0021230000000001E-2</v>
      </c>
      <c r="O2842">
        <v>7.661228E-3</v>
      </c>
      <c r="P2842">
        <v>0.98037929999999995</v>
      </c>
      <c r="Q2842">
        <v>0.1770118</v>
      </c>
      <c r="R2842">
        <v>-8.6738549999999998E-2</v>
      </c>
      <c r="S2842">
        <v>3.1106259999999999</v>
      </c>
      <c r="T2842">
        <v>-0.1445043</v>
      </c>
      <c r="U2842">
        <v>0.2820435</v>
      </c>
      <c r="V2842">
        <v>9.4614450000000003E-2</v>
      </c>
      <c r="W2842">
        <v>0.186635</v>
      </c>
      <c r="X2842">
        <v>0.97786269999999997</v>
      </c>
      <c r="Y2842">
        <v>-8.2565109999999997E-2</v>
      </c>
      <c r="Z2842">
        <v>2.049305E-3</v>
      </c>
      <c r="AA2842">
        <v>0.99658360000000001</v>
      </c>
      <c r="AB2842">
        <v>35</v>
      </c>
      <c r="AC2842">
        <v>23.7803</v>
      </c>
      <c r="AD2842">
        <v>-1.1197516240509999</v>
      </c>
      <c r="AE2842">
        <v>2.18349999999998</v>
      </c>
      <c r="AF2842">
        <v>-1.9968500171249901</v>
      </c>
      <c r="AG2842">
        <v>-1.1197516240509999</v>
      </c>
      <c r="AH2842">
        <v>23.744125361561299</v>
      </c>
      <c r="AI2842">
        <v>92.690533359593203</v>
      </c>
      <c r="AJ2842">
        <v>94.807188634323595</v>
      </c>
      <c r="AK2842">
        <v>23.854239515775699</v>
      </c>
      <c r="AL2842">
        <v>79.243528469959003</v>
      </c>
      <c r="AM2842">
        <v>84.473471310955205</v>
      </c>
      <c r="AN2842">
        <v>0.99999998871254603</v>
      </c>
    </row>
    <row r="2843" spans="1:40" x14ac:dyDescent="0.25">
      <c r="A2843" t="str">
        <f>"20190303162604739"</f>
        <v>20190303162604739</v>
      </c>
      <c r="B2843" t="str">
        <f>"1551601564726379"</f>
        <v>1551601564726379</v>
      </c>
      <c r="C2843" t="s">
        <v>40</v>
      </c>
      <c r="D2843">
        <v>4.8994059999999999</v>
      </c>
      <c r="E2843">
        <v>0.43100949999999999</v>
      </c>
      <c r="F2843" t="s">
        <v>48</v>
      </c>
      <c r="G2843">
        <v>-259.47480000000002</v>
      </c>
      <c r="H2843" s="1">
        <v>3.3486060000000002E-6</v>
      </c>
      <c r="I2843">
        <v>218.19900000000001</v>
      </c>
      <c r="J2843">
        <v>-282.95859999999999</v>
      </c>
      <c r="K2843">
        <v>1.11975</v>
      </c>
      <c r="L2843">
        <v>216.03639999999999</v>
      </c>
      <c r="M2843">
        <v>0.99992639999999999</v>
      </c>
      <c r="N2843">
        <v>-1.005493E-2</v>
      </c>
      <c r="O2843">
        <v>6.8030719999999899E-3</v>
      </c>
      <c r="P2843">
        <v>0.98012849999999996</v>
      </c>
      <c r="Q2843">
        <v>0.1782482</v>
      </c>
      <c r="R2843">
        <v>-8.7039809999999995E-2</v>
      </c>
      <c r="S2843">
        <v>3.11145</v>
      </c>
      <c r="T2843">
        <v>-0.1461846</v>
      </c>
      <c r="U2843">
        <v>0.28257749999999998</v>
      </c>
      <c r="V2843">
        <v>9.4080220000000006E-2</v>
      </c>
      <c r="W2843">
        <v>0.18790109999999999</v>
      </c>
      <c r="X2843">
        <v>0.97767170000000003</v>
      </c>
      <c r="Y2843">
        <v>-8.3562199999999906E-2</v>
      </c>
      <c r="Z2843">
        <v>2.128619E-3</v>
      </c>
      <c r="AA2843">
        <v>0.99650030000000001</v>
      </c>
      <c r="AB2843">
        <v>35</v>
      </c>
      <c r="AC2843">
        <v>23.483799999999899</v>
      </c>
      <c r="AD2843">
        <v>-1.119746651394</v>
      </c>
      <c r="AE2843">
        <v>2.1626000000000198</v>
      </c>
      <c r="AF2843">
        <v>-1.9982749496732499</v>
      </c>
      <c r="AG2843">
        <v>-1.119746651394</v>
      </c>
      <c r="AH2843">
        <v>23.445114371360098</v>
      </c>
      <c r="AI2843">
        <v>92.7245248407432</v>
      </c>
      <c r="AJ2843">
        <v>94.871662263960204</v>
      </c>
      <c r="AK2843">
        <v>23.556746872689299</v>
      </c>
      <c r="AL2843">
        <v>79.169679188619398</v>
      </c>
      <c r="AM2843">
        <v>84.503417633010997</v>
      </c>
      <c r="AN2843">
        <v>0.99999993207867099</v>
      </c>
    </row>
    <row r="2844" spans="1:40" x14ac:dyDescent="0.25">
      <c r="A2844" t="str">
        <f>"20190303162604761"</f>
        <v>20190303162604761</v>
      </c>
      <c r="B2844" t="str">
        <f>"1551601564756634"</f>
        <v>1551601564756634</v>
      </c>
      <c r="C2844" t="s">
        <v>40</v>
      </c>
      <c r="D2844">
        <v>4.9408110000000001</v>
      </c>
      <c r="E2844">
        <v>0.43060300000000001</v>
      </c>
      <c r="F2844" t="s">
        <v>48</v>
      </c>
      <c r="G2844">
        <v>-258.82819999999998</v>
      </c>
      <c r="H2844" s="1">
        <v>3.0031379999999999E-6</v>
      </c>
      <c r="I2844">
        <v>218.2312</v>
      </c>
      <c r="J2844">
        <v>-282.59480000000002</v>
      </c>
      <c r="K2844">
        <v>1.1197600000000001</v>
      </c>
      <c r="L2844">
        <v>216.03800000000001</v>
      </c>
      <c r="M2844">
        <v>0.99993160000000003</v>
      </c>
      <c r="N2844">
        <v>-1.0107100000000001E-2</v>
      </c>
      <c r="O2844">
        <v>5.909475E-3</v>
      </c>
      <c r="P2844">
        <v>0.9800468</v>
      </c>
      <c r="Q2844">
        <v>0.17853550000000001</v>
      </c>
      <c r="R2844">
        <v>-8.7369959999999997E-2</v>
      </c>
      <c r="S2844">
        <v>3.1122130000000001</v>
      </c>
      <c r="T2844">
        <v>-0.1444192</v>
      </c>
      <c r="U2844">
        <v>0.28308109999999997</v>
      </c>
      <c r="V2844">
        <v>9.3539239999999996E-2</v>
      </c>
      <c r="W2844">
        <v>0.18823880000000001</v>
      </c>
      <c r="X2844">
        <v>0.97765869999999999</v>
      </c>
      <c r="Y2844">
        <v>-8.4590879999999993E-2</v>
      </c>
      <c r="Z2844">
        <v>2.172336E-3</v>
      </c>
      <c r="AA2844">
        <v>0.9964134</v>
      </c>
      <c r="AB2844">
        <v>35</v>
      </c>
      <c r="AC2844">
        <v>23.7666</v>
      </c>
      <c r="AD2844">
        <v>-1.119756996862</v>
      </c>
      <c r="AE2844">
        <v>2.1932000000000098</v>
      </c>
      <c r="AF2844">
        <v>-2.04819822166903</v>
      </c>
      <c r="AG2844">
        <v>-1.119756996862</v>
      </c>
      <c r="AH2844">
        <v>23.726922041501101</v>
      </c>
      <c r="AI2844">
        <v>92.691988139771297</v>
      </c>
      <c r="AJ2844">
        <v>94.933758901431204</v>
      </c>
      <c r="AK2844">
        <v>23.841472296205598</v>
      </c>
      <c r="AL2844">
        <v>79.149979437918404</v>
      </c>
      <c r="AM2844">
        <v>84.534759935428596</v>
      </c>
      <c r="AN2844">
        <v>0.99999998446545302</v>
      </c>
    </row>
    <row r="2845" spans="1:40" x14ac:dyDescent="0.25">
      <c r="A2845" t="str">
        <f>"20190303162604783"</f>
        <v>20190303162604783</v>
      </c>
      <c r="B2845" t="str">
        <f>"1551601564776155"</f>
        <v>1551601564776155</v>
      </c>
      <c r="C2845" t="s">
        <v>40</v>
      </c>
      <c r="D2845">
        <v>5.0020639999999998</v>
      </c>
      <c r="E2845">
        <v>0.4303071</v>
      </c>
      <c r="F2845" t="s">
        <v>48</v>
      </c>
      <c r="G2845">
        <v>-258.88380000000001</v>
      </c>
      <c r="H2845" s="1">
        <v>3.0335170000000001E-6</v>
      </c>
      <c r="I2845">
        <v>218.21289999999999</v>
      </c>
      <c r="J2845">
        <v>-282.2312</v>
      </c>
      <c r="K2845">
        <v>1.1197680000000001</v>
      </c>
      <c r="L2845">
        <v>216.0393</v>
      </c>
      <c r="M2845">
        <v>0.99993560000000004</v>
      </c>
      <c r="N2845">
        <v>-1.018546E-2</v>
      </c>
      <c r="O2845">
        <v>5.0178769999999996E-3</v>
      </c>
      <c r="P2845">
        <v>0.97991499999999998</v>
      </c>
      <c r="Q2845">
        <v>0.1789654</v>
      </c>
      <c r="R2845">
        <v>-8.7967199999999995E-2</v>
      </c>
      <c r="S2845">
        <v>3.1133120000000001</v>
      </c>
      <c r="T2845">
        <v>-0.14702709999999999</v>
      </c>
      <c r="U2845">
        <v>0.28556819999999999</v>
      </c>
      <c r="V2845">
        <v>9.3266760000000004E-2</v>
      </c>
      <c r="W2845">
        <v>0.18874360000000001</v>
      </c>
      <c r="X2845">
        <v>0.9775874</v>
      </c>
      <c r="Y2845">
        <v>-8.6230570000000006E-2</v>
      </c>
      <c r="Z2845">
        <v>2.2857749999999999E-3</v>
      </c>
      <c r="AA2845">
        <v>0.99627259999999995</v>
      </c>
      <c r="AB2845">
        <v>35</v>
      </c>
      <c r="AC2845">
        <v>23.3474</v>
      </c>
      <c r="AD2845">
        <v>-1.1197649664830001</v>
      </c>
      <c r="AE2845">
        <v>2.1735999999999902</v>
      </c>
      <c r="AF2845">
        <v>-2.0517332172462401</v>
      </c>
      <c r="AG2845">
        <v>-1.1197649664830001</v>
      </c>
      <c r="AH2845">
        <v>23.304866867366101</v>
      </c>
      <c r="AI2845">
        <v>92.740280274829004</v>
      </c>
      <c r="AJ2845">
        <v>95.031281285044102</v>
      </c>
      <c r="AK2845">
        <v>23.4217911885614</v>
      </c>
      <c r="AL2845">
        <v>79.120528567262497</v>
      </c>
      <c r="AM2845">
        <v>84.550189158200496</v>
      </c>
      <c r="AN2845">
        <v>0.99999997985030797</v>
      </c>
    </row>
    <row r="2846" spans="1:40" x14ac:dyDescent="0.25">
      <c r="A2846" t="str">
        <f>"20190303162604807"</f>
        <v>20190303162604807</v>
      </c>
      <c r="B2846" t="str">
        <f>"1551601564796651"</f>
        <v>1551601564796651</v>
      </c>
      <c r="C2846" t="s">
        <v>40</v>
      </c>
      <c r="D2846">
        <v>4.9414179999999996</v>
      </c>
      <c r="E2846">
        <v>0.43002190000000001</v>
      </c>
      <c r="F2846" t="s">
        <v>48</v>
      </c>
      <c r="G2846">
        <v>-258.70979999999997</v>
      </c>
      <c r="H2846" s="1">
        <v>2.9414299999999999E-6</v>
      </c>
      <c r="I2846">
        <v>218.20189999999999</v>
      </c>
      <c r="J2846">
        <v>-281.87310000000002</v>
      </c>
      <c r="K2846">
        <v>1.119785</v>
      </c>
      <c r="L2846">
        <v>216.0402</v>
      </c>
      <c r="M2846">
        <v>0.99993869999999896</v>
      </c>
      <c r="N2846">
        <v>-1.0284929999999999E-2</v>
      </c>
      <c r="O2846">
        <v>4.1408720000000003E-3</v>
      </c>
      <c r="P2846">
        <v>0.97971520000000001</v>
      </c>
      <c r="Q2846">
        <v>0.17945239999999901</v>
      </c>
      <c r="R2846">
        <v>-8.9194579999999996E-2</v>
      </c>
      <c r="S2846">
        <v>3.1142270000000001</v>
      </c>
      <c r="T2846">
        <v>-0.1482569</v>
      </c>
      <c r="U2846">
        <v>0.28633120000000001</v>
      </c>
      <c r="V2846">
        <v>9.3638449999999998E-2</v>
      </c>
      <c r="W2846">
        <v>0.18932379999999999</v>
      </c>
      <c r="X2846">
        <v>0.97743970000000002</v>
      </c>
      <c r="Y2846">
        <v>-8.7315740000000003E-2</v>
      </c>
      <c r="Z2846">
        <v>2.369019E-3</v>
      </c>
      <c r="AA2846">
        <v>0.99617789999999995</v>
      </c>
      <c r="AB2846">
        <v>35</v>
      </c>
      <c r="AC2846">
        <v>23.1633</v>
      </c>
      <c r="AD2846">
        <v>-1.11978205857</v>
      </c>
      <c r="AE2846">
        <v>2.16169999999999</v>
      </c>
      <c r="AF2846">
        <v>-2.0609851298818498</v>
      </c>
      <c r="AG2846">
        <v>-1.11978205857</v>
      </c>
      <c r="AH2846">
        <v>23.118490844596</v>
      </c>
      <c r="AI2846">
        <v>92.762110720297301</v>
      </c>
      <c r="AJ2846">
        <v>95.094381146807194</v>
      </c>
      <c r="AK2846">
        <v>23.2371726011569</v>
      </c>
      <c r="AL2846">
        <v>79.086675574462106</v>
      </c>
      <c r="AM2846">
        <v>84.527780156465994</v>
      </c>
      <c r="AN2846">
        <v>1.0000000138504599</v>
      </c>
    </row>
    <row r="2847" spans="1:40" x14ac:dyDescent="0.25">
      <c r="A2847" t="str">
        <f>"20190303162604830"</f>
        <v>20190303162604830</v>
      </c>
      <c r="B2847" t="str">
        <f>"1551601564816172"</f>
        <v>1551601564816172</v>
      </c>
      <c r="C2847" t="s">
        <v>40</v>
      </c>
      <c r="D2847">
        <v>4.9701639999999996</v>
      </c>
      <c r="E2847">
        <v>0.42989339999999998</v>
      </c>
      <c r="F2847" t="s">
        <v>48</v>
      </c>
      <c r="G2847">
        <v>-258.16879999999998</v>
      </c>
      <c r="H2847" s="1">
        <v>2.6528869999999999E-6</v>
      </c>
      <c r="I2847">
        <v>218.21619999999999</v>
      </c>
      <c r="J2847">
        <v>-281.49720000000002</v>
      </c>
      <c r="K2847">
        <v>1.1198189999999999</v>
      </c>
      <c r="L2847">
        <v>216.04079999999999</v>
      </c>
      <c r="M2847">
        <v>0.99994039999999995</v>
      </c>
      <c r="N2847">
        <v>-1.043492E-2</v>
      </c>
      <c r="O2847">
        <v>3.2207350000000002E-3</v>
      </c>
      <c r="P2847">
        <v>0.97944850000000006</v>
      </c>
      <c r="Q2847">
        <v>0.17956429999999901</v>
      </c>
      <c r="R2847">
        <v>-9.1856060000000003E-2</v>
      </c>
      <c r="S2847">
        <v>3.1150509999999998</v>
      </c>
      <c r="T2847">
        <v>-0.1471536</v>
      </c>
      <c r="U2847">
        <v>0.28594969999999997</v>
      </c>
      <c r="V2847">
        <v>9.5402349999999997E-2</v>
      </c>
      <c r="W2847">
        <v>0.1895752</v>
      </c>
      <c r="X2847">
        <v>0.97722039999999999</v>
      </c>
      <c r="Y2847">
        <v>-8.8086990000000004E-2</v>
      </c>
      <c r="Z2847">
        <v>2.4177460000000001E-3</v>
      </c>
      <c r="AA2847">
        <v>0.99610980000000005</v>
      </c>
      <c r="AB2847">
        <v>36</v>
      </c>
      <c r="AC2847">
        <v>23.328399999999998</v>
      </c>
      <c r="AD2847">
        <v>-1.119816347113</v>
      </c>
      <c r="AE2847">
        <v>2.17539999999999</v>
      </c>
      <c r="AF2847">
        <v>-2.0954632521137699</v>
      </c>
      <c r="AG2847">
        <v>-1.119816347113</v>
      </c>
      <c r="AH2847">
        <v>23.2821011882561</v>
      </c>
      <c r="AI2847">
        <v>92.7426062117962</v>
      </c>
      <c r="AJ2847">
        <v>95.142945558307801</v>
      </c>
      <c r="AK2847">
        <v>23.403016699400499</v>
      </c>
      <c r="AL2847">
        <v>79.072006013719601</v>
      </c>
      <c r="AM2847">
        <v>84.424098293465093</v>
      </c>
      <c r="AN2847">
        <v>1.00000003750836</v>
      </c>
    </row>
    <row r="2848" spans="1:40" x14ac:dyDescent="0.25">
      <c r="A2848" t="str">
        <f>"20190303162604856"</f>
        <v>20190303162604856</v>
      </c>
      <c r="B2848" t="str">
        <f>"1551601564846427"</f>
        <v>1551601564846427</v>
      </c>
      <c r="C2848" t="s">
        <v>40</v>
      </c>
      <c r="D2848">
        <v>5.0801100000000003</v>
      </c>
      <c r="E2848">
        <v>0.47098669999999998</v>
      </c>
      <c r="F2848" t="s">
        <v>48</v>
      </c>
      <c r="G2848">
        <v>-257.67070000000001</v>
      </c>
      <c r="H2848" s="1">
        <v>2.3896910000000001E-6</v>
      </c>
      <c r="I2848">
        <v>218.17400000000001</v>
      </c>
      <c r="J2848">
        <v>-281.08679999999998</v>
      </c>
      <c r="K2848">
        <v>1.119856</v>
      </c>
      <c r="L2848">
        <v>216.0412</v>
      </c>
      <c r="M2848">
        <v>0.99994059999999996</v>
      </c>
      <c r="N2848">
        <v>-1.0674039999999999E-2</v>
      </c>
      <c r="O2848">
        <v>2.2233219999999998E-3</v>
      </c>
      <c r="P2848">
        <v>0.97916789999999998</v>
      </c>
      <c r="Q2848">
        <v>0.17922299999999999</v>
      </c>
      <c r="R2848">
        <v>-9.5443760000000002E-2</v>
      </c>
      <c r="S2848">
        <v>3.1159970000000001</v>
      </c>
      <c r="T2848">
        <v>-0.1464483</v>
      </c>
      <c r="U2848">
        <v>0.27897640000000001</v>
      </c>
      <c r="V2848">
        <v>9.8015770000000002E-2</v>
      </c>
      <c r="W2848">
        <v>0.1894586</v>
      </c>
      <c r="X2848">
        <v>0.97698430000000003</v>
      </c>
      <c r="Y2848">
        <v>-8.6843499999999907E-2</v>
      </c>
      <c r="Z2848">
        <v>2.4197680000000001E-3</v>
      </c>
      <c r="AA2848">
        <v>0.99621899999999997</v>
      </c>
      <c r="AB2848">
        <v>36</v>
      </c>
      <c r="AC2848">
        <v>23.416099999999901</v>
      </c>
      <c r="AD2848">
        <v>-1.119853610309</v>
      </c>
      <c r="AE2848">
        <v>2.1328</v>
      </c>
      <c r="AF2848">
        <v>-2.0760211427165798</v>
      </c>
      <c r="AG2848">
        <v>-1.119853610309</v>
      </c>
      <c r="AH2848">
        <v>23.3677785688051</v>
      </c>
      <c r="AI2848">
        <v>92.732937855985895</v>
      </c>
      <c r="AJ2848">
        <v>95.076896053071593</v>
      </c>
      <c r="AK2848">
        <v>23.486528290367499</v>
      </c>
      <c r="AL2848">
        <v>79.078809452642204</v>
      </c>
      <c r="AM2848">
        <v>84.270981140702204</v>
      </c>
      <c r="AN2848">
        <v>0.99999998736457096</v>
      </c>
    </row>
    <row r="2849" spans="1:40" x14ac:dyDescent="0.25">
      <c r="A2849" t="str">
        <f>"20190303162604877"</f>
        <v>20190303162604877</v>
      </c>
      <c r="B2849" t="str">
        <f>"1551601564865947"</f>
        <v>1551601564865947</v>
      </c>
      <c r="C2849" t="s">
        <v>40</v>
      </c>
      <c r="D2849">
        <v>4.9968760000000003</v>
      </c>
      <c r="E2849">
        <v>0.52652339999999997</v>
      </c>
      <c r="F2849" t="s">
        <v>48</v>
      </c>
      <c r="G2849">
        <v>-241.36580000000001</v>
      </c>
      <c r="H2849" s="1">
        <v>-8.3948709999999902E-7</v>
      </c>
      <c r="I2849">
        <v>215.29140000000001</v>
      </c>
      <c r="J2849">
        <v>-280.75229999999999</v>
      </c>
      <c r="K2849">
        <v>1.119904</v>
      </c>
      <c r="L2849">
        <v>216.0411</v>
      </c>
      <c r="M2849">
        <v>0.99993929999999998</v>
      </c>
      <c r="N2849">
        <v>-1.093685E-2</v>
      </c>
      <c r="O2849">
        <v>1.4254649999999999E-3</v>
      </c>
      <c r="P2849">
        <v>0.97911440000000005</v>
      </c>
      <c r="Q2849">
        <v>0.17775869999999999</v>
      </c>
      <c r="R2849">
        <v>-9.8675959999999993E-2</v>
      </c>
      <c r="S2849">
        <v>3.074036</v>
      </c>
      <c r="T2849">
        <v>-8.6666579999999993E-2</v>
      </c>
      <c r="U2849">
        <v>-5.8029169999999998E-2</v>
      </c>
      <c r="V2849">
        <v>0.10046389999999999</v>
      </c>
      <c r="W2849">
        <v>0.18824579999999999</v>
      </c>
      <c r="X2849">
        <v>0.97697009999999995</v>
      </c>
      <c r="Y2849">
        <v>2.028771E-2</v>
      </c>
      <c r="Z2849">
        <v>-4.2147970000000002E-4</v>
      </c>
      <c r="AA2849">
        <v>0.99979410000000002</v>
      </c>
      <c r="AB2849">
        <v>36</v>
      </c>
      <c r="AC2849">
        <v>39.386499999999899</v>
      </c>
      <c r="AD2849">
        <v>-1.1199048394871001</v>
      </c>
      <c r="AE2849">
        <v>-0.74969999999999004</v>
      </c>
      <c r="AF2849">
        <v>0.80519592025465003</v>
      </c>
      <c r="AG2849">
        <v>-1.1199048394871001</v>
      </c>
      <c r="AH2849">
        <v>39.353586313550203</v>
      </c>
      <c r="AI2849">
        <v>91.629714039641897</v>
      </c>
      <c r="AJ2849">
        <v>88.827860531913302</v>
      </c>
      <c r="AK2849">
        <v>39.377751117319299</v>
      </c>
      <c r="AL2849">
        <v>79.149571526908602</v>
      </c>
      <c r="AM2849">
        <v>84.128790798110998</v>
      </c>
      <c r="AN2849">
        <v>1.00000002635742</v>
      </c>
    </row>
    <row r="2850" spans="1:40" x14ac:dyDescent="0.25">
      <c r="A2850" t="str">
        <f>"20190303162604900"</f>
        <v>20190303162604900</v>
      </c>
      <c r="B2850" t="str">
        <f>"1551601564886443"</f>
        <v>1551601564886443</v>
      </c>
      <c r="C2850" t="s">
        <v>40</v>
      </c>
      <c r="D2850">
        <v>4.9404409999999999</v>
      </c>
      <c r="E2850">
        <v>0.52995899999999996</v>
      </c>
      <c r="F2850" t="s">
        <v>48</v>
      </c>
      <c r="G2850">
        <v>-246.8777</v>
      </c>
      <c r="H2850" s="1">
        <v>2.309376E-6</v>
      </c>
      <c r="I2850">
        <v>210.35730000000001</v>
      </c>
      <c r="J2850">
        <v>-280.40499999999997</v>
      </c>
      <c r="K2850">
        <v>1.1199650000000001</v>
      </c>
      <c r="L2850">
        <v>216.04069999999999</v>
      </c>
      <c r="M2850">
        <v>0.99993650000000001</v>
      </c>
      <c r="N2850">
        <v>-1.126139E-2</v>
      </c>
      <c r="O2850">
        <v>6.0748789999999996E-4</v>
      </c>
      <c r="P2850">
        <v>0.97913320000000004</v>
      </c>
      <c r="Q2850">
        <v>0.17593039999999999</v>
      </c>
      <c r="R2850">
        <v>-0.1017212</v>
      </c>
      <c r="S2850">
        <v>3.030945</v>
      </c>
      <c r="T2850">
        <v>-0.1002039</v>
      </c>
      <c r="U2850">
        <v>-0.50856020000000002</v>
      </c>
      <c r="V2850">
        <v>0.1026996</v>
      </c>
      <c r="W2850">
        <v>0.18673429999999999</v>
      </c>
      <c r="X2850">
        <v>0.97702770000000005</v>
      </c>
      <c r="Y2850">
        <v>0.1659562</v>
      </c>
      <c r="Z2850">
        <v>-3.677956E-3</v>
      </c>
      <c r="AA2850">
        <v>0.98612619999999895</v>
      </c>
      <c r="AB2850">
        <v>35</v>
      </c>
      <c r="AC2850">
        <v>33.527299999999897</v>
      </c>
      <c r="AD2850">
        <v>-1.1199626906239999</v>
      </c>
      <c r="AE2850">
        <v>-5.6833999999999696</v>
      </c>
      <c r="AF2850">
        <v>5.6975875455182301</v>
      </c>
      <c r="AG2850">
        <v>-1.1199626906239999</v>
      </c>
      <c r="AH2850">
        <v>33.4875173743606</v>
      </c>
      <c r="AI2850">
        <v>91.888379445571204</v>
      </c>
      <c r="AJ2850">
        <v>80.344123278743893</v>
      </c>
      <c r="AK2850">
        <v>33.9872128919883</v>
      </c>
      <c r="AL2850">
        <v>79.237737491340795</v>
      </c>
      <c r="AM2850">
        <v>83.999428634973199</v>
      </c>
      <c r="AN2850">
        <v>1.00000001660196</v>
      </c>
    </row>
    <row r="2851" spans="1:40" x14ac:dyDescent="0.25">
      <c r="A2851" t="str">
        <f>"20190303162604918"</f>
        <v>20190303162604918</v>
      </c>
      <c r="B2851" t="str">
        <f>"1551601564905964"</f>
        <v>1551601564905964</v>
      </c>
      <c r="C2851" t="s">
        <v>40</v>
      </c>
      <c r="D2851">
        <v>4.9171019999999999</v>
      </c>
      <c r="E2851">
        <v>0.52939060000000004</v>
      </c>
      <c r="F2851" t="s">
        <v>48</v>
      </c>
      <c r="G2851">
        <v>-252.65180000000001</v>
      </c>
      <c r="H2851" s="1">
        <v>3.0343370000000001E-8</v>
      </c>
      <c r="I2851">
        <v>211.04820000000001</v>
      </c>
      <c r="J2851">
        <v>-280.09320000000002</v>
      </c>
      <c r="K2851">
        <v>1.1200209999999999</v>
      </c>
      <c r="L2851">
        <v>216.0402</v>
      </c>
      <c r="M2851">
        <v>0.99993299999999996</v>
      </c>
      <c r="N2851">
        <v>-1.157099E-2</v>
      </c>
      <c r="O2851">
        <v>-1.1992449999999999E-4</v>
      </c>
      <c r="P2851">
        <v>0.97910730000000001</v>
      </c>
      <c r="Q2851">
        <v>0.1749628</v>
      </c>
      <c r="R2851">
        <v>-0.1036219</v>
      </c>
      <c r="S2851">
        <v>3.0293269999999999</v>
      </c>
      <c r="T2851">
        <v>-0.1222467</v>
      </c>
      <c r="U2851">
        <v>-0.5449524</v>
      </c>
      <c r="V2851">
        <v>0.103879</v>
      </c>
      <c r="W2851">
        <v>0.1860715</v>
      </c>
      <c r="X2851">
        <v>0.97702940000000005</v>
      </c>
      <c r="Y2851">
        <v>0.17675189999999999</v>
      </c>
      <c r="Z2851">
        <v>-4.5644309999999999E-3</v>
      </c>
      <c r="AA2851">
        <v>0.98424489999999998</v>
      </c>
      <c r="AB2851">
        <v>35</v>
      </c>
      <c r="AC2851">
        <v>27.441400000000002</v>
      </c>
      <c r="AD2851">
        <v>-1.1200209696566299</v>
      </c>
      <c r="AE2851">
        <v>-4.9919999999999902</v>
      </c>
      <c r="AF2851">
        <v>4.9806774934952802</v>
      </c>
      <c r="AG2851">
        <v>-1.1200209696566299</v>
      </c>
      <c r="AH2851">
        <v>27.397819458780599</v>
      </c>
      <c r="AI2851">
        <v>92.303236416143307</v>
      </c>
      <c r="AJ2851">
        <v>79.6966601003829</v>
      </c>
      <c r="AK2851">
        <v>27.869375779923999</v>
      </c>
      <c r="AL2851">
        <v>79.276389859688905</v>
      </c>
      <c r="AM2851">
        <v>83.931040083303799</v>
      </c>
      <c r="AN2851">
        <v>0.99999994910880297</v>
      </c>
    </row>
    <row r="2852" spans="1:40" x14ac:dyDescent="0.25">
      <c r="A2852" t="str">
        <f>"20190303162604940"</f>
        <v>20190303162604940</v>
      </c>
      <c r="B2852" t="str">
        <f>"1551601564936219"</f>
        <v>1551601564936219</v>
      </c>
      <c r="C2852" t="s">
        <v>40</v>
      </c>
      <c r="D2852">
        <v>4.9440339999999896</v>
      </c>
      <c r="E2852">
        <v>0.52637460000000003</v>
      </c>
      <c r="F2852" t="s">
        <v>48</v>
      </c>
      <c r="G2852">
        <v>-254.29220000000001</v>
      </c>
      <c r="H2852" s="1">
        <v>8.8829899999999905E-7</v>
      </c>
      <c r="I2852">
        <v>211.39080000000001</v>
      </c>
      <c r="J2852">
        <v>-279.75779999999997</v>
      </c>
      <c r="K2852">
        <v>1.1200829999999999</v>
      </c>
      <c r="L2852">
        <v>216.0394</v>
      </c>
      <c r="M2852">
        <v>0.99992890000000001</v>
      </c>
      <c r="N2852">
        <v>-1.189521E-2</v>
      </c>
      <c r="O2852">
        <v>-8.9334349999999996E-4</v>
      </c>
      <c r="P2852">
        <v>0.97901459999999996</v>
      </c>
      <c r="Q2852">
        <v>0.1747263</v>
      </c>
      <c r="R2852">
        <v>-0.1048871</v>
      </c>
      <c r="S2852">
        <v>3.0297239999999999</v>
      </c>
      <c r="T2852">
        <v>-0.13152039999999901</v>
      </c>
      <c r="U2852">
        <v>-0.54595950000000004</v>
      </c>
      <c r="V2852">
        <v>0.104379399999999</v>
      </c>
      <c r="W2852">
        <v>0.18615580000000001</v>
      </c>
      <c r="X2852">
        <v>0.9769601</v>
      </c>
      <c r="Y2852">
        <v>0.17625969999999999</v>
      </c>
      <c r="Z2852">
        <v>-4.8228469999999999E-3</v>
      </c>
      <c r="AA2852">
        <v>0.98433190000000004</v>
      </c>
      <c r="AB2852">
        <v>35</v>
      </c>
      <c r="AC2852">
        <v>25.465599999999899</v>
      </c>
      <c r="AD2852">
        <v>-1.120082111701</v>
      </c>
      <c r="AE2852">
        <v>-4.6485999999999796</v>
      </c>
      <c r="AF2852">
        <v>4.6172026056183997</v>
      </c>
      <c r="AG2852">
        <v>-1.120082111701</v>
      </c>
      <c r="AH2852">
        <v>25.422147166465798</v>
      </c>
      <c r="AI2852">
        <v>92.482225095101896</v>
      </c>
      <c r="AJ2852">
        <v>79.706075201457907</v>
      </c>
      <c r="AK2852">
        <v>25.862302882607501</v>
      </c>
      <c r="AL2852">
        <v>79.271474911171396</v>
      </c>
      <c r="AM2852">
        <v>83.901595487057506</v>
      </c>
      <c r="AN2852">
        <v>1.0000000390049999</v>
      </c>
    </row>
    <row r="2853" spans="1:40" x14ac:dyDescent="0.25">
      <c r="A2853" t="str">
        <f>"20190303162604985"</f>
        <v>20190303162604985</v>
      </c>
      <c r="B2853" t="str">
        <f>"1551601564976236"</f>
        <v>1551601564976236</v>
      </c>
      <c r="C2853" t="s">
        <v>40</v>
      </c>
      <c r="D2853">
        <v>4.9510769999999997</v>
      </c>
      <c r="E2853">
        <v>0.52506629999999999</v>
      </c>
      <c r="F2853" t="s">
        <v>48</v>
      </c>
      <c r="G2853">
        <v>-250.63730000000001</v>
      </c>
      <c r="H2853" s="1">
        <v>-1.0391069999999999E-6</v>
      </c>
      <c r="I2853">
        <v>210.989</v>
      </c>
      <c r="J2853">
        <v>-279.0523</v>
      </c>
      <c r="K2853">
        <v>1.120177</v>
      </c>
      <c r="L2853">
        <v>216.0369</v>
      </c>
      <c r="M2853">
        <v>0.99991890000000005</v>
      </c>
      <c r="N2853">
        <v>-1.250506E-2</v>
      </c>
      <c r="O2853">
        <v>-2.4542610000000001E-3</v>
      </c>
      <c r="P2853">
        <v>0.97895069999999995</v>
      </c>
      <c r="Q2853">
        <v>0.1741222</v>
      </c>
      <c r="R2853">
        <v>-0.106478</v>
      </c>
      <c r="S2853">
        <v>3.0288089999999999</v>
      </c>
      <c r="T2853">
        <v>-0.1164993</v>
      </c>
      <c r="U2853">
        <v>-0.52528379999999997</v>
      </c>
      <c r="V2853">
        <v>0.1044268</v>
      </c>
      <c r="W2853">
        <v>0.18615670000000001</v>
      </c>
      <c r="X2853">
        <v>0.97695480000000001</v>
      </c>
      <c r="Y2853">
        <v>0.16829930000000001</v>
      </c>
      <c r="Z2853">
        <v>-4.2090039999999997E-3</v>
      </c>
      <c r="AA2853">
        <v>0.98572700000000002</v>
      </c>
      <c r="AB2853">
        <v>35</v>
      </c>
      <c r="AC2853">
        <v>28.4149999999999</v>
      </c>
      <c r="AD2853">
        <v>-1.120178039107</v>
      </c>
      <c r="AE2853">
        <v>-5.0478999999999896</v>
      </c>
      <c r="AF2853">
        <v>4.9706529666445203</v>
      </c>
      <c r="AG2853">
        <v>-1.120178039107</v>
      </c>
      <c r="AH2853">
        <v>28.384541403932101</v>
      </c>
      <c r="AI2853">
        <v>92.2261279896791</v>
      </c>
      <c r="AJ2853">
        <v>80.067177299855501</v>
      </c>
      <c r="AK2853">
        <v>28.8382451003116</v>
      </c>
      <c r="AL2853">
        <v>79.271421758559995</v>
      </c>
      <c r="AM2853">
        <v>83.898814158140098</v>
      </c>
      <c r="AN2853">
        <v>0.99999997737808399</v>
      </c>
    </row>
    <row r="2854" spans="1:40" x14ac:dyDescent="0.25">
      <c r="A2854" t="str">
        <f>"20190303162605007"</f>
        <v>20190303162605007</v>
      </c>
      <c r="B2854" t="str">
        <f>"1551601564996731"</f>
        <v>1551601564996731</v>
      </c>
      <c r="C2854" t="s">
        <v>40</v>
      </c>
      <c r="D2854">
        <v>5.0030039999999998</v>
      </c>
      <c r="E2854">
        <v>0.524532</v>
      </c>
      <c r="F2854" t="s">
        <v>48</v>
      </c>
      <c r="G2854">
        <v>-249.74160000000001</v>
      </c>
      <c r="H2854" s="1">
        <v>3.8050239999999998E-6</v>
      </c>
      <c r="I2854">
        <v>211.00530000000001</v>
      </c>
      <c r="J2854">
        <v>-278.69839999999999</v>
      </c>
      <c r="K2854">
        <v>1.1202209999999999</v>
      </c>
      <c r="L2854">
        <v>216.0352</v>
      </c>
      <c r="M2854">
        <v>0.99991339999999995</v>
      </c>
      <c r="N2854">
        <v>-1.2770470000000001E-2</v>
      </c>
      <c r="O2854">
        <v>-3.2016470000000002E-3</v>
      </c>
      <c r="P2854">
        <v>0.97890949999999999</v>
      </c>
      <c r="Q2854">
        <v>0.1746355</v>
      </c>
      <c r="R2854">
        <v>-0.1060151</v>
      </c>
      <c r="S2854">
        <v>3.0285030000000002</v>
      </c>
      <c r="T2854">
        <v>-0.1157408</v>
      </c>
      <c r="U2854">
        <v>-0.51988219999999996</v>
      </c>
      <c r="V2854">
        <v>0.1032264</v>
      </c>
      <c r="W2854">
        <v>0.18693580000000001</v>
      </c>
      <c r="X2854">
        <v>0.97693370000000002</v>
      </c>
      <c r="Y2854">
        <v>0.16587479999999999</v>
      </c>
      <c r="Z2854">
        <v>-4.13205E-3</v>
      </c>
      <c r="AA2854">
        <v>0.98613819999999996</v>
      </c>
      <c r="AB2854">
        <v>35</v>
      </c>
      <c r="AC2854">
        <v>28.956799999999902</v>
      </c>
      <c r="AD2854">
        <v>-1.12021719497599</v>
      </c>
      <c r="AE2854">
        <v>-5.0298999999999898</v>
      </c>
      <c r="AF2854">
        <v>4.9299951216184699</v>
      </c>
      <c r="AG2854">
        <v>-1.12021719497599</v>
      </c>
      <c r="AH2854">
        <v>28.930727501861</v>
      </c>
      <c r="AI2854">
        <v>92.185943399667494</v>
      </c>
      <c r="AJ2854">
        <v>80.329298293573004</v>
      </c>
      <c r="AK2854">
        <v>29.369145923060799</v>
      </c>
      <c r="AL2854">
        <v>79.225986020614002</v>
      </c>
      <c r="AM2854">
        <v>83.968298823018401</v>
      </c>
      <c r="AN2854">
        <v>1.00000006858714</v>
      </c>
    </row>
    <row r="2855" spans="1:40" x14ac:dyDescent="0.25">
      <c r="A2855" t="str">
        <f>"20190303162605029"</f>
        <v>20190303162605029</v>
      </c>
      <c r="B2855" t="str">
        <f>"1551601565016251"</f>
        <v>1551601565016251</v>
      </c>
      <c r="C2855" t="s">
        <v>40</v>
      </c>
      <c r="D2855">
        <v>5.0168059999999999</v>
      </c>
      <c r="E2855">
        <v>0.52418319999999996</v>
      </c>
      <c r="F2855" t="s">
        <v>48</v>
      </c>
      <c r="G2855">
        <v>-250.24950000000001</v>
      </c>
      <c r="H2855" s="1">
        <v>-1.254713E-6</v>
      </c>
      <c r="I2855">
        <v>211.2011</v>
      </c>
      <c r="J2855">
        <v>-278.34769999999997</v>
      </c>
      <c r="K2855">
        <v>1.1202620000000001</v>
      </c>
      <c r="L2855">
        <v>216.0334</v>
      </c>
      <c r="M2855">
        <v>0.99990780000000001</v>
      </c>
      <c r="N2855">
        <v>-1.300657E-2</v>
      </c>
      <c r="O2855">
        <v>-3.9273900000000002E-3</v>
      </c>
      <c r="P2855">
        <v>0.97881320000000005</v>
      </c>
      <c r="Q2855">
        <v>0.1754714</v>
      </c>
      <c r="R2855">
        <v>-0.105522</v>
      </c>
      <c r="S2855">
        <v>3.030151</v>
      </c>
      <c r="T2855">
        <v>-0.11931750000000001</v>
      </c>
      <c r="U2855">
        <v>-0.51489259999999903</v>
      </c>
      <c r="V2855">
        <v>0.102018</v>
      </c>
      <c r="W2855">
        <v>0.18800790000000001</v>
      </c>
      <c r="X2855">
        <v>0.97685489999999997</v>
      </c>
      <c r="Y2855">
        <v>0.16348480000000001</v>
      </c>
      <c r="Z2855">
        <v>-4.163206E-3</v>
      </c>
      <c r="AA2855">
        <v>0.98653709999999994</v>
      </c>
      <c r="AB2855">
        <v>35</v>
      </c>
      <c r="AC2855">
        <v>28.098199999999899</v>
      </c>
      <c r="AD2855">
        <v>-1.120263254713</v>
      </c>
      <c r="AE2855">
        <v>-4.8323</v>
      </c>
      <c r="AF2855">
        <v>4.7146218189338001</v>
      </c>
      <c r="AG2855">
        <v>-1.120263254713</v>
      </c>
      <c r="AH2855">
        <v>28.073619805406199</v>
      </c>
      <c r="AI2855">
        <v>92.253620625973795</v>
      </c>
      <c r="AJ2855">
        <v>80.466830507098393</v>
      </c>
      <c r="AK2855">
        <v>28.488783365281201</v>
      </c>
      <c r="AL2855">
        <v>79.1634504663146</v>
      </c>
      <c r="AM2855">
        <v>84.0379188339585</v>
      </c>
      <c r="AN2855">
        <v>1.0000000692202</v>
      </c>
    </row>
    <row r="2856" spans="1:40" x14ac:dyDescent="0.25">
      <c r="A2856" t="str">
        <f>"20190303162605055"</f>
        <v>20190303162605055</v>
      </c>
      <c r="B2856" t="str">
        <f>"1551601565046506"</f>
        <v>1551601565046506</v>
      </c>
      <c r="C2856" t="s">
        <v>40</v>
      </c>
      <c r="D2856">
        <v>5.0540469999999997</v>
      </c>
      <c r="E2856">
        <v>0.5237231</v>
      </c>
      <c r="F2856" t="s">
        <v>48</v>
      </c>
      <c r="G2856">
        <v>-250.04400000000001</v>
      </c>
      <c r="H2856" s="1">
        <v>-1.3665669999999999E-6</v>
      </c>
      <c r="I2856">
        <v>211.25729999999999</v>
      </c>
      <c r="J2856">
        <v>-277.94690000000003</v>
      </c>
      <c r="K2856">
        <v>1.120296</v>
      </c>
      <c r="L2856">
        <v>216.0309</v>
      </c>
      <c r="M2856">
        <v>0.99990109999999999</v>
      </c>
      <c r="N2856">
        <v>-1.324518E-2</v>
      </c>
      <c r="O2856">
        <v>-4.7460219999999999E-3</v>
      </c>
      <c r="P2856">
        <v>0.9787053</v>
      </c>
      <c r="Q2856">
        <v>0.1768612</v>
      </c>
      <c r="R2856">
        <v>-0.1041933</v>
      </c>
      <c r="S2856">
        <v>3.031342</v>
      </c>
      <c r="T2856">
        <v>-0.1199808</v>
      </c>
      <c r="U2856">
        <v>-0.51152039999999999</v>
      </c>
      <c r="V2856">
        <v>9.9883689999999997E-2</v>
      </c>
      <c r="W2856">
        <v>0.18963840000000001</v>
      </c>
      <c r="X2856">
        <v>0.97676019999999997</v>
      </c>
      <c r="Y2856">
        <v>0.16154589999999999</v>
      </c>
      <c r="Z2856">
        <v>-4.1272770000000004E-3</v>
      </c>
      <c r="AA2856">
        <v>0.98685659999999997</v>
      </c>
      <c r="AB2856">
        <v>35</v>
      </c>
      <c r="AC2856">
        <v>27.902899999999999</v>
      </c>
      <c r="AD2856">
        <v>-1.120297366567</v>
      </c>
      <c r="AE2856">
        <v>-4.7736000000000098</v>
      </c>
      <c r="AF2856">
        <v>4.6338494390542202</v>
      </c>
      <c r="AG2856">
        <v>-1.120297366567</v>
      </c>
      <c r="AH2856">
        <v>27.881575942289999</v>
      </c>
      <c r="AI2856">
        <v>92.269837308498097</v>
      </c>
      <c r="AJ2856">
        <v>80.5638320868254</v>
      </c>
      <c r="AK2856">
        <v>28.286214024486299</v>
      </c>
      <c r="AL2856">
        <v>79.0683173986897</v>
      </c>
      <c r="AM2856">
        <v>84.161218217003906</v>
      </c>
      <c r="AN2856">
        <v>0.99999998129330703</v>
      </c>
    </row>
    <row r="2857" spans="1:40" x14ac:dyDescent="0.25">
      <c r="A2857" t="str">
        <f>"20190303162605082"</f>
        <v>20190303162605082</v>
      </c>
      <c r="B2857" t="str">
        <f>"1551601565076764"</f>
        <v>1551601565076764</v>
      </c>
      <c r="C2857" t="s">
        <v>40</v>
      </c>
      <c r="D2857">
        <v>5.0510339999999996</v>
      </c>
      <c r="E2857">
        <v>0.52338549999999995</v>
      </c>
      <c r="F2857" t="s">
        <v>48</v>
      </c>
      <c r="G2857">
        <v>-249.8185</v>
      </c>
      <c r="H2857" s="1">
        <v>3.8307609999999998E-6</v>
      </c>
      <c r="I2857">
        <v>211.35310000000001</v>
      </c>
      <c r="J2857">
        <v>-277.52109999999999</v>
      </c>
      <c r="K2857">
        <v>1.120322</v>
      </c>
      <c r="L2857">
        <v>216.02799999999999</v>
      </c>
      <c r="M2857">
        <v>0.9998937</v>
      </c>
      <c r="N2857">
        <v>-1.3461799999999999E-2</v>
      </c>
      <c r="O2857">
        <v>-5.6092499999999997E-3</v>
      </c>
      <c r="P2857">
        <v>0.97862629999999995</v>
      </c>
      <c r="Q2857">
        <v>0.1778547</v>
      </c>
      <c r="R2857">
        <v>-0.1032392</v>
      </c>
      <c r="S2857">
        <v>3.033325</v>
      </c>
      <c r="T2857">
        <v>-0.1208105</v>
      </c>
      <c r="U2857">
        <v>-0.5044556</v>
      </c>
      <c r="V2857">
        <v>9.8080689999999998E-2</v>
      </c>
      <c r="W2857">
        <v>0.1908494</v>
      </c>
      <c r="X2857">
        <v>0.97670699999999999</v>
      </c>
      <c r="Y2857">
        <v>0.15835250000000001</v>
      </c>
      <c r="Z2857">
        <v>-4.0576359999999999E-3</v>
      </c>
      <c r="AA2857">
        <v>0.98737430000000004</v>
      </c>
      <c r="AB2857">
        <v>35</v>
      </c>
      <c r="AC2857">
        <v>27.702599999999901</v>
      </c>
      <c r="AD2857">
        <v>-1.1203181692389901</v>
      </c>
      <c r="AE2857">
        <v>-4.6748999999999796</v>
      </c>
      <c r="AF2857">
        <v>4.5122462646400097</v>
      </c>
      <c r="AG2857">
        <v>-1.1203181692389901</v>
      </c>
      <c r="AH2857">
        <v>27.684365980103099</v>
      </c>
      <c r="AI2857">
        <v>92.287206319034198</v>
      </c>
      <c r="AJ2857">
        <v>80.742820780179599</v>
      </c>
      <c r="AK2857">
        <v>28.072043012103201</v>
      </c>
      <c r="AL2857">
        <v>78.997640973249602</v>
      </c>
      <c r="AM2857">
        <v>84.265595066787995</v>
      </c>
      <c r="AN2857">
        <v>0.99999993954011601</v>
      </c>
    </row>
    <row r="2858" spans="1:40" x14ac:dyDescent="0.25">
      <c r="A2858" t="str">
        <f>"20190303162605101"</f>
        <v>20190303162605101</v>
      </c>
      <c r="B2858" t="str">
        <f>"1551601565086523"</f>
        <v>1551601565086523</v>
      </c>
      <c r="C2858" t="s">
        <v>40</v>
      </c>
      <c r="D2858">
        <v>5.0337149999999999</v>
      </c>
      <c r="E2858">
        <v>0.52330690000000002</v>
      </c>
      <c r="F2858" t="s">
        <v>48</v>
      </c>
      <c r="G2858">
        <v>-249.36439999999999</v>
      </c>
      <c r="H2858" s="1">
        <v>3.5869150000000001E-6</v>
      </c>
      <c r="I2858">
        <v>211.40360000000001</v>
      </c>
      <c r="J2858">
        <v>-277.22809999999998</v>
      </c>
      <c r="K2858">
        <v>1.1203299999999901</v>
      </c>
      <c r="L2858">
        <v>216.0257</v>
      </c>
      <c r="M2858">
        <v>0.99988849999999996</v>
      </c>
      <c r="N2858">
        <v>-1.358855E-2</v>
      </c>
      <c r="O2858">
        <v>-6.2007379999999999E-3</v>
      </c>
      <c r="P2858">
        <v>0.97866030000000004</v>
      </c>
      <c r="Q2858">
        <v>0.178068</v>
      </c>
      <c r="R2858">
        <v>-0.1025484</v>
      </c>
      <c r="S2858">
        <v>3.0348820000000001</v>
      </c>
      <c r="T2858">
        <v>-0.12075379999999999</v>
      </c>
      <c r="U2858">
        <v>-0.49844359999999999</v>
      </c>
      <c r="V2858">
        <v>9.6807569999999996E-2</v>
      </c>
      <c r="W2858">
        <v>0.19119159999999999</v>
      </c>
      <c r="X2858">
        <v>0.97676719999999895</v>
      </c>
      <c r="Y2858">
        <v>0.1557847</v>
      </c>
      <c r="Z2858">
        <v>-3.9822420000000004E-3</v>
      </c>
      <c r="AA2858">
        <v>0.98778299999999997</v>
      </c>
      <c r="AB2858">
        <v>35</v>
      </c>
      <c r="AC2858">
        <v>27.863699999999898</v>
      </c>
      <c r="AD2858">
        <v>-1.1203264130849999</v>
      </c>
      <c r="AE2858">
        <v>-4.6220999999999801</v>
      </c>
      <c r="AF2858">
        <v>4.44223053870558</v>
      </c>
      <c r="AG2858">
        <v>-1.1203264130849999</v>
      </c>
      <c r="AH2858">
        <v>27.8480129136404</v>
      </c>
      <c r="AI2858">
        <v>92.275036371528898</v>
      </c>
      <c r="AJ2858">
        <v>80.936710085300007</v>
      </c>
      <c r="AK2858">
        <v>28.222338079421199</v>
      </c>
      <c r="AL2858">
        <v>78.977667761369702</v>
      </c>
      <c r="AM2858">
        <v>84.339889620890006</v>
      </c>
      <c r="AN2858">
        <v>1.0000000482578499</v>
      </c>
    </row>
    <row r="2859" spans="1:40" x14ac:dyDescent="0.25">
      <c r="A2859" t="str">
        <f>"20190303162605121"</f>
        <v>20190303162605121</v>
      </c>
      <c r="B2859" t="str">
        <f>"1551601565106043"</f>
        <v>1551601565106043</v>
      </c>
      <c r="C2859" t="s">
        <v>40</v>
      </c>
      <c r="D2859">
        <v>5.0311729999999999</v>
      </c>
      <c r="E2859">
        <v>0.52316320000000005</v>
      </c>
      <c r="F2859" t="s">
        <v>48</v>
      </c>
      <c r="G2859">
        <v>-249.1027</v>
      </c>
      <c r="H2859" s="1">
        <v>3.4465240000000002E-6</v>
      </c>
      <c r="I2859">
        <v>211.42930000000001</v>
      </c>
      <c r="J2859">
        <v>-276.9042</v>
      </c>
      <c r="K2859">
        <v>1.1203350000000001</v>
      </c>
      <c r="L2859">
        <v>216.0231</v>
      </c>
      <c r="M2859">
        <v>0.99988270000000001</v>
      </c>
      <c r="N2859">
        <v>-1.370823E-2</v>
      </c>
      <c r="O2859">
        <v>-6.8535840000000002E-3</v>
      </c>
      <c r="P2859">
        <v>0.97854540000000001</v>
      </c>
      <c r="Q2859">
        <v>0.1787598</v>
      </c>
      <c r="R2859">
        <v>-0.1024413</v>
      </c>
      <c r="S2859">
        <v>3.0354000000000001</v>
      </c>
      <c r="T2859">
        <v>-0.1209098</v>
      </c>
      <c r="U2859">
        <v>-0.49606319999999998</v>
      </c>
      <c r="V2859">
        <v>9.6060569999999998E-2</v>
      </c>
      <c r="W2859">
        <v>0.19200210000000001</v>
      </c>
      <c r="X2859">
        <v>0.97668189999999999</v>
      </c>
      <c r="Y2859">
        <v>0.1543592</v>
      </c>
      <c r="Z2859">
        <v>-3.9407069999999999E-3</v>
      </c>
      <c r="AA2859">
        <v>0.98800690000000002</v>
      </c>
      <c r="AB2859">
        <v>35</v>
      </c>
      <c r="AC2859">
        <v>27.801500000000001</v>
      </c>
      <c r="AD2859">
        <v>-1.1203315534759899</v>
      </c>
      <c r="AE2859">
        <v>-4.5937999999999803</v>
      </c>
      <c r="AF2859">
        <v>4.3961851076155698</v>
      </c>
      <c r="AG2859">
        <v>-1.1203315534759899</v>
      </c>
      <c r="AH2859">
        <v>27.788407856916201</v>
      </c>
      <c r="AI2859">
        <v>92.280385596325004</v>
      </c>
      <c r="AJ2859">
        <v>81.010190688441895</v>
      </c>
      <c r="AK2859">
        <v>28.156299428590799</v>
      </c>
      <c r="AL2859">
        <v>78.930352274799603</v>
      </c>
      <c r="AM2859">
        <v>84.382797194233206</v>
      </c>
      <c r="AN2859">
        <v>0.99999998665037204</v>
      </c>
    </row>
    <row r="2860" spans="1:40" x14ac:dyDescent="0.25">
      <c r="A2860" t="str">
        <f>"20190303162605143"</f>
        <v>20190303162605143</v>
      </c>
      <c r="B2860" t="str">
        <f>"1551601565136299"</f>
        <v>1551601565136299</v>
      </c>
      <c r="C2860" t="s">
        <v>40</v>
      </c>
      <c r="D2860">
        <v>4.971247</v>
      </c>
      <c r="E2860">
        <v>0.52252410000000005</v>
      </c>
      <c r="F2860" t="s">
        <v>48</v>
      </c>
      <c r="G2860">
        <v>-248.85</v>
      </c>
      <c r="H2860" s="1">
        <v>3.3111299999999999E-6</v>
      </c>
      <c r="I2860">
        <v>211.45050000000001</v>
      </c>
      <c r="J2860">
        <v>-276.56790000000001</v>
      </c>
      <c r="K2860">
        <v>1.1203479999999999</v>
      </c>
      <c r="L2860">
        <v>216.02010000000001</v>
      </c>
      <c r="M2860">
        <v>0.99987630000000005</v>
      </c>
      <c r="N2860">
        <v>-1.381511E-2</v>
      </c>
      <c r="O2860">
        <v>-7.5310280000000004E-3</v>
      </c>
      <c r="P2860">
        <v>0.97855080000000005</v>
      </c>
      <c r="Q2860">
        <v>0.17807709999999999</v>
      </c>
      <c r="R2860">
        <v>-0.1035717</v>
      </c>
      <c r="S2860">
        <v>3.0361940000000001</v>
      </c>
      <c r="T2860">
        <v>-0.1212492</v>
      </c>
      <c r="U2860">
        <v>-0.49487300000000001</v>
      </c>
      <c r="V2860">
        <v>9.6524090000000007E-2</v>
      </c>
      <c r="W2860">
        <v>0.1914256</v>
      </c>
      <c r="X2860">
        <v>0.97674939999999999</v>
      </c>
      <c r="Y2860">
        <v>0.15327160000000001</v>
      </c>
      <c r="Z2860">
        <v>-3.910195E-3</v>
      </c>
      <c r="AA2860">
        <v>0.98817630000000001</v>
      </c>
      <c r="AB2860">
        <v>35</v>
      </c>
      <c r="AC2860">
        <v>27.7179</v>
      </c>
      <c r="AD2860">
        <v>-1.1203446888699999</v>
      </c>
      <c r="AE2860">
        <v>-4.5696000000000003</v>
      </c>
      <c r="AF2860">
        <v>4.3537814693631001</v>
      </c>
      <c r="AG2860">
        <v>-1.1203446888699999</v>
      </c>
      <c r="AH2860">
        <v>27.707461873302101</v>
      </c>
      <c r="AI2860">
        <v>92.287442839797393</v>
      </c>
      <c r="AJ2860">
        <v>81.069910888212803</v>
      </c>
      <c r="AK2860">
        <v>28.0698063542544</v>
      </c>
      <c r="AL2860">
        <v>78.964008001660801</v>
      </c>
      <c r="AM2860">
        <v>84.356254689959499</v>
      </c>
      <c r="AN2860">
        <v>1.0000000253430199</v>
      </c>
    </row>
    <row r="2861" spans="1:40" x14ac:dyDescent="0.25">
      <c r="A2861" t="str">
        <f>"20190303162605163"</f>
        <v>20190303162605163</v>
      </c>
      <c r="B2861" t="str">
        <f>"1551601565155818"</f>
        <v>1551601565155818</v>
      </c>
      <c r="C2861" t="s">
        <v>40</v>
      </c>
      <c r="D2861">
        <v>5.1894090000000004</v>
      </c>
      <c r="E2861">
        <v>0.50306809999999902</v>
      </c>
      <c r="F2861" t="s">
        <v>48</v>
      </c>
      <c r="G2861">
        <v>-249.7432</v>
      </c>
      <c r="H2861" s="1">
        <v>3.777099E-6</v>
      </c>
      <c r="I2861">
        <v>211.66390000000001</v>
      </c>
      <c r="J2861">
        <v>-276.24470000000002</v>
      </c>
      <c r="K2861">
        <v>1.120355</v>
      </c>
      <c r="L2861">
        <v>216.017</v>
      </c>
      <c r="M2861">
        <v>0.99986989999999998</v>
      </c>
      <c r="N2861">
        <v>-1.3904089999999999E-2</v>
      </c>
      <c r="O2861">
        <v>-8.1822509999999998E-3</v>
      </c>
      <c r="P2861">
        <v>0.97858109999999998</v>
      </c>
      <c r="Q2861">
        <v>0.17724619999999999</v>
      </c>
      <c r="R2861">
        <v>-0.1047051</v>
      </c>
      <c r="S2861">
        <v>3.0366520000000001</v>
      </c>
      <c r="T2861">
        <v>-0.126827</v>
      </c>
      <c r="U2861">
        <v>-0.4931335</v>
      </c>
      <c r="V2861">
        <v>9.7016019999999994E-2</v>
      </c>
      <c r="W2861">
        <v>0.1906833</v>
      </c>
      <c r="X2861">
        <v>0.97684590000000004</v>
      </c>
      <c r="Y2861">
        <v>0.15204139999999999</v>
      </c>
      <c r="Z2861">
        <v>-3.9912690000000004E-3</v>
      </c>
      <c r="AA2861">
        <v>0.98836610000000003</v>
      </c>
      <c r="AB2861">
        <v>35</v>
      </c>
      <c r="AC2861">
        <v>26.5015</v>
      </c>
      <c r="AD2861">
        <v>-1.120351222901</v>
      </c>
      <c r="AE2861">
        <v>-4.35309999999998</v>
      </c>
      <c r="AF2861">
        <v>4.1289061517129797</v>
      </c>
      <c r="AG2861">
        <v>-1.120351222901</v>
      </c>
      <c r="AH2861">
        <v>26.490135520067302</v>
      </c>
      <c r="AI2861">
        <v>92.392917300148497</v>
      </c>
      <c r="AJ2861">
        <v>81.140830554604804</v>
      </c>
      <c r="AK2861">
        <v>26.833380941354399</v>
      </c>
      <c r="AL2861">
        <v>79.007337304226496</v>
      </c>
      <c r="AM2861">
        <v>84.328235437269598</v>
      </c>
      <c r="AN2861">
        <v>1.00000007069116</v>
      </c>
    </row>
    <row r="2862" spans="1:40" x14ac:dyDescent="0.25">
      <c r="A2862" t="str">
        <f>"20190303162605188"</f>
        <v>20190303162605188</v>
      </c>
      <c r="B2862" t="str">
        <f>"1551601565176315"</f>
        <v>1551601565176315</v>
      </c>
      <c r="C2862" t="s">
        <v>40</v>
      </c>
      <c r="D2862">
        <v>4.7917630000000004</v>
      </c>
      <c r="E2862">
        <v>0.50420690000000001</v>
      </c>
      <c r="F2862" t="s">
        <v>48</v>
      </c>
      <c r="G2862">
        <v>-244.57300000000001</v>
      </c>
      <c r="H2862" s="1">
        <v>9.9095350000000001E-7</v>
      </c>
      <c r="I2862">
        <v>212.4606</v>
      </c>
      <c r="J2862">
        <v>-275.86790000000002</v>
      </c>
      <c r="K2862">
        <v>1.120366</v>
      </c>
      <c r="L2862">
        <v>216.01300000000001</v>
      </c>
      <c r="M2862">
        <v>0.99986209999999998</v>
      </c>
      <c r="N2862">
        <v>-1.39927E-2</v>
      </c>
      <c r="O2862">
        <v>-8.9426590000000004E-3</v>
      </c>
      <c r="P2862">
        <v>0.97858060000000002</v>
      </c>
      <c r="Q2862">
        <v>0.17660020000000001</v>
      </c>
      <c r="R2862">
        <v>-0.10579570000000001</v>
      </c>
      <c r="S2862">
        <v>3.048584</v>
      </c>
      <c r="T2862">
        <v>-0.10784050000000001</v>
      </c>
      <c r="U2862">
        <v>-0.3423157</v>
      </c>
      <c r="V2862">
        <v>9.7358559999999997E-2</v>
      </c>
      <c r="W2862">
        <v>0.1901253</v>
      </c>
      <c r="X2862">
        <v>0.97692049999999997</v>
      </c>
      <c r="Y2862">
        <v>0.1026067</v>
      </c>
      <c r="Z2862">
        <v>-2.3385580000000001E-3</v>
      </c>
      <c r="AA2862">
        <v>0.99471929999999997</v>
      </c>
      <c r="AB2862">
        <v>35</v>
      </c>
      <c r="AC2862">
        <v>31.294899999999998</v>
      </c>
      <c r="AD2862">
        <v>-1.1203650090465</v>
      </c>
      <c r="AE2862">
        <v>-3.5524</v>
      </c>
      <c r="AF2862">
        <v>3.2682354308182502</v>
      </c>
      <c r="AG2862">
        <v>-1.1203650090465</v>
      </c>
      <c r="AH2862">
        <v>31.285831781902001</v>
      </c>
      <c r="AI2862">
        <v>92.039830590632207</v>
      </c>
      <c r="AJ2862">
        <v>84.036298335452102</v>
      </c>
      <c r="AK2862">
        <v>31.4760202514585</v>
      </c>
      <c r="AL2862">
        <v>79.039903249665898</v>
      </c>
      <c r="AM2862">
        <v>84.308772844045905</v>
      </c>
      <c r="AN2862">
        <v>0.99999999111280602</v>
      </c>
    </row>
    <row r="2863" spans="1:40" x14ac:dyDescent="0.25">
      <c r="A2863" t="str">
        <f>"20190303162605208"</f>
        <v>20190303162605208</v>
      </c>
      <c r="B2863" t="str">
        <f>"1551601565195835"</f>
        <v>1551601565195835</v>
      </c>
      <c r="C2863" t="s">
        <v>40</v>
      </c>
      <c r="D2863">
        <v>5.0728790000000004</v>
      </c>
      <c r="E2863">
        <v>0.50506430000000002</v>
      </c>
      <c r="F2863" t="s">
        <v>48</v>
      </c>
      <c r="G2863">
        <v>-243.3621</v>
      </c>
      <c r="H2863" s="1">
        <v>3.5687170000000002E-7</v>
      </c>
      <c r="I2863">
        <v>212.2253</v>
      </c>
      <c r="J2863">
        <v>-275.55270000000002</v>
      </c>
      <c r="K2863">
        <v>1.120374</v>
      </c>
      <c r="L2863">
        <v>216.00960000000001</v>
      </c>
      <c r="M2863">
        <v>0.9998553</v>
      </c>
      <c r="N2863">
        <v>-1.4054219999999999E-2</v>
      </c>
      <c r="O2863">
        <v>-9.5786610000000005E-3</v>
      </c>
      <c r="P2863">
        <v>0.97854830000000004</v>
      </c>
      <c r="Q2863">
        <v>0.17645379999999899</v>
      </c>
      <c r="R2863">
        <v>-0.10633579999999999</v>
      </c>
      <c r="S2863">
        <v>3.046265</v>
      </c>
      <c r="T2863">
        <v>-0.1049944</v>
      </c>
      <c r="U2863">
        <v>-0.35496519999999998</v>
      </c>
      <c r="V2863">
        <v>9.7274239999999998E-2</v>
      </c>
      <c r="W2863">
        <v>0.19004099999999999</v>
      </c>
      <c r="X2863">
        <v>0.97694530000000002</v>
      </c>
      <c r="Y2863">
        <v>0.1061352</v>
      </c>
      <c r="Z2863">
        <v>-2.3763289999999999E-3</v>
      </c>
      <c r="AA2863">
        <v>0.99434889999999998</v>
      </c>
      <c r="AB2863">
        <v>35</v>
      </c>
      <c r="AC2863">
        <v>32.190600000000003</v>
      </c>
      <c r="AD2863">
        <v>-1.1203736431283</v>
      </c>
      <c r="AE2863">
        <v>-3.7843</v>
      </c>
      <c r="AF2863">
        <v>3.4716050541407801</v>
      </c>
      <c r="AG2863">
        <v>-1.1203736431283</v>
      </c>
      <c r="AH2863">
        <v>32.186917081807998</v>
      </c>
      <c r="AI2863">
        <v>91.982080501547102</v>
      </c>
      <c r="AJ2863">
        <v>83.844010020556397</v>
      </c>
      <c r="AK2863">
        <v>32.392976244601797</v>
      </c>
      <c r="AL2863">
        <v>79.044822960602005</v>
      </c>
      <c r="AM2863">
        <v>84.313812971161596</v>
      </c>
      <c r="AN2863">
        <v>0.99999998932033296</v>
      </c>
    </row>
    <row r="2864" spans="1:40" x14ac:dyDescent="0.25">
      <c r="A2864" t="str">
        <f>"20190303162605230"</f>
        <v>20190303162605230</v>
      </c>
      <c r="B2864" t="str">
        <f>"1551601565216330"</f>
        <v>1551601565216330</v>
      </c>
      <c r="C2864" t="s">
        <v>40</v>
      </c>
      <c r="D2864">
        <v>4.8844529999999997</v>
      </c>
      <c r="E2864">
        <v>0.50527730000000004</v>
      </c>
      <c r="F2864" t="s">
        <v>48</v>
      </c>
      <c r="G2864">
        <v>-243.28319999999999</v>
      </c>
      <c r="H2864" s="1">
        <v>3.178994E-7</v>
      </c>
      <c r="I2864">
        <v>212.1568</v>
      </c>
      <c r="J2864">
        <v>-275.19490000000002</v>
      </c>
      <c r="K2864">
        <v>1.1203829999999999</v>
      </c>
      <c r="L2864">
        <v>216.00540000000001</v>
      </c>
      <c r="M2864">
        <v>0.9998475</v>
      </c>
      <c r="N2864">
        <v>-1.4109150000000001E-2</v>
      </c>
      <c r="O2864">
        <v>-1.029731E-2</v>
      </c>
      <c r="P2864">
        <v>0.97853199999999996</v>
      </c>
      <c r="Q2864">
        <v>0.17606569999999999</v>
      </c>
      <c r="R2864">
        <v>-0.10712720000000001</v>
      </c>
      <c r="S2864">
        <v>3.0453489999999999</v>
      </c>
      <c r="T2864">
        <v>-0.1057326</v>
      </c>
      <c r="U2864">
        <v>-0.36360170000000003</v>
      </c>
      <c r="V2864">
        <v>9.7358760000000003E-2</v>
      </c>
      <c r="W2864">
        <v>0.18970809999999999</v>
      </c>
      <c r="X2864">
        <v>0.97700160000000003</v>
      </c>
      <c r="Y2864">
        <v>0.1082331</v>
      </c>
      <c r="Z2864">
        <v>-2.4269780000000002E-3</v>
      </c>
      <c r="AA2864">
        <v>0.99412259999999997</v>
      </c>
      <c r="AB2864">
        <v>35</v>
      </c>
      <c r="AC2864">
        <v>31.9117</v>
      </c>
      <c r="AD2864">
        <v>-1.1203826821006</v>
      </c>
      <c r="AE2864">
        <v>-3.8485999999999998</v>
      </c>
      <c r="AF2864">
        <v>3.5154873788216001</v>
      </c>
      <c r="AG2864">
        <v>-1.1203826821006</v>
      </c>
      <c r="AH2864">
        <v>31.910871509402899</v>
      </c>
      <c r="AI2864">
        <v>91.998732117682806</v>
      </c>
      <c r="AJ2864">
        <v>83.713314386257593</v>
      </c>
      <c r="AK2864">
        <v>32.123474739738697</v>
      </c>
      <c r="AL2864">
        <v>79.0642503546581</v>
      </c>
      <c r="AM2864">
        <v>84.309230553016803</v>
      </c>
      <c r="AN2864">
        <v>1.00000000887845</v>
      </c>
    </row>
    <row r="2865" spans="1:40" x14ac:dyDescent="0.25">
      <c r="A2865" t="str">
        <f>"20190303162605257"</f>
        <v>20190303162605257</v>
      </c>
      <c r="B2865" t="str">
        <f>"1551601565246587"</f>
        <v>1551601565246587</v>
      </c>
      <c r="C2865" t="s">
        <v>40</v>
      </c>
      <c r="D2865">
        <v>4.8703510000000003</v>
      </c>
      <c r="E2865">
        <v>0.50528850000000003</v>
      </c>
      <c r="F2865" t="s">
        <v>48</v>
      </c>
      <c r="G2865">
        <v>-243.0138</v>
      </c>
      <c r="H2865" s="1">
        <v>1.7617350000000001E-7</v>
      </c>
      <c r="I2865">
        <v>212.11920000000001</v>
      </c>
      <c r="J2865">
        <v>-274.79570000000001</v>
      </c>
      <c r="K2865">
        <v>1.1203939999999999</v>
      </c>
      <c r="L2865">
        <v>216.00049999999999</v>
      </c>
      <c r="M2865">
        <v>0.99983820000000001</v>
      </c>
      <c r="N2865">
        <v>-1.4156999999999999E-2</v>
      </c>
      <c r="O2865">
        <v>-1.1090350000000001E-2</v>
      </c>
      <c r="P2865">
        <v>0.97847050000000002</v>
      </c>
      <c r="Q2865">
        <v>0.1760111</v>
      </c>
      <c r="R2865">
        <v>-0.1077771</v>
      </c>
      <c r="S2865">
        <v>3.0446469999999999</v>
      </c>
      <c r="T2865">
        <v>-0.1059991</v>
      </c>
      <c r="U2865">
        <v>-0.3676758</v>
      </c>
      <c r="V2865">
        <v>9.7228529999999994E-2</v>
      </c>
      <c r="W2865">
        <v>0.1897025</v>
      </c>
      <c r="X2865">
        <v>0.97701570000000004</v>
      </c>
      <c r="Y2865">
        <v>0.10878210000000001</v>
      </c>
      <c r="Z2865">
        <v>-2.431286E-3</v>
      </c>
      <c r="AA2865">
        <v>0.99406269999999997</v>
      </c>
      <c r="AB2865">
        <v>35</v>
      </c>
      <c r="AC2865">
        <v>31.7819</v>
      </c>
      <c r="AD2865">
        <v>-1.1203938238265001</v>
      </c>
      <c r="AE2865">
        <v>-3.88129999999998</v>
      </c>
      <c r="AF2865">
        <v>3.5242381371944398</v>
      </c>
      <c r="AG2865">
        <v>-1.1203938238265001</v>
      </c>
      <c r="AH2865">
        <v>31.784075287897</v>
      </c>
      <c r="AI2865">
        <v>92.006562605618598</v>
      </c>
      <c r="AJ2865">
        <v>83.672853410415996</v>
      </c>
      <c r="AK2865">
        <v>31.998484005884301</v>
      </c>
      <c r="AL2865">
        <v>79.064577620326205</v>
      </c>
      <c r="AM2865">
        <v>84.316874314118706</v>
      </c>
      <c r="AN2865">
        <v>1.0000000517993399</v>
      </c>
    </row>
    <row r="2866" spans="1:40" x14ac:dyDescent="0.25">
      <c r="A2866" t="str">
        <f>"20190303162605281"</f>
        <v>20190303162605281</v>
      </c>
      <c r="B2866" t="str">
        <f>"1551601565275867"</f>
        <v>1551601565275867</v>
      </c>
      <c r="C2866" t="s">
        <v>40</v>
      </c>
      <c r="D2866">
        <v>4.8188430000000002</v>
      </c>
      <c r="E2866">
        <v>0.5054516</v>
      </c>
      <c r="F2866" t="s">
        <v>48</v>
      </c>
      <c r="G2866">
        <v>-241.3066</v>
      </c>
      <c r="H2866" s="1">
        <v>-7.241193E-7</v>
      </c>
      <c r="I2866">
        <v>211.93119999999999</v>
      </c>
      <c r="J2866">
        <v>-274.4144</v>
      </c>
      <c r="K2866">
        <v>1.120409</v>
      </c>
      <c r="L2866">
        <v>215.99539999999999</v>
      </c>
      <c r="M2866">
        <v>0.99982950000000004</v>
      </c>
      <c r="N2866">
        <v>-1.419223E-2</v>
      </c>
      <c r="O2866">
        <v>-1.1829320000000001E-2</v>
      </c>
      <c r="P2866">
        <v>0.97849549999999996</v>
      </c>
      <c r="Q2866">
        <v>0.17574909999999999</v>
      </c>
      <c r="R2866">
        <v>-0.10797900000000001</v>
      </c>
      <c r="S2866">
        <v>3.0435789999999998</v>
      </c>
      <c r="T2866">
        <v>-0.1018244</v>
      </c>
      <c r="U2866">
        <v>-0.36982730000000003</v>
      </c>
      <c r="V2866">
        <v>9.6699670000000001E-2</v>
      </c>
      <c r="W2866">
        <v>0.18948010000000001</v>
      </c>
      <c r="X2866">
        <v>0.97711130000000002</v>
      </c>
      <c r="Y2866">
        <v>0.1087873</v>
      </c>
      <c r="Z2866">
        <v>-2.3609E-3</v>
      </c>
      <c r="AA2866">
        <v>0.99406220000000001</v>
      </c>
      <c r="AB2866">
        <v>35</v>
      </c>
      <c r="AC2866">
        <v>33.107799999999997</v>
      </c>
      <c r="AD2866">
        <v>-1.1204097241193001</v>
      </c>
      <c r="AE2866">
        <v>-4.0641999999999996</v>
      </c>
      <c r="AF2866">
        <v>3.66809498821608</v>
      </c>
      <c r="AG2866">
        <v>-1.1204097241193001</v>
      </c>
      <c r="AH2866">
        <v>33.116201898999201</v>
      </c>
      <c r="AI2866">
        <v>91.925960828904607</v>
      </c>
      <c r="AJ2866">
        <v>83.679433954948706</v>
      </c>
      <c r="AK2866">
        <v>33.337562403507498</v>
      </c>
      <c r="AL2866">
        <v>79.077555157942697</v>
      </c>
      <c r="AM2866">
        <v>84.348135550192893</v>
      </c>
      <c r="AN2866">
        <v>1.0000000135309</v>
      </c>
    </row>
    <row r="2867" spans="1:40" x14ac:dyDescent="0.25">
      <c r="A2867" t="str">
        <f>"20190303162605318"</f>
        <v>20190303162605318</v>
      </c>
      <c r="B2867" t="str">
        <f>"1551601565306124"</f>
        <v>1551601565306124</v>
      </c>
      <c r="C2867" t="s">
        <v>40</v>
      </c>
      <c r="D2867">
        <v>4.8059690000000002</v>
      </c>
      <c r="E2867">
        <v>0.50575729999999997</v>
      </c>
      <c r="F2867" t="s">
        <v>48</v>
      </c>
      <c r="G2867">
        <v>-240.41470000000001</v>
      </c>
      <c r="H2867" s="1">
        <v>-1.194764E-6</v>
      </c>
      <c r="I2867">
        <v>211.84059999999999</v>
      </c>
      <c r="J2867">
        <v>-273.83429999999998</v>
      </c>
      <c r="K2867">
        <v>1.1204510000000001</v>
      </c>
      <c r="L2867">
        <v>215.98740000000001</v>
      </c>
      <c r="M2867">
        <v>0.99981569999999997</v>
      </c>
      <c r="N2867">
        <v>-1.422264E-2</v>
      </c>
      <c r="O2867">
        <v>-1.2907419999999999E-2</v>
      </c>
      <c r="P2867">
        <v>0.97817580000000004</v>
      </c>
      <c r="Q2867">
        <v>0.17666870000000001</v>
      </c>
      <c r="R2867">
        <v>-0.10936410000000001</v>
      </c>
      <c r="S2867">
        <v>3.0429379999999999</v>
      </c>
      <c r="T2867">
        <v>-0.1002755</v>
      </c>
      <c r="U2867">
        <v>-0.37185669999999998</v>
      </c>
      <c r="V2867">
        <v>9.7020229999999999E-2</v>
      </c>
      <c r="W2867">
        <v>0.19043370000000001</v>
      </c>
      <c r="X2867">
        <v>0.97689409999999999</v>
      </c>
      <c r="Y2867">
        <v>0.1083962</v>
      </c>
      <c r="Z2867">
        <v>-2.3123110000000001E-3</v>
      </c>
      <c r="AA2867">
        <v>0.99410509999999996</v>
      </c>
      <c r="AB2867">
        <v>35</v>
      </c>
      <c r="AC2867">
        <v>33.419599999999903</v>
      </c>
      <c r="AD2867">
        <v>-1.120452194764</v>
      </c>
      <c r="AE2867">
        <v>-4.1468000000000096</v>
      </c>
      <c r="AF2867">
        <v>3.7109420834492401</v>
      </c>
      <c r="AG2867">
        <v>-1.120452194764</v>
      </c>
      <c r="AH2867">
        <v>33.433334564498701</v>
      </c>
      <c r="AI2867">
        <v>91.907729691389207</v>
      </c>
      <c r="AJ2867">
        <v>83.666364456265498</v>
      </c>
      <c r="AK2867">
        <v>33.657307740952398</v>
      </c>
      <c r="AL2867">
        <v>79.021904499576493</v>
      </c>
      <c r="AM2867">
        <v>84.328268948982398</v>
      </c>
      <c r="AN2867">
        <v>1.00000000086987</v>
      </c>
    </row>
    <row r="2868" spans="1:40" x14ac:dyDescent="0.25">
      <c r="A2868" t="str">
        <f>"20190303162605341"</f>
        <v>20190303162605341</v>
      </c>
      <c r="B2868" t="str">
        <f>"1551601565328571"</f>
        <v>1551601565328571</v>
      </c>
      <c r="C2868" t="s">
        <v>40</v>
      </c>
      <c r="D2868">
        <v>4.7796459999999996</v>
      </c>
      <c r="E2868">
        <v>0.5059169</v>
      </c>
      <c r="F2868" t="s">
        <v>48</v>
      </c>
      <c r="G2868">
        <v>-237.2576</v>
      </c>
      <c r="H2868" s="1">
        <v>2.4641970000000002E-6</v>
      </c>
      <c r="I2868">
        <v>211.4393</v>
      </c>
      <c r="J2868">
        <v>-273.4828</v>
      </c>
      <c r="K2868">
        <v>1.1204700000000001</v>
      </c>
      <c r="L2868">
        <v>215.9821</v>
      </c>
      <c r="M2868">
        <v>0.99980729999999995</v>
      </c>
      <c r="N2868">
        <v>-1.423173E-2</v>
      </c>
      <c r="O2868">
        <v>-1.352369E-2</v>
      </c>
      <c r="P2868">
        <v>0.97796430000000001</v>
      </c>
      <c r="Q2868">
        <v>0.17742649999999999</v>
      </c>
      <c r="R2868">
        <v>-0.11002629999999999</v>
      </c>
      <c r="S2868">
        <v>3.0415040000000002</v>
      </c>
      <c r="T2868">
        <v>-9.3169810000000006E-2</v>
      </c>
      <c r="U2868">
        <v>-0.3781891</v>
      </c>
      <c r="V2868">
        <v>9.7072110000000003E-2</v>
      </c>
      <c r="W2868">
        <v>0.19120329999999999</v>
      </c>
      <c r="X2868">
        <v>0.97673860000000001</v>
      </c>
      <c r="Y2868">
        <v>0.1098867</v>
      </c>
      <c r="Z2868">
        <v>-2.2407389999999998E-3</v>
      </c>
      <c r="AA2868">
        <v>0.99394159999999998</v>
      </c>
      <c r="AB2868">
        <v>35</v>
      </c>
      <c r="AC2868">
        <v>36.225200000000001</v>
      </c>
      <c r="AD2868">
        <v>-1.1204675358030001</v>
      </c>
      <c r="AE2868">
        <v>-4.5427999999999997</v>
      </c>
      <c r="AF2868">
        <v>4.0486231435001203</v>
      </c>
      <c r="AG2868">
        <v>-1.1204675358030001</v>
      </c>
      <c r="AH2868">
        <v>36.249185446787997</v>
      </c>
      <c r="AI2868">
        <v>91.759523566637199</v>
      </c>
      <c r="AJ2868">
        <v>83.627122461727694</v>
      </c>
      <c r="AK2868">
        <v>36.491783217767001</v>
      </c>
      <c r="AL2868">
        <v>78.976984202384301</v>
      </c>
      <c r="AM2868">
        <v>84.324358332374203</v>
      </c>
      <c r="AN2868">
        <v>0.99999999460035105</v>
      </c>
    </row>
    <row r="2869" spans="1:40" x14ac:dyDescent="0.25">
      <c r="A2869" t="str">
        <f>"20190303162605364"</f>
        <v>20190303162605364</v>
      </c>
      <c r="B2869" t="str">
        <f>"1551601565355900"</f>
        <v>1551601565355900</v>
      </c>
      <c r="C2869" t="s">
        <v>40</v>
      </c>
      <c r="D2869">
        <v>4.7670849999999998</v>
      </c>
      <c r="E2869">
        <v>0.50617650000000003</v>
      </c>
      <c r="F2869" t="s">
        <v>48</v>
      </c>
      <c r="G2869">
        <v>-235.3783</v>
      </c>
      <c r="H2869" s="1">
        <v>1.474605E-6</v>
      </c>
      <c r="I2869">
        <v>211.1996</v>
      </c>
      <c r="J2869">
        <v>-273.12299999999999</v>
      </c>
      <c r="K2869">
        <v>1.1205020000000001</v>
      </c>
      <c r="L2869">
        <v>215.97659999999999</v>
      </c>
      <c r="M2869">
        <v>0.99979899999999999</v>
      </c>
      <c r="N2869">
        <v>-1.4237799999999899E-2</v>
      </c>
      <c r="O2869">
        <v>-1.412273E-2</v>
      </c>
      <c r="P2869">
        <v>0.97792889999999999</v>
      </c>
      <c r="Q2869">
        <v>0.17748939999999999</v>
      </c>
      <c r="R2869">
        <v>-0.1102403</v>
      </c>
      <c r="S2869">
        <v>3.0408940000000002</v>
      </c>
      <c r="T2869">
        <v>-8.9417930000000007E-2</v>
      </c>
      <c r="U2869">
        <v>-0.38166810000000001</v>
      </c>
      <c r="V2869">
        <v>9.6687949999999995E-2</v>
      </c>
      <c r="W2869">
        <v>0.19127910000000001</v>
      </c>
      <c r="X2869">
        <v>0.97676189999999996</v>
      </c>
      <c r="Y2869">
        <v>0.1104397</v>
      </c>
      <c r="Z2869">
        <v>-2.1934879999999999E-3</v>
      </c>
      <c r="AA2869">
        <v>0.9938804</v>
      </c>
      <c r="AB2869">
        <v>35</v>
      </c>
      <c r="AC2869">
        <v>37.744700000000002</v>
      </c>
      <c r="AD2869">
        <v>-1.120500525395</v>
      </c>
      <c r="AE2869">
        <v>-4.7769999999999797</v>
      </c>
      <c r="AF2869">
        <v>4.2397338270889504</v>
      </c>
      <c r="AG2869">
        <v>-1.120500525395</v>
      </c>
      <c r="AH2869">
        <v>37.775640095043897</v>
      </c>
      <c r="AI2869">
        <v>91.688413804097806</v>
      </c>
      <c r="AJ2869">
        <v>83.596230005659706</v>
      </c>
      <c r="AK2869">
        <v>38.029328799523498</v>
      </c>
      <c r="AL2869">
        <v>78.972559928523097</v>
      </c>
      <c r="AM2869">
        <v>84.346807714369305</v>
      </c>
      <c r="AN2869">
        <v>1.0000000315318101</v>
      </c>
    </row>
    <row r="2870" spans="1:40" x14ac:dyDescent="0.25">
      <c r="A2870" t="str">
        <f>"20190303162605387"</f>
        <v>20190303162605387</v>
      </c>
      <c r="B2870" t="str">
        <f>"1551601565376395"</f>
        <v>1551601565376395</v>
      </c>
      <c r="C2870" t="s">
        <v>40</v>
      </c>
      <c r="D2870">
        <v>4.7317739999999997</v>
      </c>
      <c r="E2870">
        <v>0.50631099999999996</v>
      </c>
      <c r="F2870" t="s">
        <v>48</v>
      </c>
      <c r="G2870">
        <v>-234.09299999999999</v>
      </c>
      <c r="H2870" s="1">
        <v>7.9786989999999999E-7</v>
      </c>
      <c r="I2870">
        <v>211.03399999999999</v>
      </c>
      <c r="J2870">
        <v>-272.77609999999999</v>
      </c>
      <c r="K2870">
        <v>1.1205350000000001</v>
      </c>
      <c r="L2870">
        <v>215.97120000000001</v>
      </c>
      <c r="M2870">
        <v>0.9997914</v>
      </c>
      <c r="N2870">
        <v>-1.424135E-2</v>
      </c>
      <c r="O2870">
        <v>-1.4653050000000001E-2</v>
      </c>
      <c r="P2870">
        <v>0.97797299999999998</v>
      </c>
      <c r="Q2870">
        <v>0.17759549999999999</v>
      </c>
      <c r="R2870">
        <v>-0.1096776</v>
      </c>
      <c r="S2870">
        <v>3.0401310000000001</v>
      </c>
      <c r="T2870">
        <v>-8.7278129999999995E-2</v>
      </c>
      <c r="U2870">
        <v>-0.38499450000000002</v>
      </c>
      <c r="V2870">
        <v>9.5589690000000005E-2</v>
      </c>
      <c r="W2870">
        <v>0.19139890000000001</v>
      </c>
      <c r="X2870">
        <v>0.97684649999999995</v>
      </c>
      <c r="Y2870">
        <v>0.111016</v>
      </c>
      <c r="Z2870">
        <v>-2.1699240000000002E-3</v>
      </c>
      <c r="AA2870">
        <v>0.99381629999999999</v>
      </c>
      <c r="AB2870">
        <v>35</v>
      </c>
      <c r="AC2870">
        <v>38.683100000000003</v>
      </c>
      <c r="AD2870">
        <v>-1.1205342021300999</v>
      </c>
      <c r="AE2870">
        <v>-4.93719999999999</v>
      </c>
      <c r="AF2870">
        <v>4.36618215468875</v>
      </c>
      <c r="AG2870">
        <v>-1.1205342021300999</v>
      </c>
      <c r="AH2870">
        <v>38.719330258077498</v>
      </c>
      <c r="AI2870">
        <v>91.647238236561805</v>
      </c>
      <c r="AJ2870">
        <v>83.566224654555697</v>
      </c>
      <c r="AK2870">
        <v>38.980837332465597</v>
      </c>
      <c r="AL2870">
        <v>78.965566403830707</v>
      </c>
      <c r="AM2870">
        <v>84.411093318573606</v>
      </c>
      <c r="AN2870">
        <v>1.0000000061588701</v>
      </c>
    </row>
    <row r="2871" spans="1:40" x14ac:dyDescent="0.25">
      <c r="A2871" t="str">
        <f>"20190303162605408"</f>
        <v>20190303162605408</v>
      </c>
      <c r="B2871" t="str">
        <f>"1551601565395916"</f>
        <v>1551601565395916</v>
      </c>
      <c r="C2871" t="s">
        <v>40</v>
      </c>
      <c r="D2871">
        <v>4.7009299999999996</v>
      </c>
      <c r="E2871">
        <v>0.50639089999999998</v>
      </c>
      <c r="F2871" t="s">
        <v>48</v>
      </c>
      <c r="G2871">
        <v>-233.25299999999999</v>
      </c>
      <c r="H2871" s="1">
        <v>3.5353039999999999E-7</v>
      </c>
      <c r="I2871">
        <v>210.97290000000001</v>
      </c>
      <c r="J2871">
        <v>-272.44600000000003</v>
      </c>
      <c r="K2871">
        <v>1.1205849999999999</v>
      </c>
      <c r="L2871">
        <v>215.9659</v>
      </c>
      <c r="M2871">
        <v>0.99978449999999996</v>
      </c>
      <c r="N2871">
        <v>-1.4240829999999999E-2</v>
      </c>
      <c r="O2871">
        <v>-1.510237E-2</v>
      </c>
      <c r="P2871">
        <v>0.97795540000000003</v>
      </c>
      <c r="Q2871">
        <v>0.17821960000000001</v>
      </c>
      <c r="R2871">
        <v>-0.1088155</v>
      </c>
      <c r="S2871">
        <v>3.0400999999999998</v>
      </c>
      <c r="T2871">
        <v>-8.619106E-2</v>
      </c>
      <c r="U2871">
        <v>-0.38446039999999998</v>
      </c>
      <c r="V2871">
        <v>9.4269210000000006E-2</v>
      </c>
      <c r="W2871">
        <v>0.19203439999999999</v>
      </c>
      <c r="X2871">
        <v>0.97685010000000005</v>
      </c>
      <c r="Y2871">
        <v>0.1104005</v>
      </c>
      <c r="Z2871">
        <v>-2.135966E-3</v>
      </c>
      <c r="AA2871">
        <v>0.99388489999999996</v>
      </c>
      <c r="AB2871">
        <v>35</v>
      </c>
      <c r="AC2871">
        <v>39.192999999999898</v>
      </c>
      <c r="AD2871">
        <v>-1.1205846464696001</v>
      </c>
      <c r="AE2871">
        <v>-4.9929999999999897</v>
      </c>
      <c r="AF2871">
        <v>4.3969262528180799</v>
      </c>
      <c r="AG2871">
        <v>-1.1205846464696001</v>
      </c>
      <c r="AH2871">
        <v>39.232383877591602</v>
      </c>
      <c r="AI2871">
        <v>91.625906251715193</v>
      </c>
      <c r="AJ2871">
        <v>83.605323037833102</v>
      </c>
      <c r="AK2871">
        <v>39.493906050697603</v>
      </c>
      <c r="AL2871">
        <v>78.928466750280705</v>
      </c>
      <c r="AM2871">
        <v>84.487840098807794</v>
      </c>
      <c r="AN2871">
        <v>1.00000000630369</v>
      </c>
    </row>
    <row r="2872" spans="1:40" x14ac:dyDescent="0.25">
      <c r="A2872" t="str">
        <f>"20190303162605433"</f>
        <v>20190303162605433</v>
      </c>
      <c r="B2872" t="str">
        <f>"1551601565426172"</f>
        <v>1551601565426172</v>
      </c>
      <c r="C2872" t="s">
        <v>40</v>
      </c>
      <c r="D2872">
        <v>4.7743229999999999</v>
      </c>
      <c r="E2872">
        <v>0.50641080000000005</v>
      </c>
      <c r="F2872" t="s">
        <v>48</v>
      </c>
      <c r="G2872">
        <v>-231.63290000000001</v>
      </c>
      <c r="H2872" s="1">
        <v>-5.0265130000000002E-7</v>
      </c>
      <c r="I2872">
        <v>210.83709999999999</v>
      </c>
      <c r="J2872">
        <v>-272.07659999999998</v>
      </c>
      <c r="K2872">
        <v>1.1206430000000001</v>
      </c>
      <c r="L2872">
        <v>215.9598</v>
      </c>
      <c r="M2872">
        <v>0.9997781</v>
      </c>
      <c r="N2872">
        <v>-1.4233839999999999E-2</v>
      </c>
      <c r="O2872">
        <v>-1.5535129999999999E-2</v>
      </c>
      <c r="P2872">
        <v>0.9780044</v>
      </c>
      <c r="Q2872">
        <v>0.17885789999999999</v>
      </c>
      <c r="R2872">
        <v>-0.1073205</v>
      </c>
      <c r="S2872">
        <v>3.0403440000000002</v>
      </c>
      <c r="T2872">
        <v>-8.3477140000000005E-2</v>
      </c>
      <c r="U2872">
        <v>-0.38206479999999998</v>
      </c>
      <c r="V2872">
        <v>9.2323150000000007E-2</v>
      </c>
      <c r="W2872">
        <v>0.1926821</v>
      </c>
      <c r="X2872">
        <v>0.97690840000000001</v>
      </c>
      <c r="Y2872">
        <v>0.1091934</v>
      </c>
      <c r="Z2872">
        <v>-2.0689440000000001E-3</v>
      </c>
      <c r="AA2872">
        <v>0.99401839999999997</v>
      </c>
      <c r="AB2872">
        <v>34</v>
      </c>
      <c r="AC2872">
        <v>40.4436999999999</v>
      </c>
      <c r="AD2872">
        <v>-1.1206435026513</v>
      </c>
      <c r="AE2872">
        <v>-5.1227</v>
      </c>
      <c r="AF2872">
        <v>4.4903268292954097</v>
      </c>
      <c r="AG2872">
        <v>-1.1206435026513</v>
      </c>
      <c r="AH2872">
        <v>40.487813602277001</v>
      </c>
      <c r="AI2872">
        <v>91.575801946014295</v>
      </c>
      <c r="AJ2872">
        <v>83.671437645590402</v>
      </c>
      <c r="AK2872">
        <v>40.751465337907199</v>
      </c>
      <c r="AL2872">
        <v>78.890649841067003</v>
      </c>
      <c r="AM2872">
        <v>84.601272036327202</v>
      </c>
      <c r="AN2872">
        <v>0.99999998883844599</v>
      </c>
    </row>
    <row r="2873" spans="1:40" x14ac:dyDescent="0.25">
      <c r="A2873" t="str">
        <f>"20190303162605459"</f>
        <v>20190303162605459</v>
      </c>
      <c r="B2873" t="str">
        <f>"1551601565446667"</f>
        <v>1551601565446667</v>
      </c>
      <c r="C2873" t="s">
        <v>40</v>
      </c>
      <c r="D2873">
        <v>4.8126439999999997</v>
      </c>
      <c r="E2873">
        <v>0.50638430000000001</v>
      </c>
      <c r="F2873" t="s">
        <v>48</v>
      </c>
      <c r="G2873">
        <v>-229.6482</v>
      </c>
      <c r="H2873" s="1">
        <v>3.7692880000000002E-6</v>
      </c>
      <c r="I2873">
        <v>210.6866</v>
      </c>
      <c r="J2873">
        <v>-271.67750000000001</v>
      </c>
      <c r="K2873">
        <v>1.1207119999999999</v>
      </c>
      <c r="L2873">
        <v>215.95320000000001</v>
      </c>
      <c r="M2873">
        <v>0.99977229999999995</v>
      </c>
      <c r="N2873">
        <v>-1.4222250000000001E-2</v>
      </c>
      <c r="O2873">
        <v>-1.5914709999999999E-2</v>
      </c>
      <c r="P2873">
        <v>0.97832470000000005</v>
      </c>
      <c r="Q2873">
        <v>0.1781818</v>
      </c>
      <c r="R2873">
        <v>-0.10551000000000001</v>
      </c>
      <c r="S2873">
        <v>3.0407099999999998</v>
      </c>
      <c r="T2873">
        <v>-8.0312729999999999E-2</v>
      </c>
      <c r="U2873">
        <v>-0.37791439999999998</v>
      </c>
      <c r="V2873">
        <v>9.0102260000000003E-2</v>
      </c>
      <c r="W2873">
        <v>0.19201670000000001</v>
      </c>
      <c r="X2873">
        <v>0.97724679999999997</v>
      </c>
      <c r="Y2873">
        <v>0.1074697</v>
      </c>
      <c r="Z2873">
        <v>-1.987974E-3</v>
      </c>
      <c r="AA2873">
        <v>0.99420640000000005</v>
      </c>
      <c r="AB2873">
        <v>34</v>
      </c>
      <c r="AC2873">
        <v>42.029299999999999</v>
      </c>
      <c r="AD2873">
        <v>-1.120708230712</v>
      </c>
      <c r="AE2873">
        <v>-5.2666000000000102</v>
      </c>
      <c r="AF2873">
        <v>4.59376539648947</v>
      </c>
      <c r="AG2873">
        <v>-1.120708230712</v>
      </c>
      <c r="AH2873">
        <v>42.078344963507</v>
      </c>
      <c r="AI2873">
        <v>91.516639397829394</v>
      </c>
      <c r="AJ2873">
        <v>83.769595168323093</v>
      </c>
      <c r="AK2873">
        <v>42.343190507143703</v>
      </c>
      <c r="AL2873">
        <v>78.929500821943194</v>
      </c>
      <c r="AM2873">
        <v>84.732216179818295</v>
      </c>
      <c r="AN2873">
        <v>1.0000000692231099</v>
      </c>
    </row>
    <row r="2874" spans="1:40" x14ac:dyDescent="0.25">
      <c r="A2874" t="str">
        <f>"20190303162605480"</f>
        <v>20190303162605480</v>
      </c>
      <c r="B2874" t="str">
        <f>"1551601565475948"</f>
        <v>1551601565475948</v>
      </c>
      <c r="C2874" t="s">
        <v>40</v>
      </c>
      <c r="D2874">
        <v>4.721133</v>
      </c>
      <c r="E2874">
        <v>0.46787030000000002</v>
      </c>
      <c r="F2874" t="s">
        <v>48</v>
      </c>
      <c r="G2874">
        <v>-230.4057</v>
      </c>
      <c r="H2874" s="1">
        <v>-1.1585199999999999E-6</v>
      </c>
      <c r="I2874">
        <v>210.90100000000001</v>
      </c>
      <c r="J2874">
        <v>-271.34140000000002</v>
      </c>
      <c r="K2874">
        <v>1.120776</v>
      </c>
      <c r="L2874">
        <v>215.94749999999999</v>
      </c>
      <c r="M2874">
        <v>0.99976869999999995</v>
      </c>
      <c r="N2874">
        <v>-1.42118E-2</v>
      </c>
      <c r="O2874">
        <v>-1.614724E-2</v>
      </c>
      <c r="P2874">
        <v>0.97868500000000003</v>
      </c>
      <c r="Q2874">
        <v>0.1774492</v>
      </c>
      <c r="R2874">
        <v>-0.10338269999999999</v>
      </c>
      <c r="S2874">
        <v>3.0413510000000001</v>
      </c>
      <c r="T2874">
        <v>-8.258617E-2</v>
      </c>
      <c r="U2874">
        <v>-0.3722992</v>
      </c>
      <c r="V2874">
        <v>8.7711590000000006E-2</v>
      </c>
      <c r="W2874">
        <v>0.19129460000000001</v>
      </c>
      <c r="X2874">
        <v>0.97760579999999997</v>
      </c>
      <c r="Y2874">
        <v>0.1054031</v>
      </c>
      <c r="Z2874">
        <v>-1.9695619999999998E-3</v>
      </c>
      <c r="AA2874">
        <v>0.99442759999999997</v>
      </c>
      <c r="AB2874">
        <v>34</v>
      </c>
      <c r="AC2874">
        <v>40.935699999999997</v>
      </c>
      <c r="AD2874">
        <v>-1.1207771585199999</v>
      </c>
      <c r="AE2874">
        <v>-5.0465</v>
      </c>
      <c r="AF2874">
        <v>4.38154137801284</v>
      </c>
      <c r="AG2874">
        <v>-1.1207771585199999</v>
      </c>
      <c r="AH2874">
        <v>40.981596953141803</v>
      </c>
      <c r="AI2874">
        <v>91.557678859830403</v>
      </c>
      <c r="AJ2874">
        <v>83.897412206554606</v>
      </c>
      <c r="AK2874">
        <v>41.230393341757797</v>
      </c>
      <c r="AL2874">
        <v>78.971655047681793</v>
      </c>
      <c r="AM2874">
        <v>84.873103381013706</v>
      </c>
      <c r="AN2874">
        <v>1.00000002360156</v>
      </c>
    </row>
    <row r="2875" spans="1:40" x14ac:dyDescent="0.25">
      <c r="A2875" t="str">
        <f>"20190303162605506"</f>
        <v>20190303162605506</v>
      </c>
      <c r="B2875" t="str">
        <f>"1551601565496444"</f>
        <v>1551601565496444</v>
      </c>
      <c r="C2875" t="s">
        <v>40</v>
      </c>
      <c r="D2875">
        <v>4.873157</v>
      </c>
      <c r="E2875">
        <v>0.45182850000000002</v>
      </c>
      <c r="F2875" t="s">
        <v>48</v>
      </c>
      <c r="G2875">
        <v>-238.0538</v>
      </c>
      <c r="H2875" s="1">
        <v>2.719817E-6</v>
      </c>
      <c r="I2875">
        <v>215.2851</v>
      </c>
      <c r="J2875">
        <v>-270.95609999999999</v>
      </c>
      <c r="K2875">
        <v>1.120851</v>
      </c>
      <c r="L2875">
        <v>215.94110000000001</v>
      </c>
      <c r="M2875">
        <v>0.99976580000000004</v>
      </c>
      <c r="N2875">
        <v>-1.420014E-2</v>
      </c>
      <c r="O2875">
        <v>-1.6336429999999999E-2</v>
      </c>
      <c r="P2875">
        <v>0.97888200000000003</v>
      </c>
      <c r="Q2875">
        <v>0.17741189999999901</v>
      </c>
      <c r="R2875">
        <v>-0.1015636</v>
      </c>
      <c r="S2875">
        <v>3.0776669999999999</v>
      </c>
      <c r="T2875">
        <v>-0.1036233</v>
      </c>
      <c r="U2875">
        <v>-6.1248780000000003E-2</v>
      </c>
      <c r="V2875">
        <v>8.5673109999999997E-2</v>
      </c>
      <c r="W2875">
        <v>0.19126409999999999</v>
      </c>
      <c r="X2875">
        <v>0.97779249999999995</v>
      </c>
      <c r="Y2875">
        <v>3.559829E-3</v>
      </c>
      <c r="Z2875">
        <v>2.3264499999999999E-4</v>
      </c>
      <c r="AA2875">
        <v>0.99999360000000004</v>
      </c>
      <c r="AB2875">
        <v>34</v>
      </c>
      <c r="AC2875">
        <v>32.902299999999997</v>
      </c>
      <c r="AD2875">
        <v>-1.120848280183</v>
      </c>
      <c r="AE2875">
        <v>-0.65600000000000502</v>
      </c>
      <c r="AF2875">
        <v>0.11821503382214101</v>
      </c>
      <c r="AG2875">
        <v>-1.120848280183</v>
      </c>
      <c r="AH2875">
        <v>32.870495433476002</v>
      </c>
      <c r="AI2875">
        <v>91.952954689384399</v>
      </c>
      <c r="AJ2875">
        <v>89.793943071977196</v>
      </c>
      <c r="AK2875">
        <v>32.889812187113201</v>
      </c>
      <c r="AL2875">
        <v>78.973435239456805</v>
      </c>
      <c r="AM2875">
        <v>84.992594374875594</v>
      </c>
      <c r="AN2875">
        <v>1.00000000539106</v>
      </c>
    </row>
    <row r="2876" spans="1:40" x14ac:dyDescent="0.25">
      <c r="A2876" t="str">
        <f>"20190303162605528"</f>
        <v>20190303162605528</v>
      </c>
      <c r="B2876" t="str">
        <f>"1551601565516940"</f>
        <v>1551601565516940</v>
      </c>
      <c r="C2876" t="s">
        <v>40</v>
      </c>
      <c r="D2876">
        <v>4.7498570000000004</v>
      </c>
      <c r="E2876">
        <v>0.44479679999999999</v>
      </c>
      <c r="F2876" t="s">
        <v>48</v>
      </c>
      <c r="G2876">
        <v>-237.54230000000001</v>
      </c>
      <c r="H2876" s="1">
        <v>2.3848360000000002E-6</v>
      </c>
      <c r="I2876">
        <v>216.7218</v>
      </c>
      <c r="J2876">
        <v>-270.60430000000002</v>
      </c>
      <c r="K2876">
        <v>1.120922</v>
      </c>
      <c r="L2876">
        <v>215.93520000000001</v>
      </c>
      <c r="M2876">
        <v>0.99976410000000004</v>
      </c>
      <c r="N2876">
        <v>-1.418988E-2</v>
      </c>
      <c r="O2876">
        <v>-1.6443349999999999E-2</v>
      </c>
      <c r="P2876">
        <v>0.97888779999999997</v>
      </c>
      <c r="Q2876">
        <v>0.17863560000000001</v>
      </c>
      <c r="R2876">
        <v>-9.9338549999999998E-2</v>
      </c>
      <c r="S2876">
        <v>3.0910340000000001</v>
      </c>
      <c r="T2876">
        <v>-0.10368719999999999</v>
      </c>
      <c r="U2876">
        <v>7.2219850000000002E-2</v>
      </c>
      <c r="V2876">
        <v>8.3317879999999997E-2</v>
      </c>
      <c r="W2876">
        <v>0.1924902</v>
      </c>
      <c r="X2876">
        <v>0.97775540000000005</v>
      </c>
      <c r="Y2876">
        <v>-3.976039E-2</v>
      </c>
      <c r="Z2876">
        <v>1.2669490000000001E-3</v>
      </c>
      <c r="AA2876">
        <v>0.99920850000000005</v>
      </c>
      <c r="AB2876">
        <v>34</v>
      </c>
      <c r="AC2876">
        <v>33.061999999999998</v>
      </c>
      <c r="AD2876">
        <v>-1.120919615164</v>
      </c>
      <c r="AE2876">
        <v>0.78659999999999197</v>
      </c>
      <c r="AF2876">
        <v>-1.3286720300581201</v>
      </c>
      <c r="AG2876">
        <v>-1.120919615164</v>
      </c>
      <c r="AH2876">
        <v>33.006675329051497</v>
      </c>
      <c r="AI2876">
        <v>91.943466801671207</v>
      </c>
      <c r="AJ2876">
        <v>92.305176726677004</v>
      </c>
      <c r="AK2876">
        <v>33.0524196757897</v>
      </c>
      <c r="AL2876">
        <v>78.901854602799006</v>
      </c>
      <c r="AM2876">
        <v>85.129397039180603</v>
      </c>
      <c r="AN2876">
        <v>0.99999998422644698</v>
      </c>
    </row>
    <row r="2877" spans="1:40" x14ac:dyDescent="0.25">
      <c r="A2877" t="str">
        <f>"20190303162605548"</f>
        <v>20190303162605548</v>
      </c>
      <c r="B2877" t="str">
        <f>"1551601565536459"</f>
        <v>1551601565536459</v>
      </c>
      <c r="C2877" t="s">
        <v>40</v>
      </c>
      <c r="D2877">
        <v>4.7829899999999999</v>
      </c>
      <c r="E2877">
        <v>0.44154330000000003</v>
      </c>
      <c r="F2877" t="s">
        <v>48</v>
      </c>
      <c r="G2877">
        <v>-238.03880000000001</v>
      </c>
      <c r="H2877" s="1">
        <v>2.621317E-6</v>
      </c>
      <c r="I2877">
        <v>217.35570000000001</v>
      </c>
      <c r="J2877">
        <v>-270.30399999999997</v>
      </c>
      <c r="K2877">
        <v>1.120967</v>
      </c>
      <c r="L2877">
        <v>215.93020000000001</v>
      </c>
      <c r="M2877">
        <v>0.99976339999999997</v>
      </c>
      <c r="N2877">
        <v>-1.418122E-2</v>
      </c>
      <c r="O2877">
        <v>-1.6493790000000001E-2</v>
      </c>
      <c r="P2877">
        <v>0.9789563</v>
      </c>
      <c r="Q2877">
        <v>0.1793554</v>
      </c>
      <c r="R2877">
        <v>-9.7345799999999996E-2</v>
      </c>
      <c r="S2877">
        <v>3.097839</v>
      </c>
      <c r="T2877">
        <v>-0.106629</v>
      </c>
      <c r="U2877">
        <v>0.1351318</v>
      </c>
      <c r="V2877">
        <v>8.1255179999999996E-2</v>
      </c>
      <c r="W2877">
        <v>0.19321169999999999</v>
      </c>
      <c r="X2877">
        <v>0.97778670000000001</v>
      </c>
      <c r="Y2877">
        <v>-6.0000240000000003E-2</v>
      </c>
      <c r="Z2877">
        <v>1.79123E-3</v>
      </c>
      <c r="AA2877">
        <v>0.9981968</v>
      </c>
      <c r="AB2877">
        <v>34</v>
      </c>
      <c r="AC2877">
        <v>32.2652</v>
      </c>
      <c r="AD2877">
        <v>-1.1209643786829999</v>
      </c>
      <c r="AE2877">
        <v>1.42549999999999</v>
      </c>
      <c r="AF2877">
        <v>-1.9551796529616501</v>
      </c>
      <c r="AG2877">
        <v>-1.1209643786829999</v>
      </c>
      <c r="AH2877">
        <v>32.198507193323103</v>
      </c>
      <c r="AI2877">
        <v>91.990236937498693</v>
      </c>
      <c r="AJ2877">
        <v>93.474886565444606</v>
      </c>
      <c r="AK2877">
        <v>32.277285420123398</v>
      </c>
      <c r="AL2877">
        <v>78.859724994229794</v>
      </c>
      <c r="AM2877">
        <v>85.249571061078598</v>
      </c>
      <c r="AN2877">
        <v>0.99999999799530603</v>
      </c>
    </row>
    <row r="2878" spans="1:40" x14ac:dyDescent="0.25">
      <c r="A2878" t="str">
        <f>"20190303162605567"</f>
        <v>20190303162605567</v>
      </c>
      <c r="B2878" t="str">
        <f>"1551601565556956"</f>
        <v>1551601565556956</v>
      </c>
      <c r="C2878" t="s">
        <v>40</v>
      </c>
      <c r="D2878">
        <v>4.8039259999999997</v>
      </c>
      <c r="E2878">
        <v>0.4396526</v>
      </c>
      <c r="F2878" t="s">
        <v>48</v>
      </c>
      <c r="G2878">
        <v>-237.51830000000001</v>
      </c>
      <c r="H2878" s="1">
        <v>2.329651E-6</v>
      </c>
      <c r="I2878">
        <v>217.69200000000001</v>
      </c>
      <c r="J2878">
        <v>-270.00209999999998</v>
      </c>
      <c r="K2878">
        <v>1.1210070000000001</v>
      </c>
      <c r="L2878">
        <v>215.92519999999999</v>
      </c>
      <c r="M2878">
        <v>0.99976319999999996</v>
      </c>
      <c r="N2878">
        <v>-1.4172789999999999E-2</v>
      </c>
      <c r="O2878">
        <v>-1.651213E-2</v>
      </c>
      <c r="P2878">
        <v>0.97933970000000004</v>
      </c>
      <c r="Q2878">
        <v>0.17868699999999901</v>
      </c>
      <c r="R2878">
        <v>-9.4681929999999997E-2</v>
      </c>
      <c r="S2878">
        <v>3.1004640000000001</v>
      </c>
      <c r="T2878">
        <v>-0.106007</v>
      </c>
      <c r="U2878">
        <v>0.1666107</v>
      </c>
      <c r="V2878">
        <v>7.8549439999999998E-2</v>
      </c>
      <c r="W2878">
        <v>0.19254779999999999</v>
      </c>
      <c r="X2878">
        <v>0.97813870000000003</v>
      </c>
      <c r="Y2878">
        <v>-7.008151E-2</v>
      </c>
      <c r="Z2878">
        <v>2.0242929999999999E-3</v>
      </c>
      <c r="AA2878">
        <v>0.99753919999999996</v>
      </c>
      <c r="AB2878">
        <v>34</v>
      </c>
      <c r="AC2878">
        <v>32.483799999999903</v>
      </c>
      <c r="AD2878">
        <v>-1.12100467034899</v>
      </c>
      <c r="AE2878">
        <v>1.7668000000000099</v>
      </c>
      <c r="AF2878">
        <v>-2.3002583549319899</v>
      </c>
      <c r="AG2878">
        <v>-1.12100467034899</v>
      </c>
      <c r="AH2878">
        <v>32.411708110172</v>
      </c>
      <c r="AI2878">
        <v>91.975899960926995</v>
      </c>
      <c r="AJ2878">
        <v>94.059474092064306</v>
      </c>
      <c r="AK2878">
        <v>32.512561612234897</v>
      </c>
      <c r="AL2878">
        <v>78.898491552238497</v>
      </c>
      <c r="AM2878">
        <v>85.408714398238999</v>
      </c>
      <c r="AN2878">
        <v>0.99999999312342103</v>
      </c>
    </row>
    <row r="2879" spans="1:40" x14ac:dyDescent="0.25">
      <c r="A2879" t="str">
        <f>"20190303162605592"</f>
        <v>20190303162605592</v>
      </c>
      <c r="B2879" t="str">
        <f>"1551601565586235"</f>
        <v>1551601565586235</v>
      </c>
      <c r="C2879" t="s">
        <v>40</v>
      </c>
      <c r="D2879">
        <v>4.8072290000000004</v>
      </c>
      <c r="E2879">
        <v>0.43880409999999997</v>
      </c>
      <c r="F2879" t="s">
        <v>48</v>
      </c>
      <c r="G2879">
        <v>-238.43780000000001</v>
      </c>
      <c r="H2879" s="1">
        <v>2.8120259999999998E-6</v>
      </c>
      <c r="I2879">
        <v>217.85050000000001</v>
      </c>
      <c r="J2879">
        <v>-269.64229999999998</v>
      </c>
      <c r="K2879">
        <v>1.1210530000000001</v>
      </c>
      <c r="L2879">
        <v>215.91919999999999</v>
      </c>
      <c r="M2879">
        <v>0.99976379999999998</v>
      </c>
      <c r="N2879">
        <v>-1.416336E-2</v>
      </c>
      <c r="O2879">
        <v>-1.6491039999999998E-2</v>
      </c>
      <c r="P2879">
        <v>0.97979689999999997</v>
      </c>
      <c r="Q2879">
        <v>0.17751749999999999</v>
      </c>
      <c r="R2879">
        <v>-9.2117840000000006E-2</v>
      </c>
      <c r="S2879">
        <v>3.1016539999999999</v>
      </c>
      <c r="T2879">
        <v>-0.11015519999999999</v>
      </c>
      <c r="U2879">
        <v>0.18919369999999999</v>
      </c>
      <c r="V2879">
        <v>7.5978100000000007E-2</v>
      </c>
      <c r="W2879">
        <v>0.19138350000000001</v>
      </c>
      <c r="X2879">
        <v>0.97857019999999995</v>
      </c>
      <c r="Y2879">
        <v>-7.7266630000000003E-2</v>
      </c>
      <c r="Z2879">
        <v>2.2700179999999999E-3</v>
      </c>
      <c r="AA2879">
        <v>0.99700789999999995</v>
      </c>
      <c r="AB2879">
        <v>34</v>
      </c>
      <c r="AC2879">
        <v>31.2044999999999</v>
      </c>
      <c r="AD2879">
        <v>-1.121050187974</v>
      </c>
      <c r="AE2879">
        <v>1.93130000000002</v>
      </c>
      <c r="AF2879">
        <v>-2.4425430516061599</v>
      </c>
      <c r="AG2879">
        <v>-1.121050187974</v>
      </c>
      <c r="AH2879">
        <v>31.1283802282435</v>
      </c>
      <c r="AI2879">
        <v>92.056230404525493</v>
      </c>
      <c r="AJ2879">
        <v>94.486620996659298</v>
      </c>
      <c r="AK2879">
        <v>31.2441806696384</v>
      </c>
      <c r="AL2879">
        <v>78.966465040915296</v>
      </c>
      <c r="AM2879">
        <v>85.560350709141503</v>
      </c>
      <c r="AN2879">
        <v>0.99999997603994895</v>
      </c>
    </row>
    <row r="2880" spans="1:40" x14ac:dyDescent="0.25">
      <c r="A2880" t="str">
        <f>"20190303162605614"</f>
        <v>20190303162605614</v>
      </c>
      <c r="B2880" t="str">
        <f>"1551601565605757"</f>
        <v>1551601565605757</v>
      </c>
      <c r="C2880" t="s">
        <v>40</v>
      </c>
      <c r="D2880">
        <v>4.8237610000000002</v>
      </c>
      <c r="E2880">
        <v>0.43825170000000002</v>
      </c>
      <c r="F2880" t="s">
        <v>48</v>
      </c>
      <c r="G2880">
        <v>-236.8989</v>
      </c>
      <c r="H2880" s="1">
        <v>1.983126E-6</v>
      </c>
      <c r="I2880">
        <v>218.0788</v>
      </c>
      <c r="J2880">
        <v>-269.2944</v>
      </c>
      <c r="K2880">
        <v>1.121089</v>
      </c>
      <c r="L2880">
        <v>215.9135</v>
      </c>
      <c r="M2880">
        <v>0.99976509999999996</v>
      </c>
      <c r="N2880">
        <v>-1.415494E-2</v>
      </c>
      <c r="O2880">
        <v>-1.642598E-2</v>
      </c>
      <c r="P2880">
        <v>0.98018720000000004</v>
      </c>
      <c r="Q2880">
        <v>0.17653139999999901</v>
      </c>
      <c r="R2880">
        <v>-8.9835509999999993E-2</v>
      </c>
      <c r="S2880">
        <v>3.100311</v>
      </c>
      <c r="T2880">
        <v>-0.1061468</v>
      </c>
      <c r="U2880">
        <v>0.204483</v>
      </c>
      <c r="V2880">
        <v>7.3733270000000004E-2</v>
      </c>
      <c r="W2880">
        <v>0.1904024</v>
      </c>
      <c r="X2880">
        <v>0.97893330000000001</v>
      </c>
      <c r="Y2880">
        <v>-8.2124680000000005E-2</v>
      </c>
      <c r="Z2880">
        <v>2.3155319999999999E-3</v>
      </c>
      <c r="AA2880">
        <v>0.99661940000000004</v>
      </c>
      <c r="AB2880">
        <v>34</v>
      </c>
      <c r="AC2880">
        <v>32.395499999999998</v>
      </c>
      <c r="AD2880">
        <v>-1.1210870168739999</v>
      </c>
      <c r="AE2880">
        <v>2.1652999999999998</v>
      </c>
      <c r="AF2880">
        <v>-2.6939769081358702</v>
      </c>
      <c r="AG2880">
        <v>-1.1210870168739999</v>
      </c>
      <c r="AH2880">
        <v>32.3170272283039</v>
      </c>
      <c r="AI2880">
        <v>91.979948455509202</v>
      </c>
      <c r="AJ2880">
        <v>94.765211010504501</v>
      </c>
      <c r="AK2880">
        <v>32.4484914372904</v>
      </c>
      <c r="AL2880">
        <v>79.023731688322101</v>
      </c>
      <c r="AM2880">
        <v>85.692614207291001</v>
      </c>
      <c r="AN2880">
        <v>1.00000003743977</v>
      </c>
    </row>
    <row r="2881" spans="1:40" x14ac:dyDescent="0.25">
      <c r="A2881" t="str">
        <f>"20190303162605633"</f>
        <v>20190303162605633</v>
      </c>
      <c r="B2881" t="str">
        <f>"1551601565626252"</f>
        <v>1551601565626252</v>
      </c>
      <c r="C2881" t="s">
        <v>40</v>
      </c>
      <c r="D2881">
        <v>4.845599</v>
      </c>
      <c r="E2881">
        <v>0.43778630000000002</v>
      </c>
      <c r="F2881" t="s">
        <v>48</v>
      </c>
      <c r="G2881">
        <v>-237.0513</v>
      </c>
      <c r="H2881" s="1">
        <v>2.0605660000000001E-6</v>
      </c>
      <c r="I2881">
        <v>218.1626</v>
      </c>
      <c r="J2881">
        <v>-269.00470000000001</v>
      </c>
      <c r="K2881">
        <v>1.1211260000000001</v>
      </c>
      <c r="L2881">
        <v>215.90880000000001</v>
      </c>
      <c r="M2881">
        <v>0.9997665</v>
      </c>
      <c r="N2881">
        <v>-1.414843E-2</v>
      </c>
      <c r="O2881">
        <v>-1.6336730000000001E-2</v>
      </c>
      <c r="P2881">
        <v>0.98033570000000003</v>
      </c>
      <c r="Q2881">
        <v>0.17725079999999999</v>
      </c>
      <c r="R2881">
        <v>-8.6742009999999994E-2</v>
      </c>
      <c r="S2881">
        <v>3.0998839999999999</v>
      </c>
      <c r="T2881">
        <v>-0.1077824</v>
      </c>
      <c r="U2881">
        <v>0.21623229999999999</v>
      </c>
      <c r="V2881">
        <v>7.0708110000000005E-2</v>
      </c>
      <c r="W2881">
        <v>0.19112319999999999</v>
      </c>
      <c r="X2881">
        <v>0.97901590000000005</v>
      </c>
      <c r="Y2881">
        <v>-8.5799189999999997E-2</v>
      </c>
      <c r="Z2881">
        <v>2.433761E-3</v>
      </c>
      <c r="AA2881">
        <v>0.99630949999999996</v>
      </c>
      <c r="AB2881">
        <v>34</v>
      </c>
      <c r="AC2881">
        <v>31.953399999999998</v>
      </c>
      <c r="AD2881">
        <v>-1.121123939434</v>
      </c>
      <c r="AE2881">
        <v>2.25379999999998</v>
      </c>
      <c r="AF2881">
        <v>-2.7721696901843398</v>
      </c>
      <c r="AG2881">
        <v>-1.121123939434</v>
      </c>
      <c r="AH2881">
        <v>31.8732683432975</v>
      </c>
      <c r="AI2881">
        <v>92.006945309663607</v>
      </c>
      <c r="AJ2881">
        <v>94.970777548503193</v>
      </c>
      <c r="AK2881">
        <v>32.013232866466304</v>
      </c>
      <c r="AL2881">
        <v>78.981659026863298</v>
      </c>
      <c r="AM2881">
        <v>85.869061902703294</v>
      </c>
      <c r="AN2881">
        <v>0.999999923425408</v>
      </c>
    </row>
    <row r="2882" spans="1:40" x14ac:dyDescent="0.25">
      <c r="A2882" t="str">
        <f>"20190303162605655"</f>
        <v>20190303162605655</v>
      </c>
      <c r="B2882" t="str">
        <f>"1551601565645771"</f>
        <v>1551601565645771</v>
      </c>
      <c r="C2882" t="s">
        <v>40</v>
      </c>
      <c r="D2882">
        <v>4.8291149999999998</v>
      </c>
      <c r="E2882">
        <v>0.43732539999999998</v>
      </c>
      <c r="F2882" t="s">
        <v>48</v>
      </c>
      <c r="G2882">
        <v>-236.69919999999999</v>
      </c>
      <c r="H2882" s="1">
        <v>1.8673479999999999E-6</v>
      </c>
      <c r="I2882">
        <v>218.29570000000001</v>
      </c>
      <c r="J2882">
        <v>-268.6619</v>
      </c>
      <c r="K2882">
        <v>1.1211739999999999</v>
      </c>
      <c r="L2882">
        <v>215.9033</v>
      </c>
      <c r="M2882">
        <v>0.99976900000000002</v>
      </c>
      <c r="N2882">
        <v>-1.414121E-2</v>
      </c>
      <c r="O2882">
        <v>-1.619406E-2</v>
      </c>
      <c r="P2882">
        <v>0.98053780000000001</v>
      </c>
      <c r="Q2882">
        <v>0.1777716</v>
      </c>
      <c r="R2882">
        <v>-8.3326890000000001E-2</v>
      </c>
      <c r="S2882">
        <v>3.0998839999999999</v>
      </c>
      <c r="T2882">
        <v>-0.1075778</v>
      </c>
      <c r="U2882">
        <v>0.2290344</v>
      </c>
      <c r="V2882">
        <v>6.7409510000000006E-2</v>
      </c>
      <c r="W2882">
        <v>0.19164600000000001</v>
      </c>
      <c r="X2882">
        <v>0.97914639999999997</v>
      </c>
      <c r="Y2882">
        <v>-8.9746820000000005E-2</v>
      </c>
      <c r="Z2882">
        <v>2.522912E-3</v>
      </c>
      <c r="AA2882">
        <v>0.9959614</v>
      </c>
      <c r="AB2882">
        <v>34</v>
      </c>
      <c r="AC2882">
        <v>31.962700000000002</v>
      </c>
      <c r="AD2882">
        <v>-1.1211721326520001</v>
      </c>
      <c r="AE2882">
        <v>2.3923999999999999</v>
      </c>
      <c r="AF2882">
        <v>-2.9061878433727202</v>
      </c>
      <c r="AG2882">
        <v>-1.1211721326520001</v>
      </c>
      <c r="AH2882">
        <v>31.880752721019299</v>
      </c>
      <c r="AI2882">
        <v>92.005819722182295</v>
      </c>
      <c r="AJ2882">
        <v>95.208577031113194</v>
      </c>
      <c r="AK2882">
        <v>32.0325670028299</v>
      </c>
      <c r="AL2882">
        <v>78.951140981934302</v>
      </c>
      <c r="AM2882">
        <v>86.061676014466798</v>
      </c>
      <c r="AN2882">
        <v>0.99999995199369796</v>
      </c>
    </row>
    <row r="2883" spans="1:40" x14ac:dyDescent="0.25">
      <c r="A2883" t="str">
        <f>"20190303162605680"</f>
        <v>20190303162605680</v>
      </c>
      <c r="B2883" t="str">
        <f>"1551601565666268"</f>
        <v>1551601565666268</v>
      </c>
      <c r="C2883" t="s">
        <v>40</v>
      </c>
      <c r="D2883">
        <v>4.8405290000000001</v>
      </c>
      <c r="E2883">
        <v>0.43698049999999999</v>
      </c>
      <c r="F2883" t="s">
        <v>48</v>
      </c>
      <c r="G2883">
        <v>-236.185</v>
      </c>
      <c r="H2883" s="1">
        <v>1.5871400000000001E-6</v>
      </c>
      <c r="I2883">
        <v>218.44649999999999</v>
      </c>
      <c r="J2883">
        <v>-268.29489999999998</v>
      </c>
      <c r="K2883">
        <v>1.1212340000000001</v>
      </c>
      <c r="L2883">
        <v>215.89760000000001</v>
      </c>
      <c r="M2883">
        <v>0.9997722</v>
      </c>
      <c r="N2883">
        <v>-1.4133959999999999E-2</v>
      </c>
      <c r="O2883">
        <v>-1.5993919999999998E-2</v>
      </c>
      <c r="P2883">
        <v>0.98071779999999997</v>
      </c>
      <c r="Q2883">
        <v>0.17812900000000001</v>
      </c>
      <c r="R2883">
        <v>-8.0392420000000006E-2</v>
      </c>
      <c r="S2883">
        <v>3.0995789999999999</v>
      </c>
      <c r="T2883">
        <v>-0.1070043</v>
      </c>
      <c r="U2883">
        <v>0.24272160000000001</v>
      </c>
      <c r="V2883">
        <v>6.4647529999999995E-2</v>
      </c>
      <c r="W2883">
        <v>0.19200500000000001</v>
      </c>
      <c r="X2883">
        <v>0.97926239999999998</v>
      </c>
      <c r="Y2883">
        <v>-9.3923809999999996E-2</v>
      </c>
      <c r="Z2883">
        <v>2.6089049999999999E-3</v>
      </c>
      <c r="AA2883">
        <v>0.99557600000000002</v>
      </c>
      <c r="AB2883">
        <v>34</v>
      </c>
      <c r="AC2883">
        <v>32.109899999999897</v>
      </c>
      <c r="AD2883">
        <v>-1.12123241286</v>
      </c>
      <c r="AE2883">
        <v>2.54889999999997</v>
      </c>
      <c r="AF2883">
        <v>-3.05848249235529</v>
      </c>
      <c r="AG2883">
        <v>-1.12123241286</v>
      </c>
      <c r="AH2883">
        <v>32.026215702959803</v>
      </c>
      <c r="AI2883">
        <v>91.996022708966294</v>
      </c>
      <c r="AJ2883">
        <v>95.455165394620906</v>
      </c>
      <c r="AK2883">
        <v>32.191458021223603</v>
      </c>
      <c r="AL2883">
        <v>78.930183515719193</v>
      </c>
      <c r="AM2883">
        <v>86.223010603572902</v>
      </c>
      <c r="AN2883">
        <v>1.0000000356069201</v>
      </c>
    </row>
    <row r="2884" spans="1:40" x14ac:dyDescent="0.25">
      <c r="A2884" t="str">
        <f>"20190303162605721"</f>
        <v>20190303162605721</v>
      </c>
      <c r="B2884" t="str">
        <f>"1551601565716688"</f>
        <v>1551601565716688</v>
      </c>
      <c r="C2884" t="s">
        <v>40</v>
      </c>
      <c r="D2884">
        <v>4.8596380000000003</v>
      </c>
      <c r="E2884">
        <v>0.41718460000000002</v>
      </c>
      <c r="F2884" t="s">
        <v>48</v>
      </c>
      <c r="G2884">
        <v>-235.4888</v>
      </c>
      <c r="H2884" s="1">
        <v>1.2101470000000001E-6</v>
      </c>
      <c r="I2884">
        <v>218.595</v>
      </c>
      <c r="J2884">
        <v>-267.65949999999998</v>
      </c>
      <c r="K2884">
        <v>1.12131</v>
      </c>
      <c r="L2884">
        <v>215.8879</v>
      </c>
      <c r="M2884">
        <v>0.99977959999999999</v>
      </c>
      <c r="N2884">
        <v>-1.4109969999999999E-2</v>
      </c>
      <c r="O2884">
        <v>-1.5543589999999999E-2</v>
      </c>
      <c r="P2884">
        <v>0.98130139999999999</v>
      </c>
      <c r="Q2884">
        <v>0.17722470000000001</v>
      </c>
      <c r="R2884">
        <v>-7.5096750000000004E-2</v>
      </c>
      <c r="S2884">
        <v>3.099091</v>
      </c>
      <c r="T2884">
        <v>-0.1059194</v>
      </c>
      <c r="U2884">
        <v>0.25482179999999999</v>
      </c>
      <c r="V2884">
        <v>5.9754620000000001E-2</v>
      </c>
      <c r="W2884">
        <v>0.1910924</v>
      </c>
      <c r="X2884">
        <v>0.9797515</v>
      </c>
      <c r="Y2884">
        <v>-9.734806E-2</v>
      </c>
      <c r="Z2884">
        <v>2.6599029999999999E-3</v>
      </c>
      <c r="AA2884">
        <v>0.99524679999999999</v>
      </c>
      <c r="AB2884">
        <v>34</v>
      </c>
      <c r="AC2884">
        <v>32.170699999999897</v>
      </c>
      <c r="AD2884">
        <v>-1.1213087898530001</v>
      </c>
      <c r="AE2884">
        <v>2.7070999999999898</v>
      </c>
      <c r="AF2884">
        <v>-3.20300698912656</v>
      </c>
      <c r="AG2884">
        <v>-1.1213087898530001</v>
      </c>
      <c r="AH2884">
        <v>32.086024236128303</v>
      </c>
      <c r="AI2884">
        <v>91.991607685037394</v>
      </c>
      <c r="AJ2884">
        <v>95.700700168208499</v>
      </c>
      <c r="AK2884">
        <v>32.264989360853797</v>
      </c>
      <c r="AL2884">
        <v>78.983457290471193</v>
      </c>
      <c r="AM2884">
        <v>86.509878351553596</v>
      </c>
      <c r="AN2884">
        <v>0.999999960850676</v>
      </c>
    </row>
    <row r="2885" spans="1:40" x14ac:dyDescent="0.25">
      <c r="A2885" t="str">
        <f>"20190303162605744"</f>
        <v>20190303162605744</v>
      </c>
      <c r="B2885" t="str">
        <f>"1551601565736209"</f>
        <v>1551601565736209</v>
      </c>
      <c r="C2885" t="s">
        <v>40</v>
      </c>
      <c r="D2885">
        <v>5.0983499999999999</v>
      </c>
      <c r="E2885">
        <v>0.41854809999999998</v>
      </c>
      <c r="F2885" t="s">
        <v>48</v>
      </c>
      <c r="G2885">
        <v>-240.6353</v>
      </c>
      <c r="H2885">
        <v>5.7586289999999998E-2</v>
      </c>
      <c r="I2885">
        <v>219.62389999999999</v>
      </c>
      <c r="J2885">
        <v>-267.32049999999998</v>
      </c>
      <c r="K2885">
        <v>1.121337</v>
      </c>
      <c r="L2885">
        <v>215.88290000000001</v>
      </c>
      <c r="M2885">
        <v>0.99978429999999996</v>
      </c>
      <c r="N2885">
        <v>-1.409503E-2</v>
      </c>
      <c r="O2885">
        <v>-1.5262070000000001E-2</v>
      </c>
      <c r="P2885">
        <v>0.98165599999999997</v>
      </c>
      <c r="Q2885">
        <v>0.17601620000000001</v>
      </c>
      <c r="R2885">
        <v>-7.3280280000000003E-2</v>
      </c>
      <c r="S2885">
        <v>3.1121829999999999</v>
      </c>
      <c r="T2885">
        <v>-0.12250170000000001</v>
      </c>
      <c r="U2885">
        <v>0.43025210000000003</v>
      </c>
      <c r="V2885">
        <v>5.8197489999999998E-2</v>
      </c>
      <c r="W2885">
        <v>0.18987709999999999</v>
      </c>
      <c r="X2885">
        <v>0.98008150000000005</v>
      </c>
      <c r="Y2885">
        <v>-0.15188679999999999</v>
      </c>
      <c r="Z2885">
        <v>4.4339039999999998E-3</v>
      </c>
      <c r="AA2885">
        <v>0.98838789999999999</v>
      </c>
      <c r="AB2885">
        <v>34</v>
      </c>
      <c r="AC2885">
        <v>26.685199999999899</v>
      </c>
      <c r="AD2885">
        <v>-1.0637507100000001</v>
      </c>
      <c r="AE2885">
        <v>3.7409999999999801</v>
      </c>
      <c r="AF2885">
        <v>-4.1414218923039803</v>
      </c>
      <c r="AG2885">
        <v>-1.0637507100000001</v>
      </c>
      <c r="AH2885">
        <v>26.583561706763302</v>
      </c>
      <c r="AI2885">
        <v>92.264205867591599</v>
      </c>
      <c r="AJ2885">
        <v>98.854863789087204</v>
      </c>
      <c r="AK2885">
        <v>26.925242689349599</v>
      </c>
      <c r="AL2885">
        <v>79.054388057593599</v>
      </c>
      <c r="AM2885">
        <v>86.601752308372596</v>
      </c>
      <c r="AN2885">
        <v>1.0000000037944801</v>
      </c>
    </row>
    <row r="2886" spans="1:40" x14ac:dyDescent="0.25">
      <c r="A2886" t="str">
        <f>"20190303162605765"</f>
        <v>20190303162605765</v>
      </c>
      <c r="B2886" t="str">
        <f>"1551601565755729"</f>
        <v>1551601565755729</v>
      </c>
      <c r="C2886" t="s">
        <v>40</v>
      </c>
      <c r="D2886">
        <v>4.8564040000000004</v>
      </c>
      <c r="E2886">
        <v>0.4193249</v>
      </c>
      <c r="F2886" t="s">
        <v>48</v>
      </c>
      <c r="G2886">
        <v>-240.0412</v>
      </c>
      <c r="H2886">
        <v>1.7506710000000002E-2</v>
      </c>
      <c r="I2886">
        <v>219.6163</v>
      </c>
      <c r="J2886">
        <v>-266.99619999999999</v>
      </c>
      <c r="K2886">
        <v>1.1213519999999999</v>
      </c>
      <c r="L2886">
        <v>215.87819999999999</v>
      </c>
      <c r="M2886">
        <v>0.99978889999999998</v>
      </c>
      <c r="N2886">
        <v>-1.4081430000000001E-2</v>
      </c>
      <c r="O2886">
        <v>-1.4972549999999999E-2</v>
      </c>
      <c r="P2886">
        <v>0.98192190000000001</v>
      </c>
      <c r="Q2886">
        <v>0.1747658</v>
      </c>
      <c r="R2886">
        <v>-7.2709339999999997E-2</v>
      </c>
      <c r="S2886">
        <v>3.1104129999999999</v>
      </c>
      <c r="T2886">
        <v>-0.12586</v>
      </c>
      <c r="U2886">
        <v>0.4256897</v>
      </c>
      <c r="V2886">
        <v>5.7897579999999997E-2</v>
      </c>
      <c r="W2886">
        <v>0.18862000000000001</v>
      </c>
      <c r="X2886">
        <v>0.98034200000000005</v>
      </c>
      <c r="Y2886">
        <v>-0.15024760000000001</v>
      </c>
      <c r="Z2886">
        <v>4.4810470000000002E-3</v>
      </c>
      <c r="AA2886">
        <v>0.98863829999999997</v>
      </c>
      <c r="AB2886">
        <v>34</v>
      </c>
      <c r="AC2886">
        <v>26.954999999999899</v>
      </c>
      <c r="AD2886">
        <v>-1.10384529</v>
      </c>
      <c r="AE2886">
        <v>3.7381000000000002</v>
      </c>
      <c r="AF2886">
        <v>-4.1345031313941298</v>
      </c>
      <c r="AG2886">
        <v>-1.10384529</v>
      </c>
      <c r="AH2886">
        <v>26.851822153995698</v>
      </c>
      <c r="AI2886">
        <v>92.326645280034796</v>
      </c>
      <c r="AJ2886">
        <v>98.753360882453293</v>
      </c>
      <c r="AK2886">
        <v>27.190677511926399</v>
      </c>
      <c r="AL2886">
        <v>79.127740466017499</v>
      </c>
      <c r="AM2886">
        <v>86.620120093971593</v>
      </c>
      <c r="AN2886">
        <v>1.0000000355669201</v>
      </c>
    </row>
    <row r="2887" spans="1:40" x14ac:dyDescent="0.25">
      <c r="A2887" t="str">
        <f>"20190303162605787"</f>
        <v>20190303162605787</v>
      </c>
      <c r="B2887" t="str">
        <f>"1551601565776224"</f>
        <v>1551601565776224</v>
      </c>
      <c r="C2887" t="s">
        <v>40</v>
      </c>
      <c r="D2887">
        <v>4.847537</v>
      </c>
      <c r="E2887">
        <v>0.41955609999999999</v>
      </c>
      <c r="F2887" t="s">
        <v>48</v>
      </c>
      <c r="G2887">
        <v>-240.11789999999999</v>
      </c>
      <c r="H2887" s="1">
        <v>-1.6887719999999999E-6</v>
      </c>
      <c r="I2887">
        <v>219.52809999999999</v>
      </c>
      <c r="J2887">
        <v>-266.6574</v>
      </c>
      <c r="K2887">
        <v>1.1213660000000001</v>
      </c>
      <c r="L2887">
        <v>215.87350000000001</v>
      </c>
      <c r="M2887">
        <v>0.99979379999999995</v>
      </c>
      <c r="N2887">
        <v>-1.406807E-2</v>
      </c>
      <c r="O2887">
        <v>-1.4646910000000001E-2</v>
      </c>
      <c r="P2887">
        <v>0.98215649999999999</v>
      </c>
      <c r="Q2887">
        <v>0.17360159999999999</v>
      </c>
      <c r="R2887">
        <v>-7.2327349999999999E-2</v>
      </c>
      <c r="S2887">
        <v>3.1095280000000001</v>
      </c>
      <c r="T2887">
        <v>-0.12972839999999999</v>
      </c>
      <c r="U2887">
        <v>0.42225649999999998</v>
      </c>
      <c r="V2887">
        <v>5.7822800000000001E-2</v>
      </c>
      <c r="W2887">
        <v>0.1874487</v>
      </c>
      <c r="X2887">
        <v>0.98057099999999997</v>
      </c>
      <c r="Y2887">
        <v>-0.14888379999999901</v>
      </c>
      <c r="Z2887">
        <v>4.5459960000000001E-3</v>
      </c>
      <c r="AA2887">
        <v>0.98884419999999995</v>
      </c>
      <c r="AB2887">
        <v>34</v>
      </c>
      <c r="AC2887">
        <v>26.5395</v>
      </c>
      <c r="AD2887">
        <v>-1.1213676887720001</v>
      </c>
      <c r="AE2887">
        <v>3.6545999999999799</v>
      </c>
      <c r="AF2887">
        <v>-4.0358968207088601</v>
      </c>
      <c r="AG2887">
        <v>-1.1213676887720001</v>
      </c>
      <c r="AH2887">
        <v>26.4367993786413</v>
      </c>
      <c r="AI2887">
        <v>92.401069669391006</v>
      </c>
      <c r="AJ2887">
        <v>98.679876756205203</v>
      </c>
      <c r="AK2887">
        <v>26.766589062249899</v>
      </c>
      <c r="AL2887">
        <v>79.196069330419505</v>
      </c>
      <c r="AM2887">
        <v>86.625261905206202</v>
      </c>
      <c r="AN2887">
        <v>0.99999998868626405</v>
      </c>
    </row>
    <row r="2888" spans="1:40" x14ac:dyDescent="0.25">
      <c r="A2888" t="str">
        <f>"20190303162605810"</f>
        <v>20190303162605810</v>
      </c>
      <c r="B2888" t="str">
        <f>"1551601565806147"</f>
        <v>1551601565806147</v>
      </c>
      <c r="C2888" t="s">
        <v>40</v>
      </c>
      <c r="D2888">
        <v>4.8495470000000003</v>
      </c>
      <c r="E2888">
        <v>0.41983300000000001</v>
      </c>
      <c r="F2888" t="s">
        <v>48</v>
      </c>
      <c r="G2888">
        <v>-240.5521</v>
      </c>
      <c r="H2888" s="1">
        <v>-1.4533590000000001E-6</v>
      </c>
      <c r="I2888">
        <v>219.42869999999999</v>
      </c>
      <c r="J2888">
        <v>-266.32159999999999</v>
      </c>
      <c r="K2888">
        <v>1.1213789999999999</v>
      </c>
      <c r="L2888">
        <v>215.8689</v>
      </c>
      <c r="M2888">
        <v>0.99979890000000005</v>
      </c>
      <c r="N2888">
        <v>-1.4055659999999999E-2</v>
      </c>
      <c r="O2888">
        <v>-1.4300510000000001E-2</v>
      </c>
      <c r="P2888">
        <v>0.98233800000000004</v>
      </c>
      <c r="Q2888">
        <v>0.17271010000000001</v>
      </c>
      <c r="R2888">
        <v>-7.1995249999999997E-2</v>
      </c>
      <c r="S2888">
        <v>3.109283</v>
      </c>
      <c r="T2888">
        <v>-0.13356080000000001</v>
      </c>
      <c r="U2888">
        <v>0.42344670000000001</v>
      </c>
      <c r="V2888">
        <v>5.7818599999999998E-2</v>
      </c>
      <c r="W2888">
        <v>0.18655070000000001</v>
      </c>
      <c r="X2888">
        <v>0.98074249999999996</v>
      </c>
      <c r="Y2888">
        <v>-0.14891389999999999</v>
      </c>
      <c r="Z2888">
        <v>4.64556E-3</v>
      </c>
      <c r="AA2888">
        <v>0.98883929999999998</v>
      </c>
      <c r="AB2888">
        <v>34</v>
      </c>
      <c r="AC2888">
        <v>25.769499999999901</v>
      </c>
      <c r="AD2888">
        <v>-1.1213804533589999</v>
      </c>
      <c r="AE2888">
        <v>3.5597999999999899</v>
      </c>
      <c r="AF2888">
        <v>-3.9207040093971899</v>
      </c>
      <c r="AG2888">
        <v>-1.1213804533589999</v>
      </c>
      <c r="AH2888">
        <v>25.6682564793655</v>
      </c>
      <c r="AI2888">
        <v>92.472870512655007</v>
      </c>
      <c r="AJ2888">
        <v>98.684532845255006</v>
      </c>
      <c r="AK2888">
        <v>25.990167462734199</v>
      </c>
      <c r="AL2888">
        <v>79.248445001597005</v>
      </c>
      <c r="AM2888">
        <v>86.626095191225602</v>
      </c>
      <c r="AN2888">
        <v>1.00000000274134</v>
      </c>
    </row>
    <row r="2889" spans="1:40" x14ac:dyDescent="0.25">
      <c r="A2889" t="str">
        <f>"20190303162605836"</f>
        <v>20190303162605836</v>
      </c>
      <c r="B2889" t="str">
        <f>"1551601565826643"</f>
        <v>1551601565826643</v>
      </c>
      <c r="C2889" t="s">
        <v>40</v>
      </c>
      <c r="D2889">
        <v>4.8355389999999998</v>
      </c>
      <c r="E2889">
        <v>0.41984470000000002</v>
      </c>
      <c r="F2889" t="s">
        <v>48</v>
      </c>
      <c r="G2889">
        <v>-240.89599999999999</v>
      </c>
      <c r="H2889" s="1">
        <v>-1.2655420000000001E-6</v>
      </c>
      <c r="I2889">
        <v>219.31909999999999</v>
      </c>
      <c r="J2889">
        <v>-265.92919999999998</v>
      </c>
      <c r="K2889">
        <v>1.121405</v>
      </c>
      <c r="L2889">
        <v>215.86369999999999</v>
      </c>
      <c r="M2889">
        <v>0.99980539999999996</v>
      </c>
      <c r="N2889">
        <v>-1.4042219999999999E-2</v>
      </c>
      <c r="O2889">
        <v>-1.386628E-2</v>
      </c>
      <c r="P2889">
        <v>0.98251180000000005</v>
      </c>
      <c r="Q2889">
        <v>0.17170009999999999</v>
      </c>
      <c r="R2889">
        <v>-7.2041160000000007E-2</v>
      </c>
      <c r="S2889">
        <v>3.108978</v>
      </c>
      <c r="T2889">
        <v>-0.13711950000000001</v>
      </c>
      <c r="U2889">
        <v>0.4218903</v>
      </c>
      <c r="V2889">
        <v>5.8276660000000001E-2</v>
      </c>
      <c r="W2889">
        <v>0.18553449999999999</v>
      </c>
      <c r="X2889">
        <v>0.98090820000000001</v>
      </c>
      <c r="Y2889">
        <v>-0.14800369999999999</v>
      </c>
      <c r="Z2889">
        <v>4.706839E-3</v>
      </c>
      <c r="AA2889">
        <v>0.98897559999999995</v>
      </c>
      <c r="AB2889">
        <v>34</v>
      </c>
      <c r="AC2889">
        <v>25.033199999999901</v>
      </c>
      <c r="AD2889">
        <v>-1.1214062655419901</v>
      </c>
      <c r="AE2889">
        <v>3.4553999999999898</v>
      </c>
      <c r="AF2889">
        <v>-3.7947465359379899</v>
      </c>
      <c r="AG2889">
        <v>-1.1214062655419901</v>
      </c>
      <c r="AH2889">
        <v>24.933774200307901</v>
      </c>
      <c r="AI2889">
        <v>92.545887923598897</v>
      </c>
      <c r="AJ2889">
        <v>98.653612074149095</v>
      </c>
      <c r="AK2889">
        <v>25.245806565771499</v>
      </c>
      <c r="AL2889">
        <v>79.307704130996598</v>
      </c>
      <c r="AM2889">
        <v>86.600001463683</v>
      </c>
      <c r="AN2889">
        <v>1.00000005830912</v>
      </c>
    </row>
    <row r="2890" spans="1:40" x14ac:dyDescent="0.25">
      <c r="A2890" t="str">
        <f>"20190303162605861"</f>
        <v>20190303162605861</v>
      </c>
      <c r="B2890" t="str">
        <f>"1551601565855924"</f>
        <v>1551601565855924</v>
      </c>
      <c r="C2890" t="s">
        <v>40</v>
      </c>
      <c r="D2890">
        <v>4.9462979999999996</v>
      </c>
      <c r="E2890">
        <v>0.41976289999999999</v>
      </c>
      <c r="F2890" t="s">
        <v>48</v>
      </c>
      <c r="G2890">
        <v>-241.1266</v>
      </c>
      <c r="H2890" s="1">
        <v>-1.13874E-6</v>
      </c>
      <c r="I2890">
        <v>219.22569999999999</v>
      </c>
      <c r="J2890">
        <v>-265.54849999999999</v>
      </c>
      <c r="K2890">
        <v>1.121429</v>
      </c>
      <c r="L2890">
        <v>215.85890000000001</v>
      </c>
      <c r="M2890">
        <v>0.99981180000000003</v>
      </c>
      <c r="N2890">
        <v>-1.403047E-2</v>
      </c>
      <c r="O2890">
        <v>-1.340762E-2</v>
      </c>
      <c r="P2890">
        <v>0.98277340000000002</v>
      </c>
      <c r="Q2890">
        <v>0.16983519999999999</v>
      </c>
      <c r="R2890">
        <v>-7.2889640000000006E-2</v>
      </c>
      <c r="S2890">
        <v>3.1088260000000001</v>
      </c>
      <c r="T2890">
        <v>-0.1405604</v>
      </c>
      <c r="U2890">
        <v>0.421402</v>
      </c>
      <c r="V2890">
        <v>5.9560269999999998E-2</v>
      </c>
      <c r="W2890">
        <v>0.18366650000000001</v>
      </c>
      <c r="X2890">
        <v>0.98118260000000002</v>
      </c>
      <c r="Y2890">
        <v>-0.1473962</v>
      </c>
      <c r="Z2890">
        <v>4.7708560000000004E-3</v>
      </c>
      <c r="AA2890">
        <v>0.989066</v>
      </c>
      <c r="AB2890">
        <v>34</v>
      </c>
      <c r="AC2890">
        <v>24.421899999999901</v>
      </c>
      <c r="AD2890">
        <v>-1.1214301387400001</v>
      </c>
      <c r="AE2890">
        <v>3.36679999999998</v>
      </c>
      <c r="AF2890">
        <v>-3.6863411653025602</v>
      </c>
      <c r="AG2890">
        <v>-1.1214301387400001</v>
      </c>
      <c r="AH2890">
        <v>24.3242267071081</v>
      </c>
      <c r="AI2890">
        <v>92.609903090080707</v>
      </c>
      <c r="AJ2890">
        <v>98.617610646688803</v>
      </c>
      <c r="AK2890">
        <v>24.6275195998677</v>
      </c>
      <c r="AL2890">
        <v>79.416604184899498</v>
      </c>
      <c r="AM2890">
        <v>86.526263491623098</v>
      </c>
      <c r="AN2890">
        <v>1.00000005176374</v>
      </c>
    </row>
    <row r="2891" spans="1:40" x14ac:dyDescent="0.25">
      <c r="A2891" t="str">
        <f>"20190303162605883"</f>
        <v>20190303162605883</v>
      </c>
      <c r="B2891" t="str">
        <f>"1551601565876419"</f>
        <v>1551601565876419</v>
      </c>
      <c r="C2891" t="s">
        <v>40</v>
      </c>
      <c r="D2891">
        <v>4.9483600000000001</v>
      </c>
      <c r="E2891">
        <v>0.44473869999999999</v>
      </c>
      <c r="F2891" t="s">
        <v>48</v>
      </c>
      <c r="G2891">
        <v>-242.25030000000001</v>
      </c>
      <c r="H2891" s="1">
        <v>-5.3111630000000003E-7</v>
      </c>
      <c r="I2891">
        <v>219.00460000000001</v>
      </c>
      <c r="J2891">
        <v>-265.2285</v>
      </c>
      <c r="K2891">
        <v>1.1214459999999999</v>
      </c>
      <c r="L2891">
        <v>215.85499999999999</v>
      </c>
      <c r="M2891">
        <v>0.99981739999999997</v>
      </c>
      <c r="N2891">
        <v>-1.4021459999999999E-2</v>
      </c>
      <c r="O2891">
        <v>-1.299052E-2</v>
      </c>
      <c r="P2891">
        <v>0.98268759999999999</v>
      </c>
      <c r="Q2891">
        <v>0.16940769999999999</v>
      </c>
      <c r="R2891">
        <v>-7.5009469999999995E-2</v>
      </c>
      <c r="S2891">
        <v>3.1095890000000002</v>
      </c>
      <c r="T2891">
        <v>-0.14967610000000001</v>
      </c>
      <c r="U2891">
        <v>0.41986079999999998</v>
      </c>
      <c r="V2891">
        <v>6.20799E-2</v>
      </c>
      <c r="W2891">
        <v>0.18323519999999999</v>
      </c>
      <c r="X2891">
        <v>0.98110699999999995</v>
      </c>
      <c r="Y2891">
        <v>-0.14644760000000001</v>
      </c>
      <c r="Z2891">
        <v>4.9797629999999999E-3</v>
      </c>
      <c r="AA2891">
        <v>0.98920589999999997</v>
      </c>
      <c r="AB2891">
        <v>34</v>
      </c>
      <c r="AC2891">
        <v>22.978199999999902</v>
      </c>
      <c r="AD2891">
        <v>-1.1214465311163</v>
      </c>
      <c r="AE2891">
        <v>3.1496000000000199</v>
      </c>
      <c r="AF2891">
        <v>-3.43982002822466</v>
      </c>
      <c r="AG2891">
        <v>-1.1214465311163</v>
      </c>
      <c r="AH2891">
        <v>22.8818443869886</v>
      </c>
      <c r="AI2891">
        <v>92.774711258561197</v>
      </c>
      <c r="AJ2891">
        <v>98.549237557660604</v>
      </c>
      <c r="AK2891">
        <v>23.166113327424799</v>
      </c>
      <c r="AL2891">
        <v>79.441741914666594</v>
      </c>
      <c r="AM2891">
        <v>86.379415693497194</v>
      </c>
      <c r="AN2891">
        <v>0.99999999897602398</v>
      </c>
    </row>
    <row r="2892" spans="1:40" x14ac:dyDescent="0.25">
      <c r="A2892" t="str">
        <f>"20190303162605905"</f>
        <v>20190303162605905</v>
      </c>
      <c r="B2892" t="str">
        <f>"1551601565895940"</f>
        <v>1551601565895940</v>
      </c>
      <c r="C2892" t="s">
        <v>40</v>
      </c>
      <c r="D2892">
        <v>5.04305</v>
      </c>
      <c r="E2892">
        <v>0.46154980000000001</v>
      </c>
      <c r="F2892" t="s">
        <v>48</v>
      </c>
      <c r="G2892">
        <v>-228.738</v>
      </c>
      <c r="H2892" s="1">
        <v>2.947818E-6</v>
      </c>
      <c r="I2892">
        <v>218.39879999999999</v>
      </c>
      <c r="J2892">
        <v>-264.88240000000002</v>
      </c>
      <c r="K2892">
        <v>1.1214770000000001</v>
      </c>
      <c r="L2892">
        <v>215.851</v>
      </c>
      <c r="M2892">
        <v>0.99982369999999998</v>
      </c>
      <c r="N2892">
        <v>-1.4011050000000001E-2</v>
      </c>
      <c r="O2892">
        <v>-1.251118E-2</v>
      </c>
      <c r="P2892">
        <v>0.9824427</v>
      </c>
      <c r="Q2892">
        <v>0.1700911</v>
      </c>
      <c r="R2892">
        <v>-7.6653180000000001E-2</v>
      </c>
      <c r="S2892">
        <v>3.0856020000000002</v>
      </c>
      <c r="T2892">
        <v>-9.4828250000000003E-2</v>
      </c>
      <c r="U2892">
        <v>0.21510309999999999</v>
      </c>
      <c r="V2892">
        <v>6.4185430000000002E-2</v>
      </c>
      <c r="W2892">
        <v>0.18391070000000001</v>
      </c>
      <c r="X2892">
        <v>0.98084510000000003</v>
      </c>
      <c r="Y2892">
        <v>-8.1961889999999996E-2</v>
      </c>
      <c r="Z2892">
        <v>2.0416560000000002E-3</v>
      </c>
      <c r="AA2892">
        <v>0.9966334</v>
      </c>
      <c r="AB2892">
        <v>34</v>
      </c>
      <c r="AC2892">
        <v>36.144399999999997</v>
      </c>
      <c r="AD2892">
        <v>-1.1214740521819999</v>
      </c>
      <c r="AE2892">
        <v>2.5477999999999899</v>
      </c>
      <c r="AF2892">
        <v>-2.996983009719</v>
      </c>
      <c r="AG2892">
        <v>-1.1214740521819999</v>
      </c>
      <c r="AH2892">
        <v>36.075133136138497</v>
      </c>
      <c r="AI2892">
        <v>91.774481632137693</v>
      </c>
      <c r="AJ2892">
        <v>94.749007228798405</v>
      </c>
      <c r="AK2892">
        <v>36.216775698567901</v>
      </c>
      <c r="AL2892">
        <v>79.4023696698506</v>
      </c>
      <c r="AM2892">
        <v>86.255965096851597</v>
      </c>
      <c r="AN2892">
        <v>1.0000000125963899</v>
      </c>
    </row>
    <row r="2893" spans="1:40" x14ac:dyDescent="0.25">
      <c r="A2893" t="str">
        <f>"20190303162605925"</f>
        <v>20190303162605925</v>
      </c>
      <c r="B2893" t="str">
        <f>"1551601565916436"</f>
        <v>1551601565916436</v>
      </c>
      <c r="C2893" t="s">
        <v>40</v>
      </c>
      <c r="D2893">
        <v>5.0395629999999896</v>
      </c>
      <c r="E2893">
        <v>0.46857959999999899</v>
      </c>
      <c r="F2893" t="s">
        <v>46</v>
      </c>
      <c r="G2893">
        <v>-208.93530000000001</v>
      </c>
      <c r="H2893" s="1">
        <v>5.9501959999999899E-6</v>
      </c>
      <c r="I2893">
        <v>217.23849999999999</v>
      </c>
      <c r="J2893">
        <v>-264.58609999999999</v>
      </c>
      <c r="K2893">
        <v>1.121505</v>
      </c>
      <c r="L2893">
        <v>215.8477</v>
      </c>
      <c r="M2893">
        <v>0.99982919999999997</v>
      </c>
      <c r="N2893">
        <v>-1.399718E-2</v>
      </c>
      <c r="O2893">
        <v>-1.207768E-2</v>
      </c>
      <c r="P2893">
        <v>0.98223649999999996</v>
      </c>
      <c r="Q2893">
        <v>0.17069579999999901</v>
      </c>
      <c r="R2893">
        <v>-7.7938069999999998E-2</v>
      </c>
      <c r="S2893">
        <v>3.0702210000000001</v>
      </c>
      <c r="T2893">
        <v>-6.1543229999999997E-2</v>
      </c>
      <c r="U2893">
        <v>7.6141360000000005E-2</v>
      </c>
      <c r="V2893">
        <v>6.5888989999999995E-2</v>
      </c>
      <c r="W2893">
        <v>0.184504</v>
      </c>
      <c r="X2893">
        <v>0.98062070000000001</v>
      </c>
      <c r="Y2893">
        <v>-3.6852900000000001E-2</v>
      </c>
      <c r="Z2893">
        <v>7.0029819999999998E-4</v>
      </c>
      <c r="AA2893">
        <v>0.9993204</v>
      </c>
      <c r="AB2893">
        <v>34</v>
      </c>
      <c r="AC2893">
        <v>55.650799999999897</v>
      </c>
      <c r="AD2893">
        <v>-1.1214990498040001</v>
      </c>
      <c r="AE2893">
        <v>1.3907999999999801</v>
      </c>
      <c r="AF2893">
        <v>-2.0620599480714499</v>
      </c>
      <c r="AG2893">
        <v>-1.1214990498040001</v>
      </c>
      <c r="AH2893">
        <v>55.607371673502897</v>
      </c>
      <c r="AI2893">
        <v>91.154601147932695</v>
      </c>
      <c r="AJ2893">
        <v>92.123697235980998</v>
      </c>
      <c r="AK2893">
        <v>55.656892078009903</v>
      </c>
      <c r="AL2893">
        <v>79.367784329196496</v>
      </c>
      <c r="AM2893">
        <v>86.156010970800097</v>
      </c>
      <c r="AN2893">
        <v>1.00000002114385</v>
      </c>
    </row>
    <row r="2894" spans="1:40" x14ac:dyDescent="0.25">
      <c r="A2894" t="str">
        <f>"20190303162605944"</f>
        <v>20190303162605944</v>
      </c>
      <c r="B2894" t="str">
        <f>"1551601565935956"</f>
        <v>1551601565935956</v>
      </c>
      <c r="C2894" t="s">
        <v>40</v>
      </c>
      <c r="D2894">
        <v>4.9223160000000004</v>
      </c>
      <c r="E2894">
        <v>0.4716475</v>
      </c>
      <c r="F2894" t="s">
        <v>46</v>
      </c>
      <c r="G2894">
        <v>-197.8125</v>
      </c>
      <c r="H2894" s="1">
        <v>2.4407650000000001E-6</v>
      </c>
      <c r="I2894">
        <v>216.1951</v>
      </c>
      <c r="J2894">
        <v>-264.29199999999997</v>
      </c>
      <c r="K2894">
        <v>1.1215299999999999</v>
      </c>
      <c r="L2894">
        <v>215.84460000000001</v>
      </c>
      <c r="M2894">
        <v>0.99983480000000002</v>
      </c>
      <c r="N2894">
        <v>-1.397754E-2</v>
      </c>
      <c r="O2894">
        <v>-1.1626640000000001E-2</v>
      </c>
      <c r="P2894">
        <v>0.98207290000000003</v>
      </c>
      <c r="Q2894">
        <v>0.17121629999999999</v>
      </c>
      <c r="R2894">
        <v>-7.8854099999999996E-2</v>
      </c>
      <c r="S2894">
        <v>3.0644529999999999</v>
      </c>
      <c r="T2894">
        <v>-5.1469330000000001E-2</v>
      </c>
      <c r="U2894">
        <v>1.594543E-2</v>
      </c>
      <c r="V2894">
        <v>6.7240359999999999E-2</v>
      </c>
      <c r="W2894">
        <v>0.18500730000000001</v>
      </c>
      <c r="X2894">
        <v>0.98043409999999998</v>
      </c>
      <c r="Y2894">
        <v>-1.682616E-2</v>
      </c>
      <c r="Z2894">
        <v>2.9164890000000002E-4</v>
      </c>
      <c r="AA2894">
        <v>0.99985840000000004</v>
      </c>
      <c r="AB2894">
        <v>34</v>
      </c>
      <c r="AC2894">
        <v>66.479500000000002</v>
      </c>
      <c r="AD2894">
        <v>-1.121527559235</v>
      </c>
      <c r="AE2894">
        <v>0.35049999999998199</v>
      </c>
      <c r="AF2894">
        <v>-1.1231653143992799</v>
      </c>
      <c r="AG2894">
        <v>-1.121527559235</v>
      </c>
      <c r="AH2894">
        <v>66.452017994646098</v>
      </c>
      <c r="AI2894">
        <v>90.966765548695093</v>
      </c>
      <c r="AJ2894">
        <v>90.968315293354493</v>
      </c>
      <c r="AK2894">
        <v>66.470971257763097</v>
      </c>
      <c r="AL2894">
        <v>79.338441950432198</v>
      </c>
      <c r="AM2894">
        <v>86.076670952401102</v>
      </c>
      <c r="AN2894">
        <v>0.99999999575451404</v>
      </c>
    </row>
    <row r="2895" spans="1:40" x14ac:dyDescent="0.25">
      <c r="A2895" t="str">
        <f>"20190303162605967"</f>
        <v>20190303162605967</v>
      </c>
      <c r="B2895" t="str">
        <f>"1551601565956452"</f>
        <v>1551601565956452</v>
      </c>
      <c r="C2895" t="s">
        <v>40</v>
      </c>
      <c r="D2895">
        <v>5.0416569999999998</v>
      </c>
      <c r="E2895">
        <v>0.47317019999999999</v>
      </c>
      <c r="F2895" t="s">
        <v>46</v>
      </c>
      <c r="G2895">
        <v>-188.3134</v>
      </c>
      <c r="H2895" s="1">
        <v>3.595604E-6</v>
      </c>
      <c r="I2895">
        <v>215.58629999999999</v>
      </c>
      <c r="J2895">
        <v>-263.95409999999998</v>
      </c>
      <c r="K2895">
        <v>1.1215469999999901</v>
      </c>
      <c r="L2895">
        <v>215.84119999999999</v>
      </c>
      <c r="M2895">
        <v>0.99984130000000004</v>
      </c>
      <c r="N2895">
        <v>-1.3951959999999999E-2</v>
      </c>
      <c r="O2895">
        <v>-1.108721E-2</v>
      </c>
      <c r="P2895">
        <v>0.98199110000000001</v>
      </c>
      <c r="Q2895">
        <v>0.1714145</v>
      </c>
      <c r="R2895">
        <v>-7.9441369999999997E-2</v>
      </c>
      <c r="S2895">
        <v>3.061798</v>
      </c>
      <c r="T2895">
        <v>-4.519546E-2</v>
      </c>
      <c r="U2895">
        <v>-1.0406489999999999E-2</v>
      </c>
      <c r="V2895">
        <v>6.8348549999999994E-2</v>
      </c>
      <c r="W2895">
        <v>0.18518399999999999</v>
      </c>
      <c r="X2895">
        <v>0.98032410000000003</v>
      </c>
      <c r="Y2895">
        <v>-7.68799999999999E-3</v>
      </c>
      <c r="Z2895">
        <v>1.193267E-4</v>
      </c>
      <c r="AA2895">
        <v>0.99997040000000004</v>
      </c>
      <c r="AB2895">
        <v>34</v>
      </c>
      <c r="AC2895">
        <v>75.640699999999896</v>
      </c>
      <c r="AD2895">
        <v>-1.12154340439599</v>
      </c>
      <c r="AE2895">
        <v>-0.25489999999999202</v>
      </c>
      <c r="AF2895">
        <v>-0.58371321811400001</v>
      </c>
      <c r="AG2895">
        <v>-1.12154340439599</v>
      </c>
      <c r="AH2895">
        <v>75.622251087372405</v>
      </c>
      <c r="AI2895">
        <v>90.849658375917301</v>
      </c>
      <c r="AJ2895">
        <v>90.442246021295304</v>
      </c>
      <c r="AK2895">
        <v>75.632819861820195</v>
      </c>
      <c r="AL2895">
        <v>79.328139703164297</v>
      </c>
      <c r="AM2895">
        <v>86.011771386973095</v>
      </c>
      <c r="AN2895">
        <v>0.99999998959195602</v>
      </c>
    </row>
    <row r="2896" spans="1:40" x14ac:dyDescent="0.25">
      <c r="A2896" t="str">
        <f>"20190303162605990"</f>
        <v>20190303162605990</v>
      </c>
      <c r="B2896" t="str">
        <f>"1551601565976947"</f>
        <v>1551601565976947</v>
      </c>
      <c r="C2896" t="s">
        <v>40</v>
      </c>
      <c r="D2896">
        <v>5.0985420000000001</v>
      </c>
      <c r="E2896">
        <v>0.47393360000000001</v>
      </c>
      <c r="F2896" t="s">
        <v>46</v>
      </c>
      <c r="G2896">
        <v>-182.40350000000001</v>
      </c>
      <c r="H2896" s="1">
        <v>2.5817389999999998E-6</v>
      </c>
      <c r="I2896">
        <v>215.19229999999999</v>
      </c>
      <c r="J2896">
        <v>-263.59690000000001</v>
      </c>
      <c r="K2896">
        <v>1.1215649999999999</v>
      </c>
      <c r="L2896">
        <v>215.83789999999999</v>
      </c>
      <c r="M2896">
        <v>0.99984799999999996</v>
      </c>
      <c r="N2896">
        <v>-1.392552E-2</v>
      </c>
      <c r="O2896">
        <v>-1.049726E-2</v>
      </c>
      <c r="P2896">
        <v>0.98207180000000005</v>
      </c>
      <c r="Q2896">
        <v>0.17110529999999999</v>
      </c>
      <c r="R2896">
        <v>-7.9108440000000002E-2</v>
      </c>
      <c r="S2896">
        <v>3.0603639999999999</v>
      </c>
      <c r="T2896">
        <v>-4.2088390000000003E-2</v>
      </c>
      <c r="U2896">
        <v>-2.4353030000000001E-2</v>
      </c>
      <c r="V2896">
        <v>6.8586129999999995E-2</v>
      </c>
      <c r="W2896">
        <v>0.1848523</v>
      </c>
      <c r="X2896">
        <v>0.98037010000000002</v>
      </c>
      <c r="Y2896">
        <v>-2.5405950000000001E-3</v>
      </c>
      <c r="Z2896" s="1">
        <v>3.3326630000000002E-5</v>
      </c>
      <c r="AA2896">
        <v>0.99999680000000002</v>
      </c>
      <c r="AB2896">
        <v>34</v>
      </c>
      <c r="AC2896">
        <v>81.193399999999997</v>
      </c>
      <c r="AD2896">
        <v>-1.121562418261</v>
      </c>
      <c r="AE2896">
        <v>-0.64560000000000095</v>
      </c>
      <c r="AF2896">
        <v>-0.206786947208629</v>
      </c>
      <c r="AG2896">
        <v>-1.121562418261</v>
      </c>
      <c r="AH2896">
        <v>81.180214075856099</v>
      </c>
      <c r="AI2896">
        <v>90.791529034745906</v>
      </c>
      <c r="AJ2896">
        <v>90.145946815280496</v>
      </c>
      <c r="AK2896">
        <v>81.188224641886507</v>
      </c>
      <c r="AL2896">
        <v>79.347478510426498</v>
      </c>
      <c r="AM2896">
        <v>85.998140418008802</v>
      </c>
      <c r="AN2896">
        <v>0.99999998150883795</v>
      </c>
    </row>
    <row r="2897" spans="1:40" x14ac:dyDescent="0.25">
      <c r="A2897" t="str">
        <f>"20190303162606011"</f>
        <v>20190303162606011</v>
      </c>
      <c r="B2897" t="str">
        <f>"1551601565996467"</f>
        <v>1551601565996467</v>
      </c>
      <c r="C2897" t="s">
        <v>40</v>
      </c>
      <c r="D2897">
        <v>5.0925659999999997</v>
      </c>
      <c r="E2897">
        <v>0.47440909999999897</v>
      </c>
      <c r="F2897" t="s">
        <v>46</v>
      </c>
      <c r="G2897">
        <v>-179.95769999999999</v>
      </c>
      <c r="H2897">
        <v>9.5152599999999996E-4</v>
      </c>
      <c r="I2897">
        <v>215.0128</v>
      </c>
      <c r="J2897">
        <v>-263.28899999999999</v>
      </c>
      <c r="K2897">
        <v>1.1215710000000001</v>
      </c>
      <c r="L2897">
        <v>215.83519999999999</v>
      </c>
      <c r="M2897">
        <v>0.99985360000000001</v>
      </c>
      <c r="N2897">
        <v>-1.3904059999999999E-2</v>
      </c>
      <c r="O2897">
        <v>-9.9767129999999999E-3</v>
      </c>
      <c r="P2897">
        <v>0.98212160000000004</v>
      </c>
      <c r="Q2897">
        <v>0.17112649999999999</v>
      </c>
      <c r="R2897">
        <v>-7.844044E-2</v>
      </c>
      <c r="S2897">
        <v>3.0595089999999998</v>
      </c>
      <c r="T2897">
        <v>-4.0991899999999998E-2</v>
      </c>
      <c r="U2897">
        <v>-3.0181880000000001E-2</v>
      </c>
      <c r="V2897">
        <v>6.8423220000000007E-2</v>
      </c>
      <c r="W2897">
        <v>0.18485499999999999</v>
      </c>
      <c r="X2897">
        <v>0.98038099999999995</v>
      </c>
      <c r="Y2897">
        <v>0</v>
      </c>
      <c r="Z2897">
        <v>0</v>
      </c>
      <c r="AA2897">
        <v>1</v>
      </c>
      <c r="AB2897">
        <v>34</v>
      </c>
      <c r="AC2897">
        <v>83.331299999999999</v>
      </c>
      <c r="AD2897">
        <v>-1.1206194739999999</v>
      </c>
      <c r="AE2897">
        <v>-0.82239999999998703</v>
      </c>
      <c r="AF2897">
        <v>-9.0920979980780806E-3</v>
      </c>
      <c r="AG2897">
        <v>-1.1206194739999999</v>
      </c>
      <c r="AH2897">
        <v>83.320291189127104</v>
      </c>
      <c r="AI2897">
        <v>90.770555334914306</v>
      </c>
      <c r="AJ2897">
        <v>90.006252244593796</v>
      </c>
      <c r="AK2897">
        <v>83.3278272518412</v>
      </c>
      <c r="AL2897">
        <v>79.347321369524906</v>
      </c>
      <c r="AM2897">
        <v>86.007659350952196</v>
      </c>
      <c r="AN2897">
        <v>1.0000000066105801</v>
      </c>
    </row>
    <row r="2898" spans="1:40" x14ac:dyDescent="0.25">
      <c r="A2898" t="str">
        <f>"20190303162606034"</f>
        <v>20190303162606034</v>
      </c>
      <c r="B2898" t="str">
        <f>"1551601566026254"</f>
        <v>1551601566026254</v>
      </c>
      <c r="C2898" t="s">
        <v>40</v>
      </c>
      <c r="D2898">
        <v>5.0953989999999996</v>
      </c>
      <c r="E2898">
        <v>0.47490650000000001</v>
      </c>
      <c r="F2898" t="s">
        <v>46</v>
      </c>
      <c r="G2898">
        <v>-179.93299999999999</v>
      </c>
      <c r="H2898">
        <v>7.4692320000000006E-2</v>
      </c>
      <c r="I2898">
        <v>214.9648</v>
      </c>
      <c r="J2898">
        <v>-262.94380000000001</v>
      </c>
      <c r="K2898">
        <v>1.121577</v>
      </c>
      <c r="L2898">
        <v>215.8323</v>
      </c>
      <c r="M2898">
        <v>0.99985959999999996</v>
      </c>
      <c r="N2898">
        <v>-1.388153E-2</v>
      </c>
      <c r="O2898">
        <v>-9.3839660000000005E-3</v>
      </c>
      <c r="P2898">
        <v>0.98209800000000003</v>
      </c>
      <c r="Q2898">
        <v>0.17141989999999999</v>
      </c>
      <c r="R2898">
        <v>-7.8093529999999994E-2</v>
      </c>
      <c r="S2898">
        <v>3.0587460000000002</v>
      </c>
      <c r="T2898">
        <v>-3.8415190000000002E-2</v>
      </c>
      <c r="U2898">
        <v>-3.1936649999999997E-2</v>
      </c>
      <c r="V2898">
        <v>6.8654220000000002E-2</v>
      </c>
      <c r="W2898">
        <v>0.18512729999999999</v>
      </c>
      <c r="X2898">
        <v>0.98031349999999995</v>
      </c>
      <c r="Y2898">
        <v>1.055535E-3</v>
      </c>
      <c r="Z2898" s="1">
        <v>-2.6381459999999999E-5</v>
      </c>
      <c r="AA2898">
        <v>0.99999950000000004</v>
      </c>
      <c r="AB2898">
        <v>34</v>
      </c>
      <c r="AC2898">
        <v>83.010800000000003</v>
      </c>
      <c r="AD2898">
        <v>-1.04688468</v>
      </c>
      <c r="AE2898">
        <v>-0.86750000000000604</v>
      </c>
      <c r="AF2898">
        <v>8.8402139770447197E-2</v>
      </c>
      <c r="AG2898">
        <v>-1.04688468</v>
      </c>
      <c r="AH2898">
        <v>83.002085790972501</v>
      </c>
      <c r="AI2898">
        <v>90.722618700946299</v>
      </c>
      <c r="AJ2898">
        <v>89.938976622752094</v>
      </c>
      <c r="AK2898">
        <v>83.008734649574606</v>
      </c>
      <c r="AL2898">
        <v>79.331446064454298</v>
      </c>
      <c r="AM2898">
        <v>85.993949904623307</v>
      </c>
      <c r="AN2898">
        <v>1.00000003870567</v>
      </c>
    </row>
    <row r="2899" spans="1:40" x14ac:dyDescent="0.25">
      <c r="A2899" t="str">
        <f>"20190303162606057"</f>
        <v>20190303162606057</v>
      </c>
      <c r="B2899" t="str">
        <f>"1551601566046749"</f>
        <v>1551601566046749</v>
      </c>
      <c r="C2899" t="s">
        <v>40</v>
      </c>
      <c r="D2899">
        <v>5.0954790000000001</v>
      </c>
      <c r="E2899">
        <v>0.47527779999999997</v>
      </c>
      <c r="F2899" t="s">
        <v>46</v>
      </c>
      <c r="G2899">
        <v>-177.17250000000001</v>
      </c>
      <c r="H2899">
        <v>7.9980599999999999E-2</v>
      </c>
      <c r="I2899">
        <v>214.8674</v>
      </c>
      <c r="J2899">
        <v>-262.60849999999999</v>
      </c>
      <c r="K2899">
        <v>1.1215809999999999</v>
      </c>
      <c r="L2899">
        <v>215.82980000000001</v>
      </c>
      <c r="M2899">
        <v>0.99986520000000001</v>
      </c>
      <c r="N2899">
        <v>-1.38613E-2</v>
      </c>
      <c r="O2899">
        <v>-8.8020269999999901E-3</v>
      </c>
      <c r="P2899">
        <v>0.98228859999999996</v>
      </c>
      <c r="Q2899">
        <v>0.1704735</v>
      </c>
      <c r="R2899">
        <v>-7.7769759999999993E-2</v>
      </c>
      <c r="S2899">
        <v>3.0584410000000002</v>
      </c>
      <c r="T2899">
        <v>-3.7141319999999999E-2</v>
      </c>
      <c r="U2899">
        <v>-3.4408569999999999E-2</v>
      </c>
      <c r="V2899">
        <v>6.8899009999999997E-2</v>
      </c>
      <c r="W2899">
        <v>0.18416469999999999</v>
      </c>
      <c r="X2899">
        <v>0.98047759999999995</v>
      </c>
      <c r="Y2899">
        <v>2.446527E-3</v>
      </c>
      <c r="Z2899" s="1">
        <v>-4.6944670000000003E-5</v>
      </c>
      <c r="AA2899">
        <v>0.99999700000000002</v>
      </c>
      <c r="AB2899">
        <v>34</v>
      </c>
      <c r="AC2899">
        <v>85.435999999999893</v>
      </c>
      <c r="AD2899">
        <v>-1.0416004000000001</v>
      </c>
      <c r="AE2899">
        <v>-0.96240000000000203</v>
      </c>
      <c r="AF2899">
        <v>0.21024924237940901</v>
      </c>
      <c r="AG2899">
        <v>-1.0416004000000001</v>
      </c>
      <c r="AH2899">
        <v>85.428465547778202</v>
      </c>
      <c r="AI2899">
        <v>90.698551339978195</v>
      </c>
      <c r="AJ2899">
        <v>89.858988806189998</v>
      </c>
      <c r="AK2899">
        <v>85.435073956690204</v>
      </c>
      <c r="AL2899">
        <v>79.387563692457903</v>
      </c>
      <c r="AM2899">
        <v>85.980383549732906</v>
      </c>
      <c r="AN2899">
        <v>1.00000001720341</v>
      </c>
    </row>
    <row r="2900" spans="1:40" x14ac:dyDescent="0.25">
      <c r="A2900" t="str">
        <f>"20190303162606084"</f>
        <v>20190303162606084</v>
      </c>
      <c r="B2900" t="str">
        <f>"1551601566076029"</f>
        <v>1551601566076029</v>
      </c>
      <c r="C2900" t="s">
        <v>40</v>
      </c>
      <c r="D2900">
        <v>5.1539190000000001</v>
      </c>
      <c r="E2900">
        <v>0.47562860000000001</v>
      </c>
      <c r="F2900" t="s">
        <v>46</v>
      </c>
      <c r="G2900">
        <v>-179.935</v>
      </c>
      <c r="H2900">
        <v>7.2693610000000006E-2</v>
      </c>
      <c r="I2900">
        <v>214.8723</v>
      </c>
      <c r="J2900">
        <v>-262.18979999999999</v>
      </c>
      <c r="K2900">
        <v>1.1215740000000001</v>
      </c>
      <c r="L2900">
        <v>215.82689999999999</v>
      </c>
      <c r="M2900">
        <v>0.99987170000000003</v>
      </c>
      <c r="N2900">
        <v>-1.3838710000000001E-2</v>
      </c>
      <c r="O2900">
        <v>-8.0726459999999993E-3</v>
      </c>
      <c r="P2900">
        <v>0.98255110000000001</v>
      </c>
      <c r="Q2900">
        <v>0.1690237</v>
      </c>
      <c r="R2900">
        <v>-7.7619549999999995E-2</v>
      </c>
      <c r="S2900">
        <v>3.058014</v>
      </c>
      <c r="T2900">
        <v>-3.8797379999999999E-2</v>
      </c>
      <c r="U2900">
        <v>-3.541565E-2</v>
      </c>
      <c r="V2900">
        <v>6.9463250000000004E-2</v>
      </c>
      <c r="W2900">
        <v>0.18269750000000001</v>
      </c>
      <c r="X2900">
        <v>0.98071220000000003</v>
      </c>
      <c r="Y2900">
        <v>3.5066419999999999E-3</v>
      </c>
      <c r="Z2900" s="1">
        <v>-5.5820859999999997E-5</v>
      </c>
      <c r="AA2900">
        <v>0.99999389999999999</v>
      </c>
      <c r="AB2900">
        <v>34</v>
      </c>
      <c r="AC2900">
        <v>82.254799999999904</v>
      </c>
      <c r="AD2900">
        <v>-1.0488803900000001</v>
      </c>
      <c r="AE2900">
        <v>-0.954599999999999</v>
      </c>
      <c r="AF2900">
        <v>0.29044422545659798</v>
      </c>
      <c r="AG2900">
        <v>-1.0488803900000001</v>
      </c>
      <c r="AH2900">
        <v>82.246454407971001</v>
      </c>
      <c r="AI2900">
        <v>90.730642891535794</v>
      </c>
      <c r="AJ2900">
        <v>89.797667154809901</v>
      </c>
      <c r="AK2900">
        <v>82.253655059231704</v>
      </c>
      <c r="AL2900">
        <v>79.473078534326305</v>
      </c>
      <c r="AM2900">
        <v>85.948540789949405</v>
      </c>
      <c r="AN2900">
        <v>0.99999996941782499</v>
      </c>
    </row>
    <row r="2901" spans="1:40" x14ac:dyDescent="0.25">
      <c r="A2901" t="str">
        <f>"20190303162606107"</f>
        <v>20190303162606107</v>
      </c>
      <c r="B2901" t="str">
        <f>"1551601566096525"</f>
        <v>1551601566096525</v>
      </c>
      <c r="C2901" t="s">
        <v>40</v>
      </c>
      <c r="D2901">
        <v>5.0935119999999996</v>
      </c>
      <c r="E2901">
        <v>0.47582540000000001</v>
      </c>
      <c r="F2901" t="s">
        <v>46</v>
      </c>
      <c r="G2901">
        <v>-181.63140000000001</v>
      </c>
      <c r="H2901" s="1">
        <v>2.475016E-6</v>
      </c>
      <c r="I2901">
        <v>214.84639999999999</v>
      </c>
      <c r="J2901">
        <v>-261.86529999999999</v>
      </c>
      <c r="K2901">
        <v>1.121572</v>
      </c>
      <c r="L2901">
        <v>215.82490000000001</v>
      </c>
      <c r="M2901">
        <v>0.9998764</v>
      </c>
      <c r="N2901">
        <v>-1.382296E-2</v>
      </c>
      <c r="O2901">
        <v>-7.5077240000000003E-3</v>
      </c>
      <c r="P2901">
        <v>0.98279669999999997</v>
      </c>
      <c r="Q2901">
        <v>0.16758290000000001</v>
      </c>
      <c r="R2901">
        <v>-7.7634910000000001E-2</v>
      </c>
      <c r="S2901">
        <v>3.0576479999999999</v>
      </c>
      <c r="T2901">
        <v>-4.2569990000000002E-2</v>
      </c>
      <c r="U2901">
        <v>-3.7216190000000003E-2</v>
      </c>
      <c r="V2901">
        <v>7.0033079999999998E-2</v>
      </c>
      <c r="W2901">
        <v>0.18124499999999999</v>
      </c>
      <c r="X2901">
        <v>0.98094119999999996</v>
      </c>
      <c r="Y2901">
        <v>4.66148E-3</v>
      </c>
      <c r="Z2901" s="1">
        <v>-6.3937199999999995E-5</v>
      </c>
      <c r="AA2901">
        <v>0.99998920000000002</v>
      </c>
      <c r="AB2901">
        <v>33</v>
      </c>
      <c r="AC2901">
        <v>80.233899999999906</v>
      </c>
      <c r="AD2901">
        <v>-1.1215695249840001</v>
      </c>
      <c r="AE2901">
        <v>-0.97850000000002502</v>
      </c>
      <c r="AF2901">
        <v>0.375967505149926</v>
      </c>
      <c r="AG2901">
        <v>-1.1215695249840001</v>
      </c>
      <c r="AH2901">
        <v>80.223311578410403</v>
      </c>
      <c r="AI2901">
        <v>90.800968036897302</v>
      </c>
      <c r="AJ2901">
        <v>89.731484612759701</v>
      </c>
      <c r="AK2901">
        <v>80.232032196442702</v>
      </c>
      <c r="AL2901">
        <v>79.557714176594004</v>
      </c>
      <c r="AM2901">
        <v>85.916367683530098</v>
      </c>
      <c r="AN2901">
        <v>1.0000000100883599</v>
      </c>
    </row>
    <row r="2902" spans="1:40" x14ac:dyDescent="0.25">
      <c r="A2902" t="str">
        <f>"20190303162606128"</f>
        <v>20190303162606128</v>
      </c>
      <c r="B2902" t="str">
        <f>"1551601566116045"</f>
        <v>1551601566116045</v>
      </c>
      <c r="C2902" t="s">
        <v>40</v>
      </c>
      <c r="D2902">
        <v>5.0322969999999998</v>
      </c>
      <c r="E2902">
        <v>0.47602820000000001</v>
      </c>
      <c r="F2902" t="s">
        <v>46</v>
      </c>
      <c r="G2902">
        <v>-189.37809999999999</v>
      </c>
      <c r="H2902" s="1">
        <v>3.8446639999999997E-6</v>
      </c>
      <c r="I2902">
        <v>214.89769999999999</v>
      </c>
      <c r="J2902">
        <v>-261.53390000000002</v>
      </c>
      <c r="K2902">
        <v>1.1215729999999999</v>
      </c>
      <c r="L2902">
        <v>215.82300000000001</v>
      </c>
      <c r="M2902">
        <v>0.99988069999999896</v>
      </c>
      <c r="N2902">
        <v>-1.380841E-2</v>
      </c>
      <c r="O2902">
        <v>-6.9318519999999996E-3</v>
      </c>
      <c r="P2902">
        <v>0.98289199999999999</v>
      </c>
      <c r="Q2902">
        <v>0.16667309999999999</v>
      </c>
      <c r="R2902">
        <v>-7.8383510000000003E-2</v>
      </c>
      <c r="S2902">
        <v>3.0574949999999999</v>
      </c>
      <c r="T2902">
        <v>-4.7307490000000001E-2</v>
      </c>
      <c r="U2902">
        <v>-3.9108280000000002E-2</v>
      </c>
      <c r="V2902">
        <v>7.1347499999999994E-2</v>
      </c>
      <c r="W2902">
        <v>0.18032390000000001</v>
      </c>
      <c r="X2902">
        <v>0.9810162</v>
      </c>
      <c r="Y2902">
        <v>5.856338E-3</v>
      </c>
      <c r="Z2902" s="1">
        <v>-7.4221639999999997E-5</v>
      </c>
      <c r="AA2902">
        <v>0.99998279999999995</v>
      </c>
      <c r="AB2902">
        <v>33</v>
      </c>
      <c r="AC2902">
        <v>72.155799999999999</v>
      </c>
      <c r="AD2902">
        <v>-1.1215691553360001</v>
      </c>
      <c r="AE2902">
        <v>-0.92529999999999202</v>
      </c>
      <c r="AF2902">
        <v>0.42495412619970202</v>
      </c>
      <c r="AG2902">
        <v>-1.1215691553360001</v>
      </c>
      <c r="AH2902">
        <v>72.1430533336504</v>
      </c>
      <c r="AI2902">
        <v>90.890659393003105</v>
      </c>
      <c r="AJ2902">
        <v>89.662506711389298</v>
      </c>
      <c r="AK2902">
        <v>72.1530224431486</v>
      </c>
      <c r="AL2902">
        <v>79.611373159316102</v>
      </c>
      <c r="AM2902">
        <v>85.840307320149094</v>
      </c>
      <c r="AN2902">
        <v>0.99999997966494902</v>
      </c>
    </row>
    <row r="2903" spans="1:40" x14ac:dyDescent="0.25">
      <c r="A2903" t="str">
        <f>"20190303162606147"</f>
        <v>20190303162606147</v>
      </c>
      <c r="B2903" t="str">
        <f>"1551601566136541"</f>
        <v>1551601566136541</v>
      </c>
      <c r="C2903" t="s">
        <v>40</v>
      </c>
      <c r="D2903">
        <v>5.0333209999999999</v>
      </c>
      <c r="E2903">
        <v>0.47625529999999999</v>
      </c>
      <c r="F2903" t="s">
        <v>46</v>
      </c>
      <c r="G2903">
        <v>-192.36439999999999</v>
      </c>
      <c r="H2903" s="1">
        <v>3.5244539999999999E-6</v>
      </c>
      <c r="I2903">
        <v>214.8536</v>
      </c>
      <c r="J2903">
        <v>-261.2534</v>
      </c>
      <c r="K2903">
        <v>1.121567</v>
      </c>
      <c r="L2903">
        <v>215.82149999999999</v>
      </c>
      <c r="M2903">
        <v>0.9998842</v>
      </c>
      <c r="N2903">
        <v>-1.3797240000000001E-2</v>
      </c>
      <c r="O2903">
        <v>-6.4452959999999997E-3</v>
      </c>
      <c r="P2903">
        <v>0.98315169999999996</v>
      </c>
      <c r="Q2903">
        <v>0.16481479999999901</v>
      </c>
      <c r="R2903">
        <v>-7.9051430000000006E-2</v>
      </c>
      <c r="S2903">
        <v>3.05722</v>
      </c>
      <c r="T2903">
        <v>-4.9572230000000002E-2</v>
      </c>
      <c r="U2903">
        <v>-4.2846679999999998E-2</v>
      </c>
      <c r="V2903">
        <v>7.2494349999999999E-2</v>
      </c>
      <c r="W2903">
        <v>0.17845920000000001</v>
      </c>
      <c r="X2903">
        <v>0.98127310000000001</v>
      </c>
      <c r="Y2903">
        <v>7.566148E-3</v>
      </c>
      <c r="Z2903" s="1">
        <v>-9.7974399999999995E-5</v>
      </c>
      <c r="AA2903">
        <v>0.99997139999999995</v>
      </c>
      <c r="AB2903">
        <v>33</v>
      </c>
      <c r="AC2903">
        <v>68.888999999999996</v>
      </c>
      <c r="AD2903">
        <v>-1.121563475546</v>
      </c>
      <c r="AE2903">
        <v>-0.96789999999998599</v>
      </c>
      <c r="AF2903">
        <v>0.52368891596358202</v>
      </c>
      <c r="AG2903">
        <v>-1.121563475546</v>
      </c>
      <c r="AH2903">
        <v>68.875555110565401</v>
      </c>
      <c r="AI2903">
        <v>90.932890014946906</v>
      </c>
      <c r="AJ2903">
        <v>89.564365232094403</v>
      </c>
      <c r="AK2903">
        <v>68.8866768431959</v>
      </c>
      <c r="AL2903">
        <v>79.719974656838602</v>
      </c>
      <c r="AM2903">
        <v>85.774786640852895</v>
      </c>
      <c r="AN2903">
        <v>1.0000000068150801</v>
      </c>
    </row>
    <row r="2904" spans="1:40" x14ac:dyDescent="0.25">
      <c r="A2904" t="str">
        <f>"20190303162606168"</f>
        <v>20190303162606168</v>
      </c>
      <c r="B2904" t="str">
        <f>"1551601566156062"</f>
        <v>1551601566156062</v>
      </c>
      <c r="C2904" t="s">
        <v>40</v>
      </c>
      <c r="D2904">
        <v>4.8617650000000001</v>
      </c>
      <c r="E2904">
        <v>0.47640270000000001</v>
      </c>
      <c r="F2904" t="s">
        <v>46</v>
      </c>
      <c r="G2904">
        <v>-197.9333</v>
      </c>
      <c r="H2904" s="1">
        <v>2.5363959999999999E-6</v>
      </c>
      <c r="I2904">
        <v>214.8562</v>
      </c>
      <c r="J2904">
        <v>-260.93959999999998</v>
      </c>
      <c r="K2904">
        <v>1.121556</v>
      </c>
      <c r="L2904">
        <v>215.8201</v>
      </c>
      <c r="M2904">
        <v>0.99988759999999999</v>
      </c>
      <c r="N2904">
        <v>-1.378601E-2</v>
      </c>
      <c r="O2904">
        <v>-5.9017660000000001E-3</v>
      </c>
      <c r="P2904">
        <v>0.98330709999999999</v>
      </c>
      <c r="Q2904">
        <v>0.1631803</v>
      </c>
      <c r="R2904">
        <v>-8.0495479999999994E-2</v>
      </c>
      <c r="S2904">
        <v>3.0567319999999998</v>
      </c>
      <c r="T2904">
        <v>-5.4142709999999997E-2</v>
      </c>
      <c r="U2904">
        <v>-4.6600339999999997E-2</v>
      </c>
      <c r="V2904">
        <v>7.4473949999999997E-2</v>
      </c>
      <c r="W2904">
        <v>0.17681820000000001</v>
      </c>
      <c r="X2904">
        <v>0.98142189999999996</v>
      </c>
      <c r="Y2904">
        <v>9.3389130000000008E-3</v>
      </c>
      <c r="Z2904">
        <v>-1.2392699999999999E-4</v>
      </c>
      <c r="AA2904">
        <v>0.99995639999999997</v>
      </c>
      <c r="AB2904">
        <v>33</v>
      </c>
      <c r="AC2904">
        <v>63.006299999999896</v>
      </c>
      <c r="AD2904">
        <v>-1.1215534636040001</v>
      </c>
      <c r="AE2904">
        <v>-0.96389999999999498</v>
      </c>
      <c r="AF2904">
        <v>0.59181196861927299</v>
      </c>
      <c r="AG2904">
        <v>-1.1215534636040001</v>
      </c>
      <c r="AH2904">
        <v>62.990936904415797</v>
      </c>
      <c r="AI2904">
        <v>91.019998412923599</v>
      </c>
      <c r="AJ2904">
        <v>89.4617109683645</v>
      </c>
      <c r="AK2904">
        <v>63.003700333186899</v>
      </c>
      <c r="AL2904">
        <v>79.815516445293298</v>
      </c>
      <c r="AM2904">
        <v>85.660499486173805</v>
      </c>
      <c r="AN2904">
        <v>0.99999999543972595</v>
      </c>
    </row>
    <row r="2905" spans="1:40" x14ac:dyDescent="0.25">
      <c r="A2905" t="str">
        <f>"20190303162606191"</f>
        <v>20190303162606191</v>
      </c>
      <c r="B2905" t="str">
        <f>"1551601566176557"</f>
        <v>1551601566176557</v>
      </c>
      <c r="C2905" t="s">
        <v>40</v>
      </c>
      <c r="D2905">
        <v>4.9771590000000003</v>
      </c>
      <c r="E2905">
        <v>0.47654829999999998</v>
      </c>
      <c r="F2905" t="s">
        <v>46</v>
      </c>
      <c r="G2905">
        <v>-202.65729999999999</v>
      </c>
      <c r="H2905" s="1">
        <v>3.3766270000000001E-6</v>
      </c>
      <c r="I2905">
        <v>214.83080000000001</v>
      </c>
      <c r="J2905">
        <v>-260.61309999999997</v>
      </c>
      <c r="K2905">
        <v>1.1215489999999999</v>
      </c>
      <c r="L2905">
        <v>215.81870000000001</v>
      </c>
      <c r="M2905">
        <v>0.99989099999999997</v>
      </c>
      <c r="N2905">
        <v>-1.37755E-2</v>
      </c>
      <c r="O2905">
        <v>-5.336553E-3</v>
      </c>
      <c r="P2905">
        <v>0.98351100000000002</v>
      </c>
      <c r="Q2905">
        <v>0.16144790000000001</v>
      </c>
      <c r="R2905">
        <v>-8.1493389999999999E-2</v>
      </c>
      <c r="S2905">
        <v>3.0564580000000001</v>
      </c>
      <c r="T2905">
        <v>-5.8816790000000001E-2</v>
      </c>
      <c r="U2905">
        <v>-5.1879880000000003E-2</v>
      </c>
      <c r="V2905">
        <v>7.6028709999999999E-2</v>
      </c>
      <c r="W2905">
        <v>0.17508009999999999</v>
      </c>
      <c r="X2905">
        <v>0.98161430000000005</v>
      </c>
      <c r="Y2905">
        <v>1.1631270000000001E-2</v>
      </c>
      <c r="Z2905">
        <v>-1.628658E-4</v>
      </c>
      <c r="AA2905">
        <v>0.9999323</v>
      </c>
      <c r="AB2905">
        <v>33</v>
      </c>
      <c r="AC2905">
        <v>57.955799999999897</v>
      </c>
      <c r="AD2905">
        <v>-1.1215456233729999</v>
      </c>
      <c r="AE2905">
        <v>-0.987899999999996</v>
      </c>
      <c r="AF2905">
        <v>0.67831847187609795</v>
      </c>
      <c r="AG2905">
        <v>-1.1215456233729999</v>
      </c>
      <c r="AH2905">
        <v>57.938555962220597</v>
      </c>
      <c r="AI2905">
        <v>91.108888603119198</v>
      </c>
      <c r="AJ2905">
        <v>89.329237510055705</v>
      </c>
      <c r="AK2905">
        <v>57.953379949076002</v>
      </c>
      <c r="AL2905">
        <v>79.916680739452005</v>
      </c>
      <c r="AM2905">
        <v>85.571127340611298</v>
      </c>
      <c r="AN2905">
        <v>1.00000002006238</v>
      </c>
    </row>
    <row r="2906" spans="1:40" x14ac:dyDescent="0.25">
      <c r="A2906" t="str">
        <f>"20190303162606213"</f>
        <v>20190303162606213</v>
      </c>
      <c r="B2906" t="str">
        <f>"1551601566206814"</f>
        <v>1551601566206814</v>
      </c>
      <c r="C2906" t="s">
        <v>40</v>
      </c>
      <c r="D2906">
        <v>4.9141320000000004</v>
      </c>
      <c r="E2906">
        <v>0.47675230000000002</v>
      </c>
      <c r="F2906" t="s">
        <v>46</v>
      </c>
      <c r="G2906">
        <v>-206.26560000000001</v>
      </c>
      <c r="H2906" s="1">
        <v>4.9773949999999996E-6</v>
      </c>
      <c r="I2906">
        <v>214.8237</v>
      </c>
      <c r="J2906">
        <v>-260.27519999999998</v>
      </c>
      <c r="K2906">
        <v>1.1215459999999999</v>
      </c>
      <c r="L2906">
        <v>215.8175</v>
      </c>
      <c r="M2906">
        <v>0.99989410000000001</v>
      </c>
      <c r="N2906">
        <v>-1.3765380000000001E-2</v>
      </c>
      <c r="O2906">
        <v>-4.7514389999999997E-3</v>
      </c>
      <c r="P2906">
        <v>0.98356589999999999</v>
      </c>
      <c r="Q2906">
        <v>0.16041250000000001</v>
      </c>
      <c r="R2906">
        <v>-8.286085E-2</v>
      </c>
      <c r="S2906">
        <v>3.056</v>
      </c>
      <c r="T2906">
        <v>-6.3065289999999996E-2</v>
      </c>
      <c r="U2906">
        <v>-5.595398E-2</v>
      </c>
      <c r="V2906">
        <v>7.7973189999999998E-2</v>
      </c>
      <c r="W2906">
        <v>0.17403729999999901</v>
      </c>
      <c r="X2906">
        <v>0.98164720000000005</v>
      </c>
      <c r="Y2906">
        <v>1.355049E-2</v>
      </c>
      <c r="Z2906">
        <v>-2.0045189999999999E-4</v>
      </c>
      <c r="AA2906">
        <v>0.99990809999999997</v>
      </c>
      <c r="AB2906">
        <v>33</v>
      </c>
      <c r="AC2906">
        <v>54.009599999999899</v>
      </c>
      <c r="AD2906">
        <v>-1.121541022605</v>
      </c>
      <c r="AE2906">
        <v>-0.99379999999999302</v>
      </c>
      <c r="AF2906">
        <v>0.73682356042547403</v>
      </c>
      <c r="AG2906">
        <v>-1.121541022605</v>
      </c>
      <c r="AH2906">
        <v>53.990439327915396</v>
      </c>
      <c r="AI2906">
        <v>91.189920782632001</v>
      </c>
      <c r="AJ2906">
        <v>89.218116019614698</v>
      </c>
      <c r="AK2906">
        <v>54.007113439304398</v>
      </c>
      <c r="AL2906">
        <v>79.977360334653895</v>
      </c>
      <c r="AM2906">
        <v>85.458475846134704</v>
      </c>
      <c r="AN2906">
        <v>1.0000000127089499</v>
      </c>
    </row>
    <row r="2907" spans="1:40" x14ac:dyDescent="0.25">
      <c r="A2907" t="str">
        <f>"20190303162606235"</f>
        <v>20190303162606235</v>
      </c>
      <c r="B2907" t="str">
        <f>"1551601566226333"</f>
        <v>1551601566226333</v>
      </c>
      <c r="C2907" t="s">
        <v>40</v>
      </c>
      <c r="D2907">
        <v>4.746912</v>
      </c>
      <c r="E2907">
        <v>0.47692309999999999</v>
      </c>
      <c r="F2907" t="s">
        <v>46</v>
      </c>
      <c r="G2907">
        <v>-206.7346</v>
      </c>
      <c r="H2907" s="1">
        <v>5.1931850000000003E-6</v>
      </c>
      <c r="I2907">
        <v>214.7346</v>
      </c>
      <c r="J2907">
        <v>-259.94229999999999</v>
      </c>
      <c r="K2907">
        <v>1.1215459999999999</v>
      </c>
      <c r="L2907">
        <v>215.81649999999999</v>
      </c>
      <c r="M2907">
        <v>0.99989660000000002</v>
      </c>
      <c r="N2907">
        <v>-1.375619E-2</v>
      </c>
      <c r="O2907">
        <v>-4.1749170000000002E-3</v>
      </c>
      <c r="P2907">
        <v>0.98347810000000002</v>
      </c>
      <c r="Q2907">
        <v>0.1601437</v>
      </c>
      <c r="R2907">
        <v>-8.4410059999999995E-2</v>
      </c>
      <c r="S2907">
        <v>3.0553889999999999</v>
      </c>
      <c r="T2907">
        <v>-6.4002749999999997E-2</v>
      </c>
      <c r="U2907">
        <v>-6.1798100000000002E-2</v>
      </c>
      <c r="V2907">
        <v>8.0090369999999994E-2</v>
      </c>
      <c r="W2907">
        <v>0.17376069999999999</v>
      </c>
      <c r="X2907">
        <v>0.98152569999999995</v>
      </c>
      <c r="Y2907">
        <v>1.6041440000000001E-2</v>
      </c>
      <c r="Z2907">
        <v>-2.4834150000000002E-4</v>
      </c>
      <c r="AA2907">
        <v>0.99987130000000002</v>
      </c>
      <c r="AB2907">
        <v>33</v>
      </c>
      <c r="AC2907">
        <v>53.207699999999903</v>
      </c>
      <c r="AD2907">
        <v>-1.1215408068149999</v>
      </c>
      <c r="AE2907">
        <v>-1.0818999999999901</v>
      </c>
      <c r="AF2907">
        <v>0.85935014751274497</v>
      </c>
      <c r="AG2907">
        <v>-1.1215408068149999</v>
      </c>
      <c r="AH2907">
        <v>53.188131491796199</v>
      </c>
      <c r="AI2907">
        <v>91.207819295533199</v>
      </c>
      <c r="AJ2907">
        <v>89.074363931543104</v>
      </c>
      <c r="AK2907">
        <v>53.206894929567</v>
      </c>
      <c r="AL2907">
        <v>79.993453160150906</v>
      </c>
      <c r="AM2907">
        <v>85.335123478889798</v>
      </c>
      <c r="AN2907">
        <v>0.99999997399585805</v>
      </c>
    </row>
    <row r="2908" spans="1:40" x14ac:dyDescent="0.25">
      <c r="A2908" t="str">
        <f>"20190303162606261"</f>
        <v>20190303162606261</v>
      </c>
      <c r="B2908" t="str">
        <f>"1551601566245853"</f>
        <v>1551601566245853</v>
      </c>
      <c r="C2908" t="s">
        <v>40</v>
      </c>
      <c r="D2908">
        <v>4.7381039999999999</v>
      </c>
      <c r="E2908">
        <v>0.48933720000000003</v>
      </c>
      <c r="F2908" t="s">
        <v>46</v>
      </c>
      <c r="G2908">
        <v>-206.95519999999999</v>
      </c>
      <c r="H2908" s="1">
        <v>5.2994079999999998E-6</v>
      </c>
      <c r="I2908">
        <v>214.63810000000001</v>
      </c>
      <c r="J2908">
        <v>-259.57690000000002</v>
      </c>
      <c r="K2908">
        <v>1.1215349999999999</v>
      </c>
      <c r="L2908">
        <v>215.81569999999999</v>
      </c>
      <c r="M2908">
        <v>0.99989930000000005</v>
      </c>
      <c r="N2908">
        <v>-1.37471E-2</v>
      </c>
      <c r="O2908">
        <v>-3.5422520000000001E-3</v>
      </c>
      <c r="P2908">
        <v>0.98344149999999997</v>
      </c>
      <c r="Q2908">
        <v>0.15960469999999999</v>
      </c>
      <c r="R2908">
        <v>-8.5845249999999998E-2</v>
      </c>
      <c r="S2908">
        <v>3.0550839999999999</v>
      </c>
      <c r="T2908">
        <v>-6.4664719999999995E-2</v>
      </c>
      <c r="U2908">
        <v>-6.7947389999999996E-2</v>
      </c>
      <c r="V2908">
        <v>8.2148849999999995E-2</v>
      </c>
      <c r="W2908">
        <v>0.17321410000000001</v>
      </c>
      <c r="X2908">
        <v>0.9814522</v>
      </c>
      <c r="Y2908">
        <v>1.8686609999999999E-2</v>
      </c>
      <c r="Z2908">
        <v>-2.9993810000000001E-4</v>
      </c>
      <c r="AA2908">
        <v>0.99982539999999998</v>
      </c>
      <c r="AB2908">
        <v>33</v>
      </c>
      <c r="AC2908">
        <v>52.621699999999997</v>
      </c>
      <c r="AD2908">
        <v>-1.121529700592</v>
      </c>
      <c r="AE2908">
        <v>-1.17759999999998</v>
      </c>
      <c r="AF2908">
        <v>0.99072587725844896</v>
      </c>
      <c r="AG2908">
        <v>-1.121529700592</v>
      </c>
      <c r="AH2908">
        <v>52.601659378264202</v>
      </c>
      <c r="AI2908">
        <v>91.221212321007897</v>
      </c>
      <c r="AJ2908">
        <v>88.920990300505693</v>
      </c>
      <c r="AK2908">
        <v>52.6229411566867</v>
      </c>
      <c r="AL2908">
        <v>80.025253403846307</v>
      </c>
      <c r="AM2908">
        <v>85.215419962653399</v>
      </c>
      <c r="AN2908">
        <v>0.99999998943998603</v>
      </c>
    </row>
    <row r="2909" spans="1:40" x14ac:dyDescent="0.25">
      <c r="A2909" t="str">
        <f>"20190303162606285"</f>
        <v>20190303162606285</v>
      </c>
      <c r="B2909" t="str">
        <f>"1551601566276109"</f>
        <v>1551601566276109</v>
      </c>
      <c r="C2909" t="s">
        <v>40</v>
      </c>
      <c r="D2909">
        <v>4.6924099999999997</v>
      </c>
      <c r="E2909">
        <v>0.49901250000000003</v>
      </c>
      <c r="F2909" t="s">
        <v>42</v>
      </c>
      <c r="G2909">
        <v>-258.5806</v>
      </c>
      <c r="H2909">
        <v>1.038052</v>
      </c>
      <c r="I2909">
        <v>215.7603</v>
      </c>
      <c r="J2909">
        <v>-259.2045</v>
      </c>
      <c r="K2909">
        <v>1.121534</v>
      </c>
      <c r="L2909">
        <v>215.8151</v>
      </c>
      <c r="M2909">
        <v>0.99990140000000005</v>
      </c>
      <c r="N2909">
        <v>-1.3738820000000001E-2</v>
      </c>
      <c r="O2909">
        <v>-2.8970789999999999E-3</v>
      </c>
      <c r="P2909">
        <v>0.98346610000000001</v>
      </c>
      <c r="Q2909">
        <v>0.15882089999999999</v>
      </c>
      <c r="R2909">
        <v>-8.7007479999999998E-2</v>
      </c>
      <c r="S2909">
        <v>3.0775450000000002</v>
      </c>
      <c r="T2909">
        <v>-0.25802239999999999</v>
      </c>
      <c r="U2909">
        <v>-0.17045589999999999</v>
      </c>
      <c r="V2909">
        <v>8.3947190000000005E-2</v>
      </c>
      <c r="W2909">
        <v>0.17242360000000001</v>
      </c>
      <c r="X2909">
        <v>0.98143919999999996</v>
      </c>
      <c r="Y2909">
        <v>5.220346E-2</v>
      </c>
      <c r="Z2909">
        <v>-2.339949E-3</v>
      </c>
      <c r="AA2909">
        <v>0.99863369999999996</v>
      </c>
      <c r="AB2909">
        <v>33</v>
      </c>
      <c r="AC2909">
        <v>0.62389999999999102</v>
      </c>
      <c r="AD2909">
        <v>-8.3482000000000001E-2</v>
      </c>
      <c r="AE2909">
        <v>-5.4800000000000099E-2</v>
      </c>
      <c r="AF2909">
        <v>5.2067028483406601E-2</v>
      </c>
      <c r="AG2909">
        <v>-8.3482000000000001E-2</v>
      </c>
      <c r="AH2909">
        <v>0.61316200822045397</v>
      </c>
      <c r="AI2909">
        <v>97.725681952332096</v>
      </c>
      <c r="AJ2909">
        <v>85.146337387913405</v>
      </c>
      <c r="AK2909">
        <v>0.62100552984980095</v>
      </c>
      <c r="AL2909">
        <v>80.071237379140598</v>
      </c>
      <c r="AM2909">
        <v>85.111117381696701</v>
      </c>
      <c r="AN2909">
        <v>0.99999996592124696</v>
      </c>
    </row>
    <row r="2910" spans="1:40" x14ac:dyDescent="0.25">
      <c r="A2910" t="str">
        <f>"20190303162606308"</f>
        <v>20190303162606308</v>
      </c>
      <c r="B2910" t="str">
        <f>"1551601566296606"</f>
        <v>1551601566296606</v>
      </c>
      <c r="C2910" t="s">
        <v>40</v>
      </c>
      <c r="D2910">
        <v>4.7052440000000004</v>
      </c>
      <c r="E2910">
        <v>0.50055130000000003</v>
      </c>
      <c r="F2910" t="s">
        <v>42</v>
      </c>
      <c r="G2910">
        <v>-258.35070000000002</v>
      </c>
      <c r="H2910">
        <v>0.90128200000000003</v>
      </c>
      <c r="I2910">
        <v>215.7474</v>
      </c>
      <c r="J2910">
        <v>-258.85829999999999</v>
      </c>
      <c r="K2910">
        <v>1.1215349999999999</v>
      </c>
      <c r="L2910">
        <v>215.81469999999999</v>
      </c>
      <c r="M2910">
        <v>0.99990310000000004</v>
      </c>
      <c r="N2910">
        <v>-1.3731810000000001E-2</v>
      </c>
      <c r="O2910">
        <v>-2.297332E-3</v>
      </c>
      <c r="P2910">
        <v>0.98333669999999995</v>
      </c>
      <c r="Q2910">
        <v>0.1591137</v>
      </c>
      <c r="R2910">
        <v>-8.7929569999999999E-2</v>
      </c>
      <c r="S2910">
        <v>3.1599729999999999</v>
      </c>
      <c r="T2910">
        <v>-0.81519989999999998</v>
      </c>
      <c r="U2910">
        <v>-0.2498322</v>
      </c>
      <c r="V2910">
        <v>8.5459460000000001E-2</v>
      </c>
      <c r="W2910">
        <v>0.17270869999999999</v>
      </c>
      <c r="X2910">
        <v>0.98125859999999998</v>
      </c>
      <c r="Y2910">
        <v>7.4049320000000002E-2</v>
      </c>
      <c r="Z2910">
        <v>-9.3503230000000007E-3</v>
      </c>
      <c r="AA2910">
        <v>0.99721070000000001</v>
      </c>
      <c r="AB2910">
        <v>33</v>
      </c>
      <c r="AC2910">
        <v>0.50759999999996797</v>
      </c>
      <c r="AD2910">
        <v>-0.220253</v>
      </c>
      <c r="AE2910">
        <v>-6.7299999999988799E-2</v>
      </c>
      <c r="AF2910">
        <v>5.5807716130049999E-2</v>
      </c>
      <c r="AG2910">
        <v>-0.220253</v>
      </c>
      <c r="AH2910">
        <v>0.42847443508613398</v>
      </c>
      <c r="AI2910">
        <v>117.009508881817</v>
      </c>
      <c r="AJ2910">
        <v>82.579144311340301</v>
      </c>
      <c r="AK2910">
        <v>0.48499095528786301</v>
      </c>
      <c r="AL2910">
        <v>80.0546541759674</v>
      </c>
      <c r="AM2910">
        <v>85.022573479311603</v>
      </c>
      <c r="AN2910">
        <v>1.0000000272165701</v>
      </c>
    </row>
    <row r="2911" spans="1:40" x14ac:dyDescent="0.25">
      <c r="A2911" t="str">
        <f>"20190303162606327"</f>
        <v>20190303162606327</v>
      </c>
      <c r="B2911" t="str">
        <f>"1551601566316125"</f>
        <v>1551601566316125</v>
      </c>
      <c r="C2911" t="s">
        <v>40</v>
      </c>
      <c r="D2911">
        <v>4.7257819999999997</v>
      </c>
      <c r="E2911">
        <v>0.50120600000000004</v>
      </c>
      <c r="F2911" t="s">
        <v>42</v>
      </c>
      <c r="G2911">
        <v>-258.05880000000002</v>
      </c>
      <c r="H2911">
        <v>0.89010990000000001</v>
      </c>
      <c r="I2911">
        <v>215.74780000000001</v>
      </c>
      <c r="J2911">
        <v>-258.56799999999998</v>
      </c>
      <c r="K2911">
        <v>1.121542</v>
      </c>
      <c r="L2911">
        <v>215.81450000000001</v>
      </c>
      <c r="M2911">
        <v>0.99990409999999996</v>
      </c>
      <c r="N2911">
        <v>-1.3726479999999999E-2</v>
      </c>
      <c r="O2911">
        <v>-1.794267E-3</v>
      </c>
      <c r="P2911">
        <v>0.98306260000000001</v>
      </c>
      <c r="Q2911">
        <v>0.16028339999999999</v>
      </c>
      <c r="R2911">
        <v>-8.8865600000000003E-2</v>
      </c>
      <c r="S2911">
        <v>3.1759029999999999</v>
      </c>
      <c r="T2911">
        <v>-0.91936359999999995</v>
      </c>
      <c r="U2911">
        <v>-0.26506039999999997</v>
      </c>
      <c r="V2911">
        <v>8.6889739999999993E-2</v>
      </c>
      <c r="W2911">
        <v>0.17387059999999999</v>
      </c>
      <c r="X2911">
        <v>0.98092769999999996</v>
      </c>
      <c r="Y2911">
        <v>7.8105670000000002E-2</v>
      </c>
      <c r="Z2911">
        <v>-1.112381E-2</v>
      </c>
      <c r="AA2911">
        <v>0.99688299999999996</v>
      </c>
      <c r="AB2911">
        <v>33</v>
      </c>
      <c r="AC2911">
        <v>0.50919999999996401</v>
      </c>
      <c r="AD2911">
        <v>-0.2314321</v>
      </c>
      <c r="AE2911">
        <v>-6.6699999999997303E-2</v>
      </c>
      <c r="AF2911">
        <v>5.4681143469580001E-2</v>
      </c>
      <c r="AG2911">
        <v>-0.2314321</v>
      </c>
      <c r="AH2911">
        <v>0.423343386185069</v>
      </c>
      <c r="AI2911">
        <v>118.46535493707</v>
      </c>
      <c r="AJ2911">
        <v>82.6401404336262</v>
      </c>
      <c r="AK2911">
        <v>0.48556201147556</v>
      </c>
      <c r="AL2911">
        <v>79.987059110074995</v>
      </c>
      <c r="AM2911">
        <v>84.938000338464306</v>
      </c>
      <c r="AN2911">
        <v>0.99999998254445799</v>
      </c>
    </row>
    <row r="2912" spans="1:40" x14ac:dyDescent="0.25">
      <c r="A2912" t="str">
        <f>"20190303162606350"</f>
        <v>20190303162606350</v>
      </c>
      <c r="B2912" t="str">
        <f>"1551601566346381"</f>
        <v>1551601566346381</v>
      </c>
      <c r="C2912" t="s">
        <v>40</v>
      </c>
      <c r="D2912">
        <v>4.7635940000000003</v>
      </c>
      <c r="E2912">
        <v>0.50132069999999995</v>
      </c>
      <c r="F2912" t="s">
        <v>42</v>
      </c>
      <c r="G2912">
        <v>-257.76650000000001</v>
      </c>
      <c r="H2912">
        <v>0.88004729999999998</v>
      </c>
      <c r="I2912">
        <v>215.74590000000001</v>
      </c>
      <c r="J2912">
        <v>-258.24689999999998</v>
      </c>
      <c r="K2912">
        <v>1.1215489999999999</v>
      </c>
      <c r="L2912">
        <v>215.81460000000001</v>
      </c>
      <c r="M2912">
        <v>0.99990509999999999</v>
      </c>
      <c r="N2912">
        <v>-1.37211E-2</v>
      </c>
      <c r="O2912">
        <v>-1.2376780000000001E-3</v>
      </c>
      <c r="P2912">
        <v>0.98294219999999999</v>
      </c>
      <c r="Q2912">
        <v>0.16097349999999999</v>
      </c>
      <c r="R2912">
        <v>-8.8950189999999998E-2</v>
      </c>
      <c r="S2912">
        <v>3.183487</v>
      </c>
      <c r="T2912">
        <v>-0.95929310000000001</v>
      </c>
      <c r="U2912">
        <v>-0.2723083</v>
      </c>
      <c r="V2912">
        <v>8.7520990000000007E-2</v>
      </c>
      <c r="W2912">
        <v>0.17455329999999999</v>
      </c>
      <c r="X2912">
        <v>0.98075029999999996</v>
      </c>
      <c r="Y2912">
        <v>8.0330960000000007E-2</v>
      </c>
      <c r="Z2912">
        <v>-1.2037050000000001E-2</v>
      </c>
      <c r="AA2912">
        <v>0.99669560000000001</v>
      </c>
      <c r="AB2912">
        <v>33</v>
      </c>
      <c r="AC2912">
        <v>0.48039999999997401</v>
      </c>
      <c r="AD2912">
        <v>-0.24150170000000001</v>
      </c>
      <c r="AE2912">
        <v>-6.8700000000006797E-2</v>
      </c>
      <c r="AF2912">
        <v>5.4586771213903297E-2</v>
      </c>
      <c r="AG2912">
        <v>-0.24150170000000001</v>
      </c>
      <c r="AH2912">
        <v>0.38511103361323901</v>
      </c>
      <c r="AI2912">
        <v>121.835737906156</v>
      </c>
      <c r="AJ2912">
        <v>81.932469562330496</v>
      </c>
      <c r="AK2912">
        <v>0.4578354452258</v>
      </c>
      <c r="AL2912">
        <v>79.947335656300396</v>
      </c>
      <c r="AM2912">
        <v>84.900500903243994</v>
      </c>
      <c r="AN2912">
        <v>0.999999964590779</v>
      </c>
    </row>
    <row r="2913" spans="1:40" x14ac:dyDescent="0.25">
      <c r="A2913" t="str">
        <f>"20190303162606375"</f>
        <v>20190303162606375</v>
      </c>
      <c r="B2913" t="str">
        <f>"1551601566366877"</f>
        <v>1551601566366877</v>
      </c>
      <c r="C2913" t="s">
        <v>40</v>
      </c>
      <c r="D2913">
        <v>4.7423199999999897</v>
      </c>
      <c r="E2913">
        <v>0.50145949999999995</v>
      </c>
      <c r="F2913" t="s">
        <v>42</v>
      </c>
      <c r="G2913">
        <v>-257.4674</v>
      </c>
      <c r="H2913">
        <v>0.88744179999999995</v>
      </c>
      <c r="I2913">
        <v>215.74770000000001</v>
      </c>
      <c r="J2913">
        <v>-257.86759999999998</v>
      </c>
      <c r="K2913">
        <v>1.121548</v>
      </c>
      <c r="L2913">
        <v>215.81479999999999</v>
      </c>
      <c r="M2913">
        <v>0.99990579999999996</v>
      </c>
      <c r="N2913">
        <v>-1.3715130000000001E-2</v>
      </c>
      <c r="O2913">
        <v>-5.7952329999999997E-4</v>
      </c>
      <c r="P2913">
        <v>0.98291419999999996</v>
      </c>
      <c r="Q2913">
        <v>0.16128429999999999</v>
      </c>
      <c r="R2913">
        <v>-8.8697960000000006E-2</v>
      </c>
      <c r="S2913">
        <v>3.183945</v>
      </c>
      <c r="T2913">
        <v>-0.95619960000000004</v>
      </c>
      <c r="U2913">
        <v>-0.27314759999999999</v>
      </c>
      <c r="V2913">
        <v>8.7915499999999994E-2</v>
      </c>
      <c r="W2913">
        <v>0.1748575</v>
      </c>
      <c r="X2913">
        <v>0.98066089999999995</v>
      </c>
      <c r="Y2913">
        <v>8.1193310000000005E-2</v>
      </c>
      <c r="Z2913">
        <v>-1.231642E-2</v>
      </c>
      <c r="AA2913">
        <v>0.99662229999999996</v>
      </c>
      <c r="AB2913">
        <v>33</v>
      </c>
      <c r="AC2913">
        <v>0.40019999999998301</v>
      </c>
      <c r="AD2913">
        <v>-0.23410619999999999</v>
      </c>
      <c r="AE2913">
        <v>-6.7099999999982105E-2</v>
      </c>
      <c r="AF2913">
        <v>5.0169716772589697E-2</v>
      </c>
      <c r="AG2913">
        <v>-0.23410619999999999</v>
      </c>
      <c r="AH2913">
        <v>0.30029095895331498</v>
      </c>
      <c r="AI2913">
        <v>127.558132316654</v>
      </c>
      <c r="AJ2913">
        <v>80.515174817526201</v>
      </c>
      <c r="AK2913">
        <v>0.38405386782140799</v>
      </c>
      <c r="AL2913">
        <v>79.929634815525006</v>
      </c>
      <c r="AM2913">
        <v>84.877171908978596</v>
      </c>
      <c r="AN2913">
        <v>1.0000000406176499</v>
      </c>
    </row>
    <row r="2914" spans="1:40" x14ac:dyDescent="0.25">
      <c r="A2914" t="str">
        <f>"20190303162606394"</f>
        <v>20190303162606394</v>
      </c>
      <c r="B2914" t="str">
        <f>"1551601566386397"</f>
        <v>1551601566386397</v>
      </c>
      <c r="C2914" t="s">
        <v>40</v>
      </c>
      <c r="D2914">
        <v>4.7254779999999998</v>
      </c>
      <c r="E2914">
        <v>0.50145709999999999</v>
      </c>
      <c r="F2914" t="s">
        <v>42</v>
      </c>
      <c r="G2914">
        <v>-257.161</v>
      </c>
      <c r="H2914">
        <v>0.91161159999999997</v>
      </c>
      <c r="I2914">
        <v>215.7544</v>
      </c>
      <c r="J2914">
        <v>-257.59190000000001</v>
      </c>
      <c r="K2914">
        <v>1.1215389999999901</v>
      </c>
      <c r="L2914">
        <v>215.8151</v>
      </c>
      <c r="M2914">
        <v>0.99990610000000002</v>
      </c>
      <c r="N2914">
        <v>-1.3711060000000001E-2</v>
      </c>
      <c r="O2914" s="1">
        <v>-9.8865549999999994E-5</v>
      </c>
      <c r="P2914">
        <v>0.98295500000000002</v>
      </c>
      <c r="Q2914">
        <v>0.16109879999999999</v>
      </c>
      <c r="R2914">
        <v>-8.858162E-2</v>
      </c>
      <c r="S2914">
        <v>3.1828310000000002</v>
      </c>
      <c r="T2914">
        <v>-0.94557820000000004</v>
      </c>
      <c r="U2914">
        <v>-0.27119450000000001</v>
      </c>
      <c r="V2914">
        <v>8.8271989999999995E-2</v>
      </c>
      <c r="W2914">
        <v>0.17466880000000001</v>
      </c>
      <c r="X2914">
        <v>0.98066249999999999</v>
      </c>
      <c r="Y2914">
        <v>8.1153649999999994E-2</v>
      </c>
      <c r="Z2914">
        <v>-1.232222E-2</v>
      </c>
      <c r="AA2914">
        <v>0.99662539999999999</v>
      </c>
      <c r="AB2914">
        <v>33</v>
      </c>
      <c r="AC2914">
        <v>0.430900000000008</v>
      </c>
      <c r="AD2914">
        <v>-0.20992739999999899</v>
      </c>
      <c r="AE2914">
        <v>-6.0699999999996999E-2</v>
      </c>
      <c r="AF2914">
        <v>4.9205758314414101E-2</v>
      </c>
      <c r="AG2914">
        <v>-0.20992739999999899</v>
      </c>
      <c r="AH2914">
        <v>0.34955435580559402</v>
      </c>
      <c r="AI2914">
        <v>120.73969960628401</v>
      </c>
      <c r="AJ2914">
        <v>81.987286591882494</v>
      </c>
      <c r="AK2914">
        <v>0.41070545112613299</v>
      </c>
      <c r="AL2914">
        <v>79.940615473374706</v>
      </c>
      <c r="AM2914">
        <v>84.856518815257303</v>
      </c>
      <c r="AN2914">
        <v>1.0000000364091199</v>
      </c>
    </row>
    <row r="2915" spans="1:40" x14ac:dyDescent="0.25">
      <c r="A2915" t="str">
        <f>"20190303162606414"</f>
        <v>20190303162606414</v>
      </c>
      <c r="B2915" t="str">
        <f>"1551601566405917"</f>
        <v>1551601566405917</v>
      </c>
      <c r="C2915" t="s">
        <v>40</v>
      </c>
      <c r="D2915">
        <v>4.7643879999999896</v>
      </c>
      <c r="E2915">
        <v>0.50150379999999894</v>
      </c>
      <c r="F2915" t="s">
        <v>42</v>
      </c>
      <c r="G2915">
        <v>-256.86709999999999</v>
      </c>
      <c r="H2915">
        <v>0.90768850000000001</v>
      </c>
      <c r="I2915">
        <v>215.75370000000001</v>
      </c>
      <c r="J2915">
        <v>-257.29050000000001</v>
      </c>
      <c r="K2915">
        <v>1.121542</v>
      </c>
      <c r="L2915">
        <v>215.81569999999999</v>
      </c>
      <c r="M2915">
        <v>0.99990610000000002</v>
      </c>
      <c r="N2915">
        <v>-1.3706899999999999E-2</v>
      </c>
      <c r="O2915">
        <v>4.2930900000000001E-4</v>
      </c>
      <c r="P2915">
        <v>0.98290750000000005</v>
      </c>
      <c r="Q2915">
        <v>0.16130269999999999</v>
      </c>
      <c r="R2915">
        <v>-8.8738709999999998E-2</v>
      </c>
      <c r="S2915">
        <v>3.18161</v>
      </c>
      <c r="T2915">
        <v>-0.93865540000000003</v>
      </c>
      <c r="U2915">
        <v>-0.26942440000000001</v>
      </c>
      <c r="V2915">
        <v>8.8947380000000006E-2</v>
      </c>
      <c r="W2915">
        <v>0.1748683</v>
      </c>
      <c r="X2915">
        <v>0.98056589999999999</v>
      </c>
      <c r="Y2915">
        <v>8.1188150000000001E-2</v>
      </c>
      <c r="Z2915">
        <v>-1.239434E-2</v>
      </c>
      <c r="AA2915">
        <v>0.99662169999999894</v>
      </c>
      <c r="AB2915">
        <v>33</v>
      </c>
      <c r="AC2915">
        <v>0.42340000000001499</v>
      </c>
      <c r="AD2915">
        <v>-0.2138535</v>
      </c>
      <c r="AE2915">
        <v>-6.1999999999983402E-2</v>
      </c>
      <c r="AF2915">
        <v>4.9755113188236201E-2</v>
      </c>
      <c r="AG2915">
        <v>-0.2138535</v>
      </c>
      <c r="AH2915">
        <v>0.33876463905889898</v>
      </c>
      <c r="AI2915">
        <v>121.98782900885</v>
      </c>
      <c r="AJ2915">
        <v>81.644579659688702</v>
      </c>
      <c r="AK2915">
        <v>0.40369588978255599</v>
      </c>
      <c r="AL2915">
        <v>79.929006143490099</v>
      </c>
      <c r="AM2915">
        <v>84.8168705364928</v>
      </c>
      <c r="AN2915">
        <v>1.00000002149828</v>
      </c>
    </row>
    <row r="2916" spans="1:40" x14ac:dyDescent="0.25">
      <c r="A2916" t="str">
        <f>"20190303162606439"</f>
        <v>20190303162606439</v>
      </c>
      <c r="B2916" t="str">
        <f>"1551601566426413"</f>
        <v>1551601566426413</v>
      </c>
      <c r="C2916" t="s">
        <v>40</v>
      </c>
      <c r="D2916">
        <v>4.7697289999999999</v>
      </c>
      <c r="E2916">
        <v>0.50166630000000001</v>
      </c>
      <c r="F2916" t="s">
        <v>42</v>
      </c>
      <c r="G2916">
        <v>-256.57029999999997</v>
      </c>
      <c r="H2916">
        <v>0.91075119999999998</v>
      </c>
      <c r="I2916">
        <v>215.7542</v>
      </c>
      <c r="J2916">
        <v>-256.93689999999998</v>
      </c>
      <c r="K2916">
        <v>1.1215459999999999</v>
      </c>
      <c r="L2916">
        <v>215.81639999999999</v>
      </c>
      <c r="M2916">
        <v>0.99990570000000001</v>
      </c>
      <c r="N2916">
        <v>-1.370234E-2</v>
      </c>
      <c r="O2916">
        <v>1.0515489999999999E-3</v>
      </c>
      <c r="P2916">
        <v>0.98291680000000003</v>
      </c>
      <c r="Q2916">
        <v>0.16119429999999901</v>
      </c>
      <c r="R2916">
        <v>-8.883423E-2</v>
      </c>
      <c r="S2916">
        <v>3.180542</v>
      </c>
      <c r="T2916">
        <v>-0.93083439999999995</v>
      </c>
      <c r="U2916">
        <v>-0.27050780000000002</v>
      </c>
      <c r="V2916">
        <v>8.9653789999999997E-2</v>
      </c>
      <c r="W2916">
        <v>0.1747561</v>
      </c>
      <c r="X2916">
        <v>0.98052159999999999</v>
      </c>
      <c r="Y2916">
        <v>8.2162659999999998E-2</v>
      </c>
      <c r="Z2916">
        <v>-1.261896E-2</v>
      </c>
      <c r="AA2916">
        <v>0.99653910000000001</v>
      </c>
      <c r="AB2916">
        <v>33</v>
      </c>
      <c r="AC2916">
        <v>0.36660000000000498</v>
      </c>
      <c r="AD2916">
        <v>-0.2107948</v>
      </c>
      <c r="AE2916">
        <v>-6.2199999999989999E-2</v>
      </c>
      <c r="AF2916">
        <v>4.73639908569055E-2</v>
      </c>
      <c r="AG2916">
        <v>-0.2107948</v>
      </c>
      <c r="AH2916">
        <v>0.27738903353449601</v>
      </c>
      <c r="AI2916">
        <v>126.836269777759</v>
      </c>
      <c r="AJ2916">
        <v>80.3102324899683</v>
      </c>
      <c r="AK2916">
        <v>0.35159987380847402</v>
      </c>
      <c r="AL2916">
        <v>79.935535579896595</v>
      </c>
      <c r="AM2916">
        <v>84.775698861889893</v>
      </c>
      <c r="AN2916">
        <v>1.0000000523075601</v>
      </c>
    </row>
    <row r="2917" spans="1:40" x14ac:dyDescent="0.25">
      <c r="A2917" t="str">
        <f>"20190303162606459"</f>
        <v>20190303162606459</v>
      </c>
      <c r="B2917" t="str">
        <f>"1551601566456670"</f>
        <v>1551601566456670</v>
      </c>
      <c r="C2917" t="s">
        <v>40</v>
      </c>
      <c r="D2917">
        <v>4.8517449999999904</v>
      </c>
      <c r="E2917">
        <v>0.52079120000000001</v>
      </c>
      <c r="F2917" t="s">
        <v>42</v>
      </c>
      <c r="G2917">
        <v>-256.0052</v>
      </c>
      <c r="H2917">
        <v>0.84921440000000004</v>
      </c>
      <c r="I2917">
        <v>215.73660000000001</v>
      </c>
      <c r="J2917">
        <v>-256.63220000000001</v>
      </c>
      <c r="K2917">
        <v>1.121548</v>
      </c>
      <c r="L2917">
        <v>215.81729999999999</v>
      </c>
      <c r="M2917">
        <v>0.99990489999999999</v>
      </c>
      <c r="N2917">
        <v>-1.369867E-2</v>
      </c>
      <c r="O2917">
        <v>1.589979E-3</v>
      </c>
      <c r="P2917">
        <v>0.98288640000000005</v>
      </c>
      <c r="Q2917">
        <v>0.16111220000000001</v>
      </c>
      <c r="R2917">
        <v>-8.9315720000000001E-2</v>
      </c>
      <c r="S2917">
        <v>3.1800380000000001</v>
      </c>
      <c r="T2917">
        <v>-0.92957069999999997</v>
      </c>
      <c r="U2917">
        <v>-0.27162170000000002</v>
      </c>
      <c r="V2917">
        <v>9.0664069999999999E-2</v>
      </c>
      <c r="W2917">
        <v>0.1746711</v>
      </c>
      <c r="X2917">
        <v>0.98044379999999998</v>
      </c>
      <c r="Y2917">
        <v>8.3010210000000001E-2</v>
      </c>
      <c r="Z2917">
        <v>-1.2878489999999999E-2</v>
      </c>
      <c r="AA2917">
        <v>0.9964655</v>
      </c>
      <c r="AB2917">
        <v>33</v>
      </c>
      <c r="AC2917">
        <v>0.62700000000000899</v>
      </c>
      <c r="AD2917">
        <v>-0.27233359999999901</v>
      </c>
      <c r="AE2917">
        <v>-8.06999999999789E-2</v>
      </c>
      <c r="AF2917">
        <v>6.8908793443947194E-2</v>
      </c>
      <c r="AG2917">
        <v>-0.27233359999999901</v>
      </c>
      <c r="AH2917">
        <v>0.52874603366022499</v>
      </c>
      <c r="AI2917">
        <v>117.055060902042</v>
      </c>
      <c r="AJ2917">
        <v>82.574780529708207</v>
      </c>
      <c r="AK2917">
        <v>0.59873732104678401</v>
      </c>
      <c r="AL2917">
        <v>79.940481325110895</v>
      </c>
      <c r="AM2917">
        <v>84.716742296264002</v>
      </c>
      <c r="AN2917">
        <v>1.0000000058612999</v>
      </c>
    </row>
    <row r="2918" spans="1:40" x14ac:dyDescent="0.25">
      <c r="A2918" t="str">
        <f>"20190303162606484"</f>
        <v>20190303162606484</v>
      </c>
      <c r="B2918" t="str">
        <f>"1551601566476189"</f>
        <v>1551601566476189</v>
      </c>
      <c r="C2918" t="s">
        <v>40</v>
      </c>
      <c r="D2918">
        <v>4.858479</v>
      </c>
      <c r="E2918">
        <v>0.52206640000000004</v>
      </c>
      <c r="F2918" t="s">
        <v>42</v>
      </c>
      <c r="G2918">
        <v>-255.7227</v>
      </c>
      <c r="H2918">
        <v>0.81709019999999899</v>
      </c>
      <c r="I2918">
        <v>215.69630000000001</v>
      </c>
      <c r="J2918">
        <v>-256.25720000000001</v>
      </c>
      <c r="K2918">
        <v>1.1215489999999999</v>
      </c>
      <c r="L2918">
        <v>215.81870000000001</v>
      </c>
      <c r="M2918">
        <v>0.99990369999999995</v>
      </c>
      <c r="N2918">
        <v>-1.3694420000000001E-2</v>
      </c>
      <c r="O2918">
        <v>2.2549369999999998E-3</v>
      </c>
      <c r="P2918">
        <v>0.98288039999999999</v>
      </c>
      <c r="Q2918">
        <v>0.1612036</v>
      </c>
      <c r="R2918">
        <v>-8.9217790000000005E-2</v>
      </c>
      <c r="S2918">
        <v>3.1887050000000001</v>
      </c>
      <c r="T2918">
        <v>-1.0674090000000001</v>
      </c>
      <c r="U2918">
        <v>-0.42399599999999998</v>
      </c>
      <c r="V2918">
        <v>9.1219040000000001E-2</v>
      </c>
      <c r="W2918">
        <v>0.174758</v>
      </c>
      <c r="X2918">
        <v>0.98037680000000005</v>
      </c>
      <c r="Y2918">
        <v>0.12683359999999999</v>
      </c>
      <c r="Z2918">
        <v>-2.2179219999999999E-2</v>
      </c>
      <c r="AA2918">
        <v>0.991676</v>
      </c>
      <c r="AB2918">
        <v>33</v>
      </c>
      <c r="AC2918">
        <v>0.53450000000000797</v>
      </c>
      <c r="AD2918">
        <v>-0.30445879999999997</v>
      </c>
      <c r="AE2918">
        <v>-0.122399999999998</v>
      </c>
      <c r="AF2918">
        <v>9.4478101550054802E-2</v>
      </c>
      <c r="AG2918">
        <v>-0.30445879999999997</v>
      </c>
      <c r="AH2918">
        <v>0.40833551456130801</v>
      </c>
      <c r="AI2918">
        <v>125.995364057182</v>
      </c>
      <c r="AJ2918">
        <v>76.972504803905807</v>
      </c>
      <c r="AK2918">
        <v>0.51803394195939501</v>
      </c>
      <c r="AL2918">
        <v>79.935424188665195</v>
      </c>
      <c r="AM2918">
        <v>84.684226086306396</v>
      </c>
      <c r="AN2918">
        <v>0.99999997090037995</v>
      </c>
    </row>
    <row r="2919" spans="1:40" x14ac:dyDescent="0.25">
      <c r="A2919" t="str">
        <f>"20190303162606526"</f>
        <v>20190303162606526</v>
      </c>
      <c r="B2919" t="str">
        <f>"1551601566516206"</f>
        <v>1551601566516206</v>
      </c>
      <c r="C2919" t="s">
        <v>40</v>
      </c>
      <c r="D2919">
        <v>4.87554</v>
      </c>
      <c r="E2919">
        <v>0.5221732</v>
      </c>
      <c r="F2919" t="s">
        <v>42</v>
      </c>
      <c r="G2919">
        <v>-255.41929999999999</v>
      </c>
      <c r="H2919">
        <v>0.83908579999999999</v>
      </c>
      <c r="I2919">
        <v>215.70429999999999</v>
      </c>
      <c r="J2919">
        <v>-255.64240000000001</v>
      </c>
      <c r="K2919">
        <v>1.1215539999999999</v>
      </c>
      <c r="L2919">
        <v>215.82140000000001</v>
      </c>
      <c r="M2919">
        <v>0.99990069999999998</v>
      </c>
      <c r="N2919">
        <v>-1.3687879999999999E-2</v>
      </c>
      <c r="O2919">
        <v>3.349501E-3</v>
      </c>
      <c r="P2919">
        <v>0.98274309999999998</v>
      </c>
      <c r="Q2919">
        <v>0.1623473</v>
      </c>
      <c r="R2919">
        <v>-8.8653990000000002E-2</v>
      </c>
      <c r="S2919">
        <v>3.1891020000000001</v>
      </c>
      <c r="T2919">
        <v>-1.0750820000000001</v>
      </c>
      <c r="U2919">
        <v>-0.43486019999999997</v>
      </c>
      <c r="V2919">
        <v>9.1729309999999994E-2</v>
      </c>
      <c r="W2919">
        <v>0.17589270000000001</v>
      </c>
      <c r="X2919">
        <v>0.98012630000000001</v>
      </c>
      <c r="Y2919">
        <v>0.13084309999999999</v>
      </c>
      <c r="Z2919">
        <v>-2.3343840000000001E-2</v>
      </c>
      <c r="AA2919">
        <v>0.99112820000000001</v>
      </c>
      <c r="AB2919">
        <v>33</v>
      </c>
      <c r="AC2919">
        <v>0.22310000000001601</v>
      </c>
      <c r="AD2919">
        <v>-0.2824682</v>
      </c>
      <c r="AE2919">
        <v>-0.11710000000002101</v>
      </c>
      <c r="AF2919">
        <v>5.2218834071156198E-2</v>
      </c>
      <c r="AG2919">
        <v>-0.2824682</v>
      </c>
      <c r="AH2919">
        <v>9.86830712948705E-2</v>
      </c>
      <c r="AI2919">
        <v>158.43325653920499</v>
      </c>
      <c r="AJ2919">
        <v>62.1141333283908</v>
      </c>
      <c r="AK2919">
        <v>0.303732512588263</v>
      </c>
      <c r="AL2919">
        <v>79.869388461652605</v>
      </c>
      <c r="AM2919">
        <v>84.653303715349594</v>
      </c>
      <c r="AN2919">
        <v>1.00000003608902</v>
      </c>
    </row>
    <row r="2920" spans="1:40" x14ac:dyDescent="0.25">
      <c r="A2920" t="str">
        <f>"20190303162606553"</f>
        <v>20190303162606553</v>
      </c>
      <c r="B2920" t="str">
        <f>"1551601566546462"</f>
        <v>1551601566546462</v>
      </c>
      <c r="C2920" t="s">
        <v>40</v>
      </c>
      <c r="D2920">
        <v>4.9100619999999999</v>
      </c>
      <c r="E2920">
        <v>0.52207079999999995</v>
      </c>
      <c r="F2920" t="s">
        <v>42</v>
      </c>
      <c r="G2920">
        <v>-254.8272</v>
      </c>
      <c r="H2920">
        <v>0.84788079999999999</v>
      </c>
      <c r="I2920">
        <v>215.7105</v>
      </c>
      <c r="J2920">
        <v>-255.2587</v>
      </c>
      <c r="K2920">
        <v>1.121548</v>
      </c>
      <c r="L2920">
        <v>215.82339999999999</v>
      </c>
      <c r="M2920">
        <v>0.99989830000000002</v>
      </c>
      <c r="N2920">
        <v>-1.368407E-2</v>
      </c>
      <c r="O2920">
        <v>4.0335060000000001E-3</v>
      </c>
      <c r="P2920">
        <v>0.98270449999999998</v>
      </c>
      <c r="Q2920">
        <v>0.16286010000000001</v>
      </c>
      <c r="R2920">
        <v>-8.8140280000000001E-2</v>
      </c>
      <c r="S2920">
        <v>3.1905209999999999</v>
      </c>
      <c r="T2920">
        <v>-1.0711440000000001</v>
      </c>
      <c r="U2920">
        <v>-0.43345640000000002</v>
      </c>
      <c r="V2920">
        <v>9.1887140000000006E-2</v>
      </c>
      <c r="W2920">
        <v>0.17640049999999999</v>
      </c>
      <c r="X2920">
        <v>0.98002020000000001</v>
      </c>
      <c r="Y2920">
        <v>0.13104679999999999</v>
      </c>
      <c r="Z2920">
        <v>-2.3504649999999998E-2</v>
      </c>
      <c r="AA2920">
        <v>0.99109749999999996</v>
      </c>
      <c r="AB2920">
        <v>33</v>
      </c>
      <c r="AC2920">
        <v>0.431499999999999</v>
      </c>
      <c r="AD2920">
        <v>-0.273667199999999</v>
      </c>
      <c r="AE2920">
        <v>-0.112899999999996</v>
      </c>
      <c r="AF2920">
        <v>8.3285502474833295E-2</v>
      </c>
      <c r="AG2920">
        <v>-0.273667199999999</v>
      </c>
      <c r="AH2920">
        <v>0.31315042625241502</v>
      </c>
      <c r="AI2920">
        <v>130.18298701713201</v>
      </c>
      <c r="AJ2920">
        <v>75.106387836211198</v>
      </c>
      <c r="AK2920">
        <v>0.42413842167433302</v>
      </c>
      <c r="AL2920">
        <v>79.8398310140891</v>
      </c>
      <c r="AM2920">
        <v>84.643581141321107</v>
      </c>
      <c r="AN2920">
        <v>0.99999998765283404</v>
      </c>
    </row>
    <row r="2921" spans="1:40" x14ac:dyDescent="0.25">
      <c r="A2921" t="str">
        <f>"20190303162606574"</f>
        <v>20190303162606574</v>
      </c>
      <c r="B2921" t="str">
        <f>"1551601566565981"</f>
        <v>1551601566565981</v>
      </c>
      <c r="C2921" t="s">
        <v>40</v>
      </c>
      <c r="D2921">
        <v>4.9469620000000001</v>
      </c>
      <c r="E2921">
        <v>0.52194790000000002</v>
      </c>
      <c r="F2921" t="s">
        <v>42</v>
      </c>
      <c r="G2921">
        <v>-254.52289999999999</v>
      </c>
      <c r="H2921">
        <v>0.87423430000000002</v>
      </c>
      <c r="I2921">
        <v>215.7243</v>
      </c>
      <c r="J2921">
        <v>-254.93729999999999</v>
      </c>
      <c r="K2921">
        <v>1.121548</v>
      </c>
      <c r="L2921">
        <v>215.8253</v>
      </c>
      <c r="M2921">
        <v>0.99989589999999995</v>
      </c>
      <c r="N2921">
        <v>-1.3681E-2</v>
      </c>
      <c r="O2921">
        <v>4.606293E-3</v>
      </c>
      <c r="P2921">
        <v>0.9826298</v>
      </c>
      <c r="Q2921">
        <v>0.1630848</v>
      </c>
      <c r="R2921">
        <v>-8.8555700000000001E-2</v>
      </c>
      <c r="S2921">
        <v>3.1920470000000001</v>
      </c>
      <c r="T2921">
        <v>-1.07283</v>
      </c>
      <c r="U2921">
        <v>-0.42974849999999998</v>
      </c>
      <c r="V2921">
        <v>9.2865030000000001E-2</v>
      </c>
      <c r="W2921">
        <v>0.1766211</v>
      </c>
      <c r="X2921">
        <v>0.97988830000000005</v>
      </c>
      <c r="Y2921">
        <v>0.13041040000000001</v>
      </c>
      <c r="Z2921">
        <v>-2.360052E-2</v>
      </c>
      <c r="AA2921">
        <v>0.99117920000000004</v>
      </c>
      <c r="AB2921">
        <v>33</v>
      </c>
      <c r="AC2921">
        <v>0.41439999999999999</v>
      </c>
      <c r="AD2921">
        <v>-0.247313699999999</v>
      </c>
      <c r="AE2921">
        <v>-0.10099999999999899</v>
      </c>
      <c r="AF2921">
        <v>7.7015461568132201E-2</v>
      </c>
      <c r="AG2921">
        <v>-0.247313699999999</v>
      </c>
      <c r="AH2921">
        <v>0.309782028675129</v>
      </c>
      <c r="AI2921">
        <v>127.767207632045</v>
      </c>
      <c r="AJ2921">
        <v>76.038641322242896</v>
      </c>
      <c r="AK2921">
        <v>0.40380732140257303</v>
      </c>
      <c r="AL2921">
        <v>79.826990107637698</v>
      </c>
      <c r="AM2921">
        <v>84.586189077940404</v>
      </c>
      <c r="AN2921">
        <v>1.0000000036195</v>
      </c>
    </row>
    <row r="2922" spans="1:40" x14ac:dyDescent="0.25">
      <c r="A2922" t="str">
        <f>"20190303162606597"</f>
        <v>20190303162606597</v>
      </c>
      <c r="B2922" t="str">
        <f>"1551601566586478"</f>
        <v>1551601566586478</v>
      </c>
      <c r="C2922" t="s">
        <v>40</v>
      </c>
      <c r="D2922">
        <v>4.9076420000000001</v>
      </c>
      <c r="E2922">
        <v>0.52172159999999901</v>
      </c>
      <c r="F2922" t="s">
        <v>42</v>
      </c>
      <c r="G2922">
        <v>-254.22579999999999</v>
      </c>
      <c r="H2922">
        <v>0.88269390000000003</v>
      </c>
      <c r="I2922">
        <v>215.72919999999999</v>
      </c>
      <c r="J2922">
        <v>-254.6011</v>
      </c>
      <c r="K2922">
        <v>1.121556</v>
      </c>
      <c r="L2922">
        <v>215.82749999999999</v>
      </c>
      <c r="M2922">
        <v>0.99989300000000003</v>
      </c>
      <c r="N2922">
        <v>-1.367791E-2</v>
      </c>
      <c r="O2922">
        <v>5.2051249999999997E-3</v>
      </c>
      <c r="P2922">
        <v>0.98250979999999999</v>
      </c>
      <c r="Q2922">
        <v>0.16368239999999901</v>
      </c>
      <c r="R2922">
        <v>-8.8783819999999999E-2</v>
      </c>
      <c r="S2922">
        <v>3.1921080000000002</v>
      </c>
      <c r="T2922">
        <v>-1.0716289999999999</v>
      </c>
      <c r="U2922">
        <v>-0.43025210000000003</v>
      </c>
      <c r="V2922">
        <v>9.3680159999999998E-2</v>
      </c>
      <c r="W2922">
        <v>0.17721389999999901</v>
      </c>
      <c r="X2922">
        <v>0.97970369999999996</v>
      </c>
      <c r="Y2922">
        <v>0.13110250000000001</v>
      </c>
      <c r="Z2922">
        <v>-2.3879939999999999E-2</v>
      </c>
      <c r="AA2922">
        <v>0.9910812</v>
      </c>
      <c r="AB2922">
        <v>33</v>
      </c>
      <c r="AC2922">
        <v>0.37530000000001001</v>
      </c>
      <c r="AD2922">
        <v>-0.23886209999999999</v>
      </c>
      <c r="AE2922">
        <v>-9.8299999999994697E-2</v>
      </c>
      <c r="AF2922">
        <v>7.2695557772318606E-2</v>
      </c>
      <c r="AG2922">
        <v>-0.23886209999999999</v>
      </c>
      <c r="AH2922">
        <v>0.27176498440383801</v>
      </c>
      <c r="AI2922">
        <v>130.33380844637199</v>
      </c>
      <c r="AJ2922">
        <v>75.024325475862398</v>
      </c>
      <c r="AK2922">
        <v>0.36904735967658198</v>
      </c>
      <c r="AL2922">
        <v>79.792481176260097</v>
      </c>
      <c r="AM2922">
        <v>84.537932202605802</v>
      </c>
      <c r="AN2922">
        <v>1.0000000392622601</v>
      </c>
    </row>
    <row r="2923" spans="1:40" x14ac:dyDescent="0.25">
      <c r="A2923" t="str">
        <f>"20190303162606616"</f>
        <v>20190303162606616</v>
      </c>
      <c r="B2923" t="str">
        <f>"1551601566605998"</f>
        <v>1551601566605998</v>
      </c>
      <c r="C2923" t="s">
        <v>40</v>
      </c>
      <c r="D2923">
        <v>4.9508190000000001</v>
      </c>
      <c r="E2923">
        <v>0.52137659999999997</v>
      </c>
      <c r="F2923" t="s">
        <v>42</v>
      </c>
      <c r="G2923">
        <v>-253.92679999999999</v>
      </c>
      <c r="H2923">
        <v>0.89625350000000004</v>
      </c>
      <c r="I2923">
        <v>215.73679999999999</v>
      </c>
      <c r="J2923">
        <v>-254.31610000000001</v>
      </c>
      <c r="K2923">
        <v>1.1215630000000001</v>
      </c>
      <c r="L2923">
        <v>215.8295</v>
      </c>
      <c r="M2923">
        <v>0.99989019999999995</v>
      </c>
      <c r="N2923">
        <v>-1.3675349999999999E-2</v>
      </c>
      <c r="O2923">
        <v>5.7125250000000004E-3</v>
      </c>
      <c r="P2923">
        <v>0.98213450000000002</v>
      </c>
      <c r="Q2923">
        <v>0.16460239999999901</v>
      </c>
      <c r="R2923">
        <v>-9.1202839999999993E-2</v>
      </c>
      <c r="S2923">
        <v>3.1923680000000001</v>
      </c>
      <c r="T2923">
        <v>-1.0666599999999999</v>
      </c>
      <c r="U2923">
        <v>-0.42886350000000001</v>
      </c>
      <c r="V2923">
        <v>9.6594369999999999E-2</v>
      </c>
      <c r="W2923">
        <v>0.17812939999999999</v>
      </c>
      <c r="X2923">
        <v>0.97925450000000003</v>
      </c>
      <c r="Y2923">
        <v>0.131208399999999</v>
      </c>
      <c r="Z2923">
        <v>-2.3952640000000001E-2</v>
      </c>
      <c r="AA2923">
        <v>0.99106539999999999</v>
      </c>
      <c r="AB2923">
        <v>33</v>
      </c>
      <c r="AC2923">
        <v>0.38930000000002002</v>
      </c>
      <c r="AD2923">
        <v>-0.225309499999999</v>
      </c>
      <c r="AE2923">
        <v>-9.2700000000007707E-2</v>
      </c>
      <c r="AF2923">
        <v>7.2075698683749398E-2</v>
      </c>
      <c r="AG2923">
        <v>-0.225309499999999</v>
      </c>
      <c r="AH2923">
        <v>0.295192565751699</v>
      </c>
      <c r="AI2923">
        <v>126.556213025082</v>
      </c>
      <c r="AJ2923">
        <v>76.278839817478001</v>
      </c>
      <c r="AK2923">
        <v>0.37828286771419001</v>
      </c>
      <c r="AL2923">
        <v>79.739178076846201</v>
      </c>
      <c r="AM2923">
        <v>84.366527041803806</v>
      </c>
      <c r="AN2923">
        <v>0.99999996561515203</v>
      </c>
    </row>
    <row r="2924" spans="1:40" x14ac:dyDescent="0.25">
      <c r="A2924" t="str">
        <f>"20190303162606641"</f>
        <v>20190303162606641</v>
      </c>
      <c r="B2924" t="str">
        <f>"1551601566636253"</f>
        <v>1551601566636253</v>
      </c>
      <c r="C2924" t="s">
        <v>40</v>
      </c>
      <c r="D2924">
        <v>4.9936730000000003</v>
      </c>
      <c r="E2924">
        <v>0.52089799999999997</v>
      </c>
      <c r="F2924" t="s">
        <v>42</v>
      </c>
      <c r="G2924">
        <v>-253.63419999999999</v>
      </c>
      <c r="H2924">
        <v>0.89435409999999904</v>
      </c>
      <c r="I2924">
        <v>215.7364</v>
      </c>
      <c r="J2924">
        <v>-253.98009999999999</v>
      </c>
      <c r="K2924">
        <v>1.121567</v>
      </c>
      <c r="L2924">
        <v>215.8321</v>
      </c>
      <c r="M2924">
        <v>0.99988659999999996</v>
      </c>
      <c r="N2924">
        <v>-1.3672399999999999E-2</v>
      </c>
      <c r="O2924">
        <v>6.3106990000000003E-3</v>
      </c>
      <c r="P2924">
        <v>0.98172680000000001</v>
      </c>
      <c r="Q2924">
        <v>0.1655567</v>
      </c>
      <c r="R2924">
        <v>-9.3827140000000003E-2</v>
      </c>
      <c r="S2924">
        <v>3.1924440000000001</v>
      </c>
      <c r="T2924">
        <v>-1.063709</v>
      </c>
      <c r="U2924">
        <v>-0.43507390000000001</v>
      </c>
      <c r="V2924">
        <v>9.9802260000000004E-2</v>
      </c>
      <c r="W2924">
        <v>0.1790776</v>
      </c>
      <c r="X2924">
        <v>0.97875979999999996</v>
      </c>
      <c r="Y2924">
        <v>0.133573</v>
      </c>
      <c r="Z2924">
        <v>-2.447243E-2</v>
      </c>
      <c r="AA2924">
        <v>0.99073679999999997</v>
      </c>
      <c r="AB2924">
        <v>33</v>
      </c>
      <c r="AC2924">
        <v>0.34589999999999999</v>
      </c>
      <c r="AD2924">
        <v>-0.2272129</v>
      </c>
      <c r="AE2924">
        <v>-9.5699999999993596E-2</v>
      </c>
      <c r="AF2924">
        <v>6.9874983712931396E-2</v>
      </c>
      <c r="AG2924">
        <v>-0.2272129</v>
      </c>
      <c r="AH2924">
        <v>0.246493497714944</v>
      </c>
      <c r="AI2924">
        <v>131.56778143012201</v>
      </c>
      <c r="AJ2924">
        <v>74.173241095938593</v>
      </c>
      <c r="AK2924">
        <v>0.34244307511035998</v>
      </c>
      <c r="AL2924">
        <v>79.683962892763006</v>
      </c>
      <c r="AM2924">
        <v>84.177782399422895</v>
      </c>
      <c r="AN2924">
        <v>1.0000000120094501</v>
      </c>
    </row>
    <row r="2925" spans="1:40" x14ac:dyDescent="0.25">
      <c r="A2925" t="str">
        <f>"20190303162606658"</f>
        <v>20190303162606658</v>
      </c>
      <c r="B2925" t="str">
        <f>"1551601566646013"</f>
        <v>1551601566646013</v>
      </c>
      <c r="C2925" t="s">
        <v>40</v>
      </c>
      <c r="D2925">
        <v>5.019247</v>
      </c>
      <c r="E2925">
        <v>0.52072980000000002</v>
      </c>
      <c r="F2925" t="s">
        <v>42</v>
      </c>
      <c r="G2925">
        <v>-253.0772</v>
      </c>
      <c r="H2925">
        <v>0.82153180000000003</v>
      </c>
      <c r="I2925">
        <v>215.70740000000001</v>
      </c>
      <c r="J2925">
        <v>-253.7</v>
      </c>
      <c r="K2925">
        <v>1.121572</v>
      </c>
      <c r="L2925">
        <v>215.83439999999999</v>
      </c>
      <c r="M2925">
        <v>0.99988350000000004</v>
      </c>
      <c r="N2925">
        <v>-1.366997E-2</v>
      </c>
      <c r="O2925">
        <v>6.8092179999999997E-3</v>
      </c>
      <c r="P2925">
        <v>0.98123729999999998</v>
      </c>
      <c r="Q2925">
        <v>0.1669079</v>
      </c>
      <c r="R2925">
        <v>-9.6518409999999999E-2</v>
      </c>
      <c r="S2925">
        <v>3.192688</v>
      </c>
      <c r="T2925">
        <v>-1.060956</v>
      </c>
      <c r="U2925">
        <v>-0.44003300000000001</v>
      </c>
      <c r="V2925">
        <v>0.10297770000000001</v>
      </c>
      <c r="W2925">
        <v>0.1804229</v>
      </c>
      <c r="X2925">
        <v>0.97818360000000004</v>
      </c>
      <c r="Y2925">
        <v>0.1354785</v>
      </c>
      <c r="Z2925">
        <v>-2.4884670000000001E-2</v>
      </c>
      <c r="AA2925">
        <v>0.99046769999999995</v>
      </c>
      <c r="AB2925">
        <v>33</v>
      </c>
      <c r="AC2925">
        <v>0.62279999999998303</v>
      </c>
      <c r="AD2925">
        <v>-0.30004019999999898</v>
      </c>
      <c r="AE2925">
        <v>-0.12699999999998099</v>
      </c>
      <c r="AF2925">
        <v>0.107323620024175</v>
      </c>
      <c r="AG2925">
        <v>-0.30004019999999898</v>
      </c>
      <c r="AH2925">
        <v>0.50859250930576805</v>
      </c>
      <c r="AI2925">
        <v>119.994841592163</v>
      </c>
      <c r="AJ2925">
        <v>78.084212866155198</v>
      </c>
      <c r="AK2925">
        <v>0.60017399273299998</v>
      </c>
      <c r="AL2925">
        <v>79.605606424148206</v>
      </c>
      <c r="AM2925">
        <v>83.990356489179405</v>
      </c>
      <c r="AN2925">
        <v>0.99999999242533</v>
      </c>
    </row>
    <row r="2926" spans="1:40" x14ac:dyDescent="0.25">
      <c r="A2926" t="str">
        <f>"20190303162606685"</f>
        <v>20190303162606685</v>
      </c>
      <c r="B2926" t="str">
        <f>"1551601566676269"</f>
        <v>1551601566676269</v>
      </c>
      <c r="C2926" t="s">
        <v>40</v>
      </c>
      <c r="D2926">
        <v>4.9739959999999996</v>
      </c>
      <c r="E2926">
        <v>0.52047100000000002</v>
      </c>
      <c r="F2926" t="s">
        <v>42</v>
      </c>
      <c r="G2926">
        <v>-252.78550000000001</v>
      </c>
      <c r="H2926">
        <v>0.81878709999999999</v>
      </c>
      <c r="I2926">
        <v>215.70590000000001</v>
      </c>
      <c r="J2926">
        <v>-253.32320000000001</v>
      </c>
      <c r="K2926">
        <v>1.1215790000000001</v>
      </c>
      <c r="L2926">
        <v>215.83770000000001</v>
      </c>
      <c r="M2926">
        <v>0.99987859999999995</v>
      </c>
      <c r="N2926">
        <v>-1.366534E-2</v>
      </c>
      <c r="O2926">
        <v>7.4804119999999997E-3</v>
      </c>
      <c r="P2926">
        <v>0.98070279999999999</v>
      </c>
      <c r="Q2926">
        <v>0.1684283</v>
      </c>
      <c r="R2926">
        <v>-9.9266389999999996E-2</v>
      </c>
      <c r="S2926">
        <v>3.193085</v>
      </c>
      <c r="T2926">
        <v>-1.0572520000000001</v>
      </c>
      <c r="U2926">
        <v>-0.44854739999999999</v>
      </c>
      <c r="V2926">
        <v>0.106378399999999</v>
      </c>
      <c r="W2926">
        <v>0.18193380000000001</v>
      </c>
      <c r="X2926">
        <v>0.97753970000000001</v>
      </c>
      <c r="Y2926">
        <v>0.1385719</v>
      </c>
      <c r="Z2926">
        <v>-2.552285E-2</v>
      </c>
      <c r="AA2926">
        <v>0.9900234</v>
      </c>
      <c r="AB2926">
        <v>33</v>
      </c>
      <c r="AC2926">
        <v>0.53770000000000095</v>
      </c>
      <c r="AD2926">
        <v>-0.3027919</v>
      </c>
      <c r="AE2926">
        <v>-0.131799999999998</v>
      </c>
      <c r="AF2926">
        <v>0.104545567261947</v>
      </c>
      <c r="AG2926">
        <v>-0.3027919</v>
      </c>
      <c r="AH2926">
        <v>0.41311992164186701</v>
      </c>
      <c r="AI2926">
        <v>125.395340271801</v>
      </c>
      <c r="AJ2926">
        <v>75.7986761853019</v>
      </c>
      <c r="AK2926">
        <v>0.52276264212079604</v>
      </c>
      <c r="AL2926">
        <v>79.517582234258697</v>
      </c>
      <c r="AM2926">
        <v>83.789364234757102</v>
      </c>
      <c r="AN2926">
        <v>1.0000000683225401</v>
      </c>
    </row>
    <row r="2927" spans="1:40" x14ac:dyDescent="0.25">
      <c r="A2927" t="str">
        <f>"20190303162606710"</f>
        <v>20190303162606710</v>
      </c>
      <c r="B2927" t="str">
        <f>"1551601566696765"</f>
        <v>1551601566696765</v>
      </c>
      <c r="C2927" t="s">
        <v>40</v>
      </c>
      <c r="D2927">
        <v>4.9994300000000003</v>
      </c>
      <c r="E2927">
        <v>0.52071520000000004</v>
      </c>
      <c r="F2927" t="s">
        <v>42</v>
      </c>
      <c r="G2927">
        <v>-252.4829</v>
      </c>
      <c r="H2927">
        <v>0.84443060000000003</v>
      </c>
      <c r="I2927">
        <v>215.71729999999999</v>
      </c>
      <c r="J2927">
        <v>-252.95359999999999</v>
      </c>
      <c r="K2927">
        <v>1.1215889999999999</v>
      </c>
      <c r="L2927">
        <v>215.84119999999999</v>
      </c>
      <c r="M2927">
        <v>0.99987360000000003</v>
      </c>
      <c r="N2927">
        <v>-1.365213E-2</v>
      </c>
      <c r="O2927">
        <v>8.1397440000000008E-3</v>
      </c>
      <c r="P2927">
        <v>0.97999040000000004</v>
      </c>
      <c r="Q2927">
        <v>0.170781399999999</v>
      </c>
      <c r="R2927">
        <v>-0.1022376</v>
      </c>
      <c r="S2927">
        <v>3.193695</v>
      </c>
      <c r="T2927">
        <v>-1.05332</v>
      </c>
      <c r="U2927">
        <v>-0.45655820000000003</v>
      </c>
      <c r="V2927">
        <v>0.1099874</v>
      </c>
      <c r="W2927">
        <v>0.18426690000000001</v>
      </c>
      <c r="X2927">
        <v>0.97670290000000004</v>
      </c>
      <c r="Y2927">
        <v>0.14150399999999999</v>
      </c>
      <c r="Z2927">
        <v>-2.6118100000000002E-2</v>
      </c>
      <c r="AA2927">
        <v>0.9895931</v>
      </c>
      <c r="AB2927">
        <v>33</v>
      </c>
      <c r="AC2927">
        <v>0.47069999999999301</v>
      </c>
      <c r="AD2927">
        <v>-0.27715839999999903</v>
      </c>
      <c r="AE2927">
        <v>-0.123899999999991</v>
      </c>
      <c r="AF2927">
        <v>9.6453173217867894E-2</v>
      </c>
      <c r="AG2927">
        <v>-0.27715839999999903</v>
      </c>
      <c r="AH2927">
        <v>0.35467440369560799</v>
      </c>
      <c r="AI2927">
        <v>127.018425011896</v>
      </c>
      <c r="AJ2927">
        <v>74.786420615911595</v>
      </c>
      <c r="AK2927">
        <v>0.46034109739538898</v>
      </c>
      <c r="AL2927">
        <v>79.381606314437803</v>
      </c>
      <c r="AM2927">
        <v>83.574938230589794</v>
      </c>
      <c r="AN2927">
        <v>1.0000000367313799</v>
      </c>
    </row>
    <row r="2928" spans="1:40" x14ac:dyDescent="0.25">
      <c r="A2928" t="str">
        <f>"20190303162606736"</f>
        <v>20190303162606736</v>
      </c>
      <c r="B2928" t="str">
        <f>"1551601566726045"</f>
        <v>1551601566726045</v>
      </c>
      <c r="C2928" t="s">
        <v>40</v>
      </c>
      <c r="D2928">
        <v>5.0613039999999998</v>
      </c>
      <c r="E2928">
        <v>0.53272559999999902</v>
      </c>
      <c r="F2928" t="s">
        <v>42</v>
      </c>
      <c r="G2928">
        <v>-252.1788</v>
      </c>
      <c r="H2928">
        <v>0.87340200000000001</v>
      </c>
      <c r="I2928">
        <v>215.727</v>
      </c>
      <c r="J2928">
        <v>-252.56489999999999</v>
      </c>
      <c r="K2928">
        <v>1.1215919999999999</v>
      </c>
      <c r="L2928">
        <v>215.845</v>
      </c>
      <c r="M2928">
        <v>0.99986830000000004</v>
      </c>
      <c r="N2928">
        <v>-1.362879E-2</v>
      </c>
      <c r="O2928">
        <v>8.8321719999999992E-3</v>
      </c>
      <c r="P2928">
        <v>0.97937859999999999</v>
      </c>
      <c r="Q2928">
        <v>0.1723635</v>
      </c>
      <c r="R2928">
        <v>-0.1053979</v>
      </c>
      <c r="S2928">
        <v>3.190369</v>
      </c>
      <c r="T2928">
        <v>-1.022022</v>
      </c>
      <c r="U2928">
        <v>-0.46961979999999998</v>
      </c>
      <c r="V2928">
        <v>0.113818</v>
      </c>
      <c r="W2928">
        <v>0.18582080000000001</v>
      </c>
      <c r="X2928">
        <v>0.97596930000000004</v>
      </c>
      <c r="Y2928">
        <v>0.14645820000000001</v>
      </c>
      <c r="Z2928">
        <v>-2.643013E-2</v>
      </c>
      <c r="AA2928">
        <v>0.98886370000000001</v>
      </c>
      <c r="AB2928">
        <v>33</v>
      </c>
      <c r="AC2928">
        <v>0.386099999999998</v>
      </c>
      <c r="AD2928">
        <v>-0.24818999999999899</v>
      </c>
      <c r="AE2928">
        <v>-0.117999999999994</v>
      </c>
      <c r="AF2928">
        <v>8.8108667549073094E-2</v>
      </c>
      <c r="AG2928">
        <v>-0.24818999999999899</v>
      </c>
      <c r="AH2928">
        <v>0.27943961789957</v>
      </c>
      <c r="AI2928">
        <v>130.26665769784501</v>
      </c>
      <c r="AJ2928">
        <v>72.499683987428895</v>
      </c>
      <c r="AK2928">
        <v>0.38398947049252602</v>
      </c>
      <c r="AL2928">
        <v>79.291009319404495</v>
      </c>
      <c r="AM2928">
        <v>83.348186210264302</v>
      </c>
      <c r="AN2928">
        <v>0.99999999068956502</v>
      </c>
    </row>
    <row r="2929" spans="1:40" x14ac:dyDescent="0.25">
      <c r="A2929" t="str">
        <f>"20190303162606770"</f>
        <v>20190303162606770</v>
      </c>
      <c r="B2929" t="str">
        <f>"1551601566756302"</f>
        <v>1551601566756302</v>
      </c>
      <c r="C2929" t="s">
        <v>40</v>
      </c>
      <c r="D2929">
        <v>5.0634810000000003</v>
      </c>
      <c r="E2929">
        <v>0.53386389999999995</v>
      </c>
      <c r="F2929" t="s">
        <v>48</v>
      </c>
      <c r="G2929">
        <v>-228.75</v>
      </c>
      <c r="H2929" s="1">
        <v>3.2636570000000001E-6</v>
      </c>
      <c r="I2929">
        <v>211.3192</v>
      </c>
      <c r="J2929">
        <v>-252.0626</v>
      </c>
      <c r="K2929">
        <v>1.1215889999999999</v>
      </c>
      <c r="L2929">
        <v>215.85050000000001</v>
      </c>
      <c r="M2929">
        <v>0.99986030000000004</v>
      </c>
      <c r="N2929">
        <v>-1.359615E-2</v>
      </c>
      <c r="O2929">
        <v>9.7252160000000001E-3</v>
      </c>
      <c r="P2929">
        <v>0.97887679999999999</v>
      </c>
      <c r="Q2929">
        <v>0.17364160000000001</v>
      </c>
      <c r="R2929">
        <v>-0.1079307</v>
      </c>
      <c r="S2929">
        <v>3.0263520000000002</v>
      </c>
      <c r="T2929">
        <v>-0.1425294</v>
      </c>
      <c r="U2929">
        <v>-0.57513429999999999</v>
      </c>
      <c r="V2929">
        <v>0.11721810000000001</v>
      </c>
      <c r="W2929">
        <v>0.18706320000000001</v>
      </c>
      <c r="X2929">
        <v>0.97532929999999995</v>
      </c>
      <c r="Y2929">
        <v>0.19596939999999999</v>
      </c>
      <c r="Z2929">
        <v>-6.2391520000000004E-3</v>
      </c>
      <c r="AA2929">
        <v>0.98059019999999997</v>
      </c>
      <c r="AB2929">
        <v>33</v>
      </c>
      <c r="AC2929">
        <v>23.3126</v>
      </c>
      <c r="AD2929">
        <v>-1.121585736343</v>
      </c>
      <c r="AE2929">
        <v>-4.5313000000000097</v>
      </c>
      <c r="AF2929">
        <v>4.7472385643344497</v>
      </c>
      <c r="AG2929">
        <v>-1.121585736343</v>
      </c>
      <c r="AH2929">
        <v>23.215645748290601</v>
      </c>
      <c r="AI2929">
        <v>92.709912464234193</v>
      </c>
      <c r="AJ2929">
        <v>78.443224153627597</v>
      </c>
      <c r="AK2929">
        <v>23.7225722901374</v>
      </c>
      <c r="AL2929">
        <v>79.218554536609403</v>
      </c>
      <c r="AM2929">
        <v>83.146884808305899</v>
      </c>
      <c r="AN2929">
        <v>0.99999998360016895</v>
      </c>
    </row>
    <row r="2930" spans="1:40" x14ac:dyDescent="0.25">
      <c r="A2930" t="str">
        <f>"20190303162606788"</f>
        <v>20190303162606788</v>
      </c>
      <c r="B2930" t="str">
        <f>"1551601566776798"</f>
        <v>1551601566776798</v>
      </c>
      <c r="C2930" t="s">
        <v>40</v>
      </c>
      <c r="D2930">
        <v>5.0761890000000003</v>
      </c>
      <c r="E2930">
        <v>0.53392150000000005</v>
      </c>
      <c r="F2930" t="s">
        <v>48</v>
      </c>
      <c r="G2930">
        <v>-225.7911</v>
      </c>
      <c r="H2930" s="1">
        <v>1.716093E-6</v>
      </c>
      <c r="I2930">
        <v>210.70070000000001</v>
      </c>
      <c r="J2930">
        <v>-251.809</v>
      </c>
      <c r="K2930">
        <v>1.121583</v>
      </c>
      <c r="L2930">
        <v>215.8535</v>
      </c>
      <c r="M2930">
        <v>0.99985610000000003</v>
      </c>
      <c r="N2930">
        <v>-1.3580500000000001E-2</v>
      </c>
      <c r="O2930">
        <v>1.017649E-2</v>
      </c>
      <c r="P2930">
        <v>0.97839189999999998</v>
      </c>
      <c r="Q2930">
        <v>0.174708</v>
      </c>
      <c r="R2930">
        <v>-0.1105729</v>
      </c>
      <c r="S2930">
        <v>3.0223080000000002</v>
      </c>
      <c r="T2930">
        <v>-0.1290287</v>
      </c>
      <c r="U2930">
        <v>-0.59243769999999996</v>
      </c>
      <c r="V2930">
        <v>0.1202956</v>
      </c>
      <c r="W2930">
        <v>0.18811</v>
      </c>
      <c r="X2930">
        <v>0.97475310000000004</v>
      </c>
      <c r="Y2930">
        <v>0.20209840000000001</v>
      </c>
      <c r="Z2930">
        <v>-5.9509849999999998E-3</v>
      </c>
      <c r="AA2930">
        <v>0.97934719999999997</v>
      </c>
      <c r="AB2930">
        <v>33</v>
      </c>
      <c r="AC2930">
        <v>26.017900000000001</v>
      </c>
      <c r="AD2930">
        <v>-1.1215812839070001</v>
      </c>
      <c r="AE2930">
        <v>-5.1527999999999796</v>
      </c>
      <c r="AF2930">
        <v>5.4076586197832803</v>
      </c>
      <c r="AG2930">
        <v>-1.1215812839070001</v>
      </c>
      <c r="AH2930">
        <v>25.917764941115699</v>
      </c>
      <c r="AI2930">
        <v>92.425733331572204</v>
      </c>
      <c r="AJ2930">
        <v>78.214499138456503</v>
      </c>
      <c r="AK2930">
        <v>26.4996463347617</v>
      </c>
      <c r="AL2930">
        <v>79.1574935883026</v>
      </c>
      <c r="AM2930">
        <v>82.964623459840993</v>
      </c>
      <c r="AN2930">
        <v>1.0000000047194799</v>
      </c>
    </row>
    <row r="2931" spans="1:40" x14ac:dyDescent="0.25">
      <c r="A2931" t="str">
        <f>"20190303162606806"</f>
        <v>20190303162606806</v>
      </c>
      <c r="B2931" t="str">
        <f>"1551601566796317"</f>
        <v>1551601566796317</v>
      </c>
      <c r="C2931" t="s">
        <v>40</v>
      </c>
      <c r="D2931">
        <v>5.0959110000000001</v>
      </c>
      <c r="E2931">
        <v>0.53383789999999998</v>
      </c>
      <c r="F2931" t="s">
        <v>48</v>
      </c>
      <c r="G2931">
        <v>-225.7407</v>
      </c>
      <c r="H2931" s="1">
        <v>1.6912710000000001E-6</v>
      </c>
      <c r="I2931">
        <v>210.6549</v>
      </c>
      <c r="J2931">
        <v>-251.55719999999999</v>
      </c>
      <c r="K2931">
        <v>1.121578</v>
      </c>
      <c r="L2931">
        <v>215.85650000000001</v>
      </c>
      <c r="M2931">
        <v>0.9998515</v>
      </c>
      <c r="N2931">
        <v>-1.356397E-2</v>
      </c>
      <c r="O2931">
        <v>1.06255E-2</v>
      </c>
      <c r="P2931">
        <v>0.97816780000000003</v>
      </c>
      <c r="Q2931">
        <v>0.1751685</v>
      </c>
      <c r="R2931">
        <v>-0.1118214</v>
      </c>
      <c r="S2931">
        <v>3.0213619999999999</v>
      </c>
      <c r="T2931">
        <v>-0.12999330000000001</v>
      </c>
      <c r="U2931">
        <v>-0.60252380000000005</v>
      </c>
      <c r="V2931">
        <v>0.1219803</v>
      </c>
      <c r="W2931">
        <v>0.1885521</v>
      </c>
      <c r="X2931">
        <v>0.9744583</v>
      </c>
      <c r="Y2931">
        <v>0.20573330000000001</v>
      </c>
      <c r="Z2931">
        <v>-6.1004329999999997E-3</v>
      </c>
      <c r="AA2931">
        <v>0.97858909999999999</v>
      </c>
      <c r="AB2931">
        <v>33</v>
      </c>
      <c r="AC2931">
        <v>25.816499999999898</v>
      </c>
      <c r="AD2931">
        <v>-1.121576308729</v>
      </c>
      <c r="AE2931">
        <v>-5.2016000000000098</v>
      </c>
      <c r="AF2931">
        <v>5.4657312255658699</v>
      </c>
      <c r="AG2931">
        <v>-1.121576308729</v>
      </c>
      <c r="AH2931">
        <v>25.713130078174</v>
      </c>
      <c r="AI2931">
        <v>92.443074881296099</v>
      </c>
      <c r="AJ2931">
        <v>77.999495355417395</v>
      </c>
      <c r="AK2931">
        <v>26.311541377568901</v>
      </c>
      <c r="AL2931">
        <v>79.131701905373504</v>
      </c>
      <c r="AM2931">
        <v>82.864967658894798</v>
      </c>
      <c r="AN2931">
        <v>1.00000003322069</v>
      </c>
    </row>
    <row r="2932" spans="1:40" x14ac:dyDescent="0.25">
      <c r="A2932" t="str">
        <f>"20190303162606834"</f>
        <v>20190303162606834</v>
      </c>
      <c r="B2932" t="str">
        <f>"1551601566826574"</f>
        <v>1551601566826574</v>
      </c>
      <c r="C2932" t="s">
        <v>40</v>
      </c>
      <c r="D2932">
        <v>5.1413419999999999</v>
      </c>
      <c r="E2932">
        <v>0.53348109999999904</v>
      </c>
      <c r="F2932" t="s">
        <v>48</v>
      </c>
      <c r="G2932">
        <v>-225.61760000000001</v>
      </c>
      <c r="H2932" s="1">
        <v>1.6257660000000001E-6</v>
      </c>
      <c r="I2932">
        <v>210.65539999999999</v>
      </c>
      <c r="J2932">
        <v>-251.13239999999999</v>
      </c>
      <c r="K2932">
        <v>1.12157</v>
      </c>
      <c r="L2932">
        <v>215.86189999999999</v>
      </c>
      <c r="M2932">
        <v>0.9998437</v>
      </c>
      <c r="N2932">
        <v>-1.353128E-2</v>
      </c>
      <c r="O2932">
        <v>1.138394E-2</v>
      </c>
      <c r="P2932">
        <v>0.97821020000000003</v>
      </c>
      <c r="Q2932">
        <v>0.17462269999999999</v>
      </c>
      <c r="R2932">
        <v>-0.11230179999999999</v>
      </c>
      <c r="S2932">
        <v>3.0210720000000002</v>
      </c>
      <c r="T2932">
        <v>-0.13062499999999999</v>
      </c>
      <c r="U2932">
        <v>-0.60574340000000004</v>
      </c>
      <c r="V2932">
        <v>0.1232036</v>
      </c>
      <c r="W2932">
        <v>0.18797459999999999</v>
      </c>
      <c r="X2932">
        <v>0.97441599999999995</v>
      </c>
      <c r="Y2932">
        <v>0.2074917</v>
      </c>
      <c r="Z2932">
        <v>-6.1929280000000003E-3</v>
      </c>
      <c r="AA2932">
        <v>0.97821720000000001</v>
      </c>
      <c r="AB2932">
        <v>33</v>
      </c>
      <c r="AC2932">
        <v>25.514799999999902</v>
      </c>
      <c r="AD2932">
        <v>-1.1215683742339999</v>
      </c>
      <c r="AE2932">
        <v>-5.2065000000000001</v>
      </c>
      <c r="AF2932">
        <v>5.4864705543321604</v>
      </c>
      <c r="AG2932">
        <v>-1.1215683742339999</v>
      </c>
      <c r="AH2932">
        <v>25.4067403267081</v>
      </c>
      <c r="AI2932">
        <v>92.470773977754902</v>
      </c>
      <c r="AJ2932">
        <v>77.814351741238099</v>
      </c>
      <c r="AK2932">
        <v>26.016566429688801</v>
      </c>
      <c r="AL2932">
        <v>79.165392940417306</v>
      </c>
      <c r="AM2932">
        <v>82.793851729223604</v>
      </c>
      <c r="AN2932">
        <v>1.0000000591770499</v>
      </c>
    </row>
    <row r="2933" spans="1:40" x14ac:dyDescent="0.25">
      <c r="A2933" t="str">
        <f>"20190303162606855"</f>
        <v>20190303162606855</v>
      </c>
      <c r="B2933" t="str">
        <f>"1551601566847070"</f>
        <v>1551601566847070</v>
      </c>
      <c r="C2933" t="s">
        <v>40</v>
      </c>
      <c r="D2933">
        <v>5.1111149999999999</v>
      </c>
      <c r="E2933">
        <v>0.53313669999999902</v>
      </c>
      <c r="F2933" t="s">
        <v>48</v>
      </c>
      <c r="G2933">
        <v>-227.23349999999999</v>
      </c>
      <c r="H2933" s="1">
        <v>2.466728E-6</v>
      </c>
      <c r="I2933">
        <v>211.08860000000001</v>
      </c>
      <c r="J2933">
        <v>-250.82640000000001</v>
      </c>
      <c r="K2933">
        <v>1.1215710000000001</v>
      </c>
      <c r="L2933">
        <v>215.86600000000001</v>
      </c>
      <c r="M2933">
        <v>0.99983759999999999</v>
      </c>
      <c r="N2933">
        <v>-1.350706E-2</v>
      </c>
      <c r="O2933">
        <v>1.1929789999999999E-2</v>
      </c>
      <c r="P2933">
        <v>0.97837640000000003</v>
      </c>
      <c r="Q2933">
        <v>0.17409839999999999</v>
      </c>
      <c r="R2933">
        <v>-0.11166710000000001</v>
      </c>
      <c r="S2933">
        <v>3.0228419999999998</v>
      </c>
      <c r="T2933">
        <v>-0.14186119999999999</v>
      </c>
      <c r="U2933">
        <v>-0.60374450000000002</v>
      </c>
      <c r="V2933">
        <v>0.1231051</v>
      </c>
      <c r="W2933">
        <v>0.1874276</v>
      </c>
      <c r="X2933">
        <v>0.97453369999999995</v>
      </c>
      <c r="Y2933">
        <v>0.20725379999999999</v>
      </c>
      <c r="Z2933">
        <v>-6.622246E-3</v>
      </c>
      <c r="AA2933">
        <v>0.97826480000000005</v>
      </c>
      <c r="AB2933">
        <v>33</v>
      </c>
      <c r="AC2933">
        <v>23.5929</v>
      </c>
      <c r="AD2933">
        <v>-1.12156853327199</v>
      </c>
      <c r="AE2933">
        <v>-4.7773999999999699</v>
      </c>
      <c r="AF2933">
        <v>5.0475862599701999</v>
      </c>
      <c r="AG2933">
        <v>-1.12156853327199</v>
      </c>
      <c r="AH2933">
        <v>23.483242767817401</v>
      </c>
      <c r="AI2933">
        <v>92.673421766979999</v>
      </c>
      <c r="AJ2933">
        <v>77.869177042018407</v>
      </c>
      <c r="AK2933">
        <v>24.0457633257694</v>
      </c>
      <c r="AL2933">
        <v>79.197299679997798</v>
      </c>
      <c r="AM2933">
        <v>82.800412991425901</v>
      </c>
      <c r="AN2933">
        <v>0.99999995166172795</v>
      </c>
    </row>
    <row r="2934" spans="1:40" x14ac:dyDescent="0.25">
      <c r="A2934" t="str">
        <f>"20190303162606876"</f>
        <v>20190303162606876</v>
      </c>
      <c r="B2934" t="str">
        <f>"1551601566866590"</f>
        <v>1551601566866590</v>
      </c>
      <c r="C2934" t="s">
        <v>40</v>
      </c>
      <c r="D2934">
        <v>5.1122880000000004</v>
      </c>
      <c r="E2934">
        <v>0.53294379999999997</v>
      </c>
      <c r="F2934" t="s">
        <v>48</v>
      </c>
      <c r="G2934">
        <v>-227.92830000000001</v>
      </c>
      <c r="H2934" s="1">
        <v>2.825858E-6</v>
      </c>
      <c r="I2934">
        <v>211.3313</v>
      </c>
      <c r="J2934">
        <v>-250.54050000000001</v>
      </c>
      <c r="K2934">
        <v>1.12157</v>
      </c>
      <c r="L2934">
        <v>215.8699</v>
      </c>
      <c r="M2934">
        <v>0.99983180000000005</v>
      </c>
      <c r="N2934">
        <v>-1.3485479999999999E-2</v>
      </c>
      <c r="O2934">
        <v>1.243958E-2</v>
      </c>
      <c r="P2934">
        <v>0.97853069999999998</v>
      </c>
      <c r="Q2934">
        <v>0.17423250000000001</v>
      </c>
      <c r="R2934">
        <v>-0.110095899999999</v>
      </c>
      <c r="S2934">
        <v>3.024292</v>
      </c>
      <c r="T2934">
        <v>-0.1481326</v>
      </c>
      <c r="U2934">
        <v>-0.59892270000000003</v>
      </c>
      <c r="V2934">
        <v>0.122034199999999</v>
      </c>
      <c r="W2934">
        <v>0.18754090000000001</v>
      </c>
      <c r="X2934">
        <v>0.97464660000000003</v>
      </c>
      <c r="Y2934">
        <v>0.20614009999999999</v>
      </c>
      <c r="Z2934">
        <v>-6.8386469999999998E-3</v>
      </c>
      <c r="AA2934">
        <v>0.9784986</v>
      </c>
      <c r="AB2934">
        <v>33</v>
      </c>
      <c r="AC2934">
        <v>22.612200000000001</v>
      </c>
      <c r="AD2934">
        <v>-1.1215671741419999</v>
      </c>
      <c r="AE2934">
        <v>-4.5385999999999997</v>
      </c>
      <c r="AF2934">
        <v>4.8081897148673001</v>
      </c>
      <c r="AG2934">
        <v>-1.1215671741419999</v>
      </c>
      <c r="AH2934">
        <v>22.500774676782999</v>
      </c>
      <c r="AI2934">
        <v>92.790685377100999</v>
      </c>
      <c r="AJ2934">
        <v>77.937882353910297</v>
      </c>
      <c r="AK2934">
        <v>23.036090430357898</v>
      </c>
      <c r="AL2934">
        <v>79.190691024088295</v>
      </c>
      <c r="AM2934">
        <v>82.863212241163296</v>
      </c>
      <c r="AN2934">
        <v>0.99999996501700394</v>
      </c>
    </row>
    <row r="2935" spans="1:40" x14ac:dyDescent="0.25">
      <c r="A2935" t="str">
        <f>"20190303162606902"</f>
        <v>20190303162606902</v>
      </c>
      <c r="B2935" t="str">
        <f>"1551601566895870"</f>
        <v>1551601566895870</v>
      </c>
      <c r="C2935" t="s">
        <v>40</v>
      </c>
      <c r="D2935">
        <v>5.123615</v>
      </c>
      <c r="E2935">
        <v>0.53269609999999901</v>
      </c>
      <c r="F2935" t="s">
        <v>48</v>
      </c>
      <c r="G2935">
        <v>-228.11600000000001</v>
      </c>
      <c r="H2935" s="1">
        <v>2.919326E-6</v>
      </c>
      <c r="I2935">
        <v>211.47749999999999</v>
      </c>
      <c r="J2935">
        <v>-250.15610000000001</v>
      </c>
      <c r="K2935">
        <v>1.1215679999999999</v>
      </c>
      <c r="L2935">
        <v>215.87549999999999</v>
      </c>
      <c r="M2935">
        <v>0.99982329999999997</v>
      </c>
      <c r="N2935">
        <v>-1.345287E-2</v>
      </c>
      <c r="O2935">
        <v>1.3125309999999999E-2</v>
      </c>
      <c r="P2935">
        <v>0.97873399999999999</v>
      </c>
      <c r="Q2935">
        <v>0.17451800000000001</v>
      </c>
      <c r="R2935">
        <v>-0.107811</v>
      </c>
      <c r="S2935">
        <v>3.026062</v>
      </c>
      <c r="T2935">
        <v>-0.15134919999999999</v>
      </c>
      <c r="U2935">
        <v>-0.59272769999999997</v>
      </c>
      <c r="V2935">
        <v>0.1204226</v>
      </c>
      <c r="W2935">
        <v>0.1877943</v>
      </c>
      <c r="X2935">
        <v>0.97479830000000001</v>
      </c>
      <c r="Y2935">
        <v>0.2047631</v>
      </c>
      <c r="Z2935">
        <v>-6.9360699999999999E-3</v>
      </c>
      <c r="AA2935">
        <v>0.97878699999999996</v>
      </c>
      <c r="AB2935">
        <v>33</v>
      </c>
      <c r="AC2935">
        <v>22.040099999999999</v>
      </c>
      <c r="AD2935">
        <v>-1.1215650806739901</v>
      </c>
      <c r="AE2935">
        <v>-4.3979999999999899</v>
      </c>
      <c r="AF2935">
        <v>4.6752872194761297</v>
      </c>
      <c r="AG2935">
        <v>-1.1215650806739901</v>
      </c>
      <c r="AH2935">
        <v>21.925867185520499</v>
      </c>
      <c r="AI2935">
        <v>92.864000555078604</v>
      </c>
      <c r="AJ2935">
        <v>77.963001436233199</v>
      </c>
      <c r="AK2935">
        <v>22.446823175047999</v>
      </c>
      <c r="AL2935">
        <v>79.175910179504498</v>
      </c>
      <c r="AM2935">
        <v>82.957593814985401</v>
      </c>
      <c r="AN2935">
        <v>1.00000001369307</v>
      </c>
    </row>
    <row r="2936" spans="1:40" x14ac:dyDescent="0.25">
      <c r="A2936" t="str">
        <f>"20190303162606925"</f>
        <v>20190303162606925</v>
      </c>
      <c r="B2936" t="str">
        <f>"1551601566916366"</f>
        <v>1551601566916366</v>
      </c>
      <c r="C2936" t="s">
        <v>40</v>
      </c>
      <c r="D2936">
        <v>5.1343949999999996</v>
      </c>
      <c r="E2936">
        <v>0.53246959999999999</v>
      </c>
      <c r="F2936" t="s">
        <v>48</v>
      </c>
      <c r="G2936">
        <v>-228.37440000000001</v>
      </c>
      <c r="H2936" s="1">
        <v>3.0480350000000002E-6</v>
      </c>
      <c r="I2936">
        <v>211.6789</v>
      </c>
      <c r="J2936">
        <v>-249.8192</v>
      </c>
      <c r="K2936">
        <v>1.1215679999999999</v>
      </c>
      <c r="L2936">
        <v>215.88059999999999</v>
      </c>
      <c r="M2936">
        <v>0.99981580000000003</v>
      </c>
      <c r="N2936">
        <v>-1.3422180000000001E-2</v>
      </c>
      <c r="O2936">
        <v>1.372628E-2</v>
      </c>
      <c r="P2936">
        <v>0.97895019999999999</v>
      </c>
      <c r="Q2936">
        <v>0.17471329999999999</v>
      </c>
      <c r="R2936">
        <v>-0.1055072</v>
      </c>
      <c r="S2936">
        <v>3.0286870000000001</v>
      </c>
      <c r="T2936">
        <v>-0.15595049999999999</v>
      </c>
      <c r="U2936">
        <v>-0.58352660000000001</v>
      </c>
      <c r="V2936">
        <v>0.1187091</v>
      </c>
      <c r="W2936">
        <v>0.18795970000000001</v>
      </c>
      <c r="X2936">
        <v>0.97497659999999997</v>
      </c>
      <c r="Y2936">
        <v>0.2023113</v>
      </c>
      <c r="Z2936">
        <v>-7.0467819999999997E-3</v>
      </c>
      <c r="AA2936">
        <v>0.9792959</v>
      </c>
      <c r="AB2936">
        <v>33</v>
      </c>
      <c r="AC2936">
        <v>21.444799999999901</v>
      </c>
      <c r="AD2936">
        <v>-1.1215649519649999</v>
      </c>
      <c r="AE2936">
        <v>-4.2016999999999802</v>
      </c>
      <c r="AF2936">
        <v>4.4838765852884697</v>
      </c>
      <c r="AG2936">
        <v>-1.1215649519649999</v>
      </c>
      <c r="AH2936">
        <v>21.328916303196699</v>
      </c>
      <c r="AI2936">
        <v>92.945809314018007</v>
      </c>
      <c r="AJ2936">
        <v>78.127861129386403</v>
      </c>
      <c r="AK2936">
        <v>21.823971403993902</v>
      </c>
      <c r="AL2936">
        <v>79.166261874478906</v>
      </c>
      <c r="AM2936">
        <v>83.058072872694396</v>
      </c>
      <c r="AN2936">
        <v>1.00000003489722</v>
      </c>
    </row>
    <row r="2937" spans="1:40" x14ac:dyDescent="0.25">
      <c r="A2937" t="str">
        <f>"20190303162606945"</f>
        <v>20190303162606945</v>
      </c>
      <c r="B2937" t="str">
        <f>"1551601566935886"</f>
        <v>1551601566935886</v>
      </c>
      <c r="C2937" t="s">
        <v>40</v>
      </c>
      <c r="D2937">
        <v>5.1148119999999997</v>
      </c>
      <c r="E2937">
        <v>0.53239910000000001</v>
      </c>
      <c r="F2937" t="s">
        <v>48</v>
      </c>
      <c r="G2937">
        <v>-228.6422</v>
      </c>
      <c r="H2937" s="1">
        <v>3.182238E-6</v>
      </c>
      <c r="I2937">
        <v>211.869</v>
      </c>
      <c r="J2937">
        <v>-249.51499999999999</v>
      </c>
      <c r="K2937">
        <v>1.121564</v>
      </c>
      <c r="L2937">
        <v>215.8853</v>
      </c>
      <c r="M2937">
        <v>0.99980860000000005</v>
      </c>
      <c r="N2937">
        <v>-1.339576E-2</v>
      </c>
      <c r="O2937">
        <v>1.426828E-2</v>
      </c>
      <c r="P2937">
        <v>0.97912149999999998</v>
      </c>
      <c r="Q2937">
        <v>0.17468989999999901</v>
      </c>
      <c r="R2937">
        <v>-0.1039462</v>
      </c>
      <c r="S2937">
        <v>3.0312649999999999</v>
      </c>
      <c r="T2937">
        <v>-0.16054009999999999</v>
      </c>
      <c r="U2937">
        <v>-0.57421880000000003</v>
      </c>
      <c r="V2937">
        <v>0.1176806</v>
      </c>
      <c r="W2937">
        <v>0.18791089999999999</v>
      </c>
      <c r="X2937">
        <v>0.9751107</v>
      </c>
      <c r="Y2937">
        <v>0.19977159999999999</v>
      </c>
      <c r="Z2937">
        <v>-7.1503629999999999E-3</v>
      </c>
      <c r="AA2937">
        <v>0.97981640000000003</v>
      </c>
      <c r="AB2937">
        <v>33</v>
      </c>
      <c r="AC2937">
        <v>20.872799999999899</v>
      </c>
      <c r="AD2937">
        <v>-1.121560817762</v>
      </c>
      <c r="AE2937">
        <v>-4.01629999999997</v>
      </c>
      <c r="AF2937">
        <v>4.3017599044408703</v>
      </c>
      <c r="AG2937">
        <v>-1.121560817762</v>
      </c>
      <c r="AH2937">
        <v>20.755577025175899</v>
      </c>
      <c r="AI2937">
        <v>93.028815876286501</v>
      </c>
      <c r="AJ2937">
        <v>78.290771512062506</v>
      </c>
      <c r="AK2937">
        <v>21.226328335145599</v>
      </c>
      <c r="AL2937">
        <v>79.169108838720007</v>
      </c>
      <c r="AM2937">
        <v>83.118576027920994</v>
      </c>
      <c r="AN2937">
        <v>1.0000000536048199</v>
      </c>
    </row>
    <row r="2938" spans="1:40" x14ac:dyDescent="0.25">
      <c r="A2938" t="str">
        <f>"20190303162606963"</f>
        <v>20190303162606963</v>
      </c>
      <c r="B2938" t="str">
        <f>"1551601566957358"</f>
        <v>1551601566957358</v>
      </c>
      <c r="C2938" t="s">
        <v>40</v>
      </c>
      <c r="D2938">
        <v>5.1063960000000002</v>
      </c>
      <c r="E2938">
        <v>0.53241260000000001</v>
      </c>
      <c r="F2938" t="s">
        <v>48</v>
      </c>
      <c r="G2938">
        <v>-228.7638</v>
      </c>
      <c r="H2938" s="1">
        <v>3.2416180000000001E-6</v>
      </c>
      <c r="I2938">
        <v>211.9914</v>
      </c>
      <c r="J2938">
        <v>-249.26439999999999</v>
      </c>
      <c r="K2938">
        <v>1.1215619999999999</v>
      </c>
      <c r="L2938">
        <v>215.88939999999999</v>
      </c>
      <c r="M2938">
        <v>0.99980230000000003</v>
      </c>
      <c r="N2938">
        <v>-1.337546E-2</v>
      </c>
      <c r="O2938">
        <v>1.471476E-2</v>
      </c>
      <c r="P2938">
        <v>0.97919199999999995</v>
      </c>
      <c r="Q2938">
        <v>0.1745554</v>
      </c>
      <c r="R2938">
        <v>-0.103506399999999</v>
      </c>
      <c r="S2938">
        <v>3.0328219999999999</v>
      </c>
      <c r="T2938">
        <v>-0.16391810000000001</v>
      </c>
      <c r="U2938">
        <v>-0.56910709999999998</v>
      </c>
      <c r="V2938">
        <v>0.1176788</v>
      </c>
      <c r="W2938">
        <v>0.18775729999999999</v>
      </c>
      <c r="X2938">
        <v>0.97514049999999997</v>
      </c>
      <c r="Y2938">
        <v>0.19851089999999999</v>
      </c>
      <c r="Z2938">
        <v>-7.2478380000000004E-3</v>
      </c>
      <c r="AA2938">
        <v>0.9800719</v>
      </c>
      <c r="AB2938">
        <v>32</v>
      </c>
      <c r="AC2938">
        <v>20.500599999999899</v>
      </c>
      <c r="AD2938">
        <v>-1.1215587583819999</v>
      </c>
      <c r="AE2938">
        <v>-3.8979999999999899</v>
      </c>
      <c r="AF2938">
        <v>4.1871712362996298</v>
      </c>
      <c r="AG2938">
        <v>-1.1215587583819999</v>
      </c>
      <c r="AH2938">
        <v>20.382141009028398</v>
      </c>
      <c r="AI2938">
        <v>93.085309059820005</v>
      </c>
      <c r="AJ2938">
        <v>78.391048775415001</v>
      </c>
      <c r="AK2938">
        <v>20.8379934044168</v>
      </c>
      <c r="AL2938">
        <v>79.178068904946201</v>
      </c>
      <c r="AM2938">
        <v>83.118888549197607</v>
      </c>
      <c r="AN2938">
        <v>1.00000004920648</v>
      </c>
    </row>
    <row r="2939" spans="1:40" x14ac:dyDescent="0.25">
      <c r="A2939" t="str">
        <f>"20190303162606985"</f>
        <v>20190303162606985</v>
      </c>
      <c r="B2939" t="str">
        <f>"1551601566975902"</f>
        <v>1551601566975902</v>
      </c>
      <c r="C2939" t="s">
        <v>40</v>
      </c>
      <c r="D2939">
        <v>5.0639349999999999</v>
      </c>
      <c r="E2939">
        <v>0.5324873</v>
      </c>
      <c r="F2939" t="s">
        <v>48</v>
      </c>
      <c r="G2939">
        <v>-228.84800000000001</v>
      </c>
      <c r="H2939" s="1">
        <v>3.2830300000000001E-6</v>
      </c>
      <c r="I2939">
        <v>212.0694</v>
      </c>
      <c r="J2939">
        <v>-248.9469</v>
      </c>
      <c r="K2939">
        <v>1.121551</v>
      </c>
      <c r="L2939">
        <v>215.8947</v>
      </c>
      <c r="M2939">
        <v>0.99979419999999997</v>
      </c>
      <c r="N2939">
        <v>-1.335183E-2</v>
      </c>
      <c r="O2939">
        <v>1.5281049999999999E-2</v>
      </c>
      <c r="P2939">
        <v>0.97929189999999999</v>
      </c>
      <c r="Q2939">
        <v>0.17388290000000001</v>
      </c>
      <c r="R2939">
        <v>-0.1036951</v>
      </c>
      <c r="S2939">
        <v>3.033493</v>
      </c>
      <c r="T2939">
        <v>-0.1666425</v>
      </c>
      <c r="U2939">
        <v>-0.56758120000000001</v>
      </c>
      <c r="V2939">
        <v>0.118424</v>
      </c>
      <c r="W2939">
        <v>0.1870627</v>
      </c>
      <c r="X2939">
        <v>0.97518369999999999</v>
      </c>
      <c r="Y2939">
        <v>0.19853899999999999</v>
      </c>
      <c r="Z2939">
        <v>-7.3702960000000001E-3</v>
      </c>
      <c r="AA2939">
        <v>0.98006530000000003</v>
      </c>
      <c r="AB2939">
        <v>32</v>
      </c>
      <c r="AC2939">
        <v>20.0989</v>
      </c>
      <c r="AD2939">
        <v>-1.1215477169700001</v>
      </c>
      <c r="AE2939">
        <v>-3.8252999999999902</v>
      </c>
      <c r="AF2939">
        <v>4.1196336080826104</v>
      </c>
      <c r="AG2939">
        <v>-1.1215477169700001</v>
      </c>
      <c r="AH2939">
        <v>19.978059863818501</v>
      </c>
      <c r="AI2939">
        <v>93.147077729922501</v>
      </c>
      <c r="AJ2939">
        <v>78.348473608969996</v>
      </c>
      <c r="AK2939">
        <v>20.429197886079599</v>
      </c>
      <c r="AL2939">
        <v>79.218583585008105</v>
      </c>
      <c r="AM2939">
        <v>83.076039455636007</v>
      </c>
      <c r="AN2939">
        <v>0.99999997312648903</v>
      </c>
    </row>
    <row r="2940" spans="1:40" x14ac:dyDescent="0.25">
      <c r="A2940" t="str">
        <f>"20190303162607007"</f>
        <v>20190303162607007</v>
      </c>
      <c r="B2940" t="str">
        <f>"1551601566996398"</f>
        <v>1551601566996398</v>
      </c>
      <c r="C2940" t="s">
        <v>40</v>
      </c>
      <c r="D2940">
        <v>5.0328739999999996</v>
      </c>
      <c r="E2940">
        <v>0.53257330000000003</v>
      </c>
      <c r="F2940" t="s">
        <v>48</v>
      </c>
      <c r="G2940">
        <v>-228.96619999999999</v>
      </c>
      <c r="H2940" s="1">
        <v>3.3423709999999998E-6</v>
      </c>
      <c r="I2940">
        <v>212.15049999999999</v>
      </c>
      <c r="J2940">
        <v>-248.62430000000001</v>
      </c>
      <c r="K2940">
        <v>1.121548</v>
      </c>
      <c r="L2940">
        <v>215.90020000000001</v>
      </c>
      <c r="M2940">
        <v>0.99978540000000005</v>
      </c>
      <c r="N2940">
        <v>-1.332998E-2</v>
      </c>
      <c r="O2940">
        <v>1.585686E-2</v>
      </c>
      <c r="P2940">
        <v>0.97934279999999996</v>
      </c>
      <c r="Q2940">
        <v>0.1736685</v>
      </c>
      <c r="R2940">
        <v>-0.1035727</v>
      </c>
      <c r="S2940">
        <v>3.0335079999999999</v>
      </c>
      <c r="T2940">
        <v>-0.17027590000000001</v>
      </c>
      <c r="U2940">
        <v>-0.56845089999999998</v>
      </c>
      <c r="V2940">
        <v>0.1188661</v>
      </c>
      <c r="W2940">
        <v>0.1868271</v>
      </c>
      <c r="X2940">
        <v>0.97517509999999996</v>
      </c>
      <c r="Y2940">
        <v>0.1993569</v>
      </c>
      <c r="Z2940">
        <v>-7.5567369999999896E-3</v>
      </c>
      <c r="AA2940">
        <v>0.97989780000000004</v>
      </c>
      <c r="AB2940">
        <v>32</v>
      </c>
      <c r="AC2940">
        <v>19.658100000000001</v>
      </c>
      <c r="AD2940">
        <v>-1.121544657629</v>
      </c>
      <c r="AE2940">
        <v>-3.74970000000001</v>
      </c>
      <c r="AF2940">
        <v>4.0482574677831398</v>
      </c>
      <c r="AG2940">
        <v>-1.121544657629</v>
      </c>
      <c r="AH2940">
        <v>19.534810843337599</v>
      </c>
      <c r="AI2940">
        <v>93.217675778890097</v>
      </c>
      <c r="AJ2940">
        <v>78.292146263195093</v>
      </c>
      <c r="AK2940">
        <v>19.981368462382601</v>
      </c>
      <c r="AL2940">
        <v>79.232324963871406</v>
      </c>
      <c r="AM2940">
        <v>83.050382578519105</v>
      </c>
      <c r="AN2940">
        <v>0.99999999534181405</v>
      </c>
    </row>
    <row r="2941" spans="1:40" x14ac:dyDescent="0.25">
      <c r="A2941" t="str">
        <f>"20190303162607028"</f>
        <v>20190303162607028</v>
      </c>
      <c r="B2941" t="str">
        <f>"1551601567015918"</f>
        <v>1551601567015918</v>
      </c>
      <c r="C2941" t="s">
        <v>40</v>
      </c>
      <c r="D2941">
        <v>4.9418530000000001</v>
      </c>
      <c r="E2941">
        <v>0.53272949999999997</v>
      </c>
      <c r="F2941" t="s">
        <v>48</v>
      </c>
      <c r="G2941">
        <v>-228.94329999999999</v>
      </c>
      <c r="H2941" s="1">
        <v>3.3275380000000001E-6</v>
      </c>
      <c r="I2941">
        <v>212.2114</v>
      </c>
      <c r="J2941">
        <v>-248.31649999999999</v>
      </c>
      <c r="K2941">
        <v>1.1215469999999901</v>
      </c>
      <c r="L2941">
        <v>215.9057</v>
      </c>
      <c r="M2941">
        <v>0.99977689999999997</v>
      </c>
      <c r="N2941">
        <v>-1.3311180000000001E-2</v>
      </c>
      <c r="O2941">
        <v>1.6406549999999999E-2</v>
      </c>
      <c r="P2941">
        <v>0.97936730000000005</v>
      </c>
      <c r="Q2941">
        <v>0.17332210000000001</v>
      </c>
      <c r="R2941">
        <v>-0.103922</v>
      </c>
      <c r="S2941">
        <v>3.033798</v>
      </c>
      <c r="T2941">
        <v>-0.1728846</v>
      </c>
      <c r="U2941">
        <v>-0.56863399999999997</v>
      </c>
      <c r="V2941">
        <v>0.11975420000000001</v>
      </c>
      <c r="W2941">
        <v>0.18646209999999999</v>
      </c>
      <c r="X2941">
        <v>0.97513629999999996</v>
      </c>
      <c r="Y2941">
        <v>0.1999232</v>
      </c>
      <c r="Z2941">
        <v>-7.6964049999999999E-3</v>
      </c>
      <c r="AA2941">
        <v>0.97978129999999997</v>
      </c>
      <c r="AB2941">
        <v>32</v>
      </c>
      <c r="AC2941">
        <v>19.373200000000001</v>
      </c>
      <c r="AD2941">
        <v>-1.12154367246199</v>
      </c>
      <c r="AE2941">
        <v>-3.6942999999999899</v>
      </c>
      <c r="AF2941">
        <v>3.9987468932366199</v>
      </c>
      <c r="AG2941">
        <v>-1.12154367246199</v>
      </c>
      <c r="AH2941">
        <v>19.247731926707999</v>
      </c>
      <c r="AI2941">
        <v>93.265225145750705</v>
      </c>
      <c r="AJ2941">
        <v>78.263659766944599</v>
      </c>
      <c r="AK2941">
        <v>19.6906836155534</v>
      </c>
      <c r="AL2941">
        <v>79.253611968399994</v>
      </c>
      <c r="AM2941">
        <v>82.998696595226505</v>
      </c>
      <c r="AN2941">
        <v>0.99999999336586998</v>
      </c>
    </row>
    <row r="2942" spans="1:40" x14ac:dyDescent="0.25">
      <c r="A2942" t="str">
        <f>"20190303162607053"</f>
        <v>20190303162607053</v>
      </c>
      <c r="B2942" t="str">
        <f>"1551601567046174"</f>
        <v>1551601567046174</v>
      </c>
      <c r="C2942" t="s">
        <v>40</v>
      </c>
      <c r="D2942">
        <v>4.8662409999999996</v>
      </c>
      <c r="E2942">
        <v>0.53259909999999999</v>
      </c>
      <c r="F2942" t="s">
        <v>48</v>
      </c>
      <c r="G2942">
        <v>-228.87469999999999</v>
      </c>
      <c r="H2942" s="1">
        <v>3.2894659999999999E-6</v>
      </c>
      <c r="I2942">
        <v>212.2466</v>
      </c>
      <c r="J2942">
        <v>-247.9753</v>
      </c>
      <c r="K2942">
        <v>1.1215459999999999</v>
      </c>
      <c r="L2942">
        <v>215.91200000000001</v>
      </c>
      <c r="M2942">
        <v>0.99976710000000002</v>
      </c>
      <c r="N2942">
        <v>-1.329231E-2</v>
      </c>
      <c r="O2942">
        <v>1.7015849999999999E-2</v>
      </c>
      <c r="P2942">
        <v>0.97945629999999995</v>
      </c>
      <c r="Q2942">
        <v>0.17274719999999999</v>
      </c>
      <c r="R2942">
        <v>-0.10403850000000001</v>
      </c>
      <c r="S2942">
        <v>3.033585</v>
      </c>
      <c r="T2942">
        <v>-0.1749994</v>
      </c>
      <c r="U2942">
        <v>-0.57095340000000006</v>
      </c>
      <c r="V2942">
        <v>0.1204693</v>
      </c>
      <c r="W2942">
        <v>0.18587000000000001</v>
      </c>
      <c r="X2942">
        <v>0.97516130000000001</v>
      </c>
      <c r="Y2942">
        <v>0.20124400000000001</v>
      </c>
      <c r="Z2942">
        <v>-7.8485889999999996E-3</v>
      </c>
      <c r="AA2942">
        <v>0.97950970000000004</v>
      </c>
      <c r="AB2942">
        <v>32</v>
      </c>
      <c r="AC2942">
        <v>19.1006</v>
      </c>
      <c r="AD2942">
        <v>-1.1215427105339999</v>
      </c>
      <c r="AE2942">
        <v>-3.6654</v>
      </c>
      <c r="AF2942">
        <v>3.97668710125896</v>
      </c>
      <c r="AG2942">
        <v>-1.1215427105339999</v>
      </c>
      <c r="AH2942">
        <v>18.972369752040901</v>
      </c>
      <c r="AI2942">
        <v>93.311284357717994</v>
      </c>
      <c r="AJ2942">
        <v>78.161946143184196</v>
      </c>
      <c r="AK2942">
        <v>19.4170727031916</v>
      </c>
      <c r="AL2942">
        <v>79.288140868477697</v>
      </c>
      <c r="AM2942">
        <v>82.957486377811406</v>
      </c>
      <c r="AN2942">
        <v>1.00000003508008</v>
      </c>
    </row>
    <row r="2943" spans="1:40" x14ac:dyDescent="0.25">
      <c r="A2943" t="str">
        <f>"20190303162607073"</f>
        <v>20190303162607073</v>
      </c>
      <c r="B2943" t="str">
        <f>"1551601567066670"</f>
        <v>1551601567066670</v>
      </c>
      <c r="C2943" t="s">
        <v>40</v>
      </c>
      <c r="D2943">
        <v>4.8660230000000002</v>
      </c>
      <c r="E2943">
        <v>0.50314939999999997</v>
      </c>
      <c r="F2943" t="s">
        <v>48</v>
      </c>
      <c r="G2943">
        <v>-228.77330000000001</v>
      </c>
      <c r="H2943" s="1">
        <v>3.2330639999999999E-6</v>
      </c>
      <c r="I2943">
        <v>212.30240000000001</v>
      </c>
      <c r="J2943">
        <v>-247.6653</v>
      </c>
      <c r="K2943">
        <v>1.12154</v>
      </c>
      <c r="L2943">
        <v>215.9179</v>
      </c>
      <c r="M2943">
        <v>0.99975749999999997</v>
      </c>
      <c r="N2943">
        <v>-1.3277000000000001E-2</v>
      </c>
      <c r="O2943">
        <v>1.7567900000000001E-2</v>
      </c>
      <c r="P2943">
        <v>0.9795471</v>
      </c>
      <c r="Q2943">
        <v>0.17222579999999901</v>
      </c>
      <c r="R2943">
        <v>-0.1040475</v>
      </c>
      <c r="S2943">
        <v>3.0335999999999999</v>
      </c>
      <c r="T2943">
        <v>-0.17718510000000001</v>
      </c>
      <c r="U2943">
        <v>-0.57025150000000002</v>
      </c>
      <c r="V2943">
        <v>0.121020699999999</v>
      </c>
      <c r="W2943">
        <v>0.1853339</v>
      </c>
      <c r="X2943">
        <v>0.97519500000000003</v>
      </c>
      <c r="Y2943">
        <v>0.20155429999999999</v>
      </c>
      <c r="Z2943">
        <v>-7.9669800000000002E-3</v>
      </c>
      <c r="AA2943">
        <v>0.97944489999999995</v>
      </c>
      <c r="AB2943">
        <v>32</v>
      </c>
      <c r="AC2943">
        <v>18.891999999999999</v>
      </c>
      <c r="AD2943">
        <v>-1.1215367669359999</v>
      </c>
      <c r="AE2943">
        <v>-3.6154999999999902</v>
      </c>
      <c r="AF2943">
        <v>3.93349099995867</v>
      </c>
      <c r="AG2943">
        <v>-1.1215367669359999</v>
      </c>
      <c r="AH2943">
        <v>18.761775891383699</v>
      </c>
      <c r="AI2943">
        <v>93.348316675088995</v>
      </c>
      <c r="AJ2943">
        <v>78.159181020682695</v>
      </c>
      <c r="AK2943">
        <v>19.202458977038699</v>
      </c>
      <c r="AL2943">
        <v>79.319399630249194</v>
      </c>
      <c r="AM2943">
        <v>82.925819970988499</v>
      </c>
      <c r="AN2943">
        <v>0.99999997617134895</v>
      </c>
    </row>
    <row r="2944" spans="1:40" x14ac:dyDescent="0.25">
      <c r="A2944" t="str">
        <f>"20190303162607097"</f>
        <v>20190303162607097</v>
      </c>
      <c r="B2944" t="str">
        <f>"1551601567086190"</f>
        <v>1551601567086190</v>
      </c>
      <c r="C2944" t="s">
        <v>40</v>
      </c>
      <c r="D2944">
        <v>4.740577</v>
      </c>
      <c r="E2944">
        <v>0.50244369999999905</v>
      </c>
      <c r="F2944" t="s">
        <v>48</v>
      </c>
      <c r="G2944">
        <v>-217.5977</v>
      </c>
      <c r="H2944" s="1">
        <v>2.594658E-6</v>
      </c>
      <c r="I2944">
        <v>212.59520000000001</v>
      </c>
      <c r="J2944">
        <v>-247.32310000000001</v>
      </c>
      <c r="K2944">
        <v>1.121537</v>
      </c>
      <c r="L2944">
        <v>215.92449999999999</v>
      </c>
      <c r="M2944">
        <v>0.99974689999999999</v>
      </c>
      <c r="N2944">
        <v>-1.326188E-2</v>
      </c>
      <c r="O2944">
        <v>1.817423E-2</v>
      </c>
      <c r="P2944">
        <v>0.9796551</v>
      </c>
      <c r="Q2944">
        <v>0.17178260000000001</v>
      </c>
      <c r="R2944">
        <v>-0.10376349999999999</v>
      </c>
      <c r="S2944">
        <v>3.0468899999999999</v>
      </c>
      <c r="T2944">
        <v>-0.1136503</v>
      </c>
      <c r="U2944">
        <v>-0.33670040000000001</v>
      </c>
      <c r="V2944">
        <v>0.12133330000000001</v>
      </c>
      <c r="W2944">
        <v>0.1848766</v>
      </c>
      <c r="X2944">
        <v>0.97524299999999997</v>
      </c>
      <c r="Y2944">
        <v>0.12776080000000001</v>
      </c>
      <c r="Z2944">
        <v>-3.6604530000000001E-3</v>
      </c>
      <c r="AA2944">
        <v>0.99179830000000002</v>
      </c>
      <c r="AB2944">
        <v>32</v>
      </c>
      <c r="AC2944">
        <v>29.7254</v>
      </c>
      <c r="AD2944">
        <v>-1.121534405342</v>
      </c>
      <c r="AE2944">
        <v>-3.3292999999999799</v>
      </c>
      <c r="AF2944">
        <v>3.8636019241922099</v>
      </c>
      <c r="AG2944">
        <v>-1.121534405342</v>
      </c>
      <c r="AH2944">
        <v>29.6183362168466</v>
      </c>
      <c r="AI2944">
        <v>92.150337647801194</v>
      </c>
      <c r="AJ2944">
        <v>82.567944022156396</v>
      </c>
      <c r="AK2944">
        <v>29.890317822083301</v>
      </c>
      <c r="AL2944">
        <v>79.346062197788896</v>
      </c>
      <c r="AM2944">
        <v>82.908078521494403</v>
      </c>
      <c r="AN2944">
        <v>1.00000001798272</v>
      </c>
    </row>
    <row r="2945" spans="1:40" x14ac:dyDescent="0.25">
      <c r="A2945" t="str">
        <f>"20190303162607127"</f>
        <v>20190303162607127</v>
      </c>
      <c r="B2945" t="str">
        <f>"1551601567116446"</f>
        <v>1551601567116446</v>
      </c>
      <c r="C2945" t="s">
        <v>40</v>
      </c>
      <c r="D2945">
        <v>4.664574</v>
      </c>
      <c r="E2945">
        <v>0.50326179999999998</v>
      </c>
      <c r="F2945" t="s">
        <v>48</v>
      </c>
      <c r="G2945">
        <v>-217.43860000000001</v>
      </c>
      <c r="H2945" s="1">
        <v>2.506036E-6</v>
      </c>
      <c r="I2945">
        <v>212.6867</v>
      </c>
      <c r="J2945">
        <v>-246.91489999999999</v>
      </c>
      <c r="K2945">
        <v>1.1215329999999999</v>
      </c>
      <c r="L2945">
        <v>215.93279999999999</v>
      </c>
      <c r="M2945">
        <v>0.99973380000000001</v>
      </c>
      <c r="N2945">
        <v>-1.3253869999999999E-2</v>
      </c>
      <c r="O2945">
        <v>1.888799E-2</v>
      </c>
      <c r="P2945">
        <v>0.97971589999999997</v>
      </c>
      <c r="Q2945">
        <v>0.17152220000000001</v>
      </c>
      <c r="R2945">
        <v>-0.10361910000000001</v>
      </c>
      <c r="S2945">
        <v>3.0473940000000002</v>
      </c>
      <c r="T2945">
        <v>-0.1143658</v>
      </c>
      <c r="U2945">
        <v>-0.33016970000000001</v>
      </c>
      <c r="V2945">
        <v>0.1218907</v>
      </c>
      <c r="W2945">
        <v>0.1846071</v>
      </c>
      <c r="X2945">
        <v>0.97522450000000005</v>
      </c>
      <c r="Y2945">
        <v>0.1263503</v>
      </c>
      <c r="Z2945">
        <v>-3.6605230000000002E-3</v>
      </c>
      <c r="AA2945">
        <v>0.9919789</v>
      </c>
      <c r="AB2945">
        <v>32</v>
      </c>
      <c r="AC2945">
        <v>29.476299999999899</v>
      </c>
      <c r="AD2945">
        <v>-1.1215304939639901</v>
      </c>
      <c r="AE2945">
        <v>-3.2460999999999798</v>
      </c>
      <c r="AF2945">
        <v>3.7968868947603398</v>
      </c>
      <c r="AG2945">
        <v>-1.1215304939639901</v>
      </c>
      <c r="AH2945">
        <v>29.3677170143072</v>
      </c>
      <c r="AI2945">
        <v>92.168983851959197</v>
      </c>
      <c r="AJ2945">
        <v>82.633220618662804</v>
      </c>
      <c r="AK2945">
        <v>29.633376172365502</v>
      </c>
      <c r="AL2945">
        <v>79.361773388387604</v>
      </c>
      <c r="AM2945">
        <v>82.875698792017801</v>
      </c>
      <c r="AN2945">
        <v>0.99999997475857405</v>
      </c>
    </row>
    <row r="2946" spans="1:40" x14ac:dyDescent="0.25">
      <c r="A2946" t="str">
        <f>"20190303162607163"</f>
        <v>20190303162607163</v>
      </c>
      <c r="B2946" t="str">
        <f>"1551601567156462"</f>
        <v>1551601567156462</v>
      </c>
      <c r="C2946" t="s">
        <v>40</v>
      </c>
      <c r="D2946">
        <v>4.7935809999999996</v>
      </c>
      <c r="E2946">
        <v>0.50376500000000002</v>
      </c>
      <c r="F2946" t="s">
        <v>48</v>
      </c>
      <c r="G2946">
        <v>-218.86879999999999</v>
      </c>
      <c r="H2946" s="1">
        <v>3.2604160000000002E-6</v>
      </c>
      <c r="I2946">
        <v>212.83959999999999</v>
      </c>
      <c r="J2946">
        <v>-246.38239999999999</v>
      </c>
      <c r="K2946">
        <v>1.1215219999999999</v>
      </c>
      <c r="L2946">
        <v>215.94390000000001</v>
      </c>
      <c r="M2946">
        <v>0.99971600000000005</v>
      </c>
      <c r="N2946">
        <v>-1.3252089999999999E-2</v>
      </c>
      <c r="O2946">
        <v>1.981051E-2</v>
      </c>
      <c r="P2946">
        <v>0.97971399999999997</v>
      </c>
      <c r="Q2946">
        <v>0.17155970000000001</v>
      </c>
      <c r="R2946">
        <v>-0.103575399999999</v>
      </c>
      <c r="S2946">
        <v>3.0479129999999999</v>
      </c>
      <c r="T2946">
        <v>-0.1218823</v>
      </c>
      <c r="U2946">
        <v>-0.33615109999999998</v>
      </c>
      <c r="V2946">
        <v>0.12275320000000001</v>
      </c>
      <c r="W2946">
        <v>0.18463950000000001</v>
      </c>
      <c r="X2946">
        <v>0.97511020000000004</v>
      </c>
      <c r="Y2946">
        <v>0.1291524</v>
      </c>
      <c r="Z2946">
        <v>-3.9603909999999997E-3</v>
      </c>
      <c r="AA2946">
        <v>0.99161679999999996</v>
      </c>
      <c r="AB2946">
        <v>32</v>
      </c>
      <c r="AC2946">
        <v>27.5136</v>
      </c>
      <c r="AD2946">
        <v>-1.1215187395839901</v>
      </c>
      <c r="AE2946">
        <v>-3.1043000000000198</v>
      </c>
      <c r="AF2946">
        <v>3.64282024442771</v>
      </c>
      <c r="AG2946">
        <v>-1.1215187395839901</v>
      </c>
      <c r="AH2946">
        <v>27.401738868302498</v>
      </c>
      <c r="AI2946">
        <v>92.323318317525903</v>
      </c>
      <c r="AJ2946">
        <v>82.427432497354303</v>
      </c>
      <c r="AK2946">
        <v>27.665560479106301</v>
      </c>
      <c r="AL2946">
        <v>79.3598847804207</v>
      </c>
      <c r="AM2946">
        <v>82.8249784271013</v>
      </c>
      <c r="AN2946">
        <v>0.99999999760726499</v>
      </c>
    </row>
    <row r="2947" spans="1:40" x14ac:dyDescent="0.25">
      <c r="A2947" t="str">
        <f>"20190303162607185"</f>
        <v>20190303162607185</v>
      </c>
      <c r="B2947" t="str">
        <f>"1551601567175982"</f>
        <v>1551601567175982</v>
      </c>
      <c r="C2947" t="s">
        <v>40</v>
      </c>
      <c r="D2947">
        <v>4.6507719999999999</v>
      </c>
      <c r="E2947">
        <v>0.5037604</v>
      </c>
      <c r="F2947" t="s">
        <v>48</v>
      </c>
      <c r="G2947">
        <v>-217.4271</v>
      </c>
      <c r="H2947" s="1">
        <v>2.4986399999999999E-6</v>
      </c>
      <c r="I2947">
        <v>212.71520000000001</v>
      </c>
      <c r="J2947">
        <v>-246.04920000000001</v>
      </c>
      <c r="K2947">
        <v>1.1215120000000001</v>
      </c>
      <c r="L2947">
        <v>215.9512</v>
      </c>
      <c r="M2947">
        <v>0.9997045</v>
      </c>
      <c r="N2947">
        <v>-1.3252420000000001E-2</v>
      </c>
      <c r="O2947">
        <v>2.038214E-2</v>
      </c>
      <c r="P2947">
        <v>0.97984369999999998</v>
      </c>
      <c r="Q2947">
        <v>0.17119589999999901</v>
      </c>
      <c r="R2947">
        <v>-0.10294929999999999</v>
      </c>
      <c r="S2947">
        <v>3.0468600000000001</v>
      </c>
      <c r="T2947">
        <v>-0.1180134</v>
      </c>
      <c r="U2947">
        <v>-0.3397522</v>
      </c>
      <c r="V2947">
        <v>0.12269099999999999</v>
      </c>
      <c r="W2947">
        <v>0.18427579999999999</v>
      </c>
      <c r="X2947">
        <v>0.97518680000000002</v>
      </c>
      <c r="Y2947">
        <v>0.13092039999999999</v>
      </c>
      <c r="Z2947">
        <v>-3.9150870000000003E-3</v>
      </c>
      <c r="AA2947">
        <v>0.99138519999999997</v>
      </c>
      <c r="AB2947">
        <v>32</v>
      </c>
      <c r="AC2947">
        <v>28.6221</v>
      </c>
      <c r="AD2947">
        <v>-1.12150950136</v>
      </c>
      <c r="AE2947">
        <v>-3.23599999999999</v>
      </c>
      <c r="AF2947">
        <v>3.8129781765582802</v>
      </c>
      <c r="AG2947">
        <v>-1.12150950136</v>
      </c>
      <c r="AH2947">
        <v>28.5069753465228</v>
      </c>
      <c r="AI2947">
        <v>92.233078070601096</v>
      </c>
      <c r="AJ2947">
        <v>82.381565553688901</v>
      </c>
      <c r="AK2947">
        <v>28.782707126742</v>
      </c>
      <c r="AL2947">
        <v>79.381086817393296</v>
      </c>
      <c r="AM2947">
        <v>82.829133648712499</v>
      </c>
      <c r="AN2947">
        <v>0.999999973420439</v>
      </c>
    </row>
    <row r="2948" spans="1:40" x14ac:dyDescent="0.25">
      <c r="A2948" t="str">
        <f>"20190303162607207"</f>
        <v>20190303162607207</v>
      </c>
      <c r="B2948" t="str">
        <f>"1551601567196478"</f>
        <v>1551601567196478</v>
      </c>
      <c r="C2948" t="s">
        <v>40</v>
      </c>
      <c r="D2948">
        <v>4.6277689999999998</v>
      </c>
      <c r="E2948">
        <v>0.50381899999999902</v>
      </c>
      <c r="F2948" t="s">
        <v>48</v>
      </c>
      <c r="G2948">
        <v>-216.05860000000001</v>
      </c>
      <c r="H2948" s="1">
        <v>1.77422E-6</v>
      </c>
      <c r="I2948">
        <v>212.6276</v>
      </c>
      <c r="J2948">
        <v>-245.7422</v>
      </c>
      <c r="K2948">
        <v>1.1215250000000001</v>
      </c>
      <c r="L2948">
        <v>215.958</v>
      </c>
      <c r="M2948">
        <v>0.99969359999999996</v>
      </c>
      <c r="N2948">
        <v>-1.325314E-2</v>
      </c>
      <c r="O2948">
        <v>2.0905279999999998E-2</v>
      </c>
      <c r="P2948">
        <v>0.97981490000000004</v>
      </c>
      <c r="Q2948">
        <v>0.1716676</v>
      </c>
      <c r="R2948">
        <v>-0.10243480000000001</v>
      </c>
      <c r="S2948">
        <v>3.0461269999999998</v>
      </c>
      <c r="T2948">
        <v>-0.113910999999999</v>
      </c>
      <c r="U2948">
        <v>-0.33757019999999999</v>
      </c>
      <c r="V2948">
        <v>0.1226884</v>
      </c>
      <c r="W2948">
        <v>0.1847463</v>
      </c>
      <c r="X2948">
        <v>0.97509809999999997</v>
      </c>
      <c r="Y2948">
        <v>0.13077230000000001</v>
      </c>
      <c r="Z2948">
        <v>-3.809682E-3</v>
      </c>
      <c r="AA2948">
        <v>0.99140510000000004</v>
      </c>
      <c r="AB2948">
        <v>32</v>
      </c>
      <c r="AC2948">
        <v>29.683599999999899</v>
      </c>
      <c r="AD2948">
        <v>-1.1215232257799901</v>
      </c>
      <c r="AE2948">
        <v>-3.3303999999999898</v>
      </c>
      <c r="AF2948">
        <v>3.94470937003668</v>
      </c>
      <c r="AG2948">
        <v>-1.1215232257799901</v>
      </c>
      <c r="AH2948">
        <v>29.565801564432402</v>
      </c>
      <c r="AI2948">
        <v>92.153303359651005</v>
      </c>
      <c r="AJ2948">
        <v>82.400401389417695</v>
      </c>
      <c r="AK2948">
        <v>29.848872147996001</v>
      </c>
      <c r="AL2948">
        <v>79.353658196964005</v>
      </c>
      <c r="AM2948">
        <v>82.828638533102406</v>
      </c>
      <c r="AN2948">
        <v>0.99999997174092903</v>
      </c>
    </row>
    <row r="2949" spans="1:40" x14ac:dyDescent="0.25">
      <c r="A2949" t="str">
        <f>"20190303162607229"</f>
        <v>20190303162607229</v>
      </c>
      <c r="B2949" t="str">
        <f>"1551601567215999"</f>
        <v>1551601567215999</v>
      </c>
      <c r="C2949" t="s">
        <v>40</v>
      </c>
      <c r="D2949">
        <v>4.5792489999999999</v>
      </c>
      <c r="E2949">
        <v>0.50393739999999998</v>
      </c>
      <c r="F2949" t="s">
        <v>48</v>
      </c>
      <c r="G2949">
        <v>-214.1713</v>
      </c>
      <c r="H2949" s="1">
        <v>7.7637319999999902E-7</v>
      </c>
      <c r="I2949">
        <v>212.47970000000001</v>
      </c>
      <c r="J2949">
        <v>-245.41990000000001</v>
      </c>
      <c r="K2949">
        <v>1.121524</v>
      </c>
      <c r="L2949">
        <v>215.96530000000001</v>
      </c>
      <c r="M2949">
        <v>0.99968210000000002</v>
      </c>
      <c r="N2949">
        <v>-1.325427E-2</v>
      </c>
      <c r="O2949">
        <v>2.1449099999999999E-2</v>
      </c>
      <c r="P2949">
        <v>0.97968169999999999</v>
      </c>
      <c r="Q2949">
        <v>0.17243139999999901</v>
      </c>
      <c r="R2949">
        <v>-0.1024267</v>
      </c>
      <c r="S2949">
        <v>3.0456850000000002</v>
      </c>
      <c r="T2949">
        <v>-0.108194899999999</v>
      </c>
      <c r="U2949">
        <v>-0.33555600000000002</v>
      </c>
      <c r="V2949">
        <v>0.1232096</v>
      </c>
      <c r="W2949">
        <v>0.1855078</v>
      </c>
      <c r="X2949">
        <v>0.97488779999999997</v>
      </c>
      <c r="Y2949">
        <v>0.1306909</v>
      </c>
      <c r="Z2949">
        <v>-3.6590160000000002E-3</v>
      </c>
      <c r="AA2949">
        <v>0.99141639999999998</v>
      </c>
      <c r="AB2949">
        <v>32</v>
      </c>
      <c r="AC2949">
        <v>31.2486</v>
      </c>
      <c r="AD2949">
        <v>-1.1215232236268</v>
      </c>
      <c r="AE2949">
        <v>-3.4855999999999998</v>
      </c>
      <c r="AF2949">
        <v>4.1498314035742396</v>
      </c>
      <c r="AG2949">
        <v>-1.1215232236268</v>
      </c>
      <c r="AH2949">
        <v>31.1270376478756</v>
      </c>
      <c r="AI2949">
        <v>92.045421825099893</v>
      </c>
      <c r="AJ2949">
        <v>82.406152908847005</v>
      </c>
      <c r="AK2949">
        <v>31.422466290084401</v>
      </c>
      <c r="AL2949">
        <v>79.309260172012401</v>
      </c>
      <c r="AM2949">
        <v>82.796955446325299</v>
      </c>
      <c r="AN2949">
        <v>0.99999998599091899</v>
      </c>
    </row>
    <row r="2950" spans="1:40" x14ac:dyDescent="0.25">
      <c r="A2950" t="str">
        <f>"20190303162607255"</f>
        <v>20190303162607255</v>
      </c>
      <c r="B2950" t="str">
        <f>"1551601567246254"</f>
        <v>1551601567246254</v>
      </c>
      <c r="C2950" t="s">
        <v>40</v>
      </c>
      <c r="D2950">
        <v>4.5875700000000004</v>
      </c>
      <c r="E2950">
        <v>0.50418499999999999</v>
      </c>
      <c r="F2950" t="s">
        <v>48</v>
      </c>
      <c r="G2950">
        <v>-211.9992</v>
      </c>
      <c r="H2950" s="1">
        <v>-3.7046679999999999E-7</v>
      </c>
      <c r="I2950">
        <v>212.2722</v>
      </c>
      <c r="J2950">
        <v>-245.05260000000001</v>
      </c>
      <c r="K2950">
        <v>1.1215170000000001</v>
      </c>
      <c r="L2950">
        <v>215.97389999999999</v>
      </c>
      <c r="M2950">
        <v>0.99966880000000002</v>
      </c>
      <c r="N2950">
        <v>-1.3255599999999999E-2</v>
      </c>
      <c r="O2950">
        <v>2.2064790000000001E-2</v>
      </c>
      <c r="P2950">
        <v>0.97963180000000005</v>
      </c>
      <c r="Q2950">
        <v>0.17262269999999999</v>
      </c>
      <c r="R2950">
        <v>-0.1025829</v>
      </c>
      <c r="S2950">
        <v>3.045029</v>
      </c>
      <c r="T2950">
        <v>-0.10218439999999999</v>
      </c>
      <c r="U2950">
        <v>-0.33648679999999997</v>
      </c>
      <c r="V2950">
        <v>0.1239678</v>
      </c>
      <c r="W2950">
        <v>0.185699</v>
      </c>
      <c r="X2950">
        <v>0.97475529999999999</v>
      </c>
      <c r="Y2950">
        <v>0.13163459999999999</v>
      </c>
      <c r="Z2950">
        <v>-3.5235259999999999E-3</v>
      </c>
      <c r="AA2950">
        <v>0.99129210000000001</v>
      </c>
      <c r="AB2950">
        <v>32</v>
      </c>
      <c r="AC2950">
        <v>33.053400000000003</v>
      </c>
      <c r="AD2950">
        <v>-1.1215173704668</v>
      </c>
      <c r="AE2950">
        <v>-3.7016999999999798</v>
      </c>
      <c r="AF2950">
        <v>4.4251474845302896</v>
      </c>
      <c r="AG2950">
        <v>-1.1215173704668</v>
      </c>
      <c r="AH2950">
        <v>32.926229448442101</v>
      </c>
      <c r="AI2950">
        <v>91.933457275335897</v>
      </c>
      <c r="AJ2950">
        <v>82.345552519821993</v>
      </c>
      <c r="AK2950">
        <v>33.241184051768698</v>
      </c>
      <c r="AL2950">
        <v>79.298111816087001</v>
      </c>
      <c r="AM2950">
        <v>82.752124980145297</v>
      </c>
      <c r="AN2950">
        <v>1.0000000144579599</v>
      </c>
    </row>
    <row r="2951" spans="1:40" x14ac:dyDescent="0.25">
      <c r="A2951" t="str">
        <f>"20190303162607274"</f>
        <v>20190303162607274</v>
      </c>
      <c r="B2951" t="str">
        <f>"1551601567266749"</f>
        <v>1551601567266749</v>
      </c>
      <c r="C2951" t="s">
        <v>40</v>
      </c>
      <c r="D2951">
        <v>4.5925349999999998</v>
      </c>
      <c r="E2951">
        <v>0.50439269999999903</v>
      </c>
      <c r="F2951" t="s">
        <v>46</v>
      </c>
      <c r="G2951">
        <v>-209.9229</v>
      </c>
      <c r="H2951" s="1">
        <v>6.839679E-6</v>
      </c>
      <c r="I2951">
        <v>212.0735</v>
      </c>
      <c r="J2951">
        <v>-244.7715</v>
      </c>
      <c r="K2951">
        <v>1.1215200000000001</v>
      </c>
      <c r="L2951">
        <v>215.98060000000001</v>
      </c>
      <c r="M2951">
        <v>0.99965820000000005</v>
      </c>
      <c r="N2951">
        <v>-1.3256489999999999E-2</v>
      </c>
      <c r="O2951">
        <v>2.2534470000000001E-2</v>
      </c>
      <c r="P2951">
        <v>0.97960959999999997</v>
      </c>
      <c r="Q2951">
        <v>0.17255870000000001</v>
      </c>
      <c r="R2951">
        <v>-0.1029004</v>
      </c>
      <c r="S2951">
        <v>3.0441129999999998</v>
      </c>
      <c r="T2951">
        <v>-9.7182870000000005E-2</v>
      </c>
      <c r="U2951">
        <v>-0.33798220000000001</v>
      </c>
      <c r="V2951">
        <v>0.12474499999999999</v>
      </c>
      <c r="W2951">
        <v>0.1856343</v>
      </c>
      <c r="X2951">
        <v>0.97466839999999999</v>
      </c>
      <c r="Y2951">
        <v>0.1326222</v>
      </c>
      <c r="Z2951">
        <v>-3.4115489999999998E-3</v>
      </c>
      <c r="AA2951">
        <v>0.99116079999999995</v>
      </c>
      <c r="AB2951">
        <v>32</v>
      </c>
      <c r="AC2951">
        <v>34.848599999999998</v>
      </c>
      <c r="AD2951">
        <v>-1.121513160321</v>
      </c>
      <c r="AE2951">
        <v>-3.90710000000001</v>
      </c>
      <c r="AF2951">
        <v>4.6866776237587198</v>
      </c>
      <c r="AG2951">
        <v>-1.121513160321</v>
      </c>
      <c r="AH2951">
        <v>34.716187521565502</v>
      </c>
      <c r="AI2951">
        <v>91.833685309005801</v>
      </c>
      <c r="AJ2951">
        <v>82.311564697228206</v>
      </c>
      <c r="AK2951">
        <v>35.049057261933797</v>
      </c>
      <c r="AL2951">
        <v>79.301883741721198</v>
      </c>
      <c r="AM2951">
        <v>82.706529851365701</v>
      </c>
      <c r="AN2951">
        <v>0.99999994916002299</v>
      </c>
    </row>
    <row r="2952" spans="1:40" x14ac:dyDescent="0.25">
      <c r="A2952" t="str">
        <f>"20190303162607299"</f>
        <v>20190303162607299</v>
      </c>
      <c r="B2952" t="str">
        <f>"1551601567286271"</f>
        <v>1551601567286271</v>
      </c>
      <c r="C2952" t="s">
        <v>40</v>
      </c>
      <c r="D2952">
        <v>4.5962009999999998</v>
      </c>
      <c r="E2952">
        <v>0.5047083</v>
      </c>
      <c r="F2952" t="s">
        <v>46</v>
      </c>
      <c r="G2952">
        <v>-209.3235</v>
      </c>
      <c r="H2952" s="1">
        <v>6.5786839999999998E-6</v>
      </c>
      <c r="I2952">
        <v>212.01840000000001</v>
      </c>
      <c r="J2952">
        <v>-244.4118</v>
      </c>
      <c r="K2952">
        <v>1.1215139999999999</v>
      </c>
      <c r="L2952">
        <v>215.98939999999999</v>
      </c>
      <c r="M2952">
        <v>0.99964450000000005</v>
      </c>
      <c r="N2952">
        <v>-1.325752E-2</v>
      </c>
      <c r="O2952">
        <v>2.3134140000000001E-2</v>
      </c>
      <c r="P2952">
        <v>0.97957169999999905</v>
      </c>
      <c r="Q2952">
        <v>0.17290730000000001</v>
      </c>
      <c r="R2952">
        <v>-0.1026774</v>
      </c>
      <c r="S2952">
        <v>3.0436860000000001</v>
      </c>
      <c r="T2952">
        <v>-9.6296909999999999E-2</v>
      </c>
      <c r="U2952">
        <v>-0.34021000000000001</v>
      </c>
      <c r="V2952">
        <v>0.1251081</v>
      </c>
      <c r="W2952">
        <v>0.18598190000000001</v>
      </c>
      <c r="X2952">
        <v>0.97455559999999997</v>
      </c>
      <c r="Y2952">
        <v>0.13394900000000001</v>
      </c>
      <c r="Z2952">
        <v>-3.4268950000000001E-3</v>
      </c>
      <c r="AA2952">
        <v>0.99098229999999998</v>
      </c>
      <c r="AB2952">
        <v>32</v>
      </c>
      <c r="AC2952">
        <v>35.088299999999997</v>
      </c>
      <c r="AD2952">
        <v>-1.1215074213159999</v>
      </c>
      <c r="AE2952">
        <v>-3.9709999999999699</v>
      </c>
      <c r="AF2952">
        <v>4.7769276310605298</v>
      </c>
      <c r="AG2952">
        <v>-1.1215074213159999</v>
      </c>
      <c r="AH2952">
        <v>34.9517788313455</v>
      </c>
      <c r="AI2952">
        <v>91.820918570649596</v>
      </c>
      <c r="AJ2952">
        <v>82.217492335563193</v>
      </c>
      <c r="AK2952">
        <v>35.2945273373047</v>
      </c>
      <c r="AL2952">
        <v>79.281614889326505</v>
      </c>
      <c r="AM2952">
        <v>82.6846926060269</v>
      </c>
      <c r="AN2952">
        <v>0.99999996065228902</v>
      </c>
    </row>
    <row r="2953" spans="1:40" x14ac:dyDescent="0.25">
      <c r="A2953" t="str">
        <f>"20190303162607328"</f>
        <v>20190303162607328</v>
      </c>
      <c r="B2953" t="str">
        <f>"1551601567316527"</f>
        <v>1551601567316527</v>
      </c>
      <c r="C2953" t="s">
        <v>40</v>
      </c>
      <c r="D2953">
        <v>4.5981569999999996</v>
      </c>
      <c r="E2953">
        <v>0.5047334</v>
      </c>
      <c r="F2953" t="s">
        <v>46</v>
      </c>
      <c r="G2953">
        <v>-209.04900000000001</v>
      </c>
      <c r="H2953" s="1">
        <v>6.4575929999999998E-6</v>
      </c>
      <c r="I2953">
        <v>212.01140000000001</v>
      </c>
      <c r="J2953">
        <v>-244.00829999999999</v>
      </c>
      <c r="K2953">
        <v>1.121507</v>
      </c>
      <c r="L2953">
        <v>215.99950000000001</v>
      </c>
      <c r="M2953">
        <v>0.99962870000000004</v>
      </c>
      <c r="N2953">
        <v>-1.3258209999999999E-2</v>
      </c>
      <c r="O2953">
        <v>2.3801920000000001E-2</v>
      </c>
      <c r="P2953">
        <v>0.97954419999999998</v>
      </c>
      <c r="Q2953">
        <v>0.17313249999999999</v>
      </c>
      <c r="R2953">
        <v>-0.1025578</v>
      </c>
      <c r="S2953">
        <v>3.043701</v>
      </c>
      <c r="T2953">
        <v>-9.6529009999999998E-2</v>
      </c>
      <c r="U2953">
        <v>-0.34239199999999997</v>
      </c>
      <c r="V2953">
        <v>0.12564210000000001</v>
      </c>
      <c r="W2953">
        <v>0.18620590000000001</v>
      </c>
      <c r="X2953">
        <v>0.97444419999999998</v>
      </c>
      <c r="Y2953">
        <v>0.1353104</v>
      </c>
      <c r="Z2953">
        <v>-3.4765629999999998E-3</v>
      </c>
      <c r="AA2953">
        <v>0.99079720000000004</v>
      </c>
      <c r="AB2953">
        <v>32</v>
      </c>
      <c r="AC2953">
        <v>34.959299999999899</v>
      </c>
      <c r="AD2953">
        <v>-1.1215005424069999</v>
      </c>
      <c r="AE2953">
        <v>-3.9881000000000002</v>
      </c>
      <c r="AF2953">
        <v>4.8142507385263098</v>
      </c>
      <c r="AG2953">
        <v>-1.1215005424069999</v>
      </c>
      <c r="AH2953">
        <v>34.819088000067197</v>
      </c>
      <c r="AI2953">
        <v>91.827449462487607</v>
      </c>
      <c r="AJ2953">
        <v>82.127926871072503</v>
      </c>
      <c r="AK2953">
        <v>35.1682194999469</v>
      </c>
      <c r="AL2953">
        <v>79.2685532849477</v>
      </c>
      <c r="AM2953">
        <v>82.652978324100999</v>
      </c>
      <c r="AN2953">
        <v>1.00000003670042</v>
      </c>
    </row>
    <row r="2954" spans="1:40" x14ac:dyDescent="0.25">
      <c r="A2954" t="str">
        <f>"20190303162607348"</f>
        <v>20190303162607348</v>
      </c>
      <c r="B2954" t="str">
        <f>"1551601567336047"</f>
        <v>1551601567336047</v>
      </c>
      <c r="C2954" t="s">
        <v>40</v>
      </c>
      <c r="D2954">
        <v>4.6183290000000001</v>
      </c>
      <c r="E2954">
        <v>0.49479590000000001</v>
      </c>
      <c r="F2954" t="s">
        <v>48</v>
      </c>
      <c r="G2954">
        <v>-209.96440000000001</v>
      </c>
      <c r="H2954" s="1">
        <v>-1.449167E-6</v>
      </c>
      <c r="I2954">
        <v>212.1781</v>
      </c>
      <c r="J2954">
        <v>-243.7099</v>
      </c>
      <c r="K2954">
        <v>1.121507</v>
      </c>
      <c r="L2954">
        <v>216.00710000000001</v>
      </c>
      <c r="M2954">
        <v>0.99961699999999998</v>
      </c>
      <c r="N2954">
        <v>-1.325847E-2</v>
      </c>
      <c r="O2954">
        <v>2.4292879999999999E-2</v>
      </c>
      <c r="P2954">
        <v>0.97955449999999999</v>
      </c>
      <c r="Q2954">
        <v>0.17317399999999999</v>
      </c>
      <c r="R2954">
        <v>-0.1023917</v>
      </c>
      <c r="S2954">
        <v>3.0446010000000001</v>
      </c>
      <c r="T2954">
        <v>-0.1002982</v>
      </c>
      <c r="U2954">
        <v>-0.34175109999999997</v>
      </c>
      <c r="V2954">
        <v>0.12595709999999999</v>
      </c>
      <c r="W2954">
        <v>0.18624669999999999</v>
      </c>
      <c r="X2954">
        <v>0.97439569999999998</v>
      </c>
      <c r="Y2954">
        <v>0.13555130000000001</v>
      </c>
      <c r="Z2954">
        <v>-3.6037529999999999E-3</v>
      </c>
      <c r="AA2954">
        <v>0.99076379999999997</v>
      </c>
      <c r="AB2954">
        <v>32</v>
      </c>
      <c r="AC2954">
        <v>33.7454999999999</v>
      </c>
      <c r="AD2954">
        <v>-1.121508449167</v>
      </c>
      <c r="AE2954">
        <v>-3.8290000000000002</v>
      </c>
      <c r="AF2954">
        <v>4.6426544956707696</v>
      </c>
      <c r="AG2954">
        <v>-1.121508449167</v>
      </c>
      <c r="AH2954">
        <v>33.605867298152397</v>
      </c>
      <c r="AI2954">
        <v>91.893418603237805</v>
      </c>
      <c r="AJ2954">
        <v>82.134368918121794</v>
      </c>
      <c r="AK2954">
        <v>33.943575810877</v>
      </c>
      <c r="AL2954">
        <v>79.266173621758696</v>
      </c>
      <c r="AM2954">
        <v>82.634397875097903</v>
      </c>
      <c r="AN2954">
        <v>1.0000000022398901</v>
      </c>
    </row>
    <row r="2955" spans="1:40" x14ac:dyDescent="0.25">
      <c r="A2955" t="str">
        <f>"20190303162607371"</f>
        <v>20190303162607371</v>
      </c>
      <c r="B2955" t="str">
        <f>"1551601567356542"</f>
        <v>1551601567356542</v>
      </c>
      <c r="C2955" t="s">
        <v>40</v>
      </c>
      <c r="D2955">
        <v>4.7921069999999997</v>
      </c>
      <c r="E2955">
        <v>0.494114</v>
      </c>
      <c r="F2955" t="s">
        <v>48</v>
      </c>
      <c r="G2955">
        <v>-224.0556</v>
      </c>
      <c r="H2955" s="1">
        <v>6.3403059999999897E-7</v>
      </c>
      <c r="I2955">
        <v>214.3279</v>
      </c>
      <c r="J2955">
        <v>-243.38829999999999</v>
      </c>
      <c r="K2955">
        <v>1.1215079999999999</v>
      </c>
      <c r="L2955">
        <v>216.0155</v>
      </c>
      <c r="M2955">
        <v>0.99960400000000005</v>
      </c>
      <c r="N2955">
        <v>-1.3258499999999999E-2</v>
      </c>
      <c r="O2955">
        <v>2.482007E-2</v>
      </c>
      <c r="P2955">
        <v>0.97952939999999999</v>
      </c>
      <c r="Q2955">
        <v>0.17338120000000001</v>
      </c>
      <c r="R2955">
        <v>-0.1022802</v>
      </c>
      <c r="S2955">
        <v>3.066147</v>
      </c>
      <c r="T2955">
        <v>-0.1749598</v>
      </c>
      <c r="U2955">
        <v>-0.2619629</v>
      </c>
      <c r="V2955">
        <v>0.12636130000000001</v>
      </c>
      <c r="W2955">
        <v>0.18645229999999999</v>
      </c>
      <c r="X2955">
        <v>0.97430399999999995</v>
      </c>
      <c r="Y2955">
        <v>0.1095909</v>
      </c>
      <c r="Z2955">
        <v>-4.9316960000000002E-3</v>
      </c>
      <c r="AA2955">
        <v>0.99396459999999998</v>
      </c>
      <c r="AB2955">
        <v>32</v>
      </c>
      <c r="AC2955">
        <v>19.3326999999999</v>
      </c>
      <c r="AD2955">
        <v>-1.1215073659693999</v>
      </c>
      <c r="AE2955">
        <v>-1.6876</v>
      </c>
      <c r="AF2955">
        <v>2.15974801016268</v>
      </c>
      <c r="AG2955">
        <v>-1.1215073659693999</v>
      </c>
      <c r="AH2955">
        <v>19.2206597285317</v>
      </c>
      <c r="AI2955">
        <v>93.318531135629897</v>
      </c>
      <c r="AJ2955">
        <v>83.588796948064896</v>
      </c>
      <c r="AK2955">
        <v>19.374107737888899</v>
      </c>
      <c r="AL2955">
        <v>79.2541831417944</v>
      </c>
      <c r="AM2955">
        <v>82.6103344776824</v>
      </c>
      <c r="AN2955">
        <v>0.99999996136448899</v>
      </c>
    </row>
    <row r="2956" spans="1:40" x14ac:dyDescent="0.25">
      <c r="A2956" t="str">
        <f>"20190303162607391"</f>
        <v>20190303162607391</v>
      </c>
      <c r="B2956" t="str">
        <f>"1551601567386798"</f>
        <v>1551601567386798</v>
      </c>
      <c r="C2956" t="s">
        <v>40</v>
      </c>
      <c r="D2956">
        <v>4.6119329999999996</v>
      </c>
      <c r="E2956">
        <v>0.49412909999999999</v>
      </c>
      <c r="F2956" t="s">
        <v>48</v>
      </c>
      <c r="G2956">
        <v>-221.4238</v>
      </c>
      <c r="H2956" s="1">
        <v>-7.5987339999999999E-7</v>
      </c>
      <c r="I2956">
        <v>214.1756</v>
      </c>
      <c r="J2956">
        <v>-243.0855</v>
      </c>
      <c r="K2956">
        <v>1.121505</v>
      </c>
      <c r="L2956">
        <v>216.02359999999999</v>
      </c>
      <c r="M2956">
        <v>0.99959180000000003</v>
      </c>
      <c r="N2956">
        <v>-1.325835E-2</v>
      </c>
      <c r="O2956">
        <v>2.5314440000000001E-2</v>
      </c>
      <c r="P2956">
        <v>0.97960820000000004</v>
      </c>
      <c r="Q2956">
        <v>0.1732021</v>
      </c>
      <c r="R2956">
        <v>-0.1018284</v>
      </c>
      <c r="S2956">
        <v>3.063599</v>
      </c>
      <c r="T2956">
        <v>-0.15642690000000001</v>
      </c>
      <c r="U2956">
        <v>-0.25663760000000002</v>
      </c>
      <c r="V2956">
        <v>0.12639600000000001</v>
      </c>
      <c r="W2956">
        <v>0.1862724</v>
      </c>
      <c r="X2956">
        <v>0.97433389999999997</v>
      </c>
      <c r="Y2956">
        <v>0.1084841</v>
      </c>
      <c r="Z2956">
        <v>-4.4388550000000002E-3</v>
      </c>
      <c r="AA2956">
        <v>0.99408830000000004</v>
      </c>
      <c r="AB2956">
        <v>32</v>
      </c>
      <c r="AC2956">
        <v>21.6617</v>
      </c>
      <c r="AD2956">
        <v>-1.1215057598734</v>
      </c>
      <c r="AE2956">
        <v>-1.8479999999999801</v>
      </c>
      <c r="AF2956">
        <v>2.3894509125972898</v>
      </c>
      <c r="AG2956">
        <v>-1.1215057598734</v>
      </c>
      <c r="AH2956">
        <v>21.550622514055402</v>
      </c>
      <c r="AI2956">
        <v>92.960903446932207</v>
      </c>
      <c r="AJ2956">
        <v>83.673104448883393</v>
      </c>
      <c r="AK2956">
        <v>21.711669248964999</v>
      </c>
      <c r="AL2956">
        <v>79.264674350353701</v>
      </c>
      <c r="AM2956">
        <v>82.608551968706294</v>
      </c>
      <c r="AN2956">
        <v>0.99999995225348304</v>
      </c>
    </row>
    <row r="2957" spans="1:40" x14ac:dyDescent="0.25">
      <c r="A2957" t="str">
        <f>"20190303162607413"</f>
        <v>20190303162607413</v>
      </c>
      <c r="B2957" t="str">
        <f>"1551601567406319"</f>
        <v>1551601567406319</v>
      </c>
      <c r="C2957" t="s">
        <v>40</v>
      </c>
      <c r="D2957">
        <v>4.619224</v>
      </c>
      <c r="E2957">
        <v>0.49416599999999999</v>
      </c>
      <c r="F2957" t="s">
        <v>48</v>
      </c>
      <c r="G2957">
        <v>-219.71510000000001</v>
      </c>
      <c r="H2957" s="1">
        <v>3.6567749999999998E-6</v>
      </c>
      <c r="I2957">
        <v>214.07480000000001</v>
      </c>
      <c r="J2957">
        <v>-242.78649999999999</v>
      </c>
      <c r="K2957">
        <v>1.1215040000000001</v>
      </c>
      <c r="L2957">
        <v>216.0317</v>
      </c>
      <c r="M2957">
        <v>0.99957929999999995</v>
      </c>
      <c r="N2957">
        <v>-1.3257990000000001E-2</v>
      </c>
      <c r="O2957">
        <v>2.580112E-2</v>
      </c>
      <c r="P2957">
        <v>0.97962780000000005</v>
      </c>
      <c r="Q2957">
        <v>0.17314370000000001</v>
      </c>
      <c r="R2957">
        <v>-0.10173939999999999</v>
      </c>
      <c r="S2957">
        <v>3.06189</v>
      </c>
      <c r="T2957">
        <v>-0.1469345</v>
      </c>
      <c r="U2957">
        <v>-0.25532529999999998</v>
      </c>
      <c r="V2957">
        <v>0.12678429999999999</v>
      </c>
      <c r="W2957">
        <v>0.1862134</v>
      </c>
      <c r="X2957">
        <v>0.97429480000000002</v>
      </c>
      <c r="Y2957">
        <v>0.108612</v>
      </c>
      <c r="Z2957">
        <v>-4.2160729999999999E-3</v>
      </c>
      <c r="AA2957">
        <v>0.9940753</v>
      </c>
      <c r="AB2957">
        <v>32</v>
      </c>
      <c r="AC2957">
        <v>23.071399999999901</v>
      </c>
      <c r="AD2957">
        <v>-1.1215003432249999</v>
      </c>
      <c r="AE2957">
        <v>-1.9568999999999901</v>
      </c>
      <c r="AF2957">
        <v>2.54559653210926</v>
      </c>
      <c r="AG2957">
        <v>-1.1215003432249999</v>
      </c>
      <c r="AH2957">
        <v>22.959359584908199</v>
      </c>
      <c r="AI2957">
        <v>92.7795102041609</v>
      </c>
      <c r="AJ2957">
        <v>83.673227166193797</v>
      </c>
      <c r="AK2957">
        <v>23.127257020089001</v>
      </c>
      <c r="AL2957">
        <v>79.268115770318602</v>
      </c>
      <c r="AM2957">
        <v>82.585802786327406</v>
      </c>
      <c r="AN2957">
        <v>1.00000002318654</v>
      </c>
    </row>
    <row r="2958" spans="1:40" x14ac:dyDescent="0.25">
      <c r="A2958" t="str">
        <f>"20190303162607435"</f>
        <v>20190303162607435</v>
      </c>
      <c r="B2958" t="str">
        <f>"1551601567426397"</f>
        <v>1551601567426397</v>
      </c>
      <c r="C2958" t="s">
        <v>40</v>
      </c>
      <c r="D2958">
        <v>4.5887029999999998</v>
      </c>
      <c r="E2958">
        <v>0.4942802</v>
      </c>
      <c r="F2958" t="s">
        <v>48</v>
      </c>
      <c r="G2958">
        <v>-218.7193</v>
      </c>
      <c r="H2958" s="1">
        <v>3.1286029999999999E-6</v>
      </c>
      <c r="I2958">
        <v>214.03440000000001</v>
      </c>
      <c r="J2958">
        <v>-242.4639</v>
      </c>
      <c r="K2958">
        <v>1.121494</v>
      </c>
      <c r="L2958">
        <v>216.04060000000001</v>
      </c>
      <c r="M2958">
        <v>0.9995657</v>
      </c>
      <c r="N2958">
        <v>-1.3257390000000001E-2</v>
      </c>
      <c r="O2958">
        <v>2.6325169999999998E-2</v>
      </c>
      <c r="P2958">
        <v>0.97972899999999996</v>
      </c>
      <c r="Q2958">
        <v>0.17262459999999999</v>
      </c>
      <c r="R2958">
        <v>-0.10164769999999999</v>
      </c>
      <c r="S2958">
        <v>3.0612180000000002</v>
      </c>
      <c r="T2958">
        <v>-0.14264849999999901</v>
      </c>
      <c r="U2958">
        <v>-0.25404359999999998</v>
      </c>
      <c r="V2958">
        <v>0.1272085</v>
      </c>
      <c r="W2958">
        <v>0.18569330000000001</v>
      </c>
      <c r="X2958">
        <v>0.97433879999999995</v>
      </c>
      <c r="Y2958">
        <v>0.1087467</v>
      </c>
      <c r="Z2958">
        <v>-4.1265850000000003E-3</v>
      </c>
      <c r="AA2958">
        <v>0.99406090000000003</v>
      </c>
      <c r="AB2958">
        <v>32</v>
      </c>
      <c r="AC2958">
        <v>23.744599999999899</v>
      </c>
      <c r="AD2958">
        <v>-1.121490871397</v>
      </c>
      <c r="AE2958">
        <v>-2.0062000000000002</v>
      </c>
      <c r="AF2958">
        <v>2.6248260788362399</v>
      </c>
      <c r="AG2958">
        <v>-1.121490871397</v>
      </c>
      <c r="AH2958">
        <v>23.631208288236898</v>
      </c>
      <c r="AI2958">
        <v>92.700523788278105</v>
      </c>
      <c r="AJ2958">
        <v>83.661876909263896</v>
      </c>
      <c r="AK2958">
        <v>23.802971639709298</v>
      </c>
      <c r="AL2958">
        <v>79.298444574808997</v>
      </c>
      <c r="AM2958">
        <v>82.561605596445105</v>
      </c>
      <c r="AN2958">
        <v>1.0000000506612801</v>
      </c>
    </row>
    <row r="2959" spans="1:40" x14ac:dyDescent="0.25">
      <c r="A2959" t="str">
        <f>"20190303162607456"</f>
        <v>20190303162607456</v>
      </c>
      <c r="B2959" t="str">
        <f>"1551601567445917"</f>
        <v>1551601567445917</v>
      </c>
      <c r="C2959" t="s">
        <v>40</v>
      </c>
      <c r="D2959">
        <v>4.6058320000000004</v>
      </c>
      <c r="E2959">
        <v>0.4943091</v>
      </c>
      <c r="F2959" t="s">
        <v>48</v>
      </c>
      <c r="G2959">
        <v>-218.1311</v>
      </c>
      <c r="H2959" s="1">
        <v>2.816054E-6</v>
      </c>
      <c r="I2959">
        <v>214.0249</v>
      </c>
      <c r="J2959">
        <v>-242.1722</v>
      </c>
      <c r="K2959">
        <v>1.121491</v>
      </c>
      <c r="L2959">
        <v>216.0488</v>
      </c>
      <c r="M2959">
        <v>0.99955300000000002</v>
      </c>
      <c r="N2959">
        <v>-1.3256759999999999E-2</v>
      </c>
      <c r="O2959">
        <v>2.6798510000000001E-2</v>
      </c>
      <c r="P2959">
        <v>0.97984680000000002</v>
      </c>
      <c r="Q2959">
        <v>0.17205780000000001</v>
      </c>
      <c r="R2959">
        <v>-0.1014719</v>
      </c>
      <c r="S2959">
        <v>3.0606080000000002</v>
      </c>
      <c r="T2959">
        <v>-0.14106250000000001</v>
      </c>
      <c r="U2959">
        <v>-0.25353999999999999</v>
      </c>
      <c r="V2959">
        <v>0.1274998</v>
      </c>
      <c r="W2959">
        <v>0.18512690000000001</v>
      </c>
      <c r="X2959">
        <v>0.97440839999999995</v>
      </c>
      <c r="Y2959">
        <v>0.109074</v>
      </c>
      <c r="Z2959">
        <v>-4.1108489999999998E-3</v>
      </c>
      <c r="AA2959">
        <v>0.99402509999999999</v>
      </c>
      <c r="AB2959">
        <v>32</v>
      </c>
      <c r="AC2959">
        <v>24.0411</v>
      </c>
      <c r="AD2959">
        <v>-1.121488183946</v>
      </c>
      <c r="AE2959">
        <v>-2.02389999999999</v>
      </c>
      <c r="AF2959">
        <v>2.66174376093069</v>
      </c>
      <c r="AG2959">
        <v>-1.121488183946</v>
      </c>
      <c r="AH2959">
        <v>23.926521660723399</v>
      </c>
      <c r="AI2959">
        <v>92.667184286439195</v>
      </c>
      <c r="AJ2959">
        <v>83.652141098777903</v>
      </c>
      <c r="AK2959">
        <v>24.100229342822601</v>
      </c>
      <c r="AL2959">
        <v>79.331468418150493</v>
      </c>
      <c r="AM2959">
        <v>82.545290027923997</v>
      </c>
      <c r="AN2959">
        <v>0.99999994904710299</v>
      </c>
    </row>
    <row r="2960" spans="1:40" x14ac:dyDescent="0.25">
      <c r="A2960" t="str">
        <f>"20190303162607479"</f>
        <v>20190303162607479</v>
      </c>
      <c r="B2960" t="str">
        <f>"1551601567466413"</f>
        <v>1551601567466413</v>
      </c>
      <c r="C2960" t="s">
        <v>40</v>
      </c>
      <c r="D2960">
        <v>4.6810600000000004</v>
      </c>
      <c r="E2960">
        <v>0.4944095</v>
      </c>
      <c r="F2960" t="s">
        <v>48</v>
      </c>
      <c r="G2960">
        <v>-217.87479999999999</v>
      </c>
      <c r="H2960" s="1">
        <v>2.6791689999999999E-6</v>
      </c>
      <c r="I2960">
        <v>214.03620000000001</v>
      </c>
      <c r="J2960">
        <v>-241.85149999999999</v>
      </c>
      <c r="K2960">
        <v>1.121494</v>
      </c>
      <c r="L2960">
        <v>216.05789999999999</v>
      </c>
      <c r="M2960">
        <v>0.99953899999999996</v>
      </c>
      <c r="N2960">
        <v>-1.3255879999999999E-2</v>
      </c>
      <c r="O2960">
        <v>2.731811E-2</v>
      </c>
      <c r="P2960">
        <v>0.97982570000000002</v>
      </c>
      <c r="Q2960">
        <v>0.17186279999999901</v>
      </c>
      <c r="R2960">
        <v>-0.10200430000000001</v>
      </c>
      <c r="S2960">
        <v>3.060257</v>
      </c>
      <c r="T2960">
        <v>-0.14125179999999901</v>
      </c>
      <c r="U2960">
        <v>-0.25347900000000001</v>
      </c>
      <c r="V2960">
        <v>0.12853989999999901</v>
      </c>
      <c r="W2960">
        <v>0.1849305</v>
      </c>
      <c r="X2960">
        <v>0.97430910000000004</v>
      </c>
      <c r="Y2960">
        <v>0.109579</v>
      </c>
      <c r="Z2960">
        <v>-4.1483179999999998E-3</v>
      </c>
      <c r="AA2960">
        <v>0.9939694</v>
      </c>
      <c r="AB2960">
        <v>32</v>
      </c>
      <c r="AC2960">
        <v>23.976699999999902</v>
      </c>
      <c r="AD2960">
        <v>-1.121491320831</v>
      </c>
      <c r="AE2960">
        <v>-2.0216999999999801</v>
      </c>
      <c r="AF2960">
        <v>2.6702002696606599</v>
      </c>
      <c r="AG2960">
        <v>-1.121491320831</v>
      </c>
      <c r="AH2960">
        <v>23.860681715954701</v>
      </c>
      <c r="AI2960">
        <v>92.674346126039495</v>
      </c>
      <c r="AJ2960">
        <v>83.614712781064199</v>
      </c>
      <c r="AK2960">
        <v>24.0358033818903</v>
      </c>
      <c r="AL2960">
        <v>79.34291967291</v>
      </c>
      <c r="AM2960">
        <v>82.484412164547194</v>
      </c>
      <c r="AN2960">
        <v>1.0000000090325301</v>
      </c>
    </row>
    <row r="2961" spans="1:40" x14ac:dyDescent="0.25">
      <c r="A2961" t="str">
        <f>"20190303162607504"</f>
        <v>20190303162607504</v>
      </c>
      <c r="B2961" t="str">
        <f>"1551601567496669"</f>
        <v>1551601567496669</v>
      </c>
      <c r="C2961" t="s">
        <v>40</v>
      </c>
      <c r="D2961">
        <v>4.6807429999999997</v>
      </c>
      <c r="E2961">
        <v>0.49461949999999999</v>
      </c>
      <c r="F2961" t="s">
        <v>48</v>
      </c>
      <c r="G2961">
        <v>-217.4554</v>
      </c>
      <c r="H2961" s="1">
        <v>2.45668E-6</v>
      </c>
      <c r="I2961">
        <v>214.01920000000001</v>
      </c>
      <c r="J2961">
        <v>-241.49440000000001</v>
      </c>
      <c r="K2961">
        <v>1.1214869999999999</v>
      </c>
      <c r="L2961">
        <v>216.06829999999999</v>
      </c>
      <c r="M2961">
        <v>0.9995231</v>
      </c>
      <c r="N2961">
        <v>-1.325482E-2</v>
      </c>
      <c r="O2961">
        <v>2.7896420000000002E-2</v>
      </c>
      <c r="P2961">
        <v>0.97982590000000003</v>
      </c>
      <c r="Q2961">
        <v>0.17135889999999901</v>
      </c>
      <c r="R2961">
        <v>-0.102849499999999</v>
      </c>
      <c r="S2961">
        <v>3.0598450000000001</v>
      </c>
      <c r="T2961">
        <v>-0.14066139999999999</v>
      </c>
      <c r="U2961">
        <v>-0.25570680000000001</v>
      </c>
      <c r="V2961">
        <v>0.12995080000000001</v>
      </c>
      <c r="W2961">
        <v>0.18442529999999999</v>
      </c>
      <c r="X2961">
        <v>0.97421769999999996</v>
      </c>
      <c r="Y2961">
        <v>0.11088290000000001</v>
      </c>
      <c r="Z2961">
        <v>-4.1903720000000004E-3</v>
      </c>
      <c r="AA2961">
        <v>0.99382470000000001</v>
      </c>
      <c r="AB2961">
        <v>32</v>
      </c>
      <c r="AC2961">
        <v>24.039000000000001</v>
      </c>
      <c r="AD2961">
        <v>-1.12148454332</v>
      </c>
      <c r="AE2961">
        <v>-2.0490999999999802</v>
      </c>
      <c r="AF2961">
        <v>2.71310083532244</v>
      </c>
      <c r="AG2961">
        <v>-1.12148454332</v>
      </c>
      <c r="AH2961">
        <v>23.920787823151901</v>
      </c>
      <c r="AI2961">
        <v>92.667171763034901</v>
      </c>
      <c r="AJ2961">
        <v>83.529153272143404</v>
      </c>
      <c r="AK2961">
        <v>24.100264185352501</v>
      </c>
      <c r="AL2961">
        <v>79.3723721663155</v>
      </c>
      <c r="AM2961">
        <v>82.402172327017993</v>
      </c>
      <c r="AN2961">
        <v>1.00000001434701</v>
      </c>
    </row>
    <row r="2962" spans="1:40" x14ac:dyDescent="0.25">
      <c r="A2962" t="str">
        <f>"20190303162607543"</f>
        <v>20190303162607543</v>
      </c>
      <c r="B2962" t="str">
        <f>"1551601567525949"</f>
        <v>1551601567525949</v>
      </c>
      <c r="C2962" t="s">
        <v>40</v>
      </c>
      <c r="D2962">
        <v>4.7053279999999997</v>
      </c>
      <c r="E2962">
        <v>0.49490420000000002</v>
      </c>
      <c r="F2962" t="s">
        <v>48</v>
      </c>
      <c r="G2962">
        <v>-217.07419999999999</v>
      </c>
      <c r="H2962" s="1">
        <v>2.254862E-6</v>
      </c>
      <c r="I2962">
        <v>213.9965</v>
      </c>
      <c r="J2962">
        <v>-240.92910000000001</v>
      </c>
      <c r="K2962">
        <v>1.1214759999999999</v>
      </c>
      <c r="L2962">
        <v>216.08529999999999</v>
      </c>
      <c r="M2962">
        <v>0.99949710000000003</v>
      </c>
      <c r="N2962">
        <v>-1.3253050000000001E-2</v>
      </c>
      <c r="O2962">
        <v>2.8812669999999999E-2</v>
      </c>
      <c r="P2962">
        <v>0.98005379999999997</v>
      </c>
      <c r="Q2962">
        <v>0.1698982</v>
      </c>
      <c r="R2962">
        <v>-0.10309790000000001</v>
      </c>
      <c r="S2962">
        <v>3.059097</v>
      </c>
      <c r="T2962">
        <v>-0.14048740000000001</v>
      </c>
      <c r="U2962">
        <v>-0.25953670000000001</v>
      </c>
      <c r="V2962">
        <v>0.1311031</v>
      </c>
      <c r="W2962">
        <v>0.18296519999999999</v>
      </c>
      <c r="X2962">
        <v>0.97433860000000005</v>
      </c>
      <c r="Y2962">
        <v>0.1130462</v>
      </c>
      <c r="Z2962">
        <v>-4.2802059999999999E-3</v>
      </c>
      <c r="AA2962">
        <v>0.99358049999999998</v>
      </c>
      <c r="AB2962">
        <v>32</v>
      </c>
      <c r="AC2962">
        <v>23.854900000000001</v>
      </c>
      <c r="AD2962">
        <v>-1.1214737451379999</v>
      </c>
      <c r="AE2962">
        <v>-2.0887999999999902</v>
      </c>
      <c r="AF2962">
        <v>2.76924238917502</v>
      </c>
      <c r="AG2962">
        <v>-1.1214737451379999</v>
      </c>
      <c r="AH2962">
        <v>23.7327512289251</v>
      </c>
      <c r="AI2962">
        <v>92.687252518083696</v>
      </c>
      <c r="AJ2962">
        <v>83.344571240702606</v>
      </c>
      <c r="AK2962">
        <v>23.920072902587101</v>
      </c>
      <c r="AL2962">
        <v>79.457477784696295</v>
      </c>
      <c r="AM2962">
        <v>82.336537961420206</v>
      </c>
      <c r="AN2962">
        <v>0.99999999734530498</v>
      </c>
    </row>
    <row r="2963" spans="1:40" x14ac:dyDescent="0.25">
      <c r="A2963" t="str">
        <f>"20190303162607572"</f>
        <v>20190303162607572</v>
      </c>
      <c r="B2963" t="str">
        <f>"1551601567565966"</f>
        <v>1551601567565966</v>
      </c>
      <c r="C2963" t="s">
        <v>40</v>
      </c>
      <c r="D2963">
        <v>4.7705950000000001</v>
      </c>
      <c r="E2963">
        <v>0.4936507</v>
      </c>
      <c r="F2963" t="s">
        <v>48</v>
      </c>
      <c r="G2963">
        <v>-216.8954</v>
      </c>
      <c r="H2963" s="1">
        <v>2.1584860000000002E-6</v>
      </c>
      <c r="I2963">
        <v>214.02369999999999</v>
      </c>
      <c r="J2963">
        <v>-240.50919999999999</v>
      </c>
      <c r="K2963">
        <v>1.1214759999999999</v>
      </c>
      <c r="L2963">
        <v>216.09809999999999</v>
      </c>
      <c r="M2963">
        <v>0.99947710000000001</v>
      </c>
      <c r="N2963">
        <v>-1.3251270000000001E-2</v>
      </c>
      <c r="O2963">
        <v>2.9493510000000001E-2</v>
      </c>
      <c r="P2963">
        <v>0.980132</v>
      </c>
      <c r="Q2963">
        <v>0.16997789999999999</v>
      </c>
      <c r="R2963">
        <v>-0.10222059999999999</v>
      </c>
      <c r="S2963">
        <v>3.058182</v>
      </c>
      <c r="T2963">
        <v>-0.14270250000000001</v>
      </c>
      <c r="U2963">
        <v>-0.26232909999999998</v>
      </c>
      <c r="V2963">
        <v>0.13089400000000001</v>
      </c>
      <c r="W2963">
        <v>0.18304309999999999</v>
      </c>
      <c r="X2963">
        <v>0.97435210000000005</v>
      </c>
      <c r="Y2963">
        <v>0.1146409</v>
      </c>
      <c r="Z2963">
        <v>-4.4132570000000003E-3</v>
      </c>
      <c r="AA2963">
        <v>0.99339719999999998</v>
      </c>
      <c r="AB2963">
        <v>32</v>
      </c>
      <c r="AC2963">
        <v>23.613800000000001</v>
      </c>
      <c r="AD2963">
        <v>-1.121473841514</v>
      </c>
      <c r="AE2963">
        <v>-2.07439999999999</v>
      </c>
      <c r="AF2963">
        <v>2.7638263182094902</v>
      </c>
      <c r="AG2963">
        <v>-1.121473841514</v>
      </c>
      <c r="AH2963">
        <v>23.489762935105698</v>
      </c>
      <c r="AI2963">
        <v>92.7147035210361</v>
      </c>
      <c r="AJ2963">
        <v>83.289381771790005</v>
      </c>
      <c r="AK2963">
        <v>23.678374146927698</v>
      </c>
      <c r="AL2963">
        <v>79.4529379632027</v>
      </c>
      <c r="AM2963">
        <v>82.348720477363997</v>
      </c>
      <c r="AN2963">
        <v>1.0000000152340001</v>
      </c>
    </row>
    <row r="2964" spans="1:40" x14ac:dyDescent="0.25">
      <c r="A2964" t="str">
        <f>"20190303162607596"</f>
        <v>20190303162607596</v>
      </c>
      <c r="B2964" t="str">
        <f>"1551601567586460"</f>
        <v>1551601567586460</v>
      </c>
      <c r="C2964" t="s">
        <v>40</v>
      </c>
      <c r="D2964">
        <v>4.7911460000000003</v>
      </c>
      <c r="E2964">
        <v>0.49162610000000001</v>
      </c>
      <c r="F2964" t="s">
        <v>42</v>
      </c>
      <c r="G2964">
        <v>-239.69630000000001</v>
      </c>
      <c r="H2964">
        <v>1.037083</v>
      </c>
      <c r="I2964">
        <v>216.03270000000001</v>
      </c>
      <c r="J2964">
        <v>-240.178</v>
      </c>
      <c r="K2964">
        <v>1.1214770000000001</v>
      </c>
      <c r="L2964">
        <v>216.10849999999999</v>
      </c>
      <c r="M2964">
        <v>0.99946120000000005</v>
      </c>
      <c r="N2964">
        <v>-1.324958E-2</v>
      </c>
      <c r="O2964">
        <v>3.003053E-2</v>
      </c>
      <c r="P2964">
        <v>0.98016400000000004</v>
      </c>
      <c r="Q2964">
        <v>0.1702167</v>
      </c>
      <c r="R2964">
        <v>-0.1015132</v>
      </c>
      <c r="S2964">
        <v>3.0906220000000002</v>
      </c>
      <c r="T2964">
        <v>-0.32106839999999998</v>
      </c>
      <c r="U2964">
        <v>-0.24804689999999999</v>
      </c>
      <c r="V2964">
        <v>0.13071259999999901</v>
      </c>
      <c r="W2964">
        <v>0.18327979999999999</v>
      </c>
      <c r="X2964">
        <v>0.97433190000000003</v>
      </c>
      <c r="Y2964">
        <v>0.1091202</v>
      </c>
      <c r="Z2964">
        <v>-9.0807130000000007E-3</v>
      </c>
      <c r="AA2964">
        <v>0.99398710000000001</v>
      </c>
      <c r="AB2964">
        <v>32</v>
      </c>
      <c r="AC2964">
        <v>0.48169999999998903</v>
      </c>
      <c r="AD2964">
        <v>-8.4393999999999997E-2</v>
      </c>
      <c r="AE2964">
        <v>-7.5799999999986697E-2</v>
      </c>
      <c r="AF2964">
        <v>8.7608602591088894E-2</v>
      </c>
      <c r="AG2964">
        <v>-8.4393999999999997E-2</v>
      </c>
      <c r="AH2964">
        <v>0.46526975806107201</v>
      </c>
      <c r="AI2964">
        <v>100.107085030711</v>
      </c>
      <c r="AJ2964">
        <v>79.336272568432193</v>
      </c>
      <c r="AK2964">
        <v>0.48090909977892099</v>
      </c>
      <c r="AL2964">
        <v>79.439142086658606</v>
      </c>
      <c r="AM2964">
        <v>82.359042140915406</v>
      </c>
      <c r="AN2964">
        <v>0.99999996012220405</v>
      </c>
    </row>
    <row r="2965" spans="1:40" x14ac:dyDescent="0.25">
      <c r="A2965" t="str">
        <f>"20190303162607615"</f>
        <v>20190303162607615</v>
      </c>
      <c r="B2965" t="str">
        <f>"1551601567605981"</f>
        <v>1551601567605981</v>
      </c>
      <c r="C2965" t="s">
        <v>40</v>
      </c>
      <c r="D2965">
        <v>4.7432169999999996</v>
      </c>
      <c r="E2965">
        <v>0.49034240000000001</v>
      </c>
      <c r="F2965" t="s">
        <v>42</v>
      </c>
      <c r="G2965">
        <v>-239.42080000000001</v>
      </c>
      <c r="H2965">
        <v>1.018861</v>
      </c>
      <c r="I2965">
        <v>216.053</v>
      </c>
      <c r="J2965">
        <v>-239.89830000000001</v>
      </c>
      <c r="K2965">
        <v>1.1214710000000001</v>
      </c>
      <c r="L2965">
        <v>216.1174</v>
      </c>
      <c r="M2965">
        <v>0.99944750000000004</v>
      </c>
      <c r="N2965">
        <v>-1.3248070000000001E-2</v>
      </c>
      <c r="O2965">
        <v>3.0482720000000001E-2</v>
      </c>
      <c r="P2965">
        <v>0.98015770000000002</v>
      </c>
      <c r="Q2965">
        <v>0.1706635</v>
      </c>
      <c r="R2965">
        <v>-0.1008221</v>
      </c>
      <c r="S2965">
        <v>3.1103209999999999</v>
      </c>
      <c r="T2965">
        <v>-0.42151549999999999</v>
      </c>
      <c r="U2965">
        <v>-0.22795099999999999</v>
      </c>
      <c r="V2965">
        <v>0.13046340000000001</v>
      </c>
      <c r="W2965">
        <v>0.18372369999999999</v>
      </c>
      <c r="X2965">
        <v>0.97428170000000003</v>
      </c>
      <c r="Y2965">
        <v>0.10221470000000001</v>
      </c>
      <c r="Z2965">
        <v>-1.1272799999999999E-2</v>
      </c>
      <c r="AA2965">
        <v>0.99469850000000004</v>
      </c>
      <c r="AB2965">
        <v>32</v>
      </c>
      <c r="AC2965">
        <v>0.47749999999999199</v>
      </c>
      <c r="AD2965">
        <v>-0.10260999999999899</v>
      </c>
      <c r="AE2965">
        <v>-6.4400000000006202E-2</v>
      </c>
      <c r="AF2965">
        <v>7.5502591301098002E-2</v>
      </c>
      <c r="AG2965">
        <v>-0.10260999999999899</v>
      </c>
      <c r="AH2965">
        <v>0.45469320266927798</v>
      </c>
      <c r="AI2965">
        <v>102.550543040786</v>
      </c>
      <c r="AJ2965">
        <v>80.5719624305097</v>
      </c>
      <c r="AK2965">
        <v>0.472202670414755</v>
      </c>
      <c r="AL2965">
        <v>79.413269190007497</v>
      </c>
      <c r="AM2965">
        <v>82.373049464421598</v>
      </c>
      <c r="AN2965">
        <v>0.99999996381806899</v>
      </c>
    </row>
    <row r="2966" spans="1:40" x14ac:dyDescent="0.25">
      <c r="A2966" t="str">
        <f>"20190303162607635"</f>
        <v>20190303162607635</v>
      </c>
      <c r="B2966" t="str">
        <f>"1551601567626134"</f>
        <v>1551601567626134</v>
      </c>
      <c r="C2966" t="s">
        <v>40</v>
      </c>
      <c r="D2966">
        <v>4.7913230000000002</v>
      </c>
      <c r="E2966">
        <v>0.49270259999999999</v>
      </c>
      <c r="F2966" t="s">
        <v>42</v>
      </c>
      <c r="G2966">
        <v>-239.1891</v>
      </c>
      <c r="H2966">
        <v>0.91174040000000001</v>
      </c>
      <c r="I2966">
        <v>216.07069999999999</v>
      </c>
      <c r="J2966">
        <v>-239.6078</v>
      </c>
      <c r="K2966">
        <v>1.12147</v>
      </c>
      <c r="L2966">
        <v>216.1268</v>
      </c>
      <c r="M2966">
        <v>0.99943320000000002</v>
      </c>
      <c r="N2966">
        <v>-1.3246559999999999E-2</v>
      </c>
      <c r="O2966">
        <v>3.0950399999999999E-2</v>
      </c>
      <c r="P2966">
        <v>0.98001059999999995</v>
      </c>
      <c r="Q2966">
        <v>0.17166380000000001</v>
      </c>
      <c r="R2966">
        <v>-0.1005552</v>
      </c>
      <c r="S2966">
        <v>3.2042389999999998</v>
      </c>
      <c r="T2966">
        <v>-0.94777230000000001</v>
      </c>
      <c r="U2966">
        <v>-0.20947270000000001</v>
      </c>
      <c r="V2966">
        <v>0.13064880000000001</v>
      </c>
      <c r="W2966">
        <v>0.18471960000000001</v>
      </c>
      <c r="X2966">
        <v>0.97406859999999995</v>
      </c>
      <c r="Y2966">
        <v>9.0828210000000006E-2</v>
      </c>
      <c r="Z2966">
        <v>-2.230712E-2</v>
      </c>
      <c r="AA2966">
        <v>0.99561670000000002</v>
      </c>
      <c r="AB2966">
        <v>32</v>
      </c>
      <c r="AC2966">
        <v>0.41870000000000102</v>
      </c>
      <c r="AD2966">
        <v>-0.20972959999999999</v>
      </c>
      <c r="AE2966">
        <v>-5.6100000000014902E-2</v>
      </c>
      <c r="AF2966">
        <v>5.5382395740933898E-2</v>
      </c>
      <c r="AG2966">
        <v>-0.20972959999999999</v>
      </c>
      <c r="AH2966">
        <v>0.33435118484193299</v>
      </c>
      <c r="AI2966">
        <v>121.750930575713</v>
      </c>
      <c r="AJ2966">
        <v>80.594843504237403</v>
      </c>
      <c r="AK2966">
        <v>0.39855291954691502</v>
      </c>
      <c r="AL2966">
        <v>79.355215504454193</v>
      </c>
      <c r="AM2966">
        <v>82.360687563308403</v>
      </c>
      <c r="AN2966">
        <v>1.0000000385357699</v>
      </c>
    </row>
    <row r="2967" spans="1:40" x14ac:dyDescent="0.25">
      <c r="A2967" t="str">
        <f>"20190303162607662"</f>
        <v>20190303162607662</v>
      </c>
      <c r="B2967" t="str">
        <f>"1551601567656390"</f>
        <v>1551601567656390</v>
      </c>
      <c r="C2967" t="s">
        <v>40</v>
      </c>
      <c r="D2967">
        <v>4.8303949999999896</v>
      </c>
      <c r="E2967">
        <v>0.49508229999999998</v>
      </c>
      <c r="F2967" t="s">
        <v>42</v>
      </c>
      <c r="G2967">
        <v>-238.9058</v>
      </c>
      <c r="H2967">
        <v>0.90866840000000004</v>
      </c>
      <c r="I2967">
        <v>216.07679999999999</v>
      </c>
      <c r="J2967">
        <v>-239.22829999999999</v>
      </c>
      <c r="K2967">
        <v>1.12147</v>
      </c>
      <c r="L2967">
        <v>216.13919999999999</v>
      </c>
      <c r="M2967">
        <v>0.99941429999999998</v>
      </c>
      <c r="N2967">
        <v>-1.324446E-2</v>
      </c>
      <c r="O2967">
        <v>3.1554819999999997E-2</v>
      </c>
      <c r="P2967">
        <v>0.98004769999999997</v>
      </c>
      <c r="Q2967">
        <v>0.1718809</v>
      </c>
      <c r="R2967">
        <v>-9.9816870000000002E-2</v>
      </c>
      <c r="S2967">
        <v>3.208221</v>
      </c>
      <c r="T2967">
        <v>-0.97269729999999999</v>
      </c>
      <c r="U2967">
        <v>-0.22756960000000001</v>
      </c>
      <c r="V2967">
        <v>0.1305046</v>
      </c>
      <c r="W2967">
        <v>0.1849324</v>
      </c>
      <c r="X2967">
        <v>0.97404749999999996</v>
      </c>
      <c r="Y2967">
        <v>9.6395449999999994E-2</v>
      </c>
      <c r="Z2967">
        <v>-2.3867329999999999E-2</v>
      </c>
      <c r="AA2967">
        <v>0.99505690000000002</v>
      </c>
      <c r="AB2967">
        <v>32</v>
      </c>
      <c r="AC2967">
        <v>0.32249999999999002</v>
      </c>
      <c r="AD2967">
        <v>-0.21280159999999901</v>
      </c>
      <c r="AE2967">
        <v>-6.2399999999996597E-2</v>
      </c>
      <c r="AF2967">
        <v>5.1100070271778202E-2</v>
      </c>
      <c r="AG2967">
        <v>-0.21280159999999901</v>
      </c>
      <c r="AH2967">
        <v>0.225662118006908</v>
      </c>
      <c r="AI2967">
        <v>132.60549371624799</v>
      </c>
      <c r="AJ2967">
        <v>77.240835048539907</v>
      </c>
      <c r="AK2967">
        <v>0.314355101195613</v>
      </c>
      <c r="AL2967">
        <v>79.342808670509996</v>
      </c>
      <c r="AM2967">
        <v>82.368856476777694</v>
      </c>
      <c r="AN2967">
        <v>0.99999998772358401</v>
      </c>
    </row>
    <row r="2968" spans="1:40" x14ac:dyDescent="0.25">
      <c r="A2968" t="str">
        <f>"20190303162607679"</f>
        <v>20190303162607679</v>
      </c>
      <c r="B2968" t="str">
        <f>"1551601567675910"</f>
        <v>1551601567675910</v>
      </c>
      <c r="C2968" t="s">
        <v>40</v>
      </c>
      <c r="D2968">
        <v>4.8036000000000003</v>
      </c>
      <c r="E2968">
        <v>0.49539490000000003</v>
      </c>
      <c r="F2968" t="s">
        <v>42</v>
      </c>
      <c r="G2968">
        <v>-238.35810000000001</v>
      </c>
      <c r="H2968">
        <v>0.85525859999999998</v>
      </c>
      <c r="I2968">
        <v>216.0728</v>
      </c>
      <c r="J2968">
        <v>-238.98150000000001</v>
      </c>
      <c r="K2968">
        <v>1.1214740000000001</v>
      </c>
      <c r="L2968">
        <v>216.1474</v>
      </c>
      <c r="M2968">
        <v>0.99940200000000001</v>
      </c>
      <c r="N2968">
        <v>-1.324316E-2</v>
      </c>
      <c r="O2968">
        <v>3.1942230000000002E-2</v>
      </c>
      <c r="P2968">
        <v>0.9800238</v>
      </c>
      <c r="Q2968">
        <v>0.17230780000000001</v>
      </c>
      <c r="R2968">
        <v>-9.931682E-2</v>
      </c>
      <c r="S2968">
        <v>3.208313</v>
      </c>
      <c r="T2968">
        <v>-0.98150090000000001</v>
      </c>
      <c r="U2968">
        <v>-0.24452209999999999</v>
      </c>
      <c r="V2968">
        <v>0.13038419999999901</v>
      </c>
      <c r="W2968">
        <v>0.18535550000000001</v>
      </c>
      <c r="X2968">
        <v>0.97398320000000005</v>
      </c>
      <c r="Y2968">
        <v>0.1016413</v>
      </c>
      <c r="Z2968">
        <v>-2.499738E-2</v>
      </c>
      <c r="AA2968">
        <v>0.99450700000000003</v>
      </c>
      <c r="AB2968">
        <v>32</v>
      </c>
      <c r="AC2968">
        <v>0.62340000000000295</v>
      </c>
      <c r="AD2968">
        <v>-0.26621539999999999</v>
      </c>
      <c r="AE2968">
        <v>-7.4600000000003705E-2</v>
      </c>
      <c r="AF2968">
        <v>8.0079265213873804E-2</v>
      </c>
      <c r="AG2968">
        <v>-0.26621539999999999</v>
      </c>
      <c r="AH2968">
        <v>0.52611094285314797</v>
      </c>
      <c r="AI2968">
        <v>116.57626123017801</v>
      </c>
      <c r="AJ2968">
        <v>81.345446049533194</v>
      </c>
      <c r="AK2968">
        <v>0.59504289938136601</v>
      </c>
      <c r="AL2968">
        <v>79.318140342042796</v>
      </c>
      <c r="AM2968">
        <v>82.375316502229197</v>
      </c>
      <c r="AN2968">
        <v>0.999999987436065</v>
      </c>
    </row>
    <row r="2969" spans="1:40" x14ac:dyDescent="0.25">
      <c r="A2969" t="str">
        <f>"20190303162607703"</f>
        <v>20190303162607703</v>
      </c>
      <c r="B2969" t="str">
        <f>"1551601567696406"</f>
        <v>1551601567696406</v>
      </c>
      <c r="C2969" t="s">
        <v>40</v>
      </c>
      <c r="D2969">
        <v>4.8429099999999998</v>
      </c>
      <c r="E2969">
        <v>0.49556800000000001</v>
      </c>
      <c r="F2969" t="s">
        <v>42</v>
      </c>
      <c r="G2969">
        <v>-238.07769999999999</v>
      </c>
      <c r="H2969">
        <v>0.84586870000000003</v>
      </c>
      <c r="I2969">
        <v>216.07830000000001</v>
      </c>
      <c r="J2969">
        <v>-238.64680000000001</v>
      </c>
      <c r="K2969">
        <v>1.1214679999999999</v>
      </c>
      <c r="L2969">
        <v>216.15870000000001</v>
      </c>
      <c r="M2969">
        <v>0.99938539999999998</v>
      </c>
      <c r="N2969">
        <v>-1.3241350000000001E-2</v>
      </c>
      <c r="O2969">
        <v>3.2458580000000001E-2</v>
      </c>
      <c r="P2969">
        <v>0.98005339999999996</v>
      </c>
      <c r="Q2969">
        <v>0.17249239999999999</v>
      </c>
      <c r="R2969">
        <v>-9.8701499999999998E-2</v>
      </c>
      <c r="S2969">
        <v>3.2084350000000001</v>
      </c>
      <c r="T2969">
        <v>-0.97836420000000002</v>
      </c>
      <c r="U2969">
        <v>-0.2441864</v>
      </c>
      <c r="V2969">
        <v>0.13027810000000001</v>
      </c>
      <c r="W2969">
        <v>0.18553539999999999</v>
      </c>
      <c r="X2969">
        <v>0.97396309999999997</v>
      </c>
      <c r="Y2969">
        <v>0.10204679999999999</v>
      </c>
      <c r="Z2969">
        <v>-2.5131009999999999E-2</v>
      </c>
      <c r="AA2969">
        <v>0.99446210000000002</v>
      </c>
      <c r="AB2969">
        <v>32</v>
      </c>
      <c r="AC2969">
        <v>0.56910000000002003</v>
      </c>
      <c r="AD2969">
        <v>-0.27559929999999999</v>
      </c>
      <c r="AE2969">
        <v>-8.0399999999997293E-2</v>
      </c>
      <c r="AF2969">
        <v>8.0355298568840799E-2</v>
      </c>
      <c r="AG2969">
        <v>-0.27559929999999999</v>
      </c>
      <c r="AH2969">
        <v>0.46034326482049098</v>
      </c>
      <c r="AI2969">
        <v>120.530601530949</v>
      </c>
      <c r="AJ2969">
        <v>80.098485691566097</v>
      </c>
      <c r="AK2969">
        <v>0.54251992556418305</v>
      </c>
      <c r="AL2969">
        <v>79.3076504178824</v>
      </c>
      <c r="AM2969">
        <v>82.381292795108493</v>
      </c>
      <c r="AN2969">
        <v>0.99999994407718795</v>
      </c>
    </row>
    <row r="2970" spans="1:40" x14ac:dyDescent="0.25">
      <c r="A2970" t="str">
        <f>"20190303162607728"</f>
        <v>20190303162607728</v>
      </c>
      <c r="B2970" t="str">
        <f>"1551601567717435"</f>
        <v>1551601567717435</v>
      </c>
      <c r="C2970" t="s">
        <v>40</v>
      </c>
      <c r="D2970">
        <v>4.8537290000000004</v>
      </c>
      <c r="E2970">
        <v>0.49600250000000001</v>
      </c>
      <c r="F2970" t="s">
        <v>42</v>
      </c>
      <c r="G2970">
        <v>-237.78829999999999</v>
      </c>
      <c r="H2970">
        <v>0.8599523</v>
      </c>
      <c r="I2970">
        <v>216.09379999999999</v>
      </c>
      <c r="J2970">
        <v>-238.29929999999999</v>
      </c>
      <c r="K2970">
        <v>1.121462</v>
      </c>
      <c r="L2970">
        <v>216.17060000000001</v>
      </c>
      <c r="M2970">
        <v>0.99936849999999999</v>
      </c>
      <c r="N2970">
        <v>-1.323964E-2</v>
      </c>
      <c r="O2970">
        <v>3.2977970000000002E-2</v>
      </c>
      <c r="P2970">
        <v>0.98015620000000003</v>
      </c>
      <c r="Q2970">
        <v>0.17227319999999999</v>
      </c>
      <c r="R2970">
        <v>-9.8062079999999996E-2</v>
      </c>
      <c r="S2970">
        <v>3.2086640000000002</v>
      </c>
      <c r="T2970">
        <v>-0.97747740000000005</v>
      </c>
      <c r="U2970">
        <v>-0.2426758</v>
      </c>
      <c r="V2970">
        <v>0.13015489999999999</v>
      </c>
      <c r="W2970">
        <v>0.1853119</v>
      </c>
      <c r="X2970">
        <v>0.97402219999999995</v>
      </c>
      <c r="Y2970">
        <v>0.1020809</v>
      </c>
      <c r="Z2970">
        <v>-2.5261189999999999E-2</v>
      </c>
      <c r="AA2970">
        <v>0.99445530000000004</v>
      </c>
      <c r="AB2970">
        <v>32</v>
      </c>
      <c r="AC2970">
        <v>0.51099999999999501</v>
      </c>
      <c r="AD2970">
        <v>-0.26150970000000001</v>
      </c>
      <c r="AE2970">
        <v>-7.6800000000019894E-2</v>
      </c>
      <c r="AF2970">
        <v>7.4524644446699997E-2</v>
      </c>
      <c r="AG2970">
        <v>-0.26150970000000001</v>
      </c>
      <c r="AH2970">
        <v>0.404572468817537</v>
      </c>
      <c r="AI2970">
        <v>122.44372100205899</v>
      </c>
      <c r="AJ2970">
        <v>79.562779824528306</v>
      </c>
      <c r="AK2970">
        <v>0.48746295074509399</v>
      </c>
      <c r="AL2970">
        <v>79.320682854393795</v>
      </c>
      <c r="AM2970">
        <v>82.388869491837994</v>
      </c>
      <c r="AN2970">
        <v>1.00000002218422</v>
      </c>
    </row>
    <row r="2971" spans="1:40" x14ac:dyDescent="0.25">
      <c r="A2971" t="str">
        <f>"20190303162607752"</f>
        <v>20190303162607752</v>
      </c>
      <c r="B2971" t="str">
        <f>"1551601567746715"</f>
        <v>1551601567746715</v>
      </c>
      <c r="C2971" t="s">
        <v>40</v>
      </c>
      <c r="D2971">
        <v>4.8911290000000003</v>
      </c>
      <c r="E2971">
        <v>0.51458879999999996</v>
      </c>
      <c r="F2971" t="s">
        <v>42</v>
      </c>
      <c r="G2971">
        <v>-237.49799999999999</v>
      </c>
      <c r="H2971">
        <v>0.87686129999999995</v>
      </c>
      <c r="I2971">
        <v>216.10900000000001</v>
      </c>
      <c r="J2971">
        <v>-237.9522</v>
      </c>
      <c r="K2971">
        <v>1.1214390000000001</v>
      </c>
      <c r="L2971">
        <v>216.18260000000001</v>
      </c>
      <c r="M2971">
        <v>0.99935209999999997</v>
      </c>
      <c r="N2971">
        <v>-1.3237759999999999E-2</v>
      </c>
      <c r="O2971">
        <v>3.3472019999999998E-2</v>
      </c>
      <c r="P2971">
        <v>0.98037090000000005</v>
      </c>
      <c r="Q2971">
        <v>0.17153209999999999</v>
      </c>
      <c r="R2971">
        <v>-9.7210489999999997E-2</v>
      </c>
      <c r="S2971">
        <v>3.208313</v>
      </c>
      <c r="T2971">
        <v>-0.97942879999999999</v>
      </c>
      <c r="U2971">
        <v>-0.24566650000000001</v>
      </c>
      <c r="V2971">
        <v>0.1298019</v>
      </c>
      <c r="W2971">
        <v>0.18456539999999999</v>
      </c>
      <c r="X2971">
        <v>0.97421100000000005</v>
      </c>
      <c r="Y2971">
        <v>0.1033945</v>
      </c>
      <c r="Z2971">
        <v>-2.5656430000000001E-2</v>
      </c>
      <c r="AA2971">
        <v>0.99430949999999996</v>
      </c>
      <c r="AB2971">
        <v>32</v>
      </c>
      <c r="AC2971">
        <v>0.45420000000001398</v>
      </c>
      <c r="AD2971">
        <v>-0.24457769999999901</v>
      </c>
      <c r="AE2971">
        <v>-7.3599999999999E-2</v>
      </c>
      <c r="AF2971">
        <v>6.9208710744593199E-2</v>
      </c>
      <c r="AG2971">
        <v>-0.24457769999999901</v>
      </c>
      <c r="AH2971">
        <v>0.35202099867595299</v>
      </c>
      <c r="AI2971">
        <v>124.28346574430699</v>
      </c>
      <c r="AJ2971">
        <v>78.877285906514103</v>
      </c>
      <c r="AK2971">
        <v>0.434196822292649</v>
      </c>
      <c r="AL2971">
        <v>79.3642046281213</v>
      </c>
      <c r="AM2971">
        <v>82.410724943764606</v>
      </c>
      <c r="AN2971">
        <v>0.99999999632088499</v>
      </c>
    </row>
    <row r="2972" spans="1:40" x14ac:dyDescent="0.25">
      <c r="A2972" t="str">
        <f>"20190303162607774"</f>
        <v>20190303162607774</v>
      </c>
      <c r="B2972" t="str">
        <f>"1551601567766235"</f>
        <v>1551601567766235</v>
      </c>
      <c r="C2972" t="s">
        <v>40</v>
      </c>
      <c r="D2972">
        <v>4.9068769999999997</v>
      </c>
      <c r="E2972">
        <v>0.51490609999999903</v>
      </c>
      <c r="F2972" t="s">
        <v>42</v>
      </c>
      <c r="G2972">
        <v>-237.21199999999999</v>
      </c>
      <c r="H2972">
        <v>0.87831429999999999</v>
      </c>
      <c r="I2972">
        <v>216.09229999999999</v>
      </c>
      <c r="J2972">
        <v>-237.64830000000001</v>
      </c>
      <c r="K2972">
        <v>1.121413</v>
      </c>
      <c r="L2972">
        <v>216.19329999999999</v>
      </c>
      <c r="M2972">
        <v>0.99933859999999997</v>
      </c>
      <c r="N2972">
        <v>-1.323595E-2</v>
      </c>
      <c r="O2972">
        <v>3.3876610000000001E-2</v>
      </c>
      <c r="P2972">
        <v>0.98064010000000001</v>
      </c>
      <c r="Q2972">
        <v>0.1702274</v>
      </c>
      <c r="R2972">
        <v>-9.6788059999999995E-2</v>
      </c>
      <c r="S2972">
        <v>3.2055820000000002</v>
      </c>
      <c r="T2972">
        <v>-1.0529329999999999</v>
      </c>
      <c r="U2972">
        <v>-0.39051819999999998</v>
      </c>
      <c r="V2972">
        <v>0.1297942</v>
      </c>
      <c r="W2972">
        <v>0.18325640000000001</v>
      </c>
      <c r="X2972">
        <v>0.97445910000000002</v>
      </c>
      <c r="Y2972">
        <v>0.14502909999999999</v>
      </c>
      <c r="Z2972">
        <v>-3.449178E-2</v>
      </c>
      <c r="AA2972">
        <v>0.98882599999999998</v>
      </c>
      <c r="AB2972">
        <v>32</v>
      </c>
      <c r="AC2972">
        <v>0.43629999999998798</v>
      </c>
      <c r="AD2972">
        <v>-0.2430987</v>
      </c>
      <c r="AE2972">
        <v>-0.10099999999999899</v>
      </c>
      <c r="AF2972">
        <v>8.93852569106625E-2</v>
      </c>
      <c r="AG2972">
        <v>-0.2430987</v>
      </c>
      <c r="AH2972">
        <v>0.33416271688271898</v>
      </c>
      <c r="AI2972">
        <v>125.098708470929</v>
      </c>
      <c r="AJ2972">
        <v>75.024538699154505</v>
      </c>
      <c r="AK2972">
        <v>0.42279004653505597</v>
      </c>
      <c r="AL2972">
        <v>79.440506226496197</v>
      </c>
      <c r="AM2972">
        <v>82.413079529282896</v>
      </c>
      <c r="AN2972">
        <v>0.99999999003370499</v>
      </c>
    </row>
    <row r="2973" spans="1:40" x14ac:dyDescent="0.25">
      <c r="A2973" t="str">
        <f>"20190303162607796"</f>
        <v>20190303162607796</v>
      </c>
      <c r="B2973" t="str">
        <f>"1551601567786732"</f>
        <v>1551601567786732</v>
      </c>
      <c r="C2973" t="s">
        <v>40</v>
      </c>
      <c r="D2973">
        <v>4.919772</v>
      </c>
      <c r="E2973">
        <v>0.51399729999999999</v>
      </c>
      <c r="F2973" t="s">
        <v>42</v>
      </c>
      <c r="G2973">
        <v>-236.92670000000001</v>
      </c>
      <c r="H2973">
        <v>0.88307999999999998</v>
      </c>
      <c r="I2973">
        <v>216.10499999999999</v>
      </c>
      <c r="J2973">
        <v>-237.328</v>
      </c>
      <c r="K2973">
        <v>1.1213759999999999</v>
      </c>
      <c r="L2973">
        <v>216.2046</v>
      </c>
      <c r="M2973">
        <v>0.99932520000000002</v>
      </c>
      <c r="N2973">
        <v>-1.3233979999999999E-2</v>
      </c>
      <c r="O2973">
        <v>3.426767E-2</v>
      </c>
      <c r="P2973">
        <v>0.98080909999999999</v>
      </c>
      <c r="Q2973">
        <v>0.16935320000000001</v>
      </c>
      <c r="R2973">
        <v>-9.6608899999999998E-2</v>
      </c>
      <c r="S2973">
        <v>3.2043300000000001</v>
      </c>
      <c r="T2973">
        <v>-1.0584169999999999</v>
      </c>
      <c r="U2973">
        <v>-0.39122010000000002</v>
      </c>
      <c r="V2973">
        <v>0.1300161</v>
      </c>
      <c r="W2973">
        <v>0.18237310000000001</v>
      </c>
      <c r="X2973">
        <v>0.97459519999999999</v>
      </c>
      <c r="Y2973">
        <v>0.14552679999999901</v>
      </c>
      <c r="Z2973">
        <v>-3.4875860000000002E-2</v>
      </c>
      <c r="AA2973">
        <v>0.98873940000000005</v>
      </c>
      <c r="AB2973">
        <v>32</v>
      </c>
      <c r="AC2973">
        <v>0.401299999999992</v>
      </c>
      <c r="AD2973">
        <v>-0.23829599999999901</v>
      </c>
      <c r="AE2973">
        <v>-9.9600000000009403E-2</v>
      </c>
      <c r="AF2973">
        <v>8.5046210815275095E-2</v>
      </c>
      <c r="AG2973">
        <v>-0.23829599999999901</v>
      </c>
      <c r="AH2973">
        <v>0.29850309970323702</v>
      </c>
      <c r="AI2973">
        <v>127.515281189612</v>
      </c>
      <c r="AJ2973">
        <v>74.097271980913206</v>
      </c>
      <c r="AK2973">
        <v>0.39130798883037998</v>
      </c>
      <c r="AL2973">
        <v>79.491982886424594</v>
      </c>
      <c r="AM2973">
        <v>82.401309064042493</v>
      </c>
      <c r="AN2973">
        <v>0.99999996886292897</v>
      </c>
    </row>
    <row r="2974" spans="1:40" x14ac:dyDescent="0.25">
      <c r="A2974" t="str">
        <f>"20190303162607816"</f>
        <v>20190303162607816</v>
      </c>
      <c r="B2974" t="str">
        <f>"1551601567806251"</f>
        <v>1551601567806251</v>
      </c>
      <c r="C2974" t="s">
        <v>40</v>
      </c>
      <c r="D2974">
        <v>4.9652219999999998</v>
      </c>
      <c r="E2974">
        <v>0.51353159999999998</v>
      </c>
      <c r="F2974" t="s">
        <v>42</v>
      </c>
      <c r="G2974">
        <v>-236.64</v>
      </c>
      <c r="H2974">
        <v>0.89255450000000003</v>
      </c>
      <c r="I2974">
        <v>216.1224</v>
      </c>
      <c r="J2974">
        <v>-237.05609999999999</v>
      </c>
      <c r="K2974">
        <v>1.121353</v>
      </c>
      <c r="L2974">
        <v>216.21420000000001</v>
      </c>
      <c r="M2974">
        <v>0.99931490000000001</v>
      </c>
      <c r="N2974">
        <v>-1.323245E-2</v>
      </c>
      <c r="O2974">
        <v>3.4564619999999997E-2</v>
      </c>
      <c r="P2974">
        <v>0.98090379999999999</v>
      </c>
      <c r="Q2974">
        <v>0.16893859999999999</v>
      </c>
      <c r="R2974">
        <v>-9.6373329999999993E-2</v>
      </c>
      <c r="S2974">
        <v>3.2051090000000002</v>
      </c>
      <c r="T2974">
        <v>-1.0659780000000001</v>
      </c>
      <c r="U2974">
        <v>-0.38206479999999998</v>
      </c>
      <c r="V2974">
        <v>0.1300867</v>
      </c>
      <c r="W2974">
        <v>0.18194969999999999</v>
      </c>
      <c r="X2974">
        <v>0.97466489999999995</v>
      </c>
      <c r="Y2974">
        <v>0.1430003</v>
      </c>
      <c r="Z2974">
        <v>-3.4773360000000003E-2</v>
      </c>
      <c r="AA2974">
        <v>0.98911159999999998</v>
      </c>
      <c r="AB2974">
        <v>32</v>
      </c>
      <c r="AC2974">
        <v>0.41610000000000003</v>
      </c>
      <c r="AD2974">
        <v>-0.22879849999999999</v>
      </c>
      <c r="AE2974">
        <v>-9.1800000000006293E-2</v>
      </c>
      <c r="AF2974">
        <v>8.2377789661789297E-2</v>
      </c>
      <c r="AG2974">
        <v>-0.22879849999999999</v>
      </c>
      <c r="AH2974">
        <v>0.32032326474603701</v>
      </c>
      <c r="AI2974">
        <v>124.674106111867</v>
      </c>
      <c r="AJ2974">
        <v>75.577725270883505</v>
      </c>
      <c r="AK2974">
        <v>0.40217141590293498</v>
      </c>
      <c r="AL2974">
        <v>79.5166545673694</v>
      </c>
      <c r="AM2974">
        <v>82.397768481050505</v>
      </c>
      <c r="AN2974">
        <v>0.99999995506949302</v>
      </c>
    </row>
    <row r="2975" spans="1:40" x14ac:dyDescent="0.25">
      <c r="A2975" t="str">
        <f>"20190303162607841"</f>
        <v>20190303162607841</v>
      </c>
      <c r="B2975" t="str">
        <f>"1551601567836039"</f>
        <v>1551601567836039</v>
      </c>
      <c r="C2975" t="s">
        <v>40</v>
      </c>
      <c r="D2975">
        <v>4.935765</v>
      </c>
      <c r="E2975">
        <v>0.51337809999999995</v>
      </c>
      <c r="F2975" t="s">
        <v>42</v>
      </c>
      <c r="G2975">
        <v>-236.35830000000001</v>
      </c>
      <c r="H2975">
        <v>0.88913009999999904</v>
      </c>
      <c r="I2975">
        <v>216.13210000000001</v>
      </c>
      <c r="J2975">
        <v>-236.6979</v>
      </c>
      <c r="K2975">
        <v>1.121318</v>
      </c>
      <c r="L2975">
        <v>216.22710000000001</v>
      </c>
      <c r="M2975">
        <v>0.99930289999999999</v>
      </c>
      <c r="N2975">
        <v>-1.3236029999999999E-2</v>
      </c>
      <c r="O2975">
        <v>3.4908010000000003E-2</v>
      </c>
      <c r="P2975">
        <v>0.98100929999999997</v>
      </c>
      <c r="Q2975">
        <v>0.16845370000000001</v>
      </c>
      <c r="R2975">
        <v>-9.6148600000000001E-2</v>
      </c>
      <c r="S2975">
        <v>3.2051240000000001</v>
      </c>
      <c r="T2975">
        <v>-1.066643</v>
      </c>
      <c r="U2975">
        <v>-0.3764496</v>
      </c>
      <c r="V2975">
        <v>0.13021930000000001</v>
      </c>
      <c r="W2975">
        <v>0.18145649999999999</v>
      </c>
      <c r="X2975">
        <v>0.97473920000000003</v>
      </c>
      <c r="Y2975">
        <v>0.1416732</v>
      </c>
      <c r="Z2975">
        <v>-3.4679889999999998E-2</v>
      </c>
      <c r="AA2975">
        <v>0.98930580000000001</v>
      </c>
      <c r="AB2975">
        <v>32</v>
      </c>
      <c r="AC2975">
        <v>0.33959999999999002</v>
      </c>
      <c r="AD2975">
        <v>-0.2321879</v>
      </c>
      <c r="AE2975">
        <v>-9.4999999999998794E-2</v>
      </c>
      <c r="AF2975">
        <v>7.4499767527262006E-2</v>
      </c>
      <c r="AG2975">
        <v>-0.2321879</v>
      </c>
      <c r="AH2975">
        <v>0.23443924485777201</v>
      </c>
      <c r="AI2975">
        <v>133.34646542769201</v>
      </c>
      <c r="AJ2975">
        <v>72.370858697869195</v>
      </c>
      <c r="AK2975">
        <v>0.33826497867427602</v>
      </c>
      <c r="AL2975">
        <v>79.545391876518593</v>
      </c>
      <c r="AM2975">
        <v>82.390683409608201</v>
      </c>
      <c r="AN2975">
        <v>1.00000001775069</v>
      </c>
    </row>
    <row r="2976" spans="1:40" x14ac:dyDescent="0.25">
      <c r="A2976" t="str">
        <f>"20190303162607859"</f>
        <v>20190303162607859</v>
      </c>
      <c r="B2976" t="str">
        <f>"1551601567846775"</f>
        <v>1551601567846775</v>
      </c>
      <c r="C2976" t="s">
        <v>40</v>
      </c>
      <c r="D2976">
        <v>4.8583129999999999</v>
      </c>
      <c r="E2976">
        <v>0.51344389999999995</v>
      </c>
      <c r="F2976" t="s">
        <v>42</v>
      </c>
      <c r="G2976">
        <v>-235.816</v>
      </c>
      <c r="H2976">
        <v>0.82801819999999904</v>
      </c>
      <c r="I2976">
        <v>216.1241</v>
      </c>
      <c r="J2976">
        <v>-236.4444</v>
      </c>
      <c r="K2976">
        <v>1.1212949999999999</v>
      </c>
      <c r="L2976">
        <v>216.23609999999999</v>
      </c>
      <c r="M2976">
        <v>0.99929539999999994</v>
      </c>
      <c r="N2976">
        <v>-1.3241859999999999E-2</v>
      </c>
      <c r="O2976">
        <v>3.5119480000000002E-2</v>
      </c>
      <c r="P2976">
        <v>0.98088249999999999</v>
      </c>
      <c r="Q2976">
        <v>0.16872200000000001</v>
      </c>
      <c r="R2976">
        <v>-9.6966150000000001E-2</v>
      </c>
      <c r="S2976">
        <v>3.2044069999999998</v>
      </c>
      <c r="T2976">
        <v>-1.065685</v>
      </c>
      <c r="U2976">
        <v>-0.3742065</v>
      </c>
      <c r="V2976">
        <v>0.13125139999999999</v>
      </c>
      <c r="W2976">
        <v>0.18171950000000001</v>
      </c>
      <c r="X2976">
        <v>0.97455170000000002</v>
      </c>
      <c r="Y2976">
        <v>0.1412496</v>
      </c>
      <c r="Z2976">
        <v>-3.4653669999999998E-2</v>
      </c>
      <c r="AA2976">
        <v>0.98936729999999995</v>
      </c>
      <c r="AB2976">
        <v>32</v>
      </c>
      <c r="AC2976">
        <v>0.62840000000002705</v>
      </c>
      <c r="AD2976">
        <v>-0.2932768</v>
      </c>
      <c r="AE2976">
        <v>-0.11199999999999399</v>
      </c>
      <c r="AF2976">
        <v>0.110644193681181</v>
      </c>
      <c r="AG2976">
        <v>-0.2932768</v>
      </c>
      <c r="AH2976">
        <v>0.515296140755929</v>
      </c>
      <c r="AI2976">
        <v>119.094150232064</v>
      </c>
      <c r="AJ2976">
        <v>77.881475299547404</v>
      </c>
      <c r="AK2976">
        <v>0.60314470211679105</v>
      </c>
      <c r="AL2976">
        <v>79.530067730715501</v>
      </c>
      <c r="AM2976">
        <v>82.329630093838901</v>
      </c>
      <c r="AN2976">
        <v>0.99999996132754898</v>
      </c>
    </row>
    <row r="2977" spans="1:40" x14ac:dyDescent="0.25">
      <c r="A2977" t="str">
        <f>"20190303162607882"</f>
        <v>20190303162607882</v>
      </c>
      <c r="B2977" t="str">
        <f>"1551601567876055"</f>
        <v>1551601567876055</v>
      </c>
      <c r="C2977" t="s">
        <v>40</v>
      </c>
      <c r="D2977">
        <v>4.9539939999999998</v>
      </c>
      <c r="E2977">
        <v>0.51296279999999905</v>
      </c>
      <c r="F2977" t="s">
        <v>42</v>
      </c>
      <c r="G2977">
        <v>-235.53639999999999</v>
      </c>
      <c r="H2977">
        <v>0.82008780000000003</v>
      </c>
      <c r="I2977">
        <v>216.1293</v>
      </c>
      <c r="J2977">
        <v>-236.09989999999999</v>
      </c>
      <c r="K2977">
        <v>1.1212629999999999</v>
      </c>
      <c r="L2977">
        <v>216.24860000000001</v>
      </c>
      <c r="M2977">
        <v>0.99928649999999997</v>
      </c>
      <c r="N2977">
        <v>-1.3250369999999999E-2</v>
      </c>
      <c r="O2977">
        <v>3.5369589999999999E-2</v>
      </c>
      <c r="P2977">
        <v>0.98075710000000005</v>
      </c>
      <c r="Q2977">
        <v>0.16892689999999999</v>
      </c>
      <c r="R2977">
        <v>-9.7874279999999994E-2</v>
      </c>
      <c r="S2977">
        <v>3.2039789999999999</v>
      </c>
      <c r="T2977">
        <v>-1.062735</v>
      </c>
      <c r="U2977">
        <v>-0.37715149999999997</v>
      </c>
      <c r="V2977">
        <v>0.1324139</v>
      </c>
      <c r="W2977">
        <v>0.18191969999999999</v>
      </c>
      <c r="X2977">
        <v>0.97435709999999998</v>
      </c>
      <c r="Y2977">
        <v>0.14238399999999901</v>
      </c>
      <c r="Z2977">
        <v>-3.4834530000000002E-2</v>
      </c>
      <c r="AA2977">
        <v>0.98919829999999997</v>
      </c>
      <c r="AB2977">
        <v>32</v>
      </c>
      <c r="AC2977">
        <v>0.563500000000004</v>
      </c>
      <c r="AD2977">
        <v>-0.30117519999999898</v>
      </c>
      <c r="AE2977">
        <v>-0.119300000000009</v>
      </c>
      <c r="AF2977">
        <v>0.109280028360766</v>
      </c>
      <c r="AG2977">
        <v>-0.30117519999999898</v>
      </c>
      <c r="AH2977">
        <v>0.43892313486606199</v>
      </c>
      <c r="AI2977">
        <v>123.657333301978</v>
      </c>
      <c r="AJ2977">
        <v>76.019149028191805</v>
      </c>
      <c r="AK2977">
        <v>0.54341709948640804</v>
      </c>
      <c r="AL2977">
        <v>79.518402966289898</v>
      </c>
      <c r="AM2977">
        <v>82.260986067444506</v>
      </c>
      <c r="AN2977">
        <v>0.99999998824085401</v>
      </c>
    </row>
    <row r="2978" spans="1:40" x14ac:dyDescent="0.25">
      <c r="A2978" t="str">
        <f>"20190303162607902"</f>
        <v>20190303162607902</v>
      </c>
      <c r="B2978" t="str">
        <f>"1551601567896551"</f>
        <v>1551601567896551</v>
      </c>
      <c r="C2978" t="s">
        <v>40</v>
      </c>
      <c r="D2978">
        <v>4.9175680000000002</v>
      </c>
      <c r="E2978">
        <v>0.51284940000000001</v>
      </c>
      <c r="F2978" t="s">
        <v>42</v>
      </c>
      <c r="G2978">
        <v>-235.24680000000001</v>
      </c>
      <c r="H2978">
        <v>0.83882869999999998</v>
      </c>
      <c r="I2978">
        <v>216.14830000000001</v>
      </c>
      <c r="J2978">
        <v>-235.82490000000001</v>
      </c>
      <c r="K2978">
        <v>1.121245</v>
      </c>
      <c r="L2978">
        <v>216.2585</v>
      </c>
      <c r="M2978">
        <v>0.99928030000000001</v>
      </c>
      <c r="N2978">
        <v>-1.325673E-2</v>
      </c>
      <c r="O2978">
        <v>3.5543520000000002E-2</v>
      </c>
      <c r="P2978">
        <v>0.98055329999999996</v>
      </c>
      <c r="Q2978">
        <v>0.16915069999999999</v>
      </c>
      <c r="R2978">
        <v>-9.9518049999999997E-2</v>
      </c>
      <c r="S2978">
        <v>3.2041170000000001</v>
      </c>
      <c r="T2978">
        <v>-1.060735</v>
      </c>
      <c r="U2978">
        <v>-0.37544250000000001</v>
      </c>
      <c r="V2978">
        <v>0.1342294</v>
      </c>
      <c r="W2978">
        <v>0.1821392</v>
      </c>
      <c r="X2978">
        <v>0.97406760000000003</v>
      </c>
      <c r="Y2978">
        <v>0.14207410000000001</v>
      </c>
      <c r="Z2978">
        <v>-3.4774590000000001E-2</v>
      </c>
      <c r="AA2978">
        <v>0.98924500000000004</v>
      </c>
      <c r="AB2978">
        <v>32</v>
      </c>
      <c r="AC2978">
        <v>0.57810000000000605</v>
      </c>
      <c r="AD2978">
        <v>-0.28241630000000001</v>
      </c>
      <c r="AE2978">
        <v>-0.110199999999991</v>
      </c>
      <c r="AF2978">
        <v>0.106218879683081</v>
      </c>
      <c r="AG2978">
        <v>-0.28241630000000001</v>
      </c>
      <c r="AH2978">
        <v>0.46640881590901001</v>
      </c>
      <c r="AI2978">
        <v>120.55741558862501</v>
      </c>
      <c r="AJ2978">
        <v>77.170402987928199</v>
      </c>
      <c r="AK2978">
        <v>0.55549851526756</v>
      </c>
      <c r="AL2978">
        <v>79.5056125030613</v>
      </c>
      <c r="AM2978">
        <v>82.153887863509794</v>
      </c>
      <c r="AN2978">
        <v>0.99999995468537906</v>
      </c>
    </row>
    <row r="2979" spans="1:40" x14ac:dyDescent="0.25">
      <c r="A2979" t="str">
        <f>"20190303162607926"</f>
        <v>20190303162607926</v>
      </c>
      <c r="B2979" t="str">
        <f>"1551601567917047"</f>
        <v>1551601567917047</v>
      </c>
      <c r="C2979" t="s">
        <v>40</v>
      </c>
      <c r="D2979">
        <v>4.9774770000000004</v>
      </c>
      <c r="E2979">
        <v>0.52192349999999998</v>
      </c>
      <c r="F2979" t="s">
        <v>42</v>
      </c>
      <c r="G2979">
        <v>-234.9649</v>
      </c>
      <c r="H2979">
        <v>0.83769269999999996</v>
      </c>
      <c r="I2979">
        <v>216.15690000000001</v>
      </c>
      <c r="J2979">
        <v>-235.49100000000001</v>
      </c>
      <c r="K2979">
        <v>1.1212169999999999</v>
      </c>
      <c r="L2979">
        <v>216.2706</v>
      </c>
      <c r="M2979">
        <v>0.99927370000000004</v>
      </c>
      <c r="N2979">
        <v>-1.326403E-2</v>
      </c>
      <c r="O2979">
        <v>3.5725699999999902E-2</v>
      </c>
      <c r="P2979">
        <v>0.98036270000000003</v>
      </c>
      <c r="Q2979">
        <v>0.16952449999999999</v>
      </c>
      <c r="R2979">
        <v>-0.10075190000000001</v>
      </c>
      <c r="S2979">
        <v>3.2033390000000002</v>
      </c>
      <c r="T2979">
        <v>-1.056171</v>
      </c>
      <c r="U2979">
        <v>-0.37783810000000001</v>
      </c>
      <c r="V2979">
        <v>0.13564470000000001</v>
      </c>
      <c r="W2979">
        <v>0.18250910000000001</v>
      </c>
      <c r="X2979">
        <v>0.97380230000000001</v>
      </c>
      <c r="Y2979">
        <v>0.1430266</v>
      </c>
      <c r="Z2979">
        <v>-3.4856100000000001E-2</v>
      </c>
      <c r="AA2979">
        <v>0.98910489999999995</v>
      </c>
      <c r="AB2979">
        <v>32</v>
      </c>
      <c r="AC2979">
        <v>0.52609999999998502</v>
      </c>
      <c r="AD2979">
        <v>-0.28352429999999901</v>
      </c>
      <c r="AE2979">
        <v>-0.113699999999994</v>
      </c>
      <c r="AF2979">
        <v>0.103661274685101</v>
      </c>
      <c r="AG2979">
        <v>-0.28352429999999901</v>
      </c>
      <c r="AH2979">
        <v>0.40838612421224701</v>
      </c>
      <c r="AI2979">
        <v>123.937229474926</v>
      </c>
      <c r="AJ2979">
        <v>75.757326598021194</v>
      </c>
      <c r="AK2979">
        <v>0.50784930344436896</v>
      </c>
      <c r="AL2979">
        <v>79.484057851159903</v>
      </c>
      <c r="AM2979">
        <v>82.070073456935305</v>
      </c>
      <c r="AN2979">
        <v>0.99999998785309496</v>
      </c>
    </row>
    <row r="2980" spans="1:40" x14ac:dyDescent="0.25">
      <c r="A2980" t="str">
        <f>"20190303162607953"</f>
        <v>20190303162607953</v>
      </c>
      <c r="B2980" t="str">
        <f>"1551601567947303"</f>
        <v>1551601567947303</v>
      </c>
      <c r="C2980" t="s">
        <v>40</v>
      </c>
      <c r="D2980">
        <v>4.8609799999999996</v>
      </c>
      <c r="E2980">
        <v>0.52447549999999998</v>
      </c>
      <c r="F2980" t="s">
        <v>42</v>
      </c>
      <c r="G2980">
        <v>-234.6405</v>
      </c>
      <c r="H2980">
        <v>0.93094180000000004</v>
      </c>
      <c r="I2980">
        <v>216.14590000000001</v>
      </c>
      <c r="J2980">
        <v>-235.11429999999999</v>
      </c>
      <c r="K2980">
        <v>1.1211990000000001</v>
      </c>
      <c r="L2980">
        <v>216.2843</v>
      </c>
      <c r="M2980">
        <v>0.99926720000000002</v>
      </c>
      <c r="N2980">
        <v>-1.327158E-2</v>
      </c>
      <c r="O2980">
        <v>3.590318E-2</v>
      </c>
      <c r="P2980">
        <v>0.98021349999999996</v>
      </c>
      <c r="Q2980">
        <v>0.17008000000000001</v>
      </c>
      <c r="R2980">
        <v>-0.1012637</v>
      </c>
      <c r="S2980">
        <v>3.1341399999999999</v>
      </c>
      <c r="T2980">
        <v>-0.70120760000000004</v>
      </c>
      <c r="U2980">
        <v>-0.45927430000000002</v>
      </c>
      <c r="V2980">
        <v>0.13633489999999901</v>
      </c>
      <c r="W2980">
        <v>0.1830618</v>
      </c>
      <c r="X2980">
        <v>0.97360219999999997</v>
      </c>
      <c r="Y2980">
        <v>0.17514649999999901</v>
      </c>
      <c r="Z2980">
        <v>-2.786719E-2</v>
      </c>
      <c r="AA2980">
        <v>0.98414789999999996</v>
      </c>
      <c r="AB2980">
        <v>32</v>
      </c>
      <c r="AC2980">
        <v>0.47379999999998201</v>
      </c>
      <c r="AD2980">
        <v>-0.19025719999999999</v>
      </c>
      <c r="AE2980">
        <v>-0.13839999999999</v>
      </c>
      <c r="AF2980">
        <v>0.13523176253483299</v>
      </c>
      <c r="AG2980">
        <v>-0.19025719999999999</v>
      </c>
      <c r="AH2980">
        <v>0.407920230050213</v>
      </c>
      <c r="AI2980">
        <v>113.879653487729</v>
      </c>
      <c r="AJ2980">
        <v>71.658855743576595</v>
      </c>
      <c r="AK2980">
        <v>0.46998334633722499</v>
      </c>
      <c r="AL2980">
        <v>79.451848335644797</v>
      </c>
      <c r="AM2980">
        <v>82.028623904301398</v>
      </c>
      <c r="AN2980">
        <v>1.0000000357110399</v>
      </c>
    </row>
    <row r="2981" spans="1:40" x14ac:dyDescent="0.25">
      <c r="A2981" t="str">
        <f>"20190303162607988"</f>
        <v>20190303162607988</v>
      </c>
      <c r="B2981" t="str">
        <f>"1551601567976583"</f>
        <v>1551601567976583</v>
      </c>
      <c r="C2981" t="s">
        <v>40</v>
      </c>
      <c r="D2981">
        <v>4.9113850000000001</v>
      </c>
      <c r="E2981">
        <v>0.52458970000000005</v>
      </c>
      <c r="F2981" t="s">
        <v>48</v>
      </c>
      <c r="G2981">
        <v>-216.1696</v>
      </c>
      <c r="H2981" s="1">
        <v>1.8065E-6</v>
      </c>
      <c r="I2981">
        <v>213.24109999999999</v>
      </c>
      <c r="J2981">
        <v>-234.62690000000001</v>
      </c>
      <c r="K2981">
        <v>1.1211819999999999</v>
      </c>
      <c r="L2981">
        <v>216.30199999999999</v>
      </c>
      <c r="M2981">
        <v>0.99925980000000003</v>
      </c>
      <c r="N2981">
        <v>-1.327995E-2</v>
      </c>
      <c r="O2981">
        <v>3.6106529999999998E-2</v>
      </c>
      <c r="P2981">
        <v>0.98025960000000001</v>
      </c>
      <c r="Q2981">
        <v>0.1694068</v>
      </c>
      <c r="R2981">
        <v>-0.1019451</v>
      </c>
      <c r="S2981">
        <v>3.0413359999999998</v>
      </c>
      <c r="T2981">
        <v>-0.1799946</v>
      </c>
      <c r="U2981">
        <v>-0.48854059999999999</v>
      </c>
      <c r="V2981">
        <v>0.1372265</v>
      </c>
      <c r="W2981">
        <v>0.1823891</v>
      </c>
      <c r="X2981">
        <v>0.9736032</v>
      </c>
      <c r="Y2981">
        <v>0.19370580000000001</v>
      </c>
      <c r="Z2981">
        <v>-8.6331889999999994E-3</v>
      </c>
      <c r="AA2981">
        <v>0.98102160000000005</v>
      </c>
      <c r="AB2981">
        <v>32</v>
      </c>
      <c r="AC2981">
        <v>18.4573</v>
      </c>
      <c r="AD2981">
        <v>-1.1211801935000001</v>
      </c>
      <c r="AE2981">
        <v>-3.0609000000000299</v>
      </c>
      <c r="AF2981">
        <v>3.7120610278852002</v>
      </c>
      <c r="AG2981">
        <v>-1.1211801935000001</v>
      </c>
      <c r="AH2981">
        <v>18.269127594866799</v>
      </c>
      <c r="AI2981">
        <v>93.441696709528998</v>
      </c>
      <c r="AJ2981">
        <v>78.514561571300902</v>
      </c>
      <c r="AK2981">
        <v>18.676120185374799</v>
      </c>
      <c r="AL2981">
        <v>79.491051310206501</v>
      </c>
      <c r="AM2981">
        <v>81.9771775997242</v>
      </c>
      <c r="AN2981">
        <v>1.00000004357564</v>
      </c>
    </row>
    <row r="2982" spans="1:40" x14ac:dyDescent="0.25">
      <c r="A2982" t="str">
        <f>"20190303162608015"</f>
        <v>20190303162608015</v>
      </c>
      <c r="B2982" t="str">
        <f>"1551601568005863"</f>
        <v>1551601568005863</v>
      </c>
      <c r="C2982" t="s">
        <v>40</v>
      </c>
      <c r="D2982">
        <v>4.8629660000000001</v>
      </c>
      <c r="E2982">
        <v>0.52378150000000001</v>
      </c>
      <c r="F2982" t="s">
        <v>48</v>
      </c>
      <c r="G2982">
        <v>-213.0437</v>
      </c>
      <c r="H2982" s="1">
        <v>1.6173429999999999E-7</v>
      </c>
      <c r="I2982">
        <v>212.81290000000001</v>
      </c>
      <c r="J2982">
        <v>-234.23949999999999</v>
      </c>
      <c r="K2982">
        <v>1.121159</v>
      </c>
      <c r="L2982">
        <v>216.31620000000001</v>
      </c>
      <c r="M2982">
        <v>0.99925419999999998</v>
      </c>
      <c r="N2982">
        <v>-1.328535E-2</v>
      </c>
      <c r="O2982">
        <v>3.6257600000000001E-2</v>
      </c>
      <c r="P2982">
        <v>0.98026820000000003</v>
      </c>
      <c r="Q2982">
        <v>0.1693026</v>
      </c>
      <c r="R2982">
        <v>-0.1020339</v>
      </c>
      <c r="S2982">
        <v>3.0366209999999998</v>
      </c>
      <c r="T2982">
        <v>-0.1577432</v>
      </c>
      <c r="U2982">
        <v>-0.4909058</v>
      </c>
      <c r="V2982">
        <v>0.13746800000000001</v>
      </c>
      <c r="W2982">
        <v>0.18228639999999999</v>
      </c>
      <c r="X2982">
        <v>0.97358829999999996</v>
      </c>
      <c r="Y2982">
        <v>0.1949311</v>
      </c>
      <c r="Z2982">
        <v>-7.7244459999999899E-3</v>
      </c>
      <c r="AA2982">
        <v>0.98078650000000001</v>
      </c>
      <c r="AB2982">
        <v>32</v>
      </c>
      <c r="AC2982">
        <v>21.195799999999899</v>
      </c>
      <c r="AD2982">
        <v>-1.1211588382656901</v>
      </c>
      <c r="AE2982">
        <v>-3.5032999999999901</v>
      </c>
      <c r="AF2982">
        <v>4.2579760771701904</v>
      </c>
      <c r="AG2982">
        <v>-1.1211588382656901</v>
      </c>
      <c r="AH2982">
        <v>20.997640990216802</v>
      </c>
      <c r="AI2982">
        <v>92.995523171712094</v>
      </c>
      <c r="AJ2982">
        <v>78.536798607284993</v>
      </c>
      <c r="AK2982">
        <v>21.4543302055414</v>
      </c>
      <c r="AL2982">
        <v>79.497035240224605</v>
      </c>
      <c r="AM2982">
        <v>81.963121442760695</v>
      </c>
      <c r="AN2982">
        <v>0.99999998027292403</v>
      </c>
    </row>
    <row r="2983" spans="1:40" x14ac:dyDescent="0.25">
      <c r="A2983" t="str">
        <f>"20190303162608036"</f>
        <v>20190303162608036</v>
      </c>
      <c r="B2983" t="str">
        <f>"1551601568026359"</f>
        <v>1551601568026359</v>
      </c>
      <c r="C2983" t="s">
        <v>40</v>
      </c>
      <c r="D2983">
        <v>4.9177679999999997</v>
      </c>
      <c r="E2983">
        <v>0.52345470000000005</v>
      </c>
      <c r="F2983" t="s">
        <v>48</v>
      </c>
      <c r="G2983">
        <v>-213.17359999999999</v>
      </c>
      <c r="H2983" s="1">
        <v>2.247466E-7</v>
      </c>
      <c r="I2983">
        <v>212.9529</v>
      </c>
      <c r="J2983">
        <v>-233.94800000000001</v>
      </c>
      <c r="K2983">
        <v>1.121157</v>
      </c>
      <c r="L2983">
        <v>216.32689999999999</v>
      </c>
      <c r="M2983">
        <v>0.99925019999999998</v>
      </c>
      <c r="N2983">
        <v>-1.3288680000000001E-2</v>
      </c>
      <c r="O2983">
        <v>3.6368190000000002E-2</v>
      </c>
      <c r="P2983">
        <v>0.98012060000000001</v>
      </c>
      <c r="Q2983">
        <v>0.16948360000000001</v>
      </c>
      <c r="R2983">
        <v>-0.1031475</v>
      </c>
      <c r="S2983">
        <v>3.0378419999999999</v>
      </c>
      <c r="T2983">
        <v>-0.16167819999999999</v>
      </c>
      <c r="U2983">
        <v>-0.4850159</v>
      </c>
      <c r="V2983">
        <v>0.13868510000000001</v>
      </c>
      <c r="W2983">
        <v>0.18246689999999999</v>
      </c>
      <c r="X2983">
        <v>0.97338190000000002</v>
      </c>
      <c r="Y2983">
        <v>0.19311030000000001</v>
      </c>
      <c r="Z2983">
        <v>-7.8386280000000003E-3</v>
      </c>
      <c r="AA2983">
        <v>0.98114570000000001</v>
      </c>
      <c r="AB2983">
        <v>32</v>
      </c>
      <c r="AC2983">
        <v>20.774399999999901</v>
      </c>
      <c r="AD2983">
        <v>-1.1211567752534</v>
      </c>
      <c r="AE2983">
        <v>-3.3739999999999899</v>
      </c>
      <c r="AF2983">
        <v>4.1156824061117199</v>
      </c>
      <c r="AG2983">
        <v>-1.1211567752534</v>
      </c>
      <c r="AH2983">
        <v>20.579538509710702</v>
      </c>
      <c r="AI2983">
        <v>93.057911873752502</v>
      </c>
      <c r="AJ2983">
        <v>78.690670651534404</v>
      </c>
      <c r="AK2983">
        <v>21.0169750310395</v>
      </c>
      <c r="AL2983">
        <v>79.486517421325502</v>
      </c>
      <c r="AM2983">
        <v>81.891211037590594</v>
      </c>
      <c r="AN2983">
        <v>1.00000002490261</v>
      </c>
    </row>
    <row r="2984" spans="1:40" x14ac:dyDescent="0.25">
      <c r="A2984" t="str">
        <f>"20190303162608059"</f>
        <v>20190303162608059</v>
      </c>
      <c r="B2984" t="str">
        <f>"1551601568045879"</f>
        <v>1551601568045879</v>
      </c>
      <c r="C2984" t="s">
        <v>40</v>
      </c>
      <c r="D2984">
        <v>4.9208800000000004</v>
      </c>
      <c r="E2984">
        <v>0.52340109999999995</v>
      </c>
      <c r="F2984" t="s">
        <v>48</v>
      </c>
      <c r="G2984">
        <v>-213.07480000000001</v>
      </c>
      <c r="H2984" s="1">
        <v>1.70708899999999E-7</v>
      </c>
      <c r="I2984">
        <v>212.98589999999999</v>
      </c>
      <c r="J2984">
        <v>-233.62690000000001</v>
      </c>
      <c r="K2984">
        <v>1.1211580000000001</v>
      </c>
      <c r="L2984">
        <v>216.33879999999999</v>
      </c>
      <c r="M2984">
        <v>0.99924570000000001</v>
      </c>
      <c r="N2984">
        <v>-1.329172E-2</v>
      </c>
      <c r="O2984">
        <v>3.6489250000000001E-2</v>
      </c>
      <c r="P2984">
        <v>0.97992190000000001</v>
      </c>
      <c r="Q2984">
        <v>0.16965429999999901</v>
      </c>
      <c r="R2984">
        <v>-0.1047428</v>
      </c>
      <c r="S2984">
        <v>3.0378720000000001</v>
      </c>
      <c r="T2984">
        <v>-0.16317190000000001</v>
      </c>
      <c r="U2984">
        <v>-0.48625180000000001</v>
      </c>
      <c r="V2984">
        <v>0.14039109999999999</v>
      </c>
      <c r="W2984">
        <v>0.18263660000000001</v>
      </c>
      <c r="X2984">
        <v>0.97310540000000001</v>
      </c>
      <c r="Y2984">
        <v>0.19360959999999999</v>
      </c>
      <c r="Z2984">
        <v>-7.9249449999999992E-3</v>
      </c>
      <c r="AA2984">
        <v>0.98104669999999905</v>
      </c>
      <c r="AB2984">
        <v>31</v>
      </c>
      <c r="AC2984">
        <v>20.552099999999999</v>
      </c>
      <c r="AD2984">
        <v>-1.1211578292911</v>
      </c>
      <c r="AE2984">
        <v>-3.3529</v>
      </c>
      <c r="AF2984">
        <v>4.0888111424214504</v>
      </c>
      <c r="AG2984">
        <v>-1.1211578292911</v>
      </c>
      <c r="AH2984">
        <v>20.357044864552002</v>
      </c>
      <c r="AI2984">
        <v>93.090757296785398</v>
      </c>
      <c r="AJ2984">
        <v>78.642979935594795</v>
      </c>
      <c r="AK2984">
        <v>20.793860802024099</v>
      </c>
      <c r="AL2984">
        <v>79.476627396955607</v>
      </c>
      <c r="AM2984">
        <v>81.790513360570301</v>
      </c>
      <c r="AN2984">
        <v>0.99999995406396303</v>
      </c>
    </row>
    <row r="2985" spans="1:40" x14ac:dyDescent="0.25">
      <c r="A2985" t="str">
        <f>"20190303162608079"</f>
        <v>20190303162608079</v>
      </c>
      <c r="B2985" t="str">
        <f>"1551601568066375"</f>
        <v>1551601568066375</v>
      </c>
      <c r="C2985" t="s">
        <v>40</v>
      </c>
      <c r="D2985">
        <v>4.9466299999999999</v>
      </c>
      <c r="E2985">
        <v>0.52385700000000002</v>
      </c>
      <c r="F2985" t="s">
        <v>48</v>
      </c>
      <c r="G2985">
        <v>-213.46850000000001</v>
      </c>
      <c r="H2985" s="1">
        <v>3.7590200000000003E-7</v>
      </c>
      <c r="I2985">
        <v>213.0847</v>
      </c>
      <c r="J2985">
        <v>-233.33619999999999</v>
      </c>
      <c r="K2985">
        <v>1.1211519999999999</v>
      </c>
      <c r="L2985">
        <v>216.34950000000001</v>
      </c>
      <c r="M2985">
        <v>0.99924170000000001</v>
      </c>
      <c r="N2985">
        <v>-1.329396E-2</v>
      </c>
      <c r="O2985">
        <v>3.6600250000000001E-2</v>
      </c>
      <c r="P2985">
        <v>0.97983529999999996</v>
      </c>
      <c r="Q2985">
        <v>0.16958419999999999</v>
      </c>
      <c r="R2985">
        <v>-0.1056605</v>
      </c>
      <c r="S2985">
        <v>3.0383</v>
      </c>
      <c r="T2985">
        <v>-0.16898179999999999</v>
      </c>
      <c r="U2985">
        <v>-0.49046329999999999</v>
      </c>
      <c r="V2985">
        <v>0.14141419999999999</v>
      </c>
      <c r="W2985">
        <v>0.1825667</v>
      </c>
      <c r="X2985">
        <v>0.97297040000000001</v>
      </c>
      <c r="Y2985">
        <v>0.1949949</v>
      </c>
      <c r="Z2985">
        <v>-8.2285440000000008E-3</v>
      </c>
      <c r="AA2985">
        <v>0.98076980000000002</v>
      </c>
      <c r="AB2985">
        <v>31</v>
      </c>
      <c r="AC2985">
        <v>19.8676999999999</v>
      </c>
      <c r="AD2985">
        <v>-1.121151624098</v>
      </c>
      <c r="AE2985">
        <v>-3.2648000000000001</v>
      </c>
      <c r="AF2985">
        <v>3.9775059948829701</v>
      </c>
      <c r="AG2985">
        <v>-1.121151624098</v>
      </c>
      <c r="AH2985">
        <v>19.673879915308099</v>
      </c>
      <c r="AI2985">
        <v>93.197031691222193</v>
      </c>
      <c r="AJ2985">
        <v>78.570462259655002</v>
      </c>
      <c r="AK2985">
        <v>20.103210833732799</v>
      </c>
      <c r="AL2985">
        <v>79.480701216062499</v>
      </c>
      <c r="AM2985">
        <v>81.730379600098104</v>
      </c>
      <c r="AN2985">
        <v>0.99999998759334496</v>
      </c>
    </row>
    <row r="2986" spans="1:40" x14ac:dyDescent="0.25">
      <c r="A2986" t="str">
        <f>"20190303162608100"</f>
        <v>20190303162608100</v>
      </c>
      <c r="B2986" t="str">
        <f>"1551601568096631"</f>
        <v>1551601568096631</v>
      </c>
      <c r="C2986" t="s">
        <v>40</v>
      </c>
      <c r="D2986">
        <v>4.9331860000000001</v>
      </c>
      <c r="E2986">
        <v>0.52444269999999904</v>
      </c>
      <c r="F2986" t="s">
        <v>48</v>
      </c>
      <c r="G2986">
        <v>-213.5104</v>
      </c>
      <c r="H2986" s="1">
        <v>3.9715900000000002E-7</v>
      </c>
      <c r="I2986">
        <v>213.10900000000001</v>
      </c>
      <c r="J2986">
        <v>-233.04159999999999</v>
      </c>
      <c r="K2986">
        <v>1.1211530000000001</v>
      </c>
      <c r="L2986">
        <v>216.3604</v>
      </c>
      <c r="M2986">
        <v>0.9992375</v>
      </c>
      <c r="N2986">
        <v>-1.3295649999999999E-2</v>
      </c>
      <c r="O2986">
        <v>3.671377E-2</v>
      </c>
      <c r="P2986">
        <v>0.97984700000000002</v>
      </c>
      <c r="Q2986">
        <v>0.1690864</v>
      </c>
      <c r="R2986">
        <v>-0.1063492</v>
      </c>
      <c r="S2986">
        <v>3.0379330000000002</v>
      </c>
      <c r="T2986">
        <v>-0.17179510000000001</v>
      </c>
      <c r="U2986">
        <v>-0.49655149999999998</v>
      </c>
      <c r="V2986">
        <v>0.14221400000000001</v>
      </c>
      <c r="W2986">
        <v>0.18207019999999999</v>
      </c>
      <c r="X2986">
        <v>0.97294689999999995</v>
      </c>
      <c r="Y2986">
        <v>0.197023</v>
      </c>
      <c r="Z2986">
        <v>-8.4271950000000002E-3</v>
      </c>
      <c r="AA2986">
        <v>0.98036270000000003</v>
      </c>
      <c r="AB2986">
        <v>31</v>
      </c>
      <c r="AC2986">
        <v>19.531199999999899</v>
      </c>
      <c r="AD2986">
        <v>-1.1211526028409999</v>
      </c>
      <c r="AE2986">
        <v>-3.2513999999999799</v>
      </c>
      <c r="AF2986">
        <v>3.9536583848029498</v>
      </c>
      <c r="AG2986">
        <v>-1.1211526028409999</v>
      </c>
      <c r="AH2986">
        <v>19.336650011060598</v>
      </c>
      <c r="AI2986">
        <v>93.251219344996798</v>
      </c>
      <c r="AJ2986">
        <v>78.444321620199005</v>
      </c>
      <c r="AK2986">
        <v>19.768521225241699</v>
      </c>
      <c r="AL2986">
        <v>79.509633885148105</v>
      </c>
      <c r="AM2986">
        <v>81.6840630954825</v>
      </c>
      <c r="AN2986">
        <v>1.0000000248718199</v>
      </c>
    </row>
    <row r="2987" spans="1:40" x14ac:dyDescent="0.25">
      <c r="A2987" t="str">
        <f>"20190303162608127"</f>
        <v>20190303162608127</v>
      </c>
      <c r="B2987" t="str">
        <f>"1551601568116152"</f>
        <v>1551601568116152</v>
      </c>
      <c r="C2987" t="s">
        <v>40</v>
      </c>
      <c r="D2987">
        <v>4.987241</v>
      </c>
      <c r="E2987">
        <v>0.52482399999999996</v>
      </c>
      <c r="F2987" t="s">
        <v>48</v>
      </c>
      <c r="G2987">
        <v>-213.5735</v>
      </c>
      <c r="H2987" s="1">
        <v>4.2957310000000002E-7</v>
      </c>
      <c r="I2987">
        <v>213.136</v>
      </c>
      <c r="J2987">
        <v>-232.67060000000001</v>
      </c>
      <c r="K2987">
        <v>1.121157</v>
      </c>
      <c r="L2987">
        <v>216.3742</v>
      </c>
      <c r="M2987">
        <v>0.99923209999999996</v>
      </c>
      <c r="N2987">
        <v>-1.329726E-2</v>
      </c>
      <c r="O2987">
        <v>3.6859299999999998E-2</v>
      </c>
      <c r="P2987">
        <v>0.97977829999999999</v>
      </c>
      <c r="Q2987">
        <v>0.16935919999999999</v>
      </c>
      <c r="R2987">
        <v>-0.1065468</v>
      </c>
      <c r="S2987">
        <v>3.037277</v>
      </c>
      <c r="T2987">
        <v>-0.1749145</v>
      </c>
      <c r="U2987">
        <v>-0.50305180000000005</v>
      </c>
      <c r="V2987">
        <v>0.14255109999999999</v>
      </c>
      <c r="W2987">
        <v>0.18234310000000001</v>
      </c>
      <c r="X2987">
        <v>0.9728464</v>
      </c>
      <c r="Y2987">
        <v>0.19922309999999999</v>
      </c>
      <c r="Z2987">
        <v>-8.6496469999999999E-3</v>
      </c>
      <c r="AA2987">
        <v>0.97991600000000001</v>
      </c>
      <c r="AB2987">
        <v>31</v>
      </c>
      <c r="AC2987">
        <v>19.097100000000001</v>
      </c>
      <c r="AD2987">
        <v>-1.1211565704269</v>
      </c>
      <c r="AE2987">
        <v>-3.2382</v>
      </c>
      <c r="AF2987">
        <v>3.9268109523967198</v>
      </c>
      <c r="AG2987">
        <v>-1.1211565704269</v>
      </c>
      <c r="AH2987">
        <v>18.9014263238311</v>
      </c>
      <c r="AI2987">
        <v>93.323771131925696</v>
      </c>
      <c r="AJ2987">
        <v>78.263631875051999</v>
      </c>
      <c r="AK2987">
        <v>19.337547760419099</v>
      </c>
      <c r="AL2987">
        <v>79.493731086402803</v>
      </c>
      <c r="AM2987">
        <v>81.6637788805632</v>
      </c>
      <c r="AN2987">
        <v>0.99999997011088904</v>
      </c>
    </row>
    <row r="2988" spans="1:40" x14ac:dyDescent="0.25">
      <c r="A2988" t="str">
        <f>"20190303162608166"</f>
        <v>20190303162608166</v>
      </c>
      <c r="B2988" t="str">
        <f>"1551601568156167"</f>
        <v>1551601568156167</v>
      </c>
      <c r="C2988" t="s">
        <v>40</v>
      </c>
      <c r="D2988">
        <v>4.9137360000000001</v>
      </c>
      <c r="E2988">
        <v>0.5253698</v>
      </c>
      <c r="F2988" t="s">
        <v>48</v>
      </c>
      <c r="G2988">
        <v>-213.2689</v>
      </c>
      <c r="H2988" s="1">
        <v>2.673137E-7</v>
      </c>
      <c r="I2988">
        <v>213.13890000000001</v>
      </c>
      <c r="J2988">
        <v>-232.11590000000001</v>
      </c>
      <c r="K2988">
        <v>1.1211580000000001</v>
      </c>
      <c r="L2988">
        <v>216.39500000000001</v>
      </c>
      <c r="M2988">
        <v>0.999224</v>
      </c>
      <c r="N2988">
        <v>-1.329864E-2</v>
      </c>
      <c r="O2988">
        <v>3.7077850000000002E-2</v>
      </c>
      <c r="P2988">
        <v>0.97964260000000003</v>
      </c>
      <c r="Q2988">
        <v>0.16901830000000001</v>
      </c>
      <c r="R2988">
        <v>-0.108322</v>
      </c>
      <c r="S2988">
        <v>3.0371860000000002</v>
      </c>
      <c r="T2988">
        <v>-0.17550839999999901</v>
      </c>
      <c r="U2988">
        <v>-0.50645450000000003</v>
      </c>
      <c r="V2988">
        <v>0.14453339999999901</v>
      </c>
      <c r="W2988">
        <v>0.18200079999999999</v>
      </c>
      <c r="X2988">
        <v>0.97261799999999998</v>
      </c>
      <c r="Y2988">
        <v>0.20050480000000001</v>
      </c>
      <c r="Z2988">
        <v>-8.7308899999999998E-3</v>
      </c>
      <c r="AA2988">
        <v>0.97965380000000002</v>
      </c>
      <c r="AB2988">
        <v>31</v>
      </c>
      <c r="AC2988">
        <v>18.847000000000001</v>
      </c>
      <c r="AD2988">
        <v>-1.1211577326863</v>
      </c>
      <c r="AE2988">
        <v>-3.2561</v>
      </c>
      <c r="AF2988">
        <v>3.9391928302398802</v>
      </c>
      <c r="AG2988">
        <v>-1.1211577326863</v>
      </c>
      <c r="AH2988">
        <v>18.649216214133101</v>
      </c>
      <c r="AI2988">
        <v>93.366280162187493</v>
      </c>
      <c r="AJ2988">
        <v>78.072978973125402</v>
      </c>
      <c r="AK2988">
        <v>19.093650782835098</v>
      </c>
      <c r="AL2988">
        <v>79.513677348676296</v>
      </c>
      <c r="AM2988">
        <v>81.547563124284096</v>
      </c>
      <c r="AN2988">
        <v>0.99999998442009896</v>
      </c>
    </row>
    <row r="2989" spans="1:40" x14ac:dyDescent="0.25">
      <c r="A2989" t="str">
        <f>"20190303162608192"</f>
        <v>20190303162608192</v>
      </c>
      <c r="B2989" t="str">
        <f>"1551601568186423"</f>
        <v>1551601568186423</v>
      </c>
      <c r="C2989" t="s">
        <v>40</v>
      </c>
      <c r="D2989">
        <v>4.9296189999999998</v>
      </c>
      <c r="E2989">
        <v>0.52570069999999902</v>
      </c>
      <c r="F2989" t="s">
        <v>48</v>
      </c>
      <c r="G2989">
        <v>-213.1951</v>
      </c>
      <c r="H2989" s="1">
        <v>2.262578E-7</v>
      </c>
      <c r="I2989">
        <v>213.1797</v>
      </c>
      <c r="J2989">
        <v>-231.75239999999999</v>
      </c>
      <c r="K2989">
        <v>1.121159</v>
      </c>
      <c r="L2989">
        <v>216.40860000000001</v>
      </c>
      <c r="M2989">
        <v>0.99921859999999996</v>
      </c>
      <c r="N2989">
        <v>-1.329894E-2</v>
      </c>
      <c r="O2989">
        <v>3.722143E-2</v>
      </c>
      <c r="P2989">
        <v>0.9796513</v>
      </c>
      <c r="Q2989">
        <v>0.1687448</v>
      </c>
      <c r="R2989">
        <v>-0.1086666</v>
      </c>
      <c r="S2989">
        <v>3.0363159999999998</v>
      </c>
      <c r="T2989">
        <v>-0.17991760000000001</v>
      </c>
      <c r="U2989">
        <v>-0.51597599999999999</v>
      </c>
      <c r="V2989">
        <v>0.14501839999999999</v>
      </c>
      <c r="W2989">
        <v>0.18172749999999999</v>
      </c>
      <c r="X2989">
        <v>0.97259689999999999</v>
      </c>
      <c r="Y2989">
        <v>0.20364979999999999</v>
      </c>
      <c r="Z2989">
        <v>-9.0493110000000009E-3</v>
      </c>
      <c r="AA2989">
        <v>0.97900200000000004</v>
      </c>
      <c r="AB2989">
        <v>31</v>
      </c>
      <c r="AC2989">
        <v>18.557300000000001</v>
      </c>
      <c r="AD2989">
        <v>-1.1211587737422</v>
      </c>
      <c r="AE2989">
        <v>-3.2288999999999999</v>
      </c>
      <c r="AF2989">
        <v>3.90362249662823</v>
      </c>
      <c r="AG2989">
        <v>-1.1211587737422</v>
      </c>
      <c r="AH2989">
        <v>18.359199685742499</v>
      </c>
      <c r="AI2989">
        <v>93.418366660580503</v>
      </c>
      <c r="AJ2989">
        <v>77.996255305277799</v>
      </c>
      <c r="AK2989">
        <v>18.803070991013399</v>
      </c>
      <c r="AL2989">
        <v>79.529601750620401</v>
      </c>
      <c r="AM2989">
        <v>81.519430360467794</v>
      </c>
      <c r="AN2989">
        <v>0.99999997524220896</v>
      </c>
    </row>
    <row r="2990" spans="1:40" x14ac:dyDescent="0.25">
      <c r="A2990" t="str">
        <f>"20190303162608213"</f>
        <v>20190303162608213</v>
      </c>
      <c r="B2990" t="str">
        <f>"1551601568205943"</f>
        <v>1551601568205943</v>
      </c>
      <c r="C2990" t="s">
        <v>40</v>
      </c>
      <c r="D2990">
        <v>4.9124790000000003</v>
      </c>
      <c r="E2990">
        <v>0.52572719999999995</v>
      </c>
      <c r="F2990" t="s">
        <v>48</v>
      </c>
      <c r="G2990">
        <v>-213.02379999999999</v>
      </c>
      <c r="H2990" s="1">
        <v>1.34241799999999E-7</v>
      </c>
      <c r="I2990">
        <v>213.20050000000001</v>
      </c>
      <c r="J2990">
        <v>-231.4556</v>
      </c>
      <c r="K2990">
        <v>1.121151</v>
      </c>
      <c r="L2990">
        <v>216.41980000000001</v>
      </c>
      <c r="M2990">
        <v>0.99921420000000005</v>
      </c>
      <c r="N2990">
        <v>-1.3298900000000001E-2</v>
      </c>
      <c r="O2990">
        <v>3.733819E-2</v>
      </c>
      <c r="P2990">
        <v>0.97970749999999995</v>
      </c>
      <c r="Q2990">
        <v>0.16809350000000001</v>
      </c>
      <c r="R2990">
        <v>-0.1091683</v>
      </c>
      <c r="S2990">
        <v>3.0359189999999998</v>
      </c>
      <c r="T2990">
        <v>-0.18174100000000001</v>
      </c>
      <c r="U2990">
        <v>-0.52003480000000002</v>
      </c>
      <c r="V2990">
        <v>0.14563609999999999</v>
      </c>
      <c r="W2990">
        <v>0.1810766</v>
      </c>
      <c r="X2990">
        <v>0.97262599999999999</v>
      </c>
      <c r="Y2990">
        <v>0.2050449</v>
      </c>
      <c r="Z2990">
        <v>-9.1885920000000006E-3</v>
      </c>
      <c r="AA2990">
        <v>0.97870950000000001</v>
      </c>
      <c r="AB2990">
        <v>31</v>
      </c>
      <c r="AC2990">
        <v>18.431799999999999</v>
      </c>
      <c r="AD2990">
        <v>-1.1211508657581899</v>
      </c>
      <c r="AE2990">
        <v>-3.2193000000000001</v>
      </c>
      <c r="AF2990">
        <v>3.89135416077051</v>
      </c>
      <c r="AG2990">
        <v>-1.1211508657581899</v>
      </c>
      <c r="AH2990">
        <v>18.233266921285701</v>
      </c>
      <c r="AI2990">
        <v>93.441339014059594</v>
      </c>
      <c r="AJ2990">
        <v>77.952644401068397</v>
      </c>
      <c r="AK2990">
        <v>18.6775704814943</v>
      </c>
      <c r="AL2990">
        <v>79.567524723889903</v>
      </c>
      <c r="AM2990">
        <v>81.484087357572903</v>
      </c>
      <c r="AN2990">
        <v>0.999999972283384</v>
      </c>
    </row>
    <row r="2991" spans="1:40" x14ac:dyDescent="0.25">
      <c r="A2991" t="str">
        <f>"20190303162608238"</f>
        <v>20190303162608238</v>
      </c>
      <c r="B2991" t="str">
        <f>"1551601568226439"</f>
        <v>1551601568226439</v>
      </c>
      <c r="C2991" t="s">
        <v>40</v>
      </c>
      <c r="D2991">
        <v>4.8710360000000001</v>
      </c>
      <c r="E2991">
        <v>0.52586949999999999</v>
      </c>
      <c r="F2991" t="s">
        <v>48</v>
      </c>
      <c r="G2991">
        <v>-213.0651</v>
      </c>
      <c r="H2991" s="1">
        <v>1.53693E-7</v>
      </c>
      <c r="I2991">
        <v>213.25819999999999</v>
      </c>
      <c r="J2991">
        <v>-231.12110000000001</v>
      </c>
      <c r="K2991">
        <v>1.121146</v>
      </c>
      <c r="L2991">
        <v>216.4324</v>
      </c>
      <c r="M2991">
        <v>0.99920949999999997</v>
      </c>
      <c r="N2991">
        <v>-1.329872E-2</v>
      </c>
      <c r="O2991">
        <v>3.7466369999999999E-2</v>
      </c>
      <c r="P2991">
        <v>0.97982259999999999</v>
      </c>
      <c r="Q2991">
        <v>0.16745660000000001</v>
      </c>
      <c r="R2991">
        <v>-0.10911650000000001</v>
      </c>
      <c r="S2991">
        <v>3.0357509999999999</v>
      </c>
      <c r="T2991">
        <v>-0.18507080000000001</v>
      </c>
      <c r="U2991">
        <v>-0.52188109999999999</v>
      </c>
      <c r="V2991">
        <v>0.14571429999999999</v>
      </c>
      <c r="W2991">
        <v>0.18044070000000001</v>
      </c>
      <c r="X2991">
        <v>0.9727325</v>
      </c>
      <c r="Y2991">
        <v>0.20573939999999999</v>
      </c>
      <c r="Z2991">
        <v>-9.3724050000000003E-3</v>
      </c>
      <c r="AA2991">
        <v>0.97856189999999998</v>
      </c>
      <c r="AB2991">
        <v>31</v>
      </c>
      <c r="AC2991">
        <v>18.056000000000001</v>
      </c>
      <c r="AD2991">
        <v>-1.1211458463070001</v>
      </c>
      <c r="AE2991">
        <v>-3.1742000000000101</v>
      </c>
      <c r="AF2991">
        <v>3.8341839499981401</v>
      </c>
      <c r="AG2991">
        <v>-1.1211458463070001</v>
      </c>
      <c r="AH2991">
        <v>17.857598157388299</v>
      </c>
      <c r="AI2991">
        <v>93.512614943771894</v>
      </c>
      <c r="AJ2991">
        <v>77.882066679072395</v>
      </c>
      <c r="AK2991">
        <v>18.298954793153399</v>
      </c>
      <c r="AL2991">
        <v>79.604569726137896</v>
      </c>
      <c r="AM2991">
        <v>81.480500968172905</v>
      </c>
      <c r="AN2991">
        <v>1.0000000099986099</v>
      </c>
    </row>
    <row r="2992" spans="1:40" x14ac:dyDescent="0.25">
      <c r="A2992" t="str">
        <f>"20190303162608258"</f>
        <v>20190303162608258</v>
      </c>
      <c r="B2992" t="str">
        <f>"1551601568245959"</f>
        <v>1551601568245959</v>
      </c>
      <c r="C2992" t="s">
        <v>40</v>
      </c>
      <c r="D2992">
        <v>4.7966259999999998</v>
      </c>
      <c r="E2992">
        <v>0.52584619999999904</v>
      </c>
      <c r="F2992" t="s">
        <v>48</v>
      </c>
      <c r="G2992">
        <v>-212.93109999999999</v>
      </c>
      <c r="H2992" s="1">
        <v>8.0451699999999902E-8</v>
      </c>
      <c r="I2992">
        <v>213.30179999999999</v>
      </c>
      <c r="J2992">
        <v>-230.82919999999999</v>
      </c>
      <c r="K2992">
        <v>1.121143</v>
      </c>
      <c r="L2992">
        <v>216.4435</v>
      </c>
      <c r="M2992">
        <v>0.99920549999999997</v>
      </c>
      <c r="N2992">
        <v>-1.329842E-2</v>
      </c>
      <c r="O2992">
        <v>3.7574330000000003E-2</v>
      </c>
      <c r="P2992">
        <v>0.97991620000000002</v>
      </c>
      <c r="Q2992">
        <v>0.1672053</v>
      </c>
      <c r="R2992">
        <v>-0.10866190000000001</v>
      </c>
      <c r="S2992">
        <v>3.035568</v>
      </c>
      <c r="T2992">
        <v>-0.18709799999999999</v>
      </c>
      <c r="U2992">
        <v>-0.52244570000000001</v>
      </c>
      <c r="V2992">
        <v>0.1453699</v>
      </c>
      <c r="W2992">
        <v>0.18018880000000001</v>
      </c>
      <c r="X2992">
        <v>0.97283070000000005</v>
      </c>
      <c r="Y2992">
        <v>0.2060206</v>
      </c>
      <c r="Z2992">
        <v>-9.481293E-3</v>
      </c>
      <c r="AA2992">
        <v>0.97850170000000003</v>
      </c>
      <c r="AB2992">
        <v>31</v>
      </c>
      <c r="AC2992">
        <v>17.898099999999999</v>
      </c>
      <c r="AD2992">
        <v>-1.1211429195483</v>
      </c>
      <c r="AE2992">
        <v>-3.1417000000000099</v>
      </c>
      <c r="AF2992">
        <v>3.7975938981497301</v>
      </c>
      <c r="AG2992">
        <v>-1.1211429195483</v>
      </c>
      <c r="AH2992">
        <v>17.700025470432902</v>
      </c>
      <c r="AI2992">
        <v>93.543910077910795</v>
      </c>
      <c r="AJ2992">
        <v>77.890600687033796</v>
      </c>
      <c r="AK2992">
        <v>18.137518642727599</v>
      </c>
      <c r="AL2992">
        <v>79.619242846138604</v>
      </c>
      <c r="AM2992">
        <v>81.501188035574799</v>
      </c>
      <c r="AN2992">
        <v>0.99999999116697003</v>
      </c>
    </row>
    <row r="2993" spans="1:40" x14ac:dyDescent="0.25">
      <c r="A2993" t="str">
        <f>"20190303162608283"</f>
        <v>20190303162608283</v>
      </c>
      <c r="B2993" t="str">
        <f>"1551601568276214"</f>
        <v>1551601568276214</v>
      </c>
      <c r="C2993" t="s">
        <v>40</v>
      </c>
      <c r="D2993">
        <v>4.7290140000000003</v>
      </c>
      <c r="E2993">
        <v>0.5260475</v>
      </c>
      <c r="F2993" t="s">
        <v>48</v>
      </c>
      <c r="G2993">
        <v>-212.74369999999999</v>
      </c>
      <c r="H2993" s="1">
        <v>-2.096903E-8</v>
      </c>
      <c r="I2993">
        <v>213.34059999999999</v>
      </c>
      <c r="J2993">
        <v>-230.48769999999999</v>
      </c>
      <c r="K2993">
        <v>1.121138</v>
      </c>
      <c r="L2993">
        <v>216.45650000000001</v>
      </c>
      <c r="M2993">
        <v>0.99920089999999995</v>
      </c>
      <c r="N2993">
        <v>-1.329753E-2</v>
      </c>
      <c r="O2993">
        <v>3.7694470000000001E-2</v>
      </c>
      <c r="P2993">
        <v>0.98022039999999999</v>
      </c>
      <c r="Q2993">
        <v>0.16620839999999901</v>
      </c>
      <c r="R2993">
        <v>-0.10743709999999999</v>
      </c>
      <c r="S2993">
        <v>3.0358580000000002</v>
      </c>
      <c r="T2993">
        <v>-0.18819630000000001</v>
      </c>
      <c r="U2993">
        <v>-0.52085879999999996</v>
      </c>
      <c r="V2993">
        <v>0.1442773</v>
      </c>
      <c r="W2993">
        <v>0.17919350000000001</v>
      </c>
      <c r="X2993">
        <v>0.97317710000000002</v>
      </c>
      <c r="Y2993">
        <v>0.2056211</v>
      </c>
      <c r="Z2993">
        <v>-9.5219399999999996E-3</v>
      </c>
      <c r="AA2993">
        <v>0.97858540000000005</v>
      </c>
      <c r="AB2993">
        <v>31</v>
      </c>
      <c r="AC2993">
        <v>17.744</v>
      </c>
      <c r="AD2993">
        <v>-1.12113802096903</v>
      </c>
      <c r="AE2993">
        <v>-3.1159000000000101</v>
      </c>
      <c r="AF2993">
        <v>3.76800221661725</v>
      </c>
      <c r="AG2993">
        <v>-1.12113802096903</v>
      </c>
      <c r="AH2993">
        <v>17.545972640395298</v>
      </c>
      <c r="AI2993">
        <v>93.574785209185706</v>
      </c>
      <c r="AJ2993">
        <v>77.879797273202698</v>
      </c>
      <c r="AK2993">
        <v>17.980988489624199</v>
      </c>
      <c r="AL2993">
        <v>79.677212575799004</v>
      </c>
      <c r="AM2993">
        <v>81.567102090543798</v>
      </c>
      <c r="AN2993">
        <v>0.99999995885097404</v>
      </c>
    </row>
    <row r="2994" spans="1:40" x14ac:dyDescent="0.25">
      <c r="A2994" t="str">
        <f>"20190303162608306"</f>
        <v>20190303162608306</v>
      </c>
      <c r="B2994" t="str">
        <f>"1551601568296711"</f>
        <v>1551601568296711</v>
      </c>
      <c r="C2994" t="s">
        <v>40</v>
      </c>
      <c r="D2994">
        <v>4.6980190000000004</v>
      </c>
      <c r="E2994">
        <v>0.52618869999999995</v>
      </c>
      <c r="F2994" t="s">
        <v>48</v>
      </c>
      <c r="G2994">
        <v>-212.60810000000001</v>
      </c>
      <c r="H2994" s="1">
        <v>-9.5637589999999994E-8</v>
      </c>
      <c r="I2994">
        <v>213.39760000000001</v>
      </c>
      <c r="J2994">
        <v>-230.1677</v>
      </c>
      <c r="K2994">
        <v>1.1211329999999999</v>
      </c>
      <c r="L2994">
        <v>216.46870000000001</v>
      </c>
      <c r="M2994">
        <v>0.99919690000000005</v>
      </c>
      <c r="N2994">
        <v>-1.329637E-2</v>
      </c>
      <c r="O2994">
        <v>3.7799890000000003E-2</v>
      </c>
      <c r="P2994">
        <v>0.98023070000000001</v>
      </c>
      <c r="Q2994">
        <v>0.16661319999999999</v>
      </c>
      <c r="R2994">
        <v>-0.10671559999999999</v>
      </c>
      <c r="S2994">
        <v>3.0358890000000001</v>
      </c>
      <c r="T2994">
        <v>-0.19036500000000001</v>
      </c>
      <c r="U2994">
        <v>-0.51939389999999996</v>
      </c>
      <c r="V2994">
        <v>0.14366199999999901</v>
      </c>
      <c r="W2994">
        <v>0.17959549999999999</v>
      </c>
      <c r="X2994">
        <v>0.97319409999999895</v>
      </c>
      <c r="Y2994">
        <v>0.20525350000000001</v>
      </c>
      <c r="Z2994">
        <v>-9.6127460000000001E-3</v>
      </c>
      <c r="AA2994">
        <v>0.97866169999999997</v>
      </c>
      <c r="AB2994">
        <v>31</v>
      </c>
      <c r="AC2994">
        <v>17.5595999999999</v>
      </c>
      <c r="AD2994">
        <v>-1.12113309563759</v>
      </c>
      <c r="AE2994">
        <v>-3.0710999999999999</v>
      </c>
      <c r="AF2994">
        <v>3.7180078651209398</v>
      </c>
      <c r="AG2994">
        <v>-1.12113309563759</v>
      </c>
      <c r="AH2994">
        <v>17.362274712410699</v>
      </c>
      <c r="AI2994">
        <v>93.6129406799012</v>
      </c>
      <c r="AJ2994">
        <v>77.913066545124806</v>
      </c>
      <c r="AK2994">
        <v>17.791264853642399</v>
      </c>
      <c r="AL2994">
        <v>79.653800649002406</v>
      </c>
      <c r="AM2994">
        <v>81.602696617627998</v>
      </c>
      <c r="AN2994">
        <v>1.00000003506952</v>
      </c>
    </row>
    <row r="2995" spans="1:40" x14ac:dyDescent="0.25">
      <c r="A2995" t="str">
        <f>"20190303162608326"</f>
        <v>20190303162608326</v>
      </c>
      <c r="B2995" t="str">
        <f>"1551601568316231"</f>
        <v>1551601568316231</v>
      </c>
      <c r="C2995" t="s">
        <v>40</v>
      </c>
      <c r="D2995">
        <v>4.6807589999999903</v>
      </c>
      <c r="E2995">
        <v>0.52641510000000002</v>
      </c>
      <c r="F2995" t="s">
        <v>48</v>
      </c>
      <c r="G2995">
        <v>-211.94759999999999</v>
      </c>
      <c r="H2995" s="1">
        <v>-4.4540670000000001E-7</v>
      </c>
      <c r="I2995">
        <v>213.3588</v>
      </c>
      <c r="J2995">
        <v>-229.87870000000001</v>
      </c>
      <c r="K2995">
        <v>1.121122</v>
      </c>
      <c r="L2995">
        <v>216.47970000000001</v>
      </c>
      <c r="M2995">
        <v>0.99919369999999996</v>
      </c>
      <c r="N2995">
        <v>-1.329528E-2</v>
      </c>
      <c r="O2995">
        <v>3.7888739999999997E-2</v>
      </c>
      <c r="P2995">
        <v>0.98031650000000004</v>
      </c>
      <c r="Q2995">
        <v>0.1664891</v>
      </c>
      <c r="R2995">
        <v>-0.106119699999999</v>
      </c>
      <c r="S2995">
        <v>3.0358429999999998</v>
      </c>
      <c r="T2995">
        <v>-0.18680369999999999</v>
      </c>
      <c r="U2995">
        <v>-0.5181732</v>
      </c>
      <c r="V2995">
        <v>0.1431586</v>
      </c>
      <c r="W2995">
        <v>0.1794702</v>
      </c>
      <c r="X2995">
        <v>0.97329129999999997</v>
      </c>
      <c r="Y2995">
        <v>0.2049793</v>
      </c>
      <c r="Z2995">
        <v>-9.4438960000000002E-3</v>
      </c>
      <c r="AA2995">
        <v>0.9787207</v>
      </c>
      <c r="AB2995">
        <v>31</v>
      </c>
      <c r="AC2995">
        <v>17.931100000000001</v>
      </c>
      <c r="AD2995">
        <v>-1.1211224454066999</v>
      </c>
      <c r="AE2995">
        <v>-3.1208999999999998</v>
      </c>
      <c r="AF2995">
        <v>3.7837487307885702</v>
      </c>
      <c r="AG2995">
        <v>-1.1211224454066999</v>
      </c>
      <c r="AH2995">
        <v>17.732682080876</v>
      </c>
      <c r="AI2995">
        <v>93.538184717503498</v>
      </c>
      <c r="AJ2995">
        <v>77.955024990678297</v>
      </c>
      <c r="AK2995">
        <v>18.1664989410937</v>
      </c>
      <c r="AL2995">
        <v>79.661097453170598</v>
      </c>
      <c r="AM2995">
        <v>81.632527754330198</v>
      </c>
      <c r="AN2995">
        <v>0.99999994604884301</v>
      </c>
    </row>
    <row r="2996" spans="1:40" x14ac:dyDescent="0.25">
      <c r="A2996" t="str">
        <f>"20190303162608354"</f>
        <v>20190303162608354</v>
      </c>
      <c r="B2996" t="str">
        <f>"1551601568346487"</f>
        <v>1551601568346487</v>
      </c>
      <c r="C2996" t="s">
        <v>40</v>
      </c>
      <c r="D2996">
        <v>4.6260709999999996</v>
      </c>
      <c r="E2996">
        <v>0.52674140000000003</v>
      </c>
      <c r="F2996" t="s">
        <v>48</v>
      </c>
      <c r="G2996">
        <v>-211.6104</v>
      </c>
      <c r="H2996" s="1">
        <v>-6.2527240000000001E-7</v>
      </c>
      <c r="I2996">
        <v>213.36850000000001</v>
      </c>
      <c r="J2996">
        <v>-229.4922</v>
      </c>
      <c r="K2996">
        <v>1.12112099999999</v>
      </c>
      <c r="L2996">
        <v>216.49449999999999</v>
      </c>
      <c r="M2996">
        <v>0.99918940000000001</v>
      </c>
      <c r="N2996">
        <v>-1.3293620000000001E-2</v>
      </c>
      <c r="O2996">
        <v>3.7998490000000003E-2</v>
      </c>
      <c r="P2996">
        <v>0.98045309999999997</v>
      </c>
      <c r="Q2996">
        <v>0.16593569999999999</v>
      </c>
      <c r="R2996">
        <v>-0.1057227</v>
      </c>
      <c r="S2996">
        <v>3.0359039999999999</v>
      </c>
      <c r="T2996">
        <v>-0.1863129</v>
      </c>
      <c r="U2996">
        <v>-0.51702879999999996</v>
      </c>
      <c r="V2996">
        <v>0.14287729999999901</v>
      </c>
      <c r="W2996">
        <v>0.178914299999999</v>
      </c>
      <c r="X2996">
        <v>0.97343500000000005</v>
      </c>
      <c r="Y2996">
        <v>0.20472789999999999</v>
      </c>
      <c r="Z2996">
        <v>-9.4172470000000001E-3</v>
      </c>
      <c r="AA2996">
        <v>0.97877360000000002</v>
      </c>
      <c r="AB2996">
        <v>31</v>
      </c>
      <c r="AC2996">
        <v>17.881799999999998</v>
      </c>
      <c r="AD2996">
        <v>-1.1211216252723999</v>
      </c>
      <c r="AE2996">
        <v>-3.1259999999999701</v>
      </c>
      <c r="AF2996">
        <v>3.7888318490502901</v>
      </c>
      <c r="AG2996">
        <v>-1.1211216252723999</v>
      </c>
      <c r="AH2996">
        <v>17.682643547558399</v>
      </c>
      <c r="AI2996">
        <v>93.547524057079002</v>
      </c>
      <c r="AJ2996">
        <v>77.906191073420004</v>
      </c>
      <c r="AK2996">
        <v>18.1187207967075</v>
      </c>
      <c r="AL2996">
        <v>79.693472489843899</v>
      </c>
      <c r="AM2996">
        <v>81.649952785870795</v>
      </c>
      <c r="AN2996">
        <v>0.99999997441238897</v>
      </c>
    </row>
    <row r="2997" spans="1:40" x14ac:dyDescent="0.25">
      <c r="A2997" t="str">
        <f>"20190303162608377"</f>
        <v>20190303162608377</v>
      </c>
      <c r="B2997" t="str">
        <f>"1551601568366007"</f>
        <v>1551601568366007</v>
      </c>
      <c r="C2997" t="s">
        <v>40</v>
      </c>
      <c r="D2997">
        <v>4.6285230000000004</v>
      </c>
      <c r="E2997">
        <v>0.52694919999999901</v>
      </c>
      <c r="F2997" t="s">
        <v>48</v>
      </c>
      <c r="G2997">
        <v>-211.2646</v>
      </c>
      <c r="H2997" s="1">
        <v>-8.0982569999999895E-7</v>
      </c>
      <c r="I2997">
        <v>213.38059999999999</v>
      </c>
      <c r="J2997">
        <v>-229.16970000000001</v>
      </c>
      <c r="K2997">
        <v>1.1211139999999999</v>
      </c>
      <c r="L2997">
        <v>216.5069</v>
      </c>
      <c r="M2997">
        <v>0.99918629999999997</v>
      </c>
      <c r="N2997">
        <v>-1.3292109999999999E-2</v>
      </c>
      <c r="O2997">
        <v>3.8082390000000001E-2</v>
      </c>
      <c r="P2997">
        <v>0.98051670000000002</v>
      </c>
      <c r="Q2997">
        <v>0.16569970000000001</v>
      </c>
      <c r="R2997">
        <v>-0.1055026</v>
      </c>
      <c r="S2997">
        <v>3.0354920000000001</v>
      </c>
      <c r="T2997">
        <v>-0.18670339999999999</v>
      </c>
      <c r="U2997">
        <v>-0.51856990000000003</v>
      </c>
      <c r="V2997">
        <v>0.14274419999999999</v>
      </c>
      <c r="W2997">
        <v>0.178676</v>
      </c>
      <c r="X2997">
        <v>0.97349830000000004</v>
      </c>
      <c r="Y2997">
        <v>0.20531140000000001</v>
      </c>
      <c r="Z2997">
        <v>-9.4616360000000007E-3</v>
      </c>
      <c r="AA2997">
        <v>0.97865089999999999</v>
      </c>
      <c r="AB2997">
        <v>31</v>
      </c>
      <c r="AC2997">
        <v>17.905100000000001</v>
      </c>
      <c r="AD2997">
        <v>-1.1211148098257</v>
      </c>
      <c r="AE2997">
        <v>-3.1263000000000098</v>
      </c>
      <c r="AF2997">
        <v>3.7915358404894501</v>
      </c>
      <c r="AG2997">
        <v>-1.1211148098257</v>
      </c>
      <c r="AH2997">
        <v>17.705679604078899</v>
      </c>
      <c r="AI2997">
        <v>93.542990051685607</v>
      </c>
      <c r="AJ2997">
        <v>77.913096694756703</v>
      </c>
      <c r="AK2997">
        <v>18.141767628564299</v>
      </c>
      <c r="AL2997">
        <v>79.707349743833603</v>
      </c>
      <c r="AM2997">
        <v>81.658156719746103</v>
      </c>
      <c r="AN2997">
        <v>0.99999997985626399</v>
      </c>
    </row>
    <row r="2998" spans="1:40" x14ac:dyDescent="0.25">
      <c r="A2998" t="str">
        <f>"20190303162608399"</f>
        <v>20190303162608399</v>
      </c>
      <c r="B2998" t="str">
        <f>"1551601568386503"</f>
        <v>1551601568386503</v>
      </c>
      <c r="C2998" t="s">
        <v>40</v>
      </c>
      <c r="D2998">
        <v>4.6098610000000004</v>
      </c>
      <c r="E2998">
        <v>0.52718399999999999</v>
      </c>
      <c r="F2998" t="s">
        <v>48</v>
      </c>
      <c r="G2998">
        <v>-210.89259999999999</v>
      </c>
      <c r="H2998" s="1">
        <v>-1.0076220000000001E-6</v>
      </c>
      <c r="I2998">
        <v>213.3775</v>
      </c>
      <c r="J2998">
        <v>-228.87909999999999</v>
      </c>
      <c r="K2998">
        <v>1.1211070000000001</v>
      </c>
      <c r="L2998">
        <v>216.518</v>
      </c>
      <c r="M2998">
        <v>0.99918359999999995</v>
      </c>
      <c r="N2998">
        <v>-1.3290669999999999E-2</v>
      </c>
      <c r="O2998">
        <v>3.8153739999999998E-2</v>
      </c>
      <c r="P2998">
        <v>0.98043259999999999</v>
      </c>
      <c r="Q2998">
        <v>0.16556940000000001</v>
      </c>
      <c r="R2998">
        <v>-0.106485</v>
      </c>
      <c r="S2998">
        <v>3.0351870000000001</v>
      </c>
      <c r="T2998">
        <v>-0.1861786</v>
      </c>
      <c r="U2998">
        <v>-0.51968380000000003</v>
      </c>
      <c r="V2998">
        <v>0.14379400000000001</v>
      </c>
      <c r="W2998">
        <v>0.1785408</v>
      </c>
      <c r="X2998">
        <v>0.97336860000000003</v>
      </c>
      <c r="Y2998">
        <v>0.20574819999999999</v>
      </c>
      <c r="Z2998">
        <v>-9.4577010000000006E-3</v>
      </c>
      <c r="AA2998">
        <v>0.97855930000000002</v>
      </c>
      <c r="AB2998">
        <v>31</v>
      </c>
      <c r="AC2998">
        <v>17.986499999999999</v>
      </c>
      <c r="AD2998">
        <v>-1.1211080076219999</v>
      </c>
      <c r="AE2998">
        <v>-3.1404999999999998</v>
      </c>
      <c r="AF2998">
        <v>3.8101608248186798</v>
      </c>
      <c r="AG2998">
        <v>-1.1211080076219999</v>
      </c>
      <c r="AH2998">
        <v>17.7865110539319</v>
      </c>
      <c r="AI2998">
        <v>93.526854908930403</v>
      </c>
      <c r="AJ2998">
        <v>77.909044786520994</v>
      </c>
      <c r="AK2998">
        <v>18.224548942220199</v>
      </c>
      <c r="AL2998">
        <v>79.715222747057595</v>
      </c>
      <c r="AM2998">
        <v>81.596576409220006</v>
      </c>
      <c r="AN2998">
        <v>0.99999998158329895</v>
      </c>
    </row>
    <row r="2999" spans="1:40" x14ac:dyDescent="0.25">
      <c r="A2999" t="str">
        <f>"20190303162608416"</f>
        <v>20190303162608416</v>
      </c>
      <c r="B2999" t="str">
        <f>"1551601568406023"</f>
        <v>1551601568406023</v>
      </c>
      <c r="C2999" t="s">
        <v>40</v>
      </c>
      <c r="D2999">
        <v>4.568988</v>
      </c>
      <c r="E2999">
        <v>0.52744829999999998</v>
      </c>
      <c r="F2999" t="s">
        <v>48</v>
      </c>
      <c r="G2999">
        <v>-210.52500000000001</v>
      </c>
      <c r="H2999" s="1">
        <v>-1.202013E-6</v>
      </c>
      <c r="I2999">
        <v>213.3485</v>
      </c>
      <c r="J2999">
        <v>-228.6157</v>
      </c>
      <c r="K2999">
        <v>1.1211040000000001</v>
      </c>
      <c r="L2999">
        <v>216.52809999999999</v>
      </c>
      <c r="M2999">
        <v>0.99918099999999999</v>
      </c>
      <c r="N2999">
        <v>-1.328932E-2</v>
      </c>
      <c r="O2999">
        <v>3.8216710000000001E-2</v>
      </c>
      <c r="P2999">
        <v>0.98044600000000004</v>
      </c>
      <c r="Q2999">
        <v>0.16475200000000001</v>
      </c>
      <c r="R2999">
        <v>-0.1076213</v>
      </c>
      <c r="S2999">
        <v>3.0342709999999999</v>
      </c>
      <c r="T2999">
        <v>-0.1853397</v>
      </c>
      <c r="U2999">
        <v>-0.52397159999999998</v>
      </c>
      <c r="V2999">
        <v>0.14499279999999901</v>
      </c>
      <c r="W2999">
        <v>0.17772109999999999</v>
      </c>
      <c r="X2999">
        <v>0.97334080000000001</v>
      </c>
      <c r="Y2999">
        <v>0.20720259999999999</v>
      </c>
      <c r="Z2999">
        <v>-9.477559E-3</v>
      </c>
      <c r="AA2999">
        <v>0.97825220000000002</v>
      </c>
      <c r="AB2999">
        <v>31</v>
      </c>
      <c r="AC2999">
        <v>18.090699999999998</v>
      </c>
      <c r="AD2999">
        <v>-1.1211052020129999</v>
      </c>
      <c r="AE2999">
        <v>-3.17959999999999</v>
      </c>
      <c r="AF2999">
        <v>3.8543461180951399</v>
      </c>
      <c r="AG2999">
        <v>-1.1211052020129999</v>
      </c>
      <c r="AH2999">
        <v>17.889313079053</v>
      </c>
      <c r="AI2999">
        <v>93.505739763983399</v>
      </c>
      <c r="AJ2999">
        <v>77.841191645177702</v>
      </c>
      <c r="AK2999">
        <v>18.334131648715498</v>
      </c>
      <c r="AL2999">
        <v>79.762951699760606</v>
      </c>
      <c r="AM2999">
        <v>81.527291929452105</v>
      </c>
      <c r="AN2999">
        <v>1.0000000071908399</v>
      </c>
    </row>
    <row r="3000" spans="1:40" x14ac:dyDescent="0.25">
      <c r="A3000" t="str">
        <f>"20190303162608438"</f>
        <v>20190303162608438</v>
      </c>
      <c r="B3000" t="str">
        <f>"1551601568426519"</f>
        <v>1551601568426519</v>
      </c>
      <c r="C3000" t="s">
        <v>40</v>
      </c>
      <c r="D3000">
        <v>4.5587749999999998</v>
      </c>
      <c r="E3000">
        <v>0.5277425</v>
      </c>
      <c r="F3000" t="s">
        <v>48</v>
      </c>
      <c r="G3000">
        <v>-210.37530000000001</v>
      </c>
      <c r="H3000" s="1">
        <v>-1.2816290000000001E-6</v>
      </c>
      <c r="I3000">
        <v>213.34819999999999</v>
      </c>
      <c r="J3000">
        <v>-228.32689999999999</v>
      </c>
      <c r="K3000">
        <v>1.1211</v>
      </c>
      <c r="L3000">
        <v>216.53919999999999</v>
      </c>
      <c r="M3000">
        <v>0.99917860000000003</v>
      </c>
      <c r="N3000">
        <v>-1.328799E-2</v>
      </c>
      <c r="O3000">
        <v>3.8284270000000002E-2</v>
      </c>
      <c r="P3000">
        <v>0.980464</v>
      </c>
      <c r="Q3000">
        <v>0.16408819999999999</v>
      </c>
      <c r="R3000">
        <v>-0.1084686</v>
      </c>
      <c r="S3000">
        <v>3.033112</v>
      </c>
      <c r="T3000">
        <v>-0.18642400000000001</v>
      </c>
      <c r="U3000">
        <v>-0.52877810000000003</v>
      </c>
      <c r="V3000">
        <v>0.14590729999999999</v>
      </c>
      <c r="W3000">
        <v>0.1770552</v>
      </c>
      <c r="X3000">
        <v>0.97332549999999995</v>
      </c>
      <c r="Y3000">
        <v>0.2088266</v>
      </c>
      <c r="Z3000">
        <v>-9.5936530000000006E-3</v>
      </c>
      <c r="AA3000">
        <v>0.97790560000000004</v>
      </c>
      <c r="AB3000">
        <v>31</v>
      </c>
      <c r="AC3000">
        <v>17.9515999999999</v>
      </c>
      <c r="AD3000">
        <v>-1.121101281629</v>
      </c>
      <c r="AE3000">
        <v>-3.1909999999999998</v>
      </c>
      <c r="AF3000">
        <v>3.8613859913263999</v>
      </c>
      <c r="AG3000">
        <v>-1.121101281629</v>
      </c>
      <c r="AH3000">
        <v>17.749156871606498</v>
      </c>
      <c r="AI3000">
        <v>93.531811813004495</v>
      </c>
      <c r="AJ3000">
        <v>77.726368862078004</v>
      </c>
      <c r="AK3000">
        <v>18.198893908987401</v>
      </c>
      <c r="AL3000">
        <v>79.801719776988506</v>
      </c>
      <c r="AM3000">
        <v>81.474503617451802</v>
      </c>
      <c r="AN3000">
        <v>1.0000000064952801</v>
      </c>
    </row>
    <row r="3001" spans="1:40" x14ac:dyDescent="0.25">
      <c r="A3001" t="str">
        <f>"20190303162608461"</f>
        <v>20190303162608461</v>
      </c>
      <c r="B3001" t="str">
        <f>"1551601568456775"</f>
        <v>1551601568456775</v>
      </c>
      <c r="C3001" t="s">
        <v>40</v>
      </c>
      <c r="D3001">
        <v>4.5832629999999996</v>
      </c>
      <c r="E3001">
        <v>0.52824289999999996</v>
      </c>
      <c r="F3001" t="s">
        <v>48</v>
      </c>
      <c r="G3001">
        <v>-210.19669999999999</v>
      </c>
      <c r="H3001" s="1">
        <v>-1.3765610000000001E-6</v>
      </c>
      <c r="I3001">
        <v>213.345</v>
      </c>
      <c r="J3001">
        <v>-228.00970000000001</v>
      </c>
      <c r="K3001">
        <v>1.1210979999999999</v>
      </c>
      <c r="L3001">
        <v>216.5515</v>
      </c>
      <c r="M3001">
        <v>0.99917579999999995</v>
      </c>
      <c r="N3001">
        <v>-1.328642E-2</v>
      </c>
      <c r="O3001">
        <v>3.8357870000000002E-2</v>
      </c>
      <c r="P3001">
        <v>0.98042030000000002</v>
      </c>
      <c r="Q3001">
        <v>0.1636079</v>
      </c>
      <c r="R3001">
        <v>-0.109585</v>
      </c>
      <c r="S3001">
        <v>3.0320740000000002</v>
      </c>
      <c r="T3001">
        <v>-0.18749150000000001</v>
      </c>
      <c r="U3001">
        <v>-0.53419490000000003</v>
      </c>
      <c r="V3001">
        <v>0.14709340000000001</v>
      </c>
      <c r="W3001">
        <v>0.176571799999999</v>
      </c>
      <c r="X3001">
        <v>0.97323479999999996</v>
      </c>
      <c r="Y3001">
        <v>0.21063999999999999</v>
      </c>
      <c r="Z3001">
        <v>-9.716499E-3</v>
      </c>
      <c r="AA3001">
        <v>0.97751540000000003</v>
      </c>
      <c r="AB3001">
        <v>31</v>
      </c>
      <c r="AC3001">
        <v>17.812999999999999</v>
      </c>
      <c r="AD3001">
        <v>-1.121099376561</v>
      </c>
      <c r="AE3001">
        <v>-3.2065000000000001</v>
      </c>
      <c r="AF3001">
        <v>3.8726105396839499</v>
      </c>
      <c r="AG3001">
        <v>-1.121099376561</v>
      </c>
      <c r="AH3001">
        <v>17.609320385431399</v>
      </c>
      <c r="AI3001">
        <v>93.558027745089802</v>
      </c>
      <c r="AJ3001">
        <v>77.597050432048903</v>
      </c>
      <c r="AK3001">
        <v>18.0649423093728</v>
      </c>
      <c r="AL3001">
        <v>79.829860086080004</v>
      </c>
      <c r="AM3001">
        <v>81.405440472019194</v>
      </c>
      <c r="AN3001">
        <v>1.0000000224049099</v>
      </c>
    </row>
    <row r="3002" spans="1:40" x14ac:dyDescent="0.25">
      <c r="A3002" t="str">
        <f>"20190303162608484"</f>
        <v>20190303162608484</v>
      </c>
      <c r="B3002" t="str">
        <f>"1551601568476295"</f>
        <v>1551601568476295</v>
      </c>
      <c r="C3002" t="s">
        <v>40</v>
      </c>
      <c r="D3002">
        <v>4.6094609999999996</v>
      </c>
      <c r="E3002">
        <v>0.52855039999999998</v>
      </c>
      <c r="F3002" t="s">
        <v>46</v>
      </c>
      <c r="G3002">
        <v>-209.8081</v>
      </c>
      <c r="H3002" s="1">
        <v>6.681718E-6</v>
      </c>
      <c r="I3002">
        <v>213.298</v>
      </c>
      <c r="J3002">
        <v>-227.69550000000001</v>
      </c>
      <c r="K3002">
        <v>1.121095</v>
      </c>
      <c r="L3002">
        <v>216.56360000000001</v>
      </c>
      <c r="M3002">
        <v>0.99917299999999998</v>
      </c>
      <c r="N3002">
        <v>-1.328476E-2</v>
      </c>
      <c r="O3002">
        <v>3.8430590000000001E-2</v>
      </c>
      <c r="P3002">
        <v>0.98026210000000003</v>
      </c>
      <c r="Q3002">
        <v>0.1637333</v>
      </c>
      <c r="R3002">
        <v>-0.1108059</v>
      </c>
      <c r="S3002">
        <v>3.0305019999999998</v>
      </c>
      <c r="T3002">
        <v>-0.18665799999999999</v>
      </c>
      <c r="U3002">
        <v>-0.54168700000000003</v>
      </c>
      <c r="V3002">
        <v>0.1483785</v>
      </c>
      <c r="W3002">
        <v>0.17669290000000001</v>
      </c>
      <c r="X3002">
        <v>0.97301769999999999</v>
      </c>
      <c r="Y3002">
        <v>0.2131383</v>
      </c>
      <c r="Z3002">
        <v>-9.7768249999999994E-3</v>
      </c>
      <c r="AA3002">
        <v>0.97697310000000004</v>
      </c>
      <c r="AB3002">
        <v>31</v>
      </c>
      <c r="AC3002">
        <v>17.8874</v>
      </c>
      <c r="AD3002">
        <v>-1.121088318282</v>
      </c>
      <c r="AE3002">
        <v>-3.2656000000000001</v>
      </c>
      <c r="AF3002">
        <v>3.9357098589257999</v>
      </c>
      <c r="AG3002">
        <v>-1.121088318282</v>
      </c>
      <c r="AH3002">
        <v>17.681459018401501</v>
      </c>
      <c r="AI3002">
        <v>93.541522488591696</v>
      </c>
      <c r="AJ3002">
        <v>77.451132215779793</v>
      </c>
      <c r="AK3002">
        <v>18.148846909113701</v>
      </c>
      <c r="AL3002">
        <v>79.822810523240094</v>
      </c>
      <c r="AM3002">
        <v>81.329584063926305</v>
      </c>
      <c r="AN3002">
        <v>1.00000000234297</v>
      </c>
    </row>
    <row r="3003" spans="1:40" x14ac:dyDescent="0.25">
      <c r="A3003" t="str">
        <f>"20190303162608509"</f>
        <v>20190303162608509</v>
      </c>
      <c r="B3003" t="str">
        <f>"1551601568496791"</f>
        <v>1551601568496791</v>
      </c>
      <c r="C3003" t="s">
        <v>40</v>
      </c>
      <c r="D3003">
        <v>4.6115279999999998</v>
      </c>
      <c r="E3003">
        <v>0.52879390000000004</v>
      </c>
      <c r="F3003" t="s">
        <v>46</v>
      </c>
      <c r="G3003">
        <v>-209.398</v>
      </c>
      <c r="H3003" s="1">
        <v>6.5032239999999997E-6</v>
      </c>
      <c r="I3003">
        <v>213.25970000000001</v>
      </c>
      <c r="J3003">
        <v>-227.3441</v>
      </c>
      <c r="K3003">
        <v>1.1210990000000001</v>
      </c>
      <c r="L3003">
        <v>216.57730000000001</v>
      </c>
      <c r="M3003">
        <v>0.99916990000000006</v>
      </c>
      <c r="N3003">
        <v>-1.328289E-2</v>
      </c>
      <c r="O3003">
        <v>3.851226E-2</v>
      </c>
      <c r="P3003">
        <v>0.98017779999999999</v>
      </c>
      <c r="Q3003">
        <v>0.163997</v>
      </c>
      <c r="R3003">
        <v>-0.1111616</v>
      </c>
      <c r="S3003">
        <v>3.0295869999999998</v>
      </c>
      <c r="T3003">
        <v>-0.18562329999999999</v>
      </c>
      <c r="U3003">
        <v>-0.54704280000000005</v>
      </c>
      <c r="V3003">
        <v>0.14881040000000001</v>
      </c>
      <c r="W3003">
        <v>0.1769529</v>
      </c>
      <c r="X3003">
        <v>0.9729044</v>
      </c>
      <c r="Y3003">
        <v>0.2149432</v>
      </c>
      <c r="Z3003">
        <v>-9.8000540000000008E-3</v>
      </c>
      <c r="AA3003">
        <v>0.97657740000000004</v>
      </c>
      <c r="AB3003">
        <v>31</v>
      </c>
      <c r="AC3003">
        <v>17.946100000000001</v>
      </c>
      <c r="AD3003">
        <v>-1.1210924967759901</v>
      </c>
      <c r="AE3003">
        <v>-3.3175999999999899</v>
      </c>
      <c r="AF3003">
        <v>3.9912828807601399</v>
      </c>
      <c r="AG3003">
        <v>-1.1210924967759901</v>
      </c>
      <c r="AH3003">
        <v>17.7380691228255</v>
      </c>
      <c r="AI3003">
        <v>93.528443999328005</v>
      </c>
      <c r="AJ3003">
        <v>77.318948343751799</v>
      </c>
      <c r="AK3003">
        <v>18.216099572266099</v>
      </c>
      <c r="AL3003">
        <v>79.807674255967299</v>
      </c>
      <c r="AM3003">
        <v>81.303734274774797</v>
      </c>
      <c r="AN3003">
        <v>0.99999991775296104</v>
      </c>
    </row>
    <row r="3004" spans="1:40" x14ac:dyDescent="0.25">
      <c r="A3004" t="str">
        <f>"20190303162608547"</f>
        <v>20190303162608547</v>
      </c>
      <c r="B3004" t="str">
        <f>"1551601568536807"</f>
        <v>1551601568536807</v>
      </c>
      <c r="C3004" t="s">
        <v>40</v>
      </c>
      <c r="D3004">
        <v>4.7193579999999997</v>
      </c>
      <c r="E3004">
        <v>0.49535220000000002</v>
      </c>
      <c r="F3004" t="s">
        <v>46</v>
      </c>
      <c r="G3004">
        <v>-208.8519</v>
      </c>
      <c r="H3004" s="1">
        <v>6.2643549999999999E-6</v>
      </c>
      <c r="I3004">
        <v>213.22149999999999</v>
      </c>
      <c r="J3004">
        <v>-226.82040000000001</v>
      </c>
      <c r="K3004">
        <v>1.1211059999999999</v>
      </c>
      <c r="L3004">
        <v>216.5976</v>
      </c>
      <c r="M3004">
        <v>0.99916510000000003</v>
      </c>
      <c r="N3004">
        <v>-1.3279930000000001E-2</v>
      </c>
      <c r="O3004">
        <v>3.863577E-2</v>
      </c>
      <c r="P3004">
        <v>0.98016150000000002</v>
      </c>
      <c r="Q3004">
        <v>0.1650808</v>
      </c>
      <c r="R3004">
        <v>-0.1096908</v>
      </c>
      <c r="S3004">
        <v>3.0290370000000002</v>
      </c>
      <c r="T3004">
        <v>-0.18363499999999999</v>
      </c>
      <c r="U3004">
        <v>-0.54966740000000003</v>
      </c>
      <c r="V3004">
        <v>0.1474606</v>
      </c>
      <c r="W3004">
        <v>0.17803359999999999</v>
      </c>
      <c r="X3004">
        <v>0.97291280000000002</v>
      </c>
      <c r="Y3004">
        <v>0.21592210000000001</v>
      </c>
      <c r="Z3004">
        <v>-9.747838E-3</v>
      </c>
      <c r="AA3004">
        <v>0.9763619</v>
      </c>
      <c r="AB3004">
        <v>31</v>
      </c>
      <c r="AC3004">
        <v>17.968499999999999</v>
      </c>
      <c r="AD3004">
        <v>-1.1210997356450001</v>
      </c>
      <c r="AE3004">
        <v>-3.3761000000000001</v>
      </c>
      <c r="AF3004">
        <v>4.0526286648957699</v>
      </c>
      <c r="AG3004">
        <v>-1.1210997356450001</v>
      </c>
      <c r="AH3004">
        <v>17.757860854632298</v>
      </c>
      <c r="AI3004">
        <v>93.522117111250395</v>
      </c>
      <c r="AJ3004">
        <v>77.144351250124004</v>
      </c>
      <c r="AK3004">
        <v>18.248898209077801</v>
      </c>
      <c r="AL3004">
        <v>79.7447560524392</v>
      </c>
      <c r="AM3004">
        <v>81.3814981416253</v>
      </c>
      <c r="AN3004">
        <v>0.999999953842578</v>
      </c>
    </row>
    <row r="3005" spans="1:40" x14ac:dyDescent="0.25">
      <c r="A3005" t="str">
        <f>"20190303162608593"</f>
        <v>20190303162608593</v>
      </c>
      <c r="B3005" t="str">
        <f>"1551601568586584"</f>
        <v>1551601568586584</v>
      </c>
      <c r="C3005" t="s">
        <v>40</v>
      </c>
      <c r="D3005">
        <v>4.8612260000000003</v>
      </c>
      <c r="E3005">
        <v>0.4175702</v>
      </c>
      <c r="F3005" t="s">
        <v>46</v>
      </c>
      <c r="G3005">
        <v>-206.35</v>
      </c>
      <c r="H3005" s="1">
        <v>5.0236800000000002E-6</v>
      </c>
      <c r="I3005">
        <v>214.7225</v>
      </c>
      <c r="J3005">
        <v>-226.1867</v>
      </c>
      <c r="K3005">
        <v>1.1211059999999999</v>
      </c>
      <c r="L3005">
        <v>216.6223</v>
      </c>
      <c r="M3005">
        <v>0.99915940000000003</v>
      </c>
      <c r="N3005">
        <v>-1.327648E-2</v>
      </c>
      <c r="O3005">
        <v>3.8785510000000002E-2</v>
      </c>
      <c r="P3005">
        <v>0.98002999999999996</v>
      </c>
      <c r="Q3005">
        <v>0.16652939999999999</v>
      </c>
      <c r="R3005">
        <v>-0.1086708</v>
      </c>
      <c r="S3005">
        <v>3.0576020000000002</v>
      </c>
      <c r="T3005">
        <v>-0.16745589999999999</v>
      </c>
      <c r="U3005">
        <v>-0.28007510000000002</v>
      </c>
      <c r="V3005">
        <v>0.1465822</v>
      </c>
      <c r="W3005">
        <v>0.17947769999999999</v>
      </c>
      <c r="X3005">
        <v>0.97278019999999998</v>
      </c>
      <c r="Y3005">
        <v>0.12950349999999999</v>
      </c>
      <c r="Z3005">
        <v>-6.0037609999999998E-3</v>
      </c>
      <c r="AA3005">
        <v>0.99156080000000002</v>
      </c>
      <c r="AB3005">
        <v>31</v>
      </c>
      <c r="AC3005">
        <v>19.8367</v>
      </c>
      <c r="AD3005">
        <v>-1.1211009763199999</v>
      </c>
      <c r="AE3005">
        <v>-1.8997999999999899</v>
      </c>
      <c r="AF3005">
        <v>2.65939735208643</v>
      </c>
      <c r="AG3005">
        <v>-1.1211009763199999</v>
      </c>
      <c r="AH3005">
        <v>19.685773085261101</v>
      </c>
      <c r="AI3005">
        <v>93.230183753201999</v>
      </c>
      <c r="AJ3005">
        <v>82.306355723101206</v>
      </c>
      <c r="AK3005">
        <v>19.8962037494538</v>
      </c>
      <c r="AL3005">
        <v>79.660660702643597</v>
      </c>
      <c r="AM3005">
        <v>81.430922496238196</v>
      </c>
      <c r="AN3005">
        <v>0.99999995183308299</v>
      </c>
    </row>
    <row r="3006" spans="1:40" x14ac:dyDescent="0.25">
      <c r="A3006" t="str">
        <f>"20190303162608616"</f>
        <v>20190303162608616</v>
      </c>
      <c r="B3006" t="str">
        <f>"1551601568606103"</f>
        <v>1551601568606103</v>
      </c>
      <c r="C3006" t="s">
        <v>40</v>
      </c>
      <c r="D3006">
        <v>4.7953789999999996</v>
      </c>
      <c r="E3006">
        <v>0.41036489999999998</v>
      </c>
      <c r="F3006" t="s">
        <v>46</v>
      </c>
      <c r="G3006">
        <v>-199.4494</v>
      </c>
      <c r="H3006" s="1">
        <v>1.858614E-6</v>
      </c>
      <c r="I3006">
        <v>219.53290000000001</v>
      </c>
      <c r="J3006">
        <v>-225.85679999999999</v>
      </c>
      <c r="K3006">
        <v>1.1211059999999999</v>
      </c>
      <c r="L3006">
        <v>216.6352</v>
      </c>
      <c r="M3006">
        <v>0.9991565</v>
      </c>
      <c r="N3006">
        <v>-1.3274640000000001E-2</v>
      </c>
      <c r="O3006">
        <v>3.8863719999999997E-2</v>
      </c>
      <c r="P3006">
        <v>0.97992210000000002</v>
      </c>
      <c r="Q3006">
        <v>0.16683609999999999</v>
      </c>
      <c r="R3006">
        <v>-0.10917200000000001</v>
      </c>
      <c r="S3006">
        <v>3.1210629999999999</v>
      </c>
      <c r="T3006">
        <v>-0.13086719999999999</v>
      </c>
      <c r="U3006">
        <v>0.3397522</v>
      </c>
      <c r="V3006">
        <v>0.14715539999999999</v>
      </c>
      <c r="W3006">
        <v>0.179780299999999</v>
      </c>
      <c r="X3006">
        <v>0.9726378</v>
      </c>
      <c r="Y3006">
        <v>-6.9434070000000001E-2</v>
      </c>
      <c r="Z3006">
        <v>8.0499839999999896E-4</v>
      </c>
      <c r="AA3006">
        <v>0.99758619999999998</v>
      </c>
      <c r="AB3006">
        <v>31</v>
      </c>
      <c r="AC3006">
        <v>26.407399999999999</v>
      </c>
      <c r="AD3006">
        <v>-1.1211041413859999</v>
      </c>
      <c r="AE3006">
        <v>2.8977000000000102</v>
      </c>
      <c r="AF3006">
        <v>-1.8658075474223199</v>
      </c>
      <c r="AG3006">
        <v>-1.1211041413859999</v>
      </c>
      <c r="AH3006">
        <v>26.452961129051001</v>
      </c>
      <c r="AI3006">
        <v>92.420795780454597</v>
      </c>
      <c r="AJ3006">
        <v>94.034563360961698</v>
      </c>
      <c r="AK3006">
        <v>26.542367354758198</v>
      </c>
      <c r="AL3006">
        <v>79.6430366127761</v>
      </c>
      <c r="AM3006">
        <v>81.396673449479707</v>
      </c>
      <c r="AN3006">
        <v>0.99999997900304405</v>
      </c>
    </row>
    <row r="3007" spans="1:40" x14ac:dyDescent="0.25">
      <c r="A3007" t="str">
        <f>"20190303162608642"</f>
        <v>20190303162608642</v>
      </c>
      <c r="B3007" t="str">
        <f>"1551601568636360"</f>
        <v>1551601568636360</v>
      </c>
      <c r="C3007" t="s">
        <v>40</v>
      </c>
      <c r="D3007">
        <v>4.8280539999999998</v>
      </c>
      <c r="E3007">
        <v>0.40606609999999999</v>
      </c>
      <c r="F3007" t="s">
        <v>46</v>
      </c>
      <c r="G3007">
        <v>-202.34520000000001</v>
      </c>
      <c r="H3007" s="1">
        <v>2.82061E-6</v>
      </c>
      <c r="I3007">
        <v>219.608</v>
      </c>
      <c r="J3007">
        <v>-225.5121</v>
      </c>
      <c r="K3007">
        <v>1.1211100000000001</v>
      </c>
      <c r="L3007">
        <v>216.64869999999999</v>
      </c>
      <c r="M3007">
        <v>0.99915330000000002</v>
      </c>
      <c r="N3007">
        <v>-1.327275E-2</v>
      </c>
      <c r="O3007">
        <v>3.8945029999999999E-2</v>
      </c>
      <c r="P3007">
        <v>0.97982389999999997</v>
      </c>
      <c r="Q3007">
        <v>0.16722190000000001</v>
      </c>
      <c r="R3007">
        <v>-0.1094638</v>
      </c>
      <c r="S3007">
        <v>3.1310120000000001</v>
      </c>
      <c r="T3007">
        <v>-0.14929629999999999</v>
      </c>
      <c r="U3007">
        <v>0.3958893</v>
      </c>
      <c r="V3007">
        <v>0.14752219999999999</v>
      </c>
      <c r="W3007">
        <v>0.18016299999999999</v>
      </c>
      <c r="X3007">
        <v>0.97251140000000003</v>
      </c>
      <c r="Y3007">
        <v>-8.6605089999999996E-2</v>
      </c>
      <c r="Z3007">
        <v>1.300872E-3</v>
      </c>
      <c r="AA3007">
        <v>0.99624190000000001</v>
      </c>
      <c r="AB3007">
        <v>31</v>
      </c>
      <c r="AC3007">
        <v>23.166899999999998</v>
      </c>
      <c r="AD3007">
        <v>-1.12110717939</v>
      </c>
      <c r="AE3007">
        <v>2.95930000000001</v>
      </c>
      <c r="AF3007">
        <v>-2.0500157924901101</v>
      </c>
      <c r="AG3007">
        <v>-1.12110717939</v>
      </c>
      <c r="AH3007">
        <v>23.211097488405201</v>
      </c>
      <c r="AI3007">
        <v>92.754558663519902</v>
      </c>
      <c r="AJ3007">
        <v>95.047295394970405</v>
      </c>
      <c r="AK3007">
        <v>23.328405274973001</v>
      </c>
      <c r="AL3007">
        <v>79.620745393054705</v>
      </c>
      <c r="AM3007">
        <v>81.374446756523596</v>
      </c>
      <c r="AN3007">
        <v>0.99999996459589902</v>
      </c>
    </row>
    <row r="3008" spans="1:40" x14ac:dyDescent="0.25">
      <c r="A3008" t="str">
        <f>"20190303162608663"</f>
        <v>20190303162608663</v>
      </c>
      <c r="B3008" t="str">
        <f>"1551601568656856"</f>
        <v>1551601568656856</v>
      </c>
      <c r="C3008" t="s">
        <v>40</v>
      </c>
      <c r="D3008">
        <v>4.8185949999999904</v>
      </c>
      <c r="E3008">
        <v>0.40459659999999997</v>
      </c>
      <c r="F3008" t="s">
        <v>46</v>
      </c>
      <c r="G3008">
        <v>-204.2046</v>
      </c>
      <c r="H3008" s="1">
        <v>3.6491389999999999E-6</v>
      </c>
      <c r="I3008">
        <v>219.5624</v>
      </c>
      <c r="J3008">
        <v>-225.2166</v>
      </c>
      <c r="K3008">
        <v>1.121103</v>
      </c>
      <c r="L3008">
        <v>216.66030000000001</v>
      </c>
      <c r="M3008">
        <v>0.9991506</v>
      </c>
      <c r="N3008">
        <v>-1.3271120000000001E-2</v>
      </c>
      <c r="O3008">
        <v>3.9014420000000001E-2</v>
      </c>
      <c r="P3008">
        <v>0.97982670000000005</v>
      </c>
      <c r="Q3008">
        <v>0.16734779999999999</v>
      </c>
      <c r="R3008">
        <v>-0.1092458</v>
      </c>
      <c r="S3008">
        <v>3.1379090000000001</v>
      </c>
      <c r="T3008">
        <v>-0.16510269999999999</v>
      </c>
      <c r="U3008">
        <v>0.42909239999999998</v>
      </c>
      <c r="V3008">
        <v>0.14737239999999999</v>
      </c>
      <c r="W3008">
        <v>0.1802868</v>
      </c>
      <c r="X3008">
        <v>0.97251120000000002</v>
      </c>
      <c r="Y3008">
        <v>-9.6587549999999994E-2</v>
      </c>
      <c r="Z3008">
        <v>1.6474149999999999E-3</v>
      </c>
      <c r="AA3008">
        <v>0.99532310000000002</v>
      </c>
      <c r="AB3008">
        <v>31</v>
      </c>
      <c r="AC3008">
        <v>21.011999999999901</v>
      </c>
      <c r="AD3008">
        <v>-1.1210993508610001</v>
      </c>
      <c r="AE3008">
        <v>2.9020999999999901</v>
      </c>
      <c r="AF3008">
        <v>-2.074252567646</v>
      </c>
      <c r="AG3008">
        <v>-1.1210993508610001</v>
      </c>
      <c r="AH3008">
        <v>21.0504292400914</v>
      </c>
      <c r="AI3008">
        <v>93.033900737842202</v>
      </c>
      <c r="AJ3008">
        <v>95.627604694997899</v>
      </c>
      <c r="AK3008">
        <v>21.182066911918302</v>
      </c>
      <c r="AL3008">
        <v>79.613534405618097</v>
      </c>
      <c r="AM3008">
        <v>81.383072205449594</v>
      </c>
      <c r="AN3008">
        <v>0.99999999433071995</v>
      </c>
    </row>
    <row r="3009" spans="1:40" x14ac:dyDescent="0.25">
      <c r="A3009" t="str">
        <f>"20190303162608685"</f>
        <v>20190303162608685</v>
      </c>
      <c r="B3009" t="str">
        <f>"1551601568676375"</f>
        <v>1551601568676375</v>
      </c>
      <c r="C3009" t="s">
        <v>40</v>
      </c>
      <c r="D3009">
        <v>4.8524219999999998</v>
      </c>
      <c r="E3009">
        <v>0.40336640000000001</v>
      </c>
      <c r="F3009" t="s">
        <v>46</v>
      </c>
      <c r="G3009">
        <v>-204.584</v>
      </c>
      <c r="H3009" s="1">
        <v>3.8173730000000004E-6</v>
      </c>
      <c r="I3009">
        <v>219.56270000000001</v>
      </c>
      <c r="J3009">
        <v>-224.9151</v>
      </c>
      <c r="K3009">
        <v>1.121105</v>
      </c>
      <c r="L3009">
        <v>216.6721</v>
      </c>
      <c r="M3009">
        <v>0.99914780000000003</v>
      </c>
      <c r="N3009">
        <v>-1.326944E-2</v>
      </c>
      <c r="O3009">
        <v>3.9083489999999999E-2</v>
      </c>
      <c r="P3009">
        <v>0.97983799999999999</v>
      </c>
      <c r="Q3009">
        <v>0.16701659999999999</v>
      </c>
      <c r="R3009">
        <v>-0.1096501</v>
      </c>
      <c r="S3009">
        <v>3.1401669999999999</v>
      </c>
      <c r="T3009">
        <v>-0.170625</v>
      </c>
      <c r="U3009">
        <v>0.44174190000000002</v>
      </c>
      <c r="V3009">
        <v>0.1478448</v>
      </c>
      <c r="W3009">
        <v>0.179953799999999</v>
      </c>
      <c r="X3009">
        <v>0.97250119999999896</v>
      </c>
      <c r="Y3009">
        <v>-0.100342</v>
      </c>
      <c r="Z3009">
        <v>1.786815E-3</v>
      </c>
      <c r="AA3009">
        <v>0.99495140000000004</v>
      </c>
      <c r="AB3009">
        <v>31</v>
      </c>
      <c r="AC3009">
        <v>20.3310999999999</v>
      </c>
      <c r="AD3009">
        <v>-1.1211011826270001</v>
      </c>
      <c r="AE3009">
        <v>2.8906000000000001</v>
      </c>
      <c r="AF3009">
        <v>-2.0874891224432699</v>
      </c>
      <c r="AG3009">
        <v>-1.1211011826270001</v>
      </c>
      <c r="AH3009">
        <v>20.367843343768499</v>
      </c>
      <c r="AI3009">
        <v>93.134150793203901</v>
      </c>
      <c r="AJ3009">
        <v>95.851780970784205</v>
      </c>
      <c r="AK3009">
        <v>20.5052071721868</v>
      </c>
      <c r="AL3009">
        <v>79.632931405940198</v>
      </c>
      <c r="AM3009">
        <v>81.355779809952494</v>
      </c>
      <c r="AN3009">
        <v>1.00000001951145</v>
      </c>
    </row>
    <row r="3010" spans="1:40" x14ac:dyDescent="0.25">
      <c r="A3010" t="str">
        <f>"20190303162608705"</f>
        <v>20190303162608705</v>
      </c>
      <c r="B3010" t="str">
        <f>"1551601568696871"</f>
        <v>1551601568696871</v>
      </c>
      <c r="C3010" t="s">
        <v>40</v>
      </c>
      <c r="D3010">
        <v>4.8454810000000004</v>
      </c>
      <c r="E3010">
        <v>0.40269189999999999</v>
      </c>
      <c r="F3010" t="s">
        <v>46</v>
      </c>
      <c r="G3010">
        <v>-204.75470000000001</v>
      </c>
      <c r="H3010" s="1">
        <v>3.8924500000000003E-6</v>
      </c>
      <c r="I3010">
        <v>219.56989999999999</v>
      </c>
      <c r="J3010">
        <v>-224.63040000000001</v>
      </c>
      <c r="K3010">
        <v>1.1211009999999999</v>
      </c>
      <c r="L3010">
        <v>216.6833</v>
      </c>
      <c r="M3010">
        <v>0.99914570000000003</v>
      </c>
      <c r="N3010">
        <v>-1.3267859999999999E-2</v>
      </c>
      <c r="O3010">
        <v>3.913962E-2</v>
      </c>
      <c r="P3010">
        <v>0.97980480000000003</v>
      </c>
      <c r="Q3010">
        <v>0.16708599999999901</v>
      </c>
      <c r="R3010">
        <v>-0.1098417</v>
      </c>
      <c r="S3010">
        <v>3.1420590000000002</v>
      </c>
      <c r="T3010">
        <v>-0.1747271</v>
      </c>
      <c r="U3010">
        <v>0.45162960000000002</v>
      </c>
      <c r="V3010">
        <v>0.1480919</v>
      </c>
      <c r="W3010">
        <v>0.1800195</v>
      </c>
      <c r="X3010">
        <v>0.97245139999999997</v>
      </c>
      <c r="Y3010">
        <v>-0.1032609</v>
      </c>
      <c r="Z3010">
        <v>1.898488E-3</v>
      </c>
      <c r="AA3010">
        <v>0.99465250000000005</v>
      </c>
      <c r="AB3010">
        <v>31</v>
      </c>
      <c r="AC3010">
        <v>19.875699999999899</v>
      </c>
      <c r="AD3010">
        <v>-1.12109710755</v>
      </c>
      <c r="AE3010">
        <v>2.8865999999999801</v>
      </c>
      <c r="AF3010">
        <v>-2.09984914681969</v>
      </c>
      <c r="AG3010">
        <v>-1.12109710755</v>
      </c>
      <c r="AH3010">
        <v>19.911416978475401</v>
      </c>
      <c r="AI3010">
        <v>93.204857416924895</v>
      </c>
      <c r="AJ3010">
        <v>96.020135060236399</v>
      </c>
      <c r="AK3010">
        <v>20.053198030605401</v>
      </c>
      <c r="AL3010">
        <v>79.6291041453768</v>
      </c>
      <c r="AM3010">
        <v>81.341114406208604</v>
      </c>
      <c r="AN3010">
        <v>0.99999997829390896</v>
      </c>
    </row>
    <row r="3011" spans="1:40" x14ac:dyDescent="0.25">
      <c r="A3011" t="str">
        <f>"20190303162608730"</f>
        <v>20190303162608730</v>
      </c>
      <c r="B3011" t="str">
        <f>"1551601568716391"</f>
        <v>1551601568716391</v>
      </c>
      <c r="C3011" t="s">
        <v>40</v>
      </c>
      <c r="D3011">
        <v>4.8163029999999996</v>
      </c>
      <c r="E3011">
        <v>0.4022057</v>
      </c>
      <c r="F3011" t="s">
        <v>46</v>
      </c>
      <c r="G3011">
        <v>-204.6533</v>
      </c>
      <c r="H3011" s="1">
        <v>3.8458069999999997E-6</v>
      </c>
      <c r="I3011">
        <v>219.5891</v>
      </c>
      <c r="J3011">
        <v>-224.30029999999999</v>
      </c>
      <c r="K3011">
        <v>1.121086</v>
      </c>
      <c r="L3011">
        <v>216.69630000000001</v>
      </c>
      <c r="M3011">
        <v>0.99914400000000003</v>
      </c>
      <c r="N3011">
        <v>-1.326599E-2</v>
      </c>
      <c r="O3011">
        <v>3.9187359999999997E-2</v>
      </c>
      <c r="P3011">
        <v>0.97989020000000004</v>
      </c>
      <c r="Q3011">
        <v>0.16631580000000001</v>
      </c>
      <c r="R3011">
        <v>-0.11024829999999999</v>
      </c>
      <c r="S3011">
        <v>3.143173</v>
      </c>
      <c r="T3011">
        <v>-0.1763922</v>
      </c>
      <c r="U3011">
        <v>0.45719910000000002</v>
      </c>
      <c r="V3011">
        <v>0.148553399999999</v>
      </c>
      <c r="W3011">
        <v>0.1792436</v>
      </c>
      <c r="X3011">
        <v>0.97252430000000001</v>
      </c>
      <c r="Y3011">
        <v>-0.10488450000000001</v>
      </c>
      <c r="Z3011">
        <v>1.9587160000000001E-3</v>
      </c>
      <c r="AA3011">
        <v>0.99448250000000005</v>
      </c>
      <c r="AB3011">
        <v>31</v>
      </c>
      <c r="AC3011">
        <v>19.646999999999899</v>
      </c>
      <c r="AD3011">
        <v>-1.1210821541930001</v>
      </c>
      <c r="AE3011">
        <v>2.89279999999999</v>
      </c>
      <c r="AF3011">
        <v>-2.1138592684999402</v>
      </c>
      <c r="AG3011">
        <v>-1.1210821541930001</v>
      </c>
      <c r="AH3011">
        <v>19.6825510210274</v>
      </c>
      <c r="AI3011">
        <v>93.241341114895405</v>
      </c>
      <c r="AJ3011">
        <v>96.129934732716805</v>
      </c>
      <c r="AK3011">
        <v>19.827456743082799</v>
      </c>
      <c r="AL3011">
        <v>79.674294697414098</v>
      </c>
      <c r="AM3011">
        <v>81.315182643652406</v>
      </c>
      <c r="AN3011">
        <v>0.999999947441503</v>
      </c>
    </row>
    <row r="3012" spans="1:40" x14ac:dyDescent="0.25">
      <c r="A3012" t="str">
        <f>"20190303162608753"</f>
        <v>20190303162608753</v>
      </c>
      <c r="B3012" t="str">
        <f>"1551601568746647"</f>
        <v>1551601568746647</v>
      </c>
      <c r="C3012" t="s">
        <v>40</v>
      </c>
      <c r="D3012">
        <v>4.8914609999999996</v>
      </c>
      <c r="E3012">
        <v>0.40151829999999999</v>
      </c>
      <c r="F3012" t="s">
        <v>46</v>
      </c>
      <c r="G3012">
        <v>-205.06389999999999</v>
      </c>
      <c r="H3012" s="1">
        <v>4.034751E-6</v>
      </c>
      <c r="I3012">
        <v>219.51079999999999</v>
      </c>
      <c r="J3012">
        <v>-223.9812</v>
      </c>
      <c r="K3012">
        <v>1.121062</v>
      </c>
      <c r="L3012">
        <v>216.7089</v>
      </c>
      <c r="M3012">
        <v>0.9991428</v>
      </c>
      <c r="N3012">
        <v>-1.326418E-2</v>
      </c>
      <c r="O3012">
        <v>3.9217540000000002E-2</v>
      </c>
      <c r="P3012">
        <v>0.98003470000000004</v>
      </c>
      <c r="Q3012">
        <v>0.1649747</v>
      </c>
      <c r="R3012">
        <v>-0.11097650000000001</v>
      </c>
      <c r="S3012">
        <v>3.1444399999999999</v>
      </c>
      <c r="T3012">
        <v>-0.183256</v>
      </c>
      <c r="U3012">
        <v>0.46006770000000002</v>
      </c>
      <c r="V3012">
        <v>0.1493225</v>
      </c>
      <c r="W3012">
        <v>0.17789759999999999</v>
      </c>
      <c r="X3012">
        <v>0.97265369999999995</v>
      </c>
      <c r="Y3012">
        <v>-0.1056737</v>
      </c>
      <c r="Z3012">
        <v>2.0138119999999998E-3</v>
      </c>
      <c r="AA3012">
        <v>0.99439880000000003</v>
      </c>
      <c r="AB3012">
        <v>31</v>
      </c>
      <c r="AC3012">
        <v>18.917300000000001</v>
      </c>
      <c r="AD3012">
        <v>-1.121057965249</v>
      </c>
      <c r="AE3012">
        <v>2.8018999999999799</v>
      </c>
      <c r="AF3012">
        <v>-2.0507416473879601</v>
      </c>
      <c r="AG3012">
        <v>-1.121057965249</v>
      </c>
      <c r="AH3012">
        <v>18.9475248292581</v>
      </c>
      <c r="AI3012">
        <v>93.366426307090506</v>
      </c>
      <c r="AJ3012">
        <v>96.177230754925404</v>
      </c>
      <c r="AK3012">
        <v>19.0911238386097</v>
      </c>
      <c r="AL3012">
        <v>79.752675087816101</v>
      </c>
      <c r="AM3012">
        <v>81.272053281640893</v>
      </c>
      <c r="AN3012">
        <v>0.99999999260785</v>
      </c>
    </row>
    <row r="3013" spans="1:40" x14ac:dyDescent="0.25">
      <c r="A3013" t="str">
        <f>"20190303162608777"</f>
        <v>20190303162608777</v>
      </c>
      <c r="B3013" t="str">
        <f>"1551601568767144"</f>
        <v>1551601568767144</v>
      </c>
      <c r="C3013" t="s">
        <v>40</v>
      </c>
      <c r="D3013">
        <v>4.8632619999999998</v>
      </c>
      <c r="E3013">
        <v>0.40120080000000002</v>
      </c>
      <c r="F3013" t="s">
        <v>46</v>
      </c>
      <c r="G3013">
        <v>-205.35939999999999</v>
      </c>
      <c r="H3013" s="1">
        <v>4.1712409999999996E-6</v>
      </c>
      <c r="I3013">
        <v>219.44810000000001</v>
      </c>
      <c r="J3013">
        <v>-223.63730000000001</v>
      </c>
      <c r="K3013">
        <v>1.121038</v>
      </c>
      <c r="L3013">
        <v>216.72239999999999</v>
      </c>
      <c r="M3013">
        <v>0.99914250000000004</v>
      </c>
      <c r="N3013">
        <v>-1.326221E-2</v>
      </c>
      <c r="O3013">
        <v>3.9224219999999997E-2</v>
      </c>
      <c r="P3013">
        <v>0.98026409999999997</v>
      </c>
      <c r="Q3013">
        <v>0.16296540000000001</v>
      </c>
      <c r="R3013">
        <v>-0.1119145</v>
      </c>
      <c r="S3013">
        <v>3.1453700000000002</v>
      </c>
      <c r="T3013">
        <v>-0.18935540000000001</v>
      </c>
      <c r="U3013">
        <v>0.462677</v>
      </c>
      <c r="V3013">
        <v>0.15028349999999999</v>
      </c>
      <c r="W3013">
        <v>0.1758818</v>
      </c>
      <c r="X3013">
        <v>0.97287230000000002</v>
      </c>
      <c r="Y3013">
        <v>-0.1064211</v>
      </c>
      <c r="Z3013">
        <v>2.0666949999999999E-3</v>
      </c>
      <c r="AA3013">
        <v>0.99431899999999995</v>
      </c>
      <c r="AB3013">
        <v>31</v>
      </c>
      <c r="AC3013">
        <v>18.277899999999999</v>
      </c>
      <c r="AD3013">
        <v>-1.121033828759</v>
      </c>
      <c r="AE3013">
        <v>2.72570000000001</v>
      </c>
      <c r="AF3013">
        <v>-1.99924568744139</v>
      </c>
      <c r="AG3013">
        <v>-1.121033828759</v>
      </c>
      <c r="AH3013">
        <v>18.303400170484899</v>
      </c>
      <c r="AI3013">
        <v>93.484162397001199</v>
      </c>
      <c r="AJ3013">
        <v>96.2335971595285</v>
      </c>
      <c r="AK3013">
        <v>18.446358935163399</v>
      </c>
      <c r="AL3013">
        <v>79.870022762685807</v>
      </c>
      <c r="AM3013">
        <v>81.218698467290494</v>
      </c>
      <c r="AN3013">
        <v>1.00000002502538</v>
      </c>
    </row>
    <row r="3014" spans="1:40" x14ac:dyDescent="0.25">
      <c r="A3014" t="str">
        <f>"20190303162608816"</f>
        <v>20190303162608816</v>
      </c>
      <c r="B3014" t="str">
        <f>"1551601568806186"</f>
        <v>1551601568806186</v>
      </c>
      <c r="C3014" t="s">
        <v>40</v>
      </c>
      <c r="D3014">
        <v>4.9204939999999997</v>
      </c>
      <c r="E3014">
        <v>0.43730940000000001</v>
      </c>
      <c r="F3014" t="s">
        <v>46</v>
      </c>
      <c r="G3014">
        <v>-205.86019999999999</v>
      </c>
      <c r="H3014" s="1">
        <v>4.4036719999999999E-6</v>
      </c>
      <c r="I3014">
        <v>219.32980000000001</v>
      </c>
      <c r="J3014">
        <v>-223.11770000000001</v>
      </c>
      <c r="K3014">
        <v>1.1209910000000001</v>
      </c>
      <c r="L3014">
        <v>216.74270000000001</v>
      </c>
      <c r="M3014">
        <v>0.99914669999999906</v>
      </c>
      <c r="N3014">
        <v>-1.325921E-2</v>
      </c>
      <c r="O3014">
        <v>3.9116919999999999E-2</v>
      </c>
      <c r="P3014">
        <v>0.98042689999999999</v>
      </c>
      <c r="Q3014">
        <v>0.16239020000000001</v>
      </c>
      <c r="R3014">
        <v>-0.11132110000000001</v>
      </c>
      <c r="S3014">
        <v>3.1460880000000002</v>
      </c>
      <c r="T3014">
        <v>-0.1983943</v>
      </c>
      <c r="U3014">
        <v>0.46145629999999999</v>
      </c>
      <c r="V3014">
        <v>0.14961529999999901</v>
      </c>
      <c r="W3014">
        <v>0.17528659999999999</v>
      </c>
      <c r="X3014">
        <v>0.97308269999999997</v>
      </c>
      <c r="Y3014">
        <v>-0.10610319999999999</v>
      </c>
      <c r="Z3014">
        <v>2.0994389999999998E-3</v>
      </c>
      <c r="AA3014">
        <v>0.99435289999999998</v>
      </c>
      <c r="AB3014">
        <v>31</v>
      </c>
      <c r="AC3014">
        <v>17.2575</v>
      </c>
      <c r="AD3014">
        <v>-1.1209865963279999</v>
      </c>
      <c r="AE3014">
        <v>2.5870999999999902</v>
      </c>
      <c r="AF3014">
        <v>-1.9021505920353401</v>
      </c>
      <c r="AG3014">
        <v>-1.1209865963279999</v>
      </c>
      <c r="AH3014">
        <v>17.2742138850594</v>
      </c>
      <c r="AI3014">
        <v>93.690679818511896</v>
      </c>
      <c r="AJ3014">
        <v>96.2838103860649</v>
      </c>
      <c r="AK3014">
        <v>17.414742408967999</v>
      </c>
      <c r="AL3014">
        <v>79.904663480136094</v>
      </c>
      <c r="AM3014">
        <v>81.258999058689994</v>
      </c>
      <c r="AN3014">
        <v>1.00000003558646</v>
      </c>
    </row>
    <row r="3015" spans="1:40" x14ac:dyDescent="0.25">
      <c r="A3015" t="str">
        <f>"20190303162608846"</f>
        <v>20190303162608846</v>
      </c>
      <c r="B3015" t="str">
        <f>"1551601568836441"</f>
        <v>1551601568836441</v>
      </c>
      <c r="C3015" t="s">
        <v>40</v>
      </c>
      <c r="D3015">
        <v>4.7208699999999997</v>
      </c>
      <c r="E3015">
        <v>0.50391459999999999</v>
      </c>
      <c r="F3015" t="s">
        <v>46</v>
      </c>
      <c r="G3015">
        <v>-192.79740000000001</v>
      </c>
      <c r="H3015" s="1">
        <v>3.1333830000000001E-6</v>
      </c>
      <c r="I3015">
        <v>218.44839999999999</v>
      </c>
      <c r="J3015">
        <v>-222.70849999999999</v>
      </c>
      <c r="K3015">
        <v>1.1209340000000001</v>
      </c>
      <c r="L3015">
        <v>216.7585</v>
      </c>
      <c r="M3015">
        <v>0.9991546</v>
      </c>
      <c r="N3015">
        <v>-1.325701E-2</v>
      </c>
      <c r="O3015">
        <v>3.8915650000000003E-2</v>
      </c>
      <c r="P3015">
        <v>0.98024319999999998</v>
      </c>
      <c r="Q3015">
        <v>0.16337869999999999</v>
      </c>
      <c r="R3015">
        <v>-0.1114956</v>
      </c>
      <c r="S3015">
        <v>3.0986630000000002</v>
      </c>
      <c r="T3015">
        <v>-0.114561999999999</v>
      </c>
      <c r="U3015">
        <v>0.17431640000000001</v>
      </c>
      <c r="V3015">
        <v>0.14961289999999999</v>
      </c>
      <c r="W3015">
        <v>0.1762484</v>
      </c>
      <c r="X3015">
        <v>0.97290929999999998</v>
      </c>
      <c r="Y3015">
        <v>-1.726128E-2</v>
      </c>
      <c r="Z3015">
        <v>-4.8753799999999998E-4</v>
      </c>
      <c r="AA3015">
        <v>0.99985089999999999</v>
      </c>
      <c r="AB3015">
        <v>31</v>
      </c>
      <c r="AC3015">
        <v>29.911099999999902</v>
      </c>
      <c r="AD3015">
        <v>-1.1209308666169999</v>
      </c>
      <c r="AE3015">
        <v>1.68989999999999</v>
      </c>
      <c r="AF3015">
        <v>-0.52377427709869295</v>
      </c>
      <c r="AG3015">
        <v>-1.1209308666169999</v>
      </c>
      <c r="AH3015">
        <v>29.9123322542133</v>
      </c>
      <c r="AI3015">
        <v>92.145761797375599</v>
      </c>
      <c r="AJ3015">
        <v>91.003164469635095</v>
      </c>
      <c r="AK3015">
        <v>29.937909853353698</v>
      </c>
      <c r="AL3015">
        <v>79.848684668173902</v>
      </c>
      <c r="AM3015">
        <v>81.257603304979</v>
      </c>
      <c r="AN3015">
        <v>1.0000000121877299</v>
      </c>
    </row>
    <row r="3016" spans="1:40" x14ac:dyDescent="0.25">
      <c r="A3016" t="str">
        <f>"20190303162608864"</f>
        <v>20190303162608864</v>
      </c>
      <c r="B3016" t="str">
        <f>"1551601568855959"</f>
        <v>1551601568855959</v>
      </c>
      <c r="C3016" t="s">
        <v>40</v>
      </c>
      <c r="D3016">
        <v>4.7821439999999997</v>
      </c>
      <c r="E3016">
        <v>0.51600709999999905</v>
      </c>
      <c r="F3016" t="s">
        <v>46</v>
      </c>
      <c r="G3016">
        <v>-189.1138</v>
      </c>
      <c r="H3016" s="1">
        <v>3.9776340000000003E-6</v>
      </c>
      <c r="I3016">
        <v>212.84049999999999</v>
      </c>
      <c r="J3016">
        <v>-222.45140000000001</v>
      </c>
      <c r="K3016">
        <v>1.1208910000000001</v>
      </c>
      <c r="L3016">
        <v>216.76830000000001</v>
      </c>
      <c r="M3016">
        <v>0.99916190000000005</v>
      </c>
      <c r="N3016">
        <v>-1.3255650000000001E-2</v>
      </c>
      <c r="O3016">
        <v>3.8729470000000002E-2</v>
      </c>
      <c r="P3016">
        <v>0.98028890000000002</v>
      </c>
      <c r="Q3016">
        <v>0.16299050000000001</v>
      </c>
      <c r="R3016">
        <v>-0.1116606</v>
      </c>
      <c r="S3016">
        <v>3.0370789999999999</v>
      </c>
      <c r="T3016">
        <v>-0.101336</v>
      </c>
      <c r="U3016">
        <v>-0.35420230000000003</v>
      </c>
      <c r="V3016">
        <v>0.14961749999999999</v>
      </c>
      <c r="W3016">
        <v>0.1758429</v>
      </c>
      <c r="X3016">
        <v>0.97298189999999996</v>
      </c>
      <c r="Y3016">
        <v>0.1540996</v>
      </c>
      <c r="Z3016">
        <v>-4.3633359999999998E-3</v>
      </c>
      <c r="AA3016">
        <v>0.98804570000000003</v>
      </c>
      <c r="AB3016">
        <v>31</v>
      </c>
      <c r="AC3016">
        <v>33.337600000000002</v>
      </c>
      <c r="AD3016">
        <v>-1.1208870223659999</v>
      </c>
      <c r="AE3016">
        <v>-3.9278000000000102</v>
      </c>
      <c r="AF3016">
        <v>5.2103040951183202</v>
      </c>
      <c r="AG3016">
        <v>-1.1208870223659999</v>
      </c>
      <c r="AH3016">
        <v>33.123516400182197</v>
      </c>
      <c r="AI3016">
        <v>91.914603527303598</v>
      </c>
      <c r="AJ3016">
        <v>81.060665723592606</v>
      </c>
      <c r="AK3016">
        <v>33.549530476500799</v>
      </c>
      <c r="AL3016">
        <v>79.872286084519899</v>
      </c>
      <c r="AM3016">
        <v>81.257980928633202</v>
      </c>
      <c r="AN3016">
        <v>0.99999994975713302</v>
      </c>
    </row>
    <row r="3017" spans="1:40" x14ac:dyDescent="0.25">
      <c r="A3017" t="str">
        <f>"20190303162608886"</f>
        <v>20190303162608886</v>
      </c>
      <c r="B3017" t="str">
        <f>"1551601568876455"</f>
        <v>1551601568876455</v>
      </c>
      <c r="C3017" t="s">
        <v>40</v>
      </c>
      <c r="D3017">
        <v>4.654617</v>
      </c>
      <c r="E3017">
        <v>0.52077489999999904</v>
      </c>
      <c r="F3017" t="s">
        <v>46</v>
      </c>
      <c r="G3017">
        <v>-196.3032</v>
      </c>
      <c r="H3017" s="1">
        <v>2.9973160000000001E-6</v>
      </c>
      <c r="I3017">
        <v>212.8913</v>
      </c>
      <c r="J3017">
        <v>-222.1549</v>
      </c>
      <c r="K3017">
        <v>1.120833</v>
      </c>
      <c r="L3017">
        <v>216.77959999999999</v>
      </c>
      <c r="M3017">
        <v>0.99917259999999997</v>
      </c>
      <c r="N3017">
        <v>-1.325409E-2</v>
      </c>
      <c r="O3017">
        <v>3.8452470000000002E-2</v>
      </c>
      <c r="P3017">
        <v>0.98039750000000003</v>
      </c>
      <c r="Q3017">
        <v>0.16164770000000001</v>
      </c>
      <c r="R3017">
        <v>-0.1126558</v>
      </c>
      <c r="S3017">
        <v>3.0307309999999998</v>
      </c>
      <c r="T3017">
        <v>-0.12991800000000001</v>
      </c>
      <c r="U3017">
        <v>-0.44937129999999997</v>
      </c>
      <c r="V3017">
        <v>0.1503688</v>
      </c>
      <c r="W3017">
        <v>0.17447950000000001</v>
      </c>
      <c r="X3017">
        <v>0.97311159999999997</v>
      </c>
      <c r="Y3017">
        <v>0.1843651</v>
      </c>
      <c r="Z3017">
        <v>-6.2905510000000001E-3</v>
      </c>
      <c r="AA3017">
        <v>0.98283770000000004</v>
      </c>
      <c r="AB3017">
        <v>31</v>
      </c>
      <c r="AC3017">
        <v>25.851699999999902</v>
      </c>
      <c r="AD3017">
        <v>-1.1208300026839999</v>
      </c>
      <c r="AE3017">
        <v>-3.8882999999999801</v>
      </c>
      <c r="AF3017">
        <v>4.8706197643814004</v>
      </c>
      <c r="AG3017">
        <v>-1.1208300026839999</v>
      </c>
      <c r="AH3017">
        <v>25.635926428015601</v>
      </c>
      <c r="AI3017">
        <v>92.459497010970694</v>
      </c>
      <c r="AJ3017">
        <v>79.242477830819098</v>
      </c>
      <c r="AK3017">
        <v>26.118574245290102</v>
      </c>
      <c r="AL3017">
        <v>79.951630638464195</v>
      </c>
      <c r="AM3017">
        <v>81.215918938142593</v>
      </c>
      <c r="AN3017">
        <v>1.00000002899412</v>
      </c>
    </row>
    <row r="3018" spans="1:40" x14ac:dyDescent="0.25">
      <c r="A3018" t="str">
        <f>"20190303162608908"</f>
        <v>20190303162608908</v>
      </c>
      <c r="B3018" t="str">
        <f>"1551601568896952"</f>
        <v>1551601568896952</v>
      </c>
      <c r="C3018" t="s">
        <v>40</v>
      </c>
      <c r="D3018">
        <v>4.653562</v>
      </c>
      <c r="E3018">
        <v>0.52332709999999905</v>
      </c>
      <c r="F3018" t="s">
        <v>46</v>
      </c>
      <c r="G3018">
        <v>-200.4427</v>
      </c>
      <c r="H3018" s="1">
        <v>2.530825E-6</v>
      </c>
      <c r="I3018">
        <v>213.27209999999999</v>
      </c>
      <c r="J3018">
        <v>-221.83789999999999</v>
      </c>
      <c r="K3018">
        <v>1.1207590000000001</v>
      </c>
      <c r="L3018">
        <v>216.79130000000001</v>
      </c>
      <c r="M3018">
        <v>0.99918739999999995</v>
      </c>
      <c r="N3018">
        <v>-1.325256E-2</v>
      </c>
      <c r="O3018">
        <v>3.8066320000000001E-2</v>
      </c>
      <c r="P3018">
        <v>0.98028459999999995</v>
      </c>
      <c r="Q3018">
        <v>0.1611118</v>
      </c>
      <c r="R3018">
        <v>-0.1143903</v>
      </c>
      <c r="S3018">
        <v>3.0295260000000002</v>
      </c>
      <c r="T3018">
        <v>-0.15639049999999999</v>
      </c>
      <c r="U3018">
        <v>-0.48939510000000003</v>
      </c>
      <c r="V3018">
        <v>0.1517492</v>
      </c>
      <c r="W3018">
        <v>0.17391470000000001</v>
      </c>
      <c r="X3018">
        <v>0.97299840000000004</v>
      </c>
      <c r="Y3018">
        <v>0.1965915</v>
      </c>
      <c r="Z3018">
        <v>-7.8020110000000002E-3</v>
      </c>
      <c r="AA3018">
        <v>0.98045439999999995</v>
      </c>
      <c r="AB3018">
        <v>31</v>
      </c>
      <c r="AC3018">
        <v>21.3951999999999</v>
      </c>
      <c r="AD3018">
        <v>-1.120756469175</v>
      </c>
      <c r="AE3018">
        <v>-3.5192000000000099</v>
      </c>
      <c r="AF3018">
        <v>4.3196159562972696</v>
      </c>
      <c r="AG3018">
        <v>-1.120756469175</v>
      </c>
      <c r="AH3018">
        <v>21.189103608123101</v>
      </c>
      <c r="AI3018">
        <v>92.966818447663499</v>
      </c>
      <c r="AJ3018">
        <v>78.477557003809096</v>
      </c>
      <c r="AK3018">
        <v>21.653943954597999</v>
      </c>
      <c r="AL3018">
        <v>79.9844935979079</v>
      </c>
      <c r="AM3018">
        <v>81.135540108033794</v>
      </c>
      <c r="AN3018">
        <v>1.0000000144896399</v>
      </c>
    </row>
    <row r="3019" spans="1:40" x14ac:dyDescent="0.25">
      <c r="A3019" t="str">
        <f>"20190303162608929"</f>
        <v>20190303162608929</v>
      </c>
      <c r="B3019" t="str">
        <f>"1551601568916471"</f>
        <v>1551601568916471</v>
      </c>
      <c r="C3019" t="s">
        <v>40</v>
      </c>
      <c r="D3019">
        <v>4.5343299999999997</v>
      </c>
      <c r="E3019">
        <v>0.52412950000000003</v>
      </c>
      <c r="F3019" t="s">
        <v>46</v>
      </c>
      <c r="G3019">
        <v>-202.24709999999999</v>
      </c>
      <c r="H3019" s="1">
        <v>3.3139269999999998E-6</v>
      </c>
      <c r="I3019">
        <v>213.46729999999999</v>
      </c>
      <c r="J3019">
        <v>-221.56809999999999</v>
      </c>
      <c r="K3019">
        <v>1.1206830000000001</v>
      </c>
      <c r="L3019">
        <v>216.80119999999999</v>
      </c>
      <c r="M3019">
        <v>0.99920310000000001</v>
      </c>
      <c r="N3019">
        <v>-1.325142E-2</v>
      </c>
      <c r="O3019">
        <v>3.7651810000000001E-2</v>
      </c>
      <c r="P3019">
        <v>0.98011800000000004</v>
      </c>
      <c r="Q3019">
        <v>0.16119040000000001</v>
      </c>
      <c r="R3019">
        <v>-0.11569989999999999</v>
      </c>
      <c r="S3019">
        <v>3.0288089999999999</v>
      </c>
      <c r="T3019">
        <v>-0.17327279999999901</v>
      </c>
      <c r="U3019">
        <v>-0.51391600000000004</v>
      </c>
      <c r="V3019">
        <v>0.15267500000000001</v>
      </c>
      <c r="W3019">
        <v>0.17396489999999901</v>
      </c>
      <c r="X3019">
        <v>0.9728445</v>
      </c>
      <c r="Y3019">
        <v>0.20385410000000001</v>
      </c>
      <c r="Z3019">
        <v>-8.7902209999999904E-3</v>
      </c>
      <c r="AA3019">
        <v>0.97896179999999999</v>
      </c>
      <c r="AB3019">
        <v>31</v>
      </c>
      <c r="AC3019">
        <v>19.321000000000002</v>
      </c>
      <c r="AD3019">
        <v>-1.1206796860729999</v>
      </c>
      <c r="AE3019">
        <v>-3.3338999999999999</v>
      </c>
      <c r="AF3019">
        <v>4.04585186946289</v>
      </c>
      <c r="AG3019">
        <v>-1.1206796860729999</v>
      </c>
      <c r="AH3019">
        <v>19.1192945265622</v>
      </c>
      <c r="AI3019">
        <v>93.282045770407706</v>
      </c>
      <c r="AJ3019">
        <v>78.051848078246707</v>
      </c>
      <c r="AK3019">
        <v>19.574786422892199</v>
      </c>
      <c r="AL3019">
        <v>79.981571987614998</v>
      </c>
      <c r="AM3019">
        <v>81.080937857684106</v>
      </c>
      <c r="AN3019">
        <v>0.99999993161862699</v>
      </c>
    </row>
    <row r="3020" spans="1:40" x14ac:dyDescent="0.25">
      <c r="A3020" t="str">
        <f>"20190303162608950"</f>
        <v>20190303162608950</v>
      </c>
      <c r="B3020" t="str">
        <f>"1551601568935991"</f>
        <v>1551601568935991</v>
      </c>
      <c r="C3020" t="s">
        <v>40</v>
      </c>
      <c r="D3020">
        <v>4.6278350000000001</v>
      </c>
      <c r="E3020">
        <v>0.52531930000000004</v>
      </c>
      <c r="F3020" t="s">
        <v>46</v>
      </c>
      <c r="G3020">
        <v>-202.23740000000001</v>
      </c>
      <c r="H3020" s="1">
        <v>3.3103450000000001E-6</v>
      </c>
      <c r="I3020">
        <v>213.45910000000001</v>
      </c>
      <c r="J3020">
        <v>-221.2714</v>
      </c>
      <c r="K3020">
        <v>1.1205889999999901</v>
      </c>
      <c r="L3020">
        <v>216.81180000000001</v>
      </c>
      <c r="M3020">
        <v>0.99922420000000001</v>
      </c>
      <c r="N3020">
        <v>-1.3250299999999901E-2</v>
      </c>
      <c r="O3020">
        <v>3.708724E-2</v>
      </c>
      <c r="P3020">
        <v>0.98002959999999995</v>
      </c>
      <c r="Q3020">
        <v>0.16070599999999999</v>
      </c>
      <c r="R3020">
        <v>-0.1171138</v>
      </c>
      <c r="S3020">
        <v>3.0279240000000001</v>
      </c>
      <c r="T3020">
        <v>-0.17554129999999901</v>
      </c>
      <c r="U3020">
        <v>-0.52349849999999998</v>
      </c>
      <c r="V3020">
        <v>0.15356889999999901</v>
      </c>
      <c r="W3020">
        <v>0.17344699999999999</v>
      </c>
      <c r="X3020">
        <v>0.97279629999999995</v>
      </c>
      <c r="Y3020">
        <v>0.2063421</v>
      </c>
      <c r="Z3020">
        <v>-8.9575350000000008E-3</v>
      </c>
      <c r="AA3020">
        <v>0.9784389</v>
      </c>
      <c r="AB3020">
        <v>31</v>
      </c>
      <c r="AC3020">
        <v>19.033999999999899</v>
      </c>
      <c r="AD3020">
        <v>-1.1205856896549999</v>
      </c>
      <c r="AE3020">
        <v>-3.3526999999999898</v>
      </c>
      <c r="AF3020">
        <v>4.0427828693583399</v>
      </c>
      <c r="AG3020">
        <v>-1.1205856896549999</v>
      </c>
      <c r="AH3020">
        <v>18.833237716398799</v>
      </c>
      <c r="AI3020">
        <v>93.329439169019594</v>
      </c>
      <c r="AJ3020">
        <v>77.884624483495699</v>
      </c>
      <c r="AK3020">
        <v>19.294834762159098</v>
      </c>
      <c r="AL3020">
        <v>80.011703784077895</v>
      </c>
      <c r="AM3020">
        <v>81.029126994681405</v>
      </c>
      <c r="AN3020">
        <v>0.99999995507494799</v>
      </c>
    </row>
    <row r="3021" spans="1:40" x14ac:dyDescent="0.25">
      <c r="A3021" t="str">
        <f>"20190303162608976"</f>
        <v>20190303162608976</v>
      </c>
      <c r="B3021" t="str">
        <f>"1551601568966247"</f>
        <v>1551601568966247</v>
      </c>
      <c r="C3021" t="s">
        <v>40</v>
      </c>
      <c r="D3021">
        <v>4.560702</v>
      </c>
      <c r="E3021">
        <v>0.52660450000000003</v>
      </c>
      <c r="F3021" t="s">
        <v>46</v>
      </c>
      <c r="G3021">
        <v>-202.54820000000001</v>
      </c>
      <c r="H3021" s="1">
        <v>3.445265E-6</v>
      </c>
      <c r="I3021">
        <v>213.4924</v>
      </c>
      <c r="J3021">
        <v>-220.91489999999999</v>
      </c>
      <c r="K3021">
        <v>1.1204590000000001</v>
      </c>
      <c r="L3021">
        <v>216.82409999999999</v>
      </c>
      <c r="M3021">
        <v>0.99925549999999996</v>
      </c>
      <c r="N3021">
        <v>-1.324963E-2</v>
      </c>
      <c r="O3021">
        <v>3.6237940000000003E-2</v>
      </c>
      <c r="P3021">
        <v>0.98004199999999997</v>
      </c>
      <c r="Q3021">
        <v>0.15973799999999999</v>
      </c>
      <c r="R3021">
        <v>-0.11832910000000001</v>
      </c>
      <c r="S3021">
        <v>3.0267179999999998</v>
      </c>
      <c r="T3021">
        <v>-0.1811498</v>
      </c>
      <c r="U3021">
        <v>-0.53659060000000003</v>
      </c>
      <c r="V3021">
        <v>0.15400469999999999</v>
      </c>
      <c r="W3021">
        <v>0.1724339</v>
      </c>
      <c r="X3021">
        <v>0.97290750000000004</v>
      </c>
      <c r="Y3021">
        <v>0.20964749999999999</v>
      </c>
      <c r="Z3021">
        <v>-9.2966520000000007E-3</v>
      </c>
      <c r="AA3021">
        <v>0.97773279999999996</v>
      </c>
      <c r="AB3021">
        <v>31</v>
      </c>
      <c r="AC3021">
        <v>18.366699999999899</v>
      </c>
      <c r="AD3021">
        <v>-1.1204555547349999</v>
      </c>
      <c r="AE3021">
        <v>-3.3316999999999801</v>
      </c>
      <c r="AF3021">
        <v>3.98079814067547</v>
      </c>
      <c r="AG3021">
        <v>-1.1204555547349999</v>
      </c>
      <c r="AH3021">
        <v>18.168428761263598</v>
      </c>
      <c r="AI3021">
        <v>93.447412484676605</v>
      </c>
      <c r="AJ3021">
        <v>77.641489300477801</v>
      </c>
      <c r="AK3021">
        <v>18.633141928833499</v>
      </c>
      <c r="AL3021">
        <v>80.0706381045283</v>
      </c>
      <c r="AM3021">
        <v>81.005096464694503</v>
      </c>
      <c r="AN3021">
        <v>0.999999950523773</v>
      </c>
    </row>
    <row r="3022" spans="1:40" x14ac:dyDescent="0.25">
      <c r="A3022" t="str">
        <f>"20190303162609016"</f>
        <v>20190303162609016</v>
      </c>
      <c r="B3022" t="str">
        <f>"1551601569006264"</f>
        <v>1551601569006264</v>
      </c>
      <c r="C3022" t="s">
        <v>40</v>
      </c>
      <c r="D3022">
        <v>4.5633140000000001</v>
      </c>
      <c r="E3022">
        <v>0.52760059999999998</v>
      </c>
      <c r="F3022" t="s">
        <v>46</v>
      </c>
      <c r="G3022">
        <v>-202.6927</v>
      </c>
      <c r="H3022" s="1">
        <v>3.50816999999999E-6</v>
      </c>
      <c r="I3022">
        <v>213.50569999999999</v>
      </c>
      <c r="J3022">
        <v>-220.38470000000001</v>
      </c>
      <c r="K3022">
        <v>1.1202219999999901</v>
      </c>
      <c r="L3022">
        <v>216.8415</v>
      </c>
      <c r="M3022">
        <v>0.9993166</v>
      </c>
      <c r="N3022">
        <v>-1.32497E-2</v>
      </c>
      <c r="O3022">
        <v>3.4511739999999999E-2</v>
      </c>
      <c r="P3022">
        <v>0.97994700000000001</v>
      </c>
      <c r="Q3022">
        <v>0.1585627</v>
      </c>
      <c r="R3022">
        <v>-0.12067310000000001</v>
      </c>
      <c r="S3022">
        <v>3.024902</v>
      </c>
      <c r="T3022">
        <v>-0.1859961</v>
      </c>
      <c r="U3022">
        <v>-0.5508575</v>
      </c>
      <c r="V3022">
        <v>0.15475420000000001</v>
      </c>
      <c r="W3022">
        <v>0.17117170000000001</v>
      </c>
      <c r="X3022">
        <v>0.97301150000000003</v>
      </c>
      <c r="Y3022">
        <v>0.21249660000000001</v>
      </c>
      <c r="Z3022">
        <v>-9.5458550000000007E-3</v>
      </c>
      <c r="AA3022">
        <v>0.97711519999999996</v>
      </c>
      <c r="AB3022">
        <v>31</v>
      </c>
      <c r="AC3022">
        <v>17.692</v>
      </c>
      <c r="AD3022">
        <v>-1.12021849182999</v>
      </c>
      <c r="AE3022">
        <v>-3.3357999999999999</v>
      </c>
      <c r="AF3022">
        <v>3.9292356380086702</v>
      </c>
      <c r="AG3022">
        <v>-1.12021849182999</v>
      </c>
      <c r="AH3022">
        <v>17.498578630206701</v>
      </c>
      <c r="AI3022">
        <v>93.574185308622305</v>
      </c>
      <c r="AJ3022">
        <v>77.344378401007503</v>
      </c>
      <c r="AK3022">
        <v>17.969252523295498</v>
      </c>
      <c r="AL3022">
        <v>80.144048811907098</v>
      </c>
      <c r="AM3022">
        <v>80.962991593860096</v>
      </c>
      <c r="AN3022">
        <v>0.99999999621539004</v>
      </c>
    </row>
    <row r="3023" spans="1:40" x14ac:dyDescent="0.25">
      <c r="A3023" t="str">
        <f>"20190303162609041"</f>
        <v>20190303162609041</v>
      </c>
      <c r="B3023" t="str">
        <f>"1551601569036520"</f>
        <v>1551601569036520</v>
      </c>
      <c r="C3023" t="s">
        <v>40</v>
      </c>
      <c r="D3023">
        <v>4.5848300000000002</v>
      </c>
      <c r="E3023">
        <v>0.52846599999999999</v>
      </c>
      <c r="F3023" t="s">
        <v>46</v>
      </c>
      <c r="G3023">
        <v>-202.494</v>
      </c>
      <c r="H3023" s="1">
        <v>3.4212220000000001E-6</v>
      </c>
      <c r="I3023">
        <v>213.4924</v>
      </c>
      <c r="J3023">
        <v>-220.042</v>
      </c>
      <c r="K3023">
        <v>1.120063</v>
      </c>
      <c r="L3023">
        <v>216.8519</v>
      </c>
      <c r="M3023">
        <v>0.99936409999999998</v>
      </c>
      <c r="N3023">
        <v>-1.325055E-2</v>
      </c>
      <c r="O3023">
        <v>3.3104340000000003E-2</v>
      </c>
      <c r="P3023">
        <v>0.97966960000000003</v>
      </c>
      <c r="Q3023">
        <v>0.15868969999999999</v>
      </c>
      <c r="R3023">
        <v>-0.1227408</v>
      </c>
      <c r="S3023">
        <v>3.022354</v>
      </c>
      <c r="T3023">
        <v>-0.18924270000000001</v>
      </c>
      <c r="U3023">
        <v>-0.56578059999999997</v>
      </c>
      <c r="V3023">
        <v>0.15550649999999999</v>
      </c>
      <c r="W3023">
        <v>0.17123429999999901</v>
      </c>
      <c r="X3023">
        <v>0.97288050000000004</v>
      </c>
      <c r="Y3023">
        <v>0.2159064</v>
      </c>
      <c r="Z3023">
        <v>-9.7593030000000004E-3</v>
      </c>
      <c r="AA3023">
        <v>0.97636529999999999</v>
      </c>
      <c r="AB3023">
        <v>31</v>
      </c>
      <c r="AC3023">
        <v>17.547999999999899</v>
      </c>
      <c r="AD3023">
        <v>-1.1200595787780001</v>
      </c>
      <c r="AE3023">
        <v>-3.3594999999999899</v>
      </c>
      <c r="AF3023">
        <v>3.9232060224059899</v>
      </c>
      <c r="AG3023">
        <v>-1.1200595787780001</v>
      </c>
      <c r="AH3023">
        <v>17.358935615787399</v>
      </c>
      <c r="AI3023">
        <v>93.6012287813641</v>
      </c>
      <c r="AJ3023">
        <v>77.264821391396396</v>
      </c>
      <c r="AK3023">
        <v>17.831957959442001</v>
      </c>
      <c r="AL3023">
        <v>80.140408008328194</v>
      </c>
      <c r="AM3023">
        <v>80.918588245869302</v>
      </c>
      <c r="AN3023">
        <v>0.99999996215949405</v>
      </c>
    </row>
    <row r="3024" spans="1:40" x14ac:dyDescent="0.25">
      <c r="A3024" t="str">
        <f>"20190303162609064"</f>
        <v>20190303162609064</v>
      </c>
      <c r="B3024" t="str">
        <f>"1551601569056040"</f>
        <v>1551601569056040</v>
      </c>
      <c r="C3024" t="s">
        <v>40</v>
      </c>
      <c r="D3024">
        <v>4.5372960000000004</v>
      </c>
      <c r="E3024">
        <v>0.52900170000000002</v>
      </c>
      <c r="F3024" t="s">
        <v>46</v>
      </c>
      <c r="G3024">
        <v>-201.98259999999999</v>
      </c>
      <c r="H3024" s="1">
        <v>3.2035899999999998E-6</v>
      </c>
      <c r="I3024">
        <v>213.3877</v>
      </c>
      <c r="J3024">
        <v>-219.71080000000001</v>
      </c>
      <c r="K3024">
        <v>1.1198889999999999</v>
      </c>
      <c r="L3024">
        <v>216.86109999999999</v>
      </c>
      <c r="M3024">
        <v>0.99941670000000005</v>
      </c>
      <c r="N3024">
        <v>-1.3251870000000001E-2</v>
      </c>
      <c r="O3024">
        <v>3.1476209999999998E-2</v>
      </c>
      <c r="P3024">
        <v>0.9793364</v>
      </c>
      <c r="Q3024">
        <v>0.1587694</v>
      </c>
      <c r="R3024">
        <v>-0.12526999999999999</v>
      </c>
      <c r="S3024">
        <v>3.0200200000000001</v>
      </c>
      <c r="T3024">
        <v>-0.18730430000000001</v>
      </c>
      <c r="U3024">
        <v>-0.57929989999999998</v>
      </c>
      <c r="V3024">
        <v>0.1565078</v>
      </c>
      <c r="W3024">
        <v>0.17124549999999999</v>
      </c>
      <c r="X3024">
        <v>0.97271799999999997</v>
      </c>
      <c r="Y3024">
        <v>0.21867610000000001</v>
      </c>
      <c r="Z3024">
        <v>-9.6985769999999999E-3</v>
      </c>
      <c r="AA3024">
        <v>0.97574930000000004</v>
      </c>
      <c r="AB3024">
        <v>31</v>
      </c>
      <c r="AC3024">
        <v>17.728200000000001</v>
      </c>
      <c r="AD3024">
        <v>-1.11988579641</v>
      </c>
      <c r="AE3024">
        <v>-3.4733999999999901</v>
      </c>
      <c r="AF3024">
        <v>4.0143175325039602</v>
      </c>
      <c r="AG3024">
        <v>-1.11988579641</v>
      </c>
      <c r="AH3024">
        <v>17.542660404756798</v>
      </c>
      <c r="AI3024">
        <v>93.5608876050606</v>
      </c>
      <c r="AJ3024">
        <v>77.110824939911893</v>
      </c>
      <c r="AK3024">
        <v>18.0309129975548</v>
      </c>
      <c r="AL3024">
        <v>80.139757152665496</v>
      </c>
      <c r="AM3024">
        <v>80.859596138042093</v>
      </c>
      <c r="AN3024">
        <v>1.0000000101275399</v>
      </c>
    </row>
    <row r="3025" spans="1:40" x14ac:dyDescent="0.25">
      <c r="A3025" t="str">
        <f>"20190303162609084"</f>
        <v>20190303162609084</v>
      </c>
      <c r="B3025" t="str">
        <f>"1551601569076536"</f>
        <v>1551601569076536</v>
      </c>
      <c r="C3025" t="s">
        <v>40</v>
      </c>
      <c r="D3025">
        <v>4.5346520000000003</v>
      </c>
      <c r="E3025">
        <v>0.52932880000000004</v>
      </c>
      <c r="F3025" t="s">
        <v>46</v>
      </c>
      <c r="G3025">
        <v>-201.46029999999999</v>
      </c>
      <c r="H3025" s="1">
        <v>2.9809180000000002E-6</v>
      </c>
      <c r="I3025">
        <v>213.2852</v>
      </c>
      <c r="J3025">
        <v>-219.43770000000001</v>
      </c>
      <c r="K3025">
        <v>1.1197469999999901</v>
      </c>
      <c r="L3025">
        <v>216.8682</v>
      </c>
      <c r="M3025">
        <v>0.9994632</v>
      </c>
      <c r="N3025">
        <v>-1.325346E-2</v>
      </c>
      <c r="O3025">
        <v>2.996279E-2</v>
      </c>
      <c r="P3025">
        <v>0.97905390000000003</v>
      </c>
      <c r="Q3025">
        <v>0.15827069999999999</v>
      </c>
      <c r="R3025">
        <v>-0.12807789999999999</v>
      </c>
      <c r="S3025">
        <v>3.0176850000000002</v>
      </c>
      <c r="T3025">
        <v>-0.18517040000000001</v>
      </c>
      <c r="U3025">
        <v>-0.59126279999999998</v>
      </c>
      <c r="V3025">
        <v>0.1578871</v>
      </c>
      <c r="W3025">
        <v>0.1706878</v>
      </c>
      <c r="X3025">
        <v>0.97259309999999999</v>
      </c>
      <c r="Y3025">
        <v>0.22107289999999999</v>
      </c>
      <c r="Z3025">
        <v>-9.6210189999999998E-3</v>
      </c>
      <c r="AA3025">
        <v>0.97520980000000002</v>
      </c>
      <c r="AB3025">
        <v>30</v>
      </c>
      <c r="AC3025">
        <v>17.977399999999999</v>
      </c>
      <c r="AD3025">
        <v>-1.1197440190819901</v>
      </c>
      <c r="AE3025">
        <v>-3.58299999999999</v>
      </c>
      <c r="AF3025">
        <v>4.1047749904858701</v>
      </c>
      <c r="AG3025">
        <v>-1.1197440190819901</v>
      </c>
      <c r="AH3025">
        <v>17.795559406815801</v>
      </c>
      <c r="AI3025">
        <v>93.508567896735698</v>
      </c>
      <c r="AJ3025">
        <v>77.011168677435293</v>
      </c>
      <c r="AK3025">
        <v>18.2971292554952</v>
      </c>
      <c r="AL3025">
        <v>80.172188399154805</v>
      </c>
      <c r="AM3025">
        <v>80.779255757088606</v>
      </c>
      <c r="AN3025">
        <v>0.99999999979142895</v>
      </c>
    </row>
    <row r="3026" spans="1:40" x14ac:dyDescent="0.25">
      <c r="A3026" t="str">
        <f>"20190303162609109"</f>
        <v>20190303162609109</v>
      </c>
      <c r="B3026" t="str">
        <f>"1551601569096056"</f>
        <v>1551601569096056</v>
      </c>
      <c r="C3026" t="s">
        <v>40</v>
      </c>
      <c r="D3026">
        <v>4.5522720000000003</v>
      </c>
      <c r="E3026">
        <v>0.52991679999999997</v>
      </c>
      <c r="F3026" t="s">
        <v>46</v>
      </c>
      <c r="G3026">
        <v>-201.32640000000001</v>
      </c>
      <c r="H3026" s="1">
        <v>2.9247760000000001E-6</v>
      </c>
      <c r="I3026">
        <v>213.2482</v>
      </c>
      <c r="J3026">
        <v>-219.0977</v>
      </c>
      <c r="K3026">
        <v>1.119559</v>
      </c>
      <c r="L3026">
        <v>216.87620000000001</v>
      </c>
      <c r="M3026">
        <v>0.99952479999999999</v>
      </c>
      <c r="N3026">
        <v>-1.325606E-2</v>
      </c>
      <c r="O3026">
        <v>2.7829409999999999E-2</v>
      </c>
      <c r="P3026">
        <v>0.97866589999999998</v>
      </c>
      <c r="Q3026">
        <v>0.1576526</v>
      </c>
      <c r="R3026">
        <v>-0.13175400000000001</v>
      </c>
      <c r="S3026">
        <v>3.0154719999999999</v>
      </c>
      <c r="T3026">
        <v>-0.1864334</v>
      </c>
      <c r="U3026">
        <v>-0.60272219999999999</v>
      </c>
      <c r="V3026">
        <v>0.15954460000000001</v>
      </c>
      <c r="W3026">
        <v>0.1699938</v>
      </c>
      <c r="X3026">
        <v>0.97244419999999998</v>
      </c>
      <c r="Y3026">
        <v>0.2226842</v>
      </c>
      <c r="Z3026">
        <v>-9.6405250000000005E-3</v>
      </c>
      <c r="AA3026">
        <v>0.97484300000000002</v>
      </c>
      <c r="AB3026">
        <v>30</v>
      </c>
      <c r="AC3026">
        <v>17.771299999999901</v>
      </c>
      <c r="AD3026">
        <v>-1.1195560752239999</v>
      </c>
      <c r="AE3026">
        <v>-3.6280000000000099</v>
      </c>
      <c r="AF3026">
        <v>4.1055608118496698</v>
      </c>
      <c r="AG3026">
        <v>-1.1195560752239999</v>
      </c>
      <c r="AH3026">
        <v>17.596400209690799</v>
      </c>
      <c r="AI3026">
        <v>93.545515732378405</v>
      </c>
      <c r="AJ3026">
        <v>76.866798802966798</v>
      </c>
      <c r="AK3026">
        <v>18.103655313912999</v>
      </c>
      <c r="AL3026">
        <v>80.212541886332602</v>
      </c>
      <c r="AM3026">
        <v>80.682743329937395</v>
      </c>
      <c r="AN3026">
        <v>1.0000000467706101</v>
      </c>
    </row>
    <row r="3027" spans="1:40" x14ac:dyDescent="0.25">
      <c r="A3027" t="str">
        <f>"20190303162609134"</f>
        <v>20190303162609134</v>
      </c>
      <c r="B3027" t="str">
        <f>"1551601569126312"</f>
        <v>1551601569126312</v>
      </c>
      <c r="C3027" t="s">
        <v>40</v>
      </c>
      <c r="D3027">
        <v>4.4938539999999998</v>
      </c>
      <c r="E3027">
        <v>0.53054889999999999</v>
      </c>
      <c r="F3027" t="s">
        <v>46</v>
      </c>
      <c r="G3027">
        <v>-201.00280000000001</v>
      </c>
      <c r="H3027" s="1">
        <v>2.7894330000000002E-6</v>
      </c>
      <c r="I3027">
        <v>213.15530000000001</v>
      </c>
      <c r="J3027">
        <v>-218.76230000000001</v>
      </c>
      <c r="K3027">
        <v>1.1193599999999999</v>
      </c>
      <c r="L3027">
        <v>216.88310000000001</v>
      </c>
      <c r="M3027">
        <v>0.99958829999999999</v>
      </c>
      <c r="N3027">
        <v>-1.325961E-2</v>
      </c>
      <c r="O3027">
        <v>2.544772E-2</v>
      </c>
      <c r="P3027">
        <v>0.97813510000000004</v>
      </c>
      <c r="Q3027">
        <v>0.15709289999999901</v>
      </c>
      <c r="R3027">
        <v>-0.13628560000000001</v>
      </c>
      <c r="S3027">
        <v>3.012054</v>
      </c>
      <c r="T3027">
        <v>-0.18636040000000001</v>
      </c>
      <c r="U3027">
        <v>-0.61936950000000002</v>
      </c>
      <c r="V3027">
        <v>0.16181779999999901</v>
      </c>
      <c r="W3027">
        <v>0.16934859999999999</v>
      </c>
      <c r="X3027">
        <v>0.97218110000000002</v>
      </c>
      <c r="Y3027">
        <v>0.22574369999999999</v>
      </c>
      <c r="Z3027">
        <v>-9.6428409999999992E-3</v>
      </c>
      <c r="AA3027">
        <v>0.97413899999999998</v>
      </c>
      <c r="AB3027">
        <v>30</v>
      </c>
      <c r="AC3027">
        <v>17.759499999999999</v>
      </c>
      <c r="AD3027">
        <v>-1.119357210567</v>
      </c>
      <c r="AE3027">
        <v>-3.7277999999999998</v>
      </c>
      <c r="AF3027">
        <v>4.16273199101441</v>
      </c>
      <c r="AG3027">
        <v>-1.119357210567</v>
      </c>
      <c r="AH3027">
        <v>17.5919386232077</v>
      </c>
      <c r="AI3027">
        <v>93.543179222091396</v>
      </c>
      <c r="AJ3027">
        <v>76.687125949251396</v>
      </c>
      <c r="AK3027">
        <v>18.112360495434299</v>
      </c>
      <c r="AL3027">
        <v>80.250052742186995</v>
      </c>
      <c r="AM3027">
        <v>80.549856803658699</v>
      </c>
      <c r="AN3027">
        <v>1.0000000199579999</v>
      </c>
    </row>
    <row r="3028" spans="1:40" x14ac:dyDescent="0.25">
      <c r="A3028" t="str">
        <f>"20190303162609154"</f>
        <v>20190303162609154</v>
      </c>
      <c r="B3028" t="str">
        <f>"1551601569146808"</f>
        <v>1551601569146808</v>
      </c>
      <c r="C3028" t="s">
        <v>40</v>
      </c>
      <c r="D3028">
        <v>4.6279110000000001</v>
      </c>
      <c r="E3028">
        <v>0.53024789999999999</v>
      </c>
      <c r="F3028" t="s">
        <v>46</v>
      </c>
      <c r="G3028">
        <v>-200.78360000000001</v>
      </c>
      <c r="H3028" s="1">
        <v>2.6996189999999998E-6</v>
      </c>
      <c r="I3028">
        <v>213.0703</v>
      </c>
      <c r="J3028">
        <v>-218.4939</v>
      </c>
      <c r="K3028">
        <v>1.119192</v>
      </c>
      <c r="L3028">
        <v>216.8878</v>
      </c>
      <c r="M3028">
        <v>0.99964019999999998</v>
      </c>
      <c r="N3028">
        <v>-1.326372E-2</v>
      </c>
      <c r="O3028">
        <v>2.332029E-2</v>
      </c>
      <c r="P3028">
        <v>0.97757859999999996</v>
      </c>
      <c r="Q3028">
        <v>0.15712880000000001</v>
      </c>
      <c r="R3028">
        <v>-0.14018129999999901</v>
      </c>
      <c r="S3028">
        <v>3.0082550000000001</v>
      </c>
      <c r="T3028">
        <v>-0.18729380000000001</v>
      </c>
      <c r="U3028">
        <v>-0.63797000000000004</v>
      </c>
      <c r="V3028">
        <v>0.1636956</v>
      </c>
      <c r="W3028">
        <v>0.1693096</v>
      </c>
      <c r="X3028">
        <v>0.97187349999999995</v>
      </c>
      <c r="Y3028">
        <v>0.22967070000000001</v>
      </c>
      <c r="Z3028">
        <v>-9.7359379999999995E-3</v>
      </c>
      <c r="AA3028">
        <v>0.97321970000000002</v>
      </c>
      <c r="AB3028">
        <v>30</v>
      </c>
      <c r="AC3028">
        <v>17.710299999999901</v>
      </c>
      <c r="AD3028">
        <v>-1.1191893003810001</v>
      </c>
      <c r="AE3028">
        <v>-3.8174999999999901</v>
      </c>
      <c r="AF3028">
        <v>4.2134279408262696</v>
      </c>
      <c r="AG3028">
        <v>-1.1191893003810001</v>
      </c>
      <c r="AH3028">
        <v>17.549477361940799</v>
      </c>
      <c r="AI3028">
        <v>93.548434537615094</v>
      </c>
      <c r="AJ3028">
        <v>76.4994715459936</v>
      </c>
      <c r="AK3028">
        <v>18.082856947393399</v>
      </c>
      <c r="AL3028">
        <v>80.252320265035394</v>
      </c>
      <c r="AM3028">
        <v>80.439236104057699</v>
      </c>
      <c r="AN3028">
        <v>1.00000004505688</v>
      </c>
    </row>
    <row r="3029" spans="1:40" x14ac:dyDescent="0.25">
      <c r="A3029" t="str">
        <f>"20190303162609178"</f>
        <v>20190303162609178</v>
      </c>
      <c r="B3029" t="str">
        <f>"1551601569166327"</f>
        <v>1551601569166327</v>
      </c>
      <c r="C3029" t="s">
        <v>40</v>
      </c>
      <c r="D3029">
        <v>4.6248430000000003</v>
      </c>
      <c r="E3029">
        <v>0.52997680000000003</v>
      </c>
      <c r="F3029" t="s">
        <v>46</v>
      </c>
      <c r="G3029">
        <v>-200.37629999999999</v>
      </c>
      <c r="H3029" s="1">
        <v>2.526021E-6</v>
      </c>
      <c r="I3029">
        <v>212.99</v>
      </c>
      <c r="J3029">
        <v>-218.17609999999999</v>
      </c>
      <c r="K3029">
        <v>1.1189830000000001</v>
      </c>
      <c r="L3029">
        <v>216.89240000000001</v>
      </c>
      <c r="M3029">
        <v>0.9997007</v>
      </c>
      <c r="N3029">
        <v>-1.326958E-2</v>
      </c>
      <c r="O3029">
        <v>2.056243E-2</v>
      </c>
      <c r="P3029">
        <v>0.9767441</v>
      </c>
      <c r="Q3029">
        <v>0.15762979999999999</v>
      </c>
      <c r="R3029">
        <v>-0.1453412</v>
      </c>
      <c r="S3029">
        <v>3.0059049999999998</v>
      </c>
      <c r="T3029">
        <v>-0.18568519999999999</v>
      </c>
      <c r="U3029">
        <v>-0.64668269999999906</v>
      </c>
      <c r="V3029">
        <v>0.166238</v>
      </c>
      <c r="W3029">
        <v>0.16971420000000001</v>
      </c>
      <c r="X3029">
        <v>0.97137119999999999</v>
      </c>
      <c r="Y3029">
        <v>0.2298491</v>
      </c>
      <c r="Z3029">
        <v>-9.5424069999999993E-3</v>
      </c>
      <c r="AA3029">
        <v>0.97317949999999998</v>
      </c>
      <c r="AB3029">
        <v>30</v>
      </c>
      <c r="AC3029">
        <v>17.799800000000001</v>
      </c>
      <c r="AD3029">
        <v>-1.1189804739789999</v>
      </c>
      <c r="AE3029">
        <v>-3.9024000000000001</v>
      </c>
      <c r="AF3029">
        <v>4.25158246953084</v>
      </c>
      <c r="AG3029">
        <v>-1.1189804739789999</v>
      </c>
      <c r="AH3029">
        <v>17.6492354237397</v>
      </c>
      <c r="AI3029">
        <v>93.527128226066694</v>
      </c>
      <c r="AJ3029">
        <v>76.455882047555207</v>
      </c>
      <c r="AK3029">
        <v>18.188556342902999</v>
      </c>
      <c r="AL3029">
        <v>80.228797491000904</v>
      </c>
      <c r="AM3029">
        <v>80.288625505411403</v>
      </c>
      <c r="AN3029">
        <v>0.99999999525753902</v>
      </c>
    </row>
    <row r="3030" spans="1:40" x14ac:dyDescent="0.25">
      <c r="A3030" t="str">
        <f>"20190303162609205"</f>
        <v>20190303162609205</v>
      </c>
      <c r="B3030" t="str">
        <f>"1551601569196584"</f>
        <v>1551601569196584</v>
      </c>
      <c r="C3030" t="s">
        <v>40</v>
      </c>
      <c r="D3030">
        <v>4.6226779999999996</v>
      </c>
      <c r="E3030">
        <v>0.52954129999999999</v>
      </c>
      <c r="F3030" t="s">
        <v>46</v>
      </c>
      <c r="G3030">
        <v>-199.744</v>
      </c>
      <c r="H3030" s="1">
        <v>2.391828E-6</v>
      </c>
      <c r="I3030">
        <v>212.83580000000001</v>
      </c>
      <c r="J3030">
        <v>-217.80459999999999</v>
      </c>
      <c r="K3030">
        <v>1.1187450000000001</v>
      </c>
      <c r="L3030">
        <v>216.89609999999999</v>
      </c>
      <c r="M3030">
        <v>0.99976790000000004</v>
      </c>
      <c r="N3030">
        <v>-1.32777E-2</v>
      </c>
      <c r="O3030">
        <v>1.6972069999999999E-2</v>
      </c>
      <c r="P3030">
        <v>0.97599230000000003</v>
      </c>
      <c r="Q3030">
        <v>0.1574875</v>
      </c>
      <c r="R3030">
        <v>-0.15045639999999999</v>
      </c>
      <c r="S3030">
        <v>3.0025019999999998</v>
      </c>
      <c r="T3030">
        <v>-0.18227660000000001</v>
      </c>
      <c r="U3030">
        <v>-0.66079709999999903</v>
      </c>
      <c r="V3030">
        <v>0.16794129999999999</v>
      </c>
      <c r="W3030">
        <v>0.16946989999999901</v>
      </c>
      <c r="X3030">
        <v>0.97112080000000001</v>
      </c>
      <c r="Y3030">
        <v>0.2309677</v>
      </c>
      <c r="Z3030">
        <v>-9.2702310000000003E-3</v>
      </c>
      <c r="AA3030">
        <v>0.97291729999999998</v>
      </c>
      <c r="AB3030">
        <v>30</v>
      </c>
      <c r="AC3030">
        <v>18.060599999999901</v>
      </c>
      <c r="AD3030">
        <v>-1.118742608172</v>
      </c>
      <c r="AE3030">
        <v>-4.0602999999999803</v>
      </c>
      <c r="AF3030">
        <v>4.3503783491394596</v>
      </c>
      <c r="AG3030">
        <v>-1.118742608172</v>
      </c>
      <c r="AH3030">
        <v>17.923615543266099</v>
      </c>
      <c r="AI3030">
        <v>93.471087138210606</v>
      </c>
      <c r="AJ3030">
        <v>76.357126802246</v>
      </c>
      <c r="AK3030">
        <v>18.477915763061901</v>
      </c>
      <c r="AL3030">
        <v>80.243000319872905</v>
      </c>
      <c r="AM3030">
        <v>80.188564596489002</v>
      </c>
      <c r="AN3030">
        <v>0.99999996772216904</v>
      </c>
    </row>
    <row r="3031" spans="1:40" x14ac:dyDescent="0.25">
      <c r="A3031" t="str">
        <f>"20190303162609238"</f>
        <v>20190303162609238</v>
      </c>
      <c r="B3031" t="str">
        <f>"1551601569226839"</f>
        <v>1551601569226839</v>
      </c>
      <c r="C3031" t="s">
        <v>40</v>
      </c>
      <c r="D3031">
        <v>4.6358189999999997</v>
      </c>
      <c r="E3031">
        <v>0.52984439999999999</v>
      </c>
      <c r="F3031" t="s">
        <v>46</v>
      </c>
      <c r="G3031">
        <v>-199.16749999999999</v>
      </c>
      <c r="H3031" s="1">
        <v>2.5048889999999998E-6</v>
      </c>
      <c r="I3031">
        <v>212.7124</v>
      </c>
      <c r="J3031">
        <v>-217.34110000000001</v>
      </c>
      <c r="K3031">
        <v>1.1184719999999999</v>
      </c>
      <c r="L3031">
        <v>216.89859999999999</v>
      </c>
      <c r="M3031">
        <v>0.99983869999999997</v>
      </c>
      <c r="N3031">
        <v>-1.3287820000000001E-2</v>
      </c>
      <c r="O3031">
        <v>1.20845E-2</v>
      </c>
      <c r="P3031">
        <v>0.97481930000000006</v>
      </c>
      <c r="Q3031">
        <v>0.15513440000000001</v>
      </c>
      <c r="R3031">
        <v>-0.16018929999999901</v>
      </c>
      <c r="S3031">
        <v>2.9990540000000001</v>
      </c>
      <c r="T3031">
        <v>-0.18002650000000001</v>
      </c>
      <c r="U3031">
        <v>-0.67324830000000002</v>
      </c>
      <c r="V3031">
        <v>0.17299529999999999</v>
      </c>
      <c r="W3031">
        <v>0.16698009999999999</v>
      </c>
      <c r="X3031">
        <v>0.97066490000000005</v>
      </c>
      <c r="Y3031">
        <v>0.2303132</v>
      </c>
      <c r="Z3031">
        <v>-8.9300300000000003E-3</v>
      </c>
      <c r="AA3031">
        <v>0.97307560000000004</v>
      </c>
      <c r="AB3031">
        <v>30</v>
      </c>
      <c r="AC3031">
        <v>18.1736</v>
      </c>
      <c r="AD3031">
        <v>-1.1184694951109999</v>
      </c>
      <c r="AE3031">
        <v>-4.1861999999999799</v>
      </c>
      <c r="AF3031">
        <v>4.3897435902960504</v>
      </c>
      <c r="AG3031">
        <v>-1.1184694951109999</v>
      </c>
      <c r="AH3031">
        <v>18.056734050581898</v>
      </c>
      <c r="AI3031">
        <v>93.444412257387299</v>
      </c>
      <c r="AJ3031">
        <v>76.335987856279303</v>
      </c>
      <c r="AK3031">
        <v>18.6162957479055</v>
      </c>
      <c r="AL3031">
        <v>80.387718501761299</v>
      </c>
      <c r="AM3031">
        <v>79.8946480725199</v>
      </c>
      <c r="AN3031">
        <v>1.00000003785505</v>
      </c>
    </row>
    <row r="3032" spans="1:40" x14ac:dyDescent="0.25">
      <c r="A3032" t="str">
        <f>"20190303162609264"</f>
        <v>20190303162609264</v>
      </c>
      <c r="B3032" t="str">
        <f>"1551601569256120"</f>
        <v>1551601569256120</v>
      </c>
      <c r="C3032" t="s">
        <v>40</v>
      </c>
      <c r="D3032">
        <v>4.6763830000000004</v>
      </c>
      <c r="E3032">
        <v>0.53011239999999904</v>
      </c>
      <c r="F3032" t="s">
        <v>46</v>
      </c>
      <c r="G3032">
        <v>-199.6096</v>
      </c>
      <c r="H3032" s="1">
        <v>2.4248800000000002E-6</v>
      </c>
      <c r="I3032">
        <v>212.7304</v>
      </c>
      <c r="J3032">
        <v>-216.9795</v>
      </c>
      <c r="K3032">
        <v>1.118304</v>
      </c>
      <c r="L3032">
        <v>216.89850000000001</v>
      </c>
      <c r="M3032">
        <v>0.99987990000000004</v>
      </c>
      <c r="N3032">
        <v>-1.329441E-2</v>
      </c>
      <c r="O3032">
        <v>7.9667169999999999E-3</v>
      </c>
      <c r="P3032">
        <v>0.97386589999999995</v>
      </c>
      <c r="Q3032">
        <v>0.15448819999999999</v>
      </c>
      <c r="R3032">
        <v>-0.16649079999999999</v>
      </c>
      <c r="S3032">
        <v>2.991943</v>
      </c>
      <c r="T3032">
        <v>-0.18872630000000001</v>
      </c>
      <c r="U3032">
        <v>-0.70332340000000004</v>
      </c>
      <c r="V3032">
        <v>0.17534279999999999</v>
      </c>
      <c r="W3032">
        <v>0.1662527</v>
      </c>
      <c r="X3032">
        <v>0.97036840000000002</v>
      </c>
      <c r="Y3032">
        <v>0.23603150000000001</v>
      </c>
      <c r="Z3032">
        <v>-9.3200580000000009E-3</v>
      </c>
      <c r="AA3032">
        <v>0.97170069999999997</v>
      </c>
      <c r="AB3032">
        <v>30</v>
      </c>
      <c r="AC3032">
        <v>17.369900000000001</v>
      </c>
      <c r="AD3032">
        <v>-1.1183015751200001</v>
      </c>
      <c r="AE3032">
        <v>-4.1681000000000097</v>
      </c>
      <c r="AF3032">
        <v>4.2895489429672198</v>
      </c>
      <c r="AG3032">
        <v>-1.1183015751200001</v>
      </c>
      <c r="AH3032">
        <v>17.268459243273099</v>
      </c>
      <c r="AI3032">
        <v>93.596295043318307</v>
      </c>
      <c r="AJ3032">
        <v>76.049870698015994</v>
      </c>
      <c r="AK3032">
        <v>17.828362605231298</v>
      </c>
      <c r="AL3032">
        <v>80.429985379487405</v>
      </c>
      <c r="AM3032">
        <v>79.757341043393495</v>
      </c>
      <c r="AN3032">
        <v>0.99999994474384302</v>
      </c>
    </row>
    <row r="3033" spans="1:40" x14ac:dyDescent="0.25">
      <c r="A3033" t="str">
        <f>"20190303162609288"</f>
        <v>20190303162609288</v>
      </c>
      <c r="B3033" t="str">
        <f>"1551601569276616"</f>
        <v>1551601569276616</v>
      </c>
      <c r="C3033" t="s">
        <v>40</v>
      </c>
      <c r="D3033">
        <v>4.6886479999999997</v>
      </c>
      <c r="E3033">
        <v>0.53008869999999997</v>
      </c>
      <c r="F3033" t="s">
        <v>46</v>
      </c>
      <c r="G3033">
        <v>-199.43879999999999</v>
      </c>
      <c r="H3033" s="1">
        <v>2.4626930000000002E-6</v>
      </c>
      <c r="I3033">
        <v>212.64439999999999</v>
      </c>
      <c r="J3033">
        <v>-216.6703</v>
      </c>
      <c r="K3033">
        <v>1.1181970000000001</v>
      </c>
      <c r="L3033">
        <v>216.8972</v>
      </c>
      <c r="M3033">
        <v>0.99990239999999997</v>
      </c>
      <c r="N3033">
        <v>-1.329932E-2</v>
      </c>
      <c r="O3033">
        <v>4.299242E-3</v>
      </c>
      <c r="P3033">
        <v>0.97262850000000001</v>
      </c>
      <c r="Q3033">
        <v>0.15631049999999999</v>
      </c>
      <c r="R3033">
        <v>-0.1719339</v>
      </c>
      <c r="S3033">
        <v>2.9868769999999998</v>
      </c>
      <c r="T3033">
        <v>-0.19042780000000001</v>
      </c>
      <c r="U3033">
        <v>-0.72439580000000003</v>
      </c>
      <c r="V3033">
        <v>0.1772717</v>
      </c>
      <c r="W3033">
        <v>0.16800909999999999</v>
      </c>
      <c r="X3033">
        <v>0.9697152</v>
      </c>
      <c r="Y3033">
        <v>0.2393052</v>
      </c>
      <c r="Z3033">
        <v>-9.3417410000000006E-3</v>
      </c>
      <c r="AA3033">
        <v>0.97089950000000003</v>
      </c>
      <c r="AB3033">
        <v>30</v>
      </c>
      <c r="AC3033">
        <v>17.2315</v>
      </c>
      <c r="AD3033">
        <v>-1.1181945373069999</v>
      </c>
      <c r="AE3033">
        <v>-4.2527999999999997</v>
      </c>
      <c r="AF3033">
        <v>4.3097431489578604</v>
      </c>
      <c r="AG3033">
        <v>-1.1181945373069999</v>
      </c>
      <c r="AH3033">
        <v>17.145002380039301</v>
      </c>
      <c r="AI3033">
        <v>93.619257176722101</v>
      </c>
      <c r="AJ3033">
        <v>75.889890267135499</v>
      </c>
      <c r="AK3033">
        <v>17.713705192443701</v>
      </c>
      <c r="AL3033">
        <v>80.327915374417799</v>
      </c>
      <c r="AM3033">
        <v>79.640265289997899</v>
      </c>
      <c r="AN3033">
        <v>0.99999994120736801</v>
      </c>
    </row>
    <row r="3034" spans="1:40" x14ac:dyDescent="0.25">
      <c r="A3034" t="str">
        <f>"20190303162609312"</f>
        <v>20190303162609312</v>
      </c>
      <c r="B3034" t="str">
        <f>"1551601569306872"</f>
        <v>1551601569306872</v>
      </c>
      <c r="C3034" t="s">
        <v>40</v>
      </c>
      <c r="D3034">
        <v>4.7128019999999999</v>
      </c>
      <c r="E3034">
        <v>0.53020389999999995</v>
      </c>
      <c r="F3034" t="s">
        <v>46</v>
      </c>
      <c r="G3034">
        <v>-198.7055</v>
      </c>
      <c r="H3034" s="1">
        <v>2.6108289999999998E-6</v>
      </c>
      <c r="I3034">
        <v>212.43790000000001</v>
      </c>
      <c r="J3034">
        <v>-216.34289999999999</v>
      </c>
      <c r="K3034">
        <v>1.118085</v>
      </c>
      <c r="L3034">
        <v>216.89429999999999</v>
      </c>
      <c r="M3034">
        <v>0.99991149999999995</v>
      </c>
      <c r="N3034">
        <v>-1.330449E-2</v>
      </c>
      <c r="O3034">
        <v>2.6189220000000002E-4</v>
      </c>
      <c r="P3034">
        <v>0.97117330000000002</v>
      </c>
      <c r="Q3034">
        <v>0.15864690000000001</v>
      </c>
      <c r="R3034">
        <v>-0.17791479999999901</v>
      </c>
      <c r="S3034">
        <v>2.9833530000000001</v>
      </c>
      <c r="T3034">
        <v>-0.1856951</v>
      </c>
      <c r="U3034">
        <v>-0.74053959999999996</v>
      </c>
      <c r="V3034">
        <v>0.17939140000000001</v>
      </c>
      <c r="W3034">
        <v>0.170274799999999</v>
      </c>
      <c r="X3034">
        <v>0.96892990000000001</v>
      </c>
      <c r="Y3034">
        <v>0.2406296</v>
      </c>
      <c r="Z3034">
        <v>-9.0092209999999995E-3</v>
      </c>
      <c r="AA3034">
        <v>0.97057519999999997</v>
      </c>
      <c r="AB3034">
        <v>30</v>
      </c>
      <c r="AC3034">
        <v>17.6373999999999</v>
      </c>
      <c r="AD3034">
        <v>-1.1180823891709999</v>
      </c>
      <c r="AE3034">
        <v>-4.4563999999999702</v>
      </c>
      <c r="AF3034">
        <v>4.4442313730035998</v>
      </c>
      <c r="AG3034">
        <v>-1.1180823891709999</v>
      </c>
      <c r="AH3034">
        <v>17.569862449997</v>
      </c>
      <c r="AI3034">
        <v>93.530294170854006</v>
      </c>
      <c r="AJ3034">
        <v>75.804987479903005</v>
      </c>
      <c r="AK3034">
        <v>18.157680667904099</v>
      </c>
      <c r="AL3034">
        <v>80.1962027802644</v>
      </c>
      <c r="AM3034">
        <v>79.510813500543904</v>
      </c>
      <c r="AN3034">
        <v>0.99999996651150402</v>
      </c>
    </row>
    <row r="3035" spans="1:40" x14ac:dyDescent="0.25">
      <c r="A3035" t="str">
        <f>"20190303162609333"</f>
        <v>20190303162609333</v>
      </c>
      <c r="B3035" t="str">
        <f>"1551601569326392"</f>
        <v>1551601569326392</v>
      </c>
      <c r="C3035" t="s">
        <v>40</v>
      </c>
      <c r="D3035">
        <v>4.6332760000000004</v>
      </c>
      <c r="E3035">
        <v>0.53024969999999905</v>
      </c>
      <c r="F3035" t="s">
        <v>46</v>
      </c>
      <c r="G3035">
        <v>-197.6927</v>
      </c>
      <c r="H3035" s="1">
        <v>2.8165009999999999E-6</v>
      </c>
      <c r="I3035">
        <v>212.1403</v>
      </c>
      <c r="J3035">
        <v>-216.04949999999999</v>
      </c>
      <c r="K3035">
        <v>1.1179809999999999</v>
      </c>
      <c r="L3035">
        <v>216.8905</v>
      </c>
      <c r="M3035">
        <v>0.9999053</v>
      </c>
      <c r="N3035">
        <v>-1.3309970000000001E-2</v>
      </c>
      <c r="O3035">
        <v>-3.4887970000000001E-3</v>
      </c>
      <c r="P3035">
        <v>0.97011579999999997</v>
      </c>
      <c r="Q3035">
        <v>0.15960629999999901</v>
      </c>
      <c r="R3035">
        <v>-0.1827607</v>
      </c>
      <c r="S3035">
        <v>2.9791110000000001</v>
      </c>
      <c r="T3035">
        <v>-0.17859829999999999</v>
      </c>
      <c r="U3035">
        <v>-0.75938419999999995</v>
      </c>
      <c r="V3035">
        <v>0.18064949999999999</v>
      </c>
      <c r="W3035">
        <v>0.17117779999999999</v>
      </c>
      <c r="X3035">
        <v>0.96853699999999998</v>
      </c>
      <c r="Y3035">
        <v>0.24312</v>
      </c>
      <c r="Z3035">
        <v>-8.6519270000000002E-3</v>
      </c>
      <c r="AA3035">
        <v>0.96995759999999998</v>
      </c>
      <c r="AB3035">
        <v>30</v>
      </c>
      <c r="AC3035">
        <v>18.3568</v>
      </c>
      <c r="AD3035">
        <v>-1.1179781834989999</v>
      </c>
      <c r="AE3035">
        <v>-4.7502000000000004</v>
      </c>
      <c r="AF3035">
        <v>4.6698880896444601</v>
      </c>
      <c r="AG3035">
        <v>-1.1179781834989999</v>
      </c>
      <c r="AH3035">
        <v>18.309611572374799</v>
      </c>
      <c r="AI3035">
        <v>93.385989560592407</v>
      </c>
      <c r="AJ3035">
        <v>75.691694671362896</v>
      </c>
      <c r="AK3035">
        <v>18.928803605083498</v>
      </c>
      <c r="AL3035">
        <v>80.143694116733897</v>
      </c>
      <c r="AM3035">
        <v>79.4347127760185</v>
      </c>
      <c r="AN3035">
        <v>1.0000000007160399</v>
      </c>
    </row>
    <row r="3036" spans="1:40" x14ac:dyDescent="0.25">
      <c r="A3036" t="str">
        <f>"20190303162609355"</f>
        <v>20190303162609355</v>
      </c>
      <c r="B3036" t="str">
        <f>"1551601569346887"</f>
        <v>1551601569346887</v>
      </c>
      <c r="C3036" t="s">
        <v>40</v>
      </c>
      <c r="D3036">
        <v>4.7122580000000003</v>
      </c>
      <c r="E3036">
        <v>0.53029630000000005</v>
      </c>
      <c r="F3036" t="s">
        <v>46</v>
      </c>
      <c r="G3036">
        <v>-197.09950000000001</v>
      </c>
      <c r="H3036" s="1">
        <v>2.9380329999999999E-6</v>
      </c>
      <c r="I3036">
        <v>211.9537</v>
      </c>
      <c r="J3036">
        <v>-215.7543</v>
      </c>
      <c r="K3036">
        <v>1.117864</v>
      </c>
      <c r="L3036">
        <v>216.88550000000001</v>
      </c>
      <c r="M3036">
        <v>0.99988410000000005</v>
      </c>
      <c r="N3036">
        <v>-1.331617E-2</v>
      </c>
      <c r="O3036">
        <v>-7.3801119999999899E-3</v>
      </c>
      <c r="P3036">
        <v>0.96898030000000002</v>
      </c>
      <c r="Q3036">
        <v>0.1600482</v>
      </c>
      <c r="R3036">
        <v>-0.18831349999999999</v>
      </c>
      <c r="S3036">
        <v>2.975266</v>
      </c>
      <c r="T3036">
        <v>-0.17553009999999999</v>
      </c>
      <c r="U3036">
        <v>-0.77511600000000003</v>
      </c>
      <c r="V3036">
        <v>0.1824818</v>
      </c>
      <c r="W3036">
        <v>0.1715565</v>
      </c>
      <c r="X3036">
        <v>0.96812640000000005</v>
      </c>
      <c r="Y3036">
        <v>0.2444703</v>
      </c>
      <c r="Z3036">
        <v>-8.4121709999999995E-3</v>
      </c>
      <c r="AA3036">
        <v>0.96962029999999999</v>
      </c>
      <c r="AB3036">
        <v>30</v>
      </c>
      <c r="AC3036">
        <v>18.654799999999899</v>
      </c>
      <c r="AD3036">
        <v>-1.117861061967</v>
      </c>
      <c r="AE3036">
        <v>-4.9318000000000097</v>
      </c>
      <c r="AF3036">
        <v>4.7779429715024904</v>
      </c>
      <c r="AG3036">
        <v>-1.117861061967</v>
      </c>
      <c r="AH3036">
        <v>18.628171528910499</v>
      </c>
      <c r="AI3036">
        <v>93.326722394070103</v>
      </c>
      <c r="AJ3036">
        <v>75.614308984643301</v>
      </c>
      <c r="AK3036">
        <v>19.263621853205699</v>
      </c>
      <c r="AL3036">
        <v>80.121670238718593</v>
      </c>
      <c r="AM3036">
        <v>79.325577903728401</v>
      </c>
      <c r="AN3036">
        <v>0.99999998320022498</v>
      </c>
    </row>
    <row r="3037" spans="1:40" x14ac:dyDescent="0.25">
      <c r="A3037" t="str">
        <f>"20190303162609380"</f>
        <v>20190303162609380</v>
      </c>
      <c r="B3037" t="str">
        <f>"1551601569366408"</f>
        <v>1551601569366408</v>
      </c>
      <c r="C3037" t="s">
        <v>40</v>
      </c>
      <c r="D3037">
        <v>4.8462519999999998</v>
      </c>
      <c r="E3037">
        <v>0.530113099999999</v>
      </c>
      <c r="F3037" t="s">
        <v>46</v>
      </c>
      <c r="G3037">
        <v>-196.64410000000001</v>
      </c>
      <c r="H3037" s="1">
        <v>3.0328020000000001E-6</v>
      </c>
      <c r="I3037">
        <v>211.7938</v>
      </c>
      <c r="J3037">
        <v>-215.43100000000001</v>
      </c>
      <c r="K3037">
        <v>1.1177429999999999</v>
      </c>
      <c r="L3037">
        <v>216.8785</v>
      </c>
      <c r="M3037">
        <v>0.99984200000000001</v>
      </c>
      <c r="N3037">
        <v>-1.332294E-2</v>
      </c>
      <c r="O3037">
        <v>-1.1771E-2</v>
      </c>
      <c r="P3037">
        <v>0.96752749999999998</v>
      </c>
      <c r="Q3037">
        <v>0.15998099999999901</v>
      </c>
      <c r="R3037">
        <v>-0.19569600000000001</v>
      </c>
      <c r="S3037">
        <v>2.9708860000000001</v>
      </c>
      <c r="T3037">
        <v>-0.173783299999999</v>
      </c>
      <c r="U3037">
        <v>-0.79156490000000002</v>
      </c>
      <c r="V3037">
        <v>0.1856671</v>
      </c>
      <c r="W3037">
        <v>0.1714099</v>
      </c>
      <c r="X3037">
        <v>0.96754660000000003</v>
      </c>
      <c r="Y3037">
        <v>0.2455907</v>
      </c>
      <c r="Z3037">
        <v>-8.1980230000000005E-3</v>
      </c>
      <c r="AA3037">
        <v>0.96933899999999995</v>
      </c>
      <c r="AB3037">
        <v>30</v>
      </c>
      <c r="AC3037">
        <v>18.7868999999999</v>
      </c>
      <c r="AD3037">
        <v>-1.117739967198</v>
      </c>
      <c r="AE3037">
        <v>-5.08469999999999</v>
      </c>
      <c r="AF3037">
        <v>4.8472006833184897</v>
      </c>
      <c r="AG3037">
        <v>-1.117739967198</v>
      </c>
      <c r="AH3037">
        <v>18.783504821089799</v>
      </c>
      <c r="AI3037">
        <v>93.297672273600696</v>
      </c>
      <c r="AJ3037">
        <v>75.530150322530005</v>
      </c>
      <c r="AK3037">
        <v>19.431025460910199</v>
      </c>
      <c r="AL3037">
        <v>80.130196505015903</v>
      </c>
      <c r="AM3037">
        <v>79.137291491591697</v>
      </c>
      <c r="AN3037">
        <v>1.0000000245059799</v>
      </c>
    </row>
    <row r="3038" spans="1:40" x14ac:dyDescent="0.25">
      <c r="A3038" t="str">
        <f>"20190303162609405"</f>
        <v>20190303162609405</v>
      </c>
      <c r="B3038" t="str">
        <f>"1551601569396664"</f>
        <v>1551601569396664</v>
      </c>
      <c r="C3038" t="s">
        <v>40</v>
      </c>
      <c r="D3038">
        <v>4.7692100000000002</v>
      </c>
      <c r="E3038">
        <v>0.56118859999999904</v>
      </c>
      <c r="F3038" t="s">
        <v>46</v>
      </c>
      <c r="G3038">
        <v>-196.26179999999999</v>
      </c>
      <c r="H3038" s="1">
        <v>3.1155020000000001E-6</v>
      </c>
      <c r="I3038">
        <v>211.62350000000001</v>
      </c>
      <c r="J3038">
        <v>-215.07570000000001</v>
      </c>
      <c r="K3038">
        <v>1.117629</v>
      </c>
      <c r="L3038">
        <v>216.8689</v>
      </c>
      <c r="M3038">
        <v>0.99977099999999997</v>
      </c>
      <c r="N3038">
        <v>-1.332991E-2</v>
      </c>
      <c r="O3038">
        <v>-1.6750020000000001E-2</v>
      </c>
      <c r="P3038">
        <v>0.96595299999999995</v>
      </c>
      <c r="Q3038">
        <v>0.16057179999999999</v>
      </c>
      <c r="R3038">
        <v>-0.20285980000000001</v>
      </c>
      <c r="S3038">
        <v>2.964874</v>
      </c>
      <c r="T3038">
        <v>-0.17287920000000001</v>
      </c>
      <c r="U3038">
        <v>-0.81278989999999995</v>
      </c>
      <c r="V3038">
        <v>0.1880761</v>
      </c>
      <c r="W3038">
        <v>0.1719299</v>
      </c>
      <c r="X3038">
        <v>0.96698890000000004</v>
      </c>
      <c r="Y3038">
        <v>0.24772230000000001</v>
      </c>
      <c r="Z3038">
        <v>-8.0299789999999996E-3</v>
      </c>
      <c r="AA3038">
        <v>0.96879780000000004</v>
      </c>
      <c r="AB3038">
        <v>30</v>
      </c>
      <c r="AC3038">
        <v>18.8139</v>
      </c>
      <c r="AD3038">
        <v>-1.117625884498</v>
      </c>
      <c r="AE3038">
        <v>-5.2453999999999796</v>
      </c>
      <c r="AF3038">
        <v>4.9134146136612404</v>
      </c>
      <c r="AG3038">
        <v>-1.117625884498</v>
      </c>
      <c r="AH3038">
        <v>18.837448140668499</v>
      </c>
      <c r="AI3038">
        <v>93.285701769139493</v>
      </c>
      <c r="AJ3038">
        <v>75.381126010622907</v>
      </c>
      <c r="AK3038">
        <v>19.499748286473199</v>
      </c>
      <c r="AL3038">
        <v>80.099953699905797</v>
      </c>
      <c r="AM3038">
        <v>78.993577083469205</v>
      </c>
      <c r="AN3038">
        <v>1.00000002131421</v>
      </c>
    </row>
    <row r="3039" spans="1:40" x14ac:dyDescent="0.25">
      <c r="A3039" t="str">
        <f>"20190303162609426"</f>
        <v>20190303162609426</v>
      </c>
      <c r="B3039" t="str">
        <f>"1551601569416184"</f>
        <v>1551601569416184</v>
      </c>
      <c r="C3039" t="s">
        <v>40</v>
      </c>
      <c r="D3039">
        <v>4.7401540000000004</v>
      </c>
      <c r="E3039">
        <v>0.57779480000000005</v>
      </c>
      <c r="F3039" t="s">
        <v>46</v>
      </c>
      <c r="G3039">
        <v>-194.49270000000001</v>
      </c>
      <c r="H3039" s="1">
        <v>3.7054909999999999E-6</v>
      </c>
      <c r="I3039">
        <v>209.23599999999999</v>
      </c>
      <c r="J3039">
        <v>-214.78229999999999</v>
      </c>
      <c r="K3039">
        <v>1.1175569999999999</v>
      </c>
      <c r="L3039">
        <v>216.8595</v>
      </c>
      <c r="M3039">
        <v>0.99969180000000002</v>
      </c>
      <c r="N3039">
        <v>-1.3334769999999999E-2</v>
      </c>
      <c r="O3039">
        <v>-2.0946139999999999E-2</v>
      </c>
      <c r="P3039">
        <v>0.96459079999999997</v>
      </c>
      <c r="Q3039">
        <v>0.16016429999999901</v>
      </c>
      <c r="R3039">
        <v>-0.2095532</v>
      </c>
      <c r="S3039">
        <v>2.9056850000000001</v>
      </c>
      <c r="T3039">
        <v>-0.15777369999999999</v>
      </c>
      <c r="U3039">
        <v>-1.077515</v>
      </c>
      <c r="V3039">
        <v>0.1907536</v>
      </c>
      <c r="W3039">
        <v>0.1714658</v>
      </c>
      <c r="X3039">
        <v>0.96654669999999998</v>
      </c>
      <c r="Y3039">
        <v>0.32745220000000003</v>
      </c>
      <c r="Z3039">
        <v>-1.002509E-2</v>
      </c>
      <c r="AA3039">
        <v>0.94481459999999995</v>
      </c>
      <c r="AB3039">
        <v>30</v>
      </c>
      <c r="AC3039">
        <v>20.289599999999901</v>
      </c>
      <c r="AD3039">
        <v>-1.1175532945090001</v>
      </c>
      <c r="AE3039">
        <v>-7.6234999999999999</v>
      </c>
      <c r="AF3039">
        <v>7.1777186412054501</v>
      </c>
      <c r="AG3039">
        <v>-1.1175532945090001</v>
      </c>
      <c r="AH3039">
        <v>20.390636341256499</v>
      </c>
      <c r="AI3039">
        <v>92.959426763442494</v>
      </c>
      <c r="AJ3039">
        <v>70.607394840319898</v>
      </c>
      <c r="AK3039">
        <v>21.645937740364701</v>
      </c>
      <c r="AL3039">
        <v>80.126945195012098</v>
      </c>
      <c r="AM3039">
        <v>78.835815685344997</v>
      </c>
      <c r="AN3039">
        <v>0.99999998988174499</v>
      </c>
    </row>
    <row r="3040" spans="1:40" x14ac:dyDescent="0.25">
      <c r="A3040" t="str">
        <f>"20190303162609444"</f>
        <v>20190303162609444</v>
      </c>
      <c r="B3040" t="str">
        <f>"1551601569436680"</f>
        <v>1551601569436680</v>
      </c>
      <c r="C3040" t="s">
        <v>40</v>
      </c>
      <c r="D3040">
        <v>4.694</v>
      </c>
      <c r="E3040">
        <v>0.58416749999999995</v>
      </c>
      <c r="F3040" t="s">
        <v>46</v>
      </c>
      <c r="G3040">
        <v>-193.07689999999999</v>
      </c>
      <c r="H3040" s="1">
        <v>4.436908E-6</v>
      </c>
      <c r="I3040">
        <v>207.58150000000001</v>
      </c>
      <c r="J3040">
        <v>-214.53890000000001</v>
      </c>
      <c r="K3040">
        <v>1.1175040000000001</v>
      </c>
      <c r="L3040">
        <v>216.85079999999999</v>
      </c>
      <c r="M3040">
        <v>0.99961140000000004</v>
      </c>
      <c r="N3040">
        <v>-1.333818E-2</v>
      </c>
      <c r="O3040">
        <v>-2.4478819999999998E-2</v>
      </c>
      <c r="P3040">
        <v>0.96303649999999996</v>
      </c>
      <c r="Q3040">
        <v>0.16075410000000001</v>
      </c>
      <c r="R3040">
        <v>-0.2161458</v>
      </c>
      <c r="S3040">
        <v>2.8683010000000002</v>
      </c>
      <c r="T3040">
        <v>-0.1476808</v>
      </c>
      <c r="U3040">
        <v>-1.226059</v>
      </c>
      <c r="V3040">
        <v>0.19398270000000001</v>
      </c>
      <c r="W3040">
        <v>0.1719995</v>
      </c>
      <c r="X3040">
        <v>0.96580889999999997</v>
      </c>
      <c r="Y3040">
        <v>0.36989899999999998</v>
      </c>
      <c r="Z3040">
        <v>-1.0798139999999999E-2</v>
      </c>
      <c r="AA3040">
        <v>0.92900919999999998</v>
      </c>
      <c r="AB3040">
        <v>30</v>
      </c>
      <c r="AC3040">
        <v>21.462</v>
      </c>
      <c r="AD3040">
        <v>-1.1174995630919999</v>
      </c>
      <c r="AE3040">
        <v>-9.2692999999999799</v>
      </c>
      <c r="AF3040">
        <v>8.7211834096624692</v>
      </c>
      <c r="AG3040">
        <v>-1.1174995630919999</v>
      </c>
      <c r="AH3040">
        <v>21.6330591967271</v>
      </c>
      <c r="AI3040">
        <v>92.742958943948594</v>
      </c>
      <c r="AJ3040">
        <v>68.043592157020399</v>
      </c>
      <c r="AK3040">
        <v>23.351597280434198</v>
      </c>
      <c r="AL3040">
        <v>80.095905132558698</v>
      </c>
      <c r="AM3040">
        <v>78.643247910062996</v>
      </c>
      <c r="AN3040">
        <v>0.99999997360937398</v>
      </c>
    </row>
    <row r="3041" spans="1:40" x14ac:dyDescent="0.25">
      <c r="A3041" t="str">
        <f>"20190303162609469"</f>
        <v>20190303162609469</v>
      </c>
      <c r="B3041" t="str">
        <f>"1551601569456200"</f>
        <v>1551601569456200</v>
      </c>
      <c r="C3041" t="s">
        <v>40</v>
      </c>
      <c r="D3041">
        <v>4.7245910000000002</v>
      </c>
      <c r="E3041">
        <v>0.58656519999999901</v>
      </c>
      <c r="F3041" t="s">
        <v>46</v>
      </c>
      <c r="G3041">
        <v>-192.2629</v>
      </c>
      <c r="H3041" s="1">
        <v>4.9204039999999996E-6</v>
      </c>
      <c r="I3041">
        <v>206.7243</v>
      </c>
      <c r="J3041">
        <v>-214.20480000000001</v>
      </c>
      <c r="K3041">
        <v>1.117451</v>
      </c>
      <c r="L3041">
        <v>216.8373</v>
      </c>
      <c r="M3041">
        <v>0.99947900000000001</v>
      </c>
      <c r="N3041">
        <v>-1.3342339999999999E-2</v>
      </c>
      <c r="O3041">
        <v>-2.9392140000000001E-2</v>
      </c>
      <c r="P3041">
        <v>0.96122549999999995</v>
      </c>
      <c r="Q3041">
        <v>0.16034590000000001</v>
      </c>
      <c r="R3041">
        <v>-0.224355</v>
      </c>
      <c r="S3041">
        <v>2.848373</v>
      </c>
      <c r="T3041">
        <v>-0.14289160000000001</v>
      </c>
      <c r="U3041">
        <v>-1.2948459999999999</v>
      </c>
      <c r="V3041">
        <v>0.1974986</v>
      </c>
      <c r="W3041">
        <v>0.1715325</v>
      </c>
      <c r="X3041">
        <v>0.96517920000000001</v>
      </c>
      <c r="Y3041">
        <v>0.38638929999999999</v>
      </c>
      <c r="Z3041">
        <v>-1.090466E-2</v>
      </c>
      <c r="AA3041">
        <v>0.92227139999999996</v>
      </c>
      <c r="AB3041">
        <v>30</v>
      </c>
      <c r="AC3041">
        <v>21.9419</v>
      </c>
      <c r="AD3041">
        <v>-1.117446079596</v>
      </c>
      <c r="AE3041">
        <v>-10.113</v>
      </c>
      <c r="AF3041">
        <v>9.4434519212036392</v>
      </c>
      <c r="AG3041">
        <v>-1.117446079596</v>
      </c>
      <c r="AH3041">
        <v>22.182235677721</v>
      </c>
      <c r="AI3041">
        <v>92.653776508419895</v>
      </c>
      <c r="AJ3041">
        <v>66.939508621423698</v>
      </c>
      <c r="AK3041">
        <v>24.1346027435889</v>
      </c>
      <c r="AL3041">
        <v>80.123066114257398</v>
      </c>
      <c r="AM3041">
        <v>78.435562702423397</v>
      </c>
      <c r="AN3041">
        <v>0.99999999183542498</v>
      </c>
    </row>
    <row r="3042" spans="1:40" x14ac:dyDescent="0.25">
      <c r="A3042" t="str">
        <f>"20190303162609491"</f>
        <v>20190303162609491</v>
      </c>
      <c r="B3042" t="str">
        <f>"1551601569486456"</f>
        <v>1551601569486456</v>
      </c>
      <c r="C3042" t="s">
        <v>40</v>
      </c>
      <c r="D3042">
        <v>4.7682399999999996</v>
      </c>
      <c r="E3042">
        <v>0.58801759999999903</v>
      </c>
      <c r="F3042" t="s">
        <v>46</v>
      </c>
      <c r="G3042">
        <v>-192.1688</v>
      </c>
      <c r="H3042" s="1">
        <v>5.0434440000000002E-6</v>
      </c>
      <c r="I3042">
        <v>206.43530000000001</v>
      </c>
      <c r="J3042">
        <v>-213.91730000000001</v>
      </c>
      <c r="K3042">
        <v>1.1174059999999999</v>
      </c>
      <c r="L3042">
        <v>216.8244</v>
      </c>
      <c r="M3042">
        <v>0.99934440000000002</v>
      </c>
      <c r="N3042">
        <v>-1.334538E-2</v>
      </c>
      <c r="O3042">
        <v>-3.3657199999999901E-2</v>
      </c>
      <c r="P3042">
        <v>0.95937249999999996</v>
      </c>
      <c r="Q3042">
        <v>0.16046939999999901</v>
      </c>
      <c r="R3042">
        <v>-0.2320653</v>
      </c>
      <c r="S3042">
        <v>2.83284</v>
      </c>
      <c r="T3042">
        <v>-0.14365320000000001</v>
      </c>
      <c r="U3042">
        <v>-1.337234</v>
      </c>
      <c r="V3042">
        <v>0.20115160000000001</v>
      </c>
      <c r="W3042">
        <v>0.17160069999999999</v>
      </c>
      <c r="X3042">
        <v>0.96441239999999995</v>
      </c>
      <c r="Y3042">
        <v>0.39567170000000002</v>
      </c>
      <c r="Z3042">
        <v>-1.110828E-2</v>
      </c>
      <c r="AA3042">
        <v>0.91832480000000005</v>
      </c>
      <c r="AB3042">
        <v>30</v>
      </c>
      <c r="AC3042">
        <v>21.7485</v>
      </c>
      <c r="AD3042">
        <v>-1.1174009565559999</v>
      </c>
      <c r="AE3042">
        <v>-10.3890999999999</v>
      </c>
      <c r="AF3042">
        <v>9.6304555215490204</v>
      </c>
      <c r="AG3042">
        <v>-1.1174009565559999</v>
      </c>
      <c r="AH3042">
        <v>22.0385080119588</v>
      </c>
      <c r="AI3042">
        <v>92.660049744789305</v>
      </c>
      <c r="AJ3042">
        <v>66.395485227969402</v>
      </c>
      <c r="AK3042">
        <v>24.076754221518701</v>
      </c>
      <c r="AL3042">
        <v>80.119100030132401</v>
      </c>
      <c r="AM3042">
        <v>78.218481988180798</v>
      </c>
      <c r="AN3042">
        <v>1.0000000218484</v>
      </c>
    </row>
    <row r="3043" spans="1:40" x14ac:dyDescent="0.25">
      <c r="A3043" t="str">
        <f>"20190303162609513"</f>
        <v>20190303162609513</v>
      </c>
      <c r="B3043" t="str">
        <f>"1551601569505977"</f>
        <v>1551601569505977</v>
      </c>
      <c r="C3043" t="s">
        <v>40</v>
      </c>
      <c r="D3043">
        <v>4.768421</v>
      </c>
      <c r="E3043">
        <v>0.5883235</v>
      </c>
      <c r="F3043" t="s">
        <v>46</v>
      </c>
      <c r="G3043">
        <v>-192.44030000000001</v>
      </c>
      <c r="H3043" s="1">
        <v>4.9998139999999999E-6</v>
      </c>
      <c r="I3043">
        <v>206.38839999999999</v>
      </c>
      <c r="J3043">
        <v>-213.6112</v>
      </c>
      <c r="K3043">
        <v>1.1173869999999999</v>
      </c>
      <c r="L3043">
        <v>216.80930000000001</v>
      </c>
      <c r="M3043">
        <v>0.99918030000000002</v>
      </c>
      <c r="N3043">
        <v>-1.3347919999999999E-2</v>
      </c>
      <c r="O3043">
        <v>-3.8218870000000002E-2</v>
      </c>
      <c r="P3043">
        <v>0.95753940000000004</v>
      </c>
      <c r="Q3043">
        <v>0.16047929999999999</v>
      </c>
      <c r="R3043">
        <v>-0.23950959999999999</v>
      </c>
      <c r="S3043">
        <v>2.8201139999999998</v>
      </c>
      <c r="T3043">
        <v>-0.14672399999999999</v>
      </c>
      <c r="U3043">
        <v>-1.370331</v>
      </c>
      <c r="V3043">
        <v>0.2042563</v>
      </c>
      <c r="W3043">
        <v>0.17156450000000001</v>
      </c>
      <c r="X3043">
        <v>0.96376600000000001</v>
      </c>
      <c r="Y3043">
        <v>0.40180199999999999</v>
      </c>
      <c r="Z3043">
        <v>-1.132558E-2</v>
      </c>
      <c r="AA3043">
        <v>0.91565649999999998</v>
      </c>
      <c r="AB3043">
        <v>30</v>
      </c>
      <c r="AC3043">
        <v>21.1708999999999</v>
      </c>
      <c r="AD3043">
        <v>-1.117382000186</v>
      </c>
      <c r="AE3043">
        <v>-10.4209</v>
      </c>
      <c r="AF3043">
        <v>9.5825976465520402</v>
      </c>
      <c r="AG3043">
        <v>-1.117382000186</v>
      </c>
      <c r="AH3043">
        <v>21.505517311699499</v>
      </c>
      <c r="AI3043">
        <v>92.717195220104202</v>
      </c>
      <c r="AJ3043">
        <v>65.982827145551994</v>
      </c>
      <c r="AK3043">
        <v>23.570362641118798</v>
      </c>
      <c r="AL3043">
        <v>80.121204725351006</v>
      </c>
      <c r="AM3043">
        <v>78.034046266586103</v>
      </c>
      <c r="AN3043">
        <v>0.99999995825296895</v>
      </c>
    </row>
    <row r="3044" spans="1:40" x14ac:dyDescent="0.25">
      <c r="A3044" t="str">
        <f>"20190303162609538"</f>
        <v>20190303162609538</v>
      </c>
      <c r="B3044" t="str">
        <f>"1551601569526472"</f>
        <v>1551601569526472</v>
      </c>
      <c r="C3044" t="s">
        <v>40</v>
      </c>
      <c r="D3044">
        <v>4.7762409999999997</v>
      </c>
      <c r="E3044">
        <v>0.58833009999999997</v>
      </c>
      <c r="F3044" t="s">
        <v>46</v>
      </c>
      <c r="G3044">
        <v>-192.68209999999999</v>
      </c>
      <c r="H3044" s="1">
        <v>4.9319850000000002E-6</v>
      </c>
      <c r="I3044">
        <v>206.42859999999999</v>
      </c>
      <c r="J3044">
        <v>-213.27979999999999</v>
      </c>
      <c r="K3044">
        <v>1.1173729999999999</v>
      </c>
      <c r="L3044">
        <v>216.79140000000001</v>
      </c>
      <c r="M3044">
        <v>0.9989787</v>
      </c>
      <c r="N3044">
        <v>-1.334983E-2</v>
      </c>
      <c r="O3044">
        <v>-4.3169039999999999E-2</v>
      </c>
      <c r="P3044">
        <v>0.95530409999999999</v>
      </c>
      <c r="Q3044">
        <v>0.16160649999999999</v>
      </c>
      <c r="R3044">
        <v>-0.2475435</v>
      </c>
      <c r="S3044">
        <v>2.8095859999999999</v>
      </c>
      <c r="T3044">
        <v>-0.1500003</v>
      </c>
      <c r="U3044">
        <v>-1.393524</v>
      </c>
      <c r="V3044">
        <v>0.2076076</v>
      </c>
      <c r="W3044">
        <v>0.17264299999999999</v>
      </c>
      <c r="X3044">
        <v>0.96285690000000002</v>
      </c>
      <c r="Y3044">
        <v>0.4046747</v>
      </c>
      <c r="Z3044">
        <v>-1.1429959999999999E-2</v>
      </c>
      <c r="AA3044">
        <v>0.91438929999999996</v>
      </c>
      <c r="AB3044">
        <v>30</v>
      </c>
      <c r="AC3044">
        <v>20.5977</v>
      </c>
      <c r="AD3044">
        <v>-1.117368068015</v>
      </c>
      <c r="AE3044">
        <v>-10.3628</v>
      </c>
      <c r="AF3044">
        <v>9.4417033148316598</v>
      </c>
      <c r="AG3044">
        <v>-1.117368068015</v>
      </c>
      <c r="AH3044">
        <v>20.976626355100599</v>
      </c>
      <c r="AI3044">
        <v>92.780880208734004</v>
      </c>
      <c r="AJ3044">
        <v>65.767208972811204</v>
      </c>
      <c r="AK3044">
        <v>23.030699644739901</v>
      </c>
      <c r="AL3044">
        <v>80.058475295789606</v>
      </c>
      <c r="AM3044">
        <v>77.832375269405802</v>
      </c>
      <c r="AN3044">
        <v>0.99999996545218395</v>
      </c>
    </row>
    <row r="3045" spans="1:40" x14ac:dyDescent="0.25">
      <c r="A3045" t="str">
        <f>"20190303162609560"</f>
        <v>20190303162609560</v>
      </c>
      <c r="B3045" t="str">
        <f>"1551601569545992"</f>
        <v>1551601569545992</v>
      </c>
      <c r="C3045" t="s">
        <v>40</v>
      </c>
      <c r="D3045">
        <v>4.7909280000000001</v>
      </c>
      <c r="E3045">
        <v>0.58797010000000005</v>
      </c>
      <c r="F3045" t="s">
        <v>46</v>
      </c>
      <c r="G3045">
        <v>-192.3218</v>
      </c>
      <c r="H3045" s="1">
        <v>5.0963779999999998E-6</v>
      </c>
      <c r="I3045">
        <v>206.18960000000001</v>
      </c>
      <c r="J3045">
        <v>-212.98679999999999</v>
      </c>
      <c r="K3045">
        <v>1.117367</v>
      </c>
      <c r="L3045">
        <v>216.774</v>
      </c>
      <c r="M3045">
        <v>0.99877969999999905</v>
      </c>
      <c r="N3045">
        <v>-1.3350819999999999E-2</v>
      </c>
      <c r="O3045">
        <v>-4.7549250000000001E-2</v>
      </c>
      <c r="P3045">
        <v>0.95309840000000001</v>
      </c>
      <c r="Q3045">
        <v>0.16282749999999999</v>
      </c>
      <c r="R3045">
        <v>-0.2551291</v>
      </c>
      <c r="S3045">
        <v>2.798737</v>
      </c>
      <c r="T3045">
        <v>-0.14921389999999901</v>
      </c>
      <c r="U3045">
        <v>-1.4157709999999999</v>
      </c>
      <c r="V3045">
        <v>0.21106920000000001</v>
      </c>
      <c r="W3045">
        <v>0.17381750000000001</v>
      </c>
      <c r="X3045">
        <v>0.96189250000000004</v>
      </c>
      <c r="Y3045">
        <v>0.4078811</v>
      </c>
      <c r="Z3045">
        <v>-1.134664E-2</v>
      </c>
      <c r="AA3045">
        <v>0.91296460000000002</v>
      </c>
      <c r="AB3045">
        <v>30</v>
      </c>
      <c r="AC3045">
        <v>20.6649999999999</v>
      </c>
      <c r="AD3045">
        <v>-1.1173619036219999</v>
      </c>
      <c r="AE3045">
        <v>-10.584399999999899</v>
      </c>
      <c r="AF3045">
        <v>9.5675743568132798</v>
      </c>
      <c r="AG3045">
        <v>-1.1173619036219999</v>
      </c>
      <c r="AH3045">
        <v>21.0960878350173</v>
      </c>
      <c r="AI3045">
        <v>92.761603869179496</v>
      </c>
      <c r="AJ3045">
        <v>65.604585034444597</v>
      </c>
      <c r="AK3045">
        <v>23.191203044249001</v>
      </c>
      <c r="AL3045">
        <v>79.990148290264997</v>
      </c>
      <c r="AM3045">
        <v>77.623671942431102</v>
      </c>
      <c r="AN3045">
        <v>0.99999995602556901</v>
      </c>
    </row>
    <row r="3046" spans="1:40" x14ac:dyDescent="0.25">
      <c r="A3046" t="str">
        <f>"20190303162609585"</f>
        <v>20190303162609585</v>
      </c>
      <c r="B3046" t="str">
        <f>"1551601569576248"</f>
        <v>1551601569576248</v>
      </c>
      <c r="C3046" t="s">
        <v>40</v>
      </c>
      <c r="D3046">
        <v>4.7592230000000004</v>
      </c>
      <c r="E3046">
        <v>0.58745530000000001</v>
      </c>
      <c r="F3046" t="s">
        <v>46</v>
      </c>
      <c r="G3046">
        <v>-192.0934</v>
      </c>
      <c r="H3046" s="1">
        <v>5.2034159999999996E-6</v>
      </c>
      <c r="I3046">
        <v>206.0301</v>
      </c>
      <c r="J3046">
        <v>-212.64859999999999</v>
      </c>
      <c r="K3046">
        <v>1.117364</v>
      </c>
      <c r="L3046">
        <v>216.75239999999999</v>
      </c>
      <c r="M3046">
        <v>0.99852609999999997</v>
      </c>
      <c r="N3046">
        <v>-1.335154E-2</v>
      </c>
      <c r="O3046">
        <v>-5.2606550000000002E-2</v>
      </c>
      <c r="P3046">
        <v>0.95098159999999998</v>
      </c>
      <c r="Q3046">
        <v>0.16234000000000001</v>
      </c>
      <c r="R3046">
        <v>-0.26321099999999997</v>
      </c>
      <c r="S3046">
        <v>2.7891689999999998</v>
      </c>
      <c r="T3046">
        <v>-0.149162299999999</v>
      </c>
      <c r="U3046">
        <v>-1.4342649999999999</v>
      </c>
      <c r="V3046">
        <v>0.2143629</v>
      </c>
      <c r="W3046">
        <v>0.17329159999999999</v>
      </c>
      <c r="X3046">
        <v>0.96125879999999997</v>
      </c>
      <c r="Y3046">
        <v>0.40931919999999999</v>
      </c>
      <c r="Z3046">
        <v>-1.121831E-2</v>
      </c>
      <c r="AA3046">
        <v>0.91232230000000003</v>
      </c>
      <c r="AB3046">
        <v>30</v>
      </c>
      <c r="AC3046">
        <v>20.5551999999999</v>
      </c>
      <c r="AD3046">
        <v>-1.1173587965839999</v>
      </c>
      <c r="AE3046">
        <v>-10.722299999999899</v>
      </c>
      <c r="AF3046">
        <v>9.60370795576946</v>
      </c>
      <c r="AG3046">
        <v>-1.1173587965839999</v>
      </c>
      <c r="AH3046">
        <v>21.041968770638299</v>
      </c>
      <c r="AI3046">
        <v>92.765684705941297</v>
      </c>
      <c r="AJ3046">
        <v>65.4676982321986</v>
      </c>
      <c r="AK3046">
        <v>23.156945975765598</v>
      </c>
      <c r="AL3046">
        <v>80.020744462361904</v>
      </c>
      <c r="AM3046">
        <v>77.428608793628499</v>
      </c>
      <c r="AN3046">
        <v>0.99999995605220404</v>
      </c>
    </row>
    <row r="3047" spans="1:40" x14ac:dyDescent="0.25">
      <c r="A3047" t="str">
        <f>"20190303162609618"</f>
        <v>20190303162609618</v>
      </c>
      <c r="B3047" t="str">
        <f>"1551601569606505"</f>
        <v>1551601569606505</v>
      </c>
      <c r="C3047" t="s">
        <v>40</v>
      </c>
      <c r="D3047">
        <v>4.7918560000000001</v>
      </c>
      <c r="E3047">
        <v>0.58690949999999997</v>
      </c>
      <c r="F3047" t="s">
        <v>46</v>
      </c>
      <c r="G3047">
        <v>-192.57640000000001</v>
      </c>
      <c r="H3047" s="1">
        <v>5.0166749999999997E-6</v>
      </c>
      <c r="I3047">
        <v>206.25530000000001</v>
      </c>
      <c r="J3047">
        <v>-212.20580000000001</v>
      </c>
      <c r="K3047">
        <v>1.117367</v>
      </c>
      <c r="L3047">
        <v>216.7216</v>
      </c>
      <c r="M3047">
        <v>0.99815549999999997</v>
      </c>
      <c r="N3047">
        <v>-1.3352019999999999E-2</v>
      </c>
      <c r="O3047">
        <v>-5.9223560000000001E-2</v>
      </c>
      <c r="P3047">
        <v>0.94795110000000005</v>
      </c>
      <c r="Q3047">
        <v>0.16076949999999901</v>
      </c>
      <c r="R3047">
        <v>-0.27484940000000002</v>
      </c>
      <c r="S3047">
        <v>2.7788240000000002</v>
      </c>
      <c r="T3047">
        <v>-0.154689299999999</v>
      </c>
      <c r="U3047">
        <v>-1.4532320000000001</v>
      </c>
      <c r="V3047">
        <v>0.21975549999999999</v>
      </c>
      <c r="W3047">
        <v>0.1716608</v>
      </c>
      <c r="X3047">
        <v>0.96033329999999995</v>
      </c>
      <c r="Y3047">
        <v>0.4095239</v>
      </c>
      <c r="Z3047">
        <v>-1.126769E-2</v>
      </c>
      <c r="AA3047">
        <v>0.91222979999999998</v>
      </c>
      <c r="AB3047">
        <v>30</v>
      </c>
      <c r="AC3047">
        <v>19.6294</v>
      </c>
      <c r="AD3047">
        <v>-1.1173619833249999</v>
      </c>
      <c r="AE3047">
        <v>-10.466299999999899</v>
      </c>
      <c r="AF3047">
        <v>9.2619317982848592</v>
      </c>
      <c r="AG3047">
        <v>-1.1173619833249999</v>
      </c>
      <c r="AH3047">
        <v>20.163973363561102</v>
      </c>
      <c r="AI3047">
        <v>92.882732913922496</v>
      </c>
      <c r="AJ3047">
        <v>65.329229050420295</v>
      </c>
      <c r="AK3047">
        <v>22.217508866753299</v>
      </c>
      <c r="AL3047">
        <v>80.115604255551006</v>
      </c>
      <c r="AM3047">
        <v>77.110781940241594</v>
      </c>
      <c r="AN3047">
        <v>0.99999997856288902</v>
      </c>
    </row>
    <row r="3048" spans="1:40" x14ac:dyDescent="0.25">
      <c r="A3048" t="str">
        <f>"20190303162609645"</f>
        <v>20190303162609645</v>
      </c>
      <c r="B3048" t="str">
        <f>"1551601569636760"</f>
        <v>1551601569636760</v>
      </c>
      <c r="C3048" t="s">
        <v>40</v>
      </c>
      <c r="D3048">
        <v>4.7694049999999999</v>
      </c>
      <c r="E3048">
        <v>0.5864241</v>
      </c>
      <c r="F3048" t="s">
        <v>46</v>
      </c>
      <c r="G3048">
        <v>-193.09209999999999</v>
      </c>
      <c r="H3048" s="1">
        <v>4.8294260000000002E-6</v>
      </c>
      <c r="I3048">
        <v>206.4616</v>
      </c>
      <c r="J3048">
        <v>-211.83770000000001</v>
      </c>
      <c r="K3048">
        <v>1.117372</v>
      </c>
      <c r="L3048">
        <v>216.6936</v>
      </c>
      <c r="M3048">
        <v>0.99781359999999997</v>
      </c>
      <c r="N3048">
        <v>-1.3351999999999999E-2</v>
      </c>
      <c r="O3048">
        <v>-6.4728629999999995E-2</v>
      </c>
      <c r="P3048">
        <v>0.94554780000000005</v>
      </c>
      <c r="Q3048">
        <v>0.16128529999999999</v>
      </c>
      <c r="R3048">
        <v>-0.28271269999999998</v>
      </c>
      <c r="S3048">
        <v>2.7622070000000001</v>
      </c>
      <c r="T3048">
        <v>-0.16147429999999999</v>
      </c>
      <c r="U3048">
        <v>-1.482712</v>
      </c>
      <c r="V3048">
        <v>0.2224498</v>
      </c>
      <c r="W3048">
        <v>0.17214270000000001</v>
      </c>
      <c r="X3048">
        <v>0.95962650000000005</v>
      </c>
      <c r="Y3048">
        <v>0.41427779999999997</v>
      </c>
      <c r="Z3048">
        <v>-1.156595E-2</v>
      </c>
      <c r="AA3048">
        <v>0.91007700000000002</v>
      </c>
      <c r="AB3048">
        <v>30</v>
      </c>
      <c r="AC3048">
        <v>18.7456</v>
      </c>
      <c r="AD3048">
        <v>-1.117367170574</v>
      </c>
      <c r="AE3048">
        <v>-10.231999999999999</v>
      </c>
      <c r="AF3048">
        <v>8.9724921329867904</v>
      </c>
      <c r="AG3048">
        <v>-1.117367170574</v>
      </c>
      <c r="AH3048">
        <v>19.315768823695699</v>
      </c>
      <c r="AI3048">
        <v>93.003183465523307</v>
      </c>
      <c r="AJ3048">
        <v>65.084356926566798</v>
      </c>
      <c r="AK3048">
        <v>21.3272841618627</v>
      </c>
      <c r="AL3048">
        <v>80.087576621402803</v>
      </c>
      <c r="AM3048">
        <v>76.948848603337296</v>
      </c>
      <c r="AN3048">
        <v>1.00000002109278</v>
      </c>
    </row>
    <row r="3049" spans="1:40" x14ac:dyDescent="0.25">
      <c r="A3049" t="str">
        <f>"20190303162609667"</f>
        <v>20190303162609667</v>
      </c>
      <c r="B3049" t="str">
        <f>"1551601569656280"</f>
        <v>1551601569656280</v>
      </c>
      <c r="C3049" t="s">
        <v>40</v>
      </c>
      <c r="D3049">
        <v>4.7556139999999996</v>
      </c>
      <c r="E3049">
        <v>0.58613190000000004</v>
      </c>
      <c r="F3049" t="s">
        <v>46</v>
      </c>
      <c r="G3049">
        <v>-192.9649</v>
      </c>
      <c r="H3049" s="1">
        <v>4.8801019999999997E-6</v>
      </c>
      <c r="I3049">
        <v>206.398</v>
      </c>
      <c r="J3049">
        <v>-211.5324</v>
      </c>
      <c r="K3049">
        <v>1.1173660000000001</v>
      </c>
      <c r="L3049">
        <v>216.6688</v>
      </c>
      <c r="M3049">
        <v>0.99750589999999995</v>
      </c>
      <c r="N3049">
        <v>-1.335218E-2</v>
      </c>
      <c r="O3049">
        <v>-6.9311220000000007E-2</v>
      </c>
      <c r="P3049">
        <v>0.94336209999999998</v>
      </c>
      <c r="Q3049">
        <v>0.16136500000000001</v>
      </c>
      <c r="R3049">
        <v>-0.28987839999999998</v>
      </c>
      <c r="S3049">
        <v>2.7517239999999998</v>
      </c>
      <c r="T3049">
        <v>-0.162915899999999</v>
      </c>
      <c r="U3049">
        <v>-1.5011289999999999</v>
      </c>
      <c r="V3049">
        <v>0.2253327</v>
      </c>
      <c r="W3049">
        <v>0.17218410000000001</v>
      </c>
      <c r="X3049">
        <v>0.95894619999999997</v>
      </c>
      <c r="Y3049">
        <v>0.41623739999999998</v>
      </c>
      <c r="Z3049">
        <v>-1.1529070000000001E-2</v>
      </c>
      <c r="AA3049">
        <v>0.90918290000000002</v>
      </c>
      <c r="AB3049">
        <v>30</v>
      </c>
      <c r="AC3049">
        <v>18.5674999999999</v>
      </c>
      <c r="AD3049">
        <v>-1.117361119898</v>
      </c>
      <c r="AE3049">
        <v>-10.270799999999999</v>
      </c>
      <c r="AF3049">
        <v>8.9342703508765293</v>
      </c>
      <c r="AG3049">
        <v>-1.117361119898</v>
      </c>
      <c r="AH3049">
        <v>19.181594256404399</v>
      </c>
      <c r="AI3049">
        <v>93.022685214414807</v>
      </c>
      <c r="AJ3049">
        <v>65.025163399169003</v>
      </c>
      <c r="AK3049">
        <v>21.189696571497599</v>
      </c>
      <c r="AL3049">
        <v>80.085168432067405</v>
      </c>
      <c r="AM3049">
        <v>76.7765618266844</v>
      </c>
      <c r="AN3049">
        <v>1.00000000223827</v>
      </c>
    </row>
    <row r="3050" spans="1:40" x14ac:dyDescent="0.25">
      <c r="A3050" t="str">
        <f>"20190303162609690"</f>
        <v>20190303162609690</v>
      </c>
      <c r="B3050" t="str">
        <f>"1551601569676777"</f>
        <v>1551601569676777</v>
      </c>
      <c r="C3050" t="s">
        <v>40</v>
      </c>
      <c r="D3050">
        <v>4.6973520000000004</v>
      </c>
      <c r="E3050">
        <v>0.58592549999999999</v>
      </c>
      <c r="F3050" t="s">
        <v>46</v>
      </c>
      <c r="G3050">
        <v>-192.88030000000001</v>
      </c>
      <c r="H3050" s="1">
        <v>4.9192170000000001E-6</v>
      </c>
      <c r="I3050">
        <v>206.34039999999999</v>
      </c>
      <c r="J3050">
        <v>-211.23609999999999</v>
      </c>
      <c r="K3050">
        <v>1.1173390000000001</v>
      </c>
      <c r="L3050">
        <v>216.64349999999999</v>
      </c>
      <c r="M3050">
        <v>0.99718510000000005</v>
      </c>
      <c r="N3050">
        <v>-1.3352640000000001E-2</v>
      </c>
      <c r="O3050">
        <v>-7.3781689999999997E-2</v>
      </c>
      <c r="P3050">
        <v>0.94142099999999995</v>
      </c>
      <c r="Q3050">
        <v>0.1607587</v>
      </c>
      <c r="R3050">
        <v>-0.29645129999999997</v>
      </c>
      <c r="S3050">
        <v>2.741714</v>
      </c>
      <c r="T3050">
        <v>-0.16424369999999999</v>
      </c>
      <c r="U3050">
        <v>-1.5182040000000001</v>
      </c>
      <c r="V3050">
        <v>0.22772010000000001</v>
      </c>
      <c r="W3050">
        <v>0.17154330000000001</v>
      </c>
      <c r="X3050">
        <v>0.95849700000000004</v>
      </c>
      <c r="Y3050">
        <v>0.41789159999999997</v>
      </c>
      <c r="Z3050">
        <v>-1.1476689999999999E-2</v>
      </c>
      <c r="AA3050">
        <v>0.90842440000000002</v>
      </c>
      <c r="AB3050">
        <v>30</v>
      </c>
      <c r="AC3050">
        <v>18.355799999999899</v>
      </c>
      <c r="AD3050">
        <v>-1.1173340807829999</v>
      </c>
      <c r="AE3050">
        <v>-10.303100000000001</v>
      </c>
      <c r="AF3050">
        <v>8.8955067211193395</v>
      </c>
      <c r="AG3050">
        <v>-1.1173340807829999</v>
      </c>
      <c r="AH3050">
        <v>19.0124397616434</v>
      </c>
      <c r="AI3050">
        <v>93.046999027903794</v>
      </c>
      <c r="AJ3050">
        <v>64.926129458874996</v>
      </c>
      <c r="AK3050">
        <v>21.0202602496657</v>
      </c>
      <c r="AL3050">
        <v>80.122438324315496</v>
      </c>
      <c r="AM3050">
        <v>76.635421056591994</v>
      </c>
      <c r="AN3050">
        <v>1.0000000233639399</v>
      </c>
    </row>
    <row r="3051" spans="1:40" x14ac:dyDescent="0.25">
      <c r="A3051" t="str">
        <f>"20190303162609712"</f>
        <v>20190303162609712</v>
      </c>
      <c r="B3051" t="str">
        <f>"1551601569707032"</f>
        <v>1551601569707032</v>
      </c>
      <c r="C3051" t="s">
        <v>40</v>
      </c>
      <c r="D3051">
        <v>4.6183420000000002</v>
      </c>
      <c r="E3051">
        <v>0.58556750000000002</v>
      </c>
      <c r="F3051" t="s">
        <v>46</v>
      </c>
      <c r="G3051">
        <v>-192.89660000000001</v>
      </c>
      <c r="H3051" s="1">
        <v>4.9176610000000003E-6</v>
      </c>
      <c r="I3051">
        <v>206.33459999999999</v>
      </c>
      <c r="J3051">
        <v>-210.93879999999999</v>
      </c>
      <c r="K3051">
        <v>1.117308</v>
      </c>
      <c r="L3051">
        <v>216.61670000000001</v>
      </c>
      <c r="M3051">
        <v>0.99684010000000001</v>
      </c>
      <c r="N3051">
        <v>-1.335385E-2</v>
      </c>
      <c r="O3051">
        <v>-7.8306349999999997E-2</v>
      </c>
      <c r="P3051">
        <v>0.93998210000000004</v>
      </c>
      <c r="Q3051">
        <v>0.15936649999999999</v>
      </c>
      <c r="R3051">
        <v>-0.30172280000000001</v>
      </c>
      <c r="S3051">
        <v>2.7315830000000001</v>
      </c>
      <c r="T3051">
        <v>-0.16642199999999999</v>
      </c>
      <c r="U3051">
        <v>-1.535461</v>
      </c>
      <c r="V3051">
        <v>0.22872319999999999</v>
      </c>
      <c r="W3051">
        <v>0.17013010000000001</v>
      </c>
      <c r="X3051">
        <v>0.95850999999999997</v>
      </c>
      <c r="Y3051">
        <v>0.41955330000000002</v>
      </c>
      <c r="Z3051">
        <v>-1.1457220000000001E-2</v>
      </c>
      <c r="AA3051">
        <v>0.90765839999999998</v>
      </c>
      <c r="AB3051">
        <v>30</v>
      </c>
      <c r="AC3051">
        <v>18.042199999999902</v>
      </c>
      <c r="AD3051">
        <v>-1.117303082339</v>
      </c>
      <c r="AE3051">
        <v>-10.2821</v>
      </c>
      <c r="AF3051">
        <v>8.8120677565941694</v>
      </c>
      <c r="AG3051">
        <v>-1.117303082339</v>
      </c>
      <c r="AH3051">
        <v>18.737771756803099</v>
      </c>
      <c r="AI3051">
        <v>93.088639631697902</v>
      </c>
      <c r="AJ3051">
        <v>64.813165325180506</v>
      </c>
      <c r="AK3051">
        <v>20.736561786724899</v>
      </c>
      <c r="AL3051">
        <v>80.204616438596801</v>
      </c>
      <c r="AM3051">
        <v>76.578851565780795</v>
      </c>
      <c r="AN3051">
        <v>0.99999998662212497</v>
      </c>
    </row>
    <row r="3052" spans="1:40" x14ac:dyDescent="0.25">
      <c r="A3052" t="str">
        <f>"20190303162609737"</f>
        <v>20190303162609737</v>
      </c>
      <c r="B3052" t="str">
        <f>"1551601569726554"</f>
        <v>1551601569726554</v>
      </c>
      <c r="C3052" t="s">
        <v>40</v>
      </c>
      <c r="D3052">
        <v>4.5598429999999999</v>
      </c>
      <c r="E3052">
        <v>0.58548120000000003</v>
      </c>
      <c r="F3052" t="s">
        <v>46</v>
      </c>
      <c r="G3052">
        <v>-192.70769999999999</v>
      </c>
      <c r="H3052" s="1">
        <v>4.9892999999999998E-6</v>
      </c>
      <c r="I3052">
        <v>206.25040000000001</v>
      </c>
      <c r="J3052">
        <v>-210.61150000000001</v>
      </c>
      <c r="K3052">
        <v>1.117262</v>
      </c>
      <c r="L3052">
        <v>216.5856</v>
      </c>
      <c r="M3052">
        <v>0.9964305</v>
      </c>
      <c r="N3052">
        <v>-1.3355860000000001E-2</v>
      </c>
      <c r="O3052">
        <v>-8.3357109999999998E-2</v>
      </c>
      <c r="P3052">
        <v>0.93850520000000004</v>
      </c>
      <c r="Q3052">
        <v>0.15792500000000001</v>
      </c>
      <c r="R3052">
        <v>-0.307031</v>
      </c>
      <c r="S3052">
        <v>2.7229160000000001</v>
      </c>
      <c r="T3052">
        <v>-0.166875</v>
      </c>
      <c r="U3052">
        <v>-1.5482479999999901</v>
      </c>
      <c r="V3052">
        <v>0.22926859999999999</v>
      </c>
      <c r="W3052">
        <v>0.16866429999999999</v>
      </c>
      <c r="X3052">
        <v>0.95863869999999896</v>
      </c>
      <c r="Y3052">
        <v>0.41941529999999999</v>
      </c>
      <c r="Z3052">
        <v>-1.126836E-2</v>
      </c>
      <c r="AA3052">
        <v>0.90772459999999999</v>
      </c>
      <c r="AB3052">
        <v>30</v>
      </c>
      <c r="AC3052">
        <v>17.9038</v>
      </c>
      <c r="AD3052">
        <v>-1.1172570106999999</v>
      </c>
      <c r="AE3052">
        <v>-10.335199999999899</v>
      </c>
      <c r="AF3052">
        <v>8.7810345304433906</v>
      </c>
      <c r="AG3052">
        <v>-1.1172570106999999</v>
      </c>
      <c r="AH3052">
        <v>18.648598208460498</v>
      </c>
      <c r="AI3052">
        <v>93.102554727290297</v>
      </c>
      <c r="AJ3052">
        <v>64.785738533199904</v>
      </c>
      <c r="AK3052">
        <v>20.6427964625288</v>
      </c>
      <c r="AL3052">
        <v>80.289831763421006</v>
      </c>
      <c r="AM3052">
        <v>76.549750483611604</v>
      </c>
      <c r="AN3052">
        <v>0.99999994708906803</v>
      </c>
    </row>
    <row r="3053" spans="1:40" x14ac:dyDescent="0.25">
      <c r="A3053" t="str">
        <f>"20190303162609756"</f>
        <v>20190303162609756</v>
      </c>
      <c r="B3053" t="str">
        <f>"1551601569746073"</f>
        <v>1551601569746073</v>
      </c>
      <c r="C3053" t="s">
        <v>40</v>
      </c>
      <c r="D3053">
        <v>4.550065</v>
      </c>
      <c r="E3053">
        <v>0.58543429999999996</v>
      </c>
      <c r="F3053" t="s">
        <v>46</v>
      </c>
      <c r="G3053">
        <v>-192.46690000000001</v>
      </c>
      <c r="H3053" s="1">
        <v>5.0859449999999996E-6</v>
      </c>
      <c r="I3053">
        <v>206.12809999999999</v>
      </c>
      <c r="J3053">
        <v>-210.35249999999999</v>
      </c>
      <c r="K3053">
        <v>1.1172120000000001</v>
      </c>
      <c r="L3053">
        <v>216.55959999999999</v>
      </c>
      <c r="M3053">
        <v>0.99608140000000001</v>
      </c>
      <c r="N3053">
        <v>-1.3357900000000001E-2</v>
      </c>
      <c r="O3053">
        <v>-8.7427770000000002E-2</v>
      </c>
      <c r="P3053">
        <v>0.93724940000000001</v>
      </c>
      <c r="Q3053">
        <v>0.15690580000000001</v>
      </c>
      <c r="R3053">
        <v>-0.311359</v>
      </c>
      <c r="S3053">
        <v>2.7131500000000002</v>
      </c>
      <c r="T3053">
        <v>-0.16706179999999901</v>
      </c>
      <c r="U3053">
        <v>-1.56369</v>
      </c>
      <c r="V3053">
        <v>0.22977159999999999</v>
      </c>
      <c r="W3053">
        <v>0.16761760000000001</v>
      </c>
      <c r="X3053">
        <v>0.9587019</v>
      </c>
      <c r="Y3053">
        <v>0.4209948</v>
      </c>
      <c r="Z3053">
        <v>-1.1171749999999999E-2</v>
      </c>
      <c r="AA3053">
        <v>0.90699419999999997</v>
      </c>
      <c r="AB3053">
        <v>30</v>
      </c>
      <c r="AC3053">
        <v>17.885599999999901</v>
      </c>
      <c r="AD3053">
        <v>-1.1172069140550001</v>
      </c>
      <c r="AE3053">
        <v>-10.4315</v>
      </c>
      <c r="AF3053">
        <v>8.8020852747968199</v>
      </c>
      <c r="AG3053">
        <v>-1.1172069140550001</v>
      </c>
      <c r="AH3053">
        <v>18.674815428982399</v>
      </c>
      <c r="AI3053">
        <v>93.0975132671458</v>
      </c>
      <c r="AJ3053">
        <v>64.763879518205499</v>
      </c>
      <c r="AK3053">
        <v>20.675434403662901</v>
      </c>
      <c r="AL3053">
        <v>80.3506698331217</v>
      </c>
      <c r="AM3053">
        <v>76.522173276523105</v>
      </c>
      <c r="AN3053">
        <v>0.99999999052996502</v>
      </c>
    </row>
    <row r="3054" spans="1:40" x14ac:dyDescent="0.25">
      <c r="A3054" t="str">
        <f>"20190303162609783"</f>
        <v>20190303162609783</v>
      </c>
      <c r="B3054" t="str">
        <f>"1551601569776328"</f>
        <v>1551601569776328</v>
      </c>
      <c r="C3054" t="s">
        <v>40</v>
      </c>
      <c r="D3054">
        <v>4.4614640000000003</v>
      </c>
      <c r="E3054">
        <v>0.58539319999999995</v>
      </c>
      <c r="F3054" t="s">
        <v>46</v>
      </c>
      <c r="G3054">
        <v>-192.26669999999999</v>
      </c>
      <c r="H3054" s="1">
        <v>5.1668299999999998E-6</v>
      </c>
      <c r="I3054">
        <v>206.0249</v>
      </c>
      <c r="J3054">
        <v>-210.01089999999999</v>
      </c>
      <c r="K3054">
        <v>1.1171409999999999</v>
      </c>
      <c r="L3054">
        <v>216.52359999999999</v>
      </c>
      <c r="M3054">
        <v>0.99558530000000001</v>
      </c>
      <c r="N3054">
        <v>-1.336154E-2</v>
      </c>
      <c r="O3054">
        <v>-9.2905169999999995E-2</v>
      </c>
      <c r="P3054">
        <v>0.93555250000000001</v>
      </c>
      <c r="Q3054">
        <v>0.1562075</v>
      </c>
      <c r="R3054">
        <v>-0.3167663</v>
      </c>
      <c r="S3054">
        <v>2.7053219999999998</v>
      </c>
      <c r="T3054">
        <v>-0.16711489999999901</v>
      </c>
      <c r="U3054">
        <v>-1.5758209999999999</v>
      </c>
      <c r="V3054">
        <v>0.23004830000000001</v>
      </c>
      <c r="W3054">
        <v>0.1668799</v>
      </c>
      <c r="X3054">
        <v>0.95876430000000001</v>
      </c>
      <c r="Y3054">
        <v>0.42018909999999998</v>
      </c>
      <c r="Z3054">
        <v>-1.091935E-2</v>
      </c>
      <c r="AA3054">
        <v>0.90737089999999998</v>
      </c>
      <c r="AB3054">
        <v>30</v>
      </c>
      <c r="AC3054">
        <v>17.744199999999999</v>
      </c>
      <c r="AD3054">
        <v>-1.1171358331700001</v>
      </c>
      <c r="AE3054">
        <v>-10.4986999999999</v>
      </c>
      <c r="AF3054">
        <v>8.7788356673842909</v>
      </c>
      <c r="AG3054">
        <v>-1.1171358331700001</v>
      </c>
      <c r="AH3054">
        <v>18.588338920026299</v>
      </c>
      <c r="AI3054">
        <v>93.110568922793405</v>
      </c>
      <c r="AJ3054">
        <v>64.719734915607802</v>
      </c>
      <c r="AK3054">
        <v>20.5874304358377</v>
      </c>
      <c r="AL3054">
        <v>80.393541377611498</v>
      </c>
      <c r="AM3054">
        <v>76.5073820111336</v>
      </c>
      <c r="AN3054">
        <v>1.00000005215569</v>
      </c>
    </row>
    <row r="3055" spans="1:40" x14ac:dyDescent="0.25">
      <c r="A3055" t="str">
        <f>"20190303162609807"</f>
        <v>20190303162609807</v>
      </c>
      <c r="B3055" t="str">
        <f>"1551601569796824"</f>
        <v>1551601569796824</v>
      </c>
      <c r="C3055" t="s">
        <v>40</v>
      </c>
      <c r="D3055">
        <v>4.4443279999999996</v>
      </c>
      <c r="E3055">
        <v>0.58538000000000001</v>
      </c>
      <c r="F3055" t="s">
        <v>46</v>
      </c>
      <c r="G3055">
        <v>-191.67089999999999</v>
      </c>
      <c r="H3055" s="1">
        <v>5.4133250000000004E-6</v>
      </c>
      <c r="I3055">
        <v>205.7013</v>
      </c>
      <c r="J3055">
        <v>-209.67769999999999</v>
      </c>
      <c r="K3055">
        <v>1.117067</v>
      </c>
      <c r="L3055">
        <v>216.48650000000001</v>
      </c>
      <c r="M3055">
        <v>0.99506030000000001</v>
      </c>
      <c r="N3055">
        <v>-1.3365709999999999E-2</v>
      </c>
      <c r="O3055">
        <v>-9.8368700000000003E-2</v>
      </c>
      <c r="P3055">
        <v>0.93382290000000001</v>
      </c>
      <c r="Q3055">
        <v>0.15577650000000001</v>
      </c>
      <c r="R3055">
        <v>-0.32203850000000001</v>
      </c>
      <c r="S3055">
        <v>2.6955110000000002</v>
      </c>
      <c r="T3055">
        <v>-0.16419010000000001</v>
      </c>
      <c r="U3055">
        <v>-1.5906070000000001</v>
      </c>
      <c r="V3055">
        <v>0.23021359999999999</v>
      </c>
      <c r="W3055">
        <v>0.16640929999999901</v>
      </c>
      <c r="X3055">
        <v>0.95880639999999995</v>
      </c>
      <c r="Y3055">
        <v>0.42036770000000001</v>
      </c>
      <c r="Z3055">
        <v>-1.059045E-2</v>
      </c>
      <c r="AA3055">
        <v>0.90729199999999999</v>
      </c>
      <c r="AB3055">
        <v>30</v>
      </c>
      <c r="AC3055">
        <v>18.006799999999998</v>
      </c>
      <c r="AD3055">
        <v>-1.117061586675</v>
      </c>
      <c r="AE3055">
        <v>-10.7852</v>
      </c>
      <c r="AF3055">
        <v>8.9361091123591692</v>
      </c>
      <c r="AG3055">
        <v>-1.117061586675</v>
      </c>
      <c r="AH3055">
        <v>18.926865797221101</v>
      </c>
      <c r="AI3055">
        <v>93.054998849134705</v>
      </c>
      <c r="AJ3055">
        <v>64.726182637254396</v>
      </c>
      <c r="AK3055">
        <v>20.960155571045501</v>
      </c>
      <c r="AL3055">
        <v>80.420886976789106</v>
      </c>
      <c r="AM3055">
        <v>76.498612953085996</v>
      </c>
      <c r="AN3055">
        <v>1.0000000347161999</v>
      </c>
    </row>
    <row r="3056" spans="1:40" x14ac:dyDescent="0.25">
      <c r="A3056" t="str">
        <f>"20190303162609831"</f>
        <v>20190303162609831</v>
      </c>
      <c r="B3056" t="str">
        <f>"1551601569826105"</f>
        <v>1551601569826105</v>
      </c>
      <c r="C3056" t="s">
        <v>40</v>
      </c>
      <c r="D3056">
        <v>4.418615</v>
      </c>
      <c r="E3056">
        <v>0.58533900000000005</v>
      </c>
      <c r="F3056" t="s">
        <v>46</v>
      </c>
      <c r="G3056">
        <v>-191.1173</v>
      </c>
      <c r="H3056" s="1">
        <v>5.6456859999999899E-6</v>
      </c>
      <c r="I3056">
        <v>205.39109999999999</v>
      </c>
      <c r="J3056">
        <v>-209.3545</v>
      </c>
      <c r="K3056">
        <v>1.1169990000000001</v>
      </c>
      <c r="L3056">
        <v>216.4487</v>
      </c>
      <c r="M3056">
        <v>0.99451230000000002</v>
      </c>
      <c r="N3056">
        <v>-1.3369399999999899E-2</v>
      </c>
      <c r="O3056">
        <v>-0.10376199999999999</v>
      </c>
      <c r="P3056">
        <v>0.93239380000000005</v>
      </c>
      <c r="Q3056">
        <v>0.15520499999999901</v>
      </c>
      <c r="R3056">
        <v>-0.32642520000000003</v>
      </c>
      <c r="S3056">
        <v>2.6858369999999998</v>
      </c>
      <c r="T3056">
        <v>-0.1616476</v>
      </c>
      <c r="U3056">
        <v>-1.605591</v>
      </c>
      <c r="V3056">
        <v>0.2295316</v>
      </c>
      <c r="W3056">
        <v>0.165816299999999</v>
      </c>
      <c r="X3056">
        <v>0.95907260000000005</v>
      </c>
      <c r="Y3056">
        <v>0.42063650000000002</v>
      </c>
      <c r="Z3056">
        <v>-1.0290590000000001E-2</v>
      </c>
      <c r="AA3056">
        <v>0.9071709</v>
      </c>
      <c r="AB3056">
        <v>30</v>
      </c>
      <c r="AC3056">
        <v>18.237200000000001</v>
      </c>
      <c r="AD3056">
        <v>-1.116993354314</v>
      </c>
      <c r="AE3056">
        <v>-11.057600000000001</v>
      </c>
      <c r="AF3056">
        <v>9.0804972741259302</v>
      </c>
      <c r="AG3056">
        <v>-1.116993354314</v>
      </c>
      <c r="AH3056">
        <v>19.233445662343499</v>
      </c>
      <c r="AI3056">
        <v>93.0062308129542</v>
      </c>
      <c r="AJ3056">
        <v>64.727059856855604</v>
      </c>
      <c r="AK3056">
        <v>21.2985571564205</v>
      </c>
      <c r="AL3056">
        <v>80.455341986242701</v>
      </c>
      <c r="AM3056">
        <v>76.540753050545305</v>
      </c>
      <c r="AN3056">
        <v>1.0000000264075</v>
      </c>
    </row>
    <row r="3057" spans="1:40" x14ac:dyDescent="0.25">
      <c r="A3057" t="str">
        <f>"20190303162609865"</f>
        <v>20190303162609865</v>
      </c>
      <c r="B3057" t="str">
        <f>"1551601569856360"</f>
        <v>1551601569856360</v>
      </c>
      <c r="C3057" t="s">
        <v>40</v>
      </c>
      <c r="D3057">
        <v>4.3716989999999996</v>
      </c>
      <c r="E3057">
        <v>0.58526959999999995</v>
      </c>
      <c r="F3057" t="s">
        <v>46</v>
      </c>
      <c r="G3057">
        <v>-190.51259999999999</v>
      </c>
      <c r="H3057" s="1">
        <v>5.8949190000000004E-6</v>
      </c>
      <c r="I3057">
        <v>205.06540000000001</v>
      </c>
      <c r="J3057">
        <v>-208.91239999999999</v>
      </c>
      <c r="K3057">
        <v>1.1169279999999999</v>
      </c>
      <c r="L3057">
        <v>216.39400000000001</v>
      </c>
      <c r="M3057">
        <v>0.99370049999999999</v>
      </c>
      <c r="N3057">
        <v>-1.337298E-2</v>
      </c>
      <c r="O3057">
        <v>-0.1112673</v>
      </c>
      <c r="P3057">
        <v>0.92973939999999999</v>
      </c>
      <c r="Q3057">
        <v>0.15567149999999999</v>
      </c>
      <c r="R3057">
        <v>-0.33369260000000001</v>
      </c>
      <c r="S3057">
        <v>2.6776119999999999</v>
      </c>
      <c r="T3057">
        <v>-0.1587353</v>
      </c>
      <c r="U3057">
        <v>-1.6176759999999999</v>
      </c>
      <c r="V3057">
        <v>0.22981660000000001</v>
      </c>
      <c r="W3057">
        <v>0.16624559999999999</v>
      </c>
      <c r="X3057">
        <v>0.95892999999999995</v>
      </c>
      <c r="Y3057">
        <v>0.418047</v>
      </c>
      <c r="Z3057">
        <v>-9.7987749999999992E-3</v>
      </c>
      <c r="AA3057">
        <v>0.90837250000000003</v>
      </c>
      <c r="AB3057">
        <v>30</v>
      </c>
      <c r="AC3057">
        <v>18.399799999999999</v>
      </c>
      <c r="AD3057">
        <v>-1.1169221050810001</v>
      </c>
      <c r="AE3057">
        <v>-11.3285999999999</v>
      </c>
      <c r="AF3057">
        <v>9.1862180895937495</v>
      </c>
      <c r="AG3057">
        <v>-1.1169221050810001</v>
      </c>
      <c r="AH3057">
        <v>19.494054213742999</v>
      </c>
      <c r="AI3057">
        <v>92.966940014612405</v>
      </c>
      <c r="AJ3057">
        <v>64.768695988267396</v>
      </c>
      <c r="AK3057">
        <v>21.578977442565499</v>
      </c>
      <c r="AL3057">
        <v>80.430398522191894</v>
      </c>
      <c r="AM3057">
        <v>76.522719593257506</v>
      </c>
      <c r="AN3057">
        <v>1.0000000070274599</v>
      </c>
    </row>
    <row r="3058" spans="1:40" x14ac:dyDescent="0.25">
      <c r="A3058" t="str">
        <f>"20190303162609890"</f>
        <v>20190303162609890</v>
      </c>
      <c r="B3058" t="str">
        <f>"1551601569876856"</f>
        <v>1551601569876856</v>
      </c>
      <c r="C3058" t="s">
        <v>40</v>
      </c>
      <c r="D3058">
        <v>4.4090699999999998</v>
      </c>
      <c r="E3058">
        <v>0.58519119999999902</v>
      </c>
      <c r="F3058" t="s">
        <v>46</v>
      </c>
      <c r="G3058">
        <v>-189.9667</v>
      </c>
      <c r="H3058" s="1">
        <v>6.1160859999999998E-6</v>
      </c>
      <c r="I3058">
        <v>204.78219999999999</v>
      </c>
      <c r="J3058">
        <v>-208.57140000000001</v>
      </c>
      <c r="K3058">
        <v>1.1168899999999999</v>
      </c>
      <c r="L3058">
        <v>216.3493</v>
      </c>
      <c r="M3058">
        <v>0.99302729999999995</v>
      </c>
      <c r="N3058">
        <v>-1.3375E-2</v>
      </c>
      <c r="O3058">
        <v>-0.1171224</v>
      </c>
      <c r="P3058">
        <v>0.92715159999999996</v>
      </c>
      <c r="Q3058">
        <v>0.15526389999999901</v>
      </c>
      <c r="R3058">
        <v>-0.3410031</v>
      </c>
      <c r="S3058">
        <v>2.6664430000000001</v>
      </c>
      <c r="T3058">
        <v>-0.15719720000000001</v>
      </c>
      <c r="U3058">
        <v>-1.6342620000000001</v>
      </c>
      <c r="V3058">
        <v>0.23171900000000001</v>
      </c>
      <c r="W3058">
        <v>0.16579940000000001</v>
      </c>
      <c r="X3058">
        <v>0.9585494</v>
      </c>
      <c r="Y3058">
        <v>0.41850690000000002</v>
      </c>
      <c r="Z3058">
        <v>-9.5402390000000007E-3</v>
      </c>
      <c r="AA3058">
        <v>0.90816350000000001</v>
      </c>
      <c r="AB3058">
        <v>30</v>
      </c>
      <c r="AC3058">
        <v>18.604700000000001</v>
      </c>
      <c r="AD3058">
        <v>-1.1168838839139901</v>
      </c>
      <c r="AE3058">
        <v>-11.5671</v>
      </c>
      <c r="AF3058">
        <v>9.2841216047757307</v>
      </c>
      <c r="AG3058">
        <v>-1.1168838839139901</v>
      </c>
      <c r="AH3058">
        <v>19.780105777673501</v>
      </c>
      <c r="AI3058">
        <v>92.926105936796404</v>
      </c>
      <c r="AJ3058">
        <v>64.8562061920708</v>
      </c>
      <c r="AK3058">
        <v>21.879097974056499</v>
      </c>
      <c r="AL3058">
        <v>80.456324046763896</v>
      </c>
      <c r="AM3058">
        <v>76.410080353744704</v>
      </c>
      <c r="AN3058">
        <v>1.0000000441208501</v>
      </c>
    </row>
    <row r="3059" spans="1:40" x14ac:dyDescent="0.25">
      <c r="A3059" t="str">
        <f>"20190303162609912"</f>
        <v>20190303162609912</v>
      </c>
      <c r="B3059" t="str">
        <f>"1551601569906136"</f>
        <v>1551601569906136</v>
      </c>
      <c r="C3059" t="s">
        <v>40</v>
      </c>
      <c r="D3059">
        <v>4.3257110000000001</v>
      </c>
      <c r="E3059">
        <v>0.58520539999999999</v>
      </c>
      <c r="F3059" t="s">
        <v>46</v>
      </c>
      <c r="G3059">
        <v>-189.86089999999999</v>
      </c>
      <c r="H3059" s="1">
        <v>6.1300340000000003E-6</v>
      </c>
      <c r="I3059">
        <v>204.69970000000001</v>
      </c>
      <c r="J3059">
        <v>-208.26779999999999</v>
      </c>
      <c r="K3059">
        <v>1.1168720000000001</v>
      </c>
      <c r="L3059">
        <v>216.30789999999999</v>
      </c>
      <c r="M3059">
        <v>0.99239560000000004</v>
      </c>
      <c r="N3059">
        <v>-1.337613E-2</v>
      </c>
      <c r="O3059">
        <v>-0.12236080000000001</v>
      </c>
      <c r="P3059">
        <v>0.92463209999999996</v>
      </c>
      <c r="Q3059">
        <v>0.15436229999999901</v>
      </c>
      <c r="R3059">
        <v>-0.3481785</v>
      </c>
      <c r="S3059">
        <v>2.654404</v>
      </c>
      <c r="T3059">
        <v>-0.1584489</v>
      </c>
      <c r="U3059">
        <v>-1.652695</v>
      </c>
      <c r="V3059">
        <v>0.234073</v>
      </c>
      <c r="W3059">
        <v>0.16486120000000001</v>
      </c>
      <c r="X3059">
        <v>0.95813910000000002</v>
      </c>
      <c r="Y3059">
        <v>0.420099</v>
      </c>
      <c r="Z3059">
        <v>-9.4360590000000001E-3</v>
      </c>
      <c r="AA3059">
        <v>0.90742920000000005</v>
      </c>
      <c r="AB3059">
        <v>30</v>
      </c>
      <c r="AC3059">
        <v>18.4069</v>
      </c>
      <c r="AD3059">
        <v>-1.1168658699659999</v>
      </c>
      <c r="AE3059">
        <v>-11.608199999999901</v>
      </c>
      <c r="AF3059">
        <v>9.2441228377828608</v>
      </c>
      <c r="AG3059">
        <v>-1.1168658699659999</v>
      </c>
      <c r="AH3059">
        <v>19.637349912843099</v>
      </c>
      <c r="AI3059">
        <v>92.945735466194094</v>
      </c>
      <c r="AJ3059">
        <v>64.791670060438605</v>
      </c>
      <c r="AK3059">
        <v>21.7330786592915</v>
      </c>
      <c r="AL3059">
        <v>80.510828222851302</v>
      </c>
      <c r="AM3059">
        <v>76.271562938625806</v>
      </c>
      <c r="AN3059">
        <v>0.99999995977162404</v>
      </c>
    </row>
    <row r="3060" spans="1:40" x14ac:dyDescent="0.25">
      <c r="A3060" t="str">
        <f>"20190303162609935"</f>
        <v>20190303162609935</v>
      </c>
      <c r="B3060" t="str">
        <f>"1551601569926633"</f>
        <v>1551601569926633</v>
      </c>
      <c r="C3060" t="s">
        <v>40</v>
      </c>
      <c r="D3060">
        <v>4.3645060000000004</v>
      </c>
      <c r="E3060">
        <v>0.58522510000000005</v>
      </c>
      <c r="F3060" t="s">
        <v>46</v>
      </c>
      <c r="G3060">
        <v>-189.59280000000001</v>
      </c>
      <c r="H3060" s="1">
        <v>6.1445420000000001E-6</v>
      </c>
      <c r="I3060">
        <v>204.47829999999999</v>
      </c>
      <c r="J3060">
        <v>-207.97540000000001</v>
      </c>
      <c r="K3060">
        <v>1.116865</v>
      </c>
      <c r="L3060">
        <v>216.2664</v>
      </c>
      <c r="M3060">
        <v>0.99175950000000002</v>
      </c>
      <c r="N3060">
        <v>-1.3376509999999999E-2</v>
      </c>
      <c r="O3060">
        <v>-0.12741350000000001</v>
      </c>
      <c r="P3060">
        <v>0.92197099999999998</v>
      </c>
      <c r="Q3060">
        <v>0.1540146</v>
      </c>
      <c r="R3060">
        <v>-0.3553154</v>
      </c>
      <c r="S3060">
        <v>2.6409449999999999</v>
      </c>
      <c r="T3060">
        <v>-0.15794229999999901</v>
      </c>
      <c r="U3060">
        <v>-1.672882</v>
      </c>
      <c r="V3060">
        <v>0.236596</v>
      </c>
      <c r="W3060">
        <v>0.1644774</v>
      </c>
      <c r="X3060">
        <v>0.95758529999999997</v>
      </c>
      <c r="Y3060">
        <v>0.42251749999999999</v>
      </c>
      <c r="Z3060">
        <v>-9.3137199999999993E-3</v>
      </c>
      <c r="AA3060">
        <v>0.90630690000000003</v>
      </c>
      <c r="AB3060">
        <v>30</v>
      </c>
      <c r="AC3060">
        <v>18.3826</v>
      </c>
      <c r="AD3060">
        <v>-1.1168588554579999</v>
      </c>
      <c r="AE3060">
        <v>-11.7881</v>
      </c>
      <c r="AF3060">
        <v>9.32521311832914</v>
      </c>
      <c r="AG3060">
        <v>-1.1168588554579999</v>
      </c>
      <c r="AH3060">
        <v>19.683360777721902</v>
      </c>
      <c r="AI3060">
        <v>92.935424977571401</v>
      </c>
      <c r="AJ3060">
        <v>64.650220195925698</v>
      </c>
      <c r="AK3060">
        <v>21.809210552223899</v>
      </c>
      <c r="AL3060">
        <v>80.533123499546093</v>
      </c>
      <c r="AM3060">
        <v>76.121562163358405</v>
      </c>
      <c r="AN3060">
        <v>1.0000000445514201</v>
      </c>
    </row>
    <row r="3061" spans="1:40" x14ac:dyDescent="0.25">
      <c r="A3061" t="str">
        <f>"20190303162609960"</f>
        <v>20190303162609960</v>
      </c>
      <c r="B3061" t="str">
        <f>"1551601569946154"</f>
        <v>1551601569946154</v>
      </c>
      <c r="C3061" t="s">
        <v>40</v>
      </c>
      <c r="D3061">
        <v>4.3821949999999896</v>
      </c>
      <c r="E3061">
        <v>0.58522489999999905</v>
      </c>
      <c r="F3061" t="s">
        <v>46</v>
      </c>
      <c r="G3061">
        <v>-189.30369999999999</v>
      </c>
      <c r="H3061" s="1">
        <v>6.1658280000000003E-6</v>
      </c>
      <c r="I3061">
        <v>204.23679999999999</v>
      </c>
      <c r="J3061">
        <v>-207.65110000000001</v>
      </c>
      <c r="K3061">
        <v>1.1168610000000001</v>
      </c>
      <c r="L3061">
        <v>216.21870000000001</v>
      </c>
      <c r="M3061">
        <v>0.99102369999999995</v>
      </c>
      <c r="N3061">
        <v>-1.337637E-2</v>
      </c>
      <c r="O3061">
        <v>-0.13301540000000001</v>
      </c>
      <c r="P3061">
        <v>0.91890450000000001</v>
      </c>
      <c r="Q3061">
        <v>0.1542019</v>
      </c>
      <c r="R3061">
        <v>-0.36309279999999999</v>
      </c>
      <c r="S3061">
        <v>2.6277159999999999</v>
      </c>
      <c r="T3061">
        <v>-0.15717879999999901</v>
      </c>
      <c r="U3061">
        <v>-1.692963</v>
      </c>
      <c r="V3061">
        <v>0.23928749999999999</v>
      </c>
      <c r="W3061">
        <v>0.16462789999999999</v>
      </c>
      <c r="X3061">
        <v>0.95689029999999997</v>
      </c>
      <c r="Y3061">
        <v>0.42437209999999997</v>
      </c>
      <c r="Z3061">
        <v>-9.1423670000000002E-3</v>
      </c>
      <c r="AA3061">
        <v>0.90544179999999996</v>
      </c>
      <c r="AB3061">
        <v>30</v>
      </c>
      <c r="AC3061">
        <v>18.3474</v>
      </c>
      <c r="AD3061">
        <v>-1.1168548341719999</v>
      </c>
      <c r="AE3061">
        <v>-11.9819</v>
      </c>
      <c r="AF3061">
        <v>9.4102598401167494</v>
      </c>
      <c r="AG3061">
        <v>-1.1168548341719999</v>
      </c>
      <c r="AH3061">
        <v>19.727011473999202</v>
      </c>
      <c r="AI3061">
        <v>92.9252335207035</v>
      </c>
      <c r="AJ3061">
        <v>64.497733214366306</v>
      </c>
      <c r="AK3061">
        <v>21.885048244736002</v>
      </c>
      <c r="AL3061">
        <v>80.524380406972</v>
      </c>
      <c r="AM3061">
        <v>75.960097749803197</v>
      </c>
      <c r="AN3061">
        <v>0.999999949674373</v>
      </c>
    </row>
    <row r="3062" spans="1:40" x14ac:dyDescent="0.25">
      <c r="A3062" t="str">
        <f>"20190303162609983"</f>
        <v>20190303162609983</v>
      </c>
      <c r="B3062" t="str">
        <f>"1551601569976408"</f>
        <v>1551601569976408</v>
      </c>
      <c r="C3062" t="s">
        <v>40</v>
      </c>
      <c r="D3062">
        <v>4.3868679999999998</v>
      </c>
      <c r="E3062">
        <v>0.58517050000000004</v>
      </c>
      <c r="F3062" t="s">
        <v>46</v>
      </c>
      <c r="G3062">
        <v>-188.773</v>
      </c>
      <c r="H3062" s="1">
        <v>6.1923440000000004E-6</v>
      </c>
      <c r="I3062">
        <v>203.8289</v>
      </c>
      <c r="J3062">
        <v>-207.3425</v>
      </c>
      <c r="K3062">
        <v>1.1168579999999999</v>
      </c>
      <c r="L3062">
        <v>216.17140000000001</v>
      </c>
      <c r="M3062">
        <v>0.99029400000000001</v>
      </c>
      <c r="N3062">
        <v>-1.337585E-2</v>
      </c>
      <c r="O3062">
        <v>-0.13834399999999999</v>
      </c>
      <c r="P3062">
        <v>0.9159216</v>
      </c>
      <c r="Q3062">
        <v>0.15471650000000001</v>
      </c>
      <c r="R3062">
        <v>-0.37033880000000002</v>
      </c>
      <c r="S3062">
        <v>2.6130520000000002</v>
      </c>
      <c r="T3062">
        <v>-0.1545916</v>
      </c>
      <c r="U3062">
        <v>-1.7149509999999999</v>
      </c>
      <c r="V3062">
        <v>0.24171870000000001</v>
      </c>
      <c r="W3062">
        <v>0.16510910000000001</v>
      </c>
      <c r="X3062">
        <v>0.95619609999999999</v>
      </c>
      <c r="Y3062">
        <v>0.42716959999999998</v>
      </c>
      <c r="Z3062">
        <v>-8.9686739999999994E-3</v>
      </c>
      <c r="AA3062">
        <v>0.90412709999999996</v>
      </c>
      <c r="AB3062">
        <v>30</v>
      </c>
      <c r="AC3062">
        <v>18.569500000000001</v>
      </c>
      <c r="AD3062">
        <v>-1.1168518076559999</v>
      </c>
      <c r="AE3062">
        <v>-12.342499999999999</v>
      </c>
      <c r="AF3062">
        <v>9.6304253724086504</v>
      </c>
      <c r="AG3062">
        <v>-1.1168518076559999</v>
      </c>
      <c r="AH3062">
        <v>20.048271374041299</v>
      </c>
      <c r="AI3062">
        <v>92.874697356855805</v>
      </c>
      <c r="AJ3062">
        <v>64.342144861433397</v>
      </c>
      <c r="AK3062">
        <v>22.2693878654309</v>
      </c>
      <c r="AL3062">
        <v>80.496427281565801</v>
      </c>
      <c r="AM3062">
        <v>75.813297275255394</v>
      </c>
      <c r="AN3062">
        <v>0.99999996324385398</v>
      </c>
    </row>
    <row r="3063" spans="1:40" x14ac:dyDescent="0.25">
      <c r="A3063" t="str">
        <f>"20190303162610009"</f>
        <v>20190303162610009</v>
      </c>
      <c r="B3063" t="str">
        <f>"1551601569996904"</f>
        <v>1551601569996904</v>
      </c>
      <c r="C3063" t="s">
        <v>40</v>
      </c>
      <c r="D3063">
        <v>4.4071220000000002</v>
      </c>
      <c r="E3063">
        <v>0.58510039999999996</v>
      </c>
      <c r="F3063" t="s">
        <v>46</v>
      </c>
      <c r="G3063">
        <v>-188.2336</v>
      </c>
      <c r="H3063" s="1">
        <v>6.2158559999999997E-6</v>
      </c>
      <c r="I3063">
        <v>203.42400000000001</v>
      </c>
      <c r="J3063">
        <v>-206.99889999999999</v>
      </c>
      <c r="K3063">
        <v>1.1168640000000001</v>
      </c>
      <c r="L3063">
        <v>216.11670000000001</v>
      </c>
      <c r="M3063">
        <v>0.98944810000000005</v>
      </c>
      <c r="N3063">
        <v>-1.3375140000000001E-2</v>
      </c>
      <c r="O3063">
        <v>-0.1442687</v>
      </c>
      <c r="P3063">
        <v>0.91285349999999998</v>
      </c>
      <c r="Q3063">
        <v>0.1541862</v>
      </c>
      <c r="R3063">
        <v>-0.37805460000000002</v>
      </c>
      <c r="S3063">
        <v>2.5998079999999999</v>
      </c>
      <c r="T3063">
        <v>-0.15195</v>
      </c>
      <c r="U3063">
        <v>-1.734299</v>
      </c>
      <c r="V3063">
        <v>0.2440495</v>
      </c>
      <c r="W3063">
        <v>0.16455029999999901</v>
      </c>
      <c r="X3063">
        <v>0.95570029999999995</v>
      </c>
      <c r="Y3063">
        <v>0.42855700000000002</v>
      </c>
      <c r="Z3063">
        <v>-8.7270850000000007E-3</v>
      </c>
      <c r="AA3063">
        <v>0.90347259999999996</v>
      </c>
      <c r="AB3063">
        <v>30</v>
      </c>
      <c r="AC3063">
        <v>18.7653</v>
      </c>
      <c r="AD3063">
        <v>-1.1168577841439999</v>
      </c>
      <c r="AE3063">
        <v>-12.6927</v>
      </c>
      <c r="AF3063">
        <v>9.8285172517574697</v>
      </c>
      <c r="AG3063">
        <v>-1.1168577841439999</v>
      </c>
      <c r="AH3063">
        <v>20.350815432582301</v>
      </c>
      <c r="AI3063">
        <v>92.829181665768203</v>
      </c>
      <c r="AJ3063">
        <v>64.221572710848406</v>
      </c>
      <c r="AK3063">
        <v>22.627479122719901</v>
      </c>
      <c r="AL3063">
        <v>80.528888625147005</v>
      </c>
      <c r="AM3063">
        <v>75.674977365683304</v>
      </c>
      <c r="AN3063">
        <v>1.0000000115502099</v>
      </c>
    </row>
    <row r="3064" spans="1:40" x14ac:dyDescent="0.25">
      <c r="A3064" t="str">
        <f>"20190303162610043"</f>
        <v>20190303162610043</v>
      </c>
      <c r="B3064" t="str">
        <f>"1551601570035945"</f>
        <v>1551601570035945</v>
      </c>
      <c r="C3064" t="s">
        <v>40</v>
      </c>
      <c r="D3064">
        <v>4.5207069999999998</v>
      </c>
      <c r="E3064">
        <v>0.58487369999999905</v>
      </c>
      <c r="F3064" t="s">
        <v>46</v>
      </c>
      <c r="G3064">
        <v>-187.97569999999999</v>
      </c>
      <c r="H3064" s="1">
        <v>6.2384420000000002E-6</v>
      </c>
      <c r="I3064">
        <v>203.19839999999999</v>
      </c>
      <c r="J3064">
        <v>-206.54759999999999</v>
      </c>
      <c r="K3064">
        <v>1.11687</v>
      </c>
      <c r="L3064">
        <v>216.0419</v>
      </c>
      <c r="M3064">
        <v>0.98828329999999998</v>
      </c>
      <c r="N3064">
        <v>-1.337405E-2</v>
      </c>
      <c r="O3064">
        <v>-0.15204379999999901</v>
      </c>
      <c r="P3064">
        <v>0.90807420000000005</v>
      </c>
      <c r="Q3064">
        <v>0.1527462</v>
      </c>
      <c r="R3064">
        <v>-0.38996189999999997</v>
      </c>
      <c r="S3064">
        <v>2.5850219999999999</v>
      </c>
      <c r="T3064">
        <v>-0.15176770000000001</v>
      </c>
      <c r="U3064">
        <v>-1.755447</v>
      </c>
      <c r="V3064">
        <v>0.24898980000000001</v>
      </c>
      <c r="W3064">
        <v>0.16304839999999901</v>
      </c>
      <c r="X3064">
        <v>0.95468280000000005</v>
      </c>
      <c r="Y3064">
        <v>0.42891879999999999</v>
      </c>
      <c r="Z3064">
        <v>-8.4457839999999996E-3</v>
      </c>
      <c r="AA3064">
        <v>0.90330359999999998</v>
      </c>
      <c r="AB3064">
        <v>30</v>
      </c>
      <c r="AC3064">
        <v>18.571899999999999</v>
      </c>
      <c r="AD3064">
        <v>-1.1168637615579999</v>
      </c>
      <c r="AE3064">
        <v>-12.843500000000001</v>
      </c>
      <c r="AF3064">
        <v>9.8460686307145604</v>
      </c>
      <c r="AG3064">
        <v>-1.1168637615579999</v>
      </c>
      <c r="AH3064">
        <v>20.259325022203701</v>
      </c>
      <c r="AI3064">
        <v>92.838561870931599</v>
      </c>
      <c r="AJ3064">
        <v>64.080164204354205</v>
      </c>
      <c r="AK3064">
        <v>22.552886788566799</v>
      </c>
      <c r="AL3064">
        <v>80.616118983803602</v>
      </c>
      <c r="AM3064">
        <v>75.382378815451602</v>
      </c>
      <c r="AN3064">
        <v>0.99999997493121895</v>
      </c>
    </row>
    <row r="3065" spans="1:40" x14ac:dyDescent="0.25">
      <c r="A3065" t="str">
        <f>"20190303162610069"</f>
        <v>20190303162610069</v>
      </c>
      <c r="B3065" t="str">
        <f>"1551601570056440"</f>
        <v>1551601570056440</v>
      </c>
      <c r="C3065" t="s">
        <v>40</v>
      </c>
      <c r="D3065">
        <v>4.5389089999999896</v>
      </c>
      <c r="E3065">
        <v>0.5760035</v>
      </c>
      <c r="F3065" t="s">
        <v>46</v>
      </c>
      <c r="G3065">
        <v>-187.8503</v>
      </c>
      <c r="H3065" s="1">
        <v>6.281327E-6</v>
      </c>
      <c r="I3065">
        <v>202.9984</v>
      </c>
      <c r="J3065">
        <v>-206.21629999999999</v>
      </c>
      <c r="K3065">
        <v>1.1168769999999999</v>
      </c>
      <c r="L3065">
        <v>215.9845</v>
      </c>
      <c r="M3065">
        <v>0.98738800000000004</v>
      </c>
      <c r="N3065">
        <v>-1.337323E-2</v>
      </c>
      <c r="O3065">
        <v>-0.15775359999999999</v>
      </c>
      <c r="P3065">
        <v>0.90464230000000001</v>
      </c>
      <c r="Q3065">
        <v>0.15300720000000001</v>
      </c>
      <c r="R3065">
        <v>-0.397758</v>
      </c>
      <c r="S3065">
        <v>2.5619350000000001</v>
      </c>
      <c r="T3065">
        <v>-0.1530348</v>
      </c>
      <c r="U3065">
        <v>-1.787231</v>
      </c>
      <c r="V3065">
        <v>0.25169629999999998</v>
      </c>
      <c r="W3065">
        <v>0.16327320000000001</v>
      </c>
      <c r="X3065">
        <v>0.95393439999999996</v>
      </c>
      <c r="Y3065">
        <v>0.43502800000000003</v>
      </c>
      <c r="Z3065">
        <v>-8.4786830000000007E-3</v>
      </c>
      <c r="AA3065">
        <v>0.90037699999999998</v>
      </c>
      <c r="AB3065">
        <v>30</v>
      </c>
      <c r="AC3065">
        <v>18.3659999999999</v>
      </c>
      <c r="AD3065">
        <v>-1.116870718673</v>
      </c>
      <c r="AE3065">
        <v>-12.986099999999899</v>
      </c>
      <c r="AF3065">
        <v>9.9014919958090104</v>
      </c>
      <c r="AG3065">
        <v>-1.116870718673</v>
      </c>
      <c r="AH3065">
        <v>20.135133500929001</v>
      </c>
      <c r="AI3065">
        <v>92.849596736730405</v>
      </c>
      <c r="AJ3065">
        <v>63.814255576632497</v>
      </c>
      <c r="AK3065">
        <v>22.465763842912899</v>
      </c>
      <c r="AL3065">
        <v>80.603064208412903</v>
      </c>
      <c r="AM3065">
        <v>75.219317296488796</v>
      </c>
      <c r="AN3065">
        <v>1.0000000023876401</v>
      </c>
    </row>
    <row r="3066" spans="1:40" x14ac:dyDescent="0.25">
      <c r="A3066" t="str">
        <f>"20190303162610093"</f>
        <v>20190303162610093</v>
      </c>
      <c r="B3066" t="str">
        <f>"1551601570086696"</f>
        <v>1551601570086696</v>
      </c>
      <c r="C3066" t="s">
        <v>40</v>
      </c>
      <c r="D3066">
        <v>4.5273979999999998</v>
      </c>
      <c r="E3066">
        <v>0.576183</v>
      </c>
      <c r="F3066" t="s">
        <v>46</v>
      </c>
      <c r="G3066">
        <v>-187.0078</v>
      </c>
      <c r="H3066" s="1">
        <v>6.1018109999999998E-6</v>
      </c>
      <c r="I3066">
        <v>202.9778</v>
      </c>
      <c r="J3066">
        <v>-205.8929</v>
      </c>
      <c r="K3066">
        <v>1.1168769999999999</v>
      </c>
      <c r="L3066">
        <v>215.92670000000001</v>
      </c>
      <c r="M3066">
        <v>0.9864792</v>
      </c>
      <c r="N3066">
        <v>-1.337257E-2</v>
      </c>
      <c r="O3066">
        <v>-0.1633406</v>
      </c>
      <c r="P3066">
        <v>0.90100199999999997</v>
      </c>
      <c r="Q3066">
        <v>0.15334729999999999</v>
      </c>
      <c r="R3066">
        <v>-0.40580850000000002</v>
      </c>
      <c r="S3066">
        <v>2.5749209999999998</v>
      </c>
      <c r="T3066">
        <v>-0.14971799999999999</v>
      </c>
      <c r="U3066">
        <v>-1.7435609999999999</v>
      </c>
      <c r="V3066">
        <v>0.25482129999999997</v>
      </c>
      <c r="W3066">
        <v>0.16356870000000001</v>
      </c>
      <c r="X3066">
        <v>0.9530537</v>
      </c>
      <c r="Y3066">
        <v>0.41737679999999999</v>
      </c>
      <c r="Z3066">
        <v>-7.5919940000000003E-3</v>
      </c>
      <c r="AA3066">
        <v>0.9087018</v>
      </c>
      <c r="AB3066">
        <v>30</v>
      </c>
      <c r="AC3066">
        <v>18.885099999999898</v>
      </c>
      <c r="AD3066">
        <v>-1.1168708981890001</v>
      </c>
      <c r="AE3066">
        <v>-12.9489</v>
      </c>
      <c r="AF3066">
        <v>9.6669839688930495</v>
      </c>
      <c r="AG3066">
        <v>-1.1168708981890001</v>
      </c>
      <c r="AH3066">
        <v>20.697451722165301</v>
      </c>
      <c r="AI3066">
        <v>92.799066905237893</v>
      </c>
      <c r="AJ3066">
        <v>64.964530091814296</v>
      </c>
      <c r="AK3066">
        <v>22.870996643115902</v>
      </c>
      <c r="AL3066">
        <v>80.5859024252794</v>
      </c>
      <c r="AM3066">
        <v>75.030779808444095</v>
      </c>
      <c r="AN3066">
        <v>0.99999998481853403</v>
      </c>
    </row>
    <row r="3067" spans="1:40" x14ac:dyDescent="0.25">
      <c r="A3067" t="str">
        <f>"20190303162610115"</f>
        <v>20190303162610115</v>
      </c>
      <c r="B3067" t="str">
        <f>"1551601570106216"</f>
        <v>1551601570106216</v>
      </c>
      <c r="C3067" t="s">
        <v>40</v>
      </c>
      <c r="D3067">
        <v>4.5706519999999999</v>
      </c>
      <c r="E3067">
        <v>0.57738990000000001</v>
      </c>
      <c r="F3067" t="s">
        <v>46</v>
      </c>
      <c r="G3067">
        <v>-185.44139999999999</v>
      </c>
      <c r="H3067" s="1">
        <v>6.1673430000000004E-6</v>
      </c>
      <c r="I3067">
        <v>201.78829999999999</v>
      </c>
      <c r="J3067">
        <v>-205.62100000000001</v>
      </c>
      <c r="K3067">
        <v>1.116868</v>
      </c>
      <c r="L3067">
        <v>215.87649999999999</v>
      </c>
      <c r="M3067">
        <v>0.98568370000000005</v>
      </c>
      <c r="N3067">
        <v>-1.33726E-2</v>
      </c>
      <c r="O3067">
        <v>-0.16807420000000001</v>
      </c>
      <c r="P3067">
        <v>0.89810709999999905</v>
      </c>
      <c r="Q3067">
        <v>0.15355379999999999</v>
      </c>
      <c r="R3067">
        <v>-0.41209849999999998</v>
      </c>
      <c r="S3067">
        <v>2.5572050000000002</v>
      </c>
      <c r="T3067">
        <v>-0.13965069999999999</v>
      </c>
      <c r="U3067">
        <v>-1.767822</v>
      </c>
      <c r="V3067">
        <v>0.25692769999999998</v>
      </c>
      <c r="W3067">
        <v>0.16373750000000001</v>
      </c>
      <c r="X3067">
        <v>0.95245899999999994</v>
      </c>
      <c r="Y3067">
        <v>0.42183399999999999</v>
      </c>
      <c r="Z3067">
        <v>-7.4116900000000003E-3</v>
      </c>
      <c r="AA3067">
        <v>0.90664279999999997</v>
      </c>
      <c r="AB3067">
        <v>30</v>
      </c>
      <c r="AC3067">
        <v>20.179599999999901</v>
      </c>
      <c r="AD3067">
        <v>-1.1168618326569999</v>
      </c>
      <c r="AE3067">
        <v>-14.088200000000001</v>
      </c>
      <c r="AF3067">
        <v>10.4742060143326</v>
      </c>
      <c r="AG3067">
        <v>-1.1168618326569999</v>
      </c>
      <c r="AH3067">
        <v>22.2148051671108</v>
      </c>
      <c r="AI3067">
        <v>92.603694109342797</v>
      </c>
      <c r="AJ3067">
        <v>64.756279893100697</v>
      </c>
      <c r="AK3067">
        <v>24.585645010790799</v>
      </c>
      <c r="AL3067">
        <v>80.576098671111595</v>
      </c>
      <c r="AM3067">
        <v>74.903670709798206</v>
      </c>
      <c r="AN3067">
        <v>0.99999997930726903</v>
      </c>
    </row>
    <row r="3068" spans="1:40" x14ac:dyDescent="0.25">
      <c r="A3068" t="str">
        <f>"20190303162610140"</f>
        <v>20190303162610140</v>
      </c>
      <c r="B3068" t="str">
        <f>"1551601570126713"</f>
        <v>1551601570126713</v>
      </c>
      <c r="C3068" t="s">
        <v>40</v>
      </c>
      <c r="D3068">
        <v>4.6345340000000004</v>
      </c>
      <c r="E3068">
        <v>0.57720070000000001</v>
      </c>
      <c r="F3068" t="s">
        <v>41</v>
      </c>
      <c r="G3068">
        <v>-182.5333</v>
      </c>
      <c r="H3068" s="1">
        <v>-5.5754459999999899E-6</v>
      </c>
      <c r="I3068">
        <v>199.5419</v>
      </c>
      <c r="J3068">
        <v>-205.28989999999999</v>
      </c>
      <c r="K3068">
        <v>1.1168370000000001</v>
      </c>
      <c r="L3068">
        <v>215.81360000000001</v>
      </c>
      <c r="M3068">
        <v>0.98466969999999998</v>
      </c>
      <c r="N3068">
        <v>-1.337429E-2</v>
      </c>
      <c r="O3068">
        <v>-0.1739154</v>
      </c>
      <c r="P3068">
        <v>0.89505210000000002</v>
      </c>
      <c r="Q3068">
        <v>0.15407779999999999</v>
      </c>
      <c r="R3068">
        <v>-0.41849989999999998</v>
      </c>
      <c r="S3068">
        <v>2.5375670000000001</v>
      </c>
      <c r="T3068">
        <v>-0.1227553</v>
      </c>
      <c r="U3068">
        <v>-1.795334</v>
      </c>
      <c r="V3068">
        <v>0.25812049999999997</v>
      </c>
      <c r="W3068">
        <v>0.16421920000000001</v>
      </c>
      <c r="X3068">
        <v>0.9520535</v>
      </c>
      <c r="Y3068">
        <v>0.42639139999999998</v>
      </c>
      <c r="Z3068">
        <v>-7.1139319999999999E-3</v>
      </c>
      <c r="AA3068">
        <v>0.90451079999999995</v>
      </c>
      <c r="AB3068">
        <v>30</v>
      </c>
      <c r="AC3068">
        <v>22.756599999999899</v>
      </c>
      <c r="AD3068">
        <v>-1.1168425754459901</v>
      </c>
      <c r="AE3068">
        <v>-16.271699999999999</v>
      </c>
      <c r="AF3068">
        <v>12.0464075241074</v>
      </c>
      <c r="AG3068">
        <v>-1.1168425754459901</v>
      </c>
      <c r="AH3068">
        <v>25.199730292426</v>
      </c>
      <c r="AI3068">
        <v>92.289793778092999</v>
      </c>
      <c r="AJ3068">
        <v>64.450467260893802</v>
      </c>
      <c r="AK3068">
        <v>27.953348250007799</v>
      </c>
      <c r="AL3068">
        <v>80.548120801431594</v>
      </c>
      <c r="AM3068">
        <v>74.830644435189299</v>
      </c>
      <c r="AN3068">
        <v>1.00000000251557</v>
      </c>
    </row>
    <row r="3069" spans="1:40" x14ac:dyDescent="0.25">
      <c r="A3069" t="str">
        <f>"20190303162610159"</f>
        <v>20190303162610159</v>
      </c>
      <c r="B3069" t="str">
        <f>"1551601570146232"</f>
        <v>1551601570146232</v>
      </c>
      <c r="C3069" t="s">
        <v>40</v>
      </c>
      <c r="D3069">
        <v>4.5766859999999996</v>
      </c>
      <c r="E3069">
        <v>0.57763399999999998</v>
      </c>
      <c r="F3069" t="s">
        <v>41</v>
      </c>
      <c r="G3069">
        <v>-181.82679999999999</v>
      </c>
      <c r="H3069" s="1">
        <v>-5.4533659999999997E-6</v>
      </c>
      <c r="I3069">
        <v>198.96520000000001</v>
      </c>
      <c r="J3069">
        <v>-205.0361</v>
      </c>
      <c r="K3069">
        <v>1.1167910000000001</v>
      </c>
      <c r="L3069">
        <v>215.76390000000001</v>
      </c>
      <c r="M3069">
        <v>0.9838538</v>
      </c>
      <c r="N3069">
        <v>-1.337722E-2</v>
      </c>
      <c r="O3069">
        <v>-0.17847399999999999</v>
      </c>
      <c r="P3069">
        <v>0.89243309999999998</v>
      </c>
      <c r="Q3069">
        <v>0.15572220000000001</v>
      </c>
      <c r="R3069">
        <v>-0.42345460000000001</v>
      </c>
      <c r="S3069">
        <v>2.5247649999999999</v>
      </c>
      <c r="T3069">
        <v>-0.1201786</v>
      </c>
      <c r="U3069">
        <v>-1.812988</v>
      </c>
      <c r="V3069">
        <v>0.25907960000000002</v>
      </c>
      <c r="W3069">
        <v>0.165816299999999</v>
      </c>
      <c r="X3069">
        <v>0.95151600000000003</v>
      </c>
      <c r="Y3069">
        <v>0.42855779999999899</v>
      </c>
      <c r="Z3069">
        <v>-7.0163119999999898E-3</v>
      </c>
      <c r="AA3069">
        <v>0.90348709999999999</v>
      </c>
      <c r="AB3069">
        <v>29</v>
      </c>
      <c r="AC3069">
        <v>23.209299999999999</v>
      </c>
      <c r="AD3069">
        <v>-1.116796453366</v>
      </c>
      <c r="AE3069">
        <v>-16.798699999999901</v>
      </c>
      <c r="AF3069">
        <v>12.3675238539074</v>
      </c>
      <c r="AG3069">
        <v>-1.116796453366</v>
      </c>
      <c r="AH3069">
        <v>25.795803669374902</v>
      </c>
      <c r="AI3069">
        <v>92.235624726980504</v>
      </c>
      <c r="AJ3069">
        <v>64.385106635755093</v>
      </c>
      <c r="AK3069">
        <v>28.629117477563899</v>
      </c>
      <c r="AL3069">
        <v>80.455341648683103</v>
      </c>
      <c r="AM3069">
        <v>74.768690511930899</v>
      </c>
      <c r="AN3069">
        <v>0.99999999136892503</v>
      </c>
    </row>
    <row r="3070" spans="1:40" x14ac:dyDescent="0.25">
      <c r="A3070" t="str">
        <f>"20190303162610183"</f>
        <v>20190303162610183</v>
      </c>
      <c r="B3070" t="str">
        <f>"1551601570176489"</f>
        <v>1551601570176489</v>
      </c>
      <c r="C3070" t="s">
        <v>40</v>
      </c>
      <c r="D3070">
        <v>4.6408399999999999</v>
      </c>
      <c r="E3070">
        <v>0.5774977</v>
      </c>
      <c r="F3070" t="s">
        <v>41</v>
      </c>
      <c r="G3070">
        <v>-179.95779999999999</v>
      </c>
      <c r="H3070">
        <v>2.655789E-3</v>
      </c>
      <c r="I3070">
        <v>197.4854</v>
      </c>
      <c r="J3070">
        <v>-204.72800000000001</v>
      </c>
      <c r="K3070">
        <v>1.11673</v>
      </c>
      <c r="L3070">
        <v>215.70169999999999</v>
      </c>
      <c r="M3070">
        <v>0.98281560000000001</v>
      </c>
      <c r="N3070">
        <v>-1.3382120000000001E-2</v>
      </c>
      <c r="O3070">
        <v>-0.18410509999999999</v>
      </c>
      <c r="P3070">
        <v>0.88893989999999901</v>
      </c>
      <c r="Q3070">
        <v>0.15758029999999901</v>
      </c>
      <c r="R3070">
        <v>-0.4300641</v>
      </c>
      <c r="S3070">
        <v>2.5122529999999998</v>
      </c>
      <c r="T3070">
        <v>-0.1116099</v>
      </c>
      <c r="U3070">
        <v>-1.83107</v>
      </c>
      <c r="V3070">
        <v>0.2608027</v>
      </c>
      <c r="W3070">
        <v>0.16760439999999999</v>
      </c>
      <c r="X3070">
        <v>0.95073169999999996</v>
      </c>
      <c r="Y3070">
        <v>0.42981279999999999</v>
      </c>
      <c r="Z3070">
        <v>-6.7964380000000001E-3</v>
      </c>
      <c r="AA3070">
        <v>0.90289249999999999</v>
      </c>
      <c r="AB3070">
        <v>29</v>
      </c>
      <c r="AC3070">
        <v>24.7701999999999</v>
      </c>
      <c r="AD3070">
        <v>-1.1140742109999999</v>
      </c>
      <c r="AE3070">
        <v>-18.216299999999901</v>
      </c>
      <c r="AF3070">
        <v>13.3266408945051</v>
      </c>
      <c r="AG3070">
        <v>-1.1140742109999999</v>
      </c>
      <c r="AH3070">
        <v>27.6644102291684</v>
      </c>
      <c r="AI3070">
        <v>92.077825761573195</v>
      </c>
      <c r="AJ3070">
        <v>64.278715698241598</v>
      </c>
      <c r="AK3070">
        <v>30.727188485223099</v>
      </c>
      <c r="AL3070">
        <v>80.351437319232602</v>
      </c>
      <c r="AM3070">
        <v>74.660090109620398</v>
      </c>
      <c r="AN3070">
        <v>1.0000000243057601</v>
      </c>
    </row>
    <row r="3071" spans="1:40" x14ac:dyDescent="0.25">
      <c r="A3071" t="str">
        <f>"20190303162610208"</f>
        <v>20190303162610208</v>
      </c>
      <c r="B3071" t="str">
        <f>"1551601570196008"</f>
        <v>1551601570196008</v>
      </c>
      <c r="C3071" t="s">
        <v>40</v>
      </c>
      <c r="D3071">
        <v>4.668933</v>
      </c>
      <c r="E3071">
        <v>0.57735400000000003</v>
      </c>
      <c r="F3071" t="s">
        <v>41</v>
      </c>
      <c r="G3071">
        <v>-179.94040000000001</v>
      </c>
      <c r="H3071">
        <v>6.7386589999999996E-2</v>
      </c>
      <c r="I3071">
        <v>197.36429999999999</v>
      </c>
      <c r="J3071">
        <v>-204.39840000000001</v>
      </c>
      <c r="K3071">
        <v>1.1166469999999999</v>
      </c>
      <c r="L3071">
        <v>215.63300000000001</v>
      </c>
      <c r="M3071">
        <v>0.98163990000000001</v>
      </c>
      <c r="N3071">
        <v>-1.338777E-2</v>
      </c>
      <c r="O3071">
        <v>-0.19027330000000001</v>
      </c>
      <c r="P3071">
        <v>0.88519190000000003</v>
      </c>
      <c r="Q3071">
        <v>0.15888329999999901</v>
      </c>
      <c r="R3071">
        <v>-0.4372547</v>
      </c>
      <c r="S3071">
        <v>2.4991150000000002</v>
      </c>
      <c r="T3071">
        <v>-0.105796</v>
      </c>
      <c r="U3071">
        <v>-1.8488009999999999</v>
      </c>
      <c r="V3071">
        <v>0.2626368</v>
      </c>
      <c r="W3071">
        <v>0.16882649999999999</v>
      </c>
      <c r="X3071">
        <v>0.95001029999999997</v>
      </c>
      <c r="Y3071">
        <v>0.43057800000000002</v>
      </c>
      <c r="Z3071">
        <v>-6.6087159999999997E-3</v>
      </c>
      <c r="AA3071">
        <v>0.90252920000000003</v>
      </c>
      <c r="AB3071">
        <v>29</v>
      </c>
      <c r="AC3071">
        <v>24.457999999999998</v>
      </c>
      <c r="AD3071">
        <v>-1.04926041</v>
      </c>
      <c r="AE3071">
        <v>-18.2686999999999</v>
      </c>
      <c r="AF3071">
        <v>13.2650995934641</v>
      </c>
      <c r="AG3071">
        <v>-1.04926041</v>
      </c>
      <c r="AH3071">
        <v>27.455023171163798</v>
      </c>
      <c r="AI3071">
        <v>91.970849922525602</v>
      </c>
      <c r="AJ3071">
        <v>64.212142041917403</v>
      </c>
      <c r="AK3071">
        <v>30.509705209353601</v>
      </c>
      <c r="AL3071">
        <v>80.280403923074005</v>
      </c>
      <c r="AM3071">
        <v>74.546178118486097</v>
      </c>
      <c r="AN3071">
        <v>1.00000002296128</v>
      </c>
    </row>
    <row r="3072" spans="1:40" x14ac:dyDescent="0.25">
      <c r="A3072" t="str">
        <f>"20190303162610230"</f>
        <v>20190303162610230</v>
      </c>
      <c r="B3072" t="str">
        <f>"1551601570216504"</f>
        <v>1551601570216504</v>
      </c>
      <c r="C3072" t="s">
        <v>40</v>
      </c>
      <c r="D3072">
        <v>4.6991509999999996</v>
      </c>
      <c r="E3072">
        <v>0.57706469999999999</v>
      </c>
      <c r="F3072" t="s">
        <v>41</v>
      </c>
      <c r="G3072">
        <v>-178.96109999999999</v>
      </c>
      <c r="H3072">
        <v>7.998595E-2</v>
      </c>
      <c r="I3072">
        <v>196.5068</v>
      </c>
      <c r="J3072">
        <v>-204.1189</v>
      </c>
      <c r="K3072">
        <v>1.116563</v>
      </c>
      <c r="L3072">
        <v>215.57300000000001</v>
      </c>
      <c r="M3072">
        <v>0.98058369999999995</v>
      </c>
      <c r="N3072">
        <v>-1.339366E-2</v>
      </c>
      <c r="O3072">
        <v>-0.1956436</v>
      </c>
      <c r="P3072">
        <v>0.881915</v>
      </c>
      <c r="Q3072">
        <v>0.15915309999999999</v>
      </c>
      <c r="R3072">
        <v>-0.44373099999999999</v>
      </c>
      <c r="S3072">
        <v>2.4844819999999999</v>
      </c>
      <c r="T3072">
        <v>-0.1012516</v>
      </c>
      <c r="U3072">
        <v>-1.8680730000000001</v>
      </c>
      <c r="V3072">
        <v>0.2644512</v>
      </c>
      <c r="W3072">
        <v>0.16902010000000001</v>
      </c>
      <c r="X3072">
        <v>0.94947239999999999</v>
      </c>
      <c r="Y3072">
        <v>0.43268030000000002</v>
      </c>
      <c r="Z3072">
        <v>-6.5058319999999996E-3</v>
      </c>
      <c r="AA3072">
        <v>0.90152390000000004</v>
      </c>
      <c r="AB3072">
        <v>29</v>
      </c>
      <c r="AC3072">
        <v>25.157800000000002</v>
      </c>
      <c r="AD3072">
        <v>-1.03657705</v>
      </c>
      <c r="AE3072">
        <v>-19.066199999999899</v>
      </c>
      <c r="AF3072">
        <v>13.760438244576299</v>
      </c>
      <c r="AG3072">
        <v>-1.03657705</v>
      </c>
      <c r="AH3072">
        <v>28.371459420276501</v>
      </c>
      <c r="AI3072">
        <v>91.882831496068903</v>
      </c>
      <c r="AJ3072">
        <v>64.126156303552506</v>
      </c>
      <c r="AK3072">
        <v>31.549387669173299</v>
      </c>
      <c r="AL3072">
        <v>80.269149845663094</v>
      </c>
      <c r="AM3072">
        <v>74.436184410180104</v>
      </c>
      <c r="AN3072">
        <v>1.0000000348736</v>
      </c>
    </row>
    <row r="3073" spans="1:40" x14ac:dyDescent="0.25">
      <c r="A3073" t="str">
        <f>"20190303162610254"</f>
        <v>20190303162610254</v>
      </c>
      <c r="B3073" t="str">
        <f>"1551601570246761"</f>
        <v>1551601570246761</v>
      </c>
      <c r="C3073" t="s">
        <v>40</v>
      </c>
      <c r="D3073">
        <v>4.7267190000000001</v>
      </c>
      <c r="E3073">
        <v>0.57658929999999997</v>
      </c>
      <c r="F3073" t="s">
        <v>41</v>
      </c>
      <c r="G3073">
        <v>-179.1859</v>
      </c>
      <c r="H3073">
        <v>7.9985970000000003E-2</v>
      </c>
      <c r="I3073">
        <v>196.56950000000001</v>
      </c>
      <c r="J3073">
        <v>-203.80860000000001</v>
      </c>
      <c r="K3073">
        <v>1.1164510000000001</v>
      </c>
      <c r="L3073">
        <v>215.5043</v>
      </c>
      <c r="M3073">
        <v>0.9793404</v>
      </c>
      <c r="N3073">
        <v>-1.340208E-2</v>
      </c>
      <c r="O3073">
        <v>-0.20177490000000001</v>
      </c>
      <c r="P3073">
        <v>0.87815900000000002</v>
      </c>
      <c r="Q3073">
        <v>0.159489299999999</v>
      </c>
      <c r="R3073">
        <v>-0.45099909999999999</v>
      </c>
      <c r="S3073">
        <v>2.4721980000000001</v>
      </c>
      <c r="T3073">
        <v>-0.1027803</v>
      </c>
      <c r="U3073">
        <v>-1.8842620000000001</v>
      </c>
      <c r="V3073">
        <v>0.26641819999999999</v>
      </c>
      <c r="W3073">
        <v>0.16926260000000001</v>
      </c>
      <c r="X3073">
        <v>0.94887909999999998</v>
      </c>
      <c r="Y3073">
        <v>0.4329286</v>
      </c>
      <c r="Z3073">
        <v>-6.3958089999999997E-3</v>
      </c>
      <c r="AA3073">
        <v>0.90140549999999997</v>
      </c>
      <c r="AB3073">
        <v>29</v>
      </c>
      <c r="AC3073">
        <v>24.622699999999998</v>
      </c>
      <c r="AD3073">
        <v>-1.03646503</v>
      </c>
      <c r="AE3073">
        <v>-18.934799999999999</v>
      </c>
      <c r="AF3073">
        <v>13.561488750331501</v>
      </c>
      <c r="AG3073">
        <v>-1.03646503</v>
      </c>
      <c r="AH3073">
        <v>27.906004600573802</v>
      </c>
      <c r="AI3073">
        <v>91.913284544744698</v>
      </c>
      <c r="AJ3073">
        <v>64.081625786345597</v>
      </c>
      <c r="AK3073">
        <v>31.044054658678601</v>
      </c>
      <c r="AL3073">
        <v>80.255052313963006</v>
      </c>
      <c r="AM3073">
        <v>74.316772147234303</v>
      </c>
      <c r="AN3073">
        <v>1.0000000157333999</v>
      </c>
    </row>
    <row r="3074" spans="1:40" x14ac:dyDescent="0.25">
      <c r="A3074" t="str">
        <f>"20190303162610273"</f>
        <v>20190303162610273</v>
      </c>
      <c r="B3074" t="str">
        <f>"1551601570266281"</f>
        <v>1551601570266281</v>
      </c>
      <c r="C3074" t="s">
        <v>40</v>
      </c>
      <c r="D3074">
        <v>4.7627540000000002</v>
      </c>
      <c r="E3074">
        <v>0.57627839999999997</v>
      </c>
      <c r="F3074" t="s">
        <v>41</v>
      </c>
      <c r="G3074">
        <v>-179.1525</v>
      </c>
      <c r="H3074">
        <v>7.9985929999999997E-2</v>
      </c>
      <c r="I3074">
        <v>196.44329999999999</v>
      </c>
      <c r="J3074">
        <v>-203.5626</v>
      </c>
      <c r="K3074">
        <v>1.1163459999999901</v>
      </c>
      <c r="L3074">
        <v>215.44820000000001</v>
      </c>
      <c r="M3074">
        <v>0.97829469999999996</v>
      </c>
      <c r="N3074">
        <v>-1.3410500000000001E-2</v>
      </c>
      <c r="O3074">
        <v>-0.2067841</v>
      </c>
      <c r="P3074">
        <v>0.87448700000000001</v>
      </c>
      <c r="Q3074">
        <v>0.15948019999999999</v>
      </c>
      <c r="R3074">
        <v>-0.45808189999999999</v>
      </c>
      <c r="S3074">
        <v>2.4587859999999999</v>
      </c>
      <c r="T3074">
        <v>-0.1033596</v>
      </c>
      <c r="U3074">
        <v>-1.9008179999999999</v>
      </c>
      <c r="V3074">
        <v>0.26927820000000002</v>
      </c>
      <c r="W3074">
        <v>0.1691522</v>
      </c>
      <c r="X3074">
        <v>0.94809109999999996</v>
      </c>
      <c r="Y3074">
        <v>0.43448930000000002</v>
      </c>
      <c r="Z3074">
        <v>-6.3345739999999999E-3</v>
      </c>
      <c r="AA3074">
        <v>0.90065469999999903</v>
      </c>
      <c r="AB3074">
        <v>29</v>
      </c>
      <c r="AC3074">
        <v>24.4101</v>
      </c>
      <c r="AD3074">
        <v>-1.03636006999999</v>
      </c>
      <c r="AE3074">
        <v>-19.004899999999999</v>
      </c>
      <c r="AF3074">
        <v>13.530805315671</v>
      </c>
      <c r="AG3074">
        <v>-1.03636006999999</v>
      </c>
      <c r="AH3074">
        <v>27.781505354911499</v>
      </c>
      <c r="AI3074">
        <v>91.920847146080703</v>
      </c>
      <c r="AJ3074">
        <v>64.031897135669197</v>
      </c>
      <c r="AK3074">
        <v>30.918744710454501</v>
      </c>
      <c r="AL3074">
        <v>80.261469910244102</v>
      </c>
      <c r="AM3074">
        <v>74.144316807701998</v>
      </c>
      <c r="AN3074">
        <v>0.99999997482964398</v>
      </c>
    </row>
    <row r="3075" spans="1:40" x14ac:dyDescent="0.25">
      <c r="A3075" t="str">
        <f>"20190303162610296"</f>
        <v>20190303162610296</v>
      </c>
      <c r="B3075" t="str">
        <f>"1551601570286777"</f>
        <v>1551601570286777</v>
      </c>
      <c r="C3075" t="s">
        <v>40</v>
      </c>
      <c r="D3075">
        <v>4.7488359999999998</v>
      </c>
      <c r="E3075">
        <v>0.57592540000000003</v>
      </c>
      <c r="F3075" t="s">
        <v>41</v>
      </c>
      <c r="G3075">
        <v>-179.6816</v>
      </c>
      <c r="H3075">
        <v>7.9985979999999998E-2</v>
      </c>
      <c r="I3075">
        <v>196.71889999999999</v>
      </c>
      <c r="J3075">
        <v>-203.26650000000001</v>
      </c>
      <c r="K3075">
        <v>1.1161989999999999</v>
      </c>
      <c r="L3075">
        <v>215.37880000000001</v>
      </c>
      <c r="M3075">
        <v>0.97696419999999995</v>
      </c>
      <c r="N3075">
        <v>-1.3422089999999999E-2</v>
      </c>
      <c r="O3075">
        <v>-0.2129809</v>
      </c>
      <c r="P3075">
        <v>0.86980519999999995</v>
      </c>
      <c r="Q3075">
        <v>0.15829969999999999</v>
      </c>
      <c r="R3075">
        <v>-0.46731230000000001</v>
      </c>
      <c r="S3075">
        <v>2.4453279999999999</v>
      </c>
      <c r="T3075">
        <v>-0.1061199</v>
      </c>
      <c r="U3075">
        <v>-1.917816</v>
      </c>
      <c r="V3075">
        <v>0.27330670000000001</v>
      </c>
      <c r="W3075">
        <v>0.1678347</v>
      </c>
      <c r="X3075">
        <v>0.94717209999999996</v>
      </c>
      <c r="Y3075">
        <v>0.43505310000000003</v>
      </c>
      <c r="Z3075">
        <v>-6.227041E-3</v>
      </c>
      <c r="AA3075">
        <v>0.90038320000000005</v>
      </c>
      <c r="AB3075">
        <v>29</v>
      </c>
      <c r="AC3075">
        <v>23.584900000000001</v>
      </c>
      <c r="AD3075">
        <v>-1.0362130199999999</v>
      </c>
      <c r="AE3075">
        <v>-18.6599</v>
      </c>
      <c r="AF3075">
        <v>13.192448527622499</v>
      </c>
      <c r="AG3075">
        <v>-1.0362130199999999</v>
      </c>
      <c r="AH3075">
        <v>26.9862005690484</v>
      </c>
      <c r="AI3075">
        <v>91.975718409396194</v>
      </c>
      <c r="AJ3075">
        <v>63.947884284203298</v>
      </c>
      <c r="AK3075">
        <v>30.056105149032501</v>
      </c>
      <c r="AL3075">
        <v>80.338052390994505</v>
      </c>
      <c r="AM3075">
        <v>73.904493998255802</v>
      </c>
      <c r="AN3075">
        <v>1.0000000129036899</v>
      </c>
    </row>
    <row r="3076" spans="1:40" x14ac:dyDescent="0.25">
      <c r="A3076" t="str">
        <f>"20190303162610317"</f>
        <v>20190303162610317</v>
      </c>
      <c r="B3076" t="str">
        <f>"1551601570306298"</f>
        <v>1551601570306298</v>
      </c>
      <c r="C3076" t="s">
        <v>40</v>
      </c>
      <c r="D3076">
        <v>4.8024279999999999</v>
      </c>
      <c r="E3076">
        <v>0.57563739999999997</v>
      </c>
      <c r="F3076" t="s">
        <v>41</v>
      </c>
      <c r="G3076">
        <v>-179.95779999999999</v>
      </c>
      <c r="H3076">
        <v>3.615235E-2</v>
      </c>
      <c r="I3076">
        <v>196.74209999999999</v>
      </c>
      <c r="J3076">
        <v>-202.99850000000001</v>
      </c>
      <c r="K3076">
        <v>1.1160540000000001</v>
      </c>
      <c r="L3076">
        <v>215.3141</v>
      </c>
      <c r="M3076">
        <v>0.97568469999999996</v>
      </c>
      <c r="N3076">
        <v>-1.343401E-2</v>
      </c>
      <c r="O3076">
        <v>-0.2187664</v>
      </c>
      <c r="P3076">
        <v>0.86466290000000001</v>
      </c>
      <c r="Q3076">
        <v>0.15666160000000001</v>
      </c>
      <c r="R3076">
        <v>-0.47729959999999999</v>
      </c>
      <c r="S3076">
        <v>2.426971</v>
      </c>
      <c r="T3076">
        <v>-0.1124575</v>
      </c>
      <c r="U3076">
        <v>-1.9405060000000001</v>
      </c>
      <c r="V3076">
        <v>0.27857999999999999</v>
      </c>
      <c r="W3076">
        <v>0.1660411</v>
      </c>
      <c r="X3076">
        <v>0.94595110000000004</v>
      </c>
      <c r="Y3076">
        <v>0.4381427</v>
      </c>
      <c r="Z3076">
        <v>-6.1955129999999997E-3</v>
      </c>
      <c r="AA3076">
        <v>0.89888409999999996</v>
      </c>
      <c r="AB3076">
        <v>29</v>
      </c>
      <c r="AC3076">
        <v>23.040700000000001</v>
      </c>
      <c r="AD3076">
        <v>-1.07990165</v>
      </c>
      <c r="AE3076">
        <v>-18.571999999999999</v>
      </c>
      <c r="AF3076">
        <v>13.063671405660299</v>
      </c>
      <c r="AG3076">
        <v>-1.07990165</v>
      </c>
      <c r="AH3076">
        <v>26.5104848145542</v>
      </c>
      <c r="AI3076">
        <v>92.092622242909897</v>
      </c>
      <c r="AJ3076">
        <v>63.767131512154101</v>
      </c>
      <c r="AK3076">
        <v>29.574169528009602</v>
      </c>
      <c r="AL3076">
        <v>80.442280327466705</v>
      </c>
      <c r="AM3076">
        <v>73.590443602287394</v>
      </c>
      <c r="AN3076">
        <v>0.99999997344020897</v>
      </c>
    </row>
    <row r="3077" spans="1:40" x14ac:dyDescent="0.25">
      <c r="A3077" t="str">
        <f>"20190303162610338"</f>
        <v>20190303162610338</v>
      </c>
      <c r="B3077" t="str">
        <f>"1551601570326792"</f>
        <v>1551601570326792</v>
      </c>
      <c r="C3077" t="s">
        <v>40</v>
      </c>
      <c r="D3077">
        <v>4.78904</v>
      </c>
      <c r="E3077">
        <v>0.5753509</v>
      </c>
      <c r="F3077" t="s">
        <v>41</v>
      </c>
      <c r="G3077">
        <v>-180.40629999999999</v>
      </c>
      <c r="H3077" s="1">
        <v>-5.0043319999999997E-6</v>
      </c>
      <c r="I3077">
        <v>196.85249999999999</v>
      </c>
      <c r="J3077">
        <v>-202.72559999999999</v>
      </c>
      <c r="K3077">
        <v>1.115918</v>
      </c>
      <c r="L3077">
        <v>215.24629999999999</v>
      </c>
      <c r="M3077">
        <v>0.97430280000000002</v>
      </c>
      <c r="N3077">
        <v>-1.3447199999999999E-2</v>
      </c>
      <c r="O3077">
        <v>-0.22484029999999999</v>
      </c>
      <c r="P3077">
        <v>0.85975330000000005</v>
      </c>
      <c r="Q3077">
        <v>0.15635189999999999</v>
      </c>
      <c r="R3077">
        <v>-0.4861878</v>
      </c>
      <c r="S3077">
        <v>2.4058380000000001</v>
      </c>
      <c r="T3077">
        <v>-0.1188488</v>
      </c>
      <c r="U3077">
        <v>-1.965973</v>
      </c>
      <c r="V3077">
        <v>0.2824855</v>
      </c>
      <c r="W3077">
        <v>0.1655855</v>
      </c>
      <c r="X3077">
        <v>0.94487220000000005</v>
      </c>
      <c r="Y3077">
        <v>0.44208160000000002</v>
      </c>
      <c r="Z3077">
        <v>-6.1638969999999998E-3</v>
      </c>
      <c r="AA3077">
        <v>0.89695360000000002</v>
      </c>
      <c r="AB3077">
        <v>29</v>
      </c>
      <c r="AC3077">
        <v>22.319299999999998</v>
      </c>
      <c r="AD3077">
        <v>-1.1159230043320001</v>
      </c>
      <c r="AE3077">
        <v>-18.393799999999999</v>
      </c>
      <c r="AF3077">
        <v>12.884838072527799</v>
      </c>
      <c r="AG3077">
        <v>-1.1159230043320001</v>
      </c>
      <c r="AH3077">
        <v>25.845288953096201</v>
      </c>
      <c r="AI3077">
        <v>92.212882422055301</v>
      </c>
      <c r="AJ3077">
        <v>63.502037710113001</v>
      </c>
      <c r="AK3077">
        <v>28.900576073426201</v>
      </c>
      <c r="AL3077">
        <v>80.468751398497801</v>
      </c>
      <c r="AM3077">
        <v>73.3550767272949</v>
      </c>
      <c r="AN3077">
        <v>1.0000000449266599</v>
      </c>
    </row>
    <row r="3078" spans="1:40" x14ac:dyDescent="0.25">
      <c r="A3078" t="str">
        <f>"20190303162610360"</f>
        <v>20190303162610360</v>
      </c>
      <c r="B3078" t="str">
        <f>"1551601570356477"</f>
        <v>1551601570356477</v>
      </c>
      <c r="C3078" t="s">
        <v>40</v>
      </c>
      <c r="D3078">
        <v>4.8238799999999999</v>
      </c>
      <c r="E3078">
        <v>0.57477809999999996</v>
      </c>
      <c r="F3078" t="s">
        <v>41</v>
      </c>
      <c r="G3078">
        <v>-180.7039</v>
      </c>
      <c r="H3078" s="1">
        <v>-4.9403339999999996E-6</v>
      </c>
      <c r="I3078">
        <v>196.89709999999999</v>
      </c>
      <c r="J3078">
        <v>-202.44280000000001</v>
      </c>
      <c r="K3078">
        <v>1.1157589999999999</v>
      </c>
      <c r="L3078">
        <v>215.1737</v>
      </c>
      <c r="M3078">
        <v>0.97277559999999996</v>
      </c>
      <c r="N3078">
        <v>-1.346286E-2</v>
      </c>
      <c r="O3078">
        <v>-0.2313578</v>
      </c>
      <c r="P3078">
        <v>0.85441089999999997</v>
      </c>
      <c r="Q3078">
        <v>0.158024</v>
      </c>
      <c r="R3078">
        <v>-0.49498530000000002</v>
      </c>
      <c r="S3078">
        <v>2.386765</v>
      </c>
      <c r="T3078">
        <v>-0.120945899999999</v>
      </c>
      <c r="U3078">
        <v>-1.9887239999999999</v>
      </c>
      <c r="V3078">
        <v>0.28601769999999999</v>
      </c>
      <c r="W3078">
        <v>0.16710420000000001</v>
      </c>
      <c r="X3078">
        <v>0.94354119999999997</v>
      </c>
      <c r="Y3078">
        <v>0.44463599999999998</v>
      </c>
      <c r="Z3078">
        <v>-6.0645330000000004E-3</v>
      </c>
      <c r="AA3078">
        <v>0.89569080000000001</v>
      </c>
      <c r="AB3078">
        <v>29</v>
      </c>
      <c r="AC3078">
        <v>21.738900000000001</v>
      </c>
      <c r="AD3078">
        <v>-1.1157639403339901</v>
      </c>
      <c r="AE3078">
        <v>-18.276599999999998</v>
      </c>
      <c r="AF3078">
        <v>12.731072564941099</v>
      </c>
      <c r="AG3078">
        <v>-1.1157639403339901</v>
      </c>
      <c r="AH3078">
        <v>25.338697010953702</v>
      </c>
      <c r="AI3078">
        <v>92.253242385656094</v>
      </c>
      <c r="AJ3078">
        <v>63.323401459488899</v>
      </c>
      <c r="AK3078">
        <v>28.379124440991198</v>
      </c>
      <c r="AL3078">
        <v>80.3805060833959</v>
      </c>
      <c r="AM3078">
        <v>73.136255238615107</v>
      </c>
      <c r="AN3078">
        <v>0.99999996723418405</v>
      </c>
    </row>
    <row r="3079" spans="1:40" x14ac:dyDescent="0.25">
      <c r="A3079" t="str">
        <f>"20190303162610382"</f>
        <v>20190303162610382</v>
      </c>
      <c r="B3079" t="str">
        <f>"1551601570375998"</f>
        <v>1551601570375998</v>
      </c>
      <c r="C3079" t="s">
        <v>40</v>
      </c>
      <c r="D3079">
        <v>4.9025720000000002</v>
      </c>
      <c r="E3079">
        <v>0.56290299999999904</v>
      </c>
      <c r="F3079" t="s">
        <v>41</v>
      </c>
      <c r="G3079">
        <v>-179.95779999999999</v>
      </c>
      <c r="H3079">
        <v>3.6270880000000001E-3</v>
      </c>
      <c r="I3079">
        <v>196.0992</v>
      </c>
      <c r="J3079">
        <v>-202.16030000000001</v>
      </c>
      <c r="K3079">
        <v>1.1156140000000001</v>
      </c>
      <c r="L3079">
        <v>215.09909999999999</v>
      </c>
      <c r="M3079">
        <v>0.97116029999999998</v>
      </c>
      <c r="N3079">
        <v>-1.3479430000000001E-2</v>
      </c>
      <c r="O3079">
        <v>-0.2380466</v>
      </c>
      <c r="P3079">
        <v>0.84983339999999996</v>
      </c>
      <c r="Q3079">
        <v>0.15832839999999901</v>
      </c>
      <c r="R3079">
        <v>-0.50270839999999894</v>
      </c>
      <c r="S3079">
        <v>2.3687130000000001</v>
      </c>
      <c r="T3079">
        <v>-0.1171591</v>
      </c>
      <c r="U3079">
        <v>-2.00943</v>
      </c>
      <c r="V3079">
        <v>0.28815669999999999</v>
      </c>
      <c r="W3079">
        <v>0.16728560000000001</v>
      </c>
      <c r="X3079">
        <v>0.94285799999999997</v>
      </c>
      <c r="Y3079">
        <v>0.4464072</v>
      </c>
      <c r="Z3079">
        <v>-5.9464000000000001E-3</v>
      </c>
      <c r="AA3079">
        <v>0.894810199999999</v>
      </c>
      <c r="AB3079">
        <v>29</v>
      </c>
      <c r="AC3079">
        <v>22.202500000000001</v>
      </c>
      <c r="AD3079">
        <v>-1.1119869120000001</v>
      </c>
      <c r="AE3079">
        <v>-18.9999</v>
      </c>
      <c r="AF3079">
        <v>13.1488743505616</v>
      </c>
      <c r="AG3079">
        <v>-1.1119869120000001</v>
      </c>
      <c r="AH3079">
        <v>26.049695600032699</v>
      </c>
      <c r="AI3079">
        <v>92.182353530871893</v>
      </c>
      <c r="AJ3079">
        <v>63.217129587441399</v>
      </c>
      <c r="AK3079">
        <v>29.201302238661899</v>
      </c>
      <c r="AL3079">
        <v>80.369964383203197</v>
      </c>
      <c r="AM3079">
        <v>73.005775328927498</v>
      </c>
      <c r="AN3079">
        <v>0.99999998194312401</v>
      </c>
    </row>
    <row r="3080" spans="1:40" x14ac:dyDescent="0.25">
      <c r="A3080" t="str">
        <f>"20190303162610410"</f>
        <v>20190303162610410</v>
      </c>
      <c r="B3080" t="str">
        <f>"1551601570396494"</f>
        <v>1551601570396494</v>
      </c>
      <c r="C3080" t="s">
        <v>40</v>
      </c>
      <c r="D3080">
        <v>5.3843449999999997</v>
      </c>
      <c r="E3080">
        <v>0.56250509999999998</v>
      </c>
      <c r="F3080" t="s">
        <v>46</v>
      </c>
      <c r="G3080">
        <v>-187.32310000000001</v>
      </c>
      <c r="H3080" s="1">
        <v>6.1290530000000001E-6</v>
      </c>
      <c r="I3080">
        <v>203.0985</v>
      </c>
      <c r="J3080">
        <v>-201.8109</v>
      </c>
      <c r="K3080">
        <v>1.1154250000000001</v>
      </c>
      <c r="L3080">
        <v>215.00360000000001</v>
      </c>
      <c r="M3080">
        <v>0.96902140000000003</v>
      </c>
      <c r="N3080">
        <v>-1.3500059999999999E-2</v>
      </c>
      <c r="O3080">
        <v>-0.2466072</v>
      </c>
      <c r="P3080">
        <v>0.84545519999999996</v>
      </c>
      <c r="Q3080">
        <v>0.1574517</v>
      </c>
      <c r="R3080">
        <v>-0.51030829999999905</v>
      </c>
      <c r="S3080">
        <v>2.4105530000000002</v>
      </c>
      <c r="T3080">
        <v>-0.18124889999999999</v>
      </c>
      <c r="U3080">
        <v>-1.949692</v>
      </c>
      <c r="V3080">
        <v>0.28831489999999999</v>
      </c>
      <c r="W3080">
        <v>0.16629829999999901</v>
      </c>
      <c r="X3080">
        <v>0.9429843</v>
      </c>
      <c r="Y3080">
        <v>0.41707450000000001</v>
      </c>
      <c r="Z3080">
        <v>-4.1523899999999997E-3</v>
      </c>
      <c r="AA3080">
        <v>0.90886279999999997</v>
      </c>
      <c r="AB3080">
        <v>29</v>
      </c>
      <c r="AC3080">
        <v>14.487799999999901</v>
      </c>
      <c r="AD3080">
        <v>-1.1154188709469901</v>
      </c>
      <c r="AE3080">
        <v>-11.905099999999999</v>
      </c>
      <c r="AF3080">
        <v>7.9361469575674199</v>
      </c>
      <c r="AG3080">
        <v>-1.1154188709469901</v>
      </c>
      <c r="AH3080">
        <v>16.916564436751401</v>
      </c>
      <c r="AI3080">
        <v>93.4161578999434</v>
      </c>
      <c r="AJ3080">
        <v>64.867097957854497</v>
      </c>
      <c r="AK3080">
        <v>18.718887256793199</v>
      </c>
      <c r="AL3080">
        <v>80.427336323525196</v>
      </c>
      <c r="AM3080">
        <v>72.999129428388898</v>
      </c>
      <c r="AN3080">
        <v>0.99999999809569495</v>
      </c>
    </row>
    <row r="3081" spans="1:40" x14ac:dyDescent="0.25">
      <c r="A3081" t="str">
        <f>"20190303162610444"</f>
        <v>20190303162610444</v>
      </c>
      <c r="B3081" t="str">
        <f>"1551601570436509"</f>
        <v>1551601570436509</v>
      </c>
      <c r="C3081" t="s">
        <v>40</v>
      </c>
      <c r="D3081">
        <v>4.9413559999999999</v>
      </c>
      <c r="E3081">
        <v>0.4863806</v>
      </c>
      <c r="F3081" t="s">
        <v>46</v>
      </c>
      <c r="G3081">
        <v>-187.2133</v>
      </c>
      <c r="H3081" s="1">
        <v>6.1393470000000001E-6</v>
      </c>
      <c r="I3081">
        <v>203.00049999999999</v>
      </c>
      <c r="J3081">
        <v>-201.3766</v>
      </c>
      <c r="K3081">
        <v>1.1151329999999999</v>
      </c>
      <c r="L3081">
        <v>214.87979999999999</v>
      </c>
      <c r="M3081">
        <v>0.96610680000000004</v>
      </c>
      <c r="N3081">
        <v>-1.353239E-2</v>
      </c>
      <c r="O3081">
        <v>-0.25778810000000002</v>
      </c>
      <c r="P3081">
        <v>0.84203700000000004</v>
      </c>
      <c r="Q3081">
        <v>0.15473680000000001</v>
      </c>
      <c r="R3081">
        <v>-0.5167503</v>
      </c>
      <c r="S3081">
        <v>2.394196</v>
      </c>
      <c r="T3081">
        <v>-0.1829433</v>
      </c>
      <c r="U3081">
        <v>-1.968658</v>
      </c>
      <c r="V3081">
        <v>0.28455609999999998</v>
      </c>
      <c r="W3081">
        <v>0.163492</v>
      </c>
      <c r="X3081">
        <v>0.94461539999999999</v>
      </c>
      <c r="Y3081">
        <v>0.41392050000000002</v>
      </c>
      <c r="Z3081">
        <v>-3.466121E-3</v>
      </c>
      <c r="AA3081">
        <v>0.91030639999999996</v>
      </c>
      <c r="AB3081">
        <v>29</v>
      </c>
      <c r="AC3081">
        <v>14.1632999999999</v>
      </c>
      <c r="AD3081">
        <v>-1.115126860653</v>
      </c>
      <c r="AE3081">
        <v>-11.879300000000001</v>
      </c>
      <c r="AF3081">
        <v>7.7978817388347199</v>
      </c>
      <c r="AG3081">
        <v>-1.115126860653</v>
      </c>
      <c r="AH3081">
        <v>16.686412728526999</v>
      </c>
      <c r="AI3081">
        <v>93.464666617905905</v>
      </c>
      <c r="AJ3081">
        <v>64.952410913732393</v>
      </c>
      <c r="AK3081">
        <v>18.452285421457901</v>
      </c>
      <c r="AL3081">
        <v>80.590357416101796</v>
      </c>
      <c r="AM3081">
        <v>73.235588786532503</v>
      </c>
      <c r="AN3081">
        <v>1.0000000310141799</v>
      </c>
    </row>
    <row r="3082" spans="1:40" x14ac:dyDescent="0.25">
      <c r="A3082" t="str">
        <f>"20190303162610475"</f>
        <v>20190303162610475</v>
      </c>
      <c r="B3082" t="str">
        <f>"1551601570466765"</f>
        <v>1551601570466765</v>
      </c>
      <c r="C3082" t="s">
        <v>40</v>
      </c>
      <c r="D3082">
        <v>5.0828189999999998</v>
      </c>
      <c r="E3082">
        <v>0.41390929999999998</v>
      </c>
      <c r="F3082" t="s">
        <v>42</v>
      </c>
      <c r="G3082">
        <v>-200.57669999999999</v>
      </c>
      <c r="H3082">
        <v>0.97629670000000002</v>
      </c>
      <c r="I3082">
        <v>214.45140000000001</v>
      </c>
      <c r="J3082">
        <v>-200.9855</v>
      </c>
      <c r="K3082">
        <v>1.114814</v>
      </c>
      <c r="L3082">
        <v>214.76300000000001</v>
      </c>
      <c r="M3082">
        <v>0.96319399999999999</v>
      </c>
      <c r="N3082">
        <v>-1.35735E-2</v>
      </c>
      <c r="O3082">
        <v>-0.2684646</v>
      </c>
      <c r="P3082">
        <v>0.83728689999999995</v>
      </c>
      <c r="Q3082">
        <v>0.1541361</v>
      </c>
      <c r="R3082">
        <v>-0.52458859999999996</v>
      </c>
      <c r="S3082">
        <v>2.747681</v>
      </c>
      <c r="T3082">
        <v>-0.47667100000000001</v>
      </c>
      <c r="U3082">
        <v>-1.4709319999999999</v>
      </c>
      <c r="V3082">
        <v>0.28300649999999999</v>
      </c>
      <c r="W3082">
        <v>0.16273879999999999</v>
      </c>
      <c r="X3082">
        <v>0.94521080000000002</v>
      </c>
      <c r="Y3082">
        <v>0.21773319999999999</v>
      </c>
      <c r="Z3082">
        <v>1.9602049999999999E-2</v>
      </c>
      <c r="AA3082">
        <v>0.97581150000000005</v>
      </c>
      <c r="AB3082">
        <v>29</v>
      </c>
      <c r="AC3082">
        <v>0.40880000000001299</v>
      </c>
      <c r="AD3082">
        <v>-0.13851730000000001</v>
      </c>
      <c r="AE3082">
        <v>-0.31159999999999799</v>
      </c>
      <c r="AF3082">
        <v>0.17750971368035401</v>
      </c>
      <c r="AG3082">
        <v>-0.13851730000000001</v>
      </c>
      <c r="AH3082">
        <v>0.44512621256384599</v>
      </c>
      <c r="AI3082">
        <v>106.121959434657</v>
      </c>
      <c r="AJ3082">
        <v>68.258621704506595</v>
      </c>
      <c r="AK3082">
        <v>0.49883272342700802</v>
      </c>
      <c r="AL3082">
        <v>80.634098375394998</v>
      </c>
      <c r="AM3082">
        <v>73.331722132727094</v>
      </c>
      <c r="AN3082">
        <v>1.00000002625216</v>
      </c>
    </row>
    <row r="3083" spans="1:40" x14ac:dyDescent="0.25">
      <c r="A3083" t="str">
        <f>"20190303162610515"</f>
        <v>20190303162610515</v>
      </c>
      <c r="B3083" t="str">
        <f>"1551601570506781"</f>
        <v>1551601570506781</v>
      </c>
      <c r="C3083" t="s">
        <v>40</v>
      </c>
      <c r="D3083">
        <v>4.9210099999999999</v>
      </c>
      <c r="E3083">
        <v>0.41407359999999999</v>
      </c>
      <c r="F3083" t="s">
        <v>42</v>
      </c>
      <c r="G3083">
        <v>-200.3134</v>
      </c>
      <c r="H3083">
        <v>0.91069829999999996</v>
      </c>
      <c r="I3083">
        <v>214.54490000000001</v>
      </c>
      <c r="J3083">
        <v>-200.49369999999999</v>
      </c>
      <c r="K3083">
        <v>1.1143369999999999</v>
      </c>
      <c r="L3083">
        <v>214.608</v>
      </c>
      <c r="M3083">
        <v>0.95904710000000004</v>
      </c>
      <c r="N3083">
        <v>-1.362739E-2</v>
      </c>
      <c r="O3083">
        <v>-0.28291870000000002</v>
      </c>
      <c r="P3083">
        <v>0.82799349999999905</v>
      </c>
      <c r="Q3083">
        <v>0.15529370000000001</v>
      </c>
      <c r="R3083">
        <v>-0.53880519999999998</v>
      </c>
      <c r="S3083">
        <v>3.122849</v>
      </c>
      <c r="T3083">
        <v>-0.94818880000000005</v>
      </c>
      <c r="U3083">
        <v>-1.0130920000000001</v>
      </c>
      <c r="V3083">
        <v>0.28521030000000003</v>
      </c>
      <c r="W3083">
        <v>0.1635597</v>
      </c>
      <c r="X3083">
        <v>0.94440630000000003</v>
      </c>
      <c r="Y3083">
        <v>3.5394799999999997E-2</v>
      </c>
      <c r="Z3083">
        <v>7.1132580000000001E-2</v>
      </c>
      <c r="AA3083">
        <v>0.99683869999999997</v>
      </c>
      <c r="AB3083">
        <v>29</v>
      </c>
      <c r="AC3083">
        <v>0.180299999999988</v>
      </c>
      <c r="AD3083">
        <v>-0.20363870000000001</v>
      </c>
      <c r="AE3083">
        <v>-6.3099999999991496E-2</v>
      </c>
      <c r="AF3083">
        <v>4.4496772235825804E-3</v>
      </c>
      <c r="AG3083">
        <v>-0.20363870000000001</v>
      </c>
      <c r="AH3083">
        <v>8.9300509287306304E-2</v>
      </c>
      <c r="AI3083">
        <v>156.295244251615</v>
      </c>
      <c r="AJ3083">
        <v>87.147417830292596</v>
      </c>
      <c r="AK3083">
        <v>0.222403014197326</v>
      </c>
      <c r="AL3083">
        <v>80.586425034222401</v>
      </c>
      <c r="AM3083">
        <v>73.195706234629696</v>
      </c>
      <c r="AN3083">
        <v>0.99999997508493399</v>
      </c>
    </row>
    <row r="3084" spans="1:40" x14ac:dyDescent="0.25">
      <c r="A3084" t="str">
        <f>"20190303162610540"</f>
        <v>20190303162610540</v>
      </c>
      <c r="B3084" t="str">
        <f>"1551601570536061"</f>
        <v>1551601570536061</v>
      </c>
      <c r="C3084" t="s">
        <v>40</v>
      </c>
      <c r="D3084">
        <v>4.9637690000000001</v>
      </c>
      <c r="E3084">
        <v>0.41795749999999998</v>
      </c>
      <c r="F3084" t="s">
        <v>42</v>
      </c>
      <c r="G3084">
        <v>-199.81899999999999</v>
      </c>
      <c r="H3084">
        <v>0.90233399999999997</v>
      </c>
      <c r="I3084">
        <v>214.375</v>
      </c>
      <c r="J3084">
        <v>-200.1688</v>
      </c>
      <c r="K3084">
        <v>1.1139669999999999</v>
      </c>
      <c r="L3084">
        <v>214.50040000000001</v>
      </c>
      <c r="M3084">
        <v>0.95596190000000003</v>
      </c>
      <c r="N3084">
        <v>-1.367235E-2</v>
      </c>
      <c r="O3084">
        <v>-0.29317219999999999</v>
      </c>
      <c r="P3084">
        <v>0.82075209999999998</v>
      </c>
      <c r="Q3084">
        <v>0.154515299999999</v>
      </c>
      <c r="R3084">
        <v>-0.54999200000000004</v>
      </c>
      <c r="S3084">
        <v>3.1079859999999999</v>
      </c>
      <c r="T3084">
        <v>-0.97645249999999995</v>
      </c>
      <c r="U3084">
        <v>-1.07319599999999</v>
      </c>
      <c r="V3084">
        <v>0.28801179999999998</v>
      </c>
      <c r="W3084">
        <v>0.16250819999999999</v>
      </c>
      <c r="X3084">
        <v>0.94373739999999995</v>
      </c>
      <c r="Y3084">
        <v>4.3941920000000002E-2</v>
      </c>
      <c r="Z3084">
        <v>7.4752819999999998E-2</v>
      </c>
      <c r="AA3084">
        <v>0.99623349999999999</v>
      </c>
      <c r="AB3084">
        <v>29</v>
      </c>
      <c r="AC3084">
        <v>0.34979999999998701</v>
      </c>
      <c r="AD3084">
        <v>-0.21163299999999999</v>
      </c>
      <c r="AE3084">
        <v>-0.125400000000013</v>
      </c>
      <c r="AF3084">
        <v>1.30838147020389E-2</v>
      </c>
      <c r="AG3084">
        <v>-0.21163299999999999</v>
      </c>
      <c r="AH3084">
        <v>0.28028297331118301</v>
      </c>
      <c r="AI3084">
        <v>127.02534108966999</v>
      </c>
      <c r="AJ3084">
        <v>87.327331204737405</v>
      </c>
      <c r="AK3084">
        <v>0.35145164393457401</v>
      </c>
      <c r="AL3084">
        <v>80.647488750970297</v>
      </c>
      <c r="AM3084">
        <v>73.0287468812611</v>
      </c>
      <c r="AN3084">
        <v>0.99999999608262002</v>
      </c>
    </row>
    <row r="3085" spans="1:40" x14ac:dyDescent="0.25">
      <c r="A3085" t="str">
        <f>"20190303162610566"</f>
        <v>20190303162610566</v>
      </c>
      <c r="B3085" t="str">
        <f>"1551601570556558"</f>
        <v>1551601570556558</v>
      </c>
      <c r="C3085" t="s">
        <v>40</v>
      </c>
      <c r="D3085">
        <v>4.9620329999999999</v>
      </c>
      <c r="E3085">
        <v>0.41950910000000002</v>
      </c>
      <c r="F3085" t="s">
        <v>42</v>
      </c>
      <c r="G3085">
        <v>-199.34729999999999</v>
      </c>
      <c r="H3085">
        <v>0.85010620000000003</v>
      </c>
      <c r="I3085">
        <v>214.19579999999999</v>
      </c>
      <c r="J3085">
        <v>-199.85599999999999</v>
      </c>
      <c r="K3085">
        <v>1.11358</v>
      </c>
      <c r="L3085">
        <v>214.3922</v>
      </c>
      <c r="M3085">
        <v>0.95267900000000005</v>
      </c>
      <c r="N3085">
        <v>-1.3724449999999999E-2</v>
      </c>
      <c r="O3085">
        <v>-0.30366779999999999</v>
      </c>
      <c r="P3085">
        <v>0.81285850000000004</v>
      </c>
      <c r="Q3085">
        <v>0.1531303</v>
      </c>
      <c r="R3085">
        <v>-0.56197180000000002</v>
      </c>
      <c r="S3085">
        <v>3.0767359999999999</v>
      </c>
      <c r="T3085">
        <v>-0.98807730000000005</v>
      </c>
      <c r="U3085">
        <v>-1.140808</v>
      </c>
      <c r="V3085">
        <v>0.2915297</v>
      </c>
      <c r="W3085">
        <v>0.16082969999999999</v>
      </c>
      <c r="X3085">
        <v>0.94294449999999996</v>
      </c>
      <c r="Y3085">
        <v>5.5611580000000001E-2</v>
      </c>
      <c r="Z3085">
        <v>7.7029990000000007E-2</v>
      </c>
      <c r="AA3085">
        <v>0.99547669999999999</v>
      </c>
      <c r="AB3085">
        <v>29</v>
      </c>
      <c r="AC3085">
        <v>0.50870000000000404</v>
      </c>
      <c r="AD3085">
        <v>-0.26347379999999998</v>
      </c>
      <c r="AE3085">
        <v>-0.19640000000001101</v>
      </c>
      <c r="AF3085">
        <v>2.6456856322463002E-2</v>
      </c>
      <c r="AG3085">
        <v>-0.26347379999999998</v>
      </c>
      <c r="AH3085">
        <v>0.44129549560814801</v>
      </c>
      <c r="AI3085">
        <v>120.79393154689301</v>
      </c>
      <c r="AJ3085">
        <v>86.569070031960607</v>
      </c>
      <c r="AK3085">
        <v>0.51464562854157003</v>
      </c>
      <c r="AL3085">
        <v>80.744942168362996</v>
      </c>
      <c r="AM3085">
        <v>72.819985097541803</v>
      </c>
      <c r="AN3085">
        <v>1.0000000442322099</v>
      </c>
    </row>
    <row r="3086" spans="1:40" x14ac:dyDescent="0.25">
      <c r="A3086" t="str">
        <f>"20190303162610587"</f>
        <v>20190303162610587</v>
      </c>
      <c r="B3086" t="str">
        <f>"1551601570576078"</f>
        <v>1551601570576078</v>
      </c>
      <c r="C3086" t="s">
        <v>40</v>
      </c>
      <c r="D3086">
        <v>5.0390680000000003</v>
      </c>
      <c r="E3086">
        <v>0.42056840000000001</v>
      </c>
      <c r="F3086" t="s">
        <v>42</v>
      </c>
      <c r="G3086">
        <v>-199.09719999999999</v>
      </c>
      <c r="H3086">
        <v>0.86568769999999995</v>
      </c>
      <c r="I3086">
        <v>214.095</v>
      </c>
      <c r="J3086">
        <v>-199.58359999999999</v>
      </c>
      <c r="K3086">
        <v>1.1132329999999999</v>
      </c>
      <c r="L3086">
        <v>214.2945</v>
      </c>
      <c r="M3086">
        <v>0.94957389999999997</v>
      </c>
      <c r="N3086">
        <v>-1.3773469999999999E-2</v>
      </c>
      <c r="O3086">
        <v>-0.31324079999999999</v>
      </c>
      <c r="P3086">
        <v>0.80504100000000001</v>
      </c>
      <c r="Q3086">
        <v>0.15020600000000001</v>
      </c>
      <c r="R3086">
        <v>-0.57388809999999901</v>
      </c>
      <c r="S3086">
        <v>3.0522610000000001</v>
      </c>
      <c r="T3086">
        <v>-0.99654379999999998</v>
      </c>
      <c r="U3086">
        <v>-1.1950069999999999</v>
      </c>
      <c r="V3086">
        <v>0.29584139999999998</v>
      </c>
      <c r="W3086">
        <v>0.15762770000000001</v>
      </c>
      <c r="X3086">
        <v>0.94214200000000003</v>
      </c>
      <c r="Y3086">
        <v>6.3774129999999998E-2</v>
      </c>
      <c r="Z3086">
        <v>7.9285410000000001E-2</v>
      </c>
      <c r="AA3086">
        <v>0.99480990000000002</v>
      </c>
      <c r="AB3086">
        <v>29</v>
      </c>
      <c r="AC3086">
        <v>0.486400000000003</v>
      </c>
      <c r="AD3086">
        <v>-0.247545299999999</v>
      </c>
      <c r="AE3086">
        <v>-0.19950000000000001</v>
      </c>
      <c r="AF3086">
        <v>3.0353389775842399E-2</v>
      </c>
      <c r="AG3086">
        <v>-0.247545299999999</v>
      </c>
      <c r="AH3086">
        <v>0.429244230121691</v>
      </c>
      <c r="AI3086">
        <v>119.91026267120201</v>
      </c>
      <c r="AJ3086">
        <v>85.955144180349393</v>
      </c>
      <c r="AK3086">
        <v>0.49643792453411301</v>
      </c>
      <c r="AL3086">
        <v>80.930774620301406</v>
      </c>
      <c r="AM3086">
        <v>72.567223599661304</v>
      </c>
      <c r="AN3086">
        <v>1.00000008696262</v>
      </c>
    </row>
    <row r="3087" spans="1:40" x14ac:dyDescent="0.25">
      <c r="A3087" t="str">
        <f>"20190303162610613"</f>
        <v>20190303162610613</v>
      </c>
      <c r="B3087" t="str">
        <f>"1551601570606333"</f>
        <v>1551601570606333</v>
      </c>
      <c r="C3087" t="s">
        <v>40</v>
      </c>
      <c r="D3087">
        <v>5.0542470000000002</v>
      </c>
      <c r="E3087">
        <v>0.42197069999999998</v>
      </c>
      <c r="F3087" t="s">
        <v>42</v>
      </c>
      <c r="G3087">
        <v>-198.85239999999999</v>
      </c>
      <c r="H3087">
        <v>0.86998259999999905</v>
      </c>
      <c r="I3087">
        <v>213.994</v>
      </c>
      <c r="J3087">
        <v>-199.2773</v>
      </c>
      <c r="K3087">
        <v>1.1128450000000001</v>
      </c>
      <c r="L3087">
        <v>214.18039999999999</v>
      </c>
      <c r="M3087">
        <v>0.9457778</v>
      </c>
      <c r="N3087">
        <v>-1.383175E-2</v>
      </c>
      <c r="O3087">
        <v>-0.32452009999999998</v>
      </c>
      <c r="P3087">
        <v>0.79549320000000001</v>
      </c>
      <c r="Q3087">
        <v>0.1466817</v>
      </c>
      <c r="R3087">
        <v>-0.58794179999999996</v>
      </c>
      <c r="S3087">
        <v>3.0275880000000002</v>
      </c>
      <c r="T3087">
        <v>-1.006656</v>
      </c>
      <c r="U3087">
        <v>-1.243881</v>
      </c>
      <c r="V3087">
        <v>0.30104570000000003</v>
      </c>
      <c r="W3087">
        <v>0.1537752</v>
      </c>
      <c r="X3087">
        <v>0.9411294</v>
      </c>
      <c r="Y3087">
        <v>6.8895709999999999E-2</v>
      </c>
      <c r="Z3087">
        <v>8.2685359999999999E-2</v>
      </c>
      <c r="AA3087">
        <v>0.99419139999999995</v>
      </c>
      <c r="AB3087">
        <v>29</v>
      </c>
      <c r="AC3087">
        <v>0.42490000000000799</v>
      </c>
      <c r="AD3087">
        <v>-0.24286240000000001</v>
      </c>
      <c r="AE3087">
        <v>-0.18639999999996301</v>
      </c>
      <c r="AF3087">
        <v>3.0148266889205699E-2</v>
      </c>
      <c r="AG3087">
        <v>-0.24286240000000001</v>
      </c>
      <c r="AH3087">
        <v>0.36295582146810401</v>
      </c>
      <c r="AI3087">
        <v>123.69644385998799</v>
      </c>
      <c r="AJ3087">
        <v>85.251730210718193</v>
      </c>
      <c r="AK3087">
        <v>0.43775334569568902</v>
      </c>
      <c r="AL3087">
        <v>81.154230650994293</v>
      </c>
      <c r="AM3087">
        <v>72.2617185531806</v>
      </c>
      <c r="AN3087">
        <v>0.99999993658394304</v>
      </c>
    </row>
    <row r="3088" spans="1:40" x14ac:dyDescent="0.25">
      <c r="A3088" t="str">
        <f>"20190303162610647"</f>
        <v>20190303162610647</v>
      </c>
      <c r="B3088" t="str">
        <f>"1551601570636589"</f>
        <v>1551601570636589</v>
      </c>
      <c r="C3088" t="s">
        <v>40</v>
      </c>
      <c r="D3088">
        <v>5.0215949999999996</v>
      </c>
      <c r="E3088">
        <v>0.4515459</v>
      </c>
      <c r="F3088" t="s">
        <v>42</v>
      </c>
      <c r="G3088">
        <v>-198.60560000000001</v>
      </c>
      <c r="H3088">
        <v>0.88376690000000002</v>
      </c>
      <c r="I3088">
        <v>213.88759999999999</v>
      </c>
      <c r="J3088">
        <v>-198.8639</v>
      </c>
      <c r="K3088">
        <v>1.112287</v>
      </c>
      <c r="L3088">
        <v>214.01859999999999</v>
      </c>
      <c r="M3088">
        <v>0.94007050000000003</v>
      </c>
      <c r="N3088">
        <v>-1.392374E-2</v>
      </c>
      <c r="O3088">
        <v>-0.3406959</v>
      </c>
      <c r="P3088">
        <v>0.78059999999999996</v>
      </c>
      <c r="Q3088">
        <v>0.14087179999999999</v>
      </c>
      <c r="R3088">
        <v>-0.60894919999999997</v>
      </c>
      <c r="S3088">
        <v>2.994888</v>
      </c>
      <c r="T3088">
        <v>-1.020518</v>
      </c>
      <c r="U3088">
        <v>-1.3050079999999999</v>
      </c>
      <c r="V3088">
        <v>0.30971769999999998</v>
      </c>
      <c r="W3088">
        <v>0.1474646</v>
      </c>
      <c r="X3088">
        <v>0.93932380000000004</v>
      </c>
      <c r="Y3088">
        <v>7.3514389999999999E-2</v>
      </c>
      <c r="Z3088">
        <v>8.8011919999999993E-2</v>
      </c>
      <c r="AA3088">
        <v>0.99340300000000004</v>
      </c>
      <c r="AB3088">
        <v>29</v>
      </c>
      <c r="AC3088">
        <v>0.25829999999999098</v>
      </c>
      <c r="AD3088">
        <v>-0.2285201</v>
      </c>
      <c r="AE3088">
        <v>-0.13100000000000001</v>
      </c>
      <c r="AF3088">
        <v>2.1663659559100702E-2</v>
      </c>
      <c r="AG3088">
        <v>-0.2285201</v>
      </c>
      <c r="AH3088">
        <v>0.17717480408122199</v>
      </c>
      <c r="AI3088">
        <v>142.00702868712</v>
      </c>
      <c r="AJ3088">
        <v>83.028887979529998</v>
      </c>
      <c r="AK3088">
        <v>0.28996838008776399</v>
      </c>
      <c r="AL3088">
        <v>81.519975387520304</v>
      </c>
      <c r="AM3088">
        <v>71.751366412398795</v>
      </c>
      <c r="AN3088">
        <v>1.0000000315964399</v>
      </c>
    </row>
    <row r="3089" spans="1:40" x14ac:dyDescent="0.25">
      <c r="A3089" t="str">
        <f>"20190303162610675"</f>
        <v>20190303162610675</v>
      </c>
      <c r="B3089" t="str">
        <f>"1551601570666846"</f>
        <v>1551601570666846</v>
      </c>
      <c r="C3089" t="s">
        <v>40</v>
      </c>
      <c r="D3089">
        <v>4.9331050000000003</v>
      </c>
      <c r="E3089">
        <v>0.45090340000000001</v>
      </c>
      <c r="F3089" t="s">
        <v>42</v>
      </c>
      <c r="G3089">
        <v>-198.1592</v>
      </c>
      <c r="H3089">
        <v>0.84343609999999902</v>
      </c>
      <c r="I3089">
        <v>213.6259</v>
      </c>
      <c r="J3089">
        <v>-198.50800000000001</v>
      </c>
      <c r="K3089">
        <v>1.1118269999999999</v>
      </c>
      <c r="L3089">
        <v>213.87190000000001</v>
      </c>
      <c r="M3089">
        <v>0.93460690000000002</v>
      </c>
      <c r="N3089">
        <v>-1.401442E-2</v>
      </c>
      <c r="O3089">
        <v>-0.35540650000000001</v>
      </c>
      <c r="P3089">
        <v>0.769009099999999</v>
      </c>
      <c r="Q3089">
        <v>0.1385596</v>
      </c>
      <c r="R3089">
        <v>-0.62404040000000005</v>
      </c>
      <c r="S3089">
        <v>2.8138890000000001</v>
      </c>
      <c r="T3089">
        <v>-1.073097</v>
      </c>
      <c r="U3089">
        <v>-1.5676730000000001</v>
      </c>
      <c r="V3089">
        <v>0.31324200000000002</v>
      </c>
      <c r="W3089">
        <v>0.14481449999999901</v>
      </c>
      <c r="X3089">
        <v>0.93856709999999999</v>
      </c>
      <c r="Y3089">
        <v>0.15244469999999999</v>
      </c>
      <c r="Z3089">
        <v>8.5855390000000004E-2</v>
      </c>
      <c r="AA3089">
        <v>0.9845758</v>
      </c>
      <c r="AB3089">
        <v>29</v>
      </c>
      <c r="AC3089">
        <v>0.34879999999998201</v>
      </c>
      <c r="AD3089">
        <v>-0.26839089999999999</v>
      </c>
      <c r="AE3089">
        <v>-0.24600000000000899</v>
      </c>
      <c r="AF3089">
        <v>7.5933499341757194E-2</v>
      </c>
      <c r="AG3089">
        <v>-0.26839089999999999</v>
      </c>
      <c r="AH3089">
        <v>0.296302333999378</v>
      </c>
      <c r="AI3089">
        <v>131.26520550854599</v>
      </c>
      <c r="AJ3089">
        <v>75.626127831171203</v>
      </c>
      <c r="AK3089">
        <v>0.40693321891751899</v>
      </c>
      <c r="AL3089">
        <v>81.673462517709297</v>
      </c>
      <c r="AM3089">
        <v>71.543829930965401</v>
      </c>
      <c r="AN3089">
        <v>0.99999999558832997</v>
      </c>
    </row>
    <row r="3090" spans="1:40" x14ac:dyDescent="0.25">
      <c r="A3090" t="str">
        <f>"20190303162610696"</f>
        <v>20190303162610696</v>
      </c>
      <c r="B3090" t="str">
        <f>"1551601570686366"</f>
        <v>1551601570686366</v>
      </c>
      <c r="C3090" t="s">
        <v>40</v>
      </c>
      <c r="D3090">
        <v>4.8902489999999998</v>
      </c>
      <c r="E3090">
        <v>0.44982749999999999</v>
      </c>
      <c r="F3090" t="s">
        <v>42</v>
      </c>
      <c r="G3090">
        <v>-197.9041</v>
      </c>
      <c r="H3090">
        <v>0.88050910000000004</v>
      </c>
      <c r="I3090">
        <v>213.5205</v>
      </c>
      <c r="J3090">
        <v>-198.26089999999999</v>
      </c>
      <c r="K3090">
        <v>1.1115219999999999</v>
      </c>
      <c r="L3090">
        <v>213.76570000000001</v>
      </c>
      <c r="M3090">
        <v>0.93048609999999998</v>
      </c>
      <c r="N3090">
        <v>-1.4078899999999899E-2</v>
      </c>
      <c r="O3090">
        <v>-0.3660562</v>
      </c>
      <c r="P3090">
        <v>0.75961210000000001</v>
      </c>
      <c r="Q3090">
        <v>0.13765649999999999</v>
      </c>
      <c r="R3090">
        <v>-0.63564160000000003</v>
      </c>
      <c r="S3090">
        <v>2.780151</v>
      </c>
      <c r="T3090">
        <v>-1.064432</v>
      </c>
      <c r="U3090">
        <v>-1.617691</v>
      </c>
      <c r="V3090">
        <v>0.3168009</v>
      </c>
      <c r="W3090">
        <v>0.14365</v>
      </c>
      <c r="X3090">
        <v>0.93755100000000002</v>
      </c>
      <c r="Y3090">
        <v>0.15954979999999999</v>
      </c>
      <c r="Z3090">
        <v>8.7483669999999999E-2</v>
      </c>
      <c r="AA3090">
        <v>0.98330589999999995</v>
      </c>
      <c r="AB3090">
        <v>29</v>
      </c>
      <c r="AC3090">
        <v>0.35679999999999201</v>
      </c>
      <c r="AD3090">
        <v>-0.23101289999999899</v>
      </c>
      <c r="AE3090">
        <v>-0.24520000000001099</v>
      </c>
      <c r="AF3090">
        <v>7.5934968240139802E-2</v>
      </c>
      <c r="AG3090">
        <v>-0.23101289999999899</v>
      </c>
      <c r="AH3090">
        <v>0.32831481618855002</v>
      </c>
      <c r="AI3090">
        <v>124.43201066204099</v>
      </c>
      <c r="AJ3090">
        <v>76.977217174320501</v>
      </c>
      <c r="AK3090">
        <v>0.40856296686919902</v>
      </c>
      <c r="AL3090">
        <v>81.740888552020493</v>
      </c>
      <c r="AM3090">
        <v>71.329756440789197</v>
      </c>
      <c r="AN3090">
        <v>1.0000000051708999</v>
      </c>
    </row>
    <row r="3091" spans="1:40" x14ac:dyDescent="0.25">
      <c r="A3091" t="str">
        <f>"20190303162610720"</f>
        <v>20190303162610720</v>
      </c>
      <c r="B3091" t="str">
        <f>"1551601570706861"</f>
        <v>1551601570706861</v>
      </c>
      <c r="C3091" t="s">
        <v>40</v>
      </c>
      <c r="D3091">
        <v>4.8286030000000002</v>
      </c>
      <c r="E3091">
        <v>0.4489805</v>
      </c>
      <c r="F3091" t="s">
        <v>42</v>
      </c>
      <c r="G3091">
        <v>-197.6662</v>
      </c>
      <c r="H3091">
        <v>0.88334080000000004</v>
      </c>
      <c r="I3091">
        <v>213.40799999999999</v>
      </c>
      <c r="J3091">
        <v>-197.98410000000001</v>
      </c>
      <c r="K3091">
        <v>1.111189</v>
      </c>
      <c r="L3091">
        <v>213.6422</v>
      </c>
      <c r="M3091">
        <v>0.92551919999999999</v>
      </c>
      <c r="N3091">
        <v>-1.41537E-2</v>
      </c>
      <c r="O3091">
        <v>-0.37843640000000001</v>
      </c>
      <c r="P3091">
        <v>0.74859030000000004</v>
      </c>
      <c r="Q3091">
        <v>0.13865949999999999</v>
      </c>
      <c r="R3091">
        <v>-0.64837250000000002</v>
      </c>
      <c r="S3091">
        <v>2.7546840000000001</v>
      </c>
      <c r="T3091">
        <v>-1.0563739999999999</v>
      </c>
      <c r="U3091">
        <v>-1.6564639999999999</v>
      </c>
      <c r="V3091">
        <v>0.32033810000000001</v>
      </c>
      <c r="W3091">
        <v>0.14435819999999999</v>
      </c>
      <c r="X3091">
        <v>0.93623940000000005</v>
      </c>
      <c r="Y3091">
        <v>0.1608821</v>
      </c>
      <c r="Z3091">
        <v>9.0521249999999998E-2</v>
      </c>
      <c r="AA3091">
        <v>0.98281370000000001</v>
      </c>
      <c r="AB3091">
        <v>29</v>
      </c>
      <c r="AC3091">
        <v>0.31790000000000801</v>
      </c>
      <c r="AD3091">
        <v>-0.227848199999999</v>
      </c>
      <c r="AE3091">
        <v>-0.23420000000001501</v>
      </c>
      <c r="AF3091">
        <v>7.2365208159269001E-2</v>
      </c>
      <c r="AG3091">
        <v>-0.227848199999999</v>
      </c>
      <c r="AH3091">
        <v>0.28724429587068101</v>
      </c>
      <c r="AI3091">
        <v>127.567015227873</v>
      </c>
      <c r="AJ3091">
        <v>75.859774173571097</v>
      </c>
      <c r="AK3091">
        <v>0.37371220358106799</v>
      </c>
      <c r="AL3091">
        <v>81.699884263164407</v>
      </c>
      <c r="AM3091">
        <v>71.111410395256101</v>
      </c>
      <c r="AN3091">
        <v>1.0000000011656001</v>
      </c>
    </row>
    <row r="3092" spans="1:40" x14ac:dyDescent="0.25">
      <c r="A3092" t="str">
        <f>"20190303162610743"</f>
        <v>20190303162610743</v>
      </c>
      <c r="B3092" t="str">
        <f>"1551601570737117"</f>
        <v>1551601570737117</v>
      </c>
      <c r="C3092" t="s">
        <v>40</v>
      </c>
      <c r="D3092">
        <v>4.7979450000000003</v>
      </c>
      <c r="E3092">
        <v>0.44787729999999998</v>
      </c>
      <c r="F3092" t="s">
        <v>42</v>
      </c>
      <c r="G3092">
        <v>-197.22710000000001</v>
      </c>
      <c r="H3092">
        <v>0.81948909999999997</v>
      </c>
      <c r="I3092">
        <v>213.16890000000001</v>
      </c>
      <c r="J3092">
        <v>-197.68870000000001</v>
      </c>
      <c r="K3092">
        <v>1.110825</v>
      </c>
      <c r="L3092">
        <v>213.5044</v>
      </c>
      <c r="M3092">
        <v>0.91976150000000001</v>
      </c>
      <c r="N3092">
        <v>-1.4245310000000001E-2</v>
      </c>
      <c r="O3092">
        <v>-0.39221919999999999</v>
      </c>
      <c r="P3092">
        <v>0.73592340000000001</v>
      </c>
      <c r="Q3092">
        <v>0.14057629999999999</v>
      </c>
      <c r="R3092">
        <v>-0.66231049999999903</v>
      </c>
      <c r="S3092">
        <v>2.7261510000000002</v>
      </c>
      <c r="T3092">
        <v>-1.049901</v>
      </c>
      <c r="U3092">
        <v>-1.703964</v>
      </c>
      <c r="V3092">
        <v>0.32425559999999998</v>
      </c>
      <c r="W3092">
        <v>0.1459529</v>
      </c>
      <c r="X3092">
        <v>0.93464230000000004</v>
      </c>
      <c r="Y3092">
        <v>0.1634071</v>
      </c>
      <c r="Z3092">
        <v>9.3819659999999999E-2</v>
      </c>
      <c r="AA3092">
        <v>0.98208759999999995</v>
      </c>
      <c r="AB3092">
        <v>29</v>
      </c>
      <c r="AC3092">
        <v>0.46160000000000401</v>
      </c>
      <c r="AD3092">
        <v>-0.29133589999999998</v>
      </c>
      <c r="AE3092">
        <v>-0.33549999999999602</v>
      </c>
      <c r="AF3092">
        <v>0.101173658484619</v>
      </c>
      <c r="AG3092">
        <v>-0.29133589999999998</v>
      </c>
      <c r="AH3092">
        <v>0.44120732927516298</v>
      </c>
      <c r="AI3092">
        <v>122.76575116695</v>
      </c>
      <c r="AJ3092">
        <v>77.084738884133301</v>
      </c>
      <c r="AK3092">
        <v>0.53830904061337703</v>
      </c>
      <c r="AL3092">
        <v>81.607537322491794</v>
      </c>
      <c r="AM3092">
        <v>70.866797541013895</v>
      </c>
      <c r="AN3092">
        <v>1.00000008604952</v>
      </c>
    </row>
    <row r="3093" spans="1:40" x14ac:dyDescent="0.25">
      <c r="A3093" t="str">
        <f>"20190303162610771"</f>
        <v>20190303162610771</v>
      </c>
      <c r="B3093" t="str">
        <f>"1551601570766397"</f>
        <v>1551601570766397</v>
      </c>
      <c r="C3093" t="s">
        <v>40</v>
      </c>
      <c r="D3093">
        <v>4.6941739999999896</v>
      </c>
      <c r="E3093">
        <v>0.44681300000000002</v>
      </c>
      <c r="F3093" t="s">
        <v>42</v>
      </c>
      <c r="G3093">
        <v>-196.98689999999999</v>
      </c>
      <c r="H3093">
        <v>0.84127799999999997</v>
      </c>
      <c r="I3093">
        <v>213.04730000000001</v>
      </c>
      <c r="J3093">
        <v>-197.37350000000001</v>
      </c>
      <c r="K3093">
        <v>1.110457</v>
      </c>
      <c r="L3093">
        <v>213.351</v>
      </c>
      <c r="M3093">
        <v>0.91311600000000004</v>
      </c>
      <c r="N3093">
        <v>-1.434584E-2</v>
      </c>
      <c r="O3093">
        <v>-0.40744740000000002</v>
      </c>
      <c r="P3093">
        <v>0.71924759999999999</v>
      </c>
      <c r="Q3093">
        <v>0.1433606</v>
      </c>
      <c r="R3093">
        <v>-0.67980220000000002</v>
      </c>
      <c r="S3093">
        <v>2.6946720000000002</v>
      </c>
      <c r="T3093">
        <v>-1.0348200000000001</v>
      </c>
      <c r="U3093">
        <v>-1.7550809999999999</v>
      </c>
      <c r="V3093">
        <v>0.33161990000000002</v>
      </c>
      <c r="W3093">
        <v>0.14830499999999999</v>
      </c>
      <c r="X3093">
        <v>0.93168340000000005</v>
      </c>
      <c r="Y3093">
        <v>0.165575799999999</v>
      </c>
      <c r="Z3093">
        <v>9.6746559999999995E-2</v>
      </c>
      <c r="AA3093">
        <v>0.98144010000000004</v>
      </c>
      <c r="AB3093">
        <v>29</v>
      </c>
      <c r="AC3093">
        <v>0.38660000000001499</v>
      </c>
      <c r="AD3093">
        <v>-0.269178999999999</v>
      </c>
      <c r="AE3093">
        <v>-0.30369999999999198</v>
      </c>
      <c r="AF3093">
        <v>9.2173696194511795E-2</v>
      </c>
      <c r="AG3093">
        <v>-0.269178999999999</v>
      </c>
      <c r="AH3093">
        <v>0.36682949496067102</v>
      </c>
      <c r="AI3093">
        <v>125.4385418442</v>
      </c>
      <c r="AJ3093">
        <v>75.895225750677696</v>
      </c>
      <c r="AK3093">
        <v>0.46423830376678199</v>
      </c>
      <c r="AL3093">
        <v>81.471288794931795</v>
      </c>
      <c r="AM3093">
        <v>70.407512084690595</v>
      </c>
      <c r="AN3093">
        <v>1.0000000444682799</v>
      </c>
    </row>
    <row r="3094" spans="1:40" x14ac:dyDescent="0.25">
      <c r="A3094" t="str">
        <f>"20190303162610804"</f>
        <v>20190303162610804</v>
      </c>
      <c r="B3094" t="str">
        <f>"1551601570796653"</f>
        <v>1551601570796653</v>
      </c>
      <c r="C3094" t="s">
        <v>40</v>
      </c>
      <c r="D3094">
        <v>4.6669140000000002</v>
      </c>
      <c r="E3094">
        <v>0.43864140000000001</v>
      </c>
      <c r="F3094" t="s">
        <v>42</v>
      </c>
      <c r="G3094">
        <v>-196.74619999999999</v>
      </c>
      <c r="H3094">
        <v>0.8685117</v>
      </c>
      <c r="I3094">
        <v>212.9204</v>
      </c>
      <c r="J3094">
        <v>-196.9915</v>
      </c>
      <c r="K3094">
        <v>1.1100159999999999</v>
      </c>
      <c r="L3094">
        <v>213.15559999999999</v>
      </c>
      <c r="M3094">
        <v>0.90429219999999999</v>
      </c>
      <c r="N3094">
        <v>-1.446006E-2</v>
      </c>
      <c r="O3094">
        <v>-0.42666910000000002</v>
      </c>
      <c r="P3094">
        <v>0.69644019999999995</v>
      </c>
      <c r="Q3094">
        <v>0.14633380000000001</v>
      </c>
      <c r="R3094">
        <v>-0.70253639999999995</v>
      </c>
      <c r="S3094">
        <v>2.6534270000000002</v>
      </c>
      <c r="T3094">
        <v>-1.0228539999999999</v>
      </c>
      <c r="U3094">
        <v>-1.8213349999999999</v>
      </c>
      <c r="V3094">
        <v>0.342327299999999</v>
      </c>
      <c r="W3094">
        <v>0.1506789</v>
      </c>
      <c r="X3094">
        <v>0.92742000000000002</v>
      </c>
      <c r="Y3094">
        <v>0.16885849999999999</v>
      </c>
      <c r="Z3094">
        <v>0.1008542</v>
      </c>
      <c r="AA3094">
        <v>0.98046679999999997</v>
      </c>
      <c r="AB3094">
        <v>29</v>
      </c>
      <c r="AC3094">
        <v>0.24530000000001401</v>
      </c>
      <c r="AD3094">
        <v>-0.24150429999999901</v>
      </c>
      <c r="AE3094">
        <v>-0.235199999999991</v>
      </c>
      <c r="AF3094">
        <v>7.1786099080899904E-2</v>
      </c>
      <c r="AG3094">
        <v>-0.24150429999999901</v>
      </c>
      <c r="AH3094">
        <v>0.21409084092778499</v>
      </c>
      <c r="AI3094">
        <v>136.92406781966599</v>
      </c>
      <c r="AJ3094">
        <v>71.463351093818602</v>
      </c>
      <c r="AK3094">
        <v>0.33062434742303698</v>
      </c>
      <c r="AL3094">
        <v>81.333728013110004</v>
      </c>
      <c r="AM3094">
        <v>69.739995038946404</v>
      </c>
      <c r="AN3094">
        <v>0.99999998381524902</v>
      </c>
    </row>
    <row r="3095" spans="1:40" x14ac:dyDescent="0.25">
      <c r="A3095" t="str">
        <f>"20190303162610837"</f>
        <v>20190303162610837</v>
      </c>
      <c r="B3095" t="str">
        <f>"1551601570826910"</f>
        <v>1551601570826910</v>
      </c>
      <c r="C3095" t="s">
        <v>40</v>
      </c>
      <c r="D3095">
        <v>4.792783</v>
      </c>
      <c r="E3095">
        <v>0.45084269999999999</v>
      </c>
      <c r="F3095" t="s">
        <v>42</v>
      </c>
      <c r="G3095">
        <v>-196.2988</v>
      </c>
      <c r="H3095">
        <v>0.85243340000000001</v>
      </c>
      <c r="I3095">
        <v>212.6644</v>
      </c>
      <c r="J3095">
        <v>-196.60329999999999</v>
      </c>
      <c r="K3095">
        <v>1.1095549999999901</v>
      </c>
      <c r="L3095">
        <v>212.94540000000001</v>
      </c>
      <c r="M3095">
        <v>0.89437449999999996</v>
      </c>
      <c r="N3095">
        <v>-1.4583260000000001E-2</v>
      </c>
      <c r="O3095">
        <v>-0.44708110000000001</v>
      </c>
      <c r="P3095">
        <v>0.67234309999999997</v>
      </c>
      <c r="Q3095">
        <v>0.1475803</v>
      </c>
      <c r="R3095">
        <v>-0.725379199999999</v>
      </c>
      <c r="S3095">
        <v>2.631195</v>
      </c>
      <c r="T3095">
        <v>-0.97780719999999999</v>
      </c>
      <c r="U3095">
        <v>-1.8655550000000001</v>
      </c>
      <c r="V3095">
        <v>0.35254869999999999</v>
      </c>
      <c r="W3095">
        <v>0.15132279999999901</v>
      </c>
      <c r="X3095">
        <v>0.92347760000000001</v>
      </c>
      <c r="Y3095">
        <v>0.16149579999999999</v>
      </c>
      <c r="Z3095">
        <v>0.1030552</v>
      </c>
      <c r="AA3095">
        <v>0.98147779999999996</v>
      </c>
      <c r="AB3095">
        <v>29</v>
      </c>
      <c r="AC3095">
        <v>0.30449999999999</v>
      </c>
      <c r="AD3095">
        <v>-0.25712159999999901</v>
      </c>
      <c r="AE3095">
        <v>-0.28100000000000502</v>
      </c>
      <c r="AF3095">
        <v>8.3168517940287595E-2</v>
      </c>
      <c r="AG3095">
        <v>-0.25712159999999901</v>
      </c>
      <c r="AH3095">
        <v>0.28735403319705999</v>
      </c>
      <c r="AI3095">
        <v>130.67951679660899</v>
      </c>
      <c r="AJ3095">
        <v>73.858036862843093</v>
      </c>
      <c r="AK3095">
        <v>0.39446274850429203</v>
      </c>
      <c r="AL3095">
        <v>81.296407702712202</v>
      </c>
      <c r="AM3095">
        <v>69.105041556481197</v>
      </c>
      <c r="AN3095">
        <v>1.00000002668664</v>
      </c>
    </row>
    <row r="3096" spans="1:40" x14ac:dyDescent="0.25">
      <c r="A3096" t="str">
        <f>"20190303162610859"</f>
        <v>20190303162610859</v>
      </c>
      <c r="B3096" t="str">
        <f>"1551601570846258"</f>
        <v>1551601570846258</v>
      </c>
      <c r="C3096" t="s">
        <v>40</v>
      </c>
      <c r="D3096">
        <v>4.6541350000000001</v>
      </c>
      <c r="E3096">
        <v>0.52941499999999997</v>
      </c>
      <c r="F3096" t="s">
        <v>42</v>
      </c>
      <c r="G3096">
        <v>-196.0581</v>
      </c>
      <c r="H3096">
        <v>0.91547310000000004</v>
      </c>
      <c r="I3096">
        <v>212.50280000000001</v>
      </c>
      <c r="J3096">
        <v>-196.35120000000001</v>
      </c>
      <c r="K3096">
        <v>1.1092420000000001</v>
      </c>
      <c r="L3096">
        <v>212.80189999999999</v>
      </c>
      <c r="M3096">
        <v>0.88736569999999904</v>
      </c>
      <c r="N3096">
        <v>-1.466868E-2</v>
      </c>
      <c r="O3096">
        <v>-0.4608332</v>
      </c>
      <c r="P3096">
        <v>0.6526111</v>
      </c>
      <c r="Q3096">
        <v>0.14701510000000001</v>
      </c>
      <c r="R3096">
        <v>-0.7432938</v>
      </c>
      <c r="S3096">
        <v>2.4823149999999998</v>
      </c>
      <c r="T3096">
        <v>-0.88326779999999905</v>
      </c>
      <c r="U3096">
        <v>-2.014618</v>
      </c>
      <c r="V3096">
        <v>0.36329729999999999</v>
      </c>
      <c r="W3096">
        <v>0.15022439999999901</v>
      </c>
      <c r="X3096">
        <v>0.91948229999999997</v>
      </c>
      <c r="Y3096">
        <v>0.2072629</v>
      </c>
      <c r="Z3096">
        <v>9.1360259999999999E-2</v>
      </c>
      <c r="AA3096">
        <v>0.97400989999999998</v>
      </c>
      <c r="AB3096">
        <v>29</v>
      </c>
      <c r="AC3096">
        <v>0.29310000000000902</v>
      </c>
      <c r="AD3096">
        <v>-0.19376889999999999</v>
      </c>
      <c r="AE3096">
        <v>-0.29909999999998099</v>
      </c>
      <c r="AF3096">
        <v>0.107367491110807</v>
      </c>
      <c r="AG3096">
        <v>-0.19376889999999999</v>
      </c>
      <c r="AH3096">
        <v>0.32778588332493303</v>
      </c>
      <c r="AI3096">
        <v>119.32621371200401</v>
      </c>
      <c r="AJ3096">
        <v>71.863597938747105</v>
      </c>
      <c r="AK3096">
        <v>0.395623242570183</v>
      </c>
      <c r="AL3096">
        <v>81.360068907358098</v>
      </c>
      <c r="AM3096">
        <v>68.440493431276195</v>
      </c>
      <c r="AN3096">
        <v>0.99999999927797001</v>
      </c>
    </row>
    <row r="3097" spans="1:40" x14ac:dyDescent="0.25">
      <c r="A3097" t="str">
        <f>"20190303162610893"</f>
        <v>20190303162610893</v>
      </c>
      <c r="B3097" t="str">
        <f>"1551601570886273"</f>
        <v>1551601570886273</v>
      </c>
      <c r="C3097" t="s">
        <v>40</v>
      </c>
      <c r="D3097">
        <v>4.7966850000000001</v>
      </c>
      <c r="E3097">
        <v>0.55810550000000003</v>
      </c>
      <c r="F3097" t="s">
        <v>41</v>
      </c>
      <c r="G3097">
        <v>-185.43680000000001</v>
      </c>
      <c r="H3097" s="1">
        <v>-4.6260969999999998E-6</v>
      </c>
      <c r="I3097">
        <v>198.52950000000001</v>
      </c>
      <c r="J3097">
        <v>-195.97309999999999</v>
      </c>
      <c r="K3097">
        <v>1.1087670000000001</v>
      </c>
      <c r="L3097">
        <v>212.57570000000001</v>
      </c>
      <c r="M3097">
        <v>0.87592440000000005</v>
      </c>
      <c r="N3097">
        <v>-1.48069E-2</v>
      </c>
      <c r="O3097">
        <v>-0.48222110000000001</v>
      </c>
      <c r="P3097">
        <v>0.61904899999999996</v>
      </c>
      <c r="Q3097">
        <v>0.14526989999999901</v>
      </c>
      <c r="R3097">
        <v>-0.77180039999999905</v>
      </c>
      <c r="S3097">
        <v>1.8637699999999999</v>
      </c>
      <c r="T3097">
        <v>-0.18941749999999999</v>
      </c>
      <c r="U3097">
        <v>-2.4371800000000001</v>
      </c>
      <c r="V3097">
        <v>0.38209359999999998</v>
      </c>
      <c r="W3097">
        <v>0.14755660000000001</v>
      </c>
      <c r="X3097">
        <v>0.9122673</v>
      </c>
      <c r="Y3097">
        <v>0.40251870000000001</v>
      </c>
      <c r="Z3097">
        <v>8.5233389999999996E-3</v>
      </c>
      <c r="AA3097">
        <v>0.91537210000000002</v>
      </c>
      <c r="AB3097">
        <v>29</v>
      </c>
      <c r="AC3097">
        <v>10.536299999999899</v>
      </c>
      <c r="AD3097">
        <v>-1.108771626097</v>
      </c>
      <c r="AE3097">
        <v>-14.046200000000001</v>
      </c>
      <c r="AF3097">
        <v>7.1946864579464398</v>
      </c>
      <c r="AG3097">
        <v>-1.108771626097</v>
      </c>
      <c r="AH3097">
        <v>15.9405683195089</v>
      </c>
      <c r="AI3097">
        <v>93.627595316729398</v>
      </c>
      <c r="AJ3097">
        <v>65.708229360545602</v>
      </c>
      <c r="AK3097">
        <v>17.5241149875229</v>
      </c>
      <c r="AL3097">
        <v>81.514646013897604</v>
      </c>
      <c r="AM3097">
        <v>67.274137980161399</v>
      </c>
      <c r="AN3097">
        <v>1.0000000480069</v>
      </c>
    </row>
    <row r="3098" spans="1:40" x14ac:dyDescent="0.25">
      <c r="A3098" t="str">
        <f>"20190303162610920"</f>
        <v>20190303162610920</v>
      </c>
      <c r="B3098" t="str">
        <f>"1551601570906770"</f>
        <v>1551601570906770</v>
      </c>
      <c r="C3098" t="s">
        <v>40</v>
      </c>
      <c r="D3098">
        <v>4.7611840000000001</v>
      </c>
      <c r="E3098">
        <v>0.56242460000000005</v>
      </c>
      <c r="F3098" t="s">
        <v>41</v>
      </c>
      <c r="G3098">
        <v>-184.2191</v>
      </c>
      <c r="H3098" s="1">
        <v>-2.5799960000000002E-6</v>
      </c>
      <c r="I3098">
        <v>192.70949999999999</v>
      </c>
      <c r="J3098">
        <v>-195.69030000000001</v>
      </c>
      <c r="K3098">
        <v>1.1084350000000001</v>
      </c>
      <c r="L3098">
        <v>212.3982</v>
      </c>
      <c r="M3098">
        <v>0.86664379999999996</v>
      </c>
      <c r="N3098">
        <v>-1.4914429999999999E-2</v>
      </c>
      <c r="O3098">
        <v>-0.49870439999999999</v>
      </c>
      <c r="P3098">
        <v>0.59849799999999997</v>
      </c>
      <c r="Q3098">
        <v>0.14356569999999999</v>
      </c>
      <c r="R3098">
        <v>-0.78815559999999996</v>
      </c>
      <c r="S3098">
        <v>1.5708310000000001</v>
      </c>
      <c r="T3098">
        <v>-0.14817759999999999</v>
      </c>
      <c r="U3098">
        <v>-2.654938</v>
      </c>
      <c r="V3098">
        <v>0.38921139999999999</v>
      </c>
      <c r="W3098">
        <v>0.14540420000000001</v>
      </c>
      <c r="X3098">
        <v>0.90959999999999996</v>
      </c>
      <c r="Y3098">
        <v>0.49155959999999899</v>
      </c>
      <c r="Z3098">
        <v>2.1747479999999998E-3</v>
      </c>
      <c r="AA3098">
        <v>0.87084130000000004</v>
      </c>
      <c r="AB3098">
        <v>29</v>
      </c>
      <c r="AC3098">
        <v>11.4712</v>
      </c>
      <c r="AD3098">
        <v>-1.108437579996</v>
      </c>
      <c r="AE3098">
        <v>-19.688700000000001</v>
      </c>
      <c r="AF3098">
        <v>11.316835191606801</v>
      </c>
      <c r="AG3098">
        <v>-1.108437579996</v>
      </c>
      <c r="AH3098">
        <v>19.715831327970101</v>
      </c>
      <c r="AI3098">
        <v>92.791484400565494</v>
      </c>
      <c r="AJ3098">
        <v>60.144289712902001</v>
      </c>
      <c r="AK3098">
        <v>22.759907679419602</v>
      </c>
      <c r="AL3098">
        <v>81.639314022306493</v>
      </c>
      <c r="AM3098">
        <v>66.834260799726096</v>
      </c>
      <c r="AN3098">
        <v>1.0000000276337899</v>
      </c>
    </row>
    <row r="3099" spans="1:40" x14ac:dyDescent="0.25">
      <c r="A3099" t="str">
        <f>"20190303162610942"</f>
        <v>20190303162610942</v>
      </c>
      <c r="B3099" t="str">
        <f>"1551601570937025"</f>
        <v>1551601570937025</v>
      </c>
      <c r="C3099" t="s">
        <v>40</v>
      </c>
      <c r="D3099">
        <v>4.743366</v>
      </c>
      <c r="E3099">
        <v>0.56372339999999999</v>
      </c>
      <c r="F3099" t="s">
        <v>41</v>
      </c>
      <c r="G3099">
        <v>-183.7448</v>
      </c>
      <c r="H3099" s="1">
        <v>-1.894937E-6</v>
      </c>
      <c r="I3099">
        <v>190.32570000000001</v>
      </c>
      <c r="J3099">
        <v>-195.43600000000001</v>
      </c>
      <c r="K3099">
        <v>1.108142</v>
      </c>
      <c r="L3099">
        <v>212.23089999999999</v>
      </c>
      <c r="M3099">
        <v>0.85766880000000001</v>
      </c>
      <c r="N3099">
        <v>-1.501391E-2</v>
      </c>
      <c r="O3099">
        <v>-0.51398319999999997</v>
      </c>
      <c r="P3099">
        <v>0.58122750000000001</v>
      </c>
      <c r="Q3099">
        <v>0.14127970000000001</v>
      </c>
      <c r="R3099">
        <v>-0.80138299999999996</v>
      </c>
      <c r="S3099">
        <v>1.469498</v>
      </c>
      <c r="T3099">
        <v>-0.136356</v>
      </c>
      <c r="U3099">
        <v>-2.7152859999999999</v>
      </c>
      <c r="V3099">
        <v>0.39324290000000001</v>
      </c>
      <c r="W3099">
        <v>0.1428043</v>
      </c>
      <c r="X3099">
        <v>0.90827690000000005</v>
      </c>
      <c r="Y3099">
        <v>0.50931409999999999</v>
      </c>
      <c r="Z3099">
        <v>1.0822690000000001E-3</v>
      </c>
      <c r="AA3099">
        <v>0.86057999999999901</v>
      </c>
      <c r="AB3099">
        <v>28</v>
      </c>
      <c r="AC3099">
        <v>11.691199999999901</v>
      </c>
      <c r="AD3099">
        <v>-1.1081438949369999</v>
      </c>
      <c r="AE3099">
        <v>-21.905199999999901</v>
      </c>
      <c r="AF3099">
        <v>12.7543631810649</v>
      </c>
      <c r="AG3099">
        <v>-1.1081438949369999</v>
      </c>
      <c r="AH3099">
        <v>21.246164754123399</v>
      </c>
      <c r="AI3099">
        <v>92.560468538432104</v>
      </c>
      <c r="AJ3099">
        <v>59.023030527463497</v>
      </c>
      <c r="AK3099">
        <v>24.805267178681</v>
      </c>
      <c r="AL3099">
        <v>81.789848225617106</v>
      </c>
      <c r="AM3099">
        <v>66.589566328472102</v>
      </c>
      <c r="AN3099">
        <v>0.99999998678625401</v>
      </c>
    </row>
    <row r="3100" spans="1:40" x14ac:dyDescent="0.25">
      <c r="A3100" t="str">
        <f>"20190303162610966"</f>
        <v>20190303162610966</v>
      </c>
      <c r="B3100" t="str">
        <f>"1551601570956546"</f>
        <v>1551601570956546</v>
      </c>
      <c r="C3100" t="s">
        <v>40</v>
      </c>
      <c r="D3100">
        <v>4.6754419999999897</v>
      </c>
      <c r="E3100">
        <v>0.56463339999999995</v>
      </c>
      <c r="F3100" t="s">
        <v>41</v>
      </c>
      <c r="G3100">
        <v>-185.05099999999999</v>
      </c>
      <c r="H3100" s="1">
        <v>-2.0587420000000002E-6</v>
      </c>
      <c r="I3100">
        <v>191.82830000000001</v>
      </c>
      <c r="J3100">
        <v>-195.17850000000001</v>
      </c>
      <c r="K3100">
        <v>1.1078650000000001</v>
      </c>
      <c r="L3100">
        <v>212.05459999999999</v>
      </c>
      <c r="M3100">
        <v>0.84799059999999904</v>
      </c>
      <c r="N3100">
        <v>-1.5115180000000001E-2</v>
      </c>
      <c r="O3100">
        <v>-0.52979549999999997</v>
      </c>
      <c r="P3100">
        <v>0.56474389999999997</v>
      </c>
      <c r="Q3100">
        <v>0.13937169999999999</v>
      </c>
      <c r="R3100">
        <v>-0.81341249999999998</v>
      </c>
      <c r="S3100">
        <v>1.401505</v>
      </c>
      <c r="T3100">
        <v>-0.14954909999999999</v>
      </c>
      <c r="U3100">
        <v>-2.7534329999999998</v>
      </c>
      <c r="V3100">
        <v>0.39526299999999998</v>
      </c>
      <c r="W3100">
        <v>0.14066789999999901</v>
      </c>
      <c r="X3100">
        <v>0.90773329999999997</v>
      </c>
      <c r="Y3100">
        <v>0.51501980000000003</v>
      </c>
      <c r="Z3100">
        <v>2.6901960000000002E-3</v>
      </c>
      <c r="AA3100">
        <v>0.85717399999999999</v>
      </c>
      <c r="AB3100">
        <v>28</v>
      </c>
      <c r="AC3100">
        <v>10.1275</v>
      </c>
      <c r="AD3100">
        <v>-1.1078670587420001</v>
      </c>
      <c r="AE3100">
        <v>-20.226299999999899</v>
      </c>
      <c r="AF3100">
        <v>11.759348367335599</v>
      </c>
      <c r="AG3100">
        <v>-1.1078670587420001</v>
      </c>
      <c r="AH3100">
        <v>19.259835393501699</v>
      </c>
      <c r="AI3100">
        <v>92.810654669056404</v>
      </c>
      <c r="AJ3100">
        <v>58.593293329595703</v>
      </c>
      <c r="AK3100">
        <v>22.593160532094299</v>
      </c>
      <c r="AL3100">
        <v>81.913503593613896</v>
      </c>
      <c r="AM3100">
        <v>66.469784983050602</v>
      </c>
      <c r="AN3100">
        <v>1.0000000205941399</v>
      </c>
    </row>
    <row r="3101" spans="1:40" x14ac:dyDescent="0.25">
      <c r="A3101" t="str">
        <f>"20190303162610985"</f>
        <v>20190303162610985</v>
      </c>
      <c r="B3101" t="str">
        <f>"1551601570976066"</f>
        <v>1551601570976066</v>
      </c>
      <c r="C3101" t="s">
        <v>40</v>
      </c>
      <c r="D3101">
        <v>4.7057989999999998</v>
      </c>
      <c r="E3101">
        <v>0.56472709999999904</v>
      </c>
      <c r="F3101" t="s">
        <v>41</v>
      </c>
      <c r="G3101">
        <v>-183.99080000000001</v>
      </c>
      <c r="H3101" s="1">
        <v>-4.9729840000000001E-6</v>
      </c>
      <c r="I3101">
        <v>188.74019999999999</v>
      </c>
      <c r="J3101">
        <v>-194.9667</v>
      </c>
      <c r="K3101">
        <v>1.10764</v>
      </c>
      <c r="L3101">
        <v>211.9041</v>
      </c>
      <c r="M3101">
        <v>0.83955569999999902</v>
      </c>
      <c r="N3101">
        <v>-1.51982E-2</v>
      </c>
      <c r="O3101">
        <v>-0.54306089999999996</v>
      </c>
      <c r="P3101">
        <v>0.5519984</v>
      </c>
      <c r="Q3101">
        <v>0.1390699</v>
      </c>
      <c r="R3101">
        <v>-0.82216639999999996</v>
      </c>
      <c r="S3101">
        <v>1.335693</v>
      </c>
      <c r="T3101">
        <v>-0.1322671</v>
      </c>
      <c r="U3101">
        <v>-2.7834780000000001</v>
      </c>
      <c r="V3101">
        <v>0.39524530000000002</v>
      </c>
      <c r="W3101">
        <v>0.14024679999999901</v>
      </c>
      <c r="X3101">
        <v>0.90780620000000001</v>
      </c>
      <c r="Y3101">
        <v>0.52164630000000001</v>
      </c>
      <c r="Z3101">
        <v>1.288686E-3</v>
      </c>
      <c r="AA3101">
        <v>0.8531609</v>
      </c>
      <c r="AB3101">
        <v>28</v>
      </c>
      <c r="AC3101">
        <v>10.9758999999999</v>
      </c>
      <c r="AD3101">
        <v>-1.1076449729840001</v>
      </c>
      <c r="AE3101">
        <v>-23.163900000000002</v>
      </c>
      <c r="AF3101">
        <v>13.463220992908299</v>
      </c>
      <c r="AG3101">
        <v>-1.1076449729840001</v>
      </c>
      <c r="AH3101">
        <v>21.756181316506201</v>
      </c>
      <c r="AI3101">
        <v>92.478948511662907</v>
      </c>
      <c r="AJ3101">
        <v>58.249833402578403</v>
      </c>
      <c r="AK3101">
        <v>25.608916852665899</v>
      </c>
      <c r="AL3101">
        <v>81.937872695343202</v>
      </c>
      <c r="AM3101">
        <v>66.472408259181904</v>
      </c>
      <c r="AN3101">
        <v>1.00000005442038</v>
      </c>
    </row>
    <row r="3102" spans="1:40" x14ac:dyDescent="0.25">
      <c r="A3102" t="str">
        <f>"20190303162611028"</f>
        <v>20190303162611028</v>
      </c>
      <c r="B3102" t="str">
        <f>"1551601571016081"</f>
        <v>1551601571016081</v>
      </c>
      <c r="C3102" t="s">
        <v>40</v>
      </c>
      <c r="D3102">
        <v>4.6653159999999998</v>
      </c>
      <c r="E3102">
        <v>0.56510819999999995</v>
      </c>
      <c r="F3102" t="s">
        <v>41</v>
      </c>
      <c r="G3102">
        <v>-182.50450000000001</v>
      </c>
      <c r="H3102" s="1">
        <v>-3.7502440000000001E-6</v>
      </c>
      <c r="I3102">
        <v>184.80779999999999</v>
      </c>
      <c r="J3102">
        <v>-194.52940000000001</v>
      </c>
      <c r="K3102">
        <v>1.1072310000000001</v>
      </c>
      <c r="L3102">
        <v>211.57599999999999</v>
      </c>
      <c r="M3102">
        <v>0.82065540000000003</v>
      </c>
      <c r="N3102">
        <v>-1.537225E-2</v>
      </c>
      <c r="O3102">
        <v>-0.57121650000000002</v>
      </c>
      <c r="P3102">
        <v>0.52616580000000002</v>
      </c>
      <c r="Q3102">
        <v>0.14045389999999999</v>
      </c>
      <c r="R3102">
        <v>-0.83870250000000002</v>
      </c>
      <c r="S3102">
        <v>1.2890779999999999</v>
      </c>
      <c r="T3102">
        <v>-0.11457349999999999</v>
      </c>
      <c r="U3102">
        <v>-2.8028110000000002</v>
      </c>
      <c r="V3102">
        <v>0.3926848</v>
      </c>
      <c r="W3102">
        <v>0.14149870000000001</v>
      </c>
      <c r="X3102">
        <v>0.90872260000000005</v>
      </c>
      <c r="Y3102">
        <v>0.50664200000000004</v>
      </c>
      <c r="Z3102">
        <v>7.0316479999999999E-4</v>
      </c>
      <c r="AA3102">
        <v>0.86215629999999999</v>
      </c>
      <c r="AB3102">
        <v>28</v>
      </c>
      <c r="AC3102">
        <v>12.024900000000001</v>
      </c>
      <c r="AD3102">
        <v>-1.1072347502440001</v>
      </c>
      <c r="AE3102">
        <v>-26.7682</v>
      </c>
      <c r="AF3102">
        <v>15.0789643315231</v>
      </c>
      <c r="AG3102">
        <v>-1.1072347502440001</v>
      </c>
      <c r="AH3102">
        <v>25.125940271862699</v>
      </c>
      <c r="AI3102">
        <v>92.163904433187099</v>
      </c>
      <c r="AJ3102">
        <v>59.030542666685498</v>
      </c>
      <c r="AK3102">
        <v>29.324290420208101</v>
      </c>
      <c r="AL3102">
        <v>81.865421150799904</v>
      </c>
      <c r="AM3102">
        <v>66.629458352987797</v>
      </c>
      <c r="AN3102">
        <v>0.99999999900174497</v>
      </c>
    </row>
    <row r="3103" spans="1:40" x14ac:dyDescent="0.25">
      <c r="A3103" t="str">
        <f>"20190303162611055"</f>
        <v>20190303162611055</v>
      </c>
      <c r="B3103" t="str">
        <f>"1551601571046844"</f>
        <v>1551601571046844</v>
      </c>
      <c r="C3103" t="s">
        <v>40</v>
      </c>
      <c r="D3103">
        <v>4.7037519999999997</v>
      </c>
      <c r="E3103">
        <v>0.56520369999999998</v>
      </c>
      <c r="F3103" t="s">
        <v>41</v>
      </c>
      <c r="G3103">
        <v>-177.58330000000001</v>
      </c>
      <c r="H3103">
        <v>7.998595E-2</v>
      </c>
      <c r="I3103">
        <v>171.27340000000001</v>
      </c>
      <c r="J3103">
        <v>-194.25280000000001</v>
      </c>
      <c r="K3103">
        <v>1.106992</v>
      </c>
      <c r="L3103">
        <v>211.35570000000001</v>
      </c>
      <c r="M3103">
        <v>0.80759700000000001</v>
      </c>
      <c r="N3103">
        <v>-1.548539E-2</v>
      </c>
      <c r="O3103">
        <v>-0.58953169999999899</v>
      </c>
      <c r="P3103">
        <v>0.50779960000000002</v>
      </c>
      <c r="Q3103">
        <v>0.1423372</v>
      </c>
      <c r="R3103">
        <v>-0.84963529999999998</v>
      </c>
      <c r="S3103">
        <v>1.1941219999999999</v>
      </c>
      <c r="T3103">
        <v>-7.2385550000000007E-2</v>
      </c>
      <c r="U3103">
        <v>-2.8399510000000001</v>
      </c>
      <c r="V3103">
        <v>0.39190540000000001</v>
      </c>
      <c r="W3103">
        <v>0.14328089999999999</v>
      </c>
      <c r="X3103">
        <v>0.90877980000000003</v>
      </c>
      <c r="Y3103">
        <v>0.51581449999999995</v>
      </c>
      <c r="Z3103">
        <v>-4.0264790000000003E-3</v>
      </c>
      <c r="AA3103">
        <v>0.85669079999999997</v>
      </c>
      <c r="AB3103">
        <v>28</v>
      </c>
      <c r="AC3103">
        <v>16.669499999999999</v>
      </c>
      <c r="AD3103">
        <v>-1.02700605</v>
      </c>
      <c r="AE3103">
        <v>-40.082299999999996</v>
      </c>
      <c r="AF3103">
        <v>22.533234198288</v>
      </c>
      <c r="AG3103">
        <v>-1.02700605</v>
      </c>
      <c r="AH3103">
        <v>37.075715056621299</v>
      </c>
      <c r="AI3103">
        <v>91.356012641997793</v>
      </c>
      <c r="AJ3103">
        <v>58.710329252638402</v>
      </c>
      <c r="AK3103">
        <v>43.398272221615102</v>
      </c>
      <c r="AL3103">
        <v>81.762257368512607</v>
      </c>
      <c r="AM3103">
        <v>66.6721919807093</v>
      </c>
      <c r="AN3103">
        <v>0.99999999187100497</v>
      </c>
    </row>
    <row r="3104" spans="1:40" x14ac:dyDescent="0.25">
      <c r="A3104" t="str">
        <f>"20190303162611078"</f>
        <v>20190303162611078</v>
      </c>
      <c r="B3104" t="str">
        <f>"1551601571066365"</f>
        <v>1551601571066365</v>
      </c>
      <c r="C3104" t="s">
        <v>40</v>
      </c>
      <c r="D3104">
        <v>4.7196989999999897</v>
      </c>
      <c r="E3104">
        <v>0.56504739999999998</v>
      </c>
      <c r="F3104" t="s">
        <v>41</v>
      </c>
      <c r="G3104">
        <v>-167.04990000000001</v>
      </c>
      <c r="H3104" s="1">
        <v>-2.113894E-6</v>
      </c>
      <c r="I3104">
        <v>142.39330000000001</v>
      </c>
      <c r="J3104">
        <v>-194.0291</v>
      </c>
      <c r="K3104">
        <v>1.1068</v>
      </c>
      <c r="L3104">
        <v>211.16980000000001</v>
      </c>
      <c r="M3104">
        <v>0.79635880000000003</v>
      </c>
      <c r="N3104">
        <v>-1.557646E-2</v>
      </c>
      <c r="O3104">
        <v>-0.6046241</v>
      </c>
      <c r="P3104">
        <v>0.49270589999999997</v>
      </c>
      <c r="Q3104">
        <v>0.14375929999999901</v>
      </c>
      <c r="R3104">
        <v>-0.85823919999999998</v>
      </c>
      <c r="S3104">
        <v>1.129532</v>
      </c>
      <c r="T3104">
        <v>-4.5965190000000003E-2</v>
      </c>
      <c r="U3104">
        <v>-2.8634949999999999</v>
      </c>
      <c r="V3104">
        <v>0.39079059999999999</v>
      </c>
      <c r="W3104">
        <v>0.14464839999999901</v>
      </c>
      <c r="X3104">
        <v>0.90904320000000005</v>
      </c>
      <c r="Y3104">
        <v>0.51886880000000002</v>
      </c>
      <c r="Z3104">
        <v>-7.1883310000000001E-3</v>
      </c>
      <c r="AA3104">
        <v>0.85482359999999902</v>
      </c>
      <c r="AB3104">
        <v>28</v>
      </c>
      <c r="AC3104">
        <v>26.979199999999899</v>
      </c>
      <c r="AD3104">
        <v>-1.1068021138940001</v>
      </c>
      <c r="AE3104">
        <v>-68.776499999999999</v>
      </c>
      <c r="AF3104">
        <v>38.454527001592801</v>
      </c>
      <c r="AG3104">
        <v>-1.1068021138940001</v>
      </c>
      <c r="AH3104">
        <v>63.062543087887803</v>
      </c>
      <c r="AI3104">
        <v>90.858494381039407</v>
      </c>
      <c r="AJ3104">
        <v>58.625831315525602</v>
      </c>
      <c r="AK3104">
        <v>73.870562462643093</v>
      </c>
      <c r="AL3104">
        <v>81.683080619975101</v>
      </c>
      <c r="AM3104">
        <v>66.737507054260405</v>
      </c>
      <c r="AN3104">
        <v>0.99999999606858003</v>
      </c>
    </row>
    <row r="3105" spans="1:40" x14ac:dyDescent="0.25">
      <c r="A3105" t="str">
        <f>"20190303162611101"</f>
        <v>20190303162611101</v>
      </c>
      <c r="B3105" t="str">
        <f>"1551601571096621"</f>
        <v>1551601571096621</v>
      </c>
      <c r="C3105" t="s">
        <v>40</v>
      </c>
      <c r="D3105">
        <v>4.8430780000000002</v>
      </c>
      <c r="E3105">
        <v>0.5644574</v>
      </c>
      <c r="F3105" t="s">
        <v>58</v>
      </c>
      <c r="G3105">
        <v>-158.46469999999999</v>
      </c>
      <c r="H3105">
        <v>0.1021204</v>
      </c>
      <c r="I3105">
        <v>116.1615</v>
      </c>
      <c r="J3105">
        <v>-193.797</v>
      </c>
      <c r="K3105">
        <v>1.10659</v>
      </c>
      <c r="L3105">
        <v>210.96809999999999</v>
      </c>
      <c r="M3105">
        <v>0.78396250000000001</v>
      </c>
      <c r="N3105">
        <v>-1.5672120000000001E-2</v>
      </c>
      <c r="O3105">
        <v>-0.62061040000000001</v>
      </c>
      <c r="P3105">
        <v>0.4771089</v>
      </c>
      <c r="Q3105">
        <v>0.14360319999999999</v>
      </c>
      <c r="R3105">
        <v>-0.86703280000000005</v>
      </c>
      <c r="S3105">
        <v>1.0785979999999999</v>
      </c>
      <c r="T3105">
        <v>-3.0469659999999999E-2</v>
      </c>
      <c r="U3105">
        <v>-2.8814090000000001</v>
      </c>
      <c r="V3105">
        <v>0.38891750000000003</v>
      </c>
      <c r="W3105">
        <v>0.14447199999999999</v>
      </c>
      <c r="X3105">
        <v>0.90987419999999997</v>
      </c>
      <c r="Y3105">
        <v>0.51660329999999999</v>
      </c>
      <c r="Z3105">
        <v>-9.1625649999999993E-3</v>
      </c>
      <c r="AA3105">
        <v>0.85617579999999904</v>
      </c>
      <c r="AB3105">
        <v>28</v>
      </c>
      <c r="AC3105">
        <v>35.332299999999996</v>
      </c>
      <c r="AD3105">
        <v>-1.0044696</v>
      </c>
      <c r="AE3105">
        <v>-94.806600000000003</v>
      </c>
      <c r="AF3105">
        <v>52.398495478835699</v>
      </c>
      <c r="AG3105">
        <v>-1.0044696</v>
      </c>
      <c r="AH3105">
        <v>86.539256284934595</v>
      </c>
      <c r="AI3105">
        <v>90.568864409231793</v>
      </c>
      <c r="AJ3105">
        <v>58.805590915544201</v>
      </c>
      <c r="AK3105">
        <v>101.171409824972</v>
      </c>
      <c r="AL3105">
        <v>81.693295088047805</v>
      </c>
      <c r="AM3105">
        <v>66.856152351147699</v>
      </c>
      <c r="AN3105">
        <v>1.00000002020794</v>
      </c>
    </row>
    <row r="3106" spans="1:40" x14ac:dyDescent="0.25">
      <c r="A3106" t="str">
        <f>"20190303162611122"</f>
        <v>20190303162611122</v>
      </c>
      <c r="B3106" t="str">
        <f>"1551601571116141"</f>
        <v>1551601571116141</v>
      </c>
      <c r="C3106" t="s">
        <v>40</v>
      </c>
      <c r="D3106">
        <v>5.0053000000000001</v>
      </c>
      <c r="E3106">
        <v>0.56476090000000001</v>
      </c>
      <c r="F3106" t="s">
        <v>58</v>
      </c>
      <c r="G3106">
        <v>-159.72839999999999</v>
      </c>
      <c r="H3106">
        <v>0.52964540000000004</v>
      </c>
      <c r="I3106">
        <v>114.896</v>
      </c>
      <c r="J3106">
        <v>-193.58760000000001</v>
      </c>
      <c r="K3106">
        <v>1.1064099999999999</v>
      </c>
      <c r="L3106">
        <v>210.77860000000001</v>
      </c>
      <c r="M3106">
        <v>0.77212539999999996</v>
      </c>
      <c r="N3106">
        <v>-1.5760699999999999E-2</v>
      </c>
      <c r="O3106">
        <v>-0.63527480000000003</v>
      </c>
      <c r="P3106">
        <v>0.46268179999999998</v>
      </c>
      <c r="Q3106">
        <v>0.14454059999999999</v>
      </c>
      <c r="R3106">
        <v>-0.8746623</v>
      </c>
      <c r="S3106">
        <v>1.027512</v>
      </c>
      <c r="T3106">
        <v>-1.740038E-2</v>
      </c>
      <c r="U3106">
        <v>-2.8975369999999998</v>
      </c>
      <c r="V3106">
        <v>0.38681349999999998</v>
      </c>
      <c r="W3106">
        <v>0.14541270000000001</v>
      </c>
      <c r="X3106">
        <v>0.91062089999999996</v>
      </c>
      <c r="Y3106">
        <v>0.51539740000000001</v>
      </c>
      <c r="Z3106">
        <v>-1.100951E-2</v>
      </c>
      <c r="AA3106">
        <v>0.85688059999999999</v>
      </c>
      <c r="AB3106">
        <v>28</v>
      </c>
      <c r="AC3106">
        <v>33.859200000000001</v>
      </c>
      <c r="AD3106">
        <v>-0.57676459999999996</v>
      </c>
      <c r="AE3106">
        <v>-95.882599999999996</v>
      </c>
      <c r="AF3106">
        <v>52.5283262999504</v>
      </c>
      <c r="AG3106">
        <v>-0.57676459999999996</v>
      </c>
      <c r="AH3106">
        <v>87.063356590610695</v>
      </c>
      <c r="AI3106">
        <v>90.324991489081398</v>
      </c>
      <c r="AJ3106">
        <v>58.895970323371898</v>
      </c>
      <c r="AK3106">
        <v>101.68375377660701</v>
      </c>
      <c r="AL3106">
        <v>81.638821377949199</v>
      </c>
      <c r="AM3106">
        <v>66.985187892605396</v>
      </c>
      <c r="AN3106">
        <v>0.99999998031017401</v>
      </c>
    </row>
    <row r="3107" spans="1:40" x14ac:dyDescent="0.25">
      <c r="A3107" t="str">
        <f>"20190303162611146"</f>
        <v>20190303162611146</v>
      </c>
      <c r="B3107" t="str">
        <f>"1551601571136974"</f>
        <v>1551601571136974</v>
      </c>
      <c r="C3107" t="s">
        <v>40</v>
      </c>
      <c r="D3107">
        <v>6.614757</v>
      </c>
      <c r="E3107">
        <v>0.59537839999999997</v>
      </c>
      <c r="F3107" t="s">
        <v>58</v>
      </c>
      <c r="G3107">
        <v>-161.06440000000001</v>
      </c>
      <c r="H3107">
        <v>0.843437199999999</v>
      </c>
      <c r="I3107">
        <v>113.5579</v>
      </c>
      <c r="J3107">
        <v>-193.3657</v>
      </c>
      <c r="K3107">
        <v>1.1062430000000001</v>
      </c>
      <c r="L3107">
        <v>210.56950000000001</v>
      </c>
      <c r="M3107">
        <v>0.75886769999999903</v>
      </c>
      <c r="N3107">
        <v>-1.585491E-2</v>
      </c>
      <c r="O3107">
        <v>-0.65105170000000001</v>
      </c>
      <c r="P3107">
        <v>0.44493729999999998</v>
      </c>
      <c r="Q3107">
        <v>0.14756259999999999</v>
      </c>
      <c r="R3107">
        <v>-0.88332119999999903</v>
      </c>
      <c r="S3107">
        <v>0.97526550000000001</v>
      </c>
      <c r="T3107">
        <v>-7.8854559999999903E-3</v>
      </c>
      <c r="U3107">
        <v>-2.9153289999999998</v>
      </c>
      <c r="V3107">
        <v>0.38621470000000002</v>
      </c>
      <c r="W3107">
        <v>0.1483786</v>
      </c>
      <c r="X3107">
        <v>0.9103966</v>
      </c>
      <c r="Y3107">
        <v>0.51314129999999902</v>
      </c>
      <c r="Z3107">
        <v>-1.25143999999999E-2</v>
      </c>
      <c r="AA3107">
        <v>0.85821289999999995</v>
      </c>
      <c r="AB3107">
        <v>28</v>
      </c>
      <c r="AC3107">
        <v>32.301299999999998</v>
      </c>
      <c r="AD3107">
        <v>-0.26280579999999998</v>
      </c>
      <c r="AE3107">
        <v>-97.011600000000001</v>
      </c>
      <c r="AF3107">
        <v>52.595420300919102</v>
      </c>
      <c r="AG3107">
        <v>-0.26280579999999998</v>
      </c>
      <c r="AH3107">
        <v>87.682427813168204</v>
      </c>
      <c r="AI3107">
        <v>90.147266942765597</v>
      </c>
      <c r="AJ3107">
        <v>59.042988082890197</v>
      </c>
      <c r="AK3107">
        <v>102.247520511405</v>
      </c>
      <c r="AL3107">
        <v>81.4670241483593</v>
      </c>
      <c r="AM3107">
        <v>67.012038465819799</v>
      </c>
      <c r="AN3107">
        <v>0.99999998636280496</v>
      </c>
    </row>
    <row r="3108" spans="1:40" x14ac:dyDescent="0.25">
      <c r="A3108" t="str">
        <f>"20190303162611168"</f>
        <v>20190303162611168</v>
      </c>
      <c r="B3108" t="str">
        <f>"1551601571156495"</f>
        <v>1551601571156495</v>
      </c>
      <c r="C3108" t="s">
        <v>40</v>
      </c>
      <c r="D3108">
        <v>5.0223690000000003</v>
      </c>
      <c r="E3108">
        <v>0.59991329999999998</v>
      </c>
      <c r="F3108" t="s">
        <v>41</v>
      </c>
      <c r="G3108">
        <v>-189.9271</v>
      </c>
      <c r="H3108" s="1">
        <v>-2.6964999999999999E-6</v>
      </c>
      <c r="I3108">
        <v>195.88820000000001</v>
      </c>
      <c r="J3108">
        <v>-193.16890000000001</v>
      </c>
      <c r="K3108">
        <v>1.10612</v>
      </c>
      <c r="L3108">
        <v>210.37639999999999</v>
      </c>
      <c r="M3108">
        <v>0.7464594</v>
      </c>
      <c r="N3108">
        <v>-1.593615E-2</v>
      </c>
      <c r="O3108">
        <v>-0.66524019999999995</v>
      </c>
      <c r="P3108">
        <v>0.4278885</v>
      </c>
      <c r="Q3108">
        <v>0.1520927</v>
      </c>
      <c r="R3108">
        <v>-0.89094309999999999</v>
      </c>
      <c r="S3108">
        <v>0.71963500000000002</v>
      </c>
      <c r="T3108">
        <v>-0.2315112</v>
      </c>
      <c r="U3108">
        <v>-3.0724490000000002</v>
      </c>
      <c r="V3108">
        <v>0.38618980000000003</v>
      </c>
      <c r="W3108">
        <v>0.15284130000000001</v>
      </c>
      <c r="X3108">
        <v>0.90966860000000005</v>
      </c>
      <c r="Y3108">
        <v>0.57447199999999998</v>
      </c>
      <c r="Z3108">
        <v>1.7103259999999999E-2</v>
      </c>
      <c r="AA3108">
        <v>0.81834549999999995</v>
      </c>
      <c r="AB3108">
        <v>28</v>
      </c>
      <c r="AC3108">
        <v>3.2418000000000098</v>
      </c>
      <c r="AD3108">
        <v>-1.1061226964999999</v>
      </c>
      <c r="AE3108">
        <v>-14.4881999999999</v>
      </c>
      <c r="AF3108">
        <v>8.61157478013366</v>
      </c>
      <c r="AG3108">
        <v>-1.1061226964999999</v>
      </c>
      <c r="AH3108">
        <v>11.9929644494195</v>
      </c>
      <c r="AI3108">
        <v>94.2844658769408</v>
      </c>
      <c r="AJ3108">
        <v>54.319678686037697</v>
      </c>
      <c r="AK3108">
        <v>14.805874641458599</v>
      </c>
      <c r="AL3108">
        <v>81.208379809875296</v>
      </c>
      <c r="AM3108">
        <v>66.996883933772594</v>
      </c>
      <c r="AN3108">
        <v>0.99999999321784505</v>
      </c>
    </row>
    <row r="3109" spans="1:40" x14ac:dyDescent="0.25">
      <c r="A3109" t="str">
        <f>"20190303162611189"</f>
        <v>20190303162611189</v>
      </c>
      <c r="B3109" t="str">
        <f>"1551601571176991"</f>
        <v>1551601571176991</v>
      </c>
      <c r="C3109" t="s">
        <v>40</v>
      </c>
      <c r="D3109">
        <v>5.0359610000000004</v>
      </c>
      <c r="E3109">
        <v>0.59876870000000004</v>
      </c>
      <c r="F3109" t="s">
        <v>41</v>
      </c>
      <c r="G3109">
        <v>-190.07910000000001</v>
      </c>
      <c r="H3109" s="1">
        <v>-2.3916670000000001E-6</v>
      </c>
      <c r="I3109">
        <v>195.11510000000001</v>
      </c>
      <c r="J3109">
        <v>-192.9734</v>
      </c>
      <c r="K3109">
        <v>1.1059969999999999</v>
      </c>
      <c r="L3109">
        <v>210.17699999999999</v>
      </c>
      <c r="M3109">
        <v>0.73348859999999905</v>
      </c>
      <c r="N3109">
        <v>-1.601344E-2</v>
      </c>
      <c r="O3109">
        <v>-0.67951319999999904</v>
      </c>
      <c r="P3109">
        <v>0.41024769999999999</v>
      </c>
      <c r="Q3109">
        <v>0.15381610000000001</v>
      </c>
      <c r="R3109">
        <v>-0.89890939999999997</v>
      </c>
      <c r="S3109">
        <v>0.62838749999999999</v>
      </c>
      <c r="T3109">
        <v>-0.2249583</v>
      </c>
      <c r="U3109">
        <v>-3.10379</v>
      </c>
      <c r="V3109">
        <v>0.3864708</v>
      </c>
      <c r="W3109">
        <v>0.15449789999999999</v>
      </c>
      <c r="X3109">
        <v>0.90926929999999995</v>
      </c>
      <c r="Y3109">
        <v>0.58347349999999998</v>
      </c>
      <c r="Z3109">
        <v>1.6790429999999999E-2</v>
      </c>
      <c r="AA3109">
        <v>0.81195859999999997</v>
      </c>
      <c r="AB3109">
        <v>28</v>
      </c>
      <c r="AC3109">
        <v>2.8942999999999799</v>
      </c>
      <c r="AD3109">
        <v>-1.1059993916669999</v>
      </c>
      <c r="AE3109">
        <v>-15.0619</v>
      </c>
      <c r="AF3109">
        <v>9.0351978214653403</v>
      </c>
      <c r="AG3109">
        <v>-1.1059993916669999</v>
      </c>
      <c r="AH3109">
        <v>12.295344082163799</v>
      </c>
      <c r="AI3109">
        <v>94.145887752661494</v>
      </c>
      <c r="AJ3109">
        <v>53.689802178035599</v>
      </c>
      <c r="AK3109">
        <v>15.298154150948401</v>
      </c>
      <c r="AL3109">
        <v>81.112322463037799</v>
      </c>
      <c r="AM3109">
        <v>66.972834915545704</v>
      </c>
      <c r="AN3109">
        <v>0.99999997013976905</v>
      </c>
    </row>
    <row r="3110" spans="1:40" x14ac:dyDescent="0.25">
      <c r="A3110" t="str">
        <f>"20190303162611212"</f>
        <v>20190303162611212</v>
      </c>
      <c r="B3110" t="str">
        <f>"1551601571206271"</f>
        <v>1551601571206271</v>
      </c>
      <c r="C3110" t="s">
        <v>40</v>
      </c>
      <c r="D3110">
        <v>5.0483310000000001</v>
      </c>
      <c r="E3110">
        <v>0.59655040000000004</v>
      </c>
      <c r="F3110" t="s">
        <v>41</v>
      </c>
      <c r="G3110">
        <v>-190.34960000000001</v>
      </c>
      <c r="H3110" s="1">
        <v>-2.8314449999999999E-6</v>
      </c>
      <c r="I3110">
        <v>195.97239999999999</v>
      </c>
      <c r="J3110">
        <v>-192.7749</v>
      </c>
      <c r="K3110">
        <v>1.1058619999999999</v>
      </c>
      <c r="L3110">
        <v>209.96629999999999</v>
      </c>
      <c r="M3110">
        <v>0.71963520000000003</v>
      </c>
      <c r="N3110">
        <v>-1.6087779999999999E-2</v>
      </c>
      <c r="O3110">
        <v>-0.69416610000000001</v>
      </c>
      <c r="P3110">
        <v>0.3929819</v>
      </c>
      <c r="Q3110">
        <v>0.15272740000000001</v>
      </c>
      <c r="R3110">
        <v>-0.90677459999999999</v>
      </c>
      <c r="S3110">
        <v>0.57559199999999999</v>
      </c>
      <c r="T3110">
        <v>-0.2426335</v>
      </c>
      <c r="U3110">
        <v>-3.116196</v>
      </c>
      <c r="V3110">
        <v>0.38566109999999998</v>
      </c>
      <c r="W3110">
        <v>0.15340299999999901</v>
      </c>
      <c r="X3110">
        <v>0.90979829999999995</v>
      </c>
      <c r="Y3110">
        <v>0.58094939999999995</v>
      </c>
      <c r="Z3110">
        <v>2.0573299999999999E-2</v>
      </c>
      <c r="AA3110">
        <v>0.81367959999999995</v>
      </c>
      <c r="AB3110">
        <v>28</v>
      </c>
      <c r="AC3110">
        <v>2.4252999999999898</v>
      </c>
      <c r="AD3110">
        <v>-1.1058648314449999</v>
      </c>
      <c r="AE3110">
        <v>-13.993899999999901</v>
      </c>
      <c r="AF3110">
        <v>8.3374781133866804</v>
      </c>
      <c r="AG3110">
        <v>-1.1058648314449999</v>
      </c>
      <c r="AH3110">
        <v>11.391837727051501</v>
      </c>
      <c r="AI3110">
        <v>94.479181268612805</v>
      </c>
      <c r="AJ3110">
        <v>53.800284046618899</v>
      </c>
      <c r="AK3110">
        <v>14.1601710835746</v>
      </c>
      <c r="AL3110">
        <v>81.175812380014193</v>
      </c>
      <c r="AM3110">
        <v>67.028040255305896</v>
      </c>
      <c r="AN3110">
        <v>0.99999995557254895</v>
      </c>
    </row>
    <row r="3111" spans="1:40" x14ac:dyDescent="0.25">
      <c r="A3111" t="str">
        <f>"20190303162611236"</f>
        <v>20190303162611236</v>
      </c>
      <c r="B3111" t="str">
        <f>"1551601571226767"</f>
        <v>1551601571226767</v>
      </c>
      <c r="C3111" t="s">
        <v>40</v>
      </c>
      <c r="D3111">
        <v>5.0657909999999999</v>
      </c>
      <c r="E3111">
        <v>0.59501949999999904</v>
      </c>
      <c r="F3111" t="s">
        <v>41</v>
      </c>
      <c r="G3111">
        <v>-190.54929999999999</v>
      </c>
      <c r="H3111" s="1">
        <v>-3.2802770000000002E-6</v>
      </c>
      <c r="I3111">
        <v>196.8948</v>
      </c>
      <c r="J3111">
        <v>-192.56800000000001</v>
      </c>
      <c r="K3111">
        <v>1.105728</v>
      </c>
      <c r="L3111">
        <v>209.73740000000001</v>
      </c>
      <c r="M3111">
        <v>0.70442469999999902</v>
      </c>
      <c r="N3111">
        <v>-1.6159440000000001E-2</v>
      </c>
      <c r="O3111">
        <v>-0.70959469999999902</v>
      </c>
      <c r="P3111">
        <v>0.37480770000000002</v>
      </c>
      <c r="Q3111">
        <v>0.14990499999999901</v>
      </c>
      <c r="R3111">
        <v>-0.91490340000000003</v>
      </c>
      <c r="S3111">
        <v>0.53164669999999903</v>
      </c>
      <c r="T3111">
        <v>-0.26417160000000001</v>
      </c>
      <c r="U3111">
        <v>-3.1225589999999999</v>
      </c>
      <c r="V3111">
        <v>0.3843683</v>
      </c>
      <c r="W3111">
        <v>0.15060870000000001</v>
      </c>
      <c r="X3111">
        <v>0.91081179999999995</v>
      </c>
      <c r="Y3111">
        <v>0.57466439999999996</v>
      </c>
      <c r="Z3111">
        <v>2.5472990000000001E-2</v>
      </c>
      <c r="AA3111">
        <v>0.81799259999999996</v>
      </c>
      <c r="AB3111">
        <v>28</v>
      </c>
      <c r="AC3111">
        <v>2.0186999999999902</v>
      </c>
      <c r="AD3111">
        <v>-1.1057312802770001</v>
      </c>
      <c r="AE3111">
        <v>-12.842599999999999</v>
      </c>
      <c r="AF3111">
        <v>7.5604860525589599</v>
      </c>
      <c r="AG3111">
        <v>-1.1057312802770001</v>
      </c>
      <c r="AH3111">
        <v>10.4607634895911</v>
      </c>
      <c r="AI3111">
        <v>94.896554390962393</v>
      </c>
      <c r="AJ3111">
        <v>54.142589307255001</v>
      </c>
      <c r="AK3111">
        <v>12.9541948341178</v>
      </c>
      <c r="AL3111">
        <v>81.337797209326496</v>
      </c>
      <c r="AM3111">
        <v>67.119949745685105</v>
      </c>
      <c r="AN3111">
        <v>1.0000000527899</v>
      </c>
    </row>
    <row r="3112" spans="1:40" x14ac:dyDescent="0.25">
      <c r="A3112" t="str">
        <f>"20190303162611274"</f>
        <v>20190303162611274</v>
      </c>
      <c r="B3112" t="str">
        <f>"1551601571266783"</f>
        <v>1551601571266783</v>
      </c>
      <c r="C3112" t="s">
        <v>40</v>
      </c>
      <c r="D3112">
        <v>5.0704580000000004</v>
      </c>
      <c r="E3112">
        <v>0.5920571</v>
      </c>
      <c r="F3112" t="s">
        <v>41</v>
      </c>
      <c r="G3112">
        <v>-190.69280000000001</v>
      </c>
      <c r="H3112" s="1">
        <v>-3.5866429999999998E-6</v>
      </c>
      <c r="I3112">
        <v>197.52</v>
      </c>
      <c r="J3112">
        <v>-192.24770000000001</v>
      </c>
      <c r="K3112">
        <v>1.105564</v>
      </c>
      <c r="L3112">
        <v>209.36089999999999</v>
      </c>
      <c r="M3112">
        <v>0.67916129999999997</v>
      </c>
      <c r="N3112">
        <v>-1.6254169999999998E-2</v>
      </c>
      <c r="O3112">
        <v>-0.73380900000000004</v>
      </c>
      <c r="P3112">
        <v>0.34435149999999998</v>
      </c>
      <c r="Q3112">
        <v>0.1458586</v>
      </c>
      <c r="R3112">
        <v>-0.92744139999999997</v>
      </c>
      <c r="S3112">
        <v>0.48020940000000001</v>
      </c>
      <c r="T3112">
        <v>-0.28315849999999998</v>
      </c>
      <c r="U3112">
        <v>-3.1286619999999998</v>
      </c>
      <c r="V3112">
        <v>0.38294319999999998</v>
      </c>
      <c r="W3112">
        <v>0.14660619999999999</v>
      </c>
      <c r="X3112">
        <v>0.91206419999999999</v>
      </c>
      <c r="Y3112">
        <v>0.55931589999999998</v>
      </c>
      <c r="Z3112">
        <v>3.1652439999999997E-2</v>
      </c>
      <c r="AA3112">
        <v>0.82835009999999998</v>
      </c>
      <c r="AB3112">
        <v>28</v>
      </c>
      <c r="AC3112">
        <v>1.5548999999999999</v>
      </c>
      <c r="AD3112">
        <v>-1.1055675866429999</v>
      </c>
      <c r="AE3112">
        <v>-11.8408999999999</v>
      </c>
      <c r="AF3112">
        <v>6.8431483465139999</v>
      </c>
      <c r="AG3112">
        <v>-1.1055675866429999</v>
      </c>
      <c r="AH3112">
        <v>9.6634599058482404</v>
      </c>
      <c r="AI3112">
        <v>95.334078964265501</v>
      </c>
      <c r="AJ3112">
        <v>54.695903455969301</v>
      </c>
      <c r="AK3112">
        <v>11.892578203777701</v>
      </c>
      <c r="AL3112">
        <v>81.569698148911499</v>
      </c>
      <c r="AM3112">
        <v>67.224203601749196</v>
      </c>
      <c r="AN3112">
        <v>0.99999998861315897</v>
      </c>
    </row>
    <row r="3113" spans="1:40" x14ac:dyDescent="0.25">
      <c r="A3113" t="str">
        <f>"20190303162611298"</f>
        <v>20190303162611298</v>
      </c>
      <c r="B3113" t="str">
        <f>"1551601571286303"</f>
        <v>1551601571286303</v>
      </c>
      <c r="C3113" t="s">
        <v>40</v>
      </c>
      <c r="D3113">
        <v>4.9567509999999997</v>
      </c>
      <c r="E3113">
        <v>0.59224580000000004</v>
      </c>
      <c r="F3113" t="s">
        <v>41</v>
      </c>
      <c r="G3113">
        <v>-190.80770000000001</v>
      </c>
      <c r="H3113" s="1">
        <v>-3.8011330000000002E-6</v>
      </c>
      <c r="I3113">
        <v>197.9487</v>
      </c>
      <c r="J3113">
        <v>-192.05930000000001</v>
      </c>
      <c r="K3113">
        <v>1.1055029999999999</v>
      </c>
      <c r="L3113">
        <v>209.1268</v>
      </c>
      <c r="M3113">
        <v>0.6633019</v>
      </c>
      <c r="N3113">
        <v>-1.6299480000000002E-2</v>
      </c>
      <c r="O3113">
        <v>-0.74817460000000002</v>
      </c>
      <c r="P3113">
        <v>0.32571860000000002</v>
      </c>
      <c r="Q3113">
        <v>0.1437997</v>
      </c>
      <c r="R3113">
        <v>-0.93446739999999995</v>
      </c>
      <c r="S3113">
        <v>0.39564510000000003</v>
      </c>
      <c r="T3113">
        <v>-0.30376059999999999</v>
      </c>
      <c r="U3113">
        <v>-3.1355740000000001</v>
      </c>
      <c r="V3113">
        <v>0.38183230000000001</v>
      </c>
      <c r="W3113">
        <v>0.144597</v>
      </c>
      <c r="X3113">
        <v>0.91285039999999995</v>
      </c>
      <c r="Y3113">
        <v>0.5637025</v>
      </c>
      <c r="Z3113">
        <v>3.6551960000000001E-2</v>
      </c>
      <c r="AA3113">
        <v>0.82516869999999998</v>
      </c>
      <c r="AB3113">
        <v>28</v>
      </c>
      <c r="AC3113">
        <v>1.2515999999999901</v>
      </c>
      <c r="AD3113">
        <v>-1.105506801133</v>
      </c>
      <c r="AE3113">
        <v>-11.178100000000001</v>
      </c>
      <c r="AF3113">
        <v>6.4169121069084296</v>
      </c>
      <c r="AG3113">
        <v>-1.105506801133</v>
      </c>
      <c r="AH3113">
        <v>9.1066095528273898</v>
      </c>
      <c r="AI3113">
        <v>95.667169658259795</v>
      </c>
      <c r="AJ3113">
        <v>54.829814742971699</v>
      </c>
      <c r="AK3113">
        <v>11.1950544359009</v>
      </c>
      <c r="AL3113">
        <v>81.686057157580706</v>
      </c>
      <c r="AM3113">
        <v>67.301137505009805</v>
      </c>
      <c r="AN3113">
        <v>1.00000002525622</v>
      </c>
    </row>
    <row r="3114" spans="1:40" x14ac:dyDescent="0.25">
      <c r="A3114" t="str">
        <f>"20190303162611321"</f>
        <v>20190303162611321</v>
      </c>
      <c r="B3114" t="str">
        <f>"1551601571316559"</f>
        <v>1551601571316559</v>
      </c>
      <c r="C3114" t="s">
        <v>40</v>
      </c>
      <c r="D3114">
        <v>5.0181820000000004</v>
      </c>
      <c r="E3114">
        <v>0.59236299999999997</v>
      </c>
      <c r="F3114" t="s">
        <v>41</v>
      </c>
      <c r="G3114">
        <v>-190.82249999999999</v>
      </c>
      <c r="H3114" s="1">
        <v>-3.5286770000000002E-6</v>
      </c>
      <c r="I3114">
        <v>197.30439999999999</v>
      </c>
      <c r="J3114">
        <v>-191.8793</v>
      </c>
      <c r="K3114">
        <v>1.105459</v>
      </c>
      <c r="L3114">
        <v>208.89240000000001</v>
      </c>
      <c r="M3114">
        <v>0.64736159999999998</v>
      </c>
      <c r="N3114">
        <v>-1.6334540000000002E-2</v>
      </c>
      <c r="O3114">
        <v>-0.76200809999999997</v>
      </c>
      <c r="P3114">
        <v>0.30683830000000001</v>
      </c>
      <c r="Q3114">
        <v>0.1421924</v>
      </c>
      <c r="R3114">
        <v>-0.94108049999999999</v>
      </c>
      <c r="S3114">
        <v>0.328598</v>
      </c>
      <c r="T3114">
        <v>-0.29371760000000002</v>
      </c>
      <c r="U3114">
        <v>-3.1410520000000002</v>
      </c>
      <c r="V3114">
        <v>0.38105030000000001</v>
      </c>
      <c r="W3114">
        <v>0.1430341</v>
      </c>
      <c r="X3114">
        <v>0.91342319999999999</v>
      </c>
      <c r="Y3114">
        <v>0.56387589999999999</v>
      </c>
      <c r="Z3114">
        <v>3.6426050000000001E-2</v>
      </c>
      <c r="AA3114">
        <v>0.82505580000000001</v>
      </c>
      <c r="AB3114">
        <v>28</v>
      </c>
      <c r="AC3114">
        <v>1.0568</v>
      </c>
      <c r="AD3114">
        <v>-1.1054625286769999</v>
      </c>
      <c r="AE3114">
        <v>-11.587999999999999</v>
      </c>
      <c r="AF3114">
        <v>6.6373233740087603</v>
      </c>
      <c r="AG3114">
        <v>-1.1054625286769999</v>
      </c>
      <c r="AH3114">
        <v>9.4304352543116501</v>
      </c>
      <c r="AI3114">
        <v>95.475663837462093</v>
      </c>
      <c r="AJ3114">
        <v>54.861373349085397</v>
      </c>
      <c r="AK3114">
        <v>11.5848702219419</v>
      </c>
      <c r="AL3114">
        <v>81.776545312059795</v>
      </c>
      <c r="AM3114">
        <v>67.355697912306297</v>
      </c>
      <c r="AN3114">
        <v>1.00000001359557</v>
      </c>
    </row>
    <row r="3115" spans="1:40" x14ac:dyDescent="0.25">
      <c r="A3115" t="str">
        <f>"20190303162611340"</f>
        <v>20190303162611340</v>
      </c>
      <c r="B3115" t="str">
        <f>"1551601571336079"</f>
        <v>1551601571336079</v>
      </c>
      <c r="C3115" t="s">
        <v>40</v>
      </c>
      <c r="D3115">
        <v>5.0124139999999997</v>
      </c>
      <c r="E3115">
        <v>0.59187690000000004</v>
      </c>
      <c r="F3115" t="s">
        <v>41</v>
      </c>
      <c r="G3115">
        <v>-190.8355</v>
      </c>
      <c r="H3115" s="1">
        <v>-3.158272E-6</v>
      </c>
      <c r="I3115">
        <v>196.43289999999999</v>
      </c>
      <c r="J3115">
        <v>-191.72620000000001</v>
      </c>
      <c r="K3115">
        <v>1.1054360000000001</v>
      </c>
      <c r="L3115">
        <v>208.6848</v>
      </c>
      <c r="M3115">
        <v>0.63318969999999997</v>
      </c>
      <c r="N3115">
        <v>-1.6358230000000001E-2</v>
      </c>
      <c r="O3115">
        <v>-0.77382390000000001</v>
      </c>
      <c r="P3115">
        <v>0.29064909999999999</v>
      </c>
      <c r="Q3115">
        <v>0.14089450000000001</v>
      </c>
      <c r="R3115">
        <v>-0.94639980000000001</v>
      </c>
      <c r="S3115">
        <v>0.2633972</v>
      </c>
      <c r="T3115">
        <v>-0.27895569999999997</v>
      </c>
      <c r="U3115">
        <v>-3.1440730000000001</v>
      </c>
      <c r="V3115">
        <v>0.37994060000000002</v>
      </c>
      <c r="W3115">
        <v>0.14180039999999999</v>
      </c>
      <c r="X3115">
        <v>0.91407760000000005</v>
      </c>
      <c r="Y3115">
        <v>0.56572709999999904</v>
      </c>
      <c r="Z3115">
        <v>3.506927E-2</v>
      </c>
      <c r="AA3115">
        <v>0.82384650000000004</v>
      </c>
      <c r="AB3115">
        <v>28</v>
      </c>
      <c r="AC3115">
        <v>0.89070000000000904</v>
      </c>
      <c r="AD3115">
        <v>-1.105439158272</v>
      </c>
      <c r="AE3115">
        <v>-12.251899999999999</v>
      </c>
      <c r="AF3115">
        <v>7.0126889021733003</v>
      </c>
      <c r="AG3115">
        <v>-1.105439158272</v>
      </c>
      <c r="AH3115">
        <v>9.9654389039620099</v>
      </c>
      <c r="AI3115">
        <v>95.183522553831594</v>
      </c>
      <c r="AJ3115">
        <v>54.8659121636599</v>
      </c>
      <c r="AK3115">
        <v>12.235594547054299</v>
      </c>
      <c r="AL3115">
        <v>81.847959243055698</v>
      </c>
      <c r="AM3115">
        <v>67.429559786672897</v>
      </c>
      <c r="AN3115">
        <v>1.00000003589513</v>
      </c>
    </row>
    <row r="3116" spans="1:40" x14ac:dyDescent="0.25">
      <c r="A3116" t="str">
        <f>"20190303162611363"</f>
        <v>20190303162611363</v>
      </c>
      <c r="B3116" t="str">
        <f>"1551601571356576"</f>
        <v>1551601571356576</v>
      </c>
      <c r="C3116" t="s">
        <v>40</v>
      </c>
      <c r="D3116">
        <v>5.0083299999999999</v>
      </c>
      <c r="E3116">
        <v>0.59140590000000004</v>
      </c>
      <c r="F3116" t="s">
        <v>41</v>
      </c>
      <c r="G3116">
        <v>-190.8734</v>
      </c>
      <c r="H3116" s="1">
        <v>-2.9937490000000001E-6</v>
      </c>
      <c r="I3116">
        <v>196.02590000000001</v>
      </c>
      <c r="J3116">
        <v>-191.55529999999999</v>
      </c>
      <c r="K3116">
        <v>1.1054360000000001</v>
      </c>
      <c r="L3116">
        <v>208.44280000000001</v>
      </c>
      <c r="M3116">
        <v>0.61663679999999998</v>
      </c>
      <c r="N3116">
        <v>-1.6377360000000001E-2</v>
      </c>
      <c r="O3116">
        <v>-0.78707740000000004</v>
      </c>
      <c r="P3116">
        <v>0.27326030000000001</v>
      </c>
      <c r="Q3116">
        <v>0.1407909</v>
      </c>
      <c r="R3116">
        <v>-0.95158120000000002</v>
      </c>
      <c r="S3116">
        <v>0.21192929999999999</v>
      </c>
      <c r="T3116">
        <v>-0.27470240000000001</v>
      </c>
      <c r="U3116">
        <v>-3.145737</v>
      </c>
      <c r="V3116">
        <v>0.37730269999999999</v>
      </c>
      <c r="W3116">
        <v>0.1418325</v>
      </c>
      <c r="X3116">
        <v>0.91516459999999999</v>
      </c>
      <c r="Y3116">
        <v>0.56170889999999996</v>
      </c>
      <c r="Z3116">
        <v>3.5946020000000002E-2</v>
      </c>
      <c r="AA3116">
        <v>0.8265536</v>
      </c>
      <c r="AB3116">
        <v>28</v>
      </c>
      <c r="AC3116">
        <v>0.68189999999998396</v>
      </c>
      <c r="AD3116">
        <v>-1.1054389937489999</v>
      </c>
      <c r="AE3116">
        <v>-12.416899999999901</v>
      </c>
      <c r="AF3116">
        <v>7.0651359780454799</v>
      </c>
      <c r="AG3116">
        <v>-1.1054389937489999</v>
      </c>
      <c r="AH3116">
        <v>10.1149850411042</v>
      </c>
      <c r="AI3116">
        <v>95.119771309413807</v>
      </c>
      <c r="AJ3116">
        <v>55.066390124236896</v>
      </c>
      <c r="AK3116">
        <v>12.387536645311499</v>
      </c>
      <c r="AL3116">
        <v>81.846101100844393</v>
      </c>
      <c r="AM3116">
        <v>67.594698327371603</v>
      </c>
      <c r="AN3116">
        <v>1.0000000152883499</v>
      </c>
    </row>
    <row r="3117" spans="1:40" x14ac:dyDescent="0.25">
      <c r="A3117" t="str">
        <f>"20190303162611384"</f>
        <v>20190303162611384</v>
      </c>
      <c r="B3117" t="str">
        <f>"1551601571376095"</f>
        <v>1551601571376095</v>
      </c>
      <c r="C3117" t="s">
        <v>40</v>
      </c>
      <c r="D3117">
        <v>4.8864720000000004</v>
      </c>
      <c r="E3117">
        <v>0.58929600000000004</v>
      </c>
      <c r="F3117" t="s">
        <v>41</v>
      </c>
      <c r="G3117">
        <v>-190.90819999999999</v>
      </c>
      <c r="H3117" s="1">
        <v>-2.7180789999999999E-6</v>
      </c>
      <c r="I3117">
        <v>195.36170000000001</v>
      </c>
      <c r="J3117">
        <v>-191.4023</v>
      </c>
      <c r="K3117">
        <v>1.1054600000000001</v>
      </c>
      <c r="L3117">
        <v>208.2167</v>
      </c>
      <c r="M3117">
        <v>0.60113289999999997</v>
      </c>
      <c r="N3117">
        <v>-1.6388949999999999E-2</v>
      </c>
      <c r="O3117">
        <v>-0.7989811</v>
      </c>
      <c r="P3117">
        <v>0.25827159999999999</v>
      </c>
      <c r="Q3117">
        <v>0.14388010000000001</v>
      </c>
      <c r="R3117">
        <v>-0.95529839999999999</v>
      </c>
      <c r="S3117">
        <v>0.1556854</v>
      </c>
      <c r="T3117">
        <v>-0.26597019999999999</v>
      </c>
      <c r="U3117">
        <v>-3.1473390000000001</v>
      </c>
      <c r="V3117">
        <v>0.37362069999999997</v>
      </c>
      <c r="W3117">
        <v>0.14509900000000001</v>
      </c>
      <c r="X3117">
        <v>0.91616260000000005</v>
      </c>
      <c r="Y3117">
        <v>0.56032380000000004</v>
      </c>
      <c r="Z3117">
        <v>3.5659199999999898E-2</v>
      </c>
      <c r="AA3117">
        <v>0.82750569999999901</v>
      </c>
      <c r="AB3117">
        <v>28</v>
      </c>
      <c r="AC3117">
        <v>0.49410000000000298</v>
      </c>
      <c r="AD3117">
        <v>-1.105462718079</v>
      </c>
      <c r="AE3117">
        <v>-12.854999999999899</v>
      </c>
      <c r="AF3117">
        <v>7.2800142533040697</v>
      </c>
      <c r="AG3117">
        <v>-1.105462718079</v>
      </c>
      <c r="AH3117">
        <v>10.4918665663346</v>
      </c>
      <c r="AI3117">
        <v>94.947523957105204</v>
      </c>
      <c r="AJ3117">
        <v>55.244295441859897</v>
      </c>
      <c r="AK3117">
        <v>12.8179530111146</v>
      </c>
      <c r="AL3117">
        <v>81.656988139027803</v>
      </c>
      <c r="AM3117">
        <v>67.813850677517195</v>
      </c>
      <c r="AN3117">
        <v>1.0000000284541199</v>
      </c>
    </row>
    <row r="3118" spans="1:40" x14ac:dyDescent="0.25">
      <c r="A3118" t="str">
        <f>"20190303162611411"</f>
        <v>20190303162611411</v>
      </c>
      <c r="B3118" t="str">
        <f>"1551601571406350"</f>
        <v>1551601571406350</v>
      </c>
      <c r="C3118" t="s">
        <v>40</v>
      </c>
      <c r="D3118">
        <v>4.8762410000000003</v>
      </c>
      <c r="E3118">
        <v>0.58707189999999998</v>
      </c>
      <c r="F3118" t="s">
        <v>41</v>
      </c>
      <c r="G3118">
        <v>-189.77760000000001</v>
      </c>
      <c r="H3118" s="1">
        <v>-1.70514E-6</v>
      </c>
      <c r="I3118">
        <v>163.155</v>
      </c>
      <c r="J3118">
        <v>-191.22900000000001</v>
      </c>
      <c r="K3118">
        <v>1.1054980000000001</v>
      </c>
      <c r="L3118">
        <v>207.9487</v>
      </c>
      <c r="M3118">
        <v>0.58272760000000001</v>
      </c>
      <c r="N3118">
        <v>-1.6395839999999998E-2</v>
      </c>
      <c r="O3118">
        <v>-0.81250230000000001</v>
      </c>
      <c r="P3118">
        <v>0.23938100000000001</v>
      </c>
      <c r="Q3118">
        <v>0.14786440000000001</v>
      </c>
      <c r="R3118">
        <v>-0.95960029999999996</v>
      </c>
      <c r="S3118">
        <v>0.1125488</v>
      </c>
      <c r="T3118">
        <v>-7.6577190000000003E-2</v>
      </c>
      <c r="U3118">
        <v>-3.1215060000000001</v>
      </c>
      <c r="V3118">
        <v>0.37054340000000002</v>
      </c>
      <c r="W3118">
        <v>0.14924000000000001</v>
      </c>
      <c r="X3118">
        <v>0.91674699999999998</v>
      </c>
      <c r="Y3118">
        <v>0.55293289999999995</v>
      </c>
      <c r="Z3118">
        <v>-5.9637329999999997E-4</v>
      </c>
      <c r="AA3118">
        <v>0.83322549999999995</v>
      </c>
      <c r="AB3118">
        <v>28</v>
      </c>
      <c r="AC3118">
        <v>1.4514</v>
      </c>
      <c r="AD3118">
        <v>-1.10549970514</v>
      </c>
      <c r="AE3118">
        <v>-44.793700000000001</v>
      </c>
      <c r="AF3118">
        <v>24.911449318041001</v>
      </c>
      <c r="AG3118">
        <v>-1.10549970514</v>
      </c>
      <c r="AH3118">
        <v>37.223108203757199</v>
      </c>
      <c r="AI3118">
        <v>91.413879729911599</v>
      </c>
      <c r="AJ3118">
        <v>56.207706473808599</v>
      </c>
      <c r="AK3118">
        <v>44.803596072993997</v>
      </c>
      <c r="AL3118">
        <v>81.417114193933102</v>
      </c>
      <c r="AM3118">
        <v>67.991749416183197</v>
      </c>
      <c r="AN3118">
        <v>1.00000002544627</v>
      </c>
    </row>
    <row r="3119" spans="1:40" x14ac:dyDescent="0.25">
      <c r="A3119" t="str">
        <f>"20190303162611435"</f>
        <v>20190303162611435</v>
      </c>
      <c r="B3119" t="str">
        <f>"1551601571426847"</f>
        <v>1551601571426847</v>
      </c>
      <c r="C3119" t="s">
        <v>40</v>
      </c>
      <c r="D3119">
        <v>5.0425750000000003</v>
      </c>
      <c r="E3119">
        <v>0.57541909999999996</v>
      </c>
      <c r="F3119" t="s">
        <v>47</v>
      </c>
      <c r="G3119">
        <v>-190.00649999999999</v>
      </c>
      <c r="H3119" s="1">
        <v>-1.183583E-5</v>
      </c>
      <c r="I3119">
        <v>152.27289999999999</v>
      </c>
      <c r="J3119">
        <v>-191.0626</v>
      </c>
      <c r="K3119">
        <v>1.105559</v>
      </c>
      <c r="L3119">
        <v>207.67840000000001</v>
      </c>
      <c r="M3119">
        <v>0.5641505</v>
      </c>
      <c r="N3119">
        <v>-1.6395880000000002E-2</v>
      </c>
      <c r="O3119">
        <v>-0.82550939999999995</v>
      </c>
      <c r="P3119">
        <v>0.22068789999999999</v>
      </c>
      <c r="Q3119">
        <v>0.15111369999999999</v>
      </c>
      <c r="R3119">
        <v>-0.96356750000000002</v>
      </c>
      <c r="S3119">
        <v>6.8481449999999999E-2</v>
      </c>
      <c r="T3119">
        <v>-6.1926719999999998E-2</v>
      </c>
      <c r="U3119">
        <v>-3.1187589999999998</v>
      </c>
      <c r="V3119">
        <v>0.36738169999999998</v>
      </c>
      <c r="W3119">
        <v>0.1526547</v>
      </c>
      <c r="X3119">
        <v>0.91745690000000002</v>
      </c>
      <c r="Y3119">
        <v>0.54578490000000002</v>
      </c>
      <c r="Z3119">
        <v>-3.2226780000000001E-3</v>
      </c>
      <c r="AA3119">
        <v>0.83791909999999903</v>
      </c>
      <c r="AB3119">
        <v>28</v>
      </c>
      <c r="AC3119">
        <v>1.05610000000001</v>
      </c>
      <c r="AD3119">
        <v>-1.1055708358299901</v>
      </c>
      <c r="AE3119">
        <v>-55.405500000000004</v>
      </c>
      <c r="AF3119">
        <v>30.3772083664268</v>
      </c>
      <c r="AG3119">
        <v>-1.1055708358299901</v>
      </c>
      <c r="AH3119">
        <v>46.321343615035602</v>
      </c>
      <c r="AI3119">
        <v>91.143385327798299</v>
      </c>
      <c r="AJ3119">
        <v>56.743421877606401</v>
      </c>
      <c r="AK3119">
        <v>55.404548092305099</v>
      </c>
      <c r="AL3119">
        <v>81.219197923064797</v>
      </c>
      <c r="AM3119">
        <v>68.177116094742004</v>
      </c>
      <c r="AN3119">
        <v>0.999999967142294</v>
      </c>
    </row>
    <row r="3120" spans="1:40" x14ac:dyDescent="0.25">
      <c r="A3120" t="str">
        <f>"20190303162611457"</f>
        <v>20190303162611457</v>
      </c>
      <c r="B3120" t="str">
        <f>"1551601571446367"</f>
        <v>1551601571446367</v>
      </c>
      <c r="C3120" t="s">
        <v>40</v>
      </c>
      <c r="D3120">
        <v>4.995838</v>
      </c>
      <c r="E3120">
        <v>0.57462269999999904</v>
      </c>
      <c r="F3120" t="s">
        <v>41</v>
      </c>
      <c r="G3120">
        <v>-190.34270000000001</v>
      </c>
      <c r="H3120" s="1">
        <v>-2.8782170000000001E-6</v>
      </c>
      <c r="I3120">
        <v>186.0857</v>
      </c>
      <c r="J3120">
        <v>-190.92179999999999</v>
      </c>
      <c r="K3120">
        <v>1.105615</v>
      </c>
      <c r="L3120">
        <v>207.4383</v>
      </c>
      <c r="M3120">
        <v>0.5476683</v>
      </c>
      <c r="N3120">
        <v>-1.6389790000000001E-2</v>
      </c>
      <c r="O3120">
        <v>-0.83653500000000003</v>
      </c>
      <c r="P3120">
        <v>0.20559849999999999</v>
      </c>
      <c r="Q3120">
        <v>0.15410599999999999</v>
      </c>
      <c r="R3120">
        <v>-0.96642700000000004</v>
      </c>
      <c r="S3120">
        <v>0.1038361</v>
      </c>
      <c r="T3120">
        <v>-0.1594737</v>
      </c>
      <c r="U3120">
        <v>-3.1146699999999998</v>
      </c>
      <c r="V3120">
        <v>0.36335299999999998</v>
      </c>
      <c r="W3120">
        <v>0.1558485</v>
      </c>
      <c r="X3120">
        <v>0.9185238</v>
      </c>
      <c r="Y3120">
        <v>0.51920319999999998</v>
      </c>
      <c r="Z3120">
        <v>1.871281E-2</v>
      </c>
      <c r="AA3120">
        <v>0.85444589999999998</v>
      </c>
      <c r="AB3120">
        <v>28</v>
      </c>
      <c r="AC3120">
        <v>0.57909999999998196</v>
      </c>
      <c r="AD3120">
        <v>-1.1056178782170001</v>
      </c>
      <c r="AE3120">
        <v>-21.352599999999899</v>
      </c>
      <c r="AF3120">
        <v>11.1812549191178</v>
      </c>
      <c r="AG3120">
        <v>-1.1056178782170001</v>
      </c>
      <c r="AH3120">
        <v>18.133213448533802</v>
      </c>
      <c r="AI3120">
        <v>92.970911783601096</v>
      </c>
      <c r="AJ3120">
        <v>58.341294049288898</v>
      </c>
      <c r="AK3120">
        <v>21.332048247391</v>
      </c>
      <c r="AL3120">
        <v>81.033990806424697</v>
      </c>
      <c r="AM3120">
        <v>68.417058410542197</v>
      </c>
      <c r="AN3120">
        <v>1.00000006436384</v>
      </c>
    </row>
    <row r="3121" spans="1:40" x14ac:dyDescent="0.25">
      <c r="A3121" t="str">
        <f>"20190303162611478"</f>
        <v>20190303162611478</v>
      </c>
      <c r="B3121" t="str">
        <f>"1551601571466863"</f>
        <v>1551601571466863</v>
      </c>
      <c r="C3121" t="s">
        <v>40</v>
      </c>
      <c r="D3121">
        <v>4.871372</v>
      </c>
      <c r="E3121">
        <v>0.57431829999999995</v>
      </c>
      <c r="F3121" t="s">
        <v>41</v>
      </c>
      <c r="G3121">
        <v>-190.4597</v>
      </c>
      <c r="H3121" s="1">
        <v>-1.82897E-6</v>
      </c>
      <c r="I3121">
        <v>183.56739999999999</v>
      </c>
      <c r="J3121">
        <v>-190.79150000000001</v>
      </c>
      <c r="K3121">
        <v>1.1056919999999999</v>
      </c>
      <c r="L3121">
        <v>207.20590000000001</v>
      </c>
      <c r="M3121">
        <v>0.53173780000000004</v>
      </c>
      <c r="N3121">
        <v>-1.6378460000000001E-2</v>
      </c>
      <c r="O3121">
        <v>-0.84675080000000003</v>
      </c>
      <c r="P3121">
        <v>0.1934399</v>
      </c>
      <c r="Q3121">
        <v>0.156158399999999</v>
      </c>
      <c r="R3121">
        <v>-0.96860480000000004</v>
      </c>
      <c r="S3121">
        <v>6.0287479999999997E-2</v>
      </c>
      <c r="T3121">
        <v>-0.14424609999999999</v>
      </c>
      <c r="U3121">
        <v>-3.1143649999999998</v>
      </c>
      <c r="V3121">
        <v>0.35736970000000001</v>
      </c>
      <c r="W3121">
        <v>0.15819129999999901</v>
      </c>
      <c r="X3121">
        <v>0.92046859999999997</v>
      </c>
      <c r="Y3121">
        <v>0.51499669999999997</v>
      </c>
      <c r="Z3121">
        <v>1.6080489999999999E-2</v>
      </c>
      <c r="AA3121">
        <v>0.85704130000000001</v>
      </c>
      <c r="AB3121">
        <v>28</v>
      </c>
      <c r="AC3121">
        <v>0.33180000000001503</v>
      </c>
      <c r="AD3121">
        <v>-1.10569382896999</v>
      </c>
      <c r="AE3121">
        <v>-23.638500000000001</v>
      </c>
      <c r="AF3121">
        <v>12.263353173948101</v>
      </c>
      <c r="AG3121">
        <v>-1.10569382896999</v>
      </c>
      <c r="AH3121">
        <v>20.150975767251101</v>
      </c>
      <c r="AI3121">
        <v>92.683651044816799</v>
      </c>
      <c r="AJ3121">
        <v>58.676407228302601</v>
      </c>
      <c r="AK3121">
        <v>23.6151268106853</v>
      </c>
      <c r="AL3121">
        <v>80.898071781512201</v>
      </c>
      <c r="AM3121">
        <v>68.781419046988603</v>
      </c>
      <c r="AN3121">
        <v>1.0000000167298599</v>
      </c>
    </row>
    <row r="3122" spans="1:40" x14ac:dyDescent="0.25">
      <c r="A3122" t="str">
        <f>"20190303162611499"</f>
        <v>20190303162611499</v>
      </c>
      <c r="B3122" t="str">
        <f>"1551601571486383"</f>
        <v>1551601571486383</v>
      </c>
      <c r="C3122" t="s">
        <v>40</v>
      </c>
      <c r="D3122">
        <v>4.8516560000000002</v>
      </c>
      <c r="E3122">
        <v>0.57413259999999999</v>
      </c>
      <c r="F3122" t="s">
        <v>41</v>
      </c>
      <c r="G3122">
        <v>-190.62350000000001</v>
      </c>
      <c r="H3122" s="1">
        <v>-7.3422330000000003E-7</v>
      </c>
      <c r="I3122">
        <v>180.91390000000001</v>
      </c>
      <c r="J3122">
        <v>-190.6653</v>
      </c>
      <c r="K3122">
        <v>1.1057900000000001</v>
      </c>
      <c r="L3122">
        <v>206.97030000000001</v>
      </c>
      <c r="M3122">
        <v>0.51563760000000003</v>
      </c>
      <c r="N3122">
        <v>-1.636044E-2</v>
      </c>
      <c r="O3122">
        <v>-0.85665069999999999</v>
      </c>
      <c r="P3122">
        <v>0.1834259</v>
      </c>
      <c r="Q3122">
        <v>0.15933310000000001</v>
      </c>
      <c r="R3122">
        <v>-0.97003510000000004</v>
      </c>
      <c r="S3122">
        <v>1.9897459999999999E-2</v>
      </c>
      <c r="T3122">
        <v>-0.1309736</v>
      </c>
      <c r="U3122">
        <v>-3.114395</v>
      </c>
      <c r="V3122">
        <v>0.3492709</v>
      </c>
      <c r="W3122">
        <v>0.161749799999999</v>
      </c>
      <c r="X3122">
        <v>0.92295550000000004</v>
      </c>
      <c r="Y3122">
        <v>0.50993149999999998</v>
      </c>
      <c r="Z3122">
        <v>1.3738759999999999E-2</v>
      </c>
      <c r="AA3122">
        <v>0.86010529999999996</v>
      </c>
      <c r="AB3122">
        <v>28</v>
      </c>
      <c r="AC3122">
        <v>4.1799999999994897E-2</v>
      </c>
      <c r="AD3122">
        <v>-1.1057907342233</v>
      </c>
      <c r="AE3122">
        <v>-26.0564</v>
      </c>
      <c r="AF3122">
        <v>13.3775506806218</v>
      </c>
      <c r="AG3122">
        <v>-1.1057907342233</v>
      </c>
      <c r="AH3122">
        <v>22.3056026715191</v>
      </c>
      <c r="AI3122">
        <v>92.434448627425795</v>
      </c>
      <c r="AJ3122">
        <v>59.047219989667497</v>
      </c>
      <c r="AK3122">
        <v>26.033085600830699</v>
      </c>
      <c r="AL3122">
        <v>80.691524587337994</v>
      </c>
      <c r="AM3122">
        <v>69.272024943226796</v>
      </c>
      <c r="AN3122">
        <v>1.00000000718355</v>
      </c>
    </row>
    <row r="3123" spans="1:40" x14ac:dyDescent="0.25">
      <c r="A3123" t="str">
        <f>"20190303162611523"</f>
        <v>20190303162611523</v>
      </c>
      <c r="B3123" t="str">
        <f>"1551601571516639"</f>
        <v>1551601571516639</v>
      </c>
      <c r="C3123" t="s">
        <v>40</v>
      </c>
      <c r="D3123">
        <v>4.8486120000000001</v>
      </c>
      <c r="E3123">
        <v>0.57334629999999998</v>
      </c>
      <c r="F3123" t="s">
        <v>41</v>
      </c>
      <c r="G3123">
        <v>-190.80799999999999</v>
      </c>
      <c r="H3123" s="1">
        <v>-2.6690799999999999E-6</v>
      </c>
      <c r="I3123">
        <v>175.30959999999999</v>
      </c>
      <c r="J3123">
        <v>-190.523</v>
      </c>
      <c r="K3123">
        <v>1.105925</v>
      </c>
      <c r="L3123">
        <v>206.69049999999999</v>
      </c>
      <c r="M3123">
        <v>0.49664259999999899</v>
      </c>
      <c r="N3123">
        <v>-1.6328189999999999E-2</v>
      </c>
      <c r="O3123">
        <v>-0.86780170000000001</v>
      </c>
      <c r="P3123">
        <v>0.17028360000000001</v>
      </c>
      <c r="Q3123">
        <v>0.16398799999999999</v>
      </c>
      <c r="R3123">
        <v>-0.97165440000000003</v>
      </c>
      <c r="S3123">
        <v>-1.403809E-2</v>
      </c>
      <c r="T3123">
        <v>-0.1087326</v>
      </c>
      <c r="U3123">
        <v>-3.1131899999999999</v>
      </c>
      <c r="V3123">
        <v>0.34113919999999998</v>
      </c>
      <c r="W3123">
        <v>0.16680139999999999</v>
      </c>
      <c r="X3123">
        <v>0.92509529999999995</v>
      </c>
      <c r="Y3123">
        <v>0.50037589999999998</v>
      </c>
      <c r="Z3123">
        <v>9.3043169999999994E-3</v>
      </c>
      <c r="AA3123">
        <v>0.86575820000000003</v>
      </c>
      <c r="AB3123">
        <v>28</v>
      </c>
      <c r="AC3123">
        <v>-0.28499999999999598</v>
      </c>
      <c r="AD3123">
        <v>-1.10592766908</v>
      </c>
      <c r="AE3123">
        <v>-31.3809</v>
      </c>
      <c r="AF3123">
        <v>15.8148835403971</v>
      </c>
      <c r="AG3123">
        <v>-1.10592766908</v>
      </c>
      <c r="AH3123">
        <v>27.060856706281701</v>
      </c>
      <c r="AI3123">
        <v>92.020807448582801</v>
      </c>
      <c r="AJ3123">
        <v>59.697165946659801</v>
      </c>
      <c r="AK3123">
        <v>31.362773842303401</v>
      </c>
      <c r="AL3123">
        <v>80.398102405626105</v>
      </c>
      <c r="AM3123">
        <v>69.757985514607896</v>
      </c>
      <c r="AN3123">
        <v>0.99999998745034502</v>
      </c>
    </row>
    <row r="3124" spans="1:40" x14ac:dyDescent="0.25">
      <c r="A3124" t="str">
        <f>"20190303162611545"</f>
        <v>20190303162611545</v>
      </c>
      <c r="B3124" t="str">
        <f>"1551601571536160"</f>
        <v>1551601571536160</v>
      </c>
      <c r="C3124" t="s">
        <v>40</v>
      </c>
      <c r="D3124">
        <v>4.896204</v>
      </c>
      <c r="E3124">
        <v>0.57248390000000005</v>
      </c>
      <c r="F3124" t="s">
        <v>41</v>
      </c>
      <c r="G3124">
        <v>-191.17910000000001</v>
      </c>
      <c r="H3124" s="1">
        <v>-3.4020000000000002E-6</v>
      </c>
      <c r="I3124">
        <v>166.12479999999999</v>
      </c>
      <c r="J3124">
        <v>-190.39879999999999</v>
      </c>
      <c r="K3124">
        <v>1.1060700000000001</v>
      </c>
      <c r="L3124">
        <v>206.43360000000001</v>
      </c>
      <c r="M3124">
        <v>0.47928860000000001</v>
      </c>
      <c r="N3124">
        <v>-1.6290579999999999E-2</v>
      </c>
      <c r="O3124">
        <v>-0.87750629999999996</v>
      </c>
      <c r="P3124">
        <v>0.1592807</v>
      </c>
      <c r="Q3124">
        <v>0.1675315</v>
      </c>
      <c r="R3124">
        <v>-0.97291479999999997</v>
      </c>
      <c r="S3124">
        <v>-5.0308230000000002E-2</v>
      </c>
      <c r="T3124">
        <v>-8.4803820000000002E-2</v>
      </c>
      <c r="U3124">
        <v>-3.1106259999999999</v>
      </c>
      <c r="V3124">
        <v>0.33296890000000001</v>
      </c>
      <c r="W3124">
        <v>0.17074</v>
      </c>
      <c r="X3124">
        <v>0.92735080000000003</v>
      </c>
      <c r="Y3124">
        <v>0.49328709999999998</v>
      </c>
      <c r="Z3124">
        <v>4.1140639999999997E-3</v>
      </c>
      <c r="AA3124">
        <v>0.86985679999999999</v>
      </c>
      <c r="AB3124">
        <v>28</v>
      </c>
      <c r="AC3124">
        <v>-0.78030000000001098</v>
      </c>
      <c r="AD3124">
        <v>-1.106073402</v>
      </c>
      <c r="AE3124">
        <v>-40.308799999999998</v>
      </c>
      <c r="AF3124">
        <v>19.991871581273301</v>
      </c>
      <c r="AG3124">
        <v>-1.106073402</v>
      </c>
      <c r="AH3124">
        <v>34.975552306547698</v>
      </c>
      <c r="AI3124">
        <v>91.572689632990603</v>
      </c>
      <c r="AJ3124">
        <v>60.2479051676399</v>
      </c>
      <c r="AK3124">
        <v>40.301210736661403</v>
      </c>
      <c r="AL3124">
        <v>80.169152717049698</v>
      </c>
      <c r="AM3124">
        <v>70.249127538298296</v>
      </c>
      <c r="AN3124">
        <v>0.99999997111392402</v>
      </c>
    </row>
    <row r="3125" spans="1:40" x14ac:dyDescent="0.25">
      <c r="A3125" t="str">
        <f>"20190303162611568"</f>
        <v>20190303162611568</v>
      </c>
      <c r="B3125" t="str">
        <f>"1551601571556655"</f>
        <v>1551601571556655</v>
      </c>
      <c r="C3125" t="s">
        <v>40</v>
      </c>
      <c r="D3125">
        <v>4.8516440000000003</v>
      </c>
      <c r="E3125">
        <v>0.57213400000000003</v>
      </c>
      <c r="F3125" t="s">
        <v>41</v>
      </c>
      <c r="G3125">
        <v>-191.5025</v>
      </c>
      <c r="H3125" s="1">
        <v>-1.71565499999999E-6</v>
      </c>
      <c r="I3125">
        <v>162.37540000000001</v>
      </c>
      <c r="J3125">
        <v>-190.28460000000001</v>
      </c>
      <c r="K3125">
        <v>1.106225</v>
      </c>
      <c r="L3125">
        <v>206.18549999999999</v>
      </c>
      <c r="M3125">
        <v>0.46266550000000001</v>
      </c>
      <c r="N3125">
        <v>-1.624654E-2</v>
      </c>
      <c r="O3125">
        <v>-0.88638439999999996</v>
      </c>
      <c r="P3125">
        <v>0.14887310000000001</v>
      </c>
      <c r="Q3125">
        <v>0.16941059999999999</v>
      </c>
      <c r="R3125">
        <v>-0.97423700000000002</v>
      </c>
      <c r="S3125">
        <v>-7.7896119999999999E-2</v>
      </c>
      <c r="T3125">
        <v>-7.8068849999999995E-2</v>
      </c>
      <c r="U3125">
        <v>-3.1097260000000002</v>
      </c>
      <c r="V3125">
        <v>0.3252314</v>
      </c>
      <c r="W3125">
        <v>0.17300599999999999</v>
      </c>
      <c r="X3125">
        <v>0.92967390000000005</v>
      </c>
      <c r="Y3125">
        <v>0.48460249999999999</v>
      </c>
      <c r="Z3125">
        <v>2.896596E-3</v>
      </c>
      <c r="AA3125">
        <v>0.8747298</v>
      </c>
      <c r="AB3125">
        <v>28</v>
      </c>
      <c r="AC3125">
        <v>-1.21789999999998</v>
      </c>
      <c r="AD3125">
        <v>-1.1062267156550001</v>
      </c>
      <c r="AE3125">
        <v>-43.810099999999899</v>
      </c>
      <c r="AF3125">
        <v>21.338166410562099</v>
      </c>
      <c r="AG3125">
        <v>-1.1062267156550001</v>
      </c>
      <c r="AH3125">
        <v>38.249779848893503</v>
      </c>
      <c r="AI3125">
        <v>91.446801861157397</v>
      </c>
      <c r="AJ3125">
        <v>60.844435226462799</v>
      </c>
      <c r="AK3125">
        <v>43.813088704177098</v>
      </c>
      <c r="AL3125">
        <v>80.037360035647694</v>
      </c>
      <c r="AM3125">
        <v>70.718434998870293</v>
      </c>
      <c r="AN3125">
        <v>1.00000004996158</v>
      </c>
    </row>
    <row r="3126" spans="1:40" x14ac:dyDescent="0.25">
      <c r="A3126" t="str">
        <f>"20190303162611586"</f>
        <v>20190303162611586</v>
      </c>
      <c r="B3126" t="str">
        <f>"1551601571576175"</f>
        <v>1551601571576175</v>
      </c>
      <c r="C3126" t="s">
        <v>40</v>
      </c>
      <c r="D3126">
        <v>4.8908849999999999</v>
      </c>
      <c r="E3126">
        <v>0.57192410000000005</v>
      </c>
      <c r="F3126" t="s">
        <v>41</v>
      </c>
      <c r="G3126">
        <v>-191.8339</v>
      </c>
      <c r="H3126" s="1">
        <v>-1.351689E-6</v>
      </c>
      <c r="I3126">
        <v>161.4188</v>
      </c>
      <c r="J3126">
        <v>-190.1841</v>
      </c>
      <c r="K3126">
        <v>1.106401</v>
      </c>
      <c r="L3126">
        <v>205.95689999999999</v>
      </c>
      <c r="M3126">
        <v>0.44754569999999999</v>
      </c>
      <c r="N3126">
        <v>-1.6194920000000002E-2</v>
      </c>
      <c r="O3126">
        <v>-0.89411450000000003</v>
      </c>
      <c r="P3126">
        <v>0.1410382</v>
      </c>
      <c r="Q3126">
        <v>0.1698885</v>
      </c>
      <c r="R3126">
        <v>-0.97531860000000004</v>
      </c>
      <c r="S3126">
        <v>-0.10760500000000001</v>
      </c>
      <c r="T3126">
        <v>-7.6829549999999996E-2</v>
      </c>
      <c r="U3126">
        <v>-3.1091310000000001</v>
      </c>
      <c r="V3126">
        <v>0.31678820000000002</v>
      </c>
      <c r="W3126">
        <v>0.17391280000000001</v>
      </c>
      <c r="X3126">
        <v>0.93241600000000002</v>
      </c>
      <c r="Y3126">
        <v>0.47809469999999998</v>
      </c>
      <c r="Z3126">
        <v>2.9393069999999999E-3</v>
      </c>
      <c r="AA3126">
        <v>0.87830330000000001</v>
      </c>
      <c r="AB3126">
        <v>27</v>
      </c>
      <c r="AC3126">
        <v>-1.6497999999999899</v>
      </c>
      <c r="AD3126">
        <v>-1.106402351689</v>
      </c>
      <c r="AE3126">
        <v>-44.538099999999901</v>
      </c>
      <c r="AF3126">
        <v>21.397564820090899</v>
      </c>
      <c r="AG3126">
        <v>-1.106402351689</v>
      </c>
      <c r="AH3126">
        <v>39.064848910388399</v>
      </c>
      <c r="AI3126">
        <v>91.422933297343903</v>
      </c>
      <c r="AJ3126">
        <v>61.288508319294003</v>
      </c>
      <c r="AK3126">
        <v>44.554936054103898</v>
      </c>
      <c r="AL3126">
        <v>79.984604112846995</v>
      </c>
      <c r="AM3126">
        <v>71.234814925990406</v>
      </c>
      <c r="AN3126">
        <v>1.00000001135954</v>
      </c>
    </row>
    <row r="3127" spans="1:40" x14ac:dyDescent="0.25">
      <c r="A3127" t="str">
        <f>"20190303162611609"</f>
        <v>20190303162611609</v>
      </c>
      <c r="B3127" t="str">
        <f>"1551601571596671"</f>
        <v>1551601571596671</v>
      </c>
      <c r="C3127" t="s">
        <v>40</v>
      </c>
      <c r="D3127">
        <v>4.8967900000000002</v>
      </c>
      <c r="E3127">
        <v>0.56230970000000002</v>
      </c>
      <c r="F3127" t="s">
        <v>41</v>
      </c>
      <c r="G3127">
        <v>-192.0889</v>
      </c>
      <c r="H3127" s="1">
        <v>-1.069826E-6</v>
      </c>
      <c r="I3127">
        <v>160.679</v>
      </c>
      <c r="J3127">
        <v>-190.0788</v>
      </c>
      <c r="K3127">
        <v>1.106654</v>
      </c>
      <c r="L3127">
        <v>205.70599999999999</v>
      </c>
      <c r="M3127">
        <v>0.4312416</v>
      </c>
      <c r="N3127">
        <v>-1.611901E-2</v>
      </c>
      <c r="O3127">
        <v>-0.90209260000000002</v>
      </c>
      <c r="P3127">
        <v>0.13122500000000001</v>
      </c>
      <c r="Q3127">
        <v>0.169688899999999</v>
      </c>
      <c r="R3127">
        <v>-0.97672179999999997</v>
      </c>
      <c r="S3127">
        <v>-0.1307526</v>
      </c>
      <c r="T3127">
        <v>-7.5948000000000002E-2</v>
      </c>
      <c r="U3127">
        <v>-3.108063</v>
      </c>
      <c r="V3127">
        <v>0.30910589999999999</v>
      </c>
      <c r="W3127">
        <v>0.1741434</v>
      </c>
      <c r="X3127">
        <v>0.93494790000000005</v>
      </c>
      <c r="Y3127">
        <v>0.46867249999999999</v>
      </c>
      <c r="Z3127">
        <v>3.1297130000000001E-3</v>
      </c>
      <c r="AA3127">
        <v>0.88336650000000005</v>
      </c>
      <c r="AB3127">
        <v>27</v>
      </c>
      <c r="AC3127">
        <v>-2.0100999999999898</v>
      </c>
      <c r="AD3127">
        <v>-1.106655069826</v>
      </c>
      <c r="AE3127">
        <v>-45.027000000000001</v>
      </c>
      <c r="AF3127">
        <v>21.220775323252902</v>
      </c>
      <c r="AG3127">
        <v>-1.106655069826</v>
      </c>
      <c r="AH3127">
        <v>39.732892771005602</v>
      </c>
      <c r="AI3127">
        <v>91.407355956880807</v>
      </c>
      <c r="AJ3127">
        <v>61.8939562552886</v>
      </c>
      <c r="AK3127">
        <v>45.058281799418197</v>
      </c>
      <c r="AL3127">
        <v>79.971186636333897</v>
      </c>
      <c r="AM3127">
        <v>71.705444387645102</v>
      </c>
      <c r="AN3127">
        <v>0.99999997844638899</v>
      </c>
    </row>
    <row r="3128" spans="1:40" x14ac:dyDescent="0.25">
      <c r="A3128" t="str">
        <f>"20190303162611632"</f>
        <v>20190303162611632</v>
      </c>
      <c r="B3128" t="str">
        <f>"1551601571626928"</f>
        <v>1551601571626928</v>
      </c>
      <c r="C3128" t="s">
        <v>40</v>
      </c>
      <c r="D3128">
        <v>4.896884</v>
      </c>
      <c r="E3128">
        <v>0.56097790000000003</v>
      </c>
      <c r="F3128" t="s">
        <v>41</v>
      </c>
      <c r="G3128">
        <v>-190.75649999999999</v>
      </c>
      <c r="H3128" s="1">
        <v>-5.7415199999999999E-7</v>
      </c>
      <c r="I3128">
        <v>180.45830000000001</v>
      </c>
      <c r="J3128">
        <v>-189.96530000000001</v>
      </c>
      <c r="K3128">
        <v>1.107035</v>
      </c>
      <c r="L3128">
        <v>205.42160000000001</v>
      </c>
      <c r="M3128">
        <v>0.41325200000000001</v>
      </c>
      <c r="N3128">
        <v>-1.60047E-2</v>
      </c>
      <c r="O3128">
        <v>-0.91047630000000002</v>
      </c>
      <c r="P3128">
        <v>0.1210174</v>
      </c>
      <c r="Q3128">
        <v>0.16902010000000001</v>
      </c>
      <c r="R3128">
        <v>-0.97815510000000006</v>
      </c>
      <c r="S3128">
        <v>-8.3374019999999993E-2</v>
      </c>
      <c r="T3128">
        <v>-0.13615749999999999</v>
      </c>
      <c r="U3128">
        <v>-3.1063540000000001</v>
      </c>
      <c r="V3128">
        <v>0.3001337</v>
      </c>
      <c r="W3128">
        <v>0.17400579999999999</v>
      </c>
      <c r="X3128">
        <v>0.93789219999999895</v>
      </c>
      <c r="Y3128">
        <v>0.43734479999999998</v>
      </c>
      <c r="Z3128">
        <v>1.9608850000000001E-2</v>
      </c>
      <c r="AA3128">
        <v>0.89908009999999905</v>
      </c>
      <c r="AB3128">
        <v>27</v>
      </c>
      <c r="AC3128">
        <v>-0.79119999999997404</v>
      </c>
      <c r="AD3128">
        <v>-1.1070355741519999</v>
      </c>
      <c r="AE3128">
        <v>-24.9633</v>
      </c>
      <c r="AF3128">
        <v>11.0162707288005</v>
      </c>
      <c r="AG3128">
        <v>-1.1070355741519999</v>
      </c>
      <c r="AH3128">
        <v>22.360462256509798</v>
      </c>
      <c r="AI3128">
        <v>92.542911810901202</v>
      </c>
      <c r="AJ3128">
        <v>63.772035411789602</v>
      </c>
      <c r="AK3128">
        <v>24.951433242550699</v>
      </c>
      <c r="AL3128">
        <v>79.979193165721099</v>
      </c>
      <c r="AM3128">
        <v>72.254874191443903</v>
      </c>
      <c r="AN3128">
        <v>1.0000000175650801</v>
      </c>
    </row>
    <row r="3129" spans="1:40" x14ac:dyDescent="0.25">
      <c r="A3129" t="str">
        <f>"20190303162611676"</f>
        <v>20190303162611676</v>
      </c>
      <c r="B3129" t="str">
        <f>"1551601571666943"</f>
        <v>1551601571666943</v>
      </c>
      <c r="C3129" t="s">
        <v>40</v>
      </c>
      <c r="D3129">
        <v>4.9139569999999999</v>
      </c>
      <c r="E3129">
        <v>0.53911719999999996</v>
      </c>
      <c r="F3129" t="s">
        <v>41</v>
      </c>
      <c r="G3129">
        <v>-190.75700000000001</v>
      </c>
      <c r="H3129" s="1">
        <v>-1.0146720000000001E-6</v>
      </c>
      <c r="I3129">
        <v>181.48480000000001</v>
      </c>
      <c r="J3129">
        <v>-189.7731</v>
      </c>
      <c r="K3129">
        <v>1.1080730000000001</v>
      </c>
      <c r="L3129">
        <v>204.90459999999999</v>
      </c>
      <c r="M3129">
        <v>0.38241809999999998</v>
      </c>
      <c r="N3129">
        <v>-1.5719569999999999E-2</v>
      </c>
      <c r="O3129">
        <v>-0.92385569999999895</v>
      </c>
      <c r="P3129">
        <v>0.1091522</v>
      </c>
      <c r="Q3129">
        <v>0.1707669</v>
      </c>
      <c r="R3129">
        <v>-0.97924710000000004</v>
      </c>
      <c r="S3129">
        <v>-0.1026764</v>
      </c>
      <c r="T3129">
        <v>-0.14357819999999999</v>
      </c>
      <c r="U3129">
        <v>-3.1045069999999999</v>
      </c>
      <c r="V3129">
        <v>0.27934100000000001</v>
      </c>
      <c r="W3129">
        <v>0.1769839</v>
      </c>
      <c r="X3129">
        <v>0.94374009999999997</v>
      </c>
      <c r="Y3129">
        <v>0.41256379999999998</v>
      </c>
      <c r="Z3129">
        <v>2.304082E-2</v>
      </c>
      <c r="AA3129">
        <v>0.91063729999999998</v>
      </c>
      <c r="AB3129">
        <v>27</v>
      </c>
      <c r="AC3129">
        <v>-0.98390000000000499</v>
      </c>
      <c r="AD3129">
        <v>-1.1080740146719901</v>
      </c>
      <c r="AE3129">
        <v>-23.419799999999899</v>
      </c>
      <c r="AF3129">
        <v>9.8443573390954207</v>
      </c>
      <c r="AG3129">
        <v>-1.1080740146719901</v>
      </c>
      <c r="AH3129">
        <v>21.215472432829699</v>
      </c>
      <c r="AI3129">
        <v>92.7125020718874</v>
      </c>
      <c r="AJ3129">
        <v>65.107859590663395</v>
      </c>
      <c r="AK3129">
        <v>23.414428671012899</v>
      </c>
      <c r="AL3129">
        <v>79.805870818643996</v>
      </c>
      <c r="AM3129">
        <v>73.511585103521099</v>
      </c>
      <c r="AN3129">
        <v>1.0000000357440999</v>
      </c>
    </row>
    <row r="3130" spans="1:40" x14ac:dyDescent="0.25">
      <c r="A3130" t="str">
        <f>"20190303162611698"</f>
        <v>20190303162611698</v>
      </c>
      <c r="B3130" t="str">
        <f>"1551601571686464"</f>
        <v>1551601571686464</v>
      </c>
      <c r="C3130" t="s">
        <v>40</v>
      </c>
      <c r="D3130">
        <v>4.9052160000000002</v>
      </c>
      <c r="E3130">
        <v>0.53872819999999899</v>
      </c>
      <c r="F3130" t="s">
        <v>47</v>
      </c>
      <c r="G3130">
        <v>-189.24199999999999</v>
      </c>
      <c r="H3130" s="1">
        <v>-1.4016260000000001E-5</v>
      </c>
      <c r="I3130">
        <v>157.37569999999999</v>
      </c>
      <c r="J3130">
        <v>-189.68680000000001</v>
      </c>
      <c r="K3130">
        <v>1.1086750000000001</v>
      </c>
      <c r="L3130">
        <v>204.6567</v>
      </c>
      <c r="M3130">
        <v>0.36864380000000002</v>
      </c>
      <c r="N3130">
        <v>-1.5557E-2</v>
      </c>
      <c r="O3130">
        <v>-0.92944070000000001</v>
      </c>
      <c r="P3130">
        <v>0.1054561</v>
      </c>
      <c r="Q3130">
        <v>0.16976869999999999</v>
      </c>
      <c r="R3130">
        <v>-0.97982579999999997</v>
      </c>
      <c r="S3130">
        <v>3.433228E-2</v>
      </c>
      <c r="T3130">
        <v>-7.1626309999999999E-2</v>
      </c>
      <c r="U3130">
        <v>-3.0722499999999999</v>
      </c>
      <c r="V3130">
        <v>0.26859709999999998</v>
      </c>
      <c r="W3130">
        <v>0.1766085</v>
      </c>
      <c r="X3130">
        <v>0.94692399999999999</v>
      </c>
      <c r="Y3130">
        <v>0.35816429999999999</v>
      </c>
      <c r="Z3130">
        <v>4.5507580000000002E-3</v>
      </c>
      <c r="AA3130">
        <v>0.93364749999999996</v>
      </c>
      <c r="AB3130">
        <v>27</v>
      </c>
      <c r="AC3130">
        <v>0.44479999999998598</v>
      </c>
      <c r="AD3130">
        <v>-1.10868901626</v>
      </c>
      <c r="AE3130">
        <v>-47.280999999999999</v>
      </c>
      <c r="AF3130">
        <v>17.009137692924799</v>
      </c>
      <c r="AG3130">
        <v>-1.10868901626</v>
      </c>
      <c r="AH3130">
        <v>44.089949946337903</v>
      </c>
      <c r="AI3130">
        <v>91.343957567832405</v>
      </c>
      <c r="AJ3130">
        <v>68.904250908357795</v>
      </c>
      <c r="AK3130">
        <v>47.270113630731203</v>
      </c>
      <c r="AL3130">
        <v>79.827723661706003</v>
      </c>
      <c r="AM3130">
        <v>74.163894061604296</v>
      </c>
      <c r="AN3130">
        <v>1.00000001308833</v>
      </c>
    </row>
    <row r="3131" spans="1:40" x14ac:dyDescent="0.25">
      <c r="A3131" t="str">
        <f>"20190303162611720"</f>
        <v>20190303162611720</v>
      </c>
      <c r="B3131" t="str">
        <f>"1551601571716719"</f>
        <v>1551601571716719</v>
      </c>
      <c r="C3131" t="s">
        <v>40</v>
      </c>
      <c r="D3131">
        <v>4.9579029999999999</v>
      </c>
      <c r="E3131">
        <v>0.53837769999999996</v>
      </c>
      <c r="F3131" t="s">
        <v>41</v>
      </c>
      <c r="G3131">
        <v>-189.2978</v>
      </c>
      <c r="H3131" s="1">
        <v>-4.0248580000000001E-7</v>
      </c>
      <c r="I3131">
        <v>160.20599999999999</v>
      </c>
      <c r="J3131">
        <v>-189.59639999999999</v>
      </c>
      <c r="K3131">
        <v>1.1094170000000001</v>
      </c>
      <c r="L3131">
        <v>204.38640000000001</v>
      </c>
      <c r="M3131">
        <v>0.35455049999999999</v>
      </c>
      <c r="N3131">
        <v>-1.537265E-2</v>
      </c>
      <c r="O3131">
        <v>-0.93491080000000004</v>
      </c>
      <c r="P3131">
        <v>0.1011672</v>
      </c>
      <c r="Q3131">
        <v>0.1684291</v>
      </c>
      <c r="R3131">
        <v>-0.98050899999999996</v>
      </c>
      <c r="S3131">
        <v>2.6885989999999999E-2</v>
      </c>
      <c r="T3131">
        <v>-7.6624750000000005E-2</v>
      </c>
      <c r="U3131">
        <v>-3.0721590000000001</v>
      </c>
      <c r="V3131">
        <v>0.2581059</v>
      </c>
      <c r="W3131">
        <v>0.1759077</v>
      </c>
      <c r="X3131">
        <v>0.94996729999999996</v>
      </c>
      <c r="Y3131">
        <v>0.34628330000000002</v>
      </c>
      <c r="Z3131">
        <v>6.3875219999999996E-3</v>
      </c>
      <c r="AA3131">
        <v>0.93810830000000001</v>
      </c>
      <c r="AB3131">
        <v>27</v>
      </c>
      <c r="AC3131">
        <v>0.29859999999999298</v>
      </c>
      <c r="AD3131">
        <v>-1.1094174024857999</v>
      </c>
      <c r="AE3131">
        <v>-44.180399999999899</v>
      </c>
      <c r="AF3131">
        <v>15.3771364314081</v>
      </c>
      <c r="AG3131">
        <v>-1.1094174024857999</v>
      </c>
      <c r="AH3131">
        <v>41.389386243304997</v>
      </c>
      <c r="AI3131">
        <v>91.439330163175796</v>
      </c>
      <c r="AJ3131">
        <v>69.6187770583347</v>
      </c>
      <c r="AK3131">
        <v>44.167504178983997</v>
      </c>
      <c r="AL3131">
        <v>79.868515276370999</v>
      </c>
      <c r="AM3131">
        <v>74.799691248741496</v>
      </c>
      <c r="AN3131">
        <v>1.0000000228016901</v>
      </c>
    </row>
    <row r="3132" spans="1:40" x14ac:dyDescent="0.25">
      <c r="A3132" t="str">
        <f>"20190303162611744"</f>
        <v>20190303162611744</v>
      </c>
      <c r="B3132" t="str">
        <f>"1551601571736239"</f>
        <v>1551601571736239</v>
      </c>
      <c r="C3132" t="s">
        <v>40</v>
      </c>
      <c r="D3132">
        <v>4.9842190000000004</v>
      </c>
      <c r="E3132">
        <v>0.53821929999999996</v>
      </c>
      <c r="F3132" t="s">
        <v>41</v>
      </c>
      <c r="G3132">
        <v>-189.38579999999999</v>
      </c>
      <c r="H3132" s="1">
        <v>-2.7686710000000001E-6</v>
      </c>
      <c r="I3132">
        <v>165.2578</v>
      </c>
      <c r="J3132">
        <v>-189.50579999999999</v>
      </c>
      <c r="K3132">
        <v>1.1103160000000001</v>
      </c>
      <c r="L3132">
        <v>204.1046</v>
      </c>
      <c r="M3132">
        <v>0.34115499999999999</v>
      </c>
      <c r="N3132">
        <v>-1.5164489999999999E-2</v>
      </c>
      <c r="O3132">
        <v>-0.93988490000000002</v>
      </c>
      <c r="P3132">
        <v>9.7247600000000003E-2</v>
      </c>
      <c r="Q3132">
        <v>0.16915659999999999</v>
      </c>
      <c r="R3132">
        <v>-0.98077990000000004</v>
      </c>
      <c r="S3132">
        <v>1.6540530000000001E-2</v>
      </c>
      <c r="T3132">
        <v>-8.712578E-2</v>
      </c>
      <c r="U3132">
        <v>-3.0728759999999999</v>
      </c>
      <c r="V3132">
        <v>0.2478735</v>
      </c>
      <c r="W3132">
        <v>0.1772946</v>
      </c>
      <c r="X3132">
        <v>0.95243129999999998</v>
      </c>
      <c r="Y3132">
        <v>0.33601259999999999</v>
      </c>
      <c r="Z3132">
        <v>9.8207030000000001E-3</v>
      </c>
      <c r="AA3132">
        <v>0.94180629999999999</v>
      </c>
      <c r="AB3132">
        <v>27</v>
      </c>
      <c r="AC3132">
        <v>0.12000000000000401</v>
      </c>
      <c r="AD3132">
        <v>-1.1103187686710001</v>
      </c>
      <c r="AE3132">
        <v>-38.846800000000002</v>
      </c>
      <c r="AF3132">
        <v>13.130776041813199</v>
      </c>
      <c r="AG3132">
        <v>-1.1103187686710001</v>
      </c>
      <c r="AH3132">
        <v>36.526817453486203</v>
      </c>
      <c r="AI3132">
        <v>91.638510462526497</v>
      </c>
      <c r="AJ3132">
        <v>70.2273428287982</v>
      </c>
      <c r="AK3132">
        <v>38.8311534789867</v>
      </c>
      <c r="AL3132">
        <v>79.787782753418199</v>
      </c>
      <c r="AM3132">
        <v>75.412184315986195</v>
      </c>
      <c r="AN3132">
        <v>1.0000000142055401</v>
      </c>
    </row>
    <row r="3133" spans="1:40" x14ac:dyDescent="0.25">
      <c r="A3133" t="str">
        <f>"20190303162611765"</f>
        <v>20190303162611765</v>
      </c>
      <c r="B3133" t="str">
        <f>"1551601571756736"</f>
        <v>1551601571756736</v>
      </c>
      <c r="C3133" t="s">
        <v>40</v>
      </c>
      <c r="D3133">
        <v>4.9933399999999999</v>
      </c>
      <c r="E3133">
        <v>0.53789180000000003</v>
      </c>
      <c r="F3133" t="s">
        <v>41</v>
      </c>
      <c r="G3133">
        <v>-189.4085</v>
      </c>
      <c r="H3133" s="1">
        <v>-2.8725149999999998E-6</v>
      </c>
      <c r="I3133">
        <v>165.48599999999999</v>
      </c>
      <c r="J3133">
        <v>-189.4248</v>
      </c>
      <c r="K3133">
        <v>1.1112</v>
      </c>
      <c r="L3133">
        <v>203.845</v>
      </c>
      <c r="M3133">
        <v>0.32994390000000001</v>
      </c>
      <c r="N3133">
        <v>-1.4962799999999899E-2</v>
      </c>
      <c r="O3133">
        <v>-0.9438822</v>
      </c>
      <c r="P3133">
        <v>9.2723239999999998E-2</v>
      </c>
      <c r="Q3133">
        <v>0.169323</v>
      </c>
      <c r="R3133">
        <v>-0.98118939999999999</v>
      </c>
      <c r="S3133">
        <v>7.7362059999999998E-3</v>
      </c>
      <c r="T3133">
        <v>-8.8358880000000001E-2</v>
      </c>
      <c r="U3133">
        <v>-3.0732569999999999</v>
      </c>
      <c r="V3133">
        <v>0.24051049999999999</v>
      </c>
      <c r="W3133">
        <v>0.17799609999999999</v>
      </c>
      <c r="X3133">
        <v>0.9541866</v>
      </c>
      <c r="Y3133">
        <v>0.32749070000000002</v>
      </c>
      <c r="Z3133">
        <v>1.0579420000000001E-2</v>
      </c>
      <c r="AA3133">
        <v>0.94479519999999995</v>
      </c>
      <c r="AB3133">
        <v>27</v>
      </c>
      <c r="AC3133">
        <v>1.6300000000001001E-2</v>
      </c>
      <c r="AD3133">
        <v>-1.1112028725150001</v>
      </c>
      <c r="AE3133">
        <v>-38.359000000000002</v>
      </c>
      <c r="AF3133">
        <v>12.631744872957</v>
      </c>
      <c r="AG3133">
        <v>-1.1112028725150001</v>
      </c>
      <c r="AH3133">
        <v>36.185435324144997</v>
      </c>
      <c r="AI3133">
        <v>91.660700533118202</v>
      </c>
      <c r="AJ3133">
        <v>70.756738943009296</v>
      </c>
      <c r="AK3133">
        <v>38.342945634852299</v>
      </c>
      <c r="AL3133">
        <v>79.746939892966196</v>
      </c>
      <c r="AM3133">
        <v>75.852824265498597</v>
      </c>
      <c r="AN3133">
        <v>0.99999998992250905</v>
      </c>
    </row>
    <row r="3134" spans="1:40" x14ac:dyDescent="0.25">
      <c r="A3134" t="str">
        <f>"20190303162611787"</f>
        <v>20190303162611787</v>
      </c>
      <c r="B3134" t="str">
        <f>"1551601571776255"</f>
        <v>1551601571776255</v>
      </c>
      <c r="C3134" t="s">
        <v>40</v>
      </c>
      <c r="D3134">
        <v>5.0164359999999997</v>
      </c>
      <c r="E3134">
        <v>0.53759799999999902</v>
      </c>
      <c r="F3134" t="s">
        <v>41</v>
      </c>
      <c r="G3134">
        <v>-189.39410000000001</v>
      </c>
      <c r="H3134" s="1">
        <v>-3.6928430000000002E-6</v>
      </c>
      <c r="I3134">
        <v>167.21599999999901</v>
      </c>
      <c r="J3134">
        <v>-189.34569999999999</v>
      </c>
      <c r="K3134">
        <v>1.112134</v>
      </c>
      <c r="L3134">
        <v>203.5849</v>
      </c>
      <c r="M3134">
        <v>0.31990390000000002</v>
      </c>
      <c r="N3134">
        <v>-1.476074E-2</v>
      </c>
      <c r="O3134">
        <v>-0.94733489999999998</v>
      </c>
      <c r="P3134">
        <v>8.4373149999999994E-2</v>
      </c>
      <c r="Q3134">
        <v>0.16725670000000001</v>
      </c>
      <c r="R3134">
        <v>-0.98229659999999996</v>
      </c>
      <c r="S3134">
        <v>2.578735E-3</v>
      </c>
      <c r="T3134">
        <v>-9.3235609999999997E-2</v>
      </c>
      <c r="U3134">
        <v>-3.0733640000000002</v>
      </c>
      <c r="V3134">
        <v>0.2381452</v>
      </c>
      <c r="W3134">
        <v>0.17634369999999999</v>
      </c>
      <c r="X3134">
        <v>0.9550862</v>
      </c>
      <c r="Y3134">
        <v>0.31903169999999997</v>
      </c>
      <c r="Z3134">
        <v>1.2385200000000001E-2</v>
      </c>
      <c r="AA3134">
        <v>0.94766309999999998</v>
      </c>
      <c r="AB3134">
        <v>27</v>
      </c>
      <c r="AC3134">
        <v>-4.8400000000015098E-2</v>
      </c>
      <c r="AD3134">
        <v>-1.112137692843</v>
      </c>
      <c r="AE3134">
        <v>-36.368899999999996</v>
      </c>
      <c r="AF3134">
        <v>11.670764528476701</v>
      </c>
      <c r="AG3134">
        <v>-1.112137692843</v>
      </c>
      <c r="AH3134">
        <v>34.409624380308401</v>
      </c>
      <c r="AI3134">
        <v>91.753157735106001</v>
      </c>
      <c r="AJ3134">
        <v>71.264527294358402</v>
      </c>
      <c r="AK3134">
        <v>36.351971678588598</v>
      </c>
      <c r="AL3134">
        <v>79.843136787211705</v>
      </c>
      <c r="AM3134">
        <v>75.999126541056398</v>
      </c>
      <c r="AN3134">
        <v>0.99999994312158302</v>
      </c>
    </row>
    <row r="3135" spans="1:40" x14ac:dyDescent="0.25">
      <c r="A3135" t="str">
        <f>"20190303162611810"</f>
        <v>20190303162611810</v>
      </c>
      <c r="B3135" t="str">
        <f>"1551601571806512"</f>
        <v>1551601571806512</v>
      </c>
      <c r="C3135" t="s">
        <v>40</v>
      </c>
      <c r="D3135">
        <v>5.0511799999999996</v>
      </c>
      <c r="E3135">
        <v>0.53728229999999999</v>
      </c>
      <c r="F3135" t="s">
        <v>41</v>
      </c>
      <c r="G3135">
        <v>-189.4701</v>
      </c>
      <c r="H3135" s="1">
        <v>-8.8064009999999997E-7</v>
      </c>
      <c r="I3135">
        <v>171.4665</v>
      </c>
      <c r="J3135">
        <v>-189.26410000000001</v>
      </c>
      <c r="K3135">
        <v>1.1131819999999999</v>
      </c>
      <c r="L3135">
        <v>203.31059999999999</v>
      </c>
      <c r="M3135">
        <v>0.3107375</v>
      </c>
      <c r="N3135">
        <v>-1.455306E-2</v>
      </c>
      <c r="O3135">
        <v>-0.95038449999999997</v>
      </c>
      <c r="P3135">
        <v>7.5029280000000004E-2</v>
      </c>
      <c r="Q3135">
        <v>0.1629321</v>
      </c>
      <c r="R3135">
        <v>-0.98378049999999995</v>
      </c>
      <c r="S3135">
        <v>-1.190186E-2</v>
      </c>
      <c r="T3135">
        <v>-0.1064128</v>
      </c>
      <c r="U3135">
        <v>-3.0731959999999998</v>
      </c>
      <c r="V3135">
        <v>0.23768300000000001</v>
      </c>
      <c r="W3135">
        <v>0.17244619999999999</v>
      </c>
      <c r="X3135">
        <v>0.95591269999999995</v>
      </c>
      <c r="Y3135">
        <v>0.31432919999999998</v>
      </c>
      <c r="Z3135">
        <v>1.6601250000000001E-2</v>
      </c>
      <c r="AA3135">
        <v>0.94916889999999998</v>
      </c>
      <c r="AB3135">
        <v>27</v>
      </c>
      <c r="AC3135">
        <v>-0.205999999999988</v>
      </c>
      <c r="AD3135">
        <v>-1.1131828806400901</v>
      </c>
      <c r="AE3135">
        <v>-31.844100000000001</v>
      </c>
      <c r="AF3135">
        <v>10.0796855878998</v>
      </c>
      <c r="AG3135">
        <v>-1.1131828806400901</v>
      </c>
      <c r="AH3135">
        <v>30.166459226891099</v>
      </c>
      <c r="AI3135">
        <v>92.004491487244195</v>
      </c>
      <c r="AJ3135">
        <v>71.523695336163996</v>
      </c>
      <c r="AK3135">
        <v>31.825375095422601</v>
      </c>
      <c r="AL3135">
        <v>80.069923097047294</v>
      </c>
      <c r="AM3135">
        <v>76.036843871981901</v>
      </c>
      <c r="AN3135">
        <v>0.99999999520236404</v>
      </c>
    </row>
    <row r="3136" spans="1:40" x14ac:dyDescent="0.25">
      <c r="A3136" t="str">
        <f>"20190303162611834"</f>
        <v>20190303162611834</v>
      </c>
      <c r="B3136" t="str">
        <f>"1551601571827008"</f>
        <v>1551601571827008</v>
      </c>
      <c r="C3136" t="s">
        <v>40</v>
      </c>
      <c r="D3136">
        <v>5.0737220000000001</v>
      </c>
      <c r="E3136">
        <v>0.537083599999999</v>
      </c>
      <c r="F3136" t="s">
        <v>41</v>
      </c>
      <c r="G3136">
        <v>-189.54900000000001</v>
      </c>
      <c r="H3136" s="1">
        <v>-2.8123869999999998E-6</v>
      </c>
      <c r="I3136">
        <v>176.00200000000001</v>
      </c>
      <c r="J3136">
        <v>-189.1808</v>
      </c>
      <c r="K3136">
        <v>1.1143320000000001</v>
      </c>
      <c r="L3136">
        <v>203.02619999999999</v>
      </c>
      <c r="M3136">
        <v>0.3028091</v>
      </c>
      <c r="N3136">
        <v>-1.4346380000000001E-2</v>
      </c>
      <c r="O3136">
        <v>-0.9529434</v>
      </c>
      <c r="P3136">
        <v>6.7030010000000001E-2</v>
      </c>
      <c r="Q3136">
        <v>0.15965779999999999</v>
      </c>
      <c r="R3136">
        <v>-0.9848943</v>
      </c>
      <c r="S3136">
        <v>-3.2058719999999999E-2</v>
      </c>
      <c r="T3136">
        <v>-0.1252499</v>
      </c>
      <c r="U3136">
        <v>-3.0726170000000002</v>
      </c>
      <c r="V3136">
        <v>0.23711009999999999</v>
      </c>
      <c r="W3136">
        <v>0.16965079999999999</v>
      </c>
      <c r="X3136">
        <v>0.95655489999999999</v>
      </c>
      <c r="Y3136">
        <v>0.31263210000000002</v>
      </c>
      <c r="Z3136">
        <v>2.2476369999999999E-2</v>
      </c>
      <c r="AA3136">
        <v>0.94960829999999996</v>
      </c>
      <c r="AB3136">
        <v>27</v>
      </c>
      <c r="AC3136">
        <v>-0.36820000000000103</v>
      </c>
      <c r="AD3136">
        <v>-1.1143348123869901</v>
      </c>
      <c r="AE3136">
        <v>-27.024199999999901</v>
      </c>
      <c r="AF3136">
        <v>8.5204399367305808</v>
      </c>
      <c r="AG3136">
        <v>-1.1143348123869901</v>
      </c>
      <c r="AH3136">
        <v>25.6001541894037</v>
      </c>
      <c r="AI3136">
        <v>92.365026938812704</v>
      </c>
      <c r="AJ3136">
        <v>71.591129732389504</v>
      </c>
      <c r="AK3136">
        <v>27.003842935974401</v>
      </c>
      <c r="AL3136">
        <v>80.232482901523994</v>
      </c>
      <c r="AM3136">
        <v>76.0781764829851</v>
      </c>
      <c r="AN3136">
        <v>0.99999993508832796</v>
      </c>
    </row>
    <row r="3137" spans="1:40" x14ac:dyDescent="0.25">
      <c r="A3137" t="str">
        <f>"20190303162611858"</f>
        <v>20190303162611858</v>
      </c>
      <c r="B3137" t="str">
        <f>"1551601571846528"</f>
        <v>1551601571846528</v>
      </c>
      <c r="C3137" t="s">
        <v>40</v>
      </c>
      <c r="D3137">
        <v>5.0938589999999904</v>
      </c>
      <c r="E3137">
        <v>0.53671880000000005</v>
      </c>
      <c r="F3137" t="s">
        <v>41</v>
      </c>
      <c r="G3137">
        <v>-189.62809999999999</v>
      </c>
      <c r="H3137" s="1">
        <v>-3.578335E-6</v>
      </c>
      <c r="I3137">
        <v>177.8202</v>
      </c>
      <c r="J3137">
        <v>-189.10050000000001</v>
      </c>
      <c r="K3137">
        <v>1.1154809999999999</v>
      </c>
      <c r="L3137">
        <v>202.749</v>
      </c>
      <c r="M3137">
        <v>0.29661999999999999</v>
      </c>
      <c r="N3137">
        <v>-1.415891E-2</v>
      </c>
      <c r="O3137">
        <v>-0.95489069999999998</v>
      </c>
      <c r="P3137">
        <v>6.0154560000000003E-2</v>
      </c>
      <c r="Q3137">
        <v>0.15905559999999999</v>
      </c>
      <c r="R3137">
        <v>-0.98543550000000002</v>
      </c>
      <c r="S3137">
        <v>-5.450439E-2</v>
      </c>
      <c r="T3137">
        <v>-0.135799799999999</v>
      </c>
      <c r="U3137">
        <v>-3.0717620000000001</v>
      </c>
      <c r="V3137">
        <v>0.23712800000000001</v>
      </c>
      <c r="W3137">
        <v>0.16951920000000001</v>
      </c>
      <c r="X3137">
        <v>0.95657380000000003</v>
      </c>
      <c r="Y3137">
        <v>0.31340010000000001</v>
      </c>
      <c r="Z3137">
        <v>2.5879070000000001E-2</v>
      </c>
      <c r="AA3137">
        <v>0.94926849999999996</v>
      </c>
      <c r="AB3137">
        <v>27</v>
      </c>
      <c r="AC3137">
        <v>-0.52759999999997798</v>
      </c>
      <c r="AD3137">
        <v>-1.115484578335</v>
      </c>
      <c r="AE3137">
        <v>-24.928799999999999</v>
      </c>
      <c r="AF3137">
        <v>7.8831949348769301</v>
      </c>
      <c r="AG3137">
        <v>-1.115484578335</v>
      </c>
      <c r="AH3137">
        <v>23.602913130280999</v>
      </c>
      <c r="AI3137">
        <v>92.566641831223905</v>
      </c>
      <c r="AJ3137">
        <v>71.531069426947894</v>
      </c>
      <c r="AK3137">
        <v>24.909567970186899</v>
      </c>
      <c r="AL3137">
        <v>80.240133906461693</v>
      </c>
      <c r="AM3137">
        <v>76.077430763500601</v>
      </c>
      <c r="AN3137">
        <v>0.99999994119953795</v>
      </c>
    </row>
    <row r="3138" spans="1:40" x14ac:dyDescent="0.25">
      <c r="A3138" t="str">
        <f>"20190303162611880"</f>
        <v>20190303162611880</v>
      </c>
      <c r="B3138" t="str">
        <f>"1551601571876786"</f>
        <v>1551601571876786</v>
      </c>
      <c r="C3138" t="s">
        <v>40</v>
      </c>
      <c r="D3138">
        <v>5.0954899999999999</v>
      </c>
      <c r="E3138">
        <v>0.53613420000000001</v>
      </c>
      <c r="F3138" t="s">
        <v>41</v>
      </c>
      <c r="G3138">
        <v>-189.6765</v>
      </c>
      <c r="H3138" s="1">
        <v>-3.7091600000000002E-6</v>
      </c>
      <c r="I3138">
        <v>178.14510000000001</v>
      </c>
      <c r="J3138">
        <v>-189.02340000000001</v>
      </c>
      <c r="K3138">
        <v>1.1165670000000001</v>
      </c>
      <c r="L3138">
        <v>202.4819</v>
      </c>
      <c r="M3138">
        <v>0.29216409999999998</v>
      </c>
      <c r="N3138">
        <v>-1.3995280000000001E-2</v>
      </c>
      <c r="O3138">
        <v>-0.9562659</v>
      </c>
      <c r="P3138">
        <v>5.5551980000000001E-2</v>
      </c>
      <c r="Q3138">
        <v>0.160803</v>
      </c>
      <c r="R3138">
        <v>-0.98542209999999997</v>
      </c>
      <c r="S3138">
        <v>-7.1899409999999997E-2</v>
      </c>
      <c r="T3138">
        <v>-0.13924129999999901</v>
      </c>
      <c r="U3138">
        <v>-3.0711979999999999</v>
      </c>
      <c r="V3138">
        <v>0.23662810000000001</v>
      </c>
      <c r="W3138">
        <v>0.1717195</v>
      </c>
      <c r="X3138">
        <v>0.95630510000000002</v>
      </c>
      <c r="Y3138">
        <v>0.31434640000000003</v>
      </c>
      <c r="Z3138">
        <v>2.7136380000000002E-2</v>
      </c>
      <c r="AA3138">
        <v>0.9489204</v>
      </c>
      <c r="AB3138">
        <v>27</v>
      </c>
      <c r="AC3138">
        <v>-0.65309999999999402</v>
      </c>
      <c r="AD3138">
        <v>-1.1165707091599999</v>
      </c>
      <c r="AE3138">
        <v>-24.336799999999901</v>
      </c>
      <c r="AF3138">
        <v>7.7193959813652002</v>
      </c>
      <c r="AG3138">
        <v>-1.1165707091599999</v>
      </c>
      <c r="AH3138">
        <v>23.035444092630001</v>
      </c>
      <c r="AI3138">
        <v>92.631456010017999</v>
      </c>
      <c r="AJ3138">
        <v>71.473510246382205</v>
      </c>
      <c r="AK3138">
        <v>24.320104625810199</v>
      </c>
      <c r="AL3138">
        <v>80.112189957572994</v>
      </c>
      <c r="AM3138">
        <v>76.101890510473197</v>
      </c>
      <c r="AN3138">
        <v>0.99999994433793304</v>
      </c>
    </row>
    <row r="3139" spans="1:40" x14ac:dyDescent="0.25">
      <c r="A3139" t="str">
        <f>"20190303162611901"</f>
        <v>20190303162611901</v>
      </c>
      <c r="B3139" t="str">
        <f>"1551601571886544"</f>
        <v>1551601571886544</v>
      </c>
      <c r="C3139" t="s">
        <v>40</v>
      </c>
      <c r="D3139">
        <v>5.1541160000000001</v>
      </c>
      <c r="E3139">
        <v>0.53613420000000001</v>
      </c>
      <c r="F3139" t="s">
        <v>41</v>
      </c>
      <c r="G3139">
        <v>-189.69470000000001</v>
      </c>
      <c r="H3139" s="1">
        <v>-3.0603129999999999E-6</v>
      </c>
      <c r="I3139">
        <v>176.64019999999999</v>
      </c>
      <c r="J3139">
        <v>-188.9529</v>
      </c>
      <c r="K3139">
        <v>1.117497</v>
      </c>
      <c r="L3139">
        <v>202.23740000000001</v>
      </c>
      <c r="M3139">
        <v>0.2891707</v>
      </c>
      <c r="N3139">
        <v>-1.3860509999999999E-2</v>
      </c>
      <c r="O3139">
        <v>-0.9571771</v>
      </c>
      <c r="P3139">
        <v>5.5152300000000001E-2</v>
      </c>
      <c r="Q3139">
        <v>0.1605057</v>
      </c>
      <c r="R3139">
        <v>-0.9854927</v>
      </c>
      <c r="S3139">
        <v>-7.9757690000000006E-2</v>
      </c>
      <c r="T3139">
        <v>-0.13267119999999999</v>
      </c>
      <c r="U3139">
        <v>-3.0705260000000001</v>
      </c>
      <c r="V3139">
        <v>0.23364740000000001</v>
      </c>
      <c r="W3139">
        <v>0.17184630000000001</v>
      </c>
      <c r="X3139">
        <v>0.95701499999999995</v>
      </c>
      <c r="Y3139">
        <v>0.31381619999999999</v>
      </c>
      <c r="Z3139">
        <v>2.5396430000000001E-2</v>
      </c>
      <c r="AA3139">
        <v>0.94914410000000005</v>
      </c>
      <c r="AB3139">
        <v>27</v>
      </c>
      <c r="AC3139">
        <v>-0.74180000000001201</v>
      </c>
      <c r="AD3139">
        <v>-1.1175000603130001</v>
      </c>
      <c r="AE3139">
        <v>-25.597200000000001</v>
      </c>
      <c r="AF3139">
        <v>8.09735416271681</v>
      </c>
      <c r="AG3139">
        <v>-1.1175000603130001</v>
      </c>
      <c r="AH3139">
        <v>24.242715901397201</v>
      </c>
      <c r="AI3139">
        <v>92.503486147043603</v>
      </c>
      <c r="AJ3139">
        <v>71.5300702522742</v>
      </c>
      <c r="AK3139">
        <v>25.583690607438299</v>
      </c>
      <c r="AL3139">
        <v>80.104815624960906</v>
      </c>
      <c r="AM3139">
        <v>76.280093380536499</v>
      </c>
      <c r="AN3139">
        <v>0.99999998428772396</v>
      </c>
    </row>
    <row r="3140" spans="1:40" x14ac:dyDescent="0.25">
      <c r="A3140" t="str">
        <f>"20190303162611922"</f>
        <v>20190303162611922</v>
      </c>
      <c r="B3140" t="str">
        <f>"1551601571916799"</f>
        <v>1551601571916799</v>
      </c>
      <c r="C3140" t="s">
        <v>40</v>
      </c>
      <c r="D3140">
        <v>5.2891050000000002</v>
      </c>
      <c r="E3140">
        <v>0.52554540000000005</v>
      </c>
      <c r="F3140" t="s">
        <v>41</v>
      </c>
      <c r="G3140">
        <v>-189.62280000000001</v>
      </c>
      <c r="H3140" s="1">
        <v>-3.0543600000000001E-6</v>
      </c>
      <c r="I3140">
        <v>176.5966</v>
      </c>
      <c r="J3140">
        <v>-188.87819999999999</v>
      </c>
      <c r="K3140">
        <v>1.1183320000000001</v>
      </c>
      <c r="L3140">
        <v>201.97919999999999</v>
      </c>
      <c r="M3140">
        <v>0.28691539999999999</v>
      </c>
      <c r="N3140">
        <v>-1.373013E-2</v>
      </c>
      <c r="O3140">
        <v>-0.95785770000000003</v>
      </c>
      <c r="P3140">
        <v>5.819978E-2</v>
      </c>
      <c r="Q3140">
        <v>0.157643899999999</v>
      </c>
      <c r="R3140">
        <v>-0.98577990000000004</v>
      </c>
      <c r="S3140">
        <v>-8.0230709999999997E-2</v>
      </c>
      <c r="T3140">
        <v>-0.1338191</v>
      </c>
      <c r="U3140">
        <v>-3.0704500000000001</v>
      </c>
      <c r="V3140">
        <v>0.2281917</v>
      </c>
      <c r="W3140">
        <v>0.1693759</v>
      </c>
      <c r="X3140">
        <v>0.95877020000000002</v>
      </c>
      <c r="Y3140">
        <v>0.31172660000000002</v>
      </c>
      <c r="Z3140">
        <v>2.5927229999999999E-2</v>
      </c>
      <c r="AA3140">
        <v>0.9498181</v>
      </c>
      <c r="AB3140">
        <v>27</v>
      </c>
      <c r="AC3140">
        <v>-0.74460000000001902</v>
      </c>
      <c r="AD3140">
        <v>-1.1183350543599999</v>
      </c>
      <c r="AE3140">
        <v>-25.3826</v>
      </c>
      <c r="AF3140">
        <v>7.98115237188959</v>
      </c>
      <c r="AG3140">
        <v>-1.1183350543599999</v>
      </c>
      <c r="AH3140">
        <v>24.054894108211101</v>
      </c>
      <c r="AI3140">
        <v>92.526571337339604</v>
      </c>
      <c r="AJ3140">
        <v>71.644716767484397</v>
      </c>
      <c r="AK3140">
        <v>25.369024361105801</v>
      </c>
      <c r="AL3140">
        <v>80.248465167018196</v>
      </c>
      <c r="AM3140">
        <v>76.612417937613202</v>
      </c>
      <c r="AN3140">
        <v>0.99999997192886902</v>
      </c>
    </row>
    <row r="3141" spans="1:40" x14ac:dyDescent="0.25">
      <c r="A3141" t="str">
        <f>"20190303162611946"</f>
        <v>20190303162611946</v>
      </c>
      <c r="B3141" t="str">
        <f>"1551601571936320"</f>
        <v>1551601571936320</v>
      </c>
      <c r="C3141" t="s">
        <v>40</v>
      </c>
      <c r="D3141">
        <v>5.1797360000000001</v>
      </c>
      <c r="E3141">
        <v>0.5158507</v>
      </c>
      <c r="F3141" t="s">
        <v>41</v>
      </c>
      <c r="G3141">
        <v>-188.7818</v>
      </c>
      <c r="H3141" s="1">
        <v>-4.2233260000000002E-6</v>
      </c>
      <c r="I3141">
        <v>178.97370000000001</v>
      </c>
      <c r="J3141">
        <v>-188.8</v>
      </c>
      <c r="K3141">
        <v>1.119049</v>
      </c>
      <c r="L3141">
        <v>201.70939999999999</v>
      </c>
      <c r="M3141">
        <v>0.28536</v>
      </c>
      <c r="N3141">
        <v>-1.360284E-2</v>
      </c>
      <c r="O3141">
        <v>-0.95832410000000001</v>
      </c>
      <c r="P3141">
        <v>6.2123909999999997E-2</v>
      </c>
      <c r="Q3141">
        <v>0.15533169999999999</v>
      </c>
      <c r="R3141">
        <v>-0.9859076</v>
      </c>
      <c r="S3141">
        <v>1.2847900000000001E-2</v>
      </c>
      <c r="T3141">
        <v>-0.14905979999999999</v>
      </c>
      <c r="U3141">
        <v>-3.0663299999999998</v>
      </c>
      <c r="V3141">
        <v>0.22261210000000001</v>
      </c>
      <c r="W3141">
        <v>0.1673693</v>
      </c>
      <c r="X3141">
        <v>0.96043290000000003</v>
      </c>
      <c r="Y3141">
        <v>0.2812424</v>
      </c>
      <c r="Z3141">
        <v>3.0964519999999999E-2</v>
      </c>
      <c r="AA3141">
        <v>0.95913709999999996</v>
      </c>
      <c r="AB3141">
        <v>27</v>
      </c>
      <c r="AC3141">
        <v>1.8200000000007301E-2</v>
      </c>
      <c r="AD3141">
        <v>-1.119053223326</v>
      </c>
      <c r="AE3141">
        <v>-22.735699999999898</v>
      </c>
      <c r="AF3141">
        <v>6.4553762260183403</v>
      </c>
      <c r="AG3141">
        <v>-1.119053223326</v>
      </c>
      <c r="AH3141">
        <v>21.742700277288499</v>
      </c>
      <c r="AI3141">
        <v>92.824644015572702</v>
      </c>
      <c r="AJ3141">
        <v>73.463922026094806</v>
      </c>
      <c r="AK3141">
        <v>22.7083503954841</v>
      </c>
      <c r="AL3141">
        <v>80.365100250271695</v>
      </c>
      <c r="AM3141">
        <v>76.950243046477993</v>
      </c>
      <c r="AN3141">
        <v>0.99999999252565497</v>
      </c>
    </row>
    <row r="3142" spans="1:40" x14ac:dyDescent="0.25">
      <c r="A3142" t="str">
        <f>"20190303162611967"</f>
        <v>20190303162611967</v>
      </c>
      <c r="B3142" t="str">
        <f>"1551601571956816"</f>
        <v>1551601571956816</v>
      </c>
      <c r="C3142" t="s">
        <v>40</v>
      </c>
      <c r="D3142">
        <v>5.3628749999999998</v>
      </c>
      <c r="E3142">
        <v>0.51590970000000003</v>
      </c>
      <c r="F3142" t="s">
        <v>41</v>
      </c>
      <c r="G3142">
        <v>-187.69309999999999</v>
      </c>
      <c r="H3142" s="1">
        <v>-3.9871310000000001E-6</v>
      </c>
      <c r="I3142">
        <v>167.2003</v>
      </c>
      <c r="J3142">
        <v>-188.72559999999999</v>
      </c>
      <c r="K3142">
        <v>1.119605</v>
      </c>
      <c r="L3142">
        <v>201.45359999999999</v>
      </c>
      <c r="M3142">
        <v>0.28448299999999999</v>
      </c>
      <c r="N3142">
        <v>-1.349152E-2</v>
      </c>
      <c r="O3142">
        <v>-0.95858620000000005</v>
      </c>
      <c r="P3142">
        <v>6.5082420000000002E-2</v>
      </c>
      <c r="Q3142">
        <v>0.15501180000000001</v>
      </c>
      <c r="R3142">
        <v>-0.98576649999999999</v>
      </c>
      <c r="S3142">
        <v>9.7900390000000004E-2</v>
      </c>
      <c r="T3142">
        <v>-9.8979949999999997E-2</v>
      </c>
      <c r="U3142">
        <v>-3.0523220000000002</v>
      </c>
      <c r="V3142">
        <v>0.2186379</v>
      </c>
      <c r="W3142">
        <v>0.16725319999999999</v>
      </c>
      <c r="X3142">
        <v>0.96136560000000004</v>
      </c>
      <c r="Y3142">
        <v>0.25355220000000001</v>
      </c>
      <c r="Z3142">
        <v>1.6443240000000001E-2</v>
      </c>
      <c r="AA3142">
        <v>0.96718199999999999</v>
      </c>
      <c r="AB3142">
        <v>27</v>
      </c>
      <c r="AC3142">
        <v>1.03249999999999</v>
      </c>
      <c r="AD3142">
        <v>-1.119608987131</v>
      </c>
      <c r="AE3142">
        <v>-34.253300000000003</v>
      </c>
      <c r="AF3142">
        <v>8.7462019006118794</v>
      </c>
      <c r="AG3142">
        <v>-1.119608987131</v>
      </c>
      <c r="AH3142">
        <v>33.096155808098104</v>
      </c>
      <c r="AI3142">
        <v>91.873259403502104</v>
      </c>
      <c r="AJ3142">
        <v>75.197054306221105</v>
      </c>
      <c r="AK3142">
        <v>34.250621910328</v>
      </c>
      <c r="AL3142">
        <v>80.371847378010898</v>
      </c>
      <c r="AM3142">
        <v>77.187476195778899</v>
      </c>
      <c r="AN3142">
        <v>0.99999999054500499</v>
      </c>
    </row>
    <row r="3143" spans="1:40" x14ac:dyDescent="0.25">
      <c r="A3143" t="str">
        <f>"20190303162611989"</f>
        <v>20190303162611989</v>
      </c>
      <c r="B3143" t="str">
        <f>"1551601571976335"</f>
        <v>1551601571976335</v>
      </c>
      <c r="C3143" t="s">
        <v>40</v>
      </c>
      <c r="D3143">
        <v>5.3516089999999998</v>
      </c>
      <c r="E3143">
        <v>0.51617349999999995</v>
      </c>
      <c r="F3143" t="s">
        <v>41</v>
      </c>
      <c r="G3143">
        <v>-187.5789</v>
      </c>
      <c r="H3143" s="1">
        <v>-4.6604289999999996E-6</v>
      </c>
      <c r="I3143">
        <v>168.58170000000001</v>
      </c>
      <c r="J3143">
        <v>-188.6516</v>
      </c>
      <c r="K3143">
        <v>1.1200730000000001</v>
      </c>
      <c r="L3143">
        <v>201.19980000000001</v>
      </c>
      <c r="M3143">
        <v>0.28405409999999998</v>
      </c>
      <c r="N3143">
        <v>-1.339273E-2</v>
      </c>
      <c r="O3143">
        <v>-0.95871470000000003</v>
      </c>
      <c r="P3143">
        <v>6.7941299999999996E-2</v>
      </c>
      <c r="Q3143">
        <v>0.15816820000000001</v>
      </c>
      <c r="R3143">
        <v>-0.98507210000000001</v>
      </c>
      <c r="S3143">
        <v>0.10649110000000001</v>
      </c>
      <c r="T3143">
        <v>-0.10397289999999999</v>
      </c>
      <c r="U3143">
        <v>-3.0526580000000001</v>
      </c>
      <c r="V3143">
        <v>0.2150958</v>
      </c>
      <c r="W3143">
        <v>0.17055960000000001</v>
      </c>
      <c r="X3143">
        <v>0.96158370000000004</v>
      </c>
      <c r="Y3143">
        <v>0.25040220000000002</v>
      </c>
      <c r="Z3143">
        <v>1.8068259999999999E-2</v>
      </c>
      <c r="AA3143">
        <v>0.96797330000000004</v>
      </c>
      <c r="AB3143">
        <v>27</v>
      </c>
      <c r="AC3143">
        <v>1.07269999999999</v>
      </c>
      <c r="AD3143">
        <v>-1.1200776604289999</v>
      </c>
      <c r="AE3143">
        <v>-32.618099999999998</v>
      </c>
      <c r="AF3143">
        <v>8.22793898389377</v>
      </c>
      <c r="AG3143">
        <v>-1.1200776604289999</v>
      </c>
      <c r="AH3143">
        <v>31.541836208330601</v>
      </c>
      <c r="AI3143">
        <v>91.967966972265899</v>
      </c>
      <c r="AJ3143">
        <v>75.379748684850696</v>
      </c>
      <c r="AK3143">
        <v>32.616575315033103</v>
      </c>
      <c r="AL3143">
        <v>80.179642995404706</v>
      </c>
      <c r="AM3143">
        <v>77.391125980103993</v>
      </c>
      <c r="AN3143">
        <v>0.99999999621774505</v>
      </c>
    </row>
    <row r="3144" spans="1:40" x14ac:dyDescent="0.25">
      <c r="A3144" t="str">
        <f>"20190303162612012"</f>
        <v>20190303162612012</v>
      </c>
      <c r="B3144" t="str">
        <f>"1551601572006592"</f>
        <v>1551601572006592</v>
      </c>
      <c r="C3144" t="s">
        <v>40</v>
      </c>
      <c r="D3144">
        <v>5.1607830000000003</v>
      </c>
      <c r="E3144">
        <v>0.51573150000000001</v>
      </c>
      <c r="F3144" t="s">
        <v>41</v>
      </c>
      <c r="G3144">
        <v>-187.40780000000001</v>
      </c>
      <c r="H3144" s="1">
        <v>-4.1945479999999999E-6</v>
      </c>
      <c r="I3144">
        <v>167.53200000000001</v>
      </c>
      <c r="J3144">
        <v>-188.57249999999999</v>
      </c>
      <c r="K3144">
        <v>1.120501</v>
      </c>
      <c r="L3144">
        <v>200.93010000000001</v>
      </c>
      <c r="M3144">
        <v>0.28392539999999999</v>
      </c>
      <c r="N3144">
        <v>-1.330083E-2</v>
      </c>
      <c r="O3144">
        <v>-0.95875429999999995</v>
      </c>
      <c r="P3144">
        <v>7.1518990000000005E-2</v>
      </c>
      <c r="Q3144">
        <v>0.16281970000000001</v>
      </c>
      <c r="R3144">
        <v>-0.98406070000000001</v>
      </c>
      <c r="S3144">
        <v>0.11282349999999999</v>
      </c>
      <c r="T3144">
        <v>-0.101602</v>
      </c>
      <c r="U3144">
        <v>-3.054001</v>
      </c>
      <c r="V3144">
        <v>0.21109069999999999</v>
      </c>
      <c r="W3144">
        <v>0.17533550000000001</v>
      </c>
      <c r="X3144">
        <v>0.96161229999999998</v>
      </c>
      <c r="Y3144">
        <v>0.24828410000000001</v>
      </c>
      <c r="Z3144">
        <v>1.7444890000000001E-2</v>
      </c>
      <c r="AA3144">
        <v>0.96853020000000001</v>
      </c>
      <c r="AB3144">
        <v>27</v>
      </c>
      <c r="AC3144">
        <v>1.1646999999999801</v>
      </c>
      <c r="AD3144">
        <v>-1.120505194548</v>
      </c>
      <c r="AE3144">
        <v>-33.398099999999999</v>
      </c>
      <c r="AF3144">
        <v>8.3572509080067903</v>
      </c>
      <c r="AG3144">
        <v>-1.120505194548</v>
      </c>
      <c r="AH3144">
        <v>32.317783515762997</v>
      </c>
      <c r="AI3144">
        <v>91.922541672783893</v>
      </c>
      <c r="AJ3144">
        <v>75.501156906866399</v>
      </c>
      <c r="AK3144">
        <v>33.399675237973703</v>
      </c>
      <c r="AL3144">
        <v>79.901817467527806</v>
      </c>
      <c r="AM3144">
        <v>77.618954692326298</v>
      </c>
      <c r="AN3144">
        <v>1.0000000183490101</v>
      </c>
    </row>
    <row r="3145" spans="1:40" x14ac:dyDescent="0.25">
      <c r="A3145" t="str">
        <f>"20190303162612035"</f>
        <v>20190303162612035</v>
      </c>
      <c r="B3145" t="str">
        <f>"1551601572026113"</f>
        <v>1551601572026113</v>
      </c>
      <c r="C3145" t="s">
        <v>40</v>
      </c>
      <c r="D3145">
        <v>5.300465</v>
      </c>
      <c r="E3145">
        <v>0.51494499999999999</v>
      </c>
      <c r="F3145" t="s">
        <v>47</v>
      </c>
      <c r="G3145">
        <v>-186.80359999999999</v>
      </c>
      <c r="H3145" s="1">
        <v>-1.4270630000000001E-5</v>
      </c>
      <c r="I3145">
        <v>157.96860000000001</v>
      </c>
      <c r="J3145">
        <v>-188.49270000000001</v>
      </c>
      <c r="K3145">
        <v>1.1208419999999999</v>
      </c>
      <c r="L3145">
        <v>200.65899999999999</v>
      </c>
      <c r="M3145">
        <v>0.28400969999999998</v>
      </c>
      <c r="N3145">
        <v>-1.32204E-2</v>
      </c>
      <c r="O3145">
        <v>-0.95873030000000004</v>
      </c>
      <c r="P3145">
        <v>7.4761919999999996E-2</v>
      </c>
      <c r="Q3145">
        <v>0.16664579999999901</v>
      </c>
      <c r="R3145">
        <v>-0.98317860000000001</v>
      </c>
      <c r="S3145">
        <v>0.12568660000000001</v>
      </c>
      <c r="T3145">
        <v>-7.9618099999999997E-2</v>
      </c>
      <c r="U3145">
        <v>-3.0526279999999999</v>
      </c>
      <c r="V3145">
        <v>0.20768049999999999</v>
      </c>
      <c r="W3145">
        <v>0.1792512</v>
      </c>
      <c r="X3145">
        <v>0.96163290000000001</v>
      </c>
      <c r="Y3145">
        <v>0.2442867</v>
      </c>
      <c r="Z3145">
        <v>1.092099E-2</v>
      </c>
      <c r="AA3145">
        <v>0.96964159999999999</v>
      </c>
      <c r="AB3145">
        <v>27</v>
      </c>
      <c r="AC3145">
        <v>1.68910000000002</v>
      </c>
      <c r="AD3145">
        <v>-1.12085627063</v>
      </c>
      <c r="AE3145">
        <v>-42.690399999999997</v>
      </c>
      <c r="AF3145">
        <v>10.4987880779286</v>
      </c>
      <c r="AG3145">
        <v>-1.12085627063</v>
      </c>
      <c r="AH3145">
        <v>41.383435260913402</v>
      </c>
      <c r="AI3145">
        <v>91.503840314383297</v>
      </c>
      <c r="AJ3145">
        <v>75.7646531938301</v>
      </c>
      <c r="AK3145">
        <v>42.709127641276901</v>
      </c>
      <c r="AL3145">
        <v>79.673852719029298</v>
      </c>
      <c r="AM3145">
        <v>77.813200186707107</v>
      </c>
      <c r="AN3145">
        <v>1.00000000857205</v>
      </c>
    </row>
    <row r="3146" spans="1:40" x14ac:dyDescent="0.25">
      <c r="A3146" t="str">
        <f>"20190303162612059"</f>
        <v>20190303162612059</v>
      </c>
      <c r="B3146" t="str">
        <f>"1551601572046608"</f>
        <v>1551601572046608</v>
      </c>
      <c r="C3146" t="s">
        <v>40</v>
      </c>
      <c r="D3146">
        <v>5.1429689999999999</v>
      </c>
      <c r="E3146">
        <v>0.51476309999999903</v>
      </c>
      <c r="F3146" t="s">
        <v>47</v>
      </c>
      <c r="G3146">
        <v>-186.09389999999999</v>
      </c>
      <c r="H3146" s="1">
        <v>-1.0727559999999999E-5</v>
      </c>
      <c r="I3146">
        <v>148.38069999999999</v>
      </c>
      <c r="J3146">
        <v>-188.4119</v>
      </c>
      <c r="K3146">
        <v>1.1210990000000001</v>
      </c>
      <c r="L3146">
        <v>200.3861</v>
      </c>
      <c r="M3146">
        <v>0.28424100000000002</v>
      </c>
      <c r="N3146">
        <v>-1.3149569999999999E-2</v>
      </c>
      <c r="O3146">
        <v>-0.95866300000000004</v>
      </c>
      <c r="P3146">
        <v>7.7926579999999995E-2</v>
      </c>
      <c r="Q3146">
        <v>0.16731019999999999</v>
      </c>
      <c r="R3146">
        <v>-0.98282000000000003</v>
      </c>
      <c r="S3146">
        <v>0.14002989999999901</v>
      </c>
      <c r="T3146">
        <v>-6.5430639999999998E-2</v>
      </c>
      <c r="U3146">
        <v>-3.0517880000000002</v>
      </c>
      <c r="V3146">
        <v>0.2046703</v>
      </c>
      <c r="W3146">
        <v>0.17997729999999901</v>
      </c>
      <c r="X3146">
        <v>0.96214250000000001</v>
      </c>
      <c r="Y3146">
        <v>0.23996609999999999</v>
      </c>
      <c r="Z3146">
        <v>6.7271120000000004E-3</v>
      </c>
      <c r="AA3146">
        <v>0.97075800000000001</v>
      </c>
      <c r="AB3146">
        <v>27</v>
      </c>
      <c r="AC3146">
        <v>2.3180000000000098</v>
      </c>
      <c r="AD3146">
        <v>-1.1211097275599999</v>
      </c>
      <c r="AE3146">
        <v>-52.005400000000002</v>
      </c>
      <c r="AF3146">
        <v>12.555145115677</v>
      </c>
      <c r="AG3146">
        <v>-1.1211097275599999</v>
      </c>
      <c r="AH3146">
        <v>50.495455815552098</v>
      </c>
      <c r="AI3146">
        <v>91.234313634743003</v>
      </c>
      <c r="AJ3146">
        <v>76.037166672578707</v>
      </c>
      <c r="AK3146">
        <v>52.044976836552799</v>
      </c>
      <c r="AL3146">
        <v>79.631562142769894</v>
      </c>
      <c r="AM3146">
        <v>77.990850056951501</v>
      </c>
      <c r="AN3146">
        <v>0.99999997526181394</v>
      </c>
    </row>
    <row r="3147" spans="1:40" x14ac:dyDescent="0.25">
      <c r="A3147" t="str">
        <f>"20190303162612079"</f>
        <v>20190303162612079</v>
      </c>
      <c r="B3147" t="str">
        <f>"1551601572066128"</f>
        <v>1551601572066128</v>
      </c>
      <c r="C3147" t="s">
        <v>40</v>
      </c>
      <c r="D3147">
        <v>5.2953590000000004</v>
      </c>
      <c r="E3147">
        <v>0.51459889999999997</v>
      </c>
      <c r="F3147" t="s">
        <v>47</v>
      </c>
      <c r="G3147">
        <v>-185.73390000000001</v>
      </c>
      <c r="H3147" s="1">
        <v>-1.0069529999999999E-5</v>
      </c>
      <c r="I3147">
        <v>145.8485</v>
      </c>
      <c r="J3147">
        <v>-188.34030000000001</v>
      </c>
      <c r="K3147">
        <v>1.121243</v>
      </c>
      <c r="L3147">
        <v>200.14490000000001</v>
      </c>
      <c r="M3147">
        <v>0.28453430000000002</v>
      </c>
      <c r="N3147">
        <v>-1.309571E-2</v>
      </c>
      <c r="O3147">
        <v>-0.95857669999999995</v>
      </c>
      <c r="P3147">
        <v>8.226116E-2</v>
      </c>
      <c r="Q3147">
        <v>0.16566520000000001</v>
      </c>
      <c r="R3147">
        <v>-0.98274570000000006</v>
      </c>
      <c r="S3147">
        <v>0.14982599999999999</v>
      </c>
      <c r="T3147">
        <v>-6.2722920000000001E-2</v>
      </c>
      <c r="U3147">
        <v>-3.0512239999999999</v>
      </c>
      <c r="V3147">
        <v>0.20072670000000001</v>
      </c>
      <c r="W3147">
        <v>0.17836440000000001</v>
      </c>
      <c r="X3147">
        <v>0.96327300000000005</v>
      </c>
      <c r="Y3147">
        <v>0.2371463</v>
      </c>
      <c r="Z3147">
        <v>5.974755E-3</v>
      </c>
      <c r="AA3147">
        <v>0.97145559999999997</v>
      </c>
      <c r="AB3147">
        <v>27</v>
      </c>
      <c r="AC3147">
        <v>2.6063999999999998</v>
      </c>
      <c r="AD3147">
        <v>-1.12125306953</v>
      </c>
      <c r="AE3147">
        <v>-54.296399999999998</v>
      </c>
      <c r="AF3147">
        <v>12.9463526711068</v>
      </c>
      <c r="AG3147">
        <v>-1.12125306953</v>
      </c>
      <c r="AH3147">
        <v>52.770934361017098</v>
      </c>
      <c r="AI3147">
        <v>91.182166229002206</v>
      </c>
      <c r="AJ3147">
        <v>76.215802955891505</v>
      </c>
      <c r="AK3147">
        <v>54.347371318817103</v>
      </c>
      <c r="AL3147">
        <v>79.725494480045597</v>
      </c>
      <c r="AM3147">
        <v>78.229155793725297</v>
      </c>
      <c r="AN3147">
        <v>0.99999996990462403</v>
      </c>
    </row>
    <row r="3148" spans="1:40" x14ac:dyDescent="0.25">
      <c r="A3148" t="str">
        <f>"20190303162612103"</f>
        <v>20190303162612103</v>
      </c>
      <c r="B3148" t="str">
        <f>"1551601572096384"</f>
        <v>1551601572096384</v>
      </c>
      <c r="C3148" t="s">
        <v>40</v>
      </c>
      <c r="D3148">
        <v>5.164167</v>
      </c>
      <c r="E3148">
        <v>0.51438600000000001</v>
      </c>
      <c r="F3148" t="s">
        <v>47</v>
      </c>
      <c r="G3148">
        <v>-185.69049999999999</v>
      </c>
      <c r="H3148" s="1">
        <v>-1.130895E-5</v>
      </c>
      <c r="I3148">
        <v>150.5506</v>
      </c>
      <c r="J3148">
        <v>-188.256</v>
      </c>
      <c r="K3148">
        <v>1.121346</v>
      </c>
      <c r="L3148">
        <v>199.86240000000001</v>
      </c>
      <c r="M3148">
        <v>0.28492640000000002</v>
      </c>
      <c r="N3148">
        <v>-1.304168E-2</v>
      </c>
      <c r="O3148">
        <v>-0.95846070000000005</v>
      </c>
      <c r="P3148">
        <v>8.7246110000000002E-2</v>
      </c>
      <c r="Q3148">
        <v>0.16478419999999999</v>
      </c>
      <c r="R3148">
        <v>-0.98246369999999905</v>
      </c>
      <c r="S3148">
        <v>0.16299439999999901</v>
      </c>
      <c r="T3148">
        <v>-6.8971279999999996E-2</v>
      </c>
      <c r="U3148">
        <v>-3.0506739999999999</v>
      </c>
      <c r="V3148">
        <v>0.19622249999999999</v>
      </c>
      <c r="W3148">
        <v>0.17748929999999999</v>
      </c>
      <c r="X3148">
        <v>0.9643621</v>
      </c>
      <c r="Y3148">
        <v>0.23334949999999999</v>
      </c>
      <c r="Z3148">
        <v>7.9347529999999993E-3</v>
      </c>
      <c r="AA3148">
        <v>0.97236060000000002</v>
      </c>
      <c r="AB3148">
        <v>27</v>
      </c>
      <c r="AC3148">
        <v>2.5654999999999801</v>
      </c>
      <c r="AD3148">
        <v>-1.12135730895</v>
      </c>
      <c r="AE3148">
        <v>-49.311799999999998</v>
      </c>
      <c r="AF3148">
        <v>11.586313032417801</v>
      </c>
      <c r="AG3148">
        <v>-1.12135730895</v>
      </c>
      <c r="AH3148">
        <v>47.973740937063901</v>
      </c>
      <c r="AI3148">
        <v>91.3016014721712</v>
      </c>
      <c r="AJ3148">
        <v>76.422292792118995</v>
      </c>
      <c r="AK3148">
        <v>49.365776722300602</v>
      </c>
      <c r="AL3148">
        <v>79.776447246468905</v>
      </c>
      <c r="AM3148">
        <v>78.498812573972202</v>
      </c>
      <c r="AN3148">
        <v>0.99999999051857502</v>
      </c>
    </row>
    <row r="3149" spans="1:40" x14ac:dyDescent="0.25">
      <c r="A3149" t="str">
        <f>"20190303162612123"</f>
        <v>20190303162612123</v>
      </c>
      <c r="B3149" t="str">
        <f>"1551601572116879"</f>
        <v>1551601572116879</v>
      </c>
      <c r="C3149" t="s">
        <v>40</v>
      </c>
      <c r="D3149">
        <v>5.1498330000000001</v>
      </c>
      <c r="E3149">
        <v>0.5143257</v>
      </c>
      <c r="F3149" t="s">
        <v>47</v>
      </c>
      <c r="G3149">
        <v>-185.51060000000001</v>
      </c>
      <c r="H3149" s="1">
        <v>-1.203283E-5</v>
      </c>
      <c r="I3149">
        <v>152.8313</v>
      </c>
      <c r="J3149">
        <v>-188.18539999999999</v>
      </c>
      <c r="K3149">
        <v>1.1213959999999901</v>
      </c>
      <c r="L3149">
        <v>199.62620000000001</v>
      </c>
      <c r="M3149">
        <v>0.28525840000000002</v>
      </c>
      <c r="N3149">
        <v>-1.300246E-2</v>
      </c>
      <c r="O3149">
        <v>-0.95836250000000001</v>
      </c>
      <c r="P3149">
        <v>9.1312270000000001E-2</v>
      </c>
      <c r="Q3149">
        <v>0.16708629999999999</v>
      </c>
      <c r="R3149">
        <v>-0.9817051</v>
      </c>
      <c r="S3149">
        <v>0.17803959999999999</v>
      </c>
      <c r="T3149">
        <v>-7.2718740000000004E-2</v>
      </c>
      <c r="U3149">
        <v>-3.0499109999999998</v>
      </c>
      <c r="V3149">
        <v>0.19242609999999999</v>
      </c>
      <c r="W3149">
        <v>0.17977319999999999</v>
      </c>
      <c r="X3149">
        <v>0.96470400000000001</v>
      </c>
      <c r="Y3149">
        <v>0.22888919999999999</v>
      </c>
      <c r="Z3149">
        <v>9.1288040000000008E-3</v>
      </c>
      <c r="AA3149">
        <v>0.97340970000000004</v>
      </c>
      <c r="AB3149">
        <v>27</v>
      </c>
      <c r="AC3149">
        <v>2.6747999999999701</v>
      </c>
      <c r="AD3149">
        <v>-1.12140803282999</v>
      </c>
      <c r="AE3149">
        <v>-46.794899999999998</v>
      </c>
      <c r="AF3149">
        <v>10.7799509149028</v>
      </c>
      <c r="AG3149">
        <v>-1.12140803282999</v>
      </c>
      <c r="AH3149">
        <v>45.587245203760901</v>
      </c>
      <c r="AI3149">
        <v>91.371339656676696</v>
      </c>
      <c r="AJ3149">
        <v>76.695735392099905</v>
      </c>
      <c r="AK3149">
        <v>46.8578896555493</v>
      </c>
      <c r="AL3149">
        <v>79.643450448875598</v>
      </c>
      <c r="AM3149">
        <v>78.719463909572994</v>
      </c>
      <c r="AN3149">
        <v>1.00000000750772</v>
      </c>
    </row>
    <row r="3150" spans="1:40" x14ac:dyDescent="0.25">
      <c r="A3150" t="str">
        <f>"20190303162612146"</f>
        <v>20190303162612146</v>
      </c>
      <c r="B3150" t="str">
        <f>"1551601572136400"</f>
        <v>1551601572136400</v>
      </c>
      <c r="C3150" t="s">
        <v>40</v>
      </c>
      <c r="D3150">
        <v>5.1328659999999999</v>
      </c>
      <c r="E3150">
        <v>0.5142409</v>
      </c>
      <c r="F3150" t="s">
        <v>47</v>
      </c>
      <c r="G3150">
        <v>-185.04069999999999</v>
      </c>
      <c r="H3150" s="1">
        <v>-1.09345E-5</v>
      </c>
      <c r="I3150">
        <v>148.75989999999999</v>
      </c>
      <c r="J3150">
        <v>-188.10560000000001</v>
      </c>
      <c r="K3150">
        <v>1.1214219999999999</v>
      </c>
      <c r="L3150">
        <v>199.3595</v>
      </c>
      <c r="M3150">
        <v>0.2856146</v>
      </c>
      <c r="N3150">
        <v>-1.296421E-2</v>
      </c>
      <c r="O3150">
        <v>-0.95825720000000003</v>
      </c>
      <c r="P3150">
        <v>9.3191850000000007E-2</v>
      </c>
      <c r="Q3150">
        <v>0.17102290000000001</v>
      </c>
      <c r="R3150">
        <v>-0.98085040000000001</v>
      </c>
      <c r="S3150">
        <v>0.1885529</v>
      </c>
      <c r="T3150">
        <v>-6.7236779999999996E-2</v>
      </c>
      <c r="U3150">
        <v>-3.04982</v>
      </c>
      <c r="V3150">
        <v>0.19073409999999999</v>
      </c>
      <c r="W3150">
        <v>0.18366979999999999</v>
      </c>
      <c r="X3150">
        <v>0.96430590000000005</v>
      </c>
      <c r="Y3150">
        <v>0.22590759999999999</v>
      </c>
      <c r="Z3150">
        <v>7.5167109999999997E-3</v>
      </c>
      <c r="AA3150">
        <v>0.97411970000000003</v>
      </c>
      <c r="AB3150">
        <v>27</v>
      </c>
      <c r="AC3150">
        <v>3.0649000000000202</v>
      </c>
      <c r="AD3150">
        <v>-1.12143293449999</v>
      </c>
      <c r="AE3150">
        <v>-50.599600000000002</v>
      </c>
      <c r="AF3150">
        <v>11.510353033472599</v>
      </c>
      <c r="AG3150">
        <v>-1.12143293449999</v>
      </c>
      <c r="AH3150">
        <v>49.342796098060298</v>
      </c>
      <c r="AI3150">
        <v>91.267929790017405</v>
      </c>
      <c r="AJ3150">
        <v>76.869244025465093</v>
      </c>
      <c r="AK3150">
        <v>50.679950331038299</v>
      </c>
      <c r="AL3150">
        <v>79.416411074332004</v>
      </c>
      <c r="AM3150">
        <v>78.811641861956801</v>
      </c>
      <c r="AN3150">
        <v>0.99999998055482997</v>
      </c>
    </row>
    <row r="3151" spans="1:40" x14ac:dyDescent="0.25">
      <c r="A3151" t="str">
        <f>"20190303162612167"</f>
        <v>20190303162612167</v>
      </c>
      <c r="B3151" t="str">
        <f>"1551601572156896"</f>
        <v>1551601572156896</v>
      </c>
      <c r="C3151" t="s">
        <v>40</v>
      </c>
      <c r="D3151">
        <v>5.1495389999999999</v>
      </c>
      <c r="E3151">
        <v>0.51411839999999998</v>
      </c>
      <c r="F3151" t="s">
        <v>47</v>
      </c>
      <c r="G3151">
        <v>-184.17939999999999</v>
      </c>
      <c r="H3151" s="1">
        <v>-7.7496839999999992E-6</v>
      </c>
      <c r="I3151">
        <v>137.3048</v>
      </c>
      <c r="J3151">
        <v>-188.02950000000001</v>
      </c>
      <c r="K3151">
        <v>1.121424</v>
      </c>
      <c r="L3151">
        <v>199.10570000000001</v>
      </c>
      <c r="M3151">
        <v>0.28591739999999999</v>
      </c>
      <c r="N3151">
        <v>-1.29328E-2</v>
      </c>
      <c r="O3151">
        <v>-0.95816699999999999</v>
      </c>
      <c r="P3151">
        <v>9.3343120000000002E-2</v>
      </c>
      <c r="Q3151">
        <v>0.17475450000000001</v>
      </c>
      <c r="R3151">
        <v>-0.98017759999999998</v>
      </c>
      <c r="S3151">
        <v>0.19296260000000001</v>
      </c>
      <c r="T3151">
        <v>-5.5115579999999997E-2</v>
      </c>
      <c r="U3151">
        <v>-3.0498349999999999</v>
      </c>
      <c r="V3151">
        <v>0.19070799999999999</v>
      </c>
      <c r="W3151">
        <v>0.1873541</v>
      </c>
      <c r="X3151">
        <v>0.96360210000000002</v>
      </c>
      <c r="Y3151">
        <v>0.22481780000000001</v>
      </c>
      <c r="Z3151">
        <v>3.8793209999999998E-3</v>
      </c>
      <c r="AA3151">
        <v>0.97439310000000001</v>
      </c>
      <c r="AB3151">
        <v>27</v>
      </c>
      <c r="AC3151">
        <v>3.8501000000000198</v>
      </c>
      <c r="AD3151">
        <v>-1.1214317496840001</v>
      </c>
      <c r="AE3151">
        <v>-61.800899999999999</v>
      </c>
      <c r="AF3151">
        <v>13.9774984938015</v>
      </c>
      <c r="AG3151">
        <v>-1.1214317496840001</v>
      </c>
      <c r="AH3151">
        <v>60.301658893298701</v>
      </c>
      <c r="AI3151">
        <v>91.037897486197807</v>
      </c>
      <c r="AJ3151">
        <v>76.949707435556505</v>
      </c>
      <c r="AK3151">
        <v>61.910565645915199</v>
      </c>
      <c r="AL3151">
        <v>79.201587979504197</v>
      </c>
      <c r="AM3151">
        <v>78.805169839572102</v>
      </c>
      <c r="AN3151">
        <v>1.0000000535875999</v>
      </c>
    </row>
    <row r="3152" spans="1:40" x14ac:dyDescent="0.25">
      <c r="A3152" t="str">
        <f>"20190303162612189"</f>
        <v>20190303162612189</v>
      </c>
      <c r="B3152" t="str">
        <f>"1551601572176416"</f>
        <v>1551601572176416</v>
      </c>
      <c r="C3152" t="s">
        <v>40</v>
      </c>
      <c r="D3152">
        <v>5.1341429999999999</v>
      </c>
      <c r="E3152">
        <v>0.51410849999999997</v>
      </c>
      <c r="F3152" t="s">
        <v>47</v>
      </c>
      <c r="G3152">
        <v>-183.12819999999999</v>
      </c>
      <c r="H3152" s="1">
        <v>-2.5383879999999998E-6</v>
      </c>
      <c r="I3152">
        <v>122.065</v>
      </c>
      <c r="J3152">
        <v>-187.9547</v>
      </c>
      <c r="K3152">
        <v>1.1214040000000001</v>
      </c>
      <c r="L3152">
        <v>198.85650000000001</v>
      </c>
      <c r="M3152">
        <v>0.28615810000000003</v>
      </c>
      <c r="N3152">
        <v>-1.2906050000000001E-2</v>
      </c>
      <c r="O3152">
        <v>-0.95809560000000005</v>
      </c>
      <c r="P3152">
        <v>9.221319E-2</v>
      </c>
      <c r="Q3152">
        <v>0.17638470000000001</v>
      </c>
      <c r="R3152">
        <v>-0.97999259999999999</v>
      </c>
      <c r="S3152">
        <v>0.194046</v>
      </c>
      <c r="T3152">
        <v>-4.4398310000000003E-2</v>
      </c>
      <c r="U3152">
        <v>-3.0501100000000001</v>
      </c>
      <c r="V3152">
        <v>0.19199740000000001</v>
      </c>
      <c r="W3152">
        <v>0.18893370000000001</v>
      </c>
      <c r="X3152">
        <v>0.96303740000000004</v>
      </c>
      <c r="Y3152">
        <v>0.22472829999999999</v>
      </c>
      <c r="Z3152">
        <v>6.5822709999999998E-4</v>
      </c>
      <c r="AA3152">
        <v>0.97442130000000005</v>
      </c>
      <c r="AB3152">
        <v>27</v>
      </c>
      <c r="AC3152">
        <v>4.8265000000000002</v>
      </c>
      <c r="AD3152">
        <v>-1.1214065383880001</v>
      </c>
      <c r="AE3152">
        <v>-76.791499999999999</v>
      </c>
      <c r="AF3152">
        <v>17.348019723879901</v>
      </c>
      <c r="AG3152">
        <v>-1.1214065383880001</v>
      </c>
      <c r="AH3152">
        <v>74.945056421740702</v>
      </c>
      <c r="AI3152">
        <v>90.835175840951905</v>
      </c>
      <c r="AJ3152">
        <v>76.966914307065906</v>
      </c>
      <c r="AK3152">
        <v>76.934860908578798</v>
      </c>
      <c r="AL3152">
        <v>79.109437185840093</v>
      </c>
      <c r="AM3152">
        <v>78.724972376738805</v>
      </c>
      <c r="AN3152">
        <v>0.99999998920060496</v>
      </c>
    </row>
    <row r="3153" spans="1:40" x14ac:dyDescent="0.25">
      <c r="A3153" t="str">
        <f>"20190303162612212"</f>
        <v>20190303162612212</v>
      </c>
      <c r="B3153" t="str">
        <f>"1551601572206672"</f>
        <v>1551601572206672</v>
      </c>
      <c r="C3153" t="s">
        <v>40</v>
      </c>
      <c r="D3153">
        <v>5.1049600000000002</v>
      </c>
      <c r="E3153">
        <v>0.52171329999999905</v>
      </c>
      <c r="F3153" t="s">
        <v>41</v>
      </c>
      <c r="G3153">
        <v>-182.57</v>
      </c>
      <c r="H3153" s="1">
        <v>-2.8982379999999998E-6</v>
      </c>
      <c r="I3153">
        <v>112.3553</v>
      </c>
      <c r="J3153">
        <v>-187.8723</v>
      </c>
      <c r="K3153">
        <v>1.1213550000000001</v>
      </c>
      <c r="L3153">
        <v>198.58170000000001</v>
      </c>
      <c r="M3153">
        <v>0.28634090000000001</v>
      </c>
      <c r="N3153">
        <v>-1.288047E-2</v>
      </c>
      <c r="O3153">
        <v>-0.95804160000000005</v>
      </c>
      <c r="P3153">
        <v>9.0849440000000004E-2</v>
      </c>
      <c r="Q3153">
        <v>0.17838189999999901</v>
      </c>
      <c r="R3153">
        <v>-0.97975869999999998</v>
      </c>
      <c r="S3153">
        <v>0.1898956</v>
      </c>
      <c r="T3153">
        <v>-3.9546970000000001E-2</v>
      </c>
      <c r="U3153">
        <v>-3.0505070000000001</v>
      </c>
      <c r="V3153">
        <v>0.19345029999999999</v>
      </c>
      <c r="W3153">
        <v>0.1908677</v>
      </c>
      <c r="X3153">
        <v>0.96236500000000003</v>
      </c>
      <c r="Y3153">
        <v>0.22624459999999999</v>
      </c>
      <c r="Z3153">
        <v>-7.9230269999999996E-4</v>
      </c>
      <c r="AA3153">
        <v>0.9740702</v>
      </c>
      <c r="AB3153">
        <v>27</v>
      </c>
      <c r="AC3153">
        <v>5.3022999999999998</v>
      </c>
      <c r="AD3153">
        <v>-1.1213578982379999</v>
      </c>
      <c r="AE3153">
        <v>-86.226399999999998</v>
      </c>
      <c r="AF3153">
        <v>19.6086370182785</v>
      </c>
      <c r="AG3153">
        <v>-1.1213578982379999</v>
      </c>
      <c r="AH3153">
        <v>84.119519404909994</v>
      </c>
      <c r="AI3153">
        <v>90.7437994116883</v>
      </c>
      <c r="AJ3153">
        <v>76.878413498012407</v>
      </c>
      <c r="AK3153">
        <v>86.381998322356296</v>
      </c>
      <c r="AL3153">
        <v>78.996572889958401</v>
      </c>
      <c r="AM3153">
        <v>78.634131394426305</v>
      </c>
      <c r="AN3153">
        <v>0.99999994534918801</v>
      </c>
    </row>
    <row r="3154" spans="1:40" x14ac:dyDescent="0.25">
      <c r="A3154" t="str">
        <f>"20190303162612235"</f>
        <v>20190303162612235</v>
      </c>
      <c r="B3154" t="str">
        <f>"1551601572226194"</f>
        <v>1551601572226194</v>
      </c>
      <c r="C3154" t="s">
        <v>40</v>
      </c>
      <c r="D3154">
        <v>5.105963</v>
      </c>
      <c r="E3154">
        <v>0.52147579999999905</v>
      </c>
      <c r="F3154" t="s">
        <v>41</v>
      </c>
      <c r="G3154">
        <v>-186.64259999999999</v>
      </c>
      <c r="H3154" s="1">
        <v>-5.1250930000000003E-6</v>
      </c>
      <c r="I3154">
        <v>169.21340000000001</v>
      </c>
      <c r="J3154">
        <v>-187.79390000000001</v>
      </c>
      <c r="K3154">
        <v>1.121291</v>
      </c>
      <c r="L3154">
        <v>198.3202</v>
      </c>
      <c r="M3154">
        <v>0.28641309999999998</v>
      </c>
      <c r="N3154">
        <v>-1.2859519999999999E-2</v>
      </c>
      <c r="O3154">
        <v>-0.95802019999999999</v>
      </c>
      <c r="P3154">
        <v>8.7878090000000006E-2</v>
      </c>
      <c r="Q3154">
        <v>0.18092050000000001</v>
      </c>
      <c r="R3154">
        <v>-0.9795642</v>
      </c>
      <c r="S3154">
        <v>0.1286011</v>
      </c>
      <c r="T3154">
        <v>-0.1172748</v>
      </c>
      <c r="U3154">
        <v>-3.0714109999999999</v>
      </c>
      <c r="V3154">
        <v>0.19635179999999999</v>
      </c>
      <c r="W3154">
        <v>0.19333429999999999</v>
      </c>
      <c r="X3154">
        <v>0.96128449999999999</v>
      </c>
      <c r="Y3154">
        <v>0.24603079999999999</v>
      </c>
      <c r="Z3154">
        <v>2.2385780000000001E-2</v>
      </c>
      <c r="AA3154">
        <v>0.96900350000000002</v>
      </c>
      <c r="AB3154">
        <v>27</v>
      </c>
      <c r="AC3154">
        <v>1.15130000000002</v>
      </c>
      <c r="AD3154">
        <v>-1.121296125093</v>
      </c>
      <c r="AE3154">
        <v>-29.1068</v>
      </c>
      <c r="AF3154">
        <v>7.2234930452669497</v>
      </c>
      <c r="AG3154">
        <v>-1.121296125093</v>
      </c>
      <c r="AH3154">
        <v>28.175226958099199</v>
      </c>
      <c r="AI3154">
        <v>92.207684737662603</v>
      </c>
      <c r="AJ3154">
        <v>75.620368743953705</v>
      </c>
      <c r="AK3154">
        <v>29.108067110606498</v>
      </c>
      <c r="AL3154">
        <v>78.852565962917396</v>
      </c>
      <c r="AM3154">
        <v>78.455578456977406</v>
      </c>
      <c r="AN3154">
        <v>1.0000000354299801</v>
      </c>
    </row>
    <row r="3155" spans="1:40" x14ac:dyDescent="0.25">
      <c r="A3155" t="str">
        <f>"20190303162612258"</f>
        <v>20190303162612258</v>
      </c>
      <c r="B3155" t="str">
        <f>"1551601572246690"</f>
        <v>1551601572246690</v>
      </c>
      <c r="C3155" t="s">
        <v>40</v>
      </c>
      <c r="D3155">
        <v>5.0919559999999997</v>
      </c>
      <c r="E3155">
        <v>0.5217849</v>
      </c>
      <c r="F3155" t="s">
        <v>41</v>
      </c>
      <c r="G3155">
        <v>-186.59200000000001</v>
      </c>
      <c r="H3155" s="1">
        <v>-4.5449560000000002E-6</v>
      </c>
      <c r="I3155">
        <v>167.96709999999999</v>
      </c>
      <c r="J3155">
        <v>-187.71469999999999</v>
      </c>
      <c r="K3155">
        <v>1.121197</v>
      </c>
      <c r="L3155">
        <v>198.05529999999999</v>
      </c>
      <c r="M3155">
        <v>0.28633189999999997</v>
      </c>
      <c r="N3155">
        <v>-1.284125E-2</v>
      </c>
      <c r="O3155">
        <v>-0.95804480000000003</v>
      </c>
      <c r="P3155">
        <v>8.3767910000000001E-2</v>
      </c>
      <c r="Q3155">
        <v>0.1856698</v>
      </c>
      <c r="R3155">
        <v>-0.97903530000000005</v>
      </c>
      <c r="S3155">
        <v>0.12167360000000001</v>
      </c>
      <c r="T3155">
        <v>-0.11350830000000001</v>
      </c>
      <c r="U3155">
        <v>-3.072632</v>
      </c>
      <c r="V3155">
        <v>0.2001106</v>
      </c>
      <c r="W3155">
        <v>0.19798940000000001</v>
      </c>
      <c r="X3155">
        <v>0.95956030000000003</v>
      </c>
      <c r="Y3155">
        <v>0.2481457</v>
      </c>
      <c r="Z3155">
        <v>2.1250700000000001E-2</v>
      </c>
      <c r="AA3155">
        <v>0.96848959999999995</v>
      </c>
      <c r="AB3155">
        <v>27</v>
      </c>
      <c r="AC3155">
        <v>1.12269999999998</v>
      </c>
      <c r="AD3155">
        <v>-1.121201544956</v>
      </c>
      <c r="AE3155">
        <v>-30.088200000000001</v>
      </c>
      <c r="AF3155">
        <v>7.5297923919135599</v>
      </c>
      <c r="AG3155">
        <v>-1.121201544956</v>
      </c>
      <c r="AH3155">
        <v>29.1093369057748</v>
      </c>
      <c r="AI3155">
        <v>92.135544443644093</v>
      </c>
      <c r="AJ3155">
        <v>75.497037127231593</v>
      </c>
      <c r="AK3155">
        <v>30.088342617426299</v>
      </c>
      <c r="AL3155">
        <v>78.580590953935001</v>
      </c>
      <c r="AM3155">
        <v>78.220140086610002</v>
      </c>
      <c r="AN3155">
        <v>1.0000000120404</v>
      </c>
    </row>
    <row r="3156" spans="1:40" x14ac:dyDescent="0.25">
      <c r="A3156" t="str">
        <f>"20190303162612281"</f>
        <v>20190303162612281</v>
      </c>
      <c r="B3156" t="str">
        <f>"1551601572266208"</f>
        <v>1551601572266208</v>
      </c>
      <c r="C3156" t="s">
        <v>40</v>
      </c>
      <c r="D3156">
        <v>5.0786600000000002</v>
      </c>
      <c r="E3156">
        <v>0.52169779999999999</v>
      </c>
      <c r="F3156" t="s">
        <v>41</v>
      </c>
      <c r="G3156">
        <v>-186.5343</v>
      </c>
      <c r="H3156" s="1">
        <v>-2.6564410000000002E-6</v>
      </c>
      <c r="I3156">
        <v>163.9504</v>
      </c>
      <c r="J3156">
        <v>-187.6353</v>
      </c>
      <c r="K3156">
        <v>1.12104</v>
      </c>
      <c r="L3156">
        <v>197.78899999999999</v>
      </c>
      <c r="M3156">
        <v>0.28599289999999999</v>
      </c>
      <c r="N3156">
        <v>-1.282632E-2</v>
      </c>
      <c r="O3156">
        <v>-0.95814589999999999</v>
      </c>
      <c r="P3156">
        <v>7.9581769999999996E-2</v>
      </c>
      <c r="Q3156">
        <v>0.1890974</v>
      </c>
      <c r="R3156">
        <v>-0.9787283</v>
      </c>
      <c r="S3156">
        <v>0.10639949999999999</v>
      </c>
      <c r="T3156">
        <v>-0.1010679</v>
      </c>
      <c r="U3156">
        <v>-3.0743100000000001</v>
      </c>
      <c r="V3156">
        <v>0.2037765</v>
      </c>
      <c r="W3156">
        <v>0.20130029999999999</v>
      </c>
      <c r="X3156">
        <v>0.95809880000000003</v>
      </c>
      <c r="Y3156">
        <v>0.25262950000000001</v>
      </c>
      <c r="Z3156">
        <v>1.7502859999999999E-2</v>
      </c>
      <c r="AA3156">
        <v>0.96740479999999995</v>
      </c>
      <c r="AB3156">
        <v>27</v>
      </c>
      <c r="AC3156">
        <v>1.10099999999999</v>
      </c>
      <c r="AD3156">
        <v>-1.1210426564409901</v>
      </c>
      <c r="AE3156">
        <v>-33.8386</v>
      </c>
      <c r="AF3156">
        <v>8.6139458599066003</v>
      </c>
      <c r="AG3156">
        <v>-1.1210426564409901</v>
      </c>
      <c r="AH3156">
        <v>32.704030973951902</v>
      </c>
      <c r="AI3156">
        <v>91.898539005472202</v>
      </c>
      <c r="AJ3156">
        <v>75.243949514650197</v>
      </c>
      <c r="AK3156">
        <v>33.838002923638498</v>
      </c>
      <c r="AL3156">
        <v>78.386992563220105</v>
      </c>
      <c r="AM3156">
        <v>77.992772989781201</v>
      </c>
      <c r="AN3156">
        <v>0.99999999164689002</v>
      </c>
    </row>
    <row r="3157" spans="1:40" x14ac:dyDescent="0.25">
      <c r="A3157" t="str">
        <f>"20190303162612303"</f>
        <v>20190303162612303</v>
      </c>
      <c r="B3157" t="str">
        <f>"1551601572296464"</f>
        <v>1551601572296464</v>
      </c>
      <c r="C3157" t="s">
        <v>40</v>
      </c>
      <c r="D3157">
        <v>5.0606470000000003</v>
      </c>
      <c r="E3157">
        <v>0.52171429999999996</v>
      </c>
      <c r="F3157" t="s">
        <v>41</v>
      </c>
      <c r="G3157">
        <v>-186.4845</v>
      </c>
      <c r="H3157" s="1">
        <v>-1.037928E-6</v>
      </c>
      <c r="I3157">
        <v>159.91149999999999</v>
      </c>
      <c r="J3157">
        <v>-187.56059999999999</v>
      </c>
      <c r="K3157">
        <v>1.120835</v>
      </c>
      <c r="L3157">
        <v>197.53710000000001</v>
      </c>
      <c r="M3157">
        <v>0.2853948</v>
      </c>
      <c r="N3157">
        <v>-1.281553E-2</v>
      </c>
      <c r="O3157">
        <v>-0.95832459999999997</v>
      </c>
      <c r="P3157">
        <v>7.4703169999999999E-2</v>
      </c>
      <c r="Q3157">
        <v>0.1899449</v>
      </c>
      <c r="R3157">
        <v>-0.97894879999999995</v>
      </c>
      <c r="S3157">
        <v>9.3429570000000003E-2</v>
      </c>
      <c r="T3157">
        <v>-9.1014620000000004E-2</v>
      </c>
      <c r="U3157">
        <v>-3.07518</v>
      </c>
      <c r="V3157">
        <v>0.2080188</v>
      </c>
      <c r="W3157">
        <v>0.2020158</v>
      </c>
      <c r="X3157">
        <v>0.957036</v>
      </c>
      <c r="Y3157">
        <v>0.25611250000000002</v>
      </c>
      <c r="Z3157">
        <v>1.4485410000000001E-2</v>
      </c>
      <c r="AA3157">
        <v>0.96653840000000002</v>
      </c>
      <c r="AB3157">
        <v>27</v>
      </c>
      <c r="AC3157">
        <v>1.0760999999999901</v>
      </c>
      <c r="AD3157">
        <v>-1.120836037928</v>
      </c>
      <c r="AE3157">
        <v>-37.625599999999999</v>
      </c>
      <c r="AF3157">
        <v>9.6990925295068706</v>
      </c>
      <c r="AG3157">
        <v>-1.120836037928</v>
      </c>
      <c r="AH3157">
        <v>36.335411950070402</v>
      </c>
      <c r="AI3157">
        <v>91.707104492463401</v>
      </c>
      <c r="AJ3157">
        <v>75.054378286430307</v>
      </c>
      <c r="AK3157">
        <v>37.624338278582002</v>
      </c>
      <c r="AL3157">
        <v>78.345138310042501</v>
      </c>
      <c r="AM3157">
        <v>77.737084439281205</v>
      </c>
      <c r="AN3157">
        <v>1.00000005494953</v>
      </c>
    </row>
    <row r="3158" spans="1:40" x14ac:dyDescent="0.25">
      <c r="A3158" t="str">
        <f>"20190303162612325"</f>
        <v>20190303162612325</v>
      </c>
      <c r="B3158" t="str">
        <f>"1551601572316960"</f>
        <v>1551601572316960</v>
      </c>
      <c r="C3158" t="s">
        <v>40</v>
      </c>
      <c r="D3158">
        <v>4.9470619999999998</v>
      </c>
      <c r="E3158">
        <v>0.52132440000000002</v>
      </c>
      <c r="F3158" t="s">
        <v>41</v>
      </c>
      <c r="G3158">
        <v>-186.61799999999999</v>
      </c>
      <c r="H3158" s="1">
        <v>-9.5630590000000007E-7</v>
      </c>
      <c r="I3158">
        <v>159.79140000000001</v>
      </c>
      <c r="J3158">
        <v>-187.4813</v>
      </c>
      <c r="K3158">
        <v>1.120593</v>
      </c>
      <c r="L3158">
        <v>197.26750000000001</v>
      </c>
      <c r="M3158">
        <v>0.28446630000000001</v>
      </c>
      <c r="N3158">
        <v>-1.280743E-2</v>
      </c>
      <c r="O3158">
        <v>-0.95860080000000003</v>
      </c>
      <c r="P3158">
        <v>6.938975E-2</v>
      </c>
      <c r="Q3158">
        <v>0.19014210000000001</v>
      </c>
      <c r="R3158">
        <v>-0.97930170000000005</v>
      </c>
      <c r="S3158">
        <v>7.6827999999999994E-2</v>
      </c>
      <c r="T3158">
        <v>-9.1351150000000006E-2</v>
      </c>
      <c r="U3158">
        <v>-3.0763699999999998</v>
      </c>
      <c r="V3158">
        <v>0.21240229999999999</v>
      </c>
      <c r="W3158">
        <v>0.2020634</v>
      </c>
      <c r="X3158">
        <v>0.95606259999999998</v>
      </c>
      <c r="Y3158">
        <v>0.2603953</v>
      </c>
      <c r="Z3158">
        <v>1.45702E-2</v>
      </c>
      <c r="AA3158">
        <v>0.96539209999999998</v>
      </c>
      <c r="AB3158">
        <v>27</v>
      </c>
      <c r="AC3158">
        <v>0.86330000000000895</v>
      </c>
      <c r="AD3158">
        <v>-1.1205939563059</v>
      </c>
      <c r="AE3158">
        <v>-37.476100000000002</v>
      </c>
      <c r="AF3158">
        <v>9.8251510070166201</v>
      </c>
      <c r="AG3158">
        <v>-1.1205939563059</v>
      </c>
      <c r="AH3158">
        <v>36.140858686895399</v>
      </c>
      <c r="AI3158">
        <v>91.713798256103004</v>
      </c>
      <c r="AJ3158">
        <v>74.791294197819894</v>
      </c>
      <c r="AK3158">
        <v>37.469333991301902</v>
      </c>
      <c r="AL3158">
        <v>78.342353247746203</v>
      </c>
      <c r="AM3158">
        <v>77.474393591397302</v>
      </c>
      <c r="AN3158">
        <v>1.0000000248918</v>
      </c>
    </row>
    <row r="3159" spans="1:40" x14ac:dyDescent="0.25">
      <c r="A3159" t="str">
        <f>"20190303162612346"</f>
        <v>20190303162612346</v>
      </c>
      <c r="B3159" t="str">
        <f>"1551601572336480"</f>
        <v>1551601572336480</v>
      </c>
      <c r="C3159" t="s">
        <v>40</v>
      </c>
      <c r="D3159">
        <v>4.9463350000000004</v>
      </c>
      <c r="E3159">
        <v>0.52087249999999996</v>
      </c>
      <c r="F3159" t="s">
        <v>41</v>
      </c>
      <c r="G3159">
        <v>-186.7379</v>
      </c>
      <c r="H3159" s="1">
        <v>-1.166094E-6</v>
      </c>
      <c r="I3159">
        <v>160.42080000000001</v>
      </c>
      <c r="J3159">
        <v>-187.41</v>
      </c>
      <c r="K3159">
        <v>1.1203609999999999</v>
      </c>
      <c r="L3159">
        <v>197.0232</v>
      </c>
      <c r="M3159">
        <v>0.28332220000000002</v>
      </c>
      <c r="N3159">
        <v>-1.280218E-2</v>
      </c>
      <c r="O3159">
        <v>-0.95893949999999994</v>
      </c>
      <c r="P3159">
        <v>6.3439529999999994E-2</v>
      </c>
      <c r="Q3159">
        <v>0.19125880000000001</v>
      </c>
      <c r="R3159">
        <v>-0.97948749999999996</v>
      </c>
      <c r="S3159">
        <v>6.2088009999999999E-2</v>
      </c>
      <c r="T3159">
        <v>-9.3584539999999994E-2</v>
      </c>
      <c r="U3159">
        <v>-3.077194</v>
      </c>
      <c r="V3159">
        <v>0.21713460000000001</v>
      </c>
      <c r="W3159">
        <v>0.2030286</v>
      </c>
      <c r="X3159">
        <v>0.95479420000000004</v>
      </c>
      <c r="Y3159">
        <v>0.26386779999999999</v>
      </c>
      <c r="Z3159">
        <v>1.5228810000000001E-2</v>
      </c>
      <c r="AA3159">
        <v>0.96443860000000003</v>
      </c>
      <c r="AB3159">
        <v>27</v>
      </c>
      <c r="AC3159">
        <v>0.67210000000000003</v>
      </c>
      <c r="AD3159">
        <v>-1.120362166094</v>
      </c>
      <c r="AE3159">
        <v>-36.602399999999903</v>
      </c>
      <c r="AF3159">
        <v>9.7174634398565694</v>
      </c>
      <c r="AG3159">
        <v>-1.120362166094</v>
      </c>
      <c r="AH3159">
        <v>35.259770393034501</v>
      </c>
      <c r="AI3159">
        <v>91.754563471517798</v>
      </c>
      <c r="AJ3159">
        <v>74.591988444405303</v>
      </c>
      <c r="AK3159">
        <v>36.591470526034897</v>
      </c>
      <c r="AL3159">
        <v>78.285880613919204</v>
      </c>
      <c r="AM3159">
        <v>77.187978527026004</v>
      </c>
      <c r="AN3159">
        <v>1.0000000056443701</v>
      </c>
    </row>
    <row r="3160" spans="1:40" x14ac:dyDescent="0.25">
      <c r="A3160" t="str">
        <f>"20190303162612367"</f>
        <v>20190303162612367</v>
      </c>
      <c r="B3160" t="str">
        <f>"1551601572356975"</f>
        <v>1551601572356975</v>
      </c>
      <c r="C3160" t="s">
        <v>40</v>
      </c>
      <c r="D3160">
        <v>5.020689</v>
      </c>
      <c r="E3160">
        <v>0.52060989999999996</v>
      </c>
      <c r="F3160" t="s">
        <v>41</v>
      </c>
      <c r="G3160">
        <v>-186.84180000000001</v>
      </c>
      <c r="H3160" s="1">
        <v>-8.6361110000000001E-7</v>
      </c>
      <c r="I3160">
        <v>159.70509999999999</v>
      </c>
      <c r="J3160">
        <v>-187.3381</v>
      </c>
      <c r="K3160">
        <v>1.1201030000000001</v>
      </c>
      <c r="L3160">
        <v>196.77440000000001</v>
      </c>
      <c r="M3160">
        <v>0.28179860000000001</v>
      </c>
      <c r="N3160">
        <v>-1.2799339999999999E-2</v>
      </c>
      <c r="O3160">
        <v>-0.95938829999999997</v>
      </c>
      <c r="P3160">
        <v>5.8590919999999998E-2</v>
      </c>
      <c r="Q3160">
        <v>0.1910646</v>
      </c>
      <c r="R3160">
        <v>-0.97982769999999997</v>
      </c>
      <c r="S3160">
        <v>4.6859739999999997E-2</v>
      </c>
      <c r="T3160">
        <v>-9.2402219999999993E-2</v>
      </c>
      <c r="U3160">
        <v>-3.07782</v>
      </c>
      <c r="V3160">
        <v>0.2204902</v>
      </c>
      <c r="W3160">
        <v>0.20267470000000001</v>
      </c>
      <c r="X3160">
        <v>0.95410010000000001</v>
      </c>
      <c r="Y3160">
        <v>0.26710800000000001</v>
      </c>
      <c r="Z3160">
        <v>1.487088E-2</v>
      </c>
      <c r="AA3160">
        <v>0.96355190000000002</v>
      </c>
      <c r="AB3160">
        <v>27</v>
      </c>
      <c r="AC3160">
        <v>0.49629999999999003</v>
      </c>
      <c r="AD3160">
        <v>-1.1201038636111</v>
      </c>
      <c r="AE3160">
        <v>-37.069299999999998</v>
      </c>
      <c r="AF3160">
        <v>9.9616545465449597</v>
      </c>
      <c r="AG3160">
        <v>-1.1201038636111</v>
      </c>
      <c r="AH3160">
        <v>35.674065107935498</v>
      </c>
      <c r="AI3160">
        <v>91.732174161999495</v>
      </c>
      <c r="AJ3160">
        <v>74.398097958555894</v>
      </c>
      <c r="AK3160">
        <v>37.055743351000203</v>
      </c>
      <c r="AL3160">
        <v>78.306587824368606</v>
      </c>
      <c r="AM3160">
        <v>76.987524067706502</v>
      </c>
      <c r="AN3160">
        <v>0.99999998156806902</v>
      </c>
    </row>
    <row r="3161" spans="1:40" x14ac:dyDescent="0.25">
      <c r="A3161" t="str">
        <f>"20190303162612390"</f>
        <v>20190303162612390</v>
      </c>
      <c r="B3161" t="str">
        <f>"1551601572376496"</f>
        <v>1551601572376496</v>
      </c>
      <c r="C3161" t="s">
        <v>40</v>
      </c>
      <c r="D3161">
        <v>5.0712789999999996</v>
      </c>
      <c r="E3161">
        <v>0.51882029999999901</v>
      </c>
      <c r="F3161" t="s">
        <v>41</v>
      </c>
      <c r="G3161">
        <v>-186.95740000000001</v>
      </c>
      <c r="H3161" s="1">
        <v>-1.278763E-6</v>
      </c>
      <c r="I3161">
        <v>160.8663</v>
      </c>
      <c r="J3161">
        <v>-187.26259999999999</v>
      </c>
      <c r="K3161">
        <v>1.1197790000000001</v>
      </c>
      <c r="L3161">
        <v>196.51050000000001</v>
      </c>
      <c r="M3161">
        <v>0.27975430000000001</v>
      </c>
      <c r="N3161">
        <v>-1.280047E-2</v>
      </c>
      <c r="O3161">
        <v>-0.95998640000000002</v>
      </c>
      <c r="P3161">
        <v>5.363122E-2</v>
      </c>
      <c r="Q3161">
        <v>0.1896806</v>
      </c>
      <c r="R3161">
        <v>-0.98038020000000003</v>
      </c>
      <c r="S3161">
        <v>3.2638550000000002E-2</v>
      </c>
      <c r="T3161">
        <v>-9.6030119999999997E-2</v>
      </c>
      <c r="U3161">
        <v>-3.078522</v>
      </c>
      <c r="V3161">
        <v>0.22351570000000001</v>
      </c>
      <c r="W3161">
        <v>0.20111109999999999</v>
      </c>
      <c r="X3161">
        <v>0.95372690000000004</v>
      </c>
      <c r="Y3161">
        <v>0.2695053</v>
      </c>
      <c r="Z3161">
        <v>1.595705E-2</v>
      </c>
      <c r="AA3161">
        <v>0.96286669999999996</v>
      </c>
      <c r="AB3161">
        <v>27</v>
      </c>
      <c r="AC3161">
        <v>0.30519999999998498</v>
      </c>
      <c r="AD3161">
        <v>-1.119780278763</v>
      </c>
      <c r="AE3161">
        <v>-35.644199999999998</v>
      </c>
      <c r="AF3161">
        <v>9.6698795618686795</v>
      </c>
      <c r="AG3161">
        <v>-1.119780278763</v>
      </c>
      <c r="AH3161">
        <v>34.272313339103697</v>
      </c>
      <c r="AI3161">
        <v>91.801092214974801</v>
      </c>
      <c r="AJ3161">
        <v>74.243670225354293</v>
      </c>
      <c r="AK3161">
        <v>35.627965704309602</v>
      </c>
      <c r="AL3161">
        <v>78.3980590094001</v>
      </c>
      <c r="AM3161">
        <v>76.810188957179406</v>
      </c>
      <c r="AN3161">
        <v>0.99999997123665396</v>
      </c>
    </row>
    <row r="3162" spans="1:40" x14ac:dyDescent="0.25">
      <c r="A3162" t="str">
        <f>"20190303162612414"</f>
        <v>20190303162612414</v>
      </c>
      <c r="B3162" t="str">
        <f>"1551601572406752"</f>
        <v>1551601572406752</v>
      </c>
      <c r="C3162" t="s">
        <v>40</v>
      </c>
      <c r="D3162">
        <v>5.0159409999999998</v>
      </c>
      <c r="E3162">
        <v>0.51741740000000003</v>
      </c>
      <c r="F3162" t="s">
        <v>41</v>
      </c>
      <c r="G3162">
        <v>-187.02789999999999</v>
      </c>
      <c r="H3162" s="1">
        <v>-1.759159E-6</v>
      </c>
      <c r="I3162">
        <v>172.49359999999999</v>
      </c>
      <c r="J3162">
        <v>-187.1814</v>
      </c>
      <c r="K3162">
        <v>1.11941</v>
      </c>
      <c r="L3162">
        <v>196.2216</v>
      </c>
      <c r="M3162">
        <v>0.27701969999999998</v>
      </c>
      <c r="N3162">
        <v>-1.280682E-2</v>
      </c>
      <c r="O3162">
        <v>-0.96077869999999999</v>
      </c>
      <c r="P3162">
        <v>4.8752980000000001E-2</v>
      </c>
      <c r="Q3162">
        <v>0.1884488</v>
      </c>
      <c r="R3162">
        <v>-0.98087190000000002</v>
      </c>
      <c r="S3162">
        <v>3.016663E-2</v>
      </c>
      <c r="T3162">
        <v>-0.14389479999999999</v>
      </c>
      <c r="U3162">
        <v>-3.0862270000000001</v>
      </c>
      <c r="V3162">
        <v>0.22578980000000001</v>
      </c>
      <c r="W3162">
        <v>0.1996732</v>
      </c>
      <c r="X3162">
        <v>0.95349340000000005</v>
      </c>
      <c r="Y3162">
        <v>0.26753329999999997</v>
      </c>
      <c r="Z3162">
        <v>3.0213170000000001E-2</v>
      </c>
      <c r="AA3162">
        <v>0.96307480000000001</v>
      </c>
      <c r="AB3162">
        <v>27</v>
      </c>
      <c r="AC3162">
        <v>0.15350000000000799</v>
      </c>
      <c r="AD3162">
        <v>-1.119411759159</v>
      </c>
      <c r="AE3162">
        <v>-23.728000000000002</v>
      </c>
      <c r="AF3162">
        <v>6.4119020132877802</v>
      </c>
      <c r="AG3162">
        <v>-1.119411759159</v>
      </c>
      <c r="AH3162">
        <v>22.791034095074799</v>
      </c>
      <c r="AI3162">
        <v>92.706976247814097</v>
      </c>
      <c r="AJ3162">
        <v>74.286880724531798</v>
      </c>
      <c r="AK3162">
        <v>23.702253167946001</v>
      </c>
      <c r="AL3162">
        <v>78.482151178491407</v>
      </c>
      <c r="AM3162">
        <v>76.677607249469801</v>
      </c>
      <c r="AN3162">
        <v>1.0000000422129101</v>
      </c>
    </row>
    <row r="3163" spans="1:40" x14ac:dyDescent="0.25">
      <c r="A3163" t="str">
        <f>"20190303162612436"</f>
        <v>20190303162612436</v>
      </c>
      <c r="B3163" t="str">
        <f>"1551601572426272"</f>
        <v>1551601572426272</v>
      </c>
      <c r="C3163" t="s">
        <v>40</v>
      </c>
      <c r="D3163">
        <v>4.9791619999999996</v>
      </c>
      <c r="E3163">
        <v>0.51632359999999999</v>
      </c>
      <c r="F3163" t="s">
        <v>41</v>
      </c>
      <c r="G3163">
        <v>-186.9846</v>
      </c>
      <c r="H3163" s="1">
        <v>-1.8806090000000001E-6</v>
      </c>
      <c r="I3163">
        <v>172.7697</v>
      </c>
      <c r="J3163">
        <v>-187.11420000000001</v>
      </c>
      <c r="K3163">
        <v>1.119076</v>
      </c>
      <c r="L3163">
        <v>195.97839999999999</v>
      </c>
      <c r="M3163">
        <v>0.274283099999999</v>
      </c>
      <c r="N3163">
        <v>-1.2815750000000001E-2</v>
      </c>
      <c r="O3163">
        <v>-0.96156379999999997</v>
      </c>
      <c r="P3163">
        <v>4.2274399999999997E-2</v>
      </c>
      <c r="Q3163">
        <v>0.18658040000000001</v>
      </c>
      <c r="R3163">
        <v>-0.98153020000000002</v>
      </c>
      <c r="S3163">
        <v>2.5894170000000001E-2</v>
      </c>
      <c r="T3163">
        <v>-0.14727799999999999</v>
      </c>
      <c r="U3163">
        <v>-3.0855100000000002</v>
      </c>
      <c r="V3163">
        <v>0.22962450000000001</v>
      </c>
      <c r="W3163">
        <v>0.19761029999999999</v>
      </c>
      <c r="X3163">
        <v>0.95300720000000005</v>
      </c>
      <c r="Y3163">
        <v>0.26611960000000001</v>
      </c>
      <c r="Z3163">
        <v>3.1286469999999997E-2</v>
      </c>
      <c r="AA3163">
        <v>0.96343210000000001</v>
      </c>
      <c r="AB3163">
        <v>27</v>
      </c>
      <c r="AC3163">
        <v>0.12960000000001001</v>
      </c>
      <c r="AD3163">
        <v>-1.119077880609</v>
      </c>
      <c r="AE3163">
        <v>-23.2087</v>
      </c>
      <c r="AF3163">
        <v>6.22716926488041</v>
      </c>
      <c r="AG3163">
        <v>-1.119077880609</v>
      </c>
      <c r="AH3163">
        <v>22.302173703015399</v>
      </c>
      <c r="AI3163">
        <v>92.766916738411595</v>
      </c>
      <c r="AJ3163">
        <v>74.399307702818703</v>
      </c>
      <c r="AK3163">
        <v>23.182254511496801</v>
      </c>
      <c r="AL3163">
        <v>78.602749242884798</v>
      </c>
      <c r="AM3163">
        <v>76.452958183060701</v>
      </c>
      <c r="AN3163">
        <v>0.99999998245908905</v>
      </c>
    </row>
    <row r="3164" spans="1:40" x14ac:dyDescent="0.25">
      <c r="A3164" t="str">
        <f>"20190303162612461"</f>
        <v>20190303162612461</v>
      </c>
      <c r="B3164" t="str">
        <f>"1551601572446768"</f>
        <v>1551601572446768</v>
      </c>
      <c r="C3164" t="s">
        <v>40</v>
      </c>
      <c r="D3164">
        <v>4.9534479999999999</v>
      </c>
      <c r="E3164">
        <v>0.51567350000000001</v>
      </c>
      <c r="F3164" t="s">
        <v>41</v>
      </c>
      <c r="G3164">
        <v>-186.9941</v>
      </c>
      <c r="H3164" s="1">
        <v>-1.9884060000000001E-6</v>
      </c>
      <c r="I3164">
        <v>173.0249</v>
      </c>
      <c r="J3164">
        <v>-187.03579999999999</v>
      </c>
      <c r="K3164">
        <v>1.118679</v>
      </c>
      <c r="L3164">
        <v>195.68899999999999</v>
      </c>
      <c r="M3164">
        <v>0.27050370000000001</v>
      </c>
      <c r="N3164">
        <v>-1.282989E-2</v>
      </c>
      <c r="O3164">
        <v>-0.96263370000000004</v>
      </c>
      <c r="P3164">
        <v>3.5990889999999998E-2</v>
      </c>
      <c r="Q3164">
        <v>0.1850116</v>
      </c>
      <c r="R3164">
        <v>-0.98207770000000005</v>
      </c>
      <c r="S3164">
        <v>1.61438E-2</v>
      </c>
      <c r="T3164">
        <v>-0.15037449999999999</v>
      </c>
      <c r="U3164">
        <v>-3.0843509999999998</v>
      </c>
      <c r="V3164">
        <v>0.2322448</v>
      </c>
      <c r="W3164">
        <v>0.1958174</v>
      </c>
      <c r="X3164">
        <v>0.95274230000000004</v>
      </c>
      <c r="Y3164">
        <v>0.2653739</v>
      </c>
      <c r="Z3164">
        <v>3.2291769999999997E-2</v>
      </c>
      <c r="AA3164">
        <v>0.96360469999999998</v>
      </c>
      <c r="AB3164">
        <v>27</v>
      </c>
      <c r="AC3164">
        <v>4.1699999999991598E-2</v>
      </c>
      <c r="AD3164">
        <v>-1.1186809884060001</v>
      </c>
      <c r="AE3164">
        <v>-22.664100000000001</v>
      </c>
      <c r="AF3164">
        <v>6.0762771523353099</v>
      </c>
      <c r="AG3164">
        <v>-1.1186809884060001</v>
      </c>
      <c r="AH3164">
        <v>21.7772414807316</v>
      </c>
      <c r="AI3164">
        <v>92.832646834946999</v>
      </c>
      <c r="AJ3164">
        <v>74.409855929188296</v>
      </c>
      <c r="AK3164">
        <v>22.636714375012701</v>
      </c>
      <c r="AL3164">
        <v>78.707522177172294</v>
      </c>
      <c r="AM3164">
        <v>76.300495982837106</v>
      </c>
      <c r="AN3164">
        <v>0.99999999573954501</v>
      </c>
    </row>
    <row r="3165" spans="1:40" x14ac:dyDescent="0.25">
      <c r="A3165" t="str">
        <f>"20190303162612483"</f>
        <v>20190303162612483</v>
      </c>
      <c r="B3165" t="str">
        <f>"1551601572477025"</f>
        <v>1551601572477025</v>
      </c>
      <c r="C3165" t="s">
        <v>40</v>
      </c>
      <c r="D3165">
        <v>4.9036790000000003</v>
      </c>
      <c r="E3165">
        <v>0.51545269999999999</v>
      </c>
      <c r="F3165" t="s">
        <v>41</v>
      </c>
      <c r="G3165">
        <v>-187.0187</v>
      </c>
      <c r="H3165" s="1">
        <v>-2.1791130000000002E-6</v>
      </c>
      <c r="I3165">
        <v>173.4796</v>
      </c>
      <c r="J3165">
        <v>-186.96369999999999</v>
      </c>
      <c r="K3165">
        <v>1.1183240000000001</v>
      </c>
      <c r="L3165">
        <v>195.416</v>
      </c>
      <c r="M3165">
        <v>0.26641629999999999</v>
      </c>
      <c r="N3165">
        <v>-1.284708E-2</v>
      </c>
      <c r="O3165">
        <v>-0.96377239999999997</v>
      </c>
      <c r="P3165">
        <v>2.9774200000000001E-2</v>
      </c>
      <c r="Q3165">
        <v>0.18501319999999999</v>
      </c>
      <c r="R3165">
        <v>-0.98228490000000002</v>
      </c>
      <c r="S3165">
        <v>2.380371E-3</v>
      </c>
      <c r="T3165">
        <v>-0.15533569999999999</v>
      </c>
      <c r="U3165">
        <v>-3.0839080000000001</v>
      </c>
      <c r="V3165">
        <v>0.2344069</v>
      </c>
      <c r="W3165">
        <v>0.19561400000000001</v>
      </c>
      <c r="X3165">
        <v>0.9522545</v>
      </c>
      <c r="Y3165">
        <v>0.26557920000000002</v>
      </c>
      <c r="Z3165">
        <v>3.3842820000000003E-2</v>
      </c>
      <c r="AA3165">
        <v>0.96349490000000004</v>
      </c>
      <c r="AB3165">
        <v>27</v>
      </c>
      <c r="AC3165">
        <v>-5.50000000000068E-2</v>
      </c>
      <c r="AD3165">
        <v>-1.1183261791129999</v>
      </c>
      <c r="AE3165">
        <v>-21.9363999999999</v>
      </c>
      <c r="AF3165">
        <v>5.8824206140249</v>
      </c>
      <c r="AG3165">
        <v>-1.1183261791129999</v>
      </c>
      <c r="AH3165">
        <v>21.074017376748301</v>
      </c>
      <c r="AI3165">
        <v>92.925997091019696</v>
      </c>
      <c r="AJ3165">
        <v>74.403911358791106</v>
      </c>
      <c r="AK3165">
        <v>21.9081659232051</v>
      </c>
      <c r="AL3165">
        <v>78.719406380626396</v>
      </c>
      <c r="AM3165">
        <v>76.171020424073006</v>
      </c>
      <c r="AN3165">
        <v>1.00000003226692</v>
      </c>
    </row>
    <row r="3166" spans="1:40" x14ac:dyDescent="0.25">
      <c r="A3166" t="str">
        <f>"20190303162612508"</f>
        <v>20190303162612508</v>
      </c>
      <c r="B3166" t="str">
        <f>"1551601572496545"</f>
        <v>1551601572496545</v>
      </c>
      <c r="C3166" t="s">
        <v>40</v>
      </c>
      <c r="D3166">
        <v>4.9987529999999998</v>
      </c>
      <c r="E3166">
        <v>0.51029530000000001</v>
      </c>
      <c r="F3166" t="s">
        <v>41</v>
      </c>
      <c r="G3166">
        <v>-187.08240000000001</v>
      </c>
      <c r="H3166" s="1">
        <v>-1.878558E-6</v>
      </c>
      <c r="I3166">
        <v>172.80529999999999</v>
      </c>
      <c r="J3166">
        <v>-186.8903</v>
      </c>
      <c r="K3166">
        <v>1.1180110000000001</v>
      </c>
      <c r="L3166">
        <v>195.1311</v>
      </c>
      <c r="M3166">
        <v>0.26172990000000002</v>
      </c>
      <c r="N3166">
        <v>-1.2865710000000001E-2</v>
      </c>
      <c r="O3166">
        <v>-0.96505549999999996</v>
      </c>
      <c r="P3166">
        <v>2.4041960000000001E-2</v>
      </c>
      <c r="Q3166">
        <v>0.1867597</v>
      </c>
      <c r="R3166">
        <v>-0.98211179999999998</v>
      </c>
      <c r="S3166">
        <v>-1.6174319999999999E-2</v>
      </c>
      <c r="T3166">
        <v>-0.15250229999999901</v>
      </c>
      <c r="U3166">
        <v>-3.0833439999999999</v>
      </c>
      <c r="V3166">
        <v>0.2354205</v>
      </c>
      <c r="W3166">
        <v>0.1971784</v>
      </c>
      <c r="X3166">
        <v>0.95168160000000002</v>
      </c>
      <c r="Y3166">
        <v>0.26669340000000002</v>
      </c>
      <c r="Z3166">
        <v>3.3058839999999999E-2</v>
      </c>
      <c r="AA3166">
        <v>0.96321429999999997</v>
      </c>
      <c r="AB3166">
        <v>27</v>
      </c>
      <c r="AC3166">
        <v>-0.19210000000001001</v>
      </c>
      <c r="AD3166">
        <v>-1.1180128785579999</v>
      </c>
      <c r="AE3166">
        <v>-22.325800000000001</v>
      </c>
      <c r="AF3166">
        <v>6.01413435671477</v>
      </c>
      <c r="AG3166">
        <v>-1.1180128785579999</v>
      </c>
      <c r="AH3166">
        <v>21.443364987021202</v>
      </c>
      <c r="AI3166">
        <v>92.873886094968</v>
      </c>
      <c r="AJ3166">
        <v>74.332998901265597</v>
      </c>
      <c r="AK3166">
        <v>22.298826579527599</v>
      </c>
      <c r="AL3166">
        <v>78.627992170332206</v>
      </c>
      <c r="AM3166">
        <v>76.1054964841925</v>
      </c>
      <c r="AN3166">
        <v>1.0000000005126799</v>
      </c>
    </row>
    <row r="3167" spans="1:40" x14ac:dyDescent="0.25">
      <c r="A3167" t="str">
        <f>"20190303162612526"</f>
        <v>20190303162612526</v>
      </c>
      <c r="B3167" t="str">
        <f>"1551601572516065"</f>
        <v>1551601572516065</v>
      </c>
      <c r="C3167" t="s">
        <v>40</v>
      </c>
      <c r="D3167">
        <v>5.186083</v>
      </c>
      <c r="E3167">
        <v>0.51012990000000002</v>
      </c>
      <c r="F3167" t="s">
        <v>41</v>
      </c>
      <c r="G3167">
        <v>-186.8477</v>
      </c>
      <c r="H3167" s="1">
        <v>-1.018511E-6</v>
      </c>
      <c r="I3167">
        <v>170.1763</v>
      </c>
      <c r="J3167">
        <v>-186.8347</v>
      </c>
      <c r="K3167">
        <v>1.1177809999999999</v>
      </c>
      <c r="L3167">
        <v>194.91040000000001</v>
      </c>
      <c r="M3167">
        <v>0.25781290000000001</v>
      </c>
      <c r="N3167">
        <v>-1.2879369999999999E-2</v>
      </c>
      <c r="O3167">
        <v>-0.966109</v>
      </c>
      <c r="P3167">
        <v>1.850282E-2</v>
      </c>
      <c r="Q3167">
        <v>0.18844620000000001</v>
      </c>
      <c r="R3167">
        <v>-0.98190920000000004</v>
      </c>
      <c r="S3167">
        <v>5.2642820000000003E-3</v>
      </c>
      <c r="T3167">
        <v>-0.1380219</v>
      </c>
      <c r="U3167">
        <v>-3.0807500000000001</v>
      </c>
      <c r="V3167">
        <v>0.23697080000000001</v>
      </c>
      <c r="W3167">
        <v>0.1987265</v>
      </c>
      <c r="X3167">
        <v>0.9509746</v>
      </c>
      <c r="Y3167">
        <v>0.256082899999999</v>
      </c>
      <c r="Z3167">
        <v>2.8874199999999999E-2</v>
      </c>
      <c r="AA3167">
        <v>0.96622350000000001</v>
      </c>
      <c r="AB3167">
        <v>27</v>
      </c>
      <c r="AC3167">
        <v>-1.30000000000052E-2</v>
      </c>
      <c r="AD3167">
        <v>-1.1177820185109999</v>
      </c>
      <c r="AE3167">
        <v>-24.734100000000002</v>
      </c>
      <c r="AF3167">
        <v>6.3768360726032398</v>
      </c>
      <c r="AG3167">
        <v>-1.1177820185109999</v>
      </c>
      <c r="AH3167">
        <v>23.845766807832501</v>
      </c>
      <c r="AI3167">
        <v>92.592824004600402</v>
      </c>
      <c r="AJ3167">
        <v>75.0282906503259</v>
      </c>
      <c r="AK3167">
        <v>24.708987627810401</v>
      </c>
      <c r="AL3167">
        <v>78.537502318974603</v>
      </c>
      <c r="AM3167">
        <v>76.007589709903499</v>
      </c>
      <c r="AN3167">
        <v>1.0000000358500201</v>
      </c>
    </row>
    <row r="3168" spans="1:40" x14ac:dyDescent="0.25">
      <c r="A3168" t="str">
        <f>"20190303162612548"</f>
        <v>20190303162612548</v>
      </c>
      <c r="B3168" t="str">
        <f>"1551601572536560"</f>
        <v>1551601572536560</v>
      </c>
      <c r="C3168" t="s">
        <v>40</v>
      </c>
      <c r="D3168">
        <v>4.9731540000000001</v>
      </c>
      <c r="E3168">
        <v>0.50313620000000003</v>
      </c>
      <c r="F3168" t="s">
        <v>41</v>
      </c>
      <c r="G3168">
        <v>-186.91679999999999</v>
      </c>
      <c r="H3168" s="1">
        <v>-5.2469690000000001E-6</v>
      </c>
      <c r="I3168">
        <v>169.57409999999999</v>
      </c>
      <c r="J3168">
        <v>-186.77099999999999</v>
      </c>
      <c r="K3168">
        <v>1.1175280000000001</v>
      </c>
      <c r="L3168">
        <v>194.65100000000001</v>
      </c>
      <c r="M3168">
        <v>0.2528801</v>
      </c>
      <c r="N3168">
        <v>-1.289626E-2</v>
      </c>
      <c r="O3168">
        <v>-0.96741169999999999</v>
      </c>
      <c r="P3168">
        <v>1.271189E-2</v>
      </c>
      <c r="Q3168">
        <v>0.18933829999999999</v>
      </c>
      <c r="R3168">
        <v>-0.98182990000000003</v>
      </c>
      <c r="S3168">
        <v>-9.9792479999999996E-3</v>
      </c>
      <c r="T3168">
        <v>-0.13595289999999999</v>
      </c>
      <c r="U3168">
        <v>-3.0815730000000001</v>
      </c>
      <c r="V3168">
        <v>0.23781679999999999</v>
      </c>
      <c r="W3168">
        <v>0.1994765</v>
      </c>
      <c r="X3168">
        <v>0.95060630000000002</v>
      </c>
      <c r="Y3168">
        <v>0.2559322</v>
      </c>
      <c r="Z3168">
        <v>2.8299700000000001E-2</v>
      </c>
      <c r="AA3168">
        <v>0.96628040000000004</v>
      </c>
      <c r="AB3168">
        <v>27</v>
      </c>
      <c r="AC3168">
        <v>-0.14580000000000801</v>
      </c>
      <c r="AD3168">
        <v>-1.117533246969</v>
      </c>
      <c r="AE3168">
        <v>-25.076899999999899</v>
      </c>
      <c r="AF3168">
        <v>6.4701873762148496</v>
      </c>
      <c r="AG3168">
        <v>-1.117533246969</v>
      </c>
      <c r="AH3168">
        <v>24.1768175381562</v>
      </c>
      <c r="AI3168">
        <v>92.556672650475704</v>
      </c>
      <c r="AJ3168">
        <v>75.017627032002594</v>
      </c>
      <c r="AK3168">
        <v>25.052558981363699</v>
      </c>
      <c r="AL3168">
        <v>78.493652390142003</v>
      </c>
      <c r="AM3168">
        <v>75.954384128058507</v>
      </c>
      <c r="AN3168">
        <v>1.0000000210070801</v>
      </c>
    </row>
    <row r="3169" spans="1:40" x14ac:dyDescent="0.25">
      <c r="A3169" t="str">
        <f>"20190303162612571"</f>
        <v>20190303162612571</v>
      </c>
      <c r="B3169" t="str">
        <f>"1551601572556749"</f>
        <v>1551601572556749</v>
      </c>
      <c r="C3169" t="s">
        <v>40</v>
      </c>
      <c r="D3169">
        <v>5.1824859999999999</v>
      </c>
      <c r="E3169">
        <v>0.50321930000000004</v>
      </c>
      <c r="F3169" t="s">
        <v>47</v>
      </c>
      <c r="G3169">
        <v>-186.23759999999999</v>
      </c>
      <c r="H3169" s="1">
        <v>-7.4674589999999996E-6</v>
      </c>
      <c r="I3169">
        <v>137.01480000000001</v>
      </c>
      <c r="J3169">
        <v>-186.70750000000001</v>
      </c>
      <c r="K3169">
        <v>1.1172759999999999</v>
      </c>
      <c r="L3169">
        <v>194.38460000000001</v>
      </c>
      <c r="M3169">
        <v>0.2474673</v>
      </c>
      <c r="N3169">
        <v>-1.291688E-2</v>
      </c>
      <c r="O3169">
        <v>-0.96881019999999896</v>
      </c>
      <c r="P3169">
        <v>7.7543409999999997E-3</v>
      </c>
      <c r="Q3169">
        <v>0.19030159999999999</v>
      </c>
      <c r="R3169">
        <v>-0.98169530000000005</v>
      </c>
      <c r="S3169">
        <v>2.838135E-2</v>
      </c>
      <c r="T3169">
        <v>-5.9460159999999998E-2</v>
      </c>
      <c r="U3169">
        <v>-3.0666199999999999</v>
      </c>
      <c r="V3169">
        <v>0.2373895</v>
      </c>
      <c r="W3169">
        <v>0.2003142</v>
      </c>
      <c r="X3169">
        <v>0.95053690000000002</v>
      </c>
      <c r="Y3169">
        <v>0.2384599</v>
      </c>
      <c r="Z3169">
        <v>5.3006440000000002E-3</v>
      </c>
      <c r="AA3169">
        <v>0.9711379</v>
      </c>
      <c r="AB3169">
        <v>27</v>
      </c>
      <c r="AC3169">
        <v>0.46990000000002402</v>
      </c>
      <c r="AD3169">
        <v>-1.117283467459</v>
      </c>
      <c r="AE3169">
        <v>-57.369799999999998</v>
      </c>
      <c r="AF3169">
        <v>13.737841203764001</v>
      </c>
      <c r="AG3169">
        <v>-1.117283467459</v>
      </c>
      <c r="AH3169">
        <v>55.680259086997999</v>
      </c>
      <c r="AI3169">
        <v>91.116086469720699</v>
      </c>
      <c r="AJ3169">
        <v>76.140372583244201</v>
      </c>
      <c r="AK3169">
        <v>57.360856472700199</v>
      </c>
      <c r="AL3169">
        <v>78.444666527412394</v>
      </c>
      <c r="AM3169">
        <v>75.977641003506506</v>
      </c>
      <c r="AN3169">
        <v>0.99999997584674905</v>
      </c>
    </row>
    <row r="3170" spans="1:40" x14ac:dyDescent="0.25">
      <c r="A3170" t="str">
        <f>"20190303162612593"</f>
        <v>20190303162612593</v>
      </c>
      <c r="B3170" t="str">
        <f>"1551601572587004"</f>
        <v>1551601572587004</v>
      </c>
      <c r="C3170" t="s">
        <v>40</v>
      </c>
      <c r="D3170">
        <v>4.9903779999999998</v>
      </c>
      <c r="E3170">
        <v>0.5029633</v>
      </c>
      <c r="F3170" t="s">
        <v>47</v>
      </c>
      <c r="G3170">
        <v>-186.47329999999999</v>
      </c>
      <c r="H3170" s="1">
        <v>-6.5419029999999999E-6</v>
      </c>
      <c r="I3170">
        <v>134.26830000000001</v>
      </c>
      <c r="J3170">
        <v>-186.64500000000001</v>
      </c>
      <c r="K3170">
        <v>1.1170359999999999</v>
      </c>
      <c r="L3170">
        <v>194.1147</v>
      </c>
      <c r="M3170">
        <v>0.2416517</v>
      </c>
      <c r="N3170">
        <v>-1.294085E-2</v>
      </c>
      <c r="O3170">
        <v>-0.97027669999999999</v>
      </c>
      <c r="P3170">
        <v>3.0916989999999998E-3</v>
      </c>
      <c r="Q3170">
        <v>0.19322800000000001</v>
      </c>
      <c r="R3170">
        <v>-0.98114900000000005</v>
      </c>
      <c r="S3170">
        <v>1.1947630000000001E-2</v>
      </c>
      <c r="T3170">
        <v>-5.6999090000000002E-2</v>
      </c>
      <c r="U3170">
        <v>-3.0668790000000001</v>
      </c>
      <c r="V3170">
        <v>0.2362186</v>
      </c>
      <c r="W3170">
        <v>0.20312250000000001</v>
      </c>
      <c r="X3170">
        <v>0.95023259999999998</v>
      </c>
      <c r="Y3170">
        <v>0.23784040000000001</v>
      </c>
      <c r="Z3170">
        <v>4.5555150000000004E-3</v>
      </c>
      <c r="AA3170">
        <v>0.97129359999999998</v>
      </c>
      <c r="AB3170">
        <v>27</v>
      </c>
      <c r="AC3170">
        <v>0.17170000000001501</v>
      </c>
      <c r="AD3170">
        <v>-1.1170425419029999</v>
      </c>
      <c r="AE3170">
        <v>-59.846399999999903</v>
      </c>
      <c r="AF3170">
        <v>14.2916067747211</v>
      </c>
      <c r="AG3170">
        <v>-1.1170425419029999</v>
      </c>
      <c r="AH3170">
        <v>58.093689718325997</v>
      </c>
      <c r="AI3170">
        <v>91.069678683568895</v>
      </c>
      <c r="AJ3170">
        <v>76.179140515202903</v>
      </c>
      <c r="AK3170">
        <v>59.836231443271998</v>
      </c>
      <c r="AL3170">
        <v>78.280385811558304</v>
      </c>
      <c r="AM3170">
        <v>76.039800806268801</v>
      </c>
      <c r="AN3170">
        <v>0.99999998554748404</v>
      </c>
    </row>
    <row r="3171" spans="1:40" x14ac:dyDescent="0.25">
      <c r="A3171" t="str">
        <f>"20190303162612617"</f>
        <v>20190303162612617</v>
      </c>
      <c r="B3171" t="str">
        <f>"1551601572606525"</f>
        <v>1551601572606525</v>
      </c>
      <c r="C3171" t="s">
        <v>40</v>
      </c>
      <c r="D3171">
        <v>5.0338839999999996</v>
      </c>
      <c r="E3171">
        <v>0.50265559999999998</v>
      </c>
      <c r="F3171" t="s">
        <v>47</v>
      </c>
      <c r="G3171">
        <v>-186.66130000000001</v>
      </c>
      <c r="H3171" s="1">
        <v>-4.5717380000000004E-6</v>
      </c>
      <c r="I3171">
        <v>128.5001</v>
      </c>
      <c r="J3171">
        <v>-186.58340000000001</v>
      </c>
      <c r="K3171">
        <v>1.1167899999999999</v>
      </c>
      <c r="L3171">
        <v>193.83920000000001</v>
      </c>
      <c r="M3171">
        <v>0.2353866</v>
      </c>
      <c r="N3171">
        <v>-1.296663E-2</v>
      </c>
      <c r="O3171">
        <v>-0.97181530000000005</v>
      </c>
      <c r="P3171">
        <v>-2.09341E-3</v>
      </c>
      <c r="Q3171">
        <v>0.19710929999999999</v>
      </c>
      <c r="R3171">
        <v>-0.98037969999999997</v>
      </c>
      <c r="S3171">
        <v>-7.6293949999999998E-4</v>
      </c>
      <c r="T3171">
        <v>-5.2229289999999998E-2</v>
      </c>
      <c r="U3171">
        <v>-3.0679319999999999</v>
      </c>
      <c r="V3171">
        <v>0.23509579999999999</v>
      </c>
      <c r="W3171">
        <v>0.20688599999999999</v>
      </c>
      <c r="X3171">
        <v>0.94969899999999996</v>
      </c>
      <c r="Y3171">
        <v>0.23560139999999999</v>
      </c>
      <c r="Z3171">
        <v>3.0981839999999999E-3</v>
      </c>
      <c r="AA3171">
        <v>0.97184490000000001</v>
      </c>
      <c r="AB3171">
        <v>27</v>
      </c>
      <c r="AC3171">
        <v>-7.7899999999999595E-2</v>
      </c>
      <c r="AD3171">
        <v>-1.1167945717379999</v>
      </c>
      <c r="AE3171">
        <v>-65.339100000000002</v>
      </c>
      <c r="AF3171">
        <v>15.452438404657199</v>
      </c>
      <c r="AG3171">
        <v>-1.1167945717379999</v>
      </c>
      <c r="AH3171">
        <v>63.465997487102399</v>
      </c>
      <c r="AI3171">
        <v>90.979505811444994</v>
      </c>
      <c r="AJ3171">
        <v>76.3161100360619</v>
      </c>
      <c r="AK3171">
        <v>65.329609824321395</v>
      </c>
      <c r="AL3171">
        <v>78.060074237541301</v>
      </c>
      <c r="AM3171">
        <v>76.0960741797373</v>
      </c>
      <c r="AN3171">
        <v>1.0000000213873099</v>
      </c>
    </row>
    <row r="3172" spans="1:40" x14ac:dyDescent="0.25">
      <c r="A3172" t="str">
        <f>"20190303162612636"</f>
        <v>20190303162612636</v>
      </c>
      <c r="B3172" t="str">
        <f>"1551601572627020"</f>
        <v>1551601572627020</v>
      </c>
      <c r="C3172" t="s">
        <v>40</v>
      </c>
      <c r="D3172">
        <v>5.0835299999999997</v>
      </c>
      <c r="E3172">
        <v>0.50330680000000005</v>
      </c>
      <c r="F3172" t="s">
        <v>41</v>
      </c>
      <c r="G3172">
        <v>-186.93940000000001</v>
      </c>
      <c r="H3172" s="1">
        <v>-3.0548419999999998E-6</v>
      </c>
      <c r="I3172">
        <v>115.48820000000001</v>
      </c>
      <c r="J3172">
        <v>-186.5316</v>
      </c>
      <c r="K3172">
        <v>1.116581</v>
      </c>
      <c r="L3172">
        <v>193.5993</v>
      </c>
      <c r="M3172">
        <v>0.2296522</v>
      </c>
      <c r="N3172">
        <v>-1.298969E-2</v>
      </c>
      <c r="O3172">
        <v>-0.97318610000000005</v>
      </c>
      <c r="P3172">
        <v>-7.4949389999999999E-3</v>
      </c>
      <c r="Q3172">
        <v>0.19870769999999999</v>
      </c>
      <c r="R3172">
        <v>-0.98003030000000002</v>
      </c>
      <c r="S3172">
        <v>-1.394653E-2</v>
      </c>
      <c r="T3172">
        <v>-4.3741820000000001E-2</v>
      </c>
      <c r="U3172">
        <v>-3.0688019999999998</v>
      </c>
      <c r="V3172">
        <v>0.23478070000000001</v>
      </c>
      <c r="W3172">
        <v>0.20838419999999999</v>
      </c>
      <c r="X3172">
        <v>0.9494494</v>
      </c>
      <c r="Y3172">
        <v>0.23405020000000001</v>
      </c>
      <c r="Z3172">
        <v>4.8629860000000001E-4</v>
      </c>
      <c r="AA3172">
        <v>0.97222439999999999</v>
      </c>
      <c r="AB3172">
        <v>27</v>
      </c>
      <c r="AC3172">
        <v>-0.40780000000000799</v>
      </c>
      <c r="AD3172">
        <v>-1.1165840548420001</v>
      </c>
      <c r="AE3172">
        <v>-78.111099999999993</v>
      </c>
      <c r="AF3172">
        <v>18.333051750542602</v>
      </c>
      <c r="AG3172">
        <v>-1.1165840548420001</v>
      </c>
      <c r="AH3172">
        <v>75.913876871923705</v>
      </c>
      <c r="AI3172">
        <v>90.819133192615098</v>
      </c>
      <c r="AJ3172">
        <v>76.423138127409104</v>
      </c>
      <c r="AK3172">
        <v>78.104188416276301</v>
      </c>
      <c r="AL3172">
        <v>77.972321676164896</v>
      </c>
      <c r="AM3172">
        <v>76.110478866863502</v>
      </c>
      <c r="AN3172">
        <v>1.00000005753124</v>
      </c>
    </row>
    <row r="3173" spans="1:40" x14ac:dyDescent="0.25">
      <c r="A3173" t="str">
        <f>"20190303162612671"</f>
        <v>20190303162612671</v>
      </c>
      <c r="B3173" t="str">
        <f>"1551601572656909"</f>
        <v>1551601572656909</v>
      </c>
      <c r="C3173" t="s">
        <v>40</v>
      </c>
      <c r="D3173">
        <v>5.2375759999999998</v>
      </c>
      <c r="E3173">
        <v>0.51790890000000001</v>
      </c>
      <c r="F3173" t="s">
        <v>41</v>
      </c>
      <c r="G3173">
        <v>-187.45140000000001</v>
      </c>
      <c r="H3173" s="1">
        <v>-2.3327710000000002E-6</v>
      </c>
      <c r="I3173">
        <v>114.0167</v>
      </c>
      <c r="J3173">
        <v>-186.4485</v>
      </c>
      <c r="K3173">
        <v>1.116247</v>
      </c>
      <c r="L3173">
        <v>193.19470000000001</v>
      </c>
      <c r="M3173">
        <v>0.2194304</v>
      </c>
      <c r="N3173">
        <v>-1.3029799999999999E-2</v>
      </c>
      <c r="O3173">
        <v>-0.9755412</v>
      </c>
      <c r="P3173">
        <v>-1.640341E-2</v>
      </c>
      <c r="Q3173">
        <v>0.1988828</v>
      </c>
      <c r="R3173">
        <v>-0.97988640000000005</v>
      </c>
      <c r="S3173">
        <v>-3.5476679999999997E-2</v>
      </c>
      <c r="T3173">
        <v>-4.3067929999999997E-2</v>
      </c>
      <c r="U3173">
        <v>-3.0695950000000001</v>
      </c>
      <c r="V3173">
        <v>0.23360900000000001</v>
      </c>
      <c r="W3173">
        <v>0.2084299</v>
      </c>
      <c r="X3173">
        <v>0.94972829999999997</v>
      </c>
      <c r="Y3173">
        <v>0.23066819999999999</v>
      </c>
      <c r="Z3173">
        <v>2.799411E-4</v>
      </c>
      <c r="AA3173">
        <v>0.97303240000000002</v>
      </c>
      <c r="AB3173">
        <v>27</v>
      </c>
      <c r="AC3173">
        <v>-1.0029000000000099</v>
      </c>
      <c r="AD3173">
        <v>-1.1162493327709999</v>
      </c>
      <c r="AE3173">
        <v>-79.177999999999997</v>
      </c>
      <c r="AF3173">
        <v>18.350340979043299</v>
      </c>
      <c r="AG3173">
        <v>-1.1162493327709999</v>
      </c>
      <c r="AH3173">
        <v>77.0125651815775</v>
      </c>
      <c r="AI3173">
        <v>90.807796560243901</v>
      </c>
      <c r="AJ3173">
        <v>76.597634499331804</v>
      </c>
      <c r="AK3173">
        <v>79.176487813408301</v>
      </c>
      <c r="AL3173">
        <v>77.969643966038305</v>
      </c>
      <c r="AM3173">
        <v>76.1810349512524</v>
      </c>
      <c r="AN3173">
        <v>1.0000000159579401</v>
      </c>
    </row>
    <row r="3174" spans="1:40" x14ac:dyDescent="0.25">
      <c r="A3174" t="str">
        <f>"20190303162612694"</f>
        <v>20190303162612694</v>
      </c>
      <c r="B3174" t="str">
        <f>"1551601572686190"</f>
        <v>1551601572686190</v>
      </c>
      <c r="C3174" t="s">
        <v>40</v>
      </c>
      <c r="D3174">
        <v>5.0156020000000003</v>
      </c>
      <c r="E3174">
        <v>0.50875689999999996</v>
      </c>
      <c r="F3174" t="s">
        <v>41</v>
      </c>
      <c r="G3174">
        <v>-187.94810000000001</v>
      </c>
      <c r="H3174" s="1">
        <v>-3.8679529999999998E-6</v>
      </c>
      <c r="I3174">
        <v>167.0438</v>
      </c>
      <c r="J3174">
        <v>-186.39250000000001</v>
      </c>
      <c r="K3174">
        <v>1.1160540000000001</v>
      </c>
      <c r="L3174">
        <v>192.90790000000001</v>
      </c>
      <c r="M3174">
        <v>0.211866</v>
      </c>
      <c r="N3174">
        <v>-1.305713E-2</v>
      </c>
      <c r="O3174">
        <v>-0.97721150000000001</v>
      </c>
      <c r="P3174">
        <v>-2.216686E-2</v>
      </c>
      <c r="Q3174">
        <v>0.19917579999999999</v>
      </c>
      <c r="R3174">
        <v>-0.97971319999999995</v>
      </c>
      <c r="S3174">
        <v>-0.17692569999999999</v>
      </c>
      <c r="T3174">
        <v>-0.13169790000000001</v>
      </c>
      <c r="U3174">
        <v>-3.0853419999999998</v>
      </c>
      <c r="V3174">
        <v>0.2319214</v>
      </c>
      <c r="W3174">
        <v>0.2086673</v>
      </c>
      <c r="X3174">
        <v>0.95008970000000004</v>
      </c>
      <c r="Y3174">
        <v>0.26736349999999998</v>
      </c>
      <c r="Z3174">
        <v>2.7252709999999999E-2</v>
      </c>
      <c r="AA3174">
        <v>0.96321029999999996</v>
      </c>
      <c r="AB3174">
        <v>27</v>
      </c>
      <c r="AC3174">
        <v>-1.5555999999999901</v>
      </c>
      <c r="AD3174">
        <v>-1.116057867953</v>
      </c>
      <c r="AE3174">
        <v>-25.864100000000001</v>
      </c>
      <c r="AF3174">
        <v>6.98750656188506</v>
      </c>
      <c r="AG3174">
        <v>-1.116057867953</v>
      </c>
      <c r="AH3174">
        <v>24.901045309836199</v>
      </c>
      <c r="AI3174">
        <v>92.470947447656499</v>
      </c>
      <c r="AJ3174">
        <v>74.325297461190601</v>
      </c>
      <c r="AK3174">
        <v>25.886925090468399</v>
      </c>
      <c r="AL3174">
        <v>77.955736045210003</v>
      </c>
      <c r="AM3174">
        <v>76.282099281332904</v>
      </c>
      <c r="AN3174">
        <v>1.00000000795667</v>
      </c>
    </row>
    <row r="3175" spans="1:40" x14ac:dyDescent="0.25">
      <c r="A3175" t="str">
        <f>"20190303162612715"</f>
        <v>20190303162612715</v>
      </c>
      <c r="B3175" t="str">
        <f>"1551601572706684"</f>
        <v>1551601572706684</v>
      </c>
      <c r="C3175" t="s">
        <v>40</v>
      </c>
      <c r="D3175">
        <v>6.3253659999999998</v>
      </c>
      <c r="E3175">
        <v>0.50857839999999999</v>
      </c>
      <c r="F3175" t="s">
        <v>47</v>
      </c>
      <c r="G3175">
        <v>-187.9442</v>
      </c>
      <c r="H3175" s="1">
        <v>-1.2575219999999999E-5</v>
      </c>
      <c r="I3175">
        <v>154.05240000000001</v>
      </c>
      <c r="J3175">
        <v>-186.34729999999999</v>
      </c>
      <c r="K3175">
        <v>1.115926</v>
      </c>
      <c r="L3175">
        <v>192.66560000000001</v>
      </c>
      <c r="M3175">
        <v>0.20528650000000001</v>
      </c>
      <c r="N3175">
        <v>-1.3077989999999999E-2</v>
      </c>
      <c r="O3175">
        <v>-0.97861469999999995</v>
      </c>
      <c r="P3175">
        <v>-2.5943150000000002E-2</v>
      </c>
      <c r="Q3175">
        <v>0.1996135</v>
      </c>
      <c r="R3175">
        <v>-0.9795315</v>
      </c>
      <c r="S3175">
        <v>-0.1228943</v>
      </c>
      <c r="T3175">
        <v>-8.8391300000000006E-2</v>
      </c>
      <c r="U3175">
        <v>-3.0773160000000002</v>
      </c>
      <c r="V3175">
        <v>0.2292389</v>
      </c>
      <c r="W3175">
        <v>0.2090921</v>
      </c>
      <c r="X3175">
        <v>0.95064720000000003</v>
      </c>
      <c r="Y3175">
        <v>0.2441217</v>
      </c>
      <c r="Z3175">
        <v>1.4218639999999999E-2</v>
      </c>
      <c r="AA3175">
        <v>0.96964039999999996</v>
      </c>
      <c r="AB3175">
        <v>27</v>
      </c>
      <c r="AC3175">
        <v>-1.5969</v>
      </c>
      <c r="AD3175">
        <v>-1.11593857522</v>
      </c>
      <c r="AE3175">
        <v>-38.613199999999999</v>
      </c>
      <c r="AF3175">
        <v>9.4824221005810703</v>
      </c>
      <c r="AG3175">
        <v>-1.11593857522</v>
      </c>
      <c r="AH3175">
        <v>37.431610288173097</v>
      </c>
      <c r="AI3175">
        <v>91.655377899372496</v>
      </c>
      <c r="AJ3175">
        <v>75.784509723045105</v>
      </c>
      <c r="AK3175">
        <v>38.6301319770321</v>
      </c>
      <c r="AL3175">
        <v>77.9308481796308</v>
      </c>
      <c r="AM3175">
        <v>76.442532337458701</v>
      </c>
      <c r="AN3175">
        <v>1.0000000392117201</v>
      </c>
    </row>
    <row r="3176" spans="1:40" x14ac:dyDescent="0.25">
      <c r="A3176" t="str">
        <f>"20190303162612736"</f>
        <v>20190303162612736</v>
      </c>
      <c r="B3176" t="str">
        <f>"1551601572726205"</f>
        <v>1551601572726205</v>
      </c>
      <c r="C3176" t="s">
        <v>40</v>
      </c>
      <c r="D3176">
        <v>4.9203910000000004</v>
      </c>
      <c r="E3176">
        <v>0.50767229999999997</v>
      </c>
      <c r="F3176" t="s">
        <v>47</v>
      </c>
      <c r="G3176">
        <v>-188.017</v>
      </c>
      <c r="H3176" s="1">
        <v>-1.27414E-5</v>
      </c>
      <c r="I3176">
        <v>154.4384</v>
      </c>
      <c r="J3176">
        <v>-186.30080000000001</v>
      </c>
      <c r="K3176">
        <v>1.1157979999999901</v>
      </c>
      <c r="L3176">
        <v>192.40530000000001</v>
      </c>
      <c r="M3176">
        <v>0.1980509</v>
      </c>
      <c r="N3176">
        <v>-1.309888E-2</v>
      </c>
      <c r="O3176">
        <v>-0.98010430000000004</v>
      </c>
      <c r="P3176">
        <v>-2.8868479999999998E-2</v>
      </c>
      <c r="Q3176">
        <v>0.19966130000000001</v>
      </c>
      <c r="R3176">
        <v>-0.97943970000000002</v>
      </c>
      <c r="S3176">
        <v>-0.1344147</v>
      </c>
      <c r="T3176">
        <v>-8.9837070000000005E-2</v>
      </c>
      <c r="U3176">
        <v>-3.077423</v>
      </c>
      <c r="V3176">
        <v>0.2251042</v>
      </c>
      <c r="W3176">
        <v>0.20915839999999999</v>
      </c>
      <c r="X3176">
        <v>0.95162020000000003</v>
      </c>
      <c r="Y3176">
        <v>0.24057780000000001</v>
      </c>
      <c r="Z3176">
        <v>1.4716770000000001E-2</v>
      </c>
      <c r="AA3176">
        <v>0.97051829999999994</v>
      </c>
      <c r="AB3176">
        <v>27</v>
      </c>
      <c r="AC3176">
        <v>-1.71619999999998</v>
      </c>
      <c r="AD3176">
        <v>-1.11581074139999</v>
      </c>
      <c r="AE3176">
        <v>-37.966900000000003</v>
      </c>
      <c r="AF3176">
        <v>9.1942973232960696</v>
      </c>
      <c r="AG3176">
        <v>-1.11581074139999</v>
      </c>
      <c r="AH3176">
        <v>36.8430303225771</v>
      </c>
      <c r="AI3176">
        <v>91.683115912828598</v>
      </c>
      <c r="AJ3176">
        <v>75.987851180939003</v>
      </c>
      <c r="AK3176">
        <v>37.989327714900803</v>
      </c>
      <c r="AL3176">
        <v>77.9269639673835</v>
      </c>
      <c r="AM3176">
        <v>76.691406076960504</v>
      </c>
      <c r="AN3176">
        <v>1.0000000710981101</v>
      </c>
    </row>
    <row r="3177" spans="1:40" x14ac:dyDescent="0.25">
      <c r="A3177" t="str">
        <f>"20190303162612760"</f>
        <v>20190303162612760</v>
      </c>
      <c r="B3177" t="str">
        <f>"1551601572746703"</f>
        <v>1551601572746703</v>
      </c>
      <c r="C3177" t="s">
        <v>40</v>
      </c>
      <c r="D3177">
        <v>4.8219529999999997</v>
      </c>
      <c r="E3177">
        <v>0.50691129999999995</v>
      </c>
      <c r="F3177" t="s">
        <v>47</v>
      </c>
      <c r="G3177">
        <v>-188.077</v>
      </c>
      <c r="H3177" s="1">
        <v>-1.207483E-5</v>
      </c>
      <c r="I3177">
        <v>152.8836</v>
      </c>
      <c r="J3177">
        <v>-186.25450000000001</v>
      </c>
      <c r="K3177">
        <v>1.1156759999999999</v>
      </c>
      <c r="L3177">
        <v>192.13380000000001</v>
      </c>
      <c r="M3177">
        <v>0.1903359</v>
      </c>
      <c r="N3177">
        <v>-1.3120339999999999E-2</v>
      </c>
      <c r="O3177">
        <v>-0.98163149999999999</v>
      </c>
      <c r="P3177">
        <v>-3.3109199999999998E-2</v>
      </c>
      <c r="Q3177">
        <v>0.2000169</v>
      </c>
      <c r="R3177">
        <v>-0.97923289999999996</v>
      </c>
      <c r="S3177">
        <v>-0.13827509999999901</v>
      </c>
      <c r="T3177">
        <v>-8.686149E-2</v>
      </c>
      <c r="U3177">
        <v>-3.0766140000000002</v>
      </c>
      <c r="V3177">
        <v>0.22177939999999999</v>
      </c>
      <c r="W3177">
        <v>0.20952670000000001</v>
      </c>
      <c r="X3177">
        <v>0.95231949999999999</v>
      </c>
      <c r="Y3177">
        <v>0.23416880000000001</v>
      </c>
      <c r="Z3177">
        <v>1.3866389999999999E-2</v>
      </c>
      <c r="AA3177">
        <v>0.97209699999999999</v>
      </c>
      <c r="AB3177">
        <v>27</v>
      </c>
      <c r="AC3177">
        <v>-1.82249999999999</v>
      </c>
      <c r="AD3177">
        <v>-1.11568807483</v>
      </c>
      <c r="AE3177">
        <v>-39.2502</v>
      </c>
      <c r="AF3177">
        <v>9.2530810253757902</v>
      </c>
      <c r="AG3177">
        <v>-1.11568807483</v>
      </c>
      <c r="AH3177">
        <v>38.154864507353402</v>
      </c>
      <c r="AI3177">
        <v>91.627754948426599</v>
      </c>
      <c r="AJ3177">
        <v>76.368159011286807</v>
      </c>
      <c r="AK3177">
        <v>39.276684609536296</v>
      </c>
      <c r="AL3177">
        <v>77.905382712203604</v>
      </c>
      <c r="AM3177">
        <v>76.890428512123293</v>
      </c>
      <c r="AN3177">
        <v>0.99999998517874999</v>
      </c>
    </row>
    <row r="3178" spans="1:40" x14ac:dyDescent="0.25">
      <c r="A3178" t="str">
        <f>"20190303162612782"</f>
        <v>20190303162612782</v>
      </c>
      <c r="B3178" t="str">
        <f>"1551601572766222"</f>
        <v>1551601572766222</v>
      </c>
      <c r="C3178" t="s">
        <v>40</v>
      </c>
      <c r="D3178">
        <v>4.8458740000000002</v>
      </c>
      <c r="E3178">
        <v>0.50646530000000001</v>
      </c>
      <c r="F3178" t="s">
        <v>47</v>
      </c>
      <c r="G3178">
        <v>-188.2122</v>
      </c>
      <c r="H3178" s="1">
        <v>-1.1089350000000001E-5</v>
      </c>
      <c r="I3178">
        <v>150.584</v>
      </c>
      <c r="J3178">
        <v>-186.21019999999999</v>
      </c>
      <c r="K3178">
        <v>1.1155759999999999</v>
      </c>
      <c r="L3178">
        <v>191.8587</v>
      </c>
      <c r="M3178">
        <v>0.18237909999999999</v>
      </c>
      <c r="N3178">
        <v>-1.314125E-2</v>
      </c>
      <c r="O3178">
        <v>-0.98314060000000003</v>
      </c>
      <c r="P3178">
        <v>-3.7978070000000003E-2</v>
      </c>
      <c r="Q3178">
        <v>0.19924339999999999</v>
      </c>
      <c r="R3178">
        <v>-0.97921429999999998</v>
      </c>
      <c r="S3178">
        <v>-0.14491270000000001</v>
      </c>
      <c r="T3178">
        <v>-8.2585099999999995E-2</v>
      </c>
      <c r="U3178">
        <v>-3.0755919999999999</v>
      </c>
      <c r="V3178">
        <v>0.21886169999999999</v>
      </c>
      <c r="W3178">
        <v>0.20877129999999999</v>
      </c>
      <c r="X3178">
        <v>0.95316000000000001</v>
      </c>
      <c r="Y3178">
        <v>0.2284031</v>
      </c>
      <c r="Z3178">
        <v>1.260096E-2</v>
      </c>
      <c r="AA3178">
        <v>0.97348509999999999</v>
      </c>
      <c r="AB3178">
        <v>27</v>
      </c>
      <c r="AC3178">
        <v>-2.0019999999999998</v>
      </c>
      <c r="AD3178">
        <v>-1.1155870893499999</v>
      </c>
      <c r="AE3178">
        <v>-41.274700000000003</v>
      </c>
      <c r="AF3178">
        <v>9.4897925648040697</v>
      </c>
      <c r="AG3178">
        <v>-1.1155870893499999</v>
      </c>
      <c r="AH3178">
        <v>40.187888107382598</v>
      </c>
      <c r="AI3178">
        <v>91.547542875170393</v>
      </c>
      <c r="AJ3178">
        <v>76.7138024858953</v>
      </c>
      <c r="AK3178">
        <v>41.308195893895501</v>
      </c>
      <c r="AL3178">
        <v>77.9496422900217</v>
      </c>
      <c r="AM3178">
        <v>77.068081252331694</v>
      </c>
      <c r="AN3178">
        <v>0.99999994251528801</v>
      </c>
    </row>
    <row r="3179" spans="1:40" x14ac:dyDescent="0.25">
      <c r="A3179" t="str">
        <f>"20190303162612805"</f>
        <v>20190303162612805</v>
      </c>
      <c r="B3179" t="str">
        <f>"1551601572796479"</f>
        <v>1551601572796479</v>
      </c>
      <c r="C3179" t="s">
        <v>40</v>
      </c>
      <c r="D3179">
        <v>4.7852709999999998</v>
      </c>
      <c r="E3179">
        <v>0.50617089999999998</v>
      </c>
      <c r="F3179" t="s">
        <v>47</v>
      </c>
      <c r="G3179">
        <v>-188.27420000000001</v>
      </c>
      <c r="H3179" s="1">
        <v>-1.1488149999999999E-5</v>
      </c>
      <c r="I3179">
        <v>151.51249999999999</v>
      </c>
      <c r="J3179">
        <v>-186.16849999999999</v>
      </c>
      <c r="K3179">
        <v>1.115497</v>
      </c>
      <c r="L3179">
        <v>191.5848</v>
      </c>
      <c r="M3179">
        <v>0.17436399999999999</v>
      </c>
      <c r="N3179">
        <v>-1.3159290000000001E-2</v>
      </c>
      <c r="O3179">
        <v>-0.98459339999999995</v>
      </c>
      <c r="P3179">
        <v>-4.17808E-2</v>
      </c>
      <c r="Q3179">
        <v>0.19736909999999999</v>
      </c>
      <c r="R3179">
        <v>-0.9794387</v>
      </c>
      <c r="S3179">
        <v>-0.1573029</v>
      </c>
      <c r="T3179">
        <v>-8.5021379999999994E-2</v>
      </c>
      <c r="U3179">
        <v>-3.074875</v>
      </c>
      <c r="V3179">
        <v>0.21486549999999999</v>
      </c>
      <c r="W3179">
        <v>0.20694670000000001</v>
      </c>
      <c r="X3179">
        <v>0.95446629999999999</v>
      </c>
      <c r="Y3179">
        <v>0.22439329999999999</v>
      </c>
      <c r="Z3179">
        <v>1.3418050000000001E-2</v>
      </c>
      <c r="AA3179">
        <v>0.97440629999999995</v>
      </c>
      <c r="AB3179">
        <v>27</v>
      </c>
      <c r="AC3179">
        <v>-2.1057000000000099</v>
      </c>
      <c r="AD3179">
        <v>-1.1155084881499999</v>
      </c>
      <c r="AE3179">
        <v>-40.072299999999998</v>
      </c>
      <c r="AF3179">
        <v>9.0542118387231891</v>
      </c>
      <c r="AG3179">
        <v>-1.1155084881499999</v>
      </c>
      <c r="AH3179">
        <v>39.060960194144698</v>
      </c>
      <c r="AI3179">
        <v>91.593587635913806</v>
      </c>
      <c r="AJ3179">
        <v>76.949488557788399</v>
      </c>
      <c r="AK3179">
        <v>40.112114410688498</v>
      </c>
      <c r="AL3179">
        <v>78.056519421873304</v>
      </c>
      <c r="AM3179">
        <v>77.313298358224301</v>
      </c>
      <c r="AN3179">
        <v>1.0000000187834099</v>
      </c>
    </row>
    <row r="3180" spans="1:40" x14ac:dyDescent="0.25">
      <c r="A3180" t="str">
        <f>"20190303162612850"</f>
        <v>20190303162612850</v>
      </c>
      <c r="B3180" t="str">
        <f>"1551601572836495"</f>
        <v>1551601572836495</v>
      </c>
      <c r="C3180" t="s">
        <v>40</v>
      </c>
      <c r="D3180">
        <v>4.8196389999999996</v>
      </c>
      <c r="E3180">
        <v>0.53714309999999998</v>
      </c>
      <c r="F3180" t="s">
        <v>47</v>
      </c>
      <c r="G3180">
        <v>-188.2347</v>
      </c>
      <c r="H3180" s="1">
        <v>-1.255389E-5</v>
      </c>
      <c r="I3180">
        <v>153.9975</v>
      </c>
      <c r="J3180">
        <v>-186.09370000000001</v>
      </c>
      <c r="K3180">
        <v>1.1154200000000001</v>
      </c>
      <c r="L3180">
        <v>191.05</v>
      </c>
      <c r="M3180">
        <v>0.1585259</v>
      </c>
      <c r="N3180">
        <v>-1.3185870000000001E-2</v>
      </c>
      <c r="O3180">
        <v>-0.9872668</v>
      </c>
      <c r="P3180">
        <v>-5.8559970000000003E-2</v>
      </c>
      <c r="Q3180">
        <v>0.20166770000000001</v>
      </c>
      <c r="R3180">
        <v>-0.97770190000000001</v>
      </c>
      <c r="S3180">
        <v>-0.16899110000000001</v>
      </c>
      <c r="T3180">
        <v>-9.1234209999999996E-2</v>
      </c>
      <c r="U3180">
        <v>-3.0741580000000002</v>
      </c>
      <c r="V3180">
        <v>0.21586179999999999</v>
      </c>
      <c r="W3180">
        <v>0.21119560000000001</v>
      </c>
      <c r="X3180">
        <v>0.95331010000000005</v>
      </c>
      <c r="Y3180">
        <v>0.21242739999999999</v>
      </c>
      <c r="Z3180">
        <v>1.550054E-2</v>
      </c>
      <c r="AA3180">
        <v>0.97705390000000003</v>
      </c>
      <c r="AB3180">
        <v>27</v>
      </c>
      <c r="AC3180">
        <v>-2.1409999999999898</v>
      </c>
      <c r="AD3180">
        <v>-1.1154325538900001</v>
      </c>
      <c r="AE3180">
        <v>-37.052500000000002</v>
      </c>
      <c r="AF3180">
        <v>7.9810045771128797</v>
      </c>
      <c r="AG3180">
        <v>-1.1154325538900001</v>
      </c>
      <c r="AH3180">
        <v>36.211741065323402</v>
      </c>
      <c r="AI3180">
        <v>91.7230019469674</v>
      </c>
      <c r="AJ3180">
        <v>77.570818329317703</v>
      </c>
      <c r="AK3180">
        <v>37.097585026847803</v>
      </c>
      <c r="AL3180">
        <v>77.807573621106201</v>
      </c>
      <c r="AM3180">
        <v>77.241438547338504</v>
      </c>
      <c r="AN3180">
        <v>1.0000000224603001</v>
      </c>
    </row>
    <row r="3181" spans="1:40" x14ac:dyDescent="0.25">
      <c r="A3181" t="str">
        <f>"20190303162612873"</f>
        <v>20190303162612873</v>
      </c>
      <c r="B3181" t="str">
        <f>"1551601572866750"</f>
        <v>1551601572866750</v>
      </c>
      <c r="C3181" t="s">
        <v>40</v>
      </c>
      <c r="D3181">
        <v>4.660838</v>
      </c>
      <c r="E3181">
        <v>0.57182219999999995</v>
      </c>
      <c r="F3181" t="s">
        <v>47</v>
      </c>
      <c r="G3181">
        <v>-194.61600000000001</v>
      </c>
      <c r="H3181" s="1">
        <v>-7.4420479999999997E-6</v>
      </c>
      <c r="I3181">
        <v>135.6233</v>
      </c>
      <c r="J3181">
        <v>-186.05850000000001</v>
      </c>
      <c r="K3181">
        <v>1.1154170000000001</v>
      </c>
      <c r="L3181">
        <v>190.77359999999999</v>
      </c>
      <c r="M3181">
        <v>0.150286</v>
      </c>
      <c r="N3181">
        <v>-1.319624E-2</v>
      </c>
      <c r="O3181">
        <v>-0.9885545</v>
      </c>
      <c r="P3181">
        <v>-7.1559880000000006E-2</v>
      </c>
      <c r="Q3181">
        <v>0.2042157</v>
      </c>
      <c r="R3181">
        <v>-0.97630709999999998</v>
      </c>
      <c r="S3181">
        <v>-0.46942139999999999</v>
      </c>
      <c r="T3181">
        <v>-6.1439510000000003E-2</v>
      </c>
      <c r="U3181">
        <v>-3.052994</v>
      </c>
      <c r="V3181">
        <v>0.22056809999999999</v>
      </c>
      <c r="W3181">
        <v>0.21365580000000001</v>
      </c>
      <c r="X3181">
        <v>0.95168319999999995</v>
      </c>
      <c r="Y3181">
        <v>0.29873060000000001</v>
      </c>
      <c r="Z3181">
        <v>5.8553850000000003E-3</v>
      </c>
      <c r="AA3181">
        <v>0.95431949999999999</v>
      </c>
      <c r="AB3181">
        <v>27</v>
      </c>
      <c r="AC3181">
        <v>-8.5574999999999708</v>
      </c>
      <c r="AD3181">
        <v>-1.115424442048</v>
      </c>
      <c r="AE3181">
        <v>-55.150299999999902</v>
      </c>
      <c r="AF3181">
        <v>16.742643680055799</v>
      </c>
      <c r="AG3181">
        <v>-1.115424442048</v>
      </c>
      <c r="AH3181">
        <v>53.216383057238097</v>
      </c>
      <c r="AI3181">
        <v>91.145418606588294</v>
      </c>
      <c r="AJ3181">
        <v>72.535670644590496</v>
      </c>
      <c r="AK3181">
        <v>55.799137222522802</v>
      </c>
      <c r="AL3181">
        <v>77.663322012335001</v>
      </c>
      <c r="AM3181">
        <v>76.951155358455395</v>
      </c>
      <c r="AN3181">
        <v>1.00000000038674</v>
      </c>
    </row>
    <row r="3182" spans="1:40" x14ac:dyDescent="0.25">
      <c r="A3182" t="str">
        <f>"20190303162612897"</f>
        <v>20190303162612897</v>
      </c>
      <c r="B3182" t="str">
        <f>"1551601572886271"</f>
        <v>1551601572886271</v>
      </c>
      <c r="C3182" t="s">
        <v>40</v>
      </c>
      <c r="D3182">
        <v>4.7678200000000004</v>
      </c>
      <c r="E3182">
        <v>0.57617289999999999</v>
      </c>
      <c r="F3182" t="s">
        <v>47</v>
      </c>
      <c r="G3182">
        <v>-194.3991</v>
      </c>
      <c r="H3182" s="1">
        <v>-1.47056E-5</v>
      </c>
      <c r="I3182">
        <v>158.53569999999999</v>
      </c>
      <c r="J3182">
        <v>-186.02459999999999</v>
      </c>
      <c r="K3182">
        <v>1.1154329999999999</v>
      </c>
      <c r="L3182">
        <v>190.48759999999999</v>
      </c>
      <c r="M3182">
        <v>0.1417571</v>
      </c>
      <c r="N3182">
        <v>-1.3204509999999999E-2</v>
      </c>
      <c r="O3182">
        <v>-0.98981330000000001</v>
      </c>
      <c r="P3182">
        <v>-8.4278259999999994E-2</v>
      </c>
      <c r="Q3182">
        <v>0.20573150000000001</v>
      </c>
      <c r="R3182">
        <v>-0.97497250000000002</v>
      </c>
      <c r="S3182">
        <v>-0.78578190000000003</v>
      </c>
      <c r="T3182">
        <v>-0.10508670000000001</v>
      </c>
      <c r="U3182">
        <v>-3.0371860000000002</v>
      </c>
      <c r="V3182">
        <v>0.22475200000000001</v>
      </c>
      <c r="W3182">
        <v>0.21510290000000001</v>
      </c>
      <c r="X3182">
        <v>0.95037749999999999</v>
      </c>
      <c r="Y3182">
        <v>0.38502960000000003</v>
      </c>
      <c r="Z3182">
        <v>1.8748879999999999E-2</v>
      </c>
      <c r="AA3182">
        <v>0.92271380000000003</v>
      </c>
      <c r="AB3182">
        <v>27</v>
      </c>
      <c r="AC3182">
        <v>-8.37450000000001</v>
      </c>
      <c r="AD3182">
        <v>-1.1154477055999901</v>
      </c>
      <c r="AE3182">
        <v>-31.951899999999899</v>
      </c>
      <c r="AF3182">
        <v>12.805116334235899</v>
      </c>
      <c r="AG3182">
        <v>-1.1154477055999901</v>
      </c>
      <c r="AH3182">
        <v>30.407251808996602</v>
      </c>
      <c r="AI3182">
        <v>91.936323389392399</v>
      </c>
      <c r="AJ3182">
        <v>67.163044103929906</v>
      </c>
      <c r="AK3182">
        <v>33.0123642063541</v>
      </c>
      <c r="AL3182">
        <v>77.578436414539894</v>
      </c>
      <c r="AM3182">
        <v>76.694731281903501</v>
      </c>
      <c r="AN3182">
        <v>1.0000000557993201</v>
      </c>
    </row>
    <row r="3183" spans="1:40" x14ac:dyDescent="0.25">
      <c r="A3183" t="str">
        <f>"20190303162612916"</f>
        <v>20190303162612916</v>
      </c>
      <c r="B3183" t="str">
        <f>"1551601572906768"</f>
        <v>1551601572906768</v>
      </c>
      <c r="C3183" t="s">
        <v>40</v>
      </c>
      <c r="D3183">
        <v>4.4843929999999999</v>
      </c>
      <c r="E3183">
        <v>0.5813893</v>
      </c>
      <c r="F3183" t="s">
        <v>41</v>
      </c>
      <c r="G3183">
        <v>-192.4853</v>
      </c>
      <c r="H3183" s="1">
        <v>-4.4573350000000004E-6</v>
      </c>
      <c r="I3183">
        <v>167.74529999999999</v>
      </c>
      <c r="J3183">
        <v>-185.99780000000001</v>
      </c>
      <c r="K3183">
        <v>1.1154539999999999</v>
      </c>
      <c r="L3183">
        <v>190.245</v>
      </c>
      <c r="M3183">
        <v>0.13455029999999901</v>
      </c>
      <c r="N3183">
        <v>-1.3208910000000001E-2</v>
      </c>
      <c r="O3183">
        <v>-0.99081889999999995</v>
      </c>
      <c r="P3183">
        <v>-9.3670059999999999E-2</v>
      </c>
      <c r="Q3183">
        <v>0.2065254</v>
      </c>
      <c r="R3183">
        <v>-0.97394749999999997</v>
      </c>
      <c r="S3183">
        <v>-0.86187739999999902</v>
      </c>
      <c r="T3183">
        <v>-0.14880370000000001</v>
      </c>
      <c r="U3183">
        <v>-3.0339200000000002</v>
      </c>
      <c r="V3183">
        <v>0.2269785</v>
      </c>
      <c r="W3183">
        <v>0.21587120000000001</v>
      </c>
      <c r="X3183">
        <v>0.94967380000000001</v>
      </c>
      <c r="Y3183">
        <v>0.39991979999999999</v>
      </c>
      <c r="Z3183">
        <v>3.1927469999999999E-2</v>
      </c>
      <c r="AA3183">
        <v>0.91599390000000003</v>
      </c>
      <c r="AB3183">
        <v>27</v>
      </c>
      <c r="AC3183">
        <v>-6.4874999999999803</v>
      </c>
      <c r="AD3183">
        <v>-1.1154584573349999</v>
      </c>
      <c r="AE3183">
        <v>-22.499700000000001</v>
      </c>
      <c r="AF3183">
        <v>9.4346932618229609</v>
      </c>
      <c r="AG3183">
        <v>-1.1154584573349999</v>
      </c>
      <c r="AH3183">
        <v>21.373597473860801</v>
      </c>
      <c r="AI3183">
        <v>92.733455799386505</v>
      </c>
      <c r="AJ3183">
        <v>66.182467700855895</v>
      </c>
      <c r="AK3183">
        <v>23.3899199119911</v>
      </c>
      <c r="AL3183">
        <v>77.533355922814593</v>
      </c>
      <c r="AM3183">
        <v>76.558085495368701</v>
      </c>
      <c r="AN3183">
        <v>0.99999997042906397</v>
      </c>
    </row>
    <row r="3184" spans="1:40" x14ac:dyDescent="0.25">
      <c r="A3184" t="str">
        <f>"20190303162612938"</f>
        <v>20190303162612938</v>
      </c>
      <c r="B3184" t="str">
        <f>"1551601572926288"</f>
        <v>1551601572926288</v>
      </c>
      <c r="C3184" t="s">
        <v>40</v>
      </c>
      <c r="D3184">
        <v>4.5446309999999999</v>
      </c>
      <c r="E3184">
        <v>0.583677</v>
      </c>
      <c r="F3184" t="s">
        <v>41</v>
      </c>
      <c r="G3184">
        <v>-193.83170000000001</v>
      </c>
      <c r="H3184" s="1">
        <v>-3.544482E-6</v>
      </c>
      <c r="I3184">
        <v>164.9331</v>
      </c>
      <c r="J3184">
        <v>-185.9716</v>
      </c>
      <c r="K3184">
        <v>1.115486</v>
      </c>
      <c r="L3184">
        <v>189.9913</v>
      </c>
      <c r="M3184">
        <v>0.12707979999999999</v>
      </c>
      <c r="N3184">
        <v>-1.321027E-2</v>
      </c>
      <c r="O3184">
        <v>-0.99180480000000004</v>
      </c>
      <c r="P3184">
        <v>-0.10442709999999999</v>
      </c>
      <c r="Q3184">
        <v>0.20739479999999999</v>
      </c>
      <c r="R3184">
        <v>-0.97266819999999998</v>
      </c>
      <c r="S3184">
        <v>-0.93424989999999997</v>
      </c>
      <c r="T3184">
        <v>-0.13302659999999999</v>
      </c>
      <c r="U3184">
        <v>-3.0186310000000001</v>
      </c>
      <c r="V3184">
        <v>0.23028940000000001</v>
      </c>
      <c r="W3184">
        <v>0.21670690000000001</v>
      </c>
      <c r="X3184">
        <v>0.94868589999999997</v>
      </c>
      <c r="Y3184">
        <v>0.41440769999999999</v>
      </c>
      <c r="Z3184">
        <v>2.710183E-2</v>
      </c>
      <c r="AA3184">
        <v>0.90968780000000005</v>
      </c>
      <c r="AB3184">
        <v>27</v>
      </c>
      <c r="AC3184">
        <v>-7.8601000000000099</v>
      </c>
      <c r="AD3184">
        <v>-1.1154895444820001</v>
      </c>
      <c r="AE3184">
        <v>-25.058199999999999</v>
      </c>
      <c r="AF3184">
        <v>10.9612553215871</v>
      </c>
      <c r="AG3184">
        <v>-1.1154895444820001</v>
      </c>
      <c r="AH3184">
        <v>23.8130956794834</v>
      </c>
      <c r="AI3184">
        <v>92.436579855865901</v>
      </c>
      <c r="AJ3184">
        <v>65.283211097577706</v>
      </c>
      <c r="AK3184">
        <v>26.2384633884895</v>
      </c>
      <c r="AL3184">
        <v>77.484313494908207</v>
      </c>
      <c r="AM3184">
        <v>76.355611907041606</v>
      </c>
      <c r="AN3184">
        <v>1.00000001255939</v>
      </c>
    </row>
    <row r="3185" spans="1:40" x14ac:dyDescent="0.25">
      <c r="A3185" t="str">
        <f>"20190303162612960"</f>
        <v>20190303162612960</v>
      </c>
      <c r="B3185" t="str">
        <f>"1551601572946783"</f>
        <v>1551601572946783</v>
      </c>
      <c r="C3185" t="s">
        <v>40</v>
      </c>
      <c r="D3185">
        <v>4.5262060000000002</v>
      </c>
      <c r="E3185">
        <v>0.58594829999999998</v>
      </c>
      <c r="F3185" t="s">
        <v>41</v>
      </c>
      <c r="G3185">
        <v>-194.07169999999999</v>
      </c>
      <c r="H3185" s="1">
        <v>-3.7461399999999998E-6</v>
      </c>
      <c r="I3185">
        <v>165.22460000000001</v>
      </c>
      <c r="J3185">
        <v>-185.94579999999999</v>
      </c>
      <c r="K3185">
        <v>1.1155469999999901</v>
      </c>
      <c r="L3185">
        <v>189.72040000000001</v>
      </c>
      <c r="M3185">
        <v>0.11922199999999999</v>
      </c>
      <c r="N3185">
        <v>-1.320723E-2</v>
      </c>
      <c r="O3185">
        <v>-0.99277990000000005</v>
      </c>
      <c r="P3185">
        <v>-0.11639239999999999</v>
      </c>
      <c r="Q3185">
        <v>0.2064126</v>
      </c>
      <c r="R3185">
        <v>-0.9715182</v>
      </c>
      <c r="S3185">
        <v>-0.98364260000000003</v>
      </c>
      <c r="T3185">
        <v>-0.1354609</v>
      </c>
      <c r="U3185">
        <v>-3.007568</v>
      </c>
      <c r="V3185">
        <v>0.23443249999999999</v>
      </c>
      <c r="W3185">
        <v>0.2156989</v>
      </c>
      <c r="X3185">
        <v>0.94790050000000003</v>
      </c>
      <c r="Y3185">
        <v>0.42168230000000001</v>
      </c>
      <c r="Z3185">
        <v>2.7884630000000001E-2</v>
      </c>
      <c r="AA3185">
        <v>0.90631479999999998</v>
      </c>
      <c r="AB3185">
        <v>27</v>
      </c>
      <c r="AC3185">
        <v>-8.1258999999999997</v>
      </c>
      <c r="AD3185">
        <v>-1.1155507461399901</v>
      </c>
      <c r="AE3185">
        <v>-24.495799999999999</v>
      </c>
      <c r="AF3185">
        <v>10.9681333243702</v>
      </c>
      <c r="AG3185">
        <v>-1.1155507461399901</v>
      </c>
      <c r="AH3185">
        <v>23.308637256280299</v>
      </c>
      <c r="AI3185">
        <v>92.479647582287299</v>
      </c>
      <c r="AJ3185">
        <v>64.800158610065594</v>
      </c>
      <c r="AK3185">
        <v>25.784432761517799</v>
      </c>
      <c r="AL3185">
        <v>77.543466361535295</v>
      </c>
      <c r="AM3185">
        <v>76.108495849624305</v>
      </c>
      <c r="AN3185">
        <v>0.99999998520885403</v>
      </c>
    </row>
    <row r="3186" spans="1:40" x14ac:dyDescent="0.25">
      <c r="A3186" t="str">
        <f>"20190303162612983"</f>
        <v>20190303162612983</v>
      </c>
      <c r="B3186" t="str">
        <f>"1551601572977039"</f>
        <v>1551601572977039</v>
      </c>
      <c r="C3186" t="s">
        <v>40</v>
      </c>
      <c r="D3186">
        <v>4.5478990000000001</v>
      </c>
      <c r="E3186">
        <v>0.58757839999999995</v>
      </c>
      <c r="F3186" t="s">
        <v>41</v>
      </c>
      <c r="G3186">
        <v>-194.37520000000001</v>
      </c>
      <c r="H3186" s="1">
        <v>-3.8633580000000003E-6</v>
      </c>
      <c r="I3186">
        <v>165.32550000000001</v>
      </c>
      <c r="J3186">
        <v>-185.9211</v>
      </c>
      <c r="K3186">
        <v>1.11565</v>
      </c>
      <c r="L3186">
        <v>189.43819999999999</v>
      </c>
      <c r="M3186">
        <v>0.1112081</v>
      </c>
      <c r="N3186">
        <v>-1.319918E-2</v>
      </c>
      <c r="O3186">
        <v>-0.99370959999999997</v>
      </c>
      <c r="P3186">
        <v>-0.12772139999999901</v>
      </c>
      <c r="Q3186">
        <v>0.204876</v>
      </c>
      <c r="R3186">
        <v>-0.97041960000000005</v>
      </c>
      <c r="S3186">
        <v>-1.034241</v>
      </c>
      <c r="T3186">
        <v>-0.13687299999999999</v>
      </c>
      <c r="U3186">
        <v>-2.993134</v>
      </c>
      <c r="V3186">
        <v>0.23780560000000001</v>
      </c>
      <c r="W3186">
        <v>0.21417050000000001</v>
      </c>
      <c r="X3186">
        <v>0.94740670000000005</v>
      </c>
      <c r="Y3186">
        <v>0.42939129999999998</v>
      </c>
      <c r="Z3186">
        <v>2.8390769999999999E-2</v>
      </c>
      <c r="AA3186">
        <v>0.90267220000000004</v>
      </c>
      <c r="AB3186">
        <v>27</v>
      </c>
      <c r="AC3186">
        <v>-8.4541000000000093</v>
      </c>
      <c r="AD3186">
        <v>-1.115653863358</v>
      </c>
      <c r="AE3186">
        <v>-24.112699999999901</v>
      </c>
      <c r="AF3186">
        <v>11.0623228045758</v>
      </c>
      <c r="AG3186">
        <v>-1.115653863358</v>
      </c>
      <c r="AH3186">
        <v>22.979052542689701</v>
      </c>
      <c r="AI3186">
        <v>92.504846295426603</v>
      </c>
      <c r="AJ3186">
        <v>64.293417441245495</v>
      </c>
      <c r="AK3186">
        <v>25.527564026658698</v>
      </c>
      <c r="AL3186">
        <v>77.633132835846695</v>
      </c>
      <c r="AM3186">
        <v>75.909472954160506</v>
      </c>
      <c r="AN3186">
        <v>0.99999998083324904</v>
      </c>
    </row>
    <row r="3187" spans="1:40" x14ac:dyDescent="0.25">
      <c r="A3187" t="str">
        <f>"20190303162613017"</f>
        <v>20190303162613017</v>
      </c>
      <c r="B3187" t="str">
        <f>"1551601573006319"</f>
        <v>1551601573006319</v>
      </c>
      <c r="C3187" t="s">
        <v>40</v>
      </c>
      <c r="D3187">
        <v>4.5667910000000003</v>
      </c>
      <c r="E3187">
        <v>0.58814409999999995</v>
      </c>
      <c r="F3187" t="s">
        <v>41</v>
      </c>
      <c r="G3187">
        <v>-194.83250000000001</v>
      </c>
      <c r="H3187" s="1">
        <v>-3.7776979999999998E-6</v>
      </c>
      <c r="I3187">
        <v>164.8912</v>
      </c>
      <c r="J3187">
        <v>-185.88939999999999</v>
      </c>
      <c r="K3187">
        <v>1.1158399999999999</v>
      </c>
      <c r="L3187">
        <v>189.0385</v>
      </c>
      <c r="M3187">
        <v>0.1001394</v>
      </c>
      <c r="N3187">
        <v>-1.3183749999999999E-2</v>
      </c>
      <c r="O3187">
        <v>-0.99488620000000005</v>
      </c>
      <c r="P3187">
        <v>-0.14176839999999999</v>
      </c>
      <c r="Q3187">
        <v>0.20398669999999999</v>
      </c>
      <c r="R3187">
        <v>-0.96865469999999998</v>
      </c>
      <c r="S3187">
        <v>-1.081024</v>
      </c>
      <c r="T3187">
        <v>-0.13533829999999999</v>
      </c>
      <c r="U3187">
        <v>-2.9777529999999999</v>
      </c>
      <c r="V3187">
        <v>0.24089840000000001</v>
      </c>
      <c r="W3187">
        <v>0.2133302</v>
      </c>
      <c r="X3187">
        <v>0.94681479999999996</v>
      </c>
      <c r="Y3187">
        <v>0.43336970000000002</v>
      </c>
      <c r="Z3187">
        <v>2.8084689999999999E-2</v>
      </c>
      <c r="AA3187">
        <v>0.90077850000000004</v>
      </c>
      <c r="AB3187">
        <v>27</v>
      </c>
      <c r="AC3187">
        <v>-8.94310000000001</v>
      </c>
      <c r="AD3187">
        <v>-1.1158437776979999</v>
      </c>
      <c r="AE3187">
        <v>-24.147300000000001</v>
      </c>
      <c r="AF3187">
        <v>11.295234871910401</v>
      </c>
      <c r="AG3187">
        <v>-1.1158437776979999</v>
      </c>
      <c r="AH3187">
        <v>23.086913740044</v>
      </c>
      <c r="AI3187">
        <v>92.4859253249261</v>
      </c>
      <c r="AJ3187">
        <v>63.929883611959298</v>
      </c>
      <c r="AK3187">
        <v>25.726115606287799</v>
      </c>
      <c r="AL3187">
        <v>77.682418267321495</v>
      </c>
      <c r="AM3187">
        <v>75.725099319307404</v>
      </c>
      <c r="AN3187">
        <v>1.00000003942681</v>
      </c>
    </row>
    <row r="3188" spans="1:40" x14ac:dyDescent="0.25">
      <c r="A3188" t="str">
        <f>"20190303162613037"</f>
        <v>20190303162613037</v>
      </c>
      <c r="B3188" t="str">
        <f>"1551601573026815"</f>
        <v>1551601573026815</v>
      </c>
      <c r="C3188" t="s">
        <v>40</v>
      </c>
      <c r="D3188">
        <v>4.5750510000000002</v>
      </c>
      <c r="E3188">
        <v>0.58797869999999997</v>
      </c>
      <c r="F3188" t="s">
        <v>41</v>
      </c>
      <c r="G3188">
        <v>-195.24250000000001</v>
      </c>
      <c r="H3188" s="1">
        <v>-3.694902E-6</v>
      </c>
      <c r="I3188">
        <v>164.4862</v>
      </c>
      <c r="J3188">
        <v>-185.8716</v>
      </c>
      <c r="K3188">
        <v>1.1159859999999999</v>
      </c>
      <c r="L3188">
        <v>188.78700000000001</v>
      </c>
      <c r="M3188">
        <v>9.3442280000000003E-2</v>
      </c>
      <c r="N3188">
        <v>-1.317105E-2</v>
      </c>
      <c r="O3188">
        <v>-0.99553760000000002</v>
      </c>
      <c r="P3188">
        <v>-0.151527</v>
      </c>
      <c r="Q3188">
        <v>0.2023691</v>
      </c>
      <c r="R3188">
        <v>-0.96751560000000003</v>
      </c>
      <c r="S3188">
        <v>-1.1277469999999901</v>
      </c>
      <c r="T3188">
        <v>-0.13454289999999999</v>
      </c>
      <c r="U3188">
        <v>-2.960388</v>
      </c>
      <c r="V3188">
        <v>0.24401200000000001</v>
      </c>
      <c r="W3188">
        <v>0.21174319999999999</v>
      </c>
      <c r="X3188">
        <v>0.94637360000000004</v>
      </c>
      <c r="Y3188">
        <v>0.44146079999999999</v>
      </c>
      <c r="Z3188">
        <v>2.7933280000000001E-2</v>
      </c>
      <c r="AA3188">
        <v>0.89684560000000002</v>
      </c>
      <c r="AB3188">
        <v>27</v>
      </c>
      <c r="AC3188">
        <v>-9.3709000000000007</v>
      </c>
      <c r="AD3188">
        <v>-1.1159896949020001</v>
      </c>
      <c r="AE3188">
        <v>-24.300799999999999</v>
      </c>
      <c r="AF3188">
        <v>11.5795514594908</v>
      </c>
      <c r="AG3188">
        <v>-1.1159896949020001</v>
      </c>
      <c r="AH3188">
        <v>23.276009376969601</v>
      </c>
      <c r="AI3188">
        <v>92.458036543533893</v>
      </c>
      <c r="AJ3188">
        <v>63.5501742948274</v>
      </c>
      <c r="AK3188">
        <v>26.021223213348399</v>
      </c>
      <c r="AL3188">
        <v>77.775472378131596</v>
      </c>
      <c r="AM3188">
        <v>75.541822186751602</v>
      </c>
      <c r="AN3188">
        <v>1.0000000148335999</v>
      </c>
    </row>
    <row r="3189" spans="1:40" x14ac:dyDescent="0.25">
      <c r="A3189" t="str">
        <f>"20190303162613063"</f>
        <v>20190303162613063</v>
      </c>
      <c r="B3189" t="str">
        <f>"1551601573057071"</f>
        <v>1551601573057071</v>
      </c>
      <c r="C3189" t="s">
        <v>40</v>
      </c>
      <c r="D3189">
        <v>4.5725930000000004</v>
      </c>
      <c r="E3189">
        <v>0.58864059999999996</v>
      </c>
      <c r="F3189" t="s">
        <v>41</v>
      </c>
      <c r="G3189">
        <v>-195.11949999999999</v>
      </c>
      <c r="H3189" s="1">
        <v>-3.9277310000000003E-6</v>
      </c>
      <c r="I3189">
        <v>165.14930000000001</v>
      </c>
      <c r="J3189">
        <v>-185.85169999999999</v>
      </c>
      <c r="K3189">
        <v>1.116249</v>
      </c>
      <c r="L3189">
        <v>188.47819999999999</v>
      </c>
      <c r="M3189">
        <v>8.5675570000000006E-2</v>
      </c>
      <c r="N3189">
        <v>-1.3146949999999999E-2</v>
      </c>
      <c r="O3189">
        <v>-0.99623640000000002</v>
      </c>
      <c r="P3189">
        <v>-0.16210629999999901</v>
      </c>
      <c r="Q3189">
        <v>0.19991529999999999</v>
      </c>
      <c r="R3189">
        <v>-0.96631009999999995</v>
      </c>
      <c r="S3189">
        <v>-1.153824</v>
      </c>
      <c r="T3189">
        <v>-0.13923650000000001</v>
      </c>
      <c r="U3189">
        <v>-2.9491580000000002</v>
      </c>
      <c r="V3189">
        <v>0.24687190000000001</v>
      </c>
      <c r="W3189">
        <v>0.20938490000000001</v>
      </c>
      <c r="X3189">
        <v>0.94615660000000001</v>
      </c>
      <c r="Y3189">
        <v>0.44247619999999999</v>
      </c>
      <c r="Z3189">
        <v>2.9533730000000001E-2</v>
      </c>
      <c r="AA3189">
        <v>0.89629380000000003</v>
      </c>
      <c r="AB3189">
        <v>27</v>
      </c>
      <c r="AC3189">
        <v>-9.2677999999999905</v>
      </c>
      <c r="AD3189">
        <v>-1.116252927731</v>
      </c>
      <c r="AE3189">
        <v>-23.328899999999901</v>
      </c>
      <c r="AF3189">
        <v>11.210439109742801</v>
      </c>
      <c r="AG3189">
        <v>-1.116252927731</v>
      </c>
      <c r="AH3189">
        <v>22.404711067880498</v>
      </c>
      <c r="AI3189">
        <v>92.551179719998302</v>
      </c>
      <c r="AJ3189">
        <v>63.418413445871501</v>
      </c>
      <c r="AK3189">
        <v>25.077700127147398</v>
      </c>
      <c r="AL3189">
        <v>77.913692251259803</v>
      </c>
      <c r="AM3189">
        <v>75.376379649624994</v>
      </c>
      <c r="AN3189">
        <v>1.0000000415405801</v>
      </c>
    </row>
    <row r="3190" spans="1:40" x14ac:dyDescent="0.25">
      <c r="A3190" t="str">
        <f>"20190303162613085"</f>
        <v>20190303162613085</v>
      </c>
      <c r="B3190" t="str">
        <f>"1551601573076591"</f>
        <v>1551601573076591</v>
      </c>
      <c r="C3190" t="s">
        <v>40</v>
      </c>
      <c r="D3190">
        <v>4.5622879999999997</v>
      </c>
      <c r="E3190">
        <v>0.58964510000000003</v>
      </c>
      <c r="F3190" t="s">
        <v>41</v>
      </c>
      <c r="G3190">
        <v>-195.27099999999999</v>
      </c>
      <c r="H3190" s="1">
        <v>-3.9942870000000003E-6</v>
      </c>
      <c r="I3190">
        <v>165.2527</v>
      </c>
      <c r="J3190">
        <v>-185.83629999999999</v>
      </c>
      <c r="K3190">
        <v>1.1165240000000001</v>
      </c>
      <c r="L3190">
        <v>188.2166</v>
      </c>
      <c r="M3190">
        <v>7.9483410000000004E-2</v>
      </c>
      <c r="N3190">
        <v>-1.3120700000000001E-2</v>
      </c>
      <c r="O3190">
        <v>-0.99674989999999997</v>
      </c>
      <c r="P3190">
        <v>-0.16911399999999999</v>
      </c>
      <c r="Q3190">
        <v>0.1996946</v>
      </c>
      <c r="R3190">
        <v>-0.96515430000000002</v>
      </c>
      <c r="S3190">
        <v>-1.189972</v>
      </c>
      <c r="T3190">
        <v>-0.14102020000000001</v>
      </c>
      <c r="U3190">
        <v>-2.934158</v>
      </c>
      <c r="V3190">
        <v>0.24771940000000001</v>
      </c>
      <c r="W3190">
        <v>0.20929310000000001</v>
      </c>
      <c r="X3190">
        <v>0.94595530000000005</v>
      </c>
      <c r="Y3190">
        <v>0.44796170000000002</v>
      </c>
      <c r="Z3190">
        <v>3.0201189999999999E-2</v>
      </c>
      <c r="AA3190">
        <v>0.89354249999999902</v>
      </c>
      <c r="AB3190">
        <v>27</v>
      </c>
      <c r="AC3190">
        <v>-9.4346999999999905</v>
      </c>
      <c r="AD3190">
        <v>-1.1165279942869999</v>
      </c>
      <c r="AE3190">
        <v>-22.963899999999899</v>
      </c>
      <c r="AF3190">
        <v>11.207582944691501</v>
      </c>
      <c r="AG3190">
        <v>-1.1165279942869999</v>
      </c>
      <c r="AH3190">
        <v>22.0965749897079</v>
      </c>
      <c r="AI3190">
        <v>92.580244327777507</v>
      </c>
      <c r="AJ3190">
        <v>63.105463782498703</v>
      </c>
      <c r="AK3190">
        <v>24.801515608929002</v>
      </c>
      <c r="AL3190">
        <v>77.919070260255694</v>
      </c>
      <c r="AM3190">
        <v>75.3253525233186</v>
      </c>
      <c r="AN3190">
        <v>0.99999996622102905</v>
      </c>
    </row>
    <row r="3191" spans="1:40" x14ac:dyDescent="0.25">
      <c r="A3191" t="str">
        <f>"20190303162613107"</f>
        <v>20190303162613107</v>
      </c>
      <c r="B3191" t="str">
        <f>"1551601573097086"</f>
        <v>1551601573097086</v>
      </c>
      <c r="C3191" t="s">
        <v>40</v>
      </c>
      <c r="D3191">
        <v>4.5428220000000001</v>
      </c>
      <c r="E3191">
        <v>0.59000430000000004</v>
      </c>
      <c r="F3191" t="s">
        <v>41</v>
      </c>
      <c r="G3191">
        <v>-195.65100000000001</v>
      </c>
      <c r="H3191" s="1">
        <v>-3.8543709999999997E-6</v>
      </c>
      <c r="I3191">
        <v>164.71279999999999</v>
      </c>
      <c r="J3191">
        <v>-185.8218</v>
      </c>
      <c r="K3191">
        <v>1.1168260000000001</v>
      </c>
      <c r="L3191">
        <v>187.95050000000001</v>
      </c>
      <c r="M3191">
        <v>7.3536909999999997E-2</v>
      </c>
      <c r="N3191">
        <v>-1.309281E-2</v>
      </c>
      <c r="O3191">
        <v>-0.9972065</v>
      </c>
      <c r="P3191">
        <v>-0.17590510000000001</v>
      </c>
      <c r="Q3191">
        <v>0.20279800000000001</v>
      </c>
      <c r="R3191">
        <v>-0.96329149999999997</v>
      </c>
      <c r="S3191">
        <v>-1.2206570000000001</v>
      </c>
      <c r="T3191">
        <v>-0.13886279999999901</v>
      </c>
      <c r="U3191">
        <v>-2.9231720000000001</v>
      </c>
      <c r="V3191">
        <v>0.24857409999999999</v>
      </c>
      <c r="W3191">
        <v>0.21252650000000001</v>
      </c>
      <c r="X3191">
        <v>0.94500980000000001</v>
      </c>
      <c r="Y3191">
        <v>0.45181929999999998</v>
      </c>
      <c r="Z3191">
        <v>2.9628689999999999E-2</v>
      </c>
      <c r="AA3191">
        <v>0.8916174</v>
      </c>
      <c r="AB3191">
        <v>27</v>
      </c>
      <c r="AC3191">
        <v>-9.8291999999999806</v>
      </c>
      <c r="AD3191">
        <v>-1.116829854371</v>
      </c>
      <c r="AE3191">
        <v>-23.2377</v>
      </c>
      <c r="AF3191">
        <v>11.4890473642212</v>
      </c>
      <c r="AG3191">
        <v>-1.116829854371</v>
      </c>
      <c r="AH3191">
        <v>22.4079976628983</v>
      </c>
      <c r="AI3191">
        <v>92.539455379723094</v>
      </c>
      <c r="AJ3191">
        <v>62.854840220781497</v>
      </c>
      <c r="AK3191">
        <v>25.206425322155301</v>
      </c>
      <c r="AL3191">
        <v>77.729547911857196</v>
      </c>
      <c r="AM3191">
        <v>75.262827184921704</v>
      </c>
      <c r="AN3191">
        <v>1.0000000592445399</v>
      </c>
    </row>
    <row r="3192" spans="1:40" x14ac:dyDescent="0.25">
      <c r="A3192" t="str">
        <f>"20190303162613128"</f>
        <v>20190303162613128</v>
      </c>
      <c r="B3192" t="str">
        <f>"1551601573116607"</f>
        <v>1551601573116607</v>
      </c>
      <c r="C3192" t="s">
        <v>40</v>
      </c>
      <c r="D3192">
        <v>4.4982249999999997</v>
      </c>
      <c r="E3192">
        <v>0.59038669999999904</v>
      </c>
      <c r="F3192" t="s">
        <v>41</v>
      </c>
      <c r="G3192">
        <v>-196.3655</v>
      </c>
      <c r="H3192" s="1">
        <v>-3.4141820000000002E-6</v>
      </c>
      <c r="I3192">
        <v>163.23650000000001</v>
      </c>
      <c r="J3192">
        <v>-185.80940000000001</v>
      </c>
      <c r="K3192">
        <v>1.1171230000000001</v>
      </c>
      <c r="L3192">
        <v>187.70419999999999</v>
      </c>
      <c r="M3192">
        <v>6.840106E-2</v>
      </c>
      <c r="N3192">
        <v>-1.3067509999999999E-2</v>
      </c>
      <c r="O3192">
        <v>-0.99757240000000003</v>
      </c>
      <c r="P3192">
        <v>-0.18226500000000001</v>
      </c>
      <c r="Q3192">
        <v>0.20359279999999999</v>
      </c>
      <c r="R3192">
        <v>-0.96194080000000004</v>
      </c>
      <c r="S3192">
        <v>-1.243622</v>
      </c>
      <c r="T3192">
        <v>-0.1317284</v>
      </c>
      <c r="U3192">
        <v>-2.9149780000000001</v>
      </c>
      <c r="V3192">
        <v>0.24980369999999999</v>
      </c>
      <c r="W3192">
        <v>0.213448</v>
      </c>
      <c r="X3192">
        <v>0.94447769999999998</v>
      </c>
      <c r="Y3192">
        <v>0.45410529999999999</v>
      </c>
      <c r="Z3192">
        <v>2.750731E-2</v>
      </c>
      <c r="AA3192">
        <v>0.89052330000000002</v>
      </c>
      <c r="AB3192">
        <v>27</v>
      </c>
      <c r="AC3192">
        <v>-10.556099999999899</v>
      </c>
      <c r="AD3192">
        <v>-1.1171264141820001</v>
      </c>
      <c r="AE3192">
        <v>-24.467699999999901</v>
      </c>
      <c r="AF3192">
        <v>12.1837193842051</v>
      </c>
      <c r="AG3192">
        <v>-1.1171264141820001</v>
      </c>
      <c r="AH3192">
        <v>23.646716347317099</v>
      </c>
      <c r="AI3192">
        <v>92.404765810160896</v>
      </c>
      <c r="AJ3192">
        <v>62.740693457909003</v>
      </c>
      <c r="AK3192">
        <v>26.6243907623967</v>
      </c>
      <c r="AL3192">
        <v>77.675509602794904</v>
      </c>
      <c r="AM3192">
        <v>75.185148277268496</v>
      </c>
      <c r="AN3192">
        <v>1.00000003151748</v>
      </c>
    </row>
    <row r="3193" spans="1:40" x14ac:dyDescent="0.25">
      <c r="A3193" t="str">
        <f>"20190303162613151"</f>
        <v>20190303162613151</v>
      </c>
      <c r="B3193" t="str">
        <f>"1551601573146863"</f>
        <v>1551601573146863</v>
      </c>
      <c r="C3193" t="s">
        <v>40</v>
      </c>
      <c r="D3193">
        <v>4.5643120000000001</v>
      </c>
      <c r="E3193">
        <v>0.59106269999999905</v>
      </c>
      <c r="F3193" t="s">
        <v>41</v>
      </c>
      <c r="G3193">
        <v>-196.69659999999999</v>
      </c>
      <c r="H3193" s="1">
        <v>-3.2437829999999999E-6</v>
      </c>
      <c r="I3193">
        <v>162.68440000000001</v>
      </c>
      <c r="J3193">
        <v>-185.7963</v>
      </c>
      <c r="K3193">
        <v>1.117475</v>
      </c>
      <c r="L3193">
        <v>187.4221</v>
      </c>
      <c r="M3193">
        <v>6.3013570000000005E-2</v>
      </c>
      <c r="N3193">
        <v>-1.303726E-2</v>
      </c>
      <c r="O3193">
        <v>-0.99792749999999997</v>
      </c>
      <c r="P3193">
        <v>-0.18744810000000001</v>
      </c>
      <c r="Q3193">
        <v>0.20242979999999999</v>
      </c>
      <c r="R3193">
        <v>-0.96118979999999998</v>
      </c>
      <c r="S3193">
        <v>-1.2647550000000001</v>
      </c>
      <c r="T3193">
        <v>-0.12977549999999999</v>
      </c>
      <c r="U3193">
        <v>-2.9065249999999998</v>
      </c>
      <c r="V3193">
        <v>0.2496218</v>
      </c>
      <c r="W3193">
        <v>0.2124683</v>
      </c>
      <c r="X3193">
        <v>0.94474659999999999</v>
      </c>
      <c r="Y3193">
        <v>0.45569480000000001</v>
      </c>
      <c r="Z3193">
        <v>2.700348E-2</v>
      </c>
      <c r="AA3193">
        <v>0.88972640000000003</v>
      </c>
      <c r="AB3193">
        <v>27</v>
      </c>
      <c r="AC3193">
        <v>-10.9002999999999</v>
      </c>
      <c r="AD3193">
        <v>-1.117478243783</v>
      </c>
      <c r="AE3193">
        <v>-24.737699999999901</v>
      </c>
      <c r="AF3193">
        <v>12.416359756199199</v>
      </c>
      <c r="AG3193">
        <v>-1.117478243783</v>
      </c>
      <c r="AH3193">
        <v>23.960659917848499</v>
      </c>
      <c r="AI3193">
        <v>92.371181032508503</v>
      </c>
      <c r="AJ3193">
        <v>62.606911418110499</v>
      </c>
      <c r="AK3193">
        <v>27.009775469623701</v>
      </c>
      <c r="AL3193">
        <v>77.7329594743467</v>
      </c>
      <c r="AM3193">
        <v>75.199490861671606</v>
      </c>
      <c r="AN3193">
        <v>0.99999997987584399</v>
      </c>
    </row>
    <row r="3194" spans="1:40" x14ac:dyDescent="0.25">
      <c r="A3194" t="str">
        <f>"20190303162613184"</f>
        <v>20190303162613184</v>
      </c>
      <c r="B3194" t="str">
        <f>"1551601573177119"</f>
        <v>1551601573177119</v>
      </c>
      <c r="C3194" t="s">
        <v>40</v>
      </c>
      <c r="D3194">
        <v>4.8080309999999997</v>
      </c>
      <c r="E3194">
        <v>0.59092239999999996</v>
      </c>
      <c r="F3194" t="s">
        <v>41</v>
      </c>
      <c r="G3194">
        <v>-196.92619999999999</v>
      </c>
      <c r="H3194" s="1">
        <v>-3.1491259999999999E-6</v>
      </c>
      <c r="I3194">
        <v>162.35489999999999</v>
      </c>
      <c r="J3194">
        <v>-185.7792</v>
      </c>
      <c r="K3194">
        <v>1.117998</v>
      </c>
      <c r="L3194">
        <v>187.01949999999999</v>
      </c>
      <c r="M3194">
        <v>5.6295520000000002E-2</v>
      </c>
      <c r="N3194">
        <v>-1.299052E-2</v>
      </c>
      <c r="O3194">
        <v>-0.99832980000000004</v>
      </c>
      <c r="P3194">
        <v>-0.18949170000000001</v>
      </c>
      <c r="Q3194">
        <v>0.20346620000000001</v>
      </c>
      <c r="R3194">
        <v>-0.96057020000000004</v>
      </c>
      <c r="S3194">
        <v>-1.2864690000000001</v>
      </c>
      <c r="T3194">
        <v>-0.12916610000000001</v>
      </c>
      <c r="U3194">
        <v>-2.897446</v>
      </c>
      <c r="V3194">
        <v>0.244981</v>
      </c>
      <c r="W3194">
        <v>0.21382580000000001</v>
      </c>
      <c r="X3194">
        <v>0.94565469999999896</v>
      </c>
      <c r="Y3194">
        <v>0.45631070000000001</v>
      </c>
      <c r="Z3194">
        <v>2.6953890000000001E-2</v>
      </c>
      <c r="AA3194">
        <v>0.88941219999999999</v>
      </c>
      <c r="AB3194">
        <v>27</v>
      </c>
      <c r="AC3194">
        <v>-11.146999999999901</v>
      </c>
      <c r="AD3194">
        <v>-1.118001149126</v>
      </c>
      <c r="AE3194">
        <v>-24.6646</v>
      </c>
      <c r="AF3194">
        <v>12.4966217890662</v>
      </c>
      <c r="AG3194">
        <v>-1.118001149126</v>
      </c>
      <c r="AH3194">
        <v>23.957025609784701</v>
      </c>
      <c r="AI3194">
        <v>92.369325230542998</v>
      </c>
      <c r="AJ3194">
        <v>62.452256666499302</v>
      </c>
      <c r="AK3194">
        <v>27.0435677893338</v>
      </c>
      <c r="AL3194">
        <v>77.653351147717402</v>
      </c>
      <c r="AM3194">
        <v>75.476260511312404</v>
      </c>
      <c r="AN3194">
        <v>0.99999998736936402</v>
      </c>
    </row>
    <row r="3195" spans="1:40" x14ac:dyDescent="0.25">
      <c r="A3195" t="str">
        <f>"20190303162613206"</f>
        <v>20190303162613206</v>
      </c>
      <c r="B3195" t="str">
        <f>"1551601573196639"</f>
        <v>1551601573196639</v>
      </c>
      <c r="C3195" t="s">
        <v>40</v>
      </c>
      <c r="D3195">
        <v>4.6137350000000001</v>
      </c>
      <c r="E3195">
        <v>0.53330979999999995</v>
      </c>
      <c r="F3195" t="s">
        <v>41</v>
      </c>
      <c r="G3195">
        <v>-197.4513</v>
      </c>
      <c r="H3195" s="1">
        <v>-2.581241E-6</v>
      </c>
      <c r="I3195">
        <v>160.858</v>
      </c>
      <c r="J3195">
        <v>-185.76910000000001</v>
      </c>
      <c r="K3195">
        <v>1.118339</v>
      </c>
      <c r="L3195">
        <v>186.76220000000001</v>
      </c>
      <c r="M3195">
        <v>5.2565849999999997E-2</v>
      </c>
      <c r="N3195">
        <v>-1.296137E-2</v>
      </c>
      <c r="O3195">
        <v>-0.99853349999999996</v>
      </c>
      <c r="P3195">
        <v>-0.19080079999999999</v>
      </c>
      <c r="Q3195">
        <v>0.20444680000000001</v>
      </c>
      <c r="R3195">
        <v>-0.96010269999999998</v>
      </c>
      <c r="S3195">
        <v>-1.2914429999999999</v>
      </c>
      <c r="T3195">
        <v>-0.1236994</v>
      </c>
      <c r="U3195">
        <v>-2.8945919999999998</v>
      </c>
      <c r="V3195">
        <v>0.24255090000000001</v>
      </c>
      <c r="W3195">
        <v>0.21500050000000001</v>
      </c>
      <c r="X3195">
        <v>0.94601480000000004</v>
      </c>
      <c r="Y3195">
        <v>0.45461040000000003</v>
      </c>
      <c r="Z3195">
        <v>2.5350310000000001E-2</v>
      </c>
      <c r="AA3195">
        <v>0.89032960000000005</v>
      </c>
      <c r="AB3195">
        <v>27</v>
      </c>
      <c r="AC3195">
        <v>-11.6821999999999</v>
      </c>
      <c r="AD3195">
        <v>-1.118341581241</v>
      </c>
      <c r="AE3195">
        <v>-25.904199999999999</v>
      </c>
      <c r="AF3195">
        <v>13.0076898605382</v>
      </c>
      <c r="AG3195">
        <v>-1.118341581241</v>
      </c>
      <c r="AH3195">
        <v>25.215189916873801</v>
      </c>
      <c r="AI3195">
        <v>92.257214544847201</v>
      </c>
      <c r="AJ3195">
        <v>62.712274449184001</v>
      </c>
      <c r="AK3195">
        <v>28.394655939882401</v>
      </c>
      <c r="AL3195">
        <v>77.584444344493093</v>
      </c>
      <c r="AM3195">
        <v>75.619571362342</v>
      </c>
      <c r="AN3195">
        <v>1.00000007795504</v>
      </c>
    </row>
    <row r="3196" spans="1:40" x14ac:dyDescent="0.25">
      <c r="A3196" t="str">
        <f>"20190303162613227"</f>
        <v>20190303162613227</v>
      </c>
      <c r="B3196" t="str">
        <f>"1551601573217135"</f>
        <v>1551601573217135</v>
      </c>
      <c r="C3196" t="s">
        <v>40</v>
      </c>
      <c r="D3196">
        <v>4.8389739999999897</v>
      </c>
      <c r="E3196">
        <v>0.51870340000000004</v>
      </c>
      <c r="F3196" t="s">
        <v>47</v>
      </c>
      <c r="G3196">
        <v>-193.75919999999999</v>
      </c>
      <c r="H3196" s="1">
        <v>-1.4673760000000001E-5</v>
      </c>
      <c r="I3196">
        <v>158.4092</v>
      </c>
      <c r="J3196">
        <v>-185.7594</v>
      </c>
      <c r="K3196">
        <v>1.118638</v>
      </c>
      <c r="L3196">
        <v>186.50309999999999</v>
      </c>
      <c r="M3196">
        <v>4.916773E-2</v>
      </c>
      <c r="N3196">
        <v>-1.293426E-2</v>
      </c>
      <c r="O3196">
        <v>-0.99870700000000001</v>
      </c>
      <c r="P3196">
        <v>-0.1904383</v>
      </c>
      <c r="Q3196">
        <v>0.20356550000000001</v>
      </c>
      <c r="R3196">
        <v>-0.96036200000000005</v>
      </c>
      <c r="S3196">
        <v>-0.84054569999999995</v>
      </c>
      <c r="T3196">
        <v>-0.11764910000000001</v>
      </c>
      <c r="U3196">
        <v>-2.9826969999999999</v>
      </c>
      <c r="V3196">
        <v>0.2388084</v>
      </c>
      <c r="W3196">
        <v>0.21430879999999999</v>
      </c>
      <c r="X3196">
        <v>0.94712320000000005</v>
      </c>
      <c r="Y3196">
        <v>0.31805739999999999</v>
      </c>
      <c r="Z3196">
        <v>2.4571470000000002E-2</v>
      </c>
      <c r="AA3196">
        <v>0.94775299999999996</v>
      </c>
      <c r="AB3196">
        <v>27</v>
      </c>
      <c r="AC3196">
        <v>-7.9997999999999898</v>
      </c>
      <c r="AD3196">
        <v>-1.11865267376</v>
      </c>
      <c r="AE3196">
        <v>-28.093899999999898</v>
      </c>
      <c r="AF3196">
        <v>9.3578274163262698</v>
      </c>
      <c r="AG3196">
        <v>-1.11865267376</v>
      </c>
      <c r="AH3196">
        <v>27.626035016285801</v>
      </c>
      <c r="AI3196">
        <v>92.196341396333096</v>
      </c>
      <c r="AJ3196">
        <v>71.287104869179799</v>
      </c>
      <c r="AK3196">
        <v>29.189349572734699</v>
      </c>
      <c r="AL3196">
        <v>77.625021148086304</v>
      </c>
      <c r="AM3196">
        <v>75.848371305370904</v>
      </c>
      <c r="AN3196">
        <v>1.00000003482311</v>
      </c>
    </row>
    <row r="3197" spans="1:40" x14ac:dyDescent="0.25">
      <c r="A3197" t="str">
        <f>"20190303162613252"</f>
        <v>20190303162613252</v>
      </c>
      <c r="B3197" t="str">
        <f>"1551601573246415"</f>
        <v>1551601573246415</v>
      </c>
      <c r="C3197" t="s">
        <v>40</v>
      </c>
      <c r="D3197">
        <v>4.5905649999999998</v>
      </c>
      <c r="E3197">
        <v>0.51354809999999995</v>
      </c>
      <c r="F3197" t="s">
        <v>47</v>
      </c>
      <c r="G3197">
        <v>-192.82320000000001</v>
      </c>
      <c r="H3197" s="1">
        <v>-1.4201399999999999E-5</v>
      </c>
      <c r="I3197">
        <v>157.2148</v>
      </c>
      <c r="J3197">
        <v>-185.74969999999999</v>
      </c>
      <c r="K3197">
        <v>1.1189260000000001</v>
      </c>
      <c r="L3197">
        <v>186.22890000000001</v>
      </c>
      <c r="M3197">
        <v>4.596679E-2</v>
      </c>
      <c r="N3197">
        <v>-1.290738E-2</v>
      </c>
      <c r="O3197">
        <v>-0.99885970000000002</v>
      </c>
      <c r="P3197">
        <v>-0.18799080000000001</v>
      </c>
      <c r="Q3197">
        <v>0.20182539999999999</v>
      </c>
      <c r="R3197">
        <v>-0.96121109999999998</v>
      </c>
      <c r="S3197">
        <v>-0.72462459999999995</v>
      </c>
      <c r="T3197">
        <v>-0.1147555</v>
      </c>
      <c r="U3197">
        <v>-3.0045009999999999</v>
      </c>
      <c r="V3197">
        <v>0.23319860000000001</v>
      </c>
      <c r="W3197">
        <v>0.21276229999999999</v>
      </c>
      <c r="X3197">
        <v>0.94886809999999999</v>
      </c>
      <c r="Y3197">
        <v>0.2787424</v>
      </c>
      <c r="Z3197">
        <v>2.385058E-2</v>
      </c>
      <c r="AA3197">
        <v>0.96006970000000003</v>
      </c>
      <c r="AB3197">
        <v>27</v>
      </c>
      <c r="AC3197">
        <v>-7.0735000000000197</v>
      </c>
      <c r="AD3197">
        <v>-1.1189402014000001</v>
      </c>
      <c r="AE3197">
        <v>-29.014099999999999</v>
      </c>
      <c r="AF3197">
        <v>8.3880422752631798</v>
      </c>
      <c r="AG3197">
        <v>-1.1189402014000001</v>
      </c>
      <c r="AH3197">
        <v>28.6180774445615</v>
      </c>
      <c r="AI3197">
        <v>92.148763404359499</v>
      </c>
      <c r="AJ3197">
        <v>73.663984593773606</v>
      </c>
      <c r="AK3197">
        <v>29.843016553439</v>
      </c>
      <c r="AL3197">
        <v>77.715720950664206</v>
      </c>
      <c r="AM3197">
        <v>76.192355562472699</v>
      </c>
      <c r="AN3197">
        <v>1.0000000272704199</v>
      </c>
    </row>
    <row r="3198" spans="1:40" x14ac:dyDescent="0.25">
      <c r="A3198" t="str">
        <f>"20190303162613276"</f>
        <v>20190303162613276</v>
      </c>
      <c r="B3198" t="str">
        <f>"1551601573266911"</f>
        <v>1551601573266911</v>
      </c>
      <c r="C3198" t="s">
        <v>40</v>
      </c>
      <c r="D3198">
        <v>4.5925609999999999</v>
      </c>
      <c r="E3198">
        <v>0.51232460000000002</v>
      </c>
      <c r="F3198" t="s">
        <v>47</v>
      </c>
      <c r="G3198">
        <v>-192.23650000000001</v>
      </c>
      <c r="H3198" s="1">
        <v>-1.427789E-5</v>
      </c>
      <c r="I3198">
        <v>157.51439999999999</v>
      </c>
      <c r="J3198">
        <v>-185.7397</v>
      </c>
      <c r="K3198">
        <v>1.1192029999999999</v>
      </c>
      <c r="L3198">
        <v>185.92920000000001</v>
      </c>
      <c r="M3198">
        <v>4.2873960000000003E-2</v>
      </c>
      <c r="N3198">
        <v>-1.287956E-2</v>
      </c>
      <c r="O3198">
        <v>-0.99899740000000004</v>
      </c>
      <c r="P3198">
        <v>-0.18681</v>
      </c>
      <c r="Q3198">
        <v>0.20025609999999999</v>
      </c>
      <c r="R3198">
        <v>-0.96176919999999999</v>
      </c>
      <c r="S3198">
        <v>-0.68055730000000003</v>
      </c>
      <c r="T3198">
        <v>-0.1173944</v>
      </c>
      <c r="U3198">
        <v>-3.0126040000000001</v>
      </c>
      <c r="V3198">
        <v>0.2289457</v>
      </c>
      <c r="W3198">
        <v>0.2113601</v>
      </c>
      <c r="X3198">
        <v>0.95021619999999996</v>
      </c>
      <c r="Y3198">
        <v>0.26181870000000002</v>
      </c>
      <c r="Z3198">
        <v>2.479576E-2</v>
      </c>
      <c r="AA3198">
        <v>0.9647985</v>
      </c>
      <c r="AB3198">
        <v>27</v>
      </c>
      <c r="AC3198">
        <v>-6.4968000000000004</v>
      </c>
      <c r="AD3198">
        <v>-1.11921727789</v>
      </c>
      <c r="AE3198">
        <v>-28.4148</v>
      </c>
      <c r="AF3198">
        <v>7.69783173347464</v>
      </c>
      <c r="AG3198">
        <v>-1.11921727789</v>
      </c>
      <c r="AH3198">
        <v>28.068717302668102</v>
      </c>
      <c r="AI3198">
        <v>92.202182615434396</v>
      </c>
      <c r="AJ3198">
        <v>74.663733532828999</v>
      </c>
      <c r="AK3198">
        <v>29.126657064090299</v>
      </c>
      <c r="AL3198">
        <v>77.797930833570106</v>
      </c>
      <c r="AM3198">
        <v>76.453318133531099</v>
      </c>
      <c r="AN3198">
        <v>1.0000000260814601</v>
      </c>
    </row>
    <row r="3199" spans="1:40" x14ac:dyDescent="0.25">
      <c r="A3199" t="str">
        <f>"20190303162613318"</f>
        <v>20190303162613318</v>
      </c>
      <c r="B3199" t="str">
        <f>"1551601573306928"</f>
        <v>1551601573306928</v>
      </c>
      <c r="C3199" t="s">
        <v>40</v>
      </c>
      <c r="D3199">
        <v>4.6549719999999999</v>
      </c>
      <c r="E3199">
        <v>0.51141700000000001</v>
      </c>
      <c r="F3199" t="s">
        <v>47</v>
      </c>
      <c r="G3199">
        <v>-191.76439999999999</v>
      </c>
      <c r="H3199" s="1">
        <v>-1.477652E-5</v>
      </c>
      <c r="I3199">
        <v>158.8176</v>
      </c>
      <c r="J3199">
        <v>-185.72399999999999</v>
      </c>
      <c r="K3199">
        <v>1.1195600000000001</v>
      </c>
      <c r="L3199">
        <v>185.4255</v>
      </c>
      <c r="M3199">
        <v>3.840607E-2</v>
      </c>
      <c r="N3199">
        <v>-1.2838230000000001E-2</v>
      </c>
      <c r="O3199">
        <v>-0.99917999999999996</v>
      </c>
      <c r="P3199">
        <v>-0.184942</v>
      </c>
      <c r="Q3199">
        <v>0.2011665</v>
      </c>
      <c r="R3199">
        <v>-0.96194049999999998</v>
      </c>
      <c r="S3199">
        <v>-0.66999819999999999</v>
      </c>
      <c r="T3199">
        <v>-0.1244657</v>
      </c>
      <c r="U3199">
        <v>-3.0150299999999999</v>
      </c>
      <c r="V3199">
        <v>0.22264390000000001</v>
      </c>
      <c r="W3199">
        <v>0.21246960000000001</v>
      </c>
      <c r="X3199">
        <v>0.95146540000000002</v>
      </c>
      <c r="Y3199">
        <v>0.2540963</v>
      </c>
      <c r="Z3199">
        <v>2.7151499999999999E-2</v>
      </c>
      <c r="AA3199">
        <v>0.96679780000000004</v>
      </c>
      <c r="AB3199">
        <v>27</v>
      </c>
      <c r="AC3199">
        <v>-6.0403999999999698</v>
      </c>
      <c r="AD3199">
        <v>-1.1195747765199999</v>
      </c>
      <c r="AE3199">
        <v>-26.607900000000001</v>
      </c>
      <c r="AF3199">
        <v>7.0460682190616497</v>
      </c>
      <c r="AG3199">
        <v>-1.1195747765199999</v>
      </c>
      <c r="AH3199">
        <v>26.311957717215599</v>
      </c>
      <c r="AI3199">
        <v>92.353635994503307</v>
      </c>
      <c r="AJ3199">
        <v>75.008532622715194</v>
      </c>
      <c r="AK3199">
        <v>27.262055020493801</v>
      </c>
      <c r="AL3199">
        <v>77.7328837775285</v>
      </c>
      <c r="AM3199">
        <v>76.829701215282398</v>
      </c>
      <c r="AN3199">
        <v>1.00000002226426</v>
      </c>
    </row>
    <row r="3200" spans="1:40" x14ac:dyDescent="0.25">
      <c r="A3200" t="str">
        <f>"20190303162613339"</f>
        <v>20190303162613339</v>
      </c>
      <c r="B3200" t="str">
        <f>"1551601573326448"</f>
        <v>1551601573326448</v>
      </c>
      <c r="C3200" t="s">
        <v>40</v>
      </c>
      <c r="D3200">
        <v>4.5795409999999999</v>
      </c>
      <c r="E3200">
        <v>0.51100809999999997</v>
      </c>
      <c r="F3200" t="s">
        <v>47</v>
      </c>
      <c r="G3200">
        <v>-191.7886</v>
      </c>
      <c r="H3200" s="1">
        <v>-1.424876E-5</v>
      </c>
      <c r="I3200">
        <v>157.53909999999999</v>
      </c>
      <c r="J3200">
        <v>-185.71690000000001</v>
      </c>
      <c r="K3200">
        <v>1.119678</v>
      </c>
      <c r="L3200">
        <v>185.1799</v>
      </c>
      <c r="M3200">
        <v>3.6451409999999997E-2</v>
      </c>
      <c r="N3200">
        <v>-1.2821279999999999E-2</v>
      </c>
      <c r="O3200">
        <v>-0.99925330000000001</v>
      </c>
      <c r="P3200">
        <v>-0.18186379999999999</v>
      </c>
      <c r="Q3200">
        <v>0.19998659999999999</v>
      </c>
      <c r="R3200">
        <v>-0.96277279999999998</v>
      </c>
      <c r="S3200">
        <v>-0.65631099999999998</v>
      </c>
      <c r="T3200">
        <v>-0.1211603</v>
      </c>
      <c r="U3200">
        <v>-3.017868</v>
      </c>
      <c r="V3200">
        <v>0.21766279999999999</v>
      </c>
      <c r="W3200">
        <v>0.21137729999999999</v>
      </c>
      <c r="X3200">
        <v>0.95286020000000005</v>
      </c>
      <c r="Y3200">
        <v>0.24783359999999999</v>
      </c>
      <c r="Z3200">
        <v>2.612985E-2</v>
      </c>
      <c r="AA3200">
        <v>0.96845020000000004</v>
      </c>
      <c r="AB3200">
        <v>27</v>
      </c>
      <c r="AC3200">
        <v>-6.0716999999999901</v>
      </c>
      <c r="AD3200">
        <v>-1.1196922487600001</v>
      </c>
      <c r="AE3200">
        <v>-27.640799999999999</v>
      </c>
      <c r="AF3200">
        <v>7.0642346003220302</v>
      </c>
      <c r="AG3200">
        <v>-1.1196922487600001</v>
      </c>
      <c r="AH3200">
        <v>27.358260344101001</v>
      </c>
      <c r="AI3200">
        <v>92.269289479646005</v>
      </c>
      <c r="AJ3200">
        <v>75.521776768558794</v>
      </c>
      <c r="AK3200">
        <v>28.2777568112453</v>
      </c>
      <c r="AL3200">
        <v>77.796922355393505</v>
      </c>
      <c r="AM3200">
        <v>77.132645625722105</v>
      </c>
      <c r="AN3200">
        <v>1.0000000091015799</v>
      </c>
    </row>
    <row r="3201" spans="1:40" x14ac:dyDescent="0.25">
      <c r="A3201" t="str">
        <f>"20190303162613364"</f>
        <v>20190303162613364</v>
      </c>
      <c r="B3201" t="str">
        <f>"1551601573356704"</f>
        <v>1551601573356704</v>
      </c>
      <c r="C3201" t="s">
        <v>40</v>
      </c>
      <c r="D3201">
        <v>4.6996149999999997</v>
      </c>
      <c r="E3201">
        <v>0.51152259999999905</v>
      </c>
      <c r="F3201" t="s">
        <v>47</v>
      </c>
      <c r="G3201">
        <v>-191.51660000000001</v>
      </c>
      <c r="H3201" s="1">
        <v>-1.44149E-5</v>
      </c>
      <c r="I3201">
        <v>157.98259999999999</v>
      </c>
      <c r="J3201">
        <v>-185.7089</v>
      </c>
      <c r="K3201">
        <v>1.1197760000000001</v>
      </c>
      <c r="L3201">
        <v>184.88640000000001</v>
      </c>
      <c r="M3201">
        <v>3.4225940000000003E-2</v>
      </c>
      <c r="N3201">
        <v>-1.280363E-2</v>
      </c>
      <c r="O3201">
        <v>-0.999332</v>
      </c>
      <c r="P3201">
        <v>-0.1776539</v>
      </c>
      <c r="Q3201">
        <v>0.19838439999999999</v>
      </c>
      <c r="R3201">
        <v>-0.96388940000000001</v>
      </c>
      <c r="S3201">
        <v>-0.64404300000000003</v>
      </c>
      <c r="T3201">
        <v>-0.1243384</v>
      </c>
      <c r="U3201">
        <v>-3.0201720000000001</v>
      </c>
      <c r="V3201">
        <v>0.21130779999999999</v>
      </c>
      <c r="W3201">
        <v>0.20985680000000001</v>
      </c>
      <c r="X3201">
        <v>0.9546251</v>
      </c>
      <c r="Y3201">
        <v>0.24175289999999999</v>
      </c>
      <c r="Z3201">
        <v>2.7196290000000001E-2</v>
      </c>
      <c r="AA3201">
        <v>0.96995659999999895</v>
      </c>
      <c r="AB3201">
        <v>27</v>
      </c>
      <c r="AC3201">
        <v>-5.8077000000000103</v>
      </c>
      <c r="AD3201">
        <v>-1.1197904149</v>
      </c>
      <c r="AE3201">
        <v>-26.9038</v>
      </c>
      <c r="AF3201">
        <v>6.7140667417395097</v>
      </c>
      <c r="AG3201">
        <v>-1.1197904149</v>
      </c>
      <c r="AH3201">
        <v>26.645140145869199</v>
      </c>
      <c r="AI3201">
        <v>92.333638200322795</v>
      </c>
      <c r="AJ3201">
        <v>75.8569848159446</v>
      </c>
      <c r="AK3201">
        <v>27.5008384631968</v>
      </c>
      <c r="AL3201">
        <v>77.886039164334406</v>
      </c>
      <c r="AM3201">
        <v>77.518736205929002</v>
      </c>
      <c r="AN3201">
        <v>0.99999997219854397</v>
      </c>
    </row>
    <row r="3202" spans="1:40" x14ac:dyDescent="0.25">
      <c r="A3202" t="str">
        <f>"20190303162613385"</f>
        <v>20190303162613385</v>
      </c>
      <c r="B3202" t="str">
        <f>"1551601573376222"</f>
        <v>1551601573376222</v>
      </c>
      <c r="C3202" t="s">
        <v>40</v>
      </c>
      <c r="D3202">
        <v>4.7365820000000003</v>
      </c>
      <c r="E3202">
        <v>0.51180729999999997</v>
      </c>
      <c r="F3202" t="s">
        <v>41</v>
      </c>
      <c r="G3202">
        <v>-190.88640000000001</v>
      </c>
      <c r="H3202" s="1">
        <v>-5.8961730000000001E-7</v>
      </c>
      <c r="I3202">
        <v>160.34</v>
      </c>
      <c r="J3202">
        <v>-185.7021</v>
      </c>
      <c r="K3202">
        <v>1.1198520000000001</v>
      </c>
      <c r="L3202">
        <v>184.6208</v>
      </c>
      <c r="M3202">
        <v>3.2282449999999997E-2</v>
      </c>
      <c r="N3202">
        <v>-1.278962E-2</v>
      </c>
      <c r="O3202">
        <v>-0.99939699999999998</v>
      </c>
      <c r="P3202">
        <v>-0.17122950000000001</v>
      </c>
      <c r="Q3202">
        <v>0.19865530000000001</v>
      </c>
      <c r="R3202">
        <v>-0.96499579999999996</v>
      </c>
      <c r="S3202">
        <v>-0.63768009999999997</v>
      </c>
      <c r="T3202">
        <v>-0.13791610000000001</v>
      </c>
      <c r="U3202">
        <v>-3.0232239999999999</v>
      </c>
      <c r="V3202">
        <v>0.20303009999999999</v>
      </c>
      <c r="W3202">
        <v>0.21019660000000001</v>
      </c>
      <c r="X3202">
        <v>0.95634520000000001</v>
      </c>
      <c r="Y3202">
        <v>0.23767869999999999</v>
      </c>
      <c r="Z3202">
        <v>3.1572139999999999E-2</v>
      </c>
      <c r="AA3202">
        <v>0.97083059999999999</v>
      </c>
      <c r="AB3202">
        <v>27</v>
      </c>
      <c r="AC3202">
        <v>-5.1843000000000004</v>
      </c>
      <c r="AD3202">
        <v>-1.1198525896172999</v>
      </c>
      <c r="AE3202">
        <v>-24.280799999999999</v>
      </c>
      <c r="AF3202">
        <v>5.9533936728393497</v>
      </c>
      <c r="AG3202">
        <v>-1.1198525896172999</v>
      </c>
      <c r="AH3202">
        <v>24.051835945881901</v>
      </c>
      <c r="AI3202">
        <v>92.587779717455803</v>
      </c>
      <c r="AJ3202">
        <v>76.097382618715699</v>
      </c>
      <c r="AK3202">
        <v>24.802979224558801</v>
      </c>
      <c r="AL3202">
        <v>77.866126086108295</v>
      </c>
      <c r="AM3202">
        <v>78.014179047781695</v>
      </c>
      <c r="AN3202">
        <v>0.999999986860305</v>
      </c>
    </row>
    <row r="3203" spans="1:40" x14ac:dyDescent="0.25">
      <c r="A3203" t="str">
        <f>"20190303162613408"</f>
        <v>20190303162613408</v>
      </c>
      <c r="B3203" t="str">
        <f>"1551601573396719"</f>
        <v>1551601573396719</v>
      </c>
      <c r="C3203" t="s">
        <v>40</v>
      </c>
      <c r="D3203">
        <v>4.8796080000000002</v>
      </c>
      <c r="E3203">
        <v>0.51183909999999999</v>
      </c>
      <c r="F3203" t="s">
        <v>41</v>
      </c>
      <c r="G3203">
        <v>-190.60239999999999</v>
      </c>
      <c r="H3203" s="1">
        <v>-7.0497809999999999E-7</v>
      </c>
      <c r="I3203">
        <v>160.7439</v>
      </c>
      <c r="J3203">
        <v>-185.69589999999999</v>
      </c>
      <c r="K3203">
        <v>1.119907</v>
      </c>
      <c r="L3203">
        <v>184.36240000000001</v>
      </c>
      <c r="M3203">
        <v>3.044792E-2</v>
      </c>
      <c r="N3203">
        <v>-1.2777500000000001E-2</v>
      </c>
      <c r="O3203">
        <v>-0.99945490000000003</v>
      </c>
      <c r="P3203">
        <v>-0.1637082</v>
      </c>
      <c r="Q3203">
        <v>0.199768</v>
      </c>
      <c r="R3203">
        <v>-0.96607080000000001</v>
      </c>
      <c r="S3203">
        <v>-0.62139889999999998</v>
      </c>
      <c r="T3203">
        <v>-0.142008299999999</v>
      </c>
      <c r="U3203">
        <v>-3.0278170000000002</v>
      </c>
      <c r="V3203">
        <v>0.1937643</v>
      </c>
      <c r="W3203">
        <v>0.21137359999999999</v>
      </c>
      <c r="X3203">
        <v>0.95800660000000004</v>
      </c>
      <c r="Y3203">
        <v>0.23058039999999999</v>
      </c>
      <c r="Z3203">
        <v>3.2903590000000003E-2</v>
      </c>
      <c r="AA3203">
        <v>0.97249680000000005</v>
      </c>
      <c r="AB3203">
        <v>27</v>
      </c>
      <c r="AC3203">
        <v>-4.9064999999999896</v>
      </c>
      <c r="AD3203">
        <v>-1.1199077049781001</v>
      </c>
      <c r="AE3203">
        <v>-23.618500000000001</v>
      </c>
      <c r="AF3203">
        <v>5.6113233390708901</v>
      </c>
      <c r="AG3203">
        <v>-1.1199077049781001</v>
      </c>
      <c r="AH3203">
        <v>23.407691783899899</v>
      </c>
      <c r="AI3203">
        <v>92.663789700598102</v>
      </c>
      <c r="AJ3203">
        <v>76.519363930373302</v>
      </c>
      <c r="AK3203">
        <v>24.0969121991454</v>
      </c>
      <c r="AL3203">
        <v>77.797139437460501</v>
      </c>
      <c r="AM3203">
        <v>78.565735191430804</v>
      </c>
      <c r="AN3203">
        <v>1.0000000241875</v>
      </c>
    </row>
    <row r="3204" spans="1:40" x14ac:dyDescent="0.25">
      <c r="A3204" t="str">
        <f>"20190303162613430"</f>
        <v>20190303162613430</v>
      </c>
      <c r="B3204" t="str">
        <f>"1551601573416239"</f>
        <v>1551601573416239</v>
      </c>
      <c r="C3204" t="s">
        <v>40</v>
      </c>
      <c r="D3204">
        <v>4.8480569999999998</v>
      </c>
      <c r="E3204">
        <v>0.48481879999999999</v>
      </c>
      <c r="F3204" t="s">
        <v>41</v>
      </c>
      <c r="G3204">
        <v>-190.43459999999999</v>
      </c>
      <c r="H3204" s="1">
        <v>-4.0036659999999998E-7</v>
      </c>
      <c r="I3204">
        <v>160.19399999999999</v>
      </c>
      <c r="J3204">
        <v>-185.69</v>
      </c>
      <c r="K3204">
        <v>1.119964</v>
      </c>
      <c r="L3204">
        <v>184.10120000000001</v>
      </c>
      <c r="M3204">
        <v>2.865127E-2</v>
      </c>
      <c r="N3204">
        <v>-1.276643E-2</v>
      </c>
      <c r="O3204">
        <v>-0.99950810000000001</v>
      </c>
      <c r="P3204">
        <v>-0.1548735</v>
      </c>
      <c r="Q3204">
        <v>0.19940350000000001</v>
      </c>
      <c r="R3204">
        <v>-0.96760179999999996</v>
      </c>
      <c r="S3204">
        <v>-0.59480290000000002</v>
      </c>
      <c r="T3204">
        <v>-0.14057149999999999</v>
      </c>
      <c r="U3204">
        <v>-3.03363</v>
      </c>
      <c r="V3204">
        <v>0.183224</v>
      </c>
      <c r="W3204">
        <v>0.2110823</v>
      </c>
      <c r="X3204">
        <v>0.9601423</v>
      </c>
      <c r="Y3204">
        <v>0.2202624</v>
      </c>
      <c r="Z3204">
        <v>3.2468940000000002E-2</v>
      </c>
      <c r="AA3204">
        <v>0.97490010000000005</v>
      </c>
      <c r="AB3204">
        <v>27</v>
      </c>
      <c r="AC3204">
        <v>-4.7445999999999904</v>
      </c>
      <c r="AD3204">
        <v>-1.1199644003666001</v>
      </c>
      <c r="AE3204">
        <v>-23.9072</v>
      </c>
      <c r="AF3204">
        <v>5.4162432803386604</v>
      </c>
      <c r="AG3204">
        <v>-1.1199644003666001</v>
      </c>
      <c r="AH3204">
        <v>23.711369257915699</v>
      </c>
      <c r="AI3204">
        <v>92.636447012223499</v>
      </c>
      <c r="AJ3204">
        <v>77.133032142184007</v>
      </c>
      <c r="AK3204">
        <v>24.3478755462388</v>
      </c>
      <c r="AL3204">
        <v>77.814214724965595</v>
      </c>
      <c r="AM3204">
        <v>79.196138762640999</v>
      </c>
      <c r="AN3204">
        <v>1.00000000389929</v>
      </c>
    </row>
    <row r="3205" spans="1:40" x14ac:dyDescent="0.25">
      <c r="A3205" t="str">
        <f>"20190303162613454"</f>
        <v>20190303162613454</v>
      </c>
      <c r="B3205" t="str">
        <f>"1551601573446496"</f>
        <v>1551601573446496</v>
      </c>
      <c r="C3205" t="s">
        <v>40</v>
      </c>
      <c r="D3205">
        <v>4.8365359999999997</v>
      </c>
      <c r="E3205">
        <v>0.46769899999999998</v>
      </c>
      <c r="F3205" t="s">
        <v>41</v>
      </c>
      <c r="G3205">
        <v>-188.38939999999999</v>
      </c>
      <c r="H3205" s="1">
        <v>-7.0121439999999999E-7</v>
      </c>
      <c r="I3205">
        <v>160.3545</v>
      </c>
      <c r="J3205">
        <v>-185.6842</v>
      </c>
      <c r="K3205">
        <v>1.120031</v>
      </c>
      <c r="L3205">
        <v>183.82239999999999</v>
      </c>
      <c r="M3205">
        <v>2.6803850000000001E-2</v>
      </c>
      <c r="N3205">
        <v>-1.275549E-2</v>
      </c>
      <c r="O3205">
        <v>-0.99955930000000004</v>
      </c>
      <c r="P3205">
        <v>-0.1439349</v>
      </c>
      <c r="Q3205">
        <v>0.19965379999999999</v>
      </c>
      <c r="R3205">
        <v>-0.96923749999999997</v>
      </c>
      <c r="S3205">
        <v>-0.349472</v>
      </c>
      <c r="T3205">
        <v>-0.14499779999999901</v>
      </c>
      <c r="U3205">
        <v>-3.0744020000000001</v>
      </c>
      <c r="V3205">
        <v>0.1705226</v>
      </c>
      <c r="W3205">
        <v>0.2114183</v>
      </c>
      <c r="X3205">
        <v>0.96240550000000002</v>
      </c>
      <c r="Y3205">
        <v>0.13941999999999999</v>
      </c>
      <c r="Z3205">
        <v>3.3940480000000002E-2</v>
      </c>
      <c r="AA3205">
        <v>0.98965150000000002</v>
      </c>
      <c r="AB3205">
        <v>26</v>
      </c>
      <c r="AC3205">
        <v>-2.7051999999999898</v>
      </c>
      <c r="AD3205">
        <v>-1.1200317012143901</v>
      </c>
      <c r="AE3205">
        <v>-23.467899999999901</v>
      </c>
      <c r="AF3205">
        <v>3.3258329831195801</v>
      </c>
      <c r="AG3205">
        <v>-1.1200317012143901</v>
      </c>
      <c r="AH3205">
        <v>23.334497314772701</v>
      </c>
      <c r="AI3205">
        <v>92.720576399369705</v>
      </c>
      <c r="AJ3205">
        <v>81.888346734181894</v>
      </c>
      <c r="AK3205">
        <v>23.5969150732986</v>
      </c>
      <c r="AL3205">
        <v>77.794518804982104</v>
      </c>
      <c r="AM3205">
        <v>79.952398838747698</v>
      </c>
      <c r="AN3205">
        <v>1.0000000005579499</v>
      </c>
    </row>
    <row r="3206" spans="1:40" x14ac:dyDescent="0.25">
      <c r="A3206" t="str">
        <f>"20190303162613475"</f>
        <v>20190303162613475</v>
      </c>
      <c r="B3206" t="str">
        <f>"1551601573467968"</f>
        <v>1551601573467968</v>
      </c>
      <c r="C3206" t="s">
        <v>40</v>
      </c>
      <c r="D3206">
        <v>4.8434429999999997</v>
      </c>
      <c r="E3206">
        <v>0.46574690000000002</v>
      </c>
      <c r="F3206" t="s">
        <v>47</v>
      </c>
      <c r="G3206">
        <v>-187.17869999999999</v>
      </c>
      <c r="H3206" s="1">
        <v>-1.415685E-5</v>
      </c>
      <c r="I3206">
        <v>157.70339999999999</v>
      </c>
      <c r="J3206">
        <v>-185.679</v>
      </c>
      <c r="K3206">
        <v>1.120099</v>
      </c>
      <c r="L3206">
        <v>183.55799999999999</v>
      </c>
      <c r="M3206">
        <v>2.5132209999999999E-2</v>
      </c>
      <c r="N3206">
        <v>-1.2745970000000001E-2</v>
      </c>
      <c r="O3206">
        <v>-0.99960309999999997</v>
      </c>
      <c r="P3206">
        <v>-0.1347016</v>
      </c>
      <c r="Q3206">
        <v>0.19944500000000001</v>
      </c>
      <c r="R3206">
        <v>-0.97060690000000005</v>
      </c>
      <c r="S3206">
        <v>-0.17716979999999999</v>
      </c>
      <c r="T3206">
        <v>-0.13277459999999999</v>
      </c>
      <c r="U3206">
        <v>-3.0962519999999998</v>
      </c>
      <c r="V3206">
        <v>0.15967629999999999</v>
      </c>
      <c r="W3206">
        <v>0.21128459999999999</v>
      </c>
      <c r="X3206">
        <v>0.96429370000000003</v>
      </c>
      <c r="Y3206">
        <v>8.2147650000000003E-2</v>
      </c>
      <c r="Z3206">
        <v>2.996849E-2</v>
      </c>
      <c r="AA3206">
        <v>0.99616950000000004</v>
      </c>
      <c r="AB3206">
        <v>26</v>
      </c>
      <c r="AC3206">
        <v>-1.49969999999998</v>
      </c>
      <c r="AD3206">
        <v>-1.12011315685</v>
      </c>
      <c r="AE3206">
        <v>-25.854600000000001</v>
      </c>
      <c r="AF3206">
        <v>2.14504949475785</v>
      </c>
      <c r="AG3206">
        <v>-1.12011315685</v>
      </c>
      <c r="AH3206">
        <v>25.760549691874701</v>
      </c>
      <c r="AI3206">
        <v>92.481174868686395</v>
      </c>
      <c r="AJ3206">
        <v>85.240031565543006</v>
      </c>
      <c r="AK3206">
        <v>25.8739600998118</v>
      </c>
      <c r="AL3206">
        <v>77.802356557033207</v>
      </c>
      <c r="AM3206">
        <v>80.597772706831805</v>
      </c>
      <c r="AN3206">
        <v>1.0000000214192599</v>
      </c>
    </row>
    <row r="3207" spans="1:40" x14ac:dyDescent="0.25">
      <c r="A3207" t="str">
        <f>"20190303162613499"</f>
        <v>20190303162613499</v>
      </c>
      <c r="B3207" t="str">
        <f>"1551601573486512"</f>
        <v>1551601573486512</v>
      </c>
      <c r="C3207" t="s">
        <v>40</v>
      </c>
      <c r="D3207">
        <v>4.7777629999999904</v>
      </c>
      <c r="E3207">
        <v>0.46609</v>
      </c>
      <c r="F3207" t="s">
        <v>47</v>
      </c>
      <c r="G3207">
        <v>-186.74260000000001</v>
      </c>
      <c r="H3207" s="1">
        <v>-1.454012E-5</v>
      </c>
      <c r="I3207">
        <v>158.5968</v>
      </c>
      <c r="J3207">
        <v>-185.67400000000001</v>
      </c>
      <c r="K3207">
        <v>1.1201719999999999</v>
      </c>
      <c r="L3207">
        <v>183.28540000000001</v>
      </c>
      <c r="M3207">
        <v>2.350381E-2</v>
      </c>
      <c r="N3207">
        <v>-1.273696E-2</v>
      </c>
      <c r="O3207">
        <v>-0.99964280000000005</v>
      </c>
      <c r="P3207">
        <v>-0.12828629999999999</v>
      </c>
      <c r="Q3207">
        <v>0.19746910000000001</v>
      </c>
      <c r="R3207">
        <v>-0.9718791</v>
      </c>
      <c r="S3207">
        <v>-0.13214110000000001</v>
      </c>
      <c r="T3207">
        <v>-0.13916129999999999</v>
      </c>
      <c r="U3207">
        <v>-3.1011510000000002</v>
      </c>
      <c r="V3207">
        <v>0.15167259999999999</v>
      </c>
      <c r="W3207">
        <v>0.20937330000000001</v>
      </c>
      <c r="X3207">
        <v>0.9660012</v>
      </c>
      <c r="Y3207">
        <v>6.5998319999999999E-2</v>
      </c>
      <c r="Z3207">
        <v>3.200712E-2</v>
      </c>
      <c r="AA3207">
        <v>0.99730620000000003</v>
      </c>
      <c r="AB3207">
        <v>26</v>
      </c>
      <c r="AC3207">
        <v>-1.0686</v>
      </c>
      <c r="AD3207">
        <v>-1.12018654012</v>
      </c>
      <c r="AE3207">
        <v>-24.688600000000001</v>
      </c>
      <c r="AF3207">
        <v>1.6452471791464001</v>
      </c>
      <c r="AG3207">
        <v>-1.12018654012</v>
      </c>
      <c r="AH3207">
        <v>24.6060991631416</v>
      </c>
      <c r="AI3207">
        <v>92.600777203202696</v>
      </c>
      <c r="AJ3207">
        <v>86.174703828455307</v>
      </c>
      <c r="AK3207">
        <v>24.686469415279099</v>
      </c>
      <c r="AL3207">
        <v>77.914371896929893</v>
      </c>
      <c r="AM3207">
        <v>81.076795254894705</v>
      </c>
      <c r="AN3207">
        <v>1.00000003737254</v>
      </c>
    </row>
    <row r="3208" spans="1:40" x14ac:dyDescent="0.25">
      <c r="A3208" t="str">
        <f>"20190303162613520"</f>
        <v>20190303162613520</v>
      </c>
      <c r="B3208" t="str">
        <f>"1551601573507009"</f>
        <v>1551601573507009</v>
      </c>
      <c r="C3208" t="s">
        <v>40</v>
      </c>
      <c r="D3208">
        <v>4.7727539999999999</v>
      </c>
      <c r="E3208">
        <v>0.4671285</v>
      </c>
      <c r="F3208" t="s">
        <v>47</v>
      </c>
      <c r="G3208">
        <v>-186.5641</v>
      </c>
      <c r="H3208" s="1">
        <v>-1.475882E-5</v>
      </c>
      <c r="I3208">
        <v>159.10659999999999</v>
      </c>
      <c r="J3208">
        <v>-185.6696</v>
      </c>
      <c r="K3208">
        <v>1.1202289999999999</v>
      </c>
      <c r="L3208">
        <v>183.0266</v>
      </c>
      <c r="M3208">
        <v>2.2053489999999999E-2</v>
      </c>
      <c r="N3208">
        <v>-1.272934E-2</v>
      </c>
      <c r="O3208">
        <v>-0.99967589999999995</v>
      </c>
      <c r="P3208">
        <v>-0.1235359</v>
      </c>
      <c r="Q3208">
        <v>0.1961841</v>
      </c>
      <c r="R3208">
        <v>-0.97275429999999996</v>
      </c>
      <c r="S3208">
        <v>-0.114151</v>
      </c>
      <c r="T3208">
        <v>-0.1436634</v>
      </c>
      <c r="U3208">
        <v>-3.1009220000000002</v>
      </c>
      <c r="V3208">
        <v>0.145499499999999</v>
      </c>
      <c r="W3208">
        <v>0.2081375</v>
      </c>
      <c r="X3208">
        <v>0.96721699999999999</v>
      </c>
      <c r="Y3208">
        <v>5.8775719999999997E-2</v>
      </c>
      <c r="Z3208">
        <v>3.348251E-2</v>
      </c>
      <c r="AA3208">
        <v>0.99770959999999997</v>
      </c>
      <c r="AB3208">
        <v>26</v>
      </c>
      <c r="AC3208">
        <v>-0.89449999999999297</v>
      </c>
      <c r="AD3208">
        <v>-1.12024375882</v>
      </c>
      <c r="AE3208">
        <v>-23.92</v>
      </c>
      <c r="AF3208">
        <v>1.41873715727705</v>
      </c>
      <c r="AG3208">
        <v>-1.12024375882</v>
      </c>
      <c r="AH3208">
        <v>23.842232381472101</v>
      </c>
      <c r="AI3208">
        <v>92.685360254034094</v>
      </c>
      <c r="AJ3208">
        <v>86.594617888435394</v>
      </c>
      <c r="AK3208">
        <v>23.910663021604599</v>
      </c>
      <c r="AL3208">
        <v>77.986773017192107</v>
      </c>
      <c r="AM3208">
        <v>81.445080233135997</v>
      </c>
      <c r="AN3208">
        <v>1.00000002424774</v>
      </c>
    </row>
    <row r="3209" spans="1:40" x14ac:dyDescent="0.25">
      <c r="A3209" t="str">
        <f>"20190303162613542"</f>
        <v>20190303162613542</v>
      </c>
      <c r="B3209" t="str">
        <f>"1551601573536287"</f>
        <v>1551601573536287</v>
      </c>
      <c r="C3209" t="s">
        <v>40</v>
      </c>
      <c r="D3209">
        <v>4.78057</v>
      </c>
      <c r="E3209">
        <v>0.4679971</v>
      </c>
      <c r="F3209" t="s">
        <v>41</v>
      </c>
      <c r="G3209">
        <v>-186.47550000000001</v>
      </c>
      <c r="H3209" s="1">
        <v>-1.012337E-6</v>
      </c>
      <c r="I3209">
        <v>159.83860000000001</v>
      </c>
      <c r="J3209">
        <v>-185.66550000000001</v>
      </c>
      <c r="K3209">
        <v>1.1202890000000001</v>
      </c>
      <c r="L3209">
        <v>182.77180000000001</v>
      </c>
      <c r="M3209">
        <v>2.0694669999999998E-2</v>
      </c>
      <c r="N3209">
        <v>-1.272263E-2</v>
      </c>
      <c r="O3209">
        <v>-0.99970510000000001</v>
      </c>
      <c r="P3209">
        <v>-0.1200319</v>
      </c>
      <c r="Q3209">
        <v>0.1976974</v>
      </c>
      <c r="R3209">
        <v>-0.97288680000000005</v>
      </c>
      <c r="S3209">
        <v>-0.1077728</v>
      </c>
      <c r="T3209">
        <v>-0.14979120000000001</v>
      </c>
      <c r="U3209">
        <v>-3.100571</v>
      </c>
      <c r="V3209">
        <v>0.14065849999999999</v>
      </c>
      <c r="W3209">
        <v>0.2096787</v>
      </c>
      <c r="X3209">
        <v>0.96760020000000002</v>
      </c>
      <c r="Y3209">
        <v>5.5371089999999998E-2</v>
      </c>
      <c r="Z3209">
        <v>3.5471269999999999E-2</v>
      </c>
      <c r="AA3209">
        <v>0.99783560000000004</v>
      </c>
      <c r="AB3209">
        <v>26</v>
      </c>
      <c r="AC3209">
        <v>-0.81000000000000205</v>
      </c>
      <c r="AD3209">
        <v>-1.1202900123370001</v>
      </c>
      <c r="AE3209">
        <v>-22.933199999999999</v>
      </c>
      <c r="AF3209">
        <v>1.28140577026824</v>
      </c>
      <c r="AG3209">
        <v>-1.1202900123370001</v>
      </c>
      <c r="AH3209">
        <v>22.857047214216198</v>
      </c>
      <c r="AI3209">
        <v>92.801594336892705</v>
      </c>
      <c r="AJ3209">
        <v>86.791257867932998</v>
      </c>
      <c r="AK3209">
        <v>22.920332846901001</v>
      </c>
      <c r="AL3209">
        <v>77.896476809789107</v>
      </c>
      <c r="AM3209">
        <v>81.728940329610893</v>
      </c>
      <c r="AN3209">
        <v>1.0000000589479801</v>
      </c>
    </row>
    <row r="3210" spans="1:40" x14ac:dyDescent="0.25">
      <c r="A3210" t="str">
        <f>"20190303162613565"</f>
        <v>20190303162613565</v>
      </c>
      <c r="B3210" t="str">
        <f>"1551601573556784"</f>
        <v>1551601573556784</v>
      </c>
      <c r="C3210" t="s">
        <v>40</v>
      </c>
      <c r="D3210">
        <v>4.7624079999999998</v>
      </c>
      <c r="E3210">
        <v>0.46904230000000002</v>
      </c>
      <c r="F3210" t="s">
        <v>47</v>
      </c>
      <c r="G3210">
        <v>-186.46340000000001</v>
      </c>
      <c r="H3210" s="1">
        <v>-1.487075E-5</v>
      </c>
      <c r="I3210">
        <v>159.36750000000001</v>
      </c>
      <c r="J3210">
        <v>-185.66130000000001</v>
      </c>
      <c r="K3210">
        <v>1.120341</v>
      </c>
      <c r="L3210">
        <v>182.4939</v>
      </c>
      <c r="M3210">
        <v>1.9270889999999999E-2</v>
      </c>
      <c r="N3210">
        <v>-1.2716170000000001E-2</v>
      </c>
      <c r="O3210">
        <v>-0.99973350000000005</v>
      </c>
      <c r="P3210">
        <v>-0.11657240000000001</v>
      </c>
      <c r="Q3210">
        <v>0.2000651</v>
      </c>
      <c r="R3210">
        <v>-0.9728232</v>
      </c>
      <c r="S3210">
        <v>-0.105712899999999</v>
      </c>
      <c r="T3210">
        <v>-0.14842379999999999</v>
      </c>
      <c r="U3210">
        <v>-3.1007229999999999</v>
      </c>
      <c r="V3210">
        <v>0.1358047</v>
      </c>
      <c r="W3210">
        <v>0.21206559999999999</v>
      </c>
      <c r="X3210">
        <v>0.96777329999999995</v>
      </c>
      <c r="Y3210">
        <v>5.3286649999999998E-2</v>
      </c>
      <c r="Z3210">
        <v>3.5041940000000001E-2</v>
      </c>
      <c r="AA3210">
        <v>0.99796419999999997</v>
      </c>
      <c r="AB3210">
        <v>26</v>
      </c>
      <c r="AC3210">
        <v>-0.80209999999999504</v>
      </c>
      <c r="AD3210">
        <v>-1.1203558707500001</v>
      </c>
      <c r="AE3210">
        <v>-23.126399999999901</v>
      </c>
      <c r="AF3210">
        <v>1.2447355724278899</v>
      </c>
      <c r="AG3210">
        <v>-1.1203558707500001</v>
      </c>
      <c r="AH3210">
        <v>23.0526089529946</v>
      </c>
      <c r="AI3210">
        <v>92.778342507475898</v>
      </c>
      <c r="AJ3210">
        <v>86.909290979311095</v>
      </c>
      <c r="AK3210">
        <v>23.113358550026401</v>
      </c>
      <c r="AL3210">
        <v>77.756570141262301</v>
      </c>
      <c r="AM3210">
        <v>82.012016258237793</v>
      </c>
      <c r="AN3210">
        <v>0.999999947719168</v>
      </c>
    </row>
    <row r="3211" spans="1:40" x14ac:dyDescent="0.25">
      <c r="A3211" t="str">
        <f>"20190303162613588"</f>
        <v>20190303162613588</v>
      </c>
      <c r="B3211" t="str">
        <f>"1551601573576303"</f>
        <v>1551601573576303</v>
      </c>
      <c r="C3211" t="s">
        <v>40</v>
      </c>
      <c r="D3211">
        <v>4.7695189999999998</v>
      </c>
      <c r="E3211">
        <v>0.46999950000000001</v>
      </c>
      <c r="F3211" t="s">
        <v>47</v>
      </c>
      <c r="G3211">
        <v>-186.50630000000001</v>
      </c>
      <c r="H3211" s="1">
        <v>-1.425321E-5</v>
      </c>
      <c r="I3211">
        <v>157.928</v>
      </c>
      <c r="J3211">
        <v>-185.65780000000001</v>
      </c>
      <c r="K3211">
        <v>1.1203780000000001</v>
      </c>
      <c r="L3211">
        <v>182.23079999999999</v>
      </c>
      <c r="M3211">
        <v>1.7958160000000001E-2</v>
      </c>
      <c r="N3211">
        <v>-1.2710829999999999E-2</v>
      </c>
      <c r="O3211">
        <v>-0.99975820000000004</v>
      </c>
      <c r="P3211">
        <v>-0.11285480000000001</v>
      </c>
      <c r="Q3211">
        <v>0.20326630000000001</v>
      </c>
      <c r="R3211">
        <v>-0.97259810000000002</v>
      </c>
      <c r="S3211">
        <v>-0.106628399999999</v>
      </c>
      <c r="T3211">
        <v>-0.1413838</v>
      </c>
      <c r="U3211">
        <v>-3.100098</v>
      </c>
      <c r="V3211">
        <v>0.1308088</v>
      </c>
      <c r="W3211">
        <v>0.2152789</v>
      </c>
      <c r="X3211">
        <v>0.96775199999999995</v>
      </c>
      <c r="Y3211">
        <v>5.2280439999999997E-2</v>
      </c>
      <c r="Z3211">
        <v>3.2798050000000002E-2</v>
      </c>
      <c r="AA3211">
        <v>0.99809369999999997</v>
      </c>
      <c r="AB3211">
        <v>26</v>
      </c>
      <c r="AC3211">
        <v>-0.84850000000000103</v>
      </c>
      <c r="AD3211">
        <v>-1.1203922532099999</v>
      </c>
      <c r="AE3211">
        <v>-24.302799999999898</v>
      </c>
      <c r="AF3211">
        <v>1.28211026885129</v>
      </c>
      <c r="AG3211">
        <v>-1.1203922532099999</v>
      </c>
      <c r="AH3211">
        <v>24.232202687821299</v>
      </c>
      <c r="AI3211">
        <v>92.643531461268793</v>
      </c>
      <c r="AJ3211">
        <v>86.971341169041395</v>
      </c>
      <c r="AK3211">
        <v>24.291947897321901</v>
      </c>
      <c r="AL3211">
        <v>77.568108981231902</v>
      </c>
      <c r="AM3211">
        <v>82.302116616691706</v>
      </c>
      <c r="AN3211">
        <v>0.99999994022332295</v>
      </c>
    </row>
    <row r="3212" spans="1:40" x14ac:dyDescent="0.25">
      <c r="A3212" t="str">
        <f>"20190303162613608"</f>
        <v>20190303162613608</v>
      </c>
      <c r="B3212" t="str">
        <f>"1551601573596800"</f>
        <v>1551601573596800</v>
      </c>
      <c r="C3212" t="s">
        <v>40</v>
      </c>
      <c r="D3212">
        <v>4.7330459999999999</v>
      </c>
      <c r="E3212">
        <v>0.47067409999999998</v>
      </c>
      <c r="F3212" t="s">
        <v>47</v>
      </c>
      <c r="G3212">
        <v>-186.5625</v>
      </c>
      <c r="H3212" s="1">
        <v>-1.323494E-5</v>
      </c>
      <c r="I3212">
        <v>155.5805</v>
      </c>
      <c r="J3212">
        <v>-185.6549</v>
      </c>
      <c r="K3212">
        <v>1.1204019999999999</v>
      </c>
      <c r="L3212">
        <v>181.9984</v>
      </c>
      <c r="M3212">
        <v>1.6809609999999999E-2</v>
      </c>
      <c r="N3212">
        <v>-1.27067E-2</v>
      </c>
      <c r="O3212">
        <v>-0.99977819999999995</v>
      </c>
      <c r="P3212">
        <v>-0.1094058</v>
      </c>
      <c r="Q3212">
        <v>0.20645920000000001</v>
      </c>
      <c r="R3212">
        <v>-0.97231970000000001</v>
      </c>
      <c r="S3212">
        <v>-0.1052246</v>
      </c>
      <c r="T3212">
        <v>-0.1303076</v>
      </c>
      <c r="U3212">
        <v>-3.0995789999999999</v>
      </c>
      <c r="V3212">
        <v>0.1262461</v>
      </c>
      <c r="W3212">
        <v>0.2184787</v>
      </c>
      <c r="X3212">
        <v>0.96764090000000003</v>
      </c>
      <c r="Y3212">
        <v>5.0692830000000001E-2</v>
      </c>
      <c r="Z3212">
        <v>2.9252839999999999E-2</v>
      </c>
      <c r="AA3212">
        <v>0.9982858</v>
      </c>
      <c r="AB3212">
        <v>26</v>
      </c>
      <c r="AC3212">
        <v>-0.90760000000000196</v>
      </c>
      <c r="AD3212">
        <v>-1.1204152349400001</v>
      </c>
      <c r="AE3212">
        <v>-26.417899999999999</v>
      </c>
      <c r="AF3212">
        <v>1.3491582038468899</v>
      </c>
      <c r="AG3212">
        <v>-1.1204152349400001</v>
      </c>
      <c r="AH3212">
        <v>26.351566167619101</v>
      </c>
      <c r="AI3212">
        <v>92.431453301186096</v>
      </c>
      <c r="AJ3212">
        <v>87.069106480734504</v>
      </c>
      <c r="AK3212">
        <v>26.4098579633458</v>
      </c>
      <c r="AL3212">
        <v>77.3803041297123</v>
      </c>
      <c r="AM3212">
        <v>82.566724905358299</v>
      </c>
      <c r="AN3212">
        <v>0.99999996573585404</v>
      </c>
    </row>
    <row r="3213" spans="1:40" x14ac:dyDescent="0.25">
      <c r="A3213" t="str">
        <f>"20190303162613631"</f>
        <v>20190303162613631</v>
      </c>
      <c r="B3213" t="str">
        <f>"1551601573616320"</f>
        <v>1551601573616320</v>
      </c>
      <c r="C3213" t="s">
        <v>40</v>
      </c>
      <c r="D3213">
        <v>4.809469</v>
      </c>
      <c r="E3213">
        <v>0.47130729999999998</v>
      </c>
      <c r="F3213" t="s">
        <v>47</v>
      </c>
      <c r="G3213">
        <v>-186.62540000000001</v>
      </c>
      <c r="H3213" s="1">
        <v>-1.1820349999999999E-5</v>
      </c>
      <c r="I3213">
        <v>152.31620000000001</v>
      </c>
      <c r="J3213">
        <v>-185.65180000000001</v>
      </c>
      <c r="K3213">
        <v>1.120401</v>
      </c>
      <c r="L3213">
        <v>181.71559999999999</v>
      </c>
      <c r="M3213">
        <v>1.5403760000000001E-2</v>
      </c>
      <c r="N3213">
        <v>-1.270227E-2</v>
      </c>
      <c r="O3213">
        <v>-0.99980080000000005</v>
      </c>
      <c r="P3213">
        <v>-0.1057632</v>
      </c>
      <c r="Q3213">
        <v>0.2081008</v>
      </c>
      <c r="R3213">
        <v>-0.97237269999999998</v>
      </c>
      <c r="S3213">
        <v>-0.1013184</v>
      </c>
      <c r="T3213">
        <v>-0.1169721</v>
      </c>
      <c r="U3213">
        <v>-3.098846</v>
      </c>
      <c r="V3213">
        <v>0.1212462</v>
      </c>
      <c r="W3213">
        <v>0.22012979999999999</v>
      </c>
      <c r="X3213">
        <v>0.96790609999999999</v>
      </c>
      <c r="Y3213">
        <v>4.8045360000000002E-2</v>
      </c>
      <c r="Z3213">
        <v>2.49821E-2</v>
      </c>
      <c r="AA3213">
        <v>0.99853270000000005</v>
      </c>
      <c r="AB3213">
        <v>26</v>
      </c>
      <c r="AC3213">
        <v>-0.97360000000000402</v>
      </c>
      <c r="AD3213">
        <v>-1.1204128203499999</v>
      </c>
      <c r="AE3213">
        <v>-29.399399999999901</v>
      </c>
      <c r="AF3213">
        <v>1.4243158725988601</v>
      </c>
      <c r="AG3213">
        <v>-1.1204128203499999</v>
      </c>
      <c r="AH3213">
        <v>29.3383493896735</v>
      </c>
      <c r="AI3213">
        <v>92.184456161752806</v>
      </c>
      <c r="AJ3213">
        <v>87.220591240498194</v>
      </c>
      <c r="AK3213">
        <v>29.394263819723299</v>
      </c>
      <c r="AL3213">
        <v>77.283343039758705</v>
      </c>
      <c r="AM3213">
        <v>82.859950284262496</v>
      </c>
      <c r="AN3213">
        <v>0.99999999413984497</v>
      </c>
    </row>
    <row r="3214" spans="1:40" x14ac:dyDescent="0.25">
      <c r="A3214" t="str">
        <f>"20190303162613653"</f>
        <v>20190303162613653</v>
      </c>
      <c r="B3214" t="str">
        <f>"1551601573646576"</f>
        <v>1551601573646576</v>
      </c>
      <c r="C3214" t="s">
        <v>40</v>
      </c>
      <c r="D3214">
        <v>4.9073029999999997</v>
      </c>
      <c r="E3214">
        <v>0.44363180000000002</v>
      </c>
      <c r="F3214" t="s">
        <v>47</v>
      </c>
      <c r="G3214">
        <v>-186.64349999999999</v>
      </c>
      <c r="H3214" s="1">
        <v>-1.103417E-5</v>
      </c>
      <c r="I3214">
        <v>149.71789999999999</v>
      </c>
      <c r="J3214">
        <v>-185.64920000000001</v>
      </c>
      <c r="K3214">
        <v>1.120387</v>
      </c>
      <c r="L3214">
        <v>181.4503</v>
      </c>
      <c r="M3214">
        <v>1.406053E-2</v>
      </c>
      <c r="N3214">
        <v>-1.269872E-2</v>
      </c>
      <c r="O3214">
        <v>-0.99982059999999995</v>
      </c>
      <c r="P3214">
        <v>-0.1016089</v>
      </c>
      <c r="Q3214">
        <v>0.20730209999999999</v>
      </c>
      <c r="R3214">
        <v>-0.97298609999999996</v>
      </c>
      <c r="S3214">
        <v>-9.6023559999999994E-2</v>
      </c>
      <c r="T3214">
        <v>-0.10847809999999999</v>
      </c>
      <c r="U3214">
        <v>-3.098007</v>
      </c>
      <c r="V3214">
        <v>0.11580020000000001</v>
      </c>
      <c r="W3214">
        <v>0.21934819999999999</v>
      </c>
      <c r="X3214">
        <v>0.96875009999999995</v>
      </c>
      <c r="Y3214">
        <v>4.5010929999999998E-2</v>
      </c>
      <c r="Z3214">
        <v>2.226616E-2</v>
      </c>
      <c r="AA3214">
        <v>0.99873829999999997</v>
      </c>
      <c r="AB3214">
        <v>26</v>
      </c>
      <c r="AC3214">
        <v>-0.99429999999998098</v>
      </c>
      <c r="AD3214">
        <v>-1.1203980341699999</v>
      </c>
      <c r="AE3214">
        <v>-31.732399999999998</v>
      </c>
      <c r="AF3214">
        <v>1.43862031913637</v>
      </c>
      <c r="AG3214">
        <v>-1.1203980341699999</v>
      </c>
      <c r="AH3214">
        <v>31.675831679743101</v>
      </c>
      <c r="AI3214">
        <v>92.023666079453207</v>
      </c>
      <c r="AJ3214">
        <v>87.399586237385506</v>
      </c>
      <c r="AK3214">
        <v>31.728271821531902</v>
      </c>
      <c r="AL3214">
        <v>77.329247945873803</v>
      </c>
      <c r="AM3214">
        <v>83.183454063105003</v>
      </c>
      <c r="AN3214">
        <v>1.00000003770664</v>
      </c>
    </row>
    <row r="3215" spans="1:40" x14ac:dyDescent="0.25">
      <c r="A3215" t="str">
        <f>"20190303162613676"</f>
        <v>20190303162613676</v>
      </c>
      <c r="B3215" t="str">
        <f>"1551601573667072"</f>
        <v>1551601573667072</v>
      </c>
      <c r="C3215" t="s">
        <v>40</v>
      </c>
      <c r="D3215">
        <v>4.8453460000000002</v>
      </c>
      <c r="E3215">
        <v>0.4404921</v>
      </c>
      <c r="F3215" t="s">
        <v>41</v>
      </c>
      <c r="G3215">
        <v>-184.83080000000001</v>
      </c>
      <c r="H3215" s="1">
        <v>-2.5200570000000001E-6</v>
      </c>
      <c r="I3215">
        <v>162.62520000000001</v>
      </c>
      <c r="J3215">
        <v>-185.64699999999999</v>
      </c>
      <c r="K3215">
        <v>1.1203730000000001</v>
      </c>
      <c r="L3215">
        <v>181.1814</v>
      </c>
      <c r="M3215">
        <v>1.266858E-2</v>
      </c>
      <c r="N3215">
        <v>-1.269557E-2</v>
      </c>
      <c r="O3215">
        <v>-0.99983929999999999</v>
      </c>
      <c r="P3215">
        <v>-9.8827559999999995E-2</v>
      </c>
      <c r="Q3215">
        <v>0.20566100000000001</v>
      </c>
      <c r="R3215">
        <v>-0.97362040000000005</v>
      </c>
      <c r="S3215">
        <v>0.1363983</v>
      </c>
      <c r="T3215">
        <v>-0.18671869999999999</v>
      </c>
      <c r="U3215">
        <v>-3.1372990000000001</v>
      </c>
      <c r="V3215">
        <v>0.1116785</v>
      </c>
      <c r="W3215">
        <v>0.21772059999999999</v>
      </c>
      <c r="X3215">
        <v>0.96960080000000004</v>
      </c>
      <c r="Y3215">
        <v>-3.071275E-2</v>
      </c>
      <c r="Z3215">
        <v>4.6687090000000001E-2</v>
      </c>
      <c r="AA3215">
        <v>0.99843729999999997</v>
      </c>
      <c r="AB3215">
        <v>26</v>
      </c>
      <c r="AC3215">
        <v>0.81620000000000903</v>
      </c>
      <c r="AD3215">
        <v>-1.120375520057</v>
      </c>
      <c r="AE3215">
        <v>-18.556199999999901</v>
      </c>
      <c r="AF3215">
        <v>-0.57892850323354605</v>
      </c>
      <c r="AG3215">
        <v>-1.120375520057</v>
      </c>
      <c r="AH3215">
        <v>18.4977494597853</v>
      </c>
      <c r="AI3215">
        <v>93.464376186361605</v>
      </c>
      <c r="AJ3215">
        <v>91.792614612934997</v>
      </c>
      <c r="AK3215">
        <v>18.5406886224538</v>
      </c>
      <c r="AL3215">
        <v>77.424812322275301</v>
      </c>
      <c r="AM3215">
        <v>83.429632186133901</v>
      </c>
      <c r="AN3215">
        <v>1.00000002919362</v>
      </c>
    </row>
    <row r="3216" spans="1:40" x14ac:dyDescent="0.25">
      <c r="A3216" t="str">
        <f>"20190303162613699"</f>
        <v>20190303162613699</v>
      </c>
      <c r="B3216" t="str">
        <f>"1551601573686592"</f>
        <v>1551601573686592</v>
      </c>
      <c r="C3216" t="s">
        <v>40</v>
      </c>
      <c r="D3216">
        <v>4.8070009999999996</v>
      </c>
      <c r="E3216">
        <v>0.4420692</v>
      </c>
      <c r="F3216" t="s">
        <v>41</v>
      </c>
      <c r="G3216">
        <v>-184.64449999999999</v>
      </c>
      <c r="H3216" s="1">
        <v>-2.6627069999999999E-6</v>
      </c>
      <c r="I3216">
        <v>162.86760000000001</v>
      </c>
      <c r="J3216">
        <v>-185.64529999999999</v>
      </c>
      <c r="K3216">
        <v>1.1203559999999999</v>
      </c>
      <c r="L3216">
        <v>180.9221</v>
      </c>
      <c r="M3216">
        <v>1.129817E-2</v>
      </c>
      <c r="N3216">
        <v>-1.2693080000000001E-2</v>
      </c>
      <c r="O3216">
        <v>-0.99985559999999996</v>
      </c>
      <c r="P3216">
        <v>-9.8690559999999997E-2</v>
      </c>
      <c r="Q3216">
        <v>0.20505229999999999</v>
      </c>
      <c r="R3216">
        <v>-0.97376269999999998</v>
      </c>
      <c r="S3216">
        <v>0.17184449999999901</v>
      </c>
      <c r="T3216">
        <v>-0.19205159999999999</v>
      </c>
      <c r="U3216">
        <v>-3.139297</v>
      </c>
      <c r="V3216">
        <v>0.11021690000000001</v>
      </c>
      <c r="W3216">
        <v>0.21711230000000001</v>
      </c>
      <c r="X3216">
        <v>0.9699044</v>
      </c>
      <c r="Y3216">
        <v>-4.3288189999999997E-2</v>
      </c>
      <c r="Z3216">
        <v>4.8312130000000002E-2</v>
      </c>
      <c r="AA3216">
        <v>0.99789380000000005</v>
      </c>
      <c r="AB3216">
        <v>26</v>
      </c>
      <c r="AC3216">
        <v>1.0007999999999899</v>
      </c>
      <c r="AD3216">
        <v>-1.1203586627069999</v>
      </c>
      <c r="AE3216">
        <v>-18.054499999999901</v>
      </c>
      <c r="AF3216">
        <v>-0.79368994171864204</v>
      </c>
      <c r="AG3216">
        <v>-1.1203586627069999</v>
      </c>
      <c r="AH3216">
        <v>17.995571744056701</v>
      </c>
      <c r="AI3216">
        <v>93.559040972014699</v>
      </c>
      <c r="AJ3216">
        <v>92.525378601518597</v>
      </c>
      <c r="AK3216">
        <v>18.047873826359201</v>
      </c>
      <c r="AL3216">
        <v>77.460519514835198</v>
      </c>
      <c r="AM3216">
        <v>83.516897677025995</v>
      </c>
      <c r="AN3216">
        <v>1.00000003049812</v>
      </c>
    </row>
    <row r="3217" spans="1:40" x14ac:dyDescent="0.25">
      <c r="A3217" t="str">
        <f>"20190303162613721"</f>
        <v>20190303162613721</v>
      </c>
      <c r="B3217" t="str">
        <f>"1551601573716848"</f>
        <v>1551601573716848</v>
      </c>
      <c r="C3217" t="s">
        <v>40</v>
      </c>
      <c r="D3217">
        <v>4.8126439999999997</v>
      </c>
      <c r="E3217">
        <v>0.44341039999999998</v>
      </c>
      <c r="F3217" t="s">
        <v>41</v>
      </c>
      <c r="G3217">
        <v>-184.77289999999999</v>
      </c>
      <c r="H3217" s="1">
        <v>-3.08676E-6</v>
      </c>
      <c r="I3217">
        <v>164.0608</v>
      </c>
      <c r="J3217">
        <v>-185.6439</v>
      </c>
      <c r="K3217">
        <v>1.1203430000000001</v>
      </c>
      <c r="L3217">
        <v>180.65780000000001</v>
      </c>
      <c r="M3217">
        <v>9.8784340000000002E-3</v>
      </c>
      <c r="N3217">
        <v>-1.269053E-2</v>
      </c>
      <c r="O3217">
        <v>-0.99987090000000001</v>
      </c>
      <c r="P3217">
        <v>-9.9827040000000006E-2</v>
      </c>
      <c r="Q3217">
        <v>0.20404900000000001</v>
      </c>
      <c r="R3217">
        <v>-0.9738578</v>
      </c>
      <c r="S3217">
        <v>0.16252139999999901</v>
      </c>
      <c r="T3217">
        <v>-0.2087224</v>
      </c>
      <c r="U3217">
        <v>-3.141251</v>
      </c>
      <c r="V3217">
        <v>0.1099774</v>
      </c>
      <c r="W3217">
        <v>0.2161072</v>
      </c>
      <c r="X3217">
        <v>0.97015600000000002</v>
      </c>
      <c r="Y3217">
        <v>-4.170505E-2</v>
      </c>
      <c r="Z3217">
        <v>5.3556930000000003E-2</v>
      </c>
      <c r="AA3217">
        <v>0.99769350000000001</v>
      </c>
      <c r="AB3217">
        <v>26</v>
      </c>
      <c r="AC3217">
        <v>0.87100000000000899</v>
      </c>
      <c r="AD3217">
        <v>-1.1203460867599999</v>
      </c>
      <c r="AE3217">
        <v>-16.597000000000001</v>
      </c>
      <c r="AF3217">
        <v>-0.70379382763557397</v>
      </c>
      <c r="AG3217">
        <v>-1.1203460867599999</v>
      </c>
      <c r="AH3217">
        <v>16.529681832801</v>
      </c>
      <c r="AI3217">
        <v>93.873954661553597</v>
      </c>
      <c r="AJ3217">
        <v>92.438042998872703</v>
      </c>
      <c r="AK3217">
        <v>16.582547530448</v>
      </c>
      <c r="AL3217">
        <v>77.519507698894799</v>
      </c>
      <c r="AM3217">
        <v>83.532529315978707</v>
      </c>
      <c r="AN3217">
        <v>1.0000000073693001</v>
      </c>
    </row>
    <row r="3218" spans="1:40" x14ac:dyDescent="0.25">
      <c r="A3218" t="str">
        <f>"20190303162613743"</f>
        <v>20190303162613743</v>
      </c>
      <c r="B3218" t="str">
        <f>"1551601573736367"</f>
        <v>1551601573736367</v>
      </c>
      <c r="C3218" t="s">
        <v>40</v>
      </c>
      <c r="D3218">
        <v>4.8945749999999997</v>
      </c>
      <c r="E3218">
        <v>0.44458540000000002</v>
      </c>
      <c r="F3218" t="s">
        <v>41</v>
      </c>
      <c r="G3218">
        <v>-184.8725</v>
      </c>
      <c r="H3218" s="1">
        <v>-3.2047259999999999E-6</v>
      </c>
      <c r="I3218">
        <v>164.43709999999999</v>
      </c>
      <c r="J3218">
        <v>-185.643</v>
      </c>
      <c r="K3218">
        <v>1.120322</v>
      </c>
      <c r="L3218">
        <v>180.39660000000001</v>
      </c>
      <c r="M3218">
        <v>8.4617269999999901E-3</v>
      </c>
      <c r="N3218">
        <v>-1.2688319999999999E-2</v>
      </c>
      <c r="O3218">
        <v>-0.999884</v>
      </c>
      <c r="P3218">
        <v>-0.1006524</v>
      </c>
      <c r="Q3218">
        <v>0.2028674</v>
      </c>
      <c r="R3218">
        <v>-0.97402</v>
      </c>
      <c r="S3218">
        <v>0.1493835</v>
      </c>
      <c r="T3218">
        <v>-0.21696409999999999</v>
      </c>
      <c r="U3218">
        <v>-3.1412810000000002</v>
      </c>
      <c r="V3218">
        <v>0.1094275</v>
      </c>
      <c r="W3218">
        <v>0.21492639999999999</v>
      </c>
      <c r="X3218">
        <v>0.97048040000000002</v>
      </c>
      <c r="Y3218">
        <v>-3.895154E-2</v>
      </c>
      <c r="Z3218">
        <v>5.6174790000000002E-2</v>
      </c>
      <c r="AA3218">
        <v>0.99766089999999996</v>
      </c>
      <c r="AB3218">
        <v>26</v>
      </c>
      <c r="AC3218">
        <v>0.77049999999999796</v>
      </c>
      <c r="AD3218">
        <v>-1.1203252047259999</v>
      </c>
      <c r="AE3218">
        <v>-15.9595</v>
      </c>
      <c r="AF3218">
        <v>-0.63230803049760897</v>
      </c>
      <c r="AG3218">
        <v>-1.1203252047259999</v>
      </c>
      <c r="AH3218">
        <v>15.8873418511486</v>
      </c>
      <c r="AI3218">
        <v>94.030460122273197</v>
      </c>
      <c r="AJ3218">
        <v>92.279139664702498</v>
      </c>
      <c r="AK3218">
        <v>15.939340422521701</v>
      </c>
      <c r="AL3218">
        <v>77.588790242056405</v>
      </c>
      <c r="AM3218">
        <v>83.566728580049698</v>
      </c>
      <c r="AN3218">
        <v>0.99999997097868398</v>
      </c>
    </row>
    <row r="3219" spans="1:40" x14ac:dyDescent="0.25">
      <c r="A3219" t="str">
        <f>"20190303162613765"</f>
        <v>20190303162613765</v>
      </c>
      <c r="B3219" t="str">
        <f>"1551601573756864"</f>
        <v>1551601573756864</v>
      </c>
      <c r="C3219" t="s">
        <v>40</v>
      </c>
      <c r="D3219">
        <v>4.800859</v>
      </c>
      <c r="E3219">
        <v>0.44529180000000002</v>
      </c>
      <c r="F3219" t="s">
        <v>41</v>
      </c>
      <c r="G3219">
        <v>-184.90549999999999</v>
      </c>
      <c r="H3219" s="1">
        <v>-2.8883259999999998E-6</v>
      </c>
      <c r="I3219">
        <v>163.636</v>
      </c>
      <c r="J3219">
        <v>-185.64240000000001</v>
      </c>
      <c r="K3219">
        <v>1.1203099999999999</v>
      </c>
      <c r="L3219">
        <v>180.1318</v>
      </c>
      <c r="M3219">
        <v>7.0161069999999997E-3</v>
      </c>
      <c r="N3219">
        <v>-1.2686350000000001E-2</v>
      </c>
      <c r="O3219">
        <v>-0.99989499999999998</v>
      </c>
      <c r="P3219">
        <v>-0.10186240000000001</v>
      </c>
      <c r="Q3219">
        <v>0.20097010000000001</v>
      </c>
      <c r="R3219">
        <v>-0.97428709999999996</v>
      </c>
      <c r="S3219">
        <v>0.1380615</v>
      </c>
      <c r="T3219">
        <v>-0.2097493</v>
      </c>
      <c r="U3219">
        <v>-3.1379549999999998</v>
      </c>
      <c r="V3219">
        <v>0.1092306</v>
      </c>
      <c r="W3219">
        <v>0.213032</v>
      </c>
      <c r="X3219">
        <v>0.97092020000000001</v>
      </c>
      <c r="Y3219">
        <v>-3.6861150000000002E-2</v>
      </c>
      <c r="Z3219">
        <v>5.3975130000000003E-2</v>
      </c>
      <c r="AA3219">
        <v>0.99786169999999996</v>
      </c>
      <c r="AB3219">
        <v>26</v>
      </c>
      <c r="AC3219">
        <v>0.73690000000001898</v>
      </c>
      <c r="AD3219">
        <v>-1.1203128883260001</v>
      </c>
      <c r="AE3219">
        <v>-16.495799999999999</v>
      </c>
      <c r="AF3219">
        <v>-0.61829010364456605</v>
      </c>
      <c r="AG3219">
        <v>-1.1203128883260001</v>
      </c>
      <c r="AH3219">
        <v>16.424956060214601</v>
      </c>
      <c r="AI3219">
        <v>93.899231979222293</v>
      </c>
      <c r="AJ3219">
        <v>92.155786273593804</v>
      </c>
      <c r="AK3219">
        <v>16.474725041711501</v>
      </c>
      <c r="AL3219">
        <v>77.699905316712901</v>
      </c>
      <c r="AM3219">
        <v>83.581092204936496</v>
      </c>
      <c r="AN3219">
        <v>0.99999999588419997</v>
      </c>
    </row>
    <row r="3220" spans="1:40" x14ac:dyDescent="0.25">
      <c r="A3220" t="str">
        <f>"20190303162613787"</f>
        <v>20190303162613787</v>
      </c>
      <c r="B3220" t="str">
        <f>"1551601573776383"</f>
        <v>1551601573776383</v>
      </c>
      <c r="C3220" t="s">
        <v>40</v>
      </c>
      <c r="D3220">
        <v>4.7915130000000001</v>
      </c>
      <c r="E3220">
        <v>0.44581369999999998</v>
      </c>
      <c r="F3220" t="s">
        <v>41</v>
      </c>
      <c r="G3220">
        <v>-184.97819999999999</v>
      </c>
      <c r="H3220" s="1">
        <v>-3.0302199999999999E-6</v>
      </c>
      <c r="I3220">
        <v>164.05590000000001</v>
      </c>
      <c r="J3220">
        <v>-185.6422</v>
      </c>
      <c r="K3220">
        <v>1.120306</v>
      </c>
      <c r="L3220">
        <v>179.88589999999999</v>
      </c>
      <c r="M3220">
        <v>5.6702439999999996E-3</v>
      </c>
      <c r="N3220">
        <v>-1.268474E-2</v>
      </c>
      <c r="O3220">
        <v>-0.99990389999999996</v>
      </c>
      <c r="P3220">
        <v>-0.1035768</v>
      </c>
      <c r="Q3220">
        <v>0.19999800000000001</v>
      </c>
      <c r="R3220">
        <v>-0.97430669999999997</v>
      </c>
      <c r="S3220">
        <v>0.1296387</v>
      </c>
      <c r="T3220">
        <v>-0.21867310000000001</v>
      </c>
      <c r="U3220">
        <v>-3.137848</v>
      </c>
      <c r="V3220">
        <v>0.10963339999999901</v>
      </c>
      <c r="W3220">
        <v>0.2120582</v>
      </c>
      <c r="X3220">
        <v>0.9710879</v>
      </c>
      <c r="Y3220">
        <v>-3.5527549999999998E-2</v>
      </c>
      <c r="Z3220">
        <v>5.6808999999999998E-2</v>
      </c>
      <c r="AA3220">
        <v>0.99775270000000005</v>
      </c>
      <c r="AB3220">
        <v>26</v>
      </c>
      <c r="AC3220">
        <v>0.66400000000001502</v>
      </c>
      <c r="AD3220">
        <v>-1.1203090302200001</v>
      </c>
      <c r="AE3220">
        <v>-15.829999999999901</v>
      </c>
      <c r="AF3220">
        <v>-0.57136547947660898</v>
      </c>
      <c r="AG3220">
        <v>-1.1203090302200001</v>
      </c>
      <c r="AH3220">
        <v>15.7547406725486</v>
      </c>
      <c r="AI3220">
        <v>94.064754722708898</v>
      </c>
      <c r="AJ3220">
        <v>92.076993220674694</v>
      </c>
      <c r="AK3220">
        <v>15.804853827023701</v>
      </c>
      <c r="AL3220">
        <v>77.757003852556494</v>
      </c>
      <c r="AM3220">
        <v>83.558723614215097</v>
      </c>
      <c r="AN3220">
        <v>0.99999993605460202</v>
      </c>
    </row>
    <row r="3221" spans="1:40" x14ac:dyDescent="0.25">
      <c r="A3221" t="str">
        <f>"20190303162613808"</f>
        <v>20190303162613808</v>
      </c>
      <c r="B3221" t="str">
        <f>"1551601573796880"</f>
        <v>1551601573796880</v>
      </c>
      <c r="C3221" t="s">
        <v>40</v>
      </c>
      <c r="D3221">
        <v>4.7909930000000003</v>
      </c>
      <c r="E3221">
        <v>0.44596770000000002</v>
      </c>
      <c r="F3221" t="s">
        <v>41</v>
      </c>
      <c r="G3221">
        <v>-185.0308</v>
      </c>
      <c r="H3221" s="1">
        <v>-3.0244990000000002E-6</v>
      </c>
      <c r="I3221">
        <v>164.07740000000001</v>
      </c>
      <c r="J3221">
        <v>-185.64230000000001</v>
      </c>
      <c r="K3221">
        <v>1.120298</v>
      </c>
      <c r="L3221">
        <v>179.63030000000001</v>
      </c>
      <c r="M3221">
        <v>4.2705140000000004E-3</v>
      </c>
      <c r="N3221">
        <v>-1.268063E-2</v>
      </c>
      <c r="O3221">
        <v>-0.99991070000000004</v>
      </c>
      <c r="P3221">
        <v>-0.1058986</v>
      </c>
      <c r="Q3221">
        <v>0.19977590000000001</v>
      </c>
      <c r="R3221">
        <v>-0.97410240000000003</v>
      </c>
      <c r="S3221">
        <v>0.121337899999999</v>
      </c>
      <c r="T3221">
        <v>-0.2223598</v>
      </c>
      <c r="U3221">
        <v>-3.13768</v>
      </c>
      <c r="V3221">
        <v>0.1105913</v>
      </c>
      <c r="W3221">
        <v>0.2118284</v>
      </c>
      <c r="X3221">
        <v>0.97102949999999999</v>
      </c>
      <c r="Y3221">
        <v>-3.4291130000000003E-2</v>
      </c>
      <c r="Z3221">
        <v>5.7988720000000001E-2</v>
      </c>
      <c r="AA3221">
        <v>0.99772810000000001</v>
      </c>
      <c r="AB3221">
        <v>26</v>
      </c>
      <c r="AC3221">
        <v>0.61150000000000604</v>
      </c>
      <c r="AD3221">
        <v>-1.1203010244989999</v>
      </c>
      <c r="AE3221">
        <v>-15.5528999999999</v>
      </c>
      <c r="AF3221">
        <v>-0.54226100965133095</v>
      </c>
      <c r="AG3221">
        <v>-1.1203010244989999</v>
      </c>
      <c r="AH3221">
        <v>15.4751997384524</v>
      </c>
      <c r="AI3221">
        <v>94.138077343159793</v>
      </c>
      <c r="AJ3221">
        <v>92.006860074877395</v>
      </c>
      <c r="AK3221">
        <v>15.5251707988376</v>
      </c>
      <c r="AL3221">
        <v>77.770477268302798</v>
      </c>
      <c r="AM3221">
        <v>83.502535987329594</v>
      </c>
      <c r="AN3221">
        <v>0.99999999827624997</v>
      </c>
    </row>
    <row r="3222" spans="1:40" x14ac:dyDescent="0.25">
      <c r="A3222" t="str">
        <f>"20190303162613832"</f>
        <v>20190303162613832</v>
      </c>
      <c r="B3222" t="str">
        <f>"1551601573827137"</f>
        <v>1551601573827137</v>
      </c>
      <c r="C3222" t="s">
        <v>40</v>
      </c>
      <c r="D3222">
        <v>4.7874660000000002</v>
      </c>
      <c r="E3222">
        <v>0.44613180000000002</v>
      </c>
      <c r="F3222" t="s">
        <v>41</v>
      </c>
      <c r="G3222">
        <v>-185.0744</v>
      </c>
      <c r="H3222" s="1">
        <v>-2.9072829999999998E-6</v>
      </c>
      <c r="I3222">
        <v>163.80240000000001</v>
      </c>
      <c r="J3222">
        <v>-185.6429</v>
      </c>
      <c r="K3222">
        <v>1.1202920000000001</v>
      </c>
      <c r="L3222">
        <v>179.35230000000001</v>
      </c>
      <c r="M3222">
        <v>2.7494210000000002E-3</v>
      </c>
      <c r="N3222">
        <v>-1.2670499999999999E-2</v>
      </c>
      <c r="O3222">
        <v>-0.99991600000000003</v>
      </c>
      <c r="P3222">
        <v>-0.1076825</v>
      </c>
      <c r="Q3222">
        <v>0.19933229999999999</v>
      </c>
      <c r="R3222">
        <v>-0.97399780000000002</v>
      </c>
      <c r="S3222">
        <v>0.11257929999999999</v>
      </c>
      <c r="T3222">
        <v>-0.22207470000000001</v>
      </c>
      <c r="U3222">
        <v>-3.137543</v>
      </c>
      <c r="V3222">
        <v>0.1108927</v>
      </c>
      <c r="W3222">
        <v>0.21137500000000001</v>
      </c>
      <c r="X3222">
        <v>0.97109400000000001</v>
      </c>
      <c r="Y3222">
        <v>-3.303263E-2</v>
      </c>
      <c r="Z3222">
        <v>5.791702E-2</v>
      </c>
      <c r="AA3222">
        <v>0.99777479999999996</v>
      </c>
      <c r="AB3222">
        <v>26</v>
      </c>
      <c r="AC3222">
        <v>0.56850000000000001</v>
      </c>
      <c r="AD3222">
        <v>-1.120294907283</v>
      </c>
      <c r="AE3222">
        <v>-15.549899999999999</v>
      </c>
      <c r="AF3222">
        <v>-0.52303003371247803</v>
      </c>
      <c r="AG3222">
        <v>-1.120294907283</v>
      </c>
      <c r="AH3222">
        <v>15.4712082129344</v>
      </c>
      <c r="AI3222">
        <v>94.139293728703606</v>
      </c>
      <c r="AJ3222">
        <v>91.936242108896096</v>
      </c>
      <c r="AK3222">
        <v>15.5205317132957</v>
      </c>
      <c r="AL3222">
        <v>77.797057926635503</v>
      </c>
      <c r="AM3222">
        <v>83.485409170113698</v>
      </c>
      <c r="AN3222">
        <v>1.00000006918714</v>
      </c>
    </row>
    <row r="3223" spans="1:40" x14ac:dyDescent="0.25">
      <c r="A3223" t="str">
        <f>"20190303162613854"</f>
        <v>20190303162613854</v>
      </c>
      <c r="B3223" t="str">
        <f>"1551601573846656"</f>
        <v>1551601573846656</v>
      </c>
      <c r="C3223" t="s">
        <v>40</v>
      </c>
      <c r="D3223">
        <v>4.7781900000000004</v>
      </c>
      <c r="E3223">
        <v>0.44634030000000002</v>
      </c>
      <c r="F3223" t="s">
        <v>41</v>
      </c>
      <c r="G3223">
        <v>-185.1138</v>
      </c>
      <c r="H3223" s="1">
        <v>-2.8138730000000002E-6</v>
      </c>
      <c r="I3223">
        <v>163.5865</v>
      </c>
      <c r="J3223">
        <v>-185.6438</v>
      </c>
      <c r="K3223">
        <v>1.1202859999999999</v>
      </c>
      <c r="L3223">
        <v>179.0829</v>
      </c>
      <c r="M3223">
        <v>1.277802E-3</v>
      </c>
      <c r="N3223">
        <v>-1.265049E-2</v>
      </c>
      <c r="O3223">
        <v>-0.99991929999999996</v>
      </c>
      <c r="P3223">
        <v>-0.109483399999999</v>
      </c>
      <c r="Q3223">
        <v>0.19955249999999999</v>
      </c>
      <c r="R3223">
        <v>-0.97375179999999995</v>
      </c>
      <c r="S3223">
        <v>0.1052704</v>
      </c>
      <c r="T3223">
        <v>-0.222936</v>
      </c>
      <c r="U3223">
        <v>-3.1373600000000001</v>
      </c>
      <c r="V3223">
        <v>0.1112609</v>
      </c>
      <c r="W3223">
        <v>0.21157400000000001</v>
      </c>
      <c r="X3223">
        <v>0.97100850000000005</v>
      </c>
      <c r="Y3223">
        <v>-3.2183799999999999E-2</v>
      </c>
      <c r="Z3223">
        <v>5.8217409999999997E-2</v>
      </c>
      <c r="AA3223">
        <v>0.99778500000000003</v>
      </c>
      <c r="AB3223">
        <v>26</v>
      </c>
      <c r="AC3223">
        <v>0.53000000000000103</v>
      </c>
      <c r="AD3223">
        <v>-1.1202888138730001</v>
      </c>
      <c r="AE3223">
        <v>-15.4963999999999</v>
      </c>
      <c r="AF3223">
        <v>-0.507547135465095</v>
      </c>
      <c r="AG3223">
        <v>-1.1202888138730001</v>
      </c>
      <c r="AH3223">
        <v>15.416586322618301</v>
      </c>
      <c r="AI3223">
        <v>94.154007758437899</v>
      </c>
      <c r="AJ3223">
        <v>91.885619071651305</v>
      </c>
      <c r="AK3223">
        <v>15.4655677220059</v>
      </c>
      <c r="AL3223">
        <v>77.785391697204602</v>
      </c>
      <c r="AM3223">
        <v>83.463394926082302</v>
      </c>
      <c r="AN3223">
        <v>1.00000002620852</v>
      </c>
    </row>
    <row r="3224" spans="1:40" x14ac:dyDescent="0.25">
      <c r="A3224" t="str">
        <f>"20190303162613878"</f>
        <v>20190303162613878</v>
      </c>
      <c r="B3224" t="str">
        <f>"1551601573867152"</f>
        <v>1551601573867152</v>
      </c>
      <c r="C3224" t="s">
        <v>40</v>
      </c>
      <c r="D3224">
        <v>4.7743929999999999</v>
      </c>
      <c r="E3224">
        <v>0.44652639999999999</v>
      </c>
      <c r="F3224" t="s">
        <v>41</v>
      </c>
      <c r="G3224">
        <v>-185.14179999999999</v>
      </c>
      <c r="H3224" s="1">
        <v>-2.5719989999999999E-6</v>
      </c>
      <c r="I3224">
        <v>162.9759</v>
      </c>
      <c r="J3224">
        <v>-185.64519999999999</v>
      </c>
      <c r="K3224">
        <v>1.1202749999999999</v>
      </c>
      <c r="L3224">
        <v>178.80250000000001</v>
      </c>
      <c r="M3224">
        <v>-2.5178340000000003E-4</v>
      </c>
      <c r="N3224">
        <v>-1.2614139999999999E-2</v>
      </c>
      <c r="O3224">
        <v>-0.9999207</v>
      </c>
      <c r="P3224">
        <v>-0.11184910000000001</v>
      </c>
      <c r="Q3224">
        <v>0.19981109999999999</v>
      </c>
      <c r="R3224">
        <v>-0.97343020000000002</v>
      </c>
      <c r="S3224">
        <v>9.7763059999999999E-2</v>
      </c>
      <c r="T3224">
        <v>-0.2181582</v>
      </c>
      <c r="U3224">
        <v>-3.1365660000000002</v>
      </c>
      <c r="V3224">
        <v>0.11213770000000001</v>
      </c>
      <c r="W3224">
        <v>0.2117926</v>
      </c>
      <c r="X3224">
        <v>0.9708599</v>
      </c>
      <c r="Y3224">
        <v>-3.1338900000000003E-2</v>
      </c>
      <c r="Z3224">
        <v>5.6762460000000001E-2</v>
      </c>
      <c r="AA3224">
        <v>0.99789570000000005</v>
      </c>
      <c r="AB3224">
        <v>26</v>
      </c>
      <c r="AC3224">
        <v>0.50339999999999896</v>
      </c>
      <c r="AD3224">
        <v>-1.1202775719989999</v>
      </c>
      <c r="AE3224">
        <v>-15.826599999999999</v>
      </c>
      <c r="AF3224">
        <v>-0.50485816914266402</v>
      </c>
      <c r="AG3224">
        <v>-1.1202775719989999</v>
      </c>
      <c r="AH3224">
        <v>15.7476498011064</v>
      </c>
      <c r="AI3224">
        <v>94.067046900960193</v>
      </c>
      <c r="AJ3224">
        <v>91.8362319912153</v>
      </c>
      <c r="AK3224">
        <v>15.795517651142699</v>
      </c>
      <c r="AL3224">
        <v>77.772575568855302</v>
      </c>
      <c r="AM3224">
        <v>83.4113343030252</v>
      </c>
      <c r="AN3224">
        <v>0.99999995730202895</v>
      </c>
    </row>
    <row r="3225" spans="1:40" x14ac:dyDescent="0.25">
      <c r="A3225" t="str">
        <f>"20190303162613900"</f>
        <v>20190303162613900</v>
      </c>
      <c r="B3225" t="str">
        <f>"1551601573886672"</f>
        <v>1551601573886672</v>
      </c>
      <c r="C3225" t="s">
        <v>40</v>
      </c>
      <c r="D3225">
        <v>4.7901309999999997</v>
      </c>
      <c r="E3225">
        <v>0.4469612</v>
      </c>
      <c r="F3225" t="s">
        <v>41</v>
      </c>
      <c r="G3225">
        <v>-185.18260000000001</v>
      </c>
      <c r="H3225" s="1">
        <v>-2.3722509999999998E-6</v>
      </c>
      <c r="I3225">
        <v>162.48410000000001</v>
      </c>
      <c r="J3225">
        <v>-185.64680000000001</v>
      </c>
      <c r="K3225">
        <v>1.1202669999999999</v>
      </c>
      <c r="L3225">
        <v>178.55090000000001</v>
      </c>
      <c r="M3225">
        <v>-1.6240429999999999E-3</v>
      </c>
      <c r="N3225">
        <v>-1.2564519999999999E-2</v>
      </c>
      <c r="O3225">
        <v>-0.99991969999999997</v>
      </c>
      <c r="P3225">
        <v>-0.1138694</v>
      </c>
      <c r="Q3225">
        <v>0.2004988</v>
      </c>
      <c r="R3225">
        <v>-0.97305419999999998</v>
      </c>
      <c r="S3225">
        <v>8.8897710000000005E-2</v>
      </c>
      <c r="T3225">
        <v>-0.2153099</v>
      </c>
      <c r="U3225">
        <v>-3.1362920000000001</v>
      </c>
      <c r="V3225">
        <v>0.1128239</v>
      </c>
      <c r="W3225">
        <v>0.21242820000000001</v>
      </c>
      <c r="X3225">
        <v>0.97064159999999999</v>
      </c>
      <c r="Y3225">
        <v>-2.9897360000000001E-2</v>
      </c>
      <c r="Z3225">
        <v>5.5920060000000001E-2</v>
      </c>
      <c r="AA3225">
        <v>0.99798750000000003</v>
      </c>
      <c r="AB3225">
        <v>26</v>
      </c>
      <c r="AC3225">
        <v>0.464200000000005</v>
      </c>
      <c r="AD3225">
        <v>-1.120269372251</v>
      </c>
      <c r="AE3225">
        <v>-16.066800000000001</v>
      </c>
      <c r="AF3225">
        <v>-0.48792446986508597</v>
      </c>
      <c r="AG3225">
        <v>-1.120269372251</v>
      </c>
      <c r="AH3225">
        <v>15.988359450524401</v>
      </c>
      <c r="AI3225">
        <v>94.006180347268895</v>
      </c>
      <c r="AJ3225">
        <v>91.7479804068291</v>
      </c>
      <c r="AK3225">
        <v>16.034983993564499</v>
      </c>
      <c r="AL3225">
        <v>77.7353115084249</v>
      </c>
      <c r="AM3225">
        <v>83.369896721904496</v>
      </c>
      <c r="AN3225">
        <v>1.0000000441085</v>
      </c>
    </row>
    <row r="3226" spans="1:40" x14ac:dyDescent="0.25">
      <c r="A3226" t="str">
        <f>"20190303162613920"</f>
        <v>20190303162613920</v>
      </c>
      <c r="B3226" t="str">
        <f>"1551601573907168"</f>
        <v>1551601573907168</v>
      </c>
      <c r="C3226" t="s">
        <v>40</v>
      </c>
      <c r="D3226">
        <v>4.7058809999999998</v>
      </c>
      <c r="E3226">
        <v>0.47836390000000001</v>
      </c>
      <c r="F3226" t="s">
        <v>41</v>
      </c>
      <c r="G3226">
        <v>-185.21709999999999</v>
      </c>
      <c r="H3226" s="1">
        <v>-2.0804750000000002E-6</v>
      </c>
      <c r="I3226">
        <v>161.7482</v>
      </c>
      <c r="J3226">
        <v>-185.64869999999999</v>
      </c>
      <c r="K3226">
        <v>1.120252</v>
      </c>
      <c r="L3226">
        <v>178.30629999999999</v>
      </c>
      <c r="M3226">
        <v>-2.9581759999999999E-3</v>
      </c>
      <c r="N3226">
        <v>-1.2509859999999999E-2</v>
      </c>
      <c r="O3226">
        <v>-0.99991750000000001</v>
      </c>
      <c r="P3226">
        <v>-0.11605699999999999</v>
      </c>
      <c r="Q3226">
        <v>0.2004862</v>
      </c>
      <c r="R3226">
        <v>-0.97279839999999995</v>
      </c>
      <c r="S3226">
        <v>8.0184939999999996E-2</v>
      </c>
      <c r="T3226">
        <v>-0.20905360000000001</v>
      </c>
      <c r="U3226">
        <v>-3.1355439999999999</v>
      </c>
      <c r="V3226">
        <v>0.1137126</v>
      </c>
      <c r="W3226">
        <v>0.2123592</v>
      </c>
      <c r="X3226">
        <v>0.97055290000000005</v>
      </c>
      <c r="Y3226">
        <v>-2.847044E-2</v>
      </c>
      <c r="Z3226">
        <v>5.4011950000000003E-2</v>
      </c>
      <c r="AA3226">
        <v>0.99813430000000003</v>
      </c>
      <c r="AB3226">
        <v>26</v>
      </c>
      <c r="AC3226">
        <v>0.43160000000000298</v>
      </c>
      <c r="AD3226">
        <v>-1.1202540804750001</v>
      </c>
      <c r="AE3226">
        <v>-16.5580999999999</v>
      </c>
      <c r="AF3226">
        <v>-0.47839542609928098</v>
      </c>
      <c r="AG3226">
        <v>-1.1202540804750001</v>
      </c>
      <c r="AH3226">
        <v>16.4813613108312</v>
      </c>
      <c r="AI3226">
        <v>93.886836607898005</v>
      </c>
      <c r="AJ3226">
        <v>91.662626299803193</v>
      </c>
      <c r="AK3226">
        <v>16.526315440735701</v>
      </c>
      <c r="AL3226">
        <v>77.739356156922199</v>
      </c>
      <c r="AM3226">
        <v>83.317537480573506</v>
      </c>
      <c r="AN3226">
        <v>0.99999995846090395</v>
      </c>
    </row>
    <row r="3227" spans="1:40" x14ac:dyDescent="0.25">
      <c r="A3227" t="str">
        <f>"20190303162613944"</f>
        <v>20190303162613944</v>
      </c>
      <c r="B3227" t="str">
        <f>"1551601573936448"</f>
        <v>1551601573936448</v>
      </c>
      <c r="C3227" t="s">
        <v>40</v>
      </c>
      <c r="D3227">
        <v>4.6345689999999999</v>
      </c>
      <c r="E3227">
        <v>0.48198960000000002</v>
      </c>
      <c r="F3227" t="s">
        <v>47</v>
      </c>
      <c r="G3227">
        <v>-187.4469</v>
      </c>
      <c r="H3227" s="1">
        <v>-1.01301E-5</v>
      </c>
      <c r="I3227">
        <v>146.6662</v>
      </c>
      <c r="J3227">
        <v>-185.6514</v>
      </c>
      <c r="K3227">
        <v>1.120242</v>
      </c>
      <c r="L3227">
        <v>178.02510000000001</v>
      </c>
      <c r="M3227">
        <v>-4.4922579999999998E-3</v>
      </c>
      <c r="N3227">
        <v>-1.244338E-2</v>
      </c>
      <c r="O3227">
        <v>-0.99991249999999998</v>
      </c>
      <c r="P3227">
        <v>-0.1182102</v>
      </c>
      <c r="Q3227">
        <v>0.20199490000000001</v>
      </c>
      <c r="R3227">
        <v>-0.97222660000000005</v>
      </c>
      <c r="S3227">
        <v>-0.17535400000000001</v>
      </c>
      <c r="T3227">
        <v>-0.1092453</v>
      </c>
      <c r="U3227">
        <v>-3.085464</v>
      </c>
      <c r="V3227">
        <v>0.1143777</v>
      </c>
      <c r="W3227">
        <v>0.2137974</v>
      </c>
      <c r="X3227">
        <v>0.97015890000000005</v>
      </c>
      <c r="Y3227">
        <v>5.2224399999999997E-2</v>
      </c>
      <c r="Z3227">
        <v>2.2894359999999999E-2</v>
      </c>
      <c r="AA3227">
        <v>0.99837290000000001</v>
      </c>
      <c r="AB3227">
        <v>26</v>
      </c>
      <c r="AC3227">
        <v>-1.7955000000000001</v>
      </c>
      <c r="AD3227">
        <v>-1.1202521300999999</v>
      </c>
      <c r="AE3227">
        <v>-31.358899999999998</v>
      </c>
      <c r="AF3227">
        <v>1.65249672261477</v>
      </c>
      <c r="AG3227">
        <v>-1.1202521300999999</v>
      </c>
      <c r="AH3227">
        <v>31.326802186364699</v>
      </c>
      <c r="AI3227">
        <v>92.045193695692205</v>
      </c>
      <c r="AJ3227">
        <v>86.980431832495</v>
      </c>
      <c r="AK3227">
        <v>31.39035274534</v>
      </c>
      <c r="AL3227">
        <v>77.655016259714401</v>
      </c>
      <c r="AM3227">
        <v>83.276103991993907</v>
      </c>
      <c r="AN3227">
        <v>0.99999993887662797</v>
      </c>
    </row>
    <row r="3228" spans="1:40" x14ac:dyDescent="0.25">
      <c r="A3228" t="str">
        <f>"20190303162613966"</f>
        <v>20190303162613966</v>
      </c>
      <c r="B3228" t="str">
        <f>"1551601573956943"</f>
        <v>1551601573956943</v>
      </c>
      <c r="C3228" t="s">
        <v>40</v>
      </c>
      <c r="D3228">
        <v>4.6510619999999996</v>
      </c>
      <c r="E3228">
        <v>0.48166419999999999</v>
      </c>
      <c r="F3228" t="s">
        <v>47</v>
      </c>
      <c r="G3228">
        <v>-188.13550000000001</v>
      </c>
      <c r="H3228" s="1">
        <v>-8.7868429999999996E-6</v>
      </c>
      <c r="I3228">
        <v>141.80199999999999</v>
      </c>
      <c r="J3228">
        <v>-185.6541</v>
      </c>
      <c r="K3228">
        <v>1.1202379999999901</v>
      </c>
      <c r="L3228">
        <v>177.7671</v>
      </c>
      <c r="M3228">
        <v>-5.9000759999999998E-3</v>
      </c>
      <c r="N3228">
        <v>-1.238102E-2</v>
      </c>
      <c r="O3228">
        <v>-0.99990599999999996</v>
      </c>
      <c r="P3228">
        <v>-0.1209944</v>
      </c>
      <c r="Q3228">
        <v>0.20364979999999999</v>
      </c>
      <c r="R3228">
        <v>-0.97153880000000004</v>
      </c>
      <c r="S3228">
        <v>-0.21121219999999999</v>
      </c>
      <c r="T3228">
        <v>-9.5247269999999995E-2</v>
      </c>
      <c r="U3228">
        <v>-3.0798030000000001</v>
      </c>
      <c r="V3228">
        <v>0.1157995</v>
      </c>
      <c r="W3228">
        <v>0.2153823</v>
      </c>
      <c r="X3228">
        <v>0.96963960000000005</v>
      </c>
      <c r="Y3228">
        <v>6.2502769999999999E-2</v>
      </c>
      <c r="Z3228">
        <v>1.846944E-2</v>
      </c>
      <c r="AA3228">
        <v>0.99787389999999998</v>
      </c>
      <c r="AB3228">
        <v>26</v>
      </c>
      <c r="AC3228">
        <v>-2.4813999999999998</v>
      </c>
      <c r="AD3228">
        <v>-1.1202467868429999</v>
      </c>
      <c r="AE3228">
        <v>-35.9650999999999</v>
      </c>
      <c r="AF3228">
        <v>2.2669547282300502</v>
      </c>
      <c r="AG3228">
        <v>-1.1202467868429999</v>
      </c>
      <c r="AH3228">
        <v>35.944407147970701</v>
      </c>
      <c r="AI3228">
        <v>91.781570451119805</v>
      </c>
      <c r="AJ3228">
        <v>86.391228987412802</v>
      </c>
      <c r="AK3228">
        <v>36.033240789892403</v>
      </c>
      <c r="AL3228">
        <v>77.562043118845295</v>
      </c>
      <c r="AM3228">
        <v>83.189689251919802</v>
      </c>
      <c r="AN3228">
        <v>1.0000000066208401</v>
      </c>
    </row>
    <row r="3229" spans="1:40" x14ac:dyDescent="0.25">
      <c r="A3229" t="str">
        <f>"20190303162613987"</f>
        <v>20190303162613987</v>
      </c>
      <c r="B3229" t="str">
        <f>"1551601573976464"</f>
        <v>1551601573976464</v>
      </c>
      <c r="C3229" t="s">
        <v>40</v>
      </c>
      <c r="D3229">
        <v>4.6560090000000001</v>
      </c>
      <c r="E3229">
        <v>0.48142259999999998</v>
      </c>
      <c r="F3229" t="s">
        <v>47</v>
      </c>
      <c r="G3229">
        <v>-188.49250000000001</v>
      </c>
      <c r="H3229" s="1">
        <v>-7.4011969999999997E-6</v>
      </c>
      <c r="I3229">
        <v>137.321</v>
      </c>
      <c r="J3229">
        <v>-185.65710000000001</v>
      </c>
      <c r="K3229">
        <v>1.120236</v>
      </c>
      <c r="L3229">
        <v>177.52529999999999</v>
      </c>
      <c r="M3229">
        <v>-7.2185829999999998E-3</v>
      </c>
      <c r="N3229">
        <v>-1.2320960000000001E-2</v>
      </c>
      <c r="O3229">
        <v>-0.99989810000000001</v>
      </c>
      <c r="P3229">
        <v>-0.1245539</v>
      </c>
      <c r="Q3229">
        <v>0.20402439999999999</v>
      </c>
      <c r="R3229">
        <v>-0.97101020000000005</v>
      </c>
      <c r="S3229">
        <v>-0.21606449999999999</v>
      </c>
      <c r="T3229">
        <v>-8.5276370000000004E-2</v>
      </c>
      <c r="U3229">
        <v>-3.0788730000000002</v>
      </c>
      <c r="V3229">
        <v>0.1180813</v>
      </c>
      <c r="W3229">
        <v>0.21568870000000001</v>
      </c>
      <c r="X3229">
        <v>0.96929620000000005</v>
      </c>
      <c r="Y3229">
        <v>6.2777440000000004E-2</v>
      </c>
      <c r="Z3229">
        <v>1.5309100000000001E-2</v>
      </c>
      <c r="AA3229">
        <v>0.99791010000000002</v>
      </c>
      <c r="AB3229">
        <v>26</v>
      </c>
      <c r="AC3229">
        <v>-2.8353999999999902</v>
      </c>
      <c r="AD3229">
        <v>-1.1202434011969999</v>
      </c>
      <c r="AE3229">
        <v>-40.204299999999897</v>
      </c>
      <c r="AF3229">
        <v>2.5431213435587599</v>
      </c>
      <c r="AG3229">
        <v>-1.1202434011969999</v>
      </c>
      <c r="AH3229">
        <v>40.1926707304536</v>
      </c>
      <c r="AI3229">
        <v>91.593340421686804</v>
      </c>
      <c r="AJ3229">
        <v>86.379535560465797</v>
      </c>
      <c r="AK3229">
        <v>40.288623603849402</v>
      </c>
      <c r="AL3229">
        <v>77.544064623898905</v>
      </c>
      <c r="AM3229">
        <v>83.054355453781199</v>
      </c>
      <c r="AN3229">
        <v>0.99999996602590902</v>
      </c>
    </row>
    <row r="3230" spans="1:40" x14ac:dyDescent="0.25">
      <c r="A3230" t="str">
        <f>"20190303162614010"</f>
        <v>20190303162614010</v>
      </c>
      <c r="B3230" t="str">
        <f>"1551601573996960"</f>
        <v>1551601573996960</v>
      </c>
      <c r="C3230" t="s">
        <v>40</v>
      </c>
      <c r="D3230">
        <v>4.622833</v>
      </c>
      <c r="E3230">
        <v>0.4810721</v>
      </c>
      <c r="F3230" t="s">
        <v>47</v>
      </c>
      <c r="G3230">
        <v>-188.73759999999999</v>
      </c>
      <c r="H3230" s="1">
        <v>-6.7412890000000001E-6</v>
      </c>
      <c r="I3230">
        <v>135.30250000000001</v>
      </c>
      <c r="J3230">
        <v>-185.66069999999999</v>
      </c>
      <c r="K3230">
        <v>1.1202299999999901</v>
      </c>
      <c r="L3230">
        <v>177.2535</v>
      </c>
      <c r="M3230">
        <v>-8.7003180000000003E-3</v>
      </c>
      <c r="N3230">
        <v>-1.225501E-2</v>
      </c>
      <c r="O3230">
        <v>-0.99988730000000003</v>
      </c>
      <c r="P3230">
        <v>-0.1276535</v>
      </c>
      <c r="Q3230">
        <v>0.20354</v>
      </c>
      <c r="R3230">
        <v>-0.97070959999999995</v>
      </c>
      <c r="S3230">
        <v>-0.2245636</v>
      </c>
      <c r="T3230">
        <v>-8.1663009999999994E-2</v>
      </c>
      <c r="U3230">
        <v>-3.0779420000000002</v>
      </c>
      <c r="V3230">
        <v>0.1197418</v>
      </c>
      <c r="W3230">
        <v>0.21513450000000001</v>
      </c>
      <c r="X3230">
        <v>0.96921570000000001</v>
      </c>
      <c r="Y3230">
        <v>6.4062419999999995E-2</v>
      </c>
      <c r="Z3230">
        <v>1.4209670000000001E-2</v>
      </c>
      <c r="AA3230">
        <v>0.99784470000000003</v>
      </c>
      <c r="AB3230">
        <v>26</v>
      </c>
      <c r="AC3230">
        <v>-3.07689999999999</v>
      </c>
      <c r="AD3230">
        <v>-1.12023674128899</v>
      </c>
      <c r="AE3230">
        <v>-41.950999999999901</v>
      </c>
      <c r="AF3230">
        <v>2.7098471813277998</v>
      </c>
      <c r="AG3230">
        <v>-1.12023674128899</v>
      </c>
      <c r="AH3230">
        <v>41.946433100329998</v>
      </c>
      <c r="AI3230">
        <v>91.526617519707301</v>
      </c>
      <c r="AJ3230">
        <v>86.303682138740996</v>
      </c>
      <c r="AK3230">
        <v>42.048798460159901</v>
      </c>
      <c r="AL3230">
        <v>77.576581915885299</v>
      </c>
      <c r="AM3230">
        <v>82.957078413450404</v>
      </c>
      <c r="AN3230">
        <v>1.0000000124419799</v>
      </c>
    </row>
    <row r="3231" spans="1:40" x14ac:dyDescent="0.25">
      <c r="A3231" t="str">
        <f>"20190303162614033"</f>
        <v>20190303162614033</v>
      </c>
      <c r="B3231" t="str">
        <f>"1551601574026240"</f>
        <v>1551601574026240</v>
      </c>
      <c r="C3231" t="s">
        <v>40</v>
      </c>
      <c r="D3231">
        <v>4.6392540000000002</v>
      </c>
      <c r="E3231">
        <v>0.48044599999999998</v>
      </c>
      <c r="F3231" t="s">
        <v>47</v>
      </c>
      <c r="G3231">
        <v>-188.75210000000001</v>
      </c>
      <c r="H3231" s="1">
        <v>-6.9898460000000004E-6</v>
      </c>
      <c r="I3231">
        <v>136.0822</v>
      </c>
      <c r="J3231">
        <v>-185.66480000000001</v>
      </c>
      <c r="K3231">
        <v>1.1202219999999901</v>
      </c>
      <c r="L3231">
        <v>176.9787</v>
      </c>
      <c r="M3231">
        <v>-1.0197589999999999E-2</v>
      </c>
      <c r="N3231">
        <v>-1.219372E-2</v>
      </c>
      <c r="O3231">
        <v>-0.99987380000000003</v>
      </c>
      <c r="P3231">
        <v>-0.13029649999999901</v>
      </c>
      <c r="Q3231">
        <v>0.20314280000000001</v>
      </c>
      <c r="R3231">
        <v>-0.9704412</v>
      </c>
      <c r="S3231">
        <v>-0.23109440000000001</v>
      </c>
      <c r="T3231">
        <v>-8.374202E-2</v>
      </c>
      <c r="U3231">
        <v>-3.0777130000000001</v>
      </c>
      <c r="V3231">
        <v>0.120931399999999</v>
      </c>
      <c r="W3231">
        <v>0.214674</v>
      </c>
      <c r="X3231">
        <v>0.96917010000000003</v>
      </c>
      <c r="Y3231">
        <v>6.4678150000000004E-2</v>
      </c>
      <c r="Z3231">
        <v>1.494377E-2</v>
      </c>
      <c r="AA3231">
        <v>0.99779430000000002</v>
      </c>
      <c r="AB3231">
        <v>26</v>
      </c>
      <c r="AC3231">
        <v>-3.0872999999999902</v>
      </c>
      <c r="AD3231">
        <v>-1.1202289898459901</v>
      </c>
      <c r="AE3231">
        <v>-40.896500000000003</v>
      </c>
      <c r="AF3231">
        <v>2.6680722200021099</v>
      </c>
      <c r="AG3231">
        <v>-1.1202289898459901</v>
      </c>
      <c r="AH3231">
        <v>40.895348196547801</v>
      </c>
      <c r="AI3231">
        <v>91.565759609207902</v>
      </c>
      <c r="AJ3231">
        <v>86.267229813875602</v>
      </c>
      <c r="AK3231">
        <v>40.997597813502701</v>
      </c>
      <c r="AL3231">
        <v>77.603597768298798</v>
      </c>
      <c r="AM3231">
        <v>82.887490897633995</v>
      </c>
      <c r="AN3231">
        <v>1.0000000062579799</v>
      </c>
    </row>
    <row r="3232" spans="1:40" x14ac:dyDescent="0.25">
      <c r="A3232" t="str">
        <f>"20190303162614056"</f>
        <v>20190303162614056</v>
      </c>
      <c r="B3232" t="str">
        <f>"1551601574046736"</f>
        <v>1551601574046736</v>
      </c>
      <c r="C3232" t="s">
        <v>40</v>
      </c>
      <c r="D3232">
        <v>4.6418999999999997</v>
      </c>
      <c r="E3232">
        <v>0.48054360000000002</v>
      </c>
      <c r="F3232" t="s">
        <v>47</v>
      </c>
      <c r="G3232">
        <v>-188.65360000000001</v>
      </c>
      <c r="H3232" s="1">
        <v>-7.4950030000000001E-6</v>
      </c>
      <c r="I3232">
        <v>137.64349999999999</v>
      </c>
      <c r="J3232">
        <v>-185.66909999999999</v>
      </c>
      <c r="K3232">
        <v>1.120215</v>
      </c>
      <c r="L3232">
        <v>176.7133</v>
      </c>
      <c r="M3232">
        <v>-1.164365E-2</v>
      </c>
      <c r="N3232">
        <v>-1.2140410000000001E-2</v>
      </c>
      <c r="O3232">
        <v>-0.99985869999999999</v>
      </c>
      <c r="P3232">
        <v>-0.1326012</v>
      </c>
      <c r="Q3232">
        <v>0.20397750000000001</v>
      </c>
      <c r="R3232">
        <v>-0.96995399999999998</v>
      </c>
      <c r="S3232">
        <v>-0.233902</v>
      </c>
      <c r="T3232">
        <v>-8.7668300000000005E-2</v>
      </c>
      <c r="U3232">
        <v>-3.0783390000000002</v>
      </c>
      <c r="V3232">
        <v>0.12183869999999999</v>
      </c>
      <c r="W3232">
        <v>0.21545120000000001</v>
      </c>
      <c r="X3232">
        <v>0.96888390000000002</v>
      </c>
      <c r="Y3232">
        <v>6.412284E-2</v>
      </c>
      <c r="Z3232">
        <v>1.6262240000000001E-2</v>
      </c>
      <c r="AA3232">
        <v>0.99780950000000002</v>
      </c>
      <c r="AB3232">
        <v>26</v>
      </c>
      <c r="AC3232">
        <v>-2.9845000000000201</v>
      </c>
      <c r="AD3232">
        <v>-1.120222495003</v>
      </c>
      <c r="AE3232">
        <v>-39.069800000000001</v>
      </c>
      <c r="AF3232">
        <v>2.52728350058864</v>
      </c>
      <c r="AG3232">
        <v>-1.120222495003</v>
      </c>
      <c r="AH3232">
        <v>39.069970913517402</v>
      </c>
      <c r="AI3232">
        <v>91.6389233773005</v>
      </c>
      <c r="AJ3232">
        <v>86.298916663581807</v>
      </c>
      <c r="AK3232">
        <v>39.167648480777601</v>
      </c>
      <c r="AL3232">
        <v>77.557999813304207</v>
      </c>
      <c r="AM3232">
        <v>82.832586625598395</v>
      </c>
      <c r="AN3232">
        <v>0.99999995003916797</v>
      </c>
    </row>
    <row r="3233" spans="1:40" x14ac:dyDescent="0.25">
      <c r="A3233" t="str">
        <f>"20190303162614078"</f>
        <v>20190303162614078</v>
      </c>
      <c r="B3233" t="str">
        <f>"1551601574066255"</f>
        <v>1551601574066255</v>
      </c>
      <c r="C3233" t="s">
        <v>40</v>
      </c>
      <c r="D3233">
        <v>4.6250410000000004</v>
      </c>
      <c r="E3233">
        <v>0.48048570000000002</v>
      </c>
      <c r="F3233" t="s">
        <v>47</v>
      </c>
      <c r="G3233">
        <v>-188.70689999999999</v>
      </c>
      <c r="H3233" s="1">
        <v>-7.5703689999999998E-6</v>
      </c>
      <c r="I3233">
        <v>137.8888</v>
      </c>
      <c r="J3233">
        <v>-185.6738</v>
      </c>
      <c r="K3233">
        <v>1.120214</v>
      </c>
      <c r="L3233">
        <v>176.4521</v>
      </c>
      <c r="M3233">
        <v>-1.3064940000000001E-2</v>
      </c>
      <c r="N3233">
        <v>-1.2093069999999999E-2</v>
      </c>
      <c r="O3233">
        <v>-0.9998416</v>
      </c>
      <c r="P3233">
        <v>-0.134855</v>
      </c>
      <c r="Q3233">
        <v>0.2043025</v>
      </c>
      <c r="R3233">
        <v>-0.96957459999999995</v>
      </c>
      <c r="S3233">
        <v>-0.24089050000000001</v>
      </c>
      <c r="T3233">
        <v>-8.8831419999999994E-2</v>
      </c>
      <c r="U3233">
        <v>-3.0787049999999998</v>
      </c>
      <c r="V3233">
        <v>0.1227172</v>
      </c>
      <c r="W3233">
        <v>0.21572549999999999</v>
      </c>
      <c r="X3233">
        <v>0.96871200000000002</v>
      </c>
      <c r="Y3233">
        <v>6.4946069999999995E-2</v>
      </c>
      <c r="Z3233">
        <v>1.667946E-2</v>
      </c>
      <c r="AA3233">
        <v>0.99774940000000001</v>
      </c>
      <c r="AB3233">
        <v>26</v>
      </c>
      <c r="AC3233">
        <v>-3.0330999999999899</v>
      </c>
      <c r="AD3233">
        <v>-1.1202215703689999</v>
      </c>
      <c r="AE3233">
        <v>-38.563299999999998</v>
      </c>
      <c r="AF3233">
        <v>2.5268579311527501</v>
      </c>
      <c r="AG3233">
        <v>-1.1202215703689999</v>
      </c>
      <c r="AH3233">
        <v>38.567293818658598</v>
      </c>
      <c r="AI3233">
        <v>91.660181969162196</v>
      </c>
      <c r="AJ3233">
        <v>86.251443835494996</v>
      </c>
      <c r="AK3233">
        <v>38.666213415146998</v>
      </c>
      <c r="AL3233">
        <v>77.5419053642986</v>
      </c>
      <c r="AM3233">
        <v>82.780182831372798</v>
      </c>
      <c r="AN3233">
        <v>0.99999997073504399</v>
      </c>
    </row>
    <row r="3234" spans="1:40" x14ac:dyDescent="0.25">
      <c r="A3234" t="str">
        <f>"20190303162614100"</f>
        <v>20190303162614100</v>
      </c>
      <c r="B3234" t="str">
        <f>"1551601574086752"</f>
        <v>1551601574086752</v>
      </c>
      <c r="C3234" t="s">
        <v>40</v>
      </c>
      <c r="D3234">
        <v>4.6923459999999997</v>
      </c>
      <c r="E3234">
        <v>0.48055940000000003</v>
      </c>
      <c r="F3234" t="s">
        <v>47</v>
      </c>
      <c r="G3234">
        <v>-188.6943</v>
      </c>
      <c r="H3234" s="1">
        <v>-7.8275620000000005E-6</v>
      </c>
      <c r="I3234">
        <v>138.6617</v>
      </c>
      <c r="J3234">
        <v>-185.6788</v>
      </c>
      <c r="K3234">
        <v>1.120209</v>
      </c>
      <c r="L3234">
        <v>176.1926</v>
      </c>
      <c r="M3234">
        <v>-1.4471889999999999E-2</v>
      </c>
      <c r="N3234">
        <v>-1.2051330000000001E-2</v>
      </c>
      <c r="O3234">
        <v>-0.99982289999999996</v>
      </c>
      <c r="P3234">
        <v>-0.13728889999999999</v>
      </c>
      <c r="Q3234">
        <v>0.20271230000000001</v>
      </c>
      <c r="R3234">
        <v>-0.96956710000000002</v>
      </c>
      <c r="S3234">
        <v>-0.24610899999999999</v>
      </c>
      <c r="T3234">
        <v>-9.1275809999999999E-2</v>
      </c>
      <c r="U3234">
        <v>-3.0791629999999999</v>
      </c>
      <c r="V3234">
        <v>0.1237791</v>
      </c>
      <c r="W3234">
        <v>0.21409549999999999</v>
      </c>
      <c r="X3234">
        <v>0.96893850000000004</v>
      </c>
      <c r="Y3234">
        <v>6.5209370000000003E-2</v>
      </c>
      <c r="Z3234">
        <v>1.7505550000000002E-2</v>
      </c>
      <c r="AA3234">
        <v>0.99771799999999999</v>
      </c>
      <c r="AB3234">
        <v>26</v>
      </c>
      <c r="AC3234">
        <v>-3.0154999999999998</v>
      </c>
      <c r="AD3234">
        <v>-1.1202168275619999</v>
      </c>
      <c r="AE3234">
        <v>-37.530900000000003</v>
      </c>
      <c r="AF3234">
        <v>2.46981556391016</v>
      </c>
      <c r="AG3234">
        <v>-1.1202168275619999</v>
      </c>
      <c r="AH3234">
        <v>37.537384873340002</v>
      </c>
      <c r="AI3234">
        <v>91.705667444478294</v>
      </c>
      <c r="AJ3234">
        <v>86.235584018678594</v>
      </c>
      <c r="AK3234">
        <v>37.6352246942905</v>
      </c>
      <c r="AL3234">
        <v>77.637532085643301</v>
      </c>
      <c r="AM3234">
        <v>82.7200597062604</v>
      </c>
      <c r="AN3234">
        <v>0.99999998274965496</v>
      </c>
    </row>
    <row r="3235" spans="1:40" x14ac:dyDescent="0.25">
      <c r="A3235" t="str">
        <f>"20190303162614123"</f>
        <v>20190303162614123</v>
      </c>
      <c r="B3235" t="str">
        <f>"1551601574117008"</f>
        <v>1551601574117008</v>
      </c>
      <c r="C3235" t="s">
        <v>40</v>
      </c>
      <c r="D3235">
        <v>4.711462</v>
      </c>
      <c r="E3235">
        <v>0.48058070000000003</v>
      </c>
      <c r="F3235" t="s">
        <v>47</v>
      </c>
      <c r="G3235">
        <v>-188.50729999999999</v>
      </c>
      <c r="H3235" s="1">
        <v>-8.7549449999999996E-6</v>
      </c>
      <c r="I3235">
        <v>141.8049</v>
      </c>
      <c r="J3235">
        <v>-185.68430000000001</v>
      </c>
      <c r="K3235">
        <v>1.1202030000000001</v>
      </c>
      <c r="L3235">
        <v>175.92779999999999</v>
      </c>
      <c r="M3235">
        <v>-1.590254E-2</v>
      </c>
      <c r="N3235">
        <v>-1.2013630000000001E-2</v>
      </c>
      <c r="O3235">
        <v>-0.99980139999999995</v>
      </c>
      <c r="P3235">
        <v>-0.14025989999999999</v>
      </c>
      <c r="Q3235">
        <v>0.200632</v>
      </c>
      <c r="R3235">
        <v>-0.96957439999999995</v>
      </c>
      <c r="S3235">
        <v>-0.25328060000000002</v>
      </c>
      <c r="T3235">
        <v>-0.100311</v>
      </c>
      <c r="U3235">
        <v>-3.079285</v>
      </c>
      <c r="V3235">
        <v>0.1253523</v>
      </c>
      <c r="W3235">
        <v>0.21197849999999999</v>
      </c>
      <c r="X3235">
        <v>0.96920170000000005</v>
      </c>
      <c r="Y3235">
        <v>6.6080940000000005E-2</v>
      </c>
      <c r="Z3235">
        <v>2.0460530000000001E-2</v>
      </c>
      <c r="AA3235">
        <v>0.99760450000000001</v>
      </c>
      <c r="AB3235">
        <v>26</v>
      </c>
      <c r="AC3235">
        <v>-2.8229999999999702</v>
      </c>
      <c r="AD3235">
        <v>-1.1202117549449999</v>
      </c>
      <c r="AE3235">
        <v>-34.122899999999902</v>
      </c>
      <c r="AF3235">
        <v>2.2775251781090202</v>
      </c>
      <c r="AG3235">
        <v>-1.1202117549449999</v>
      </c>
      <c r="AH3235">
        <v>34.126951045032698</v>
      </c>
      <c r="AI3235">
        <v>91.875880064133</v>
      </c>
      <c r="AJ3235">
        <v>86.181921826599293</v>
      </c>
      <c r="AK3235">
        <v>34.221203703886502</v>
      </c>
      <c r="AL3235">
        <v>77.761677469135606</v>
      </c>
      <c r="AM3235">
        <v>82.630524750265906</v>
      </c>
      <c r="AN3235">
        <v>1.0000000094302099</v>
      </c>
    </row>
    <row r="3236" spans="1:40" x14ac:dyDescent="0.25">
      <c r="A3236" t="str">
        <f>"20190303162614146"</f>
        <v>20190303162614146</v>
      </c>
      <c r="B3236" t="str">
        <f>"1551601574136529"</f>
        <v>1551601574136529</v>
      </c>
      <c r="C3236" t="s">
        <v>40</v>
      </c>
      <c r="D3236">
        <v>4.7199200000000001</v>
      </c>
      <c r="E3236">
        <v>0.48059059999999998</v>
      </c>
      <c r="F3236" t="s">
        <v>47</v>
      </c>
      <c r="G3236">
        <v>-188.29</v>
      </c>
      <c r="H3236" s="1">
        <v>-9.7087849999999999E-6</v>
      </c>
      <c r="I3236">
        <v>145.3494</v>
      </c>
      <c r="J3236">
        <v>-185.69030000000001</v>
      </c>
      <c r="K3236">
        <v>1.1202030000000001</v>
      </c>
      <c r="L3236">
        <v>175.6559</v>
      </c>
      <c r="M3236">
        <v>-1.7361649999999999E-2</v>
      </c>
      <c r="N3236">
        <v>-1.197965E-2</v>
      </c>
      <c r="O3236">
        <v>-0.99977749999999999</v>
      </c>
      <c r="P3236">
        <v>-0.1436027</v>
      </c>
      <c r="Q3236">
        <v>0.19853280000000001</v>
      </c>
      <c r="R3236">
        <v>-0.96951699999999996</v>
      </c>
      <c r="S3236">
        <v>-0.26242070000000001</v>
      </c>
      <c r="T3236">
        <v>-0.11281629999999999</v>
      </c>
      <c r="U3236">
        <v>-3.0795439999999998</v>
      </c>
      <c r="V3236">
        <v>0.12726899999999999</v>
      </c>
      <c r="W3236">
        <v>0.20984559999999999</v>
      </c>
      <c r="X3236">
        <v>0.96941600000000006</v>
      </c>
      <c r="Y3236">
        <v>6.7548300000000006E-2</v>
      </c>
      <c r="Z3236">
        <v>2.4528000000000001E-2</v>
      </c>
      <c r="AA3236">
        <v>0.99741449999999998</v>
      </c>
      <c r="AB3236">
        <v>26</v>
      </c>
      <c r="AC3236">
        <v>-2.5996999999999799</v>
      </c>
      <c r="AD3236">
        <v>-1.120212708785</v>
      </c>
      <c r="AE3236">
        <v>-30.3065</v>
      </c>
      <c r="AF3236">
        <v>2.0702916257093298</v>
      </c>
      <c r="AG3236">
        <v>-1.120212708785</v>
      </c>
      <c r="AH3236">
        <v>30.305966714942102</v>
      </c>
      <c r="AI3236">
        <v>92.111967508006103</v>
      </c>
      <c r="AJ3236">
        <v>86.092024710242498</v>
      </c>
      <c r="AK3236">
        <v>30.397246626225598</v>
      </c>
      <c r="AL3236">
        <v>77.886695558065</v>
      </c>
      <c r="AM3236">
        <v>82.520743604240707</v>
      </c>
      <c r="AN3236">
        <v>0.99999997762817905</v>
      </c>
    </row>
    <row r="3237" spans="1:40" x14ac:dyDescent="0.25">
      <c r="A3237" t="str">
        <f>"20190303162614166"</f>
        <v>20190303162614166</v>
      </c>
      <c r="B3237" t="str">
        <f>"1551601574157024"</f>
        <v>1551601574157024</v>
      </c>
      <c r="C3237" t="s">
        <v>40</v>
      </c>
      <c r="D3237">
        <v>4.7452819999999996</v>
      </c>
      <c r="E3237">
        <v>0.4806453</v>
      </c>
      <c r="F3237" t="s">
        <v>47</v>
      </c>
      <c r="G3237">
        <v>-188.20330000000001</v>
      </c>
      <c r="H3237" s="1">
        <v>-1.0222860000000001E-5</v>
      </c>
      <c r="I3237">
        <v>147.26990000000001</v>
      </c>
      <c r="J3237">
        <v>-185.6961</v>
      </c>
      <c r="K3237">
        <v>1.120201</v>
      </c>
      <c r="L3237">
        <v>175.41050000000001</v>
      </c>
      <c r="M3237">
        <v>-1.866895E-2</v>
      </c>
      <c r="N3237">
        <v>-1.195265E-2</v>
      </c>
      <c r="O3237">
        <v>-0.99975440000000004</v>
      </c>
      <c r="P3237">
        <v>-0.148206</v>
      </c>
      <c r="Q3237">
        <v>0.19690830000000001</v>
      </c>
      <c r="R3237">
        <v>-0.96915560000000001</v>
      </c>
      <c r="S3237">
        <v>-0.27256770000000002</v>
      </c>
      <c r="T3237">
        <v>-0.1215014</v>
      </c>
      <c r="U3237">
        <v>-3.078827</v>
      </c>
      <c r="V3237">
        <v>0.13059949999999901</v>
      </c>
      <c r="W3237">
        <v>0.20818790000000001</v>
      </c>
      <c r="X3237">
        <v>0.96933049999999998</v>
      </c>
      <c r="Y3237">
        <v>6.9517659999999995E-2</v>
      </c>
      <c r="Z3237">
        <v>2.736179E-2</v>
      </c>
      <c r="AA3237">
        <v>0.99720540000000002</v>
      </c>
      <c r="AB3237">
        <v>26</v>
      </c>
      <c r="AC3237">
        <v>-2.5072000000000099</v>
      </c>
      <c r="AD3237">
        <v>-1.1202112228600001</v>
      </c>
      <c r="AE3237">
        <v>-28.140599999999999</v>
      </c>
      <c r="AF3237">
        <v>1.97825990442866</v>
      </c>
      <c r="AG3237">
        <v>-1.1202112228600001</v>
      </c>
      <c r="AH3237">
        <v>28.138266965464702</v>
      </c>
      <c r="AI3237">
        <v>92.274188095879495</v>
      </c>
      <c r="AJ3237">
        <v>85.978439361713797</v>
      </c>
      <c r="AK3237">
        <v>28.229956664030698</v>
      </c>
      <c r="AL3237">
        <v>77.983820640870206</v>
      </c>
      <c r="AM3237">
        <v>82.326652753878093</v>
      </c>
      <c r="AN3237">
        <v>1.0000000246684499</v>
      </c>
    </row>
    <row r="3238" spans="1:40" x14ac:dyDescent="0.25">
      <c r="A3238" t="str">
        <f>"20190303162614188"</f>
        <v>20190303162614188</v>
      </c>
      <c r="B3238" t="str">
        <f>"1551601574176545"</f>
        <v>1551601574176545</v>
      </c>
      <c r="C3238" t="s">
        <v>40</v>
      </c>
      <c r="D3238">
        <v>4.7070429999999996</v>
      </c>
      <c r="E3238">
        <v>0.50295559999999995</v>
      </c>
      <c r="F3238" t="s">
        <v>47</v>
      </c>
      <c r="G3238">
        <v>-188.1858</v>
      </c>
      <c r="H3238" s="1">
        <v>-1.0586619999999999E-5</v>
      </c>
      <c r="I3238">
        <v>148.614</v>
      </c>
      <c r="J3238">
        <v>-185.70230000000001</v>
      </c>
      <c r="K3238">
        <v>1.120206</v>
      </c>
      <c r="L3238">
        <v>175.15960000000001</v>
      </c>
      <c r="M3238">
        <v>-1.9995789999999999E-2</v>
      </c>
      <c r="N3238">
        <v>-1.1928350000000001E-2</v>
      </c>
      <c r="O3238">
        <v>-0.99972899999999998</v>
      </c>
      <c r="P3238">
        <v>-0.15295429999999999</v>
      </c>
      <c r="Q3238">
        <v>0.19505420000000001</v>
      </c>
      <c r="R3238">
        <v>-0.9687926</v>
      </c>
      <c r="S3238">
        <v>-0.28598020000000002</v>
      </c>
      <c r="T3238">
        <v>-0.1286707</v>
      </c>
      <c r="U3238">
        <v>-3.0779109999999998</v>
      </c>
      <c r="V3238">
        <v>0.13405610000000001</v>
      </c>
      <c r="W3238">
        <v>0.2063033</v>
      </c>
      <c r="X3238">
        <v>0.9692615</v>
      </c>
      <c r="Y3238">
        <v>7.2521370000000002E-2</v>
      </c>
      <c r="Z3238">
        <v>2.970122E-2</v>
      </c>
      <c r="AA3238">
        <v>0.99692449999999999</v>
      </c>
      <c r="AB3238">
        <v>26</v>
      </c>
      <c r="AC3238">
        <v>-2.48349999999999</v>
      </c>
      <c r="AD3238">
        <v>-1.12021658662</v>
      </c>
      <c r="AE3238">
        <v>-26.5456</v>
      </c>
      <c r="AF3238">
        <v>1.94872522110883</v>
      </c>
      <c r="AG3238">
        <v>-1.12021658662</v>
      </c>
      <c r="AH3238">
        <v>26.543096684410699</v>
      </c>
      <c r="AI3238">
        <v>92.410179941376896</v>
      </c>
      <c r="AJ3238">
        <v>85.801026180051593</v>
      </c>
      <c r="AK3238">
        <v>26.638100472561799</v>
      </c>
      <c r="AL3238">
        <v>78.094196032224801</v>
      </c>
      <c r="AM3238">
        <v>82.125522622214604</v>
      </c>
      <c r="AN3238">
        <v>0.99999997246017402</v>
      </c>
    </row>
    <row r="3239" spans="1:40" x14ac:dyDescent="0.25">
      <c r="A3239" t="str">
        <f>"20190303162614212"</f>
        <v>20190303162614212</v>
      </c>
      <c r="B3239" t="str">
        <f>"1551601574206799"</f>
        <v>1551601574206799</v>
      </c>
      <c r="C3239" t="s">
        <v>40</v>
      </c>
      <c r="D3239">
        <v>4.735589</v>
      </c>
      <c r="E3239">
        <v>0.50385950000000002</v>
      </c>
      <c r="F3239" t="s">
        <v>42</v>
      </c>
      <c r="G3239">
        <v>-185.83439999999999</v>
      </c>
      <c r="H3239">
        <v>1.047018</v>
      </c>
      <c r="I3239">
        <v>174.30670000000001</v>
      </c>
      <c r="J3239">
        <v>-185.7097</v>
      </c>
      <c r="K3239">
        <v>1.1202099999999999</v>
      </c>
      <c r="L3239">
        <v>174.87610000000001</v>
      </c>
      <c r="M3239">
        <v>-2.1484820000000002E-2</v>
      </c>
      <c r="N3239">
        <v>-1.1904400000000001E-2</v>
      </c>
      <c r="O3239">
        <v>-0.99969839999999999</v>
      </c>
      <c r="P3239">
        <v>-0.15780749999999999</v>
      </c>
      <c r="Q3239">
        <v>0.19442490000000001</v>
      </c>
      <c r="R3239">
        <v>-0.96814049999999996</v>
      </c>
      <c r="S3239">
        <v>-0.4759216</v>
      </c>
      <c r="T3239">
        <v>-0.2638643</v>
      </c>
      <c r="U3239">
        <v>-3.0746310000000001</v>
      </c>
      <c r="V3239">
        <v>0.1374696</v>
      </c>
      <c r="W3239">
        <v>0.2056402</v>
      </c>
      <c r="X3239">
        <v>0.96892420000000001</v>
      </c>
      <c r="Y3239">
        <v>0.131218899999999</v>
      </c>
      <c r="Z3239">
        <v>7.2758820000000002E-2</v>
      </c>
      <c r="AA3239">
        <v>0.9886798</v>
      </c>
      <c r="AB3239">
        <v>26</v>
      </c>
      <c r="AC3239">
        <v>-0.12469999999999</v>
      </c>
      <c r="AD3239">
        <v>-7.3191999999999896E-2</v>
      </c>
      <c r="AE3239">
        <v>-0.56940000000000102</v>
      </c>
      <c r="AF3239">
        <v>0.110691624339029</v>
      </c>
      <c r="AG3239">
        <v>-7.3191999999999896E-2</v>
      </c>
      <c r="AH3239">
        <v>0.56307001872680695</v>
      </c>
      <c r="AI3239">
        <v>97.268611621454198</v>
      </c>
      <c r="AJ3239">
        <v>78.878280547255201</v>
      </c>
      <c r="AK3239">
        <v>0.57849593823277601</v>
      </c>
      <c r="AL3239">
        <v>78.133021018738901</v>
      </c>
      <c r="AM3239">
        <v>81.924850727370398</v>
      </c>
      <c r="AN3239">
        <v>0.99999994406291803</v>
      </c>
    </row>
    <row r="3240" spans="1:40" x14ac:dyDescent="0.25">
      <c r="A3240" t="str">
        <f>"20190303162614235"</f>
        <v>20190303162614235</v>
      </c>
      <c r="B3240" t="str">
        <f>"1551601574226321"</f>
        <v>1551601574226321</v>
      </c>
      <c r="C3240" t="s">
        <v>40</v>
      </c>
      <c r="D3240">
        <v>4.7723740000000001</v>
      </c>
      <c r="E3240">
        <v>0.50383319999999998</v>
      </c>
      <c r="F3240" t="s">
        <v>42</v>
      </c>
      <c r="G3240">
        <v>-185.8424</v>
      </c>
      <c r="H3240">
        <v>1.0484370000000001</v>
      </c>
      <c r="I3240">
        <v>174.05969999999999</v>
      </c>
      <c r="J3240">
        <v>-185.71709999999999</v>
      </c>
      <c r="K3240">
        <v>1.120212</v>
      </c>
      <c r="L3240">
        <v>174.60290000000001</v>
      </c>
      <c r="M3240">
        <v>-2.291087E-2</v>
      </c>
      <c r="N3240">
        <v>-1.1884499999999999E-2</v>
      </c>
      <c r="O3240">
        <v>-0.99966690000000002</v>
      </c>
      <c r="P3240">
        <v>-0.1632469</v>
      </c>
      <c r="Q3240">
        <v>0.19448099999999999</v>
      </c>
      <c r="R3240">
        <v>-0.96722680000000005</v>
      </c>
      <c r="S3240">
        <v>-0.4988861</v>
      </c>
      <c r="T3240">
        <v>-0.27007389999999998</v>
      </c>
      <c r="U3240">
        <v>-3.0716399999999999</v>
      </c>
      <c r="V3240">
        <v>0.14154050000000001</v>
      </c>
      <c r="W3240">
        <v>0.20566219999999999</v>
      </c>
      <c r="X3240">
        <v>0.96833329999999995</v>
      </c>
      <c r="Y3240">
        <v>0.13712959999999999</v>
      </c>
      <c r="Z3240">
        <v>7.475279E-2</v>
      </c>
      <c r="AA3240">
        <v>0.98772850000000001</v>
      </c>
      <c r="AB3240">
        <v>26</v>
      </c>
      <c r="AC3240">
        <v>-0.12530000000000899</v>
      </c>
      <c r="AD3240">
        <v>-7.1774999999999894E-2</v>
      </c>
      <c r="AE3240">
        <v>-0.54320000000001301</v>
      </c>
      <c r="AF3240">
        <v>0.110981278157449</v>
      </c>
      <c r="AG3240">
        <v>-7.1774999999999894E-2</v>
      </c>
      <c r="AH3240">
        <v>0.53702591881127504</v>
      </c>
      <c r="AI3240">
        <v>97.456884790913193</v>
      </c>
      <c r="AJ3240">
        <v>78.3236794739841</v>
      </c>
      <c r="AK3240">
        <v>0.55305093092910995</v>
      </c>
      <c r="AL3240">
        <v>78.131733855599407</v>
      </c>
      <c r="AM3240">
        <v>81.684013152773304</v>
      </c>
      <c r="AN3240">
        <v>1.00000001676898</v>
      </c>
    </row>
    <row r="3241" spans="1:40" x14ac:dyDescent="0.25">
      <c r="A3241" t="str">
        <f>"20190303162614256"</f>
        <v>20190303162614256</v>
      </c>
      <c r="B3241" t="str">
        <f>"1551601574246816"</f>
        <v>1551601574246816</v>
      </c>
      <c r="C3241" t="s">
        <v>40</v>
      </c>
      <c r="D3241">
        <v>4.8885540000000001</v>
      </c>
      <c r="E3241">
        <v>0.50344979999999995</v>
      </c>
      <c r="F3241" t="s">
        <v>41</v>
      </c>
      <c r="G3241">
        <v>-187.9025</v>
      </c>
      <c r="H3241" s="1">
        <v>-1.3045749999999999E-6</v>
      </c>
      <c r="I3241">
        <v>161.5883</v>
      </c>
      <c r="J3241">
        <v>-185.7244</v>
      </c>
      <c r="K3241">
        <v>1.120207</v>
      </c>
      <c r="L3241">
        <v>174.35120000000001</v>
      </c>
      <c r="M3241">
        <v>-2.4221579999999999E-2</v>
      </c>
      <c r="N3241">
        <v>-1.186868E-2</v>
      </c>
      <c r="O3241">
        <v>-0.99963610000000003</v>
      </c>
      <c r="P3241">
        <v>-0.1682032</v>
      </c>
      <c r="Q3241">
        <v>0.19446330000000001</v>
      </c>
      <c r="R3241">
        <v>-0.96638109999999999</v>
      </c>
      <c r="S3241">
        <v>-0.5151367</v>
      </c>
      <c r="T3241">
        <v>-0.26405909999999999</v>
      </c>
      <c r="U3241">
        <v>-3.067825</v>
      </c>
      <c r="V3241">
        <v>0.14524189999999901</v>
      </c>
      <c r="W3241">
        <v>0.20561409999999999</v>
      </c>
      <c r="X3241">
        <v>0.96779530000000002</v>
      </c>
      <c r="Y3241">
        <v>0.141139299999999</v>
      </c>
      <c r="Z3241">
        <v>7.2893899999999998E-2</v>
      </c>
      <c r="AA3241">
        <v>0.98730249999999997</v>
      </c>
      <c r="AB3241">
        <v>26</v>
      </c>
      <c r="AC3241">
        <v>-2.1781000000000001</v>
      </c>
      <c r="AD3241">
        <v>-1.120208304575</v>
      </c>
      <c r="AE3241">
        <v>-12.7629</v>
      </c>
      <c r="AF3241">
        <v>1.8544199049038801</v>
      </c>
      <c r="AG3241">
        <v>-1.120208304575</v>
      </c>
      <c r="AH3241">
        <v>12.7167225124147</v>
      </c>
      <c r="AI3241">
        <v>94.981735382589306</v>
      </c>
      <c r="AJ3241">
        <v>81.7033055915565</v>
      </c>
      <c r="AK3241">
        <v>12.899952375381</v>
      </c>
      <c r="AL3241">
        <v>78.134550430485106</v>
      </c>
      <c r="AM3241">
        <v>81.465030633507496</v>
      </c>
      <c r="AN3241">
        <v>1.00000005516825</v>
      </c>
    </row>
    <row r="3242" spans="1:40" x14ac:dyDescent="0.25">
      <c r="A3242" t="str">
        <f>"20190303162614291"</f>
        <v>20190303162614291</v>
      </c>
      <c r="B3242" t="str">
        <f>"1551601574277072"</f>
        <v>1551601574277072</v>
      </c>
      <c r="C3242" t="s">
        <v>40</v>
      </c>
      <c r="D3242">
        <v>4.7747210000000004</v>
      </c>
      <c r="E3242">
        <v>0.50205329999999904</v>
      </c>
      <c r="F3242" t="s">
        <v>41</v>
      </c>
      <c r="G3242">
        <v>-187.98439999999999</v>
      </c>
      <c r="H3242" s="1">
        <v>-1.128772E-6</v>
      </c>
      <c r="I3242">
        <v>161.18729999999999</v>
      </c>
      <c r="J3242">
        <v>-185.73670000000001</v>
      </c>
      <c r="K3242">
        <v>1.1201939999999999</v>
      </c>
      <c r="L3242">
        <v>173.94880000000001</v>
      </c>
      <c r="M3242">
        <v>-2.6322269999999998E-2</v>
      </c>
      <c r="N3242">
        <v>-1.184785E-2</v>
      </c>
      <c r="O3242">
        <v>-0.99958340000000001</v>
      </c>
      <c r="P3242">
        <v>-0.17345079999999999</v>
      </c>
      <c r="Q3242">
        <v>0.1942603</v>
      </c>
      <c r="R3242">
        <v>-0.96549390000000002</v>
      </c>
      <c r="S3242">
        <v>-0.52624510000000002</v>
      </c>
      <c r="T3242">
        <v>-0.26084360000000001</v>
      </c>
      <c r="U3242">
        <v>-3.0652469999999998</v>
      </c>
      <c r="V3242">
        <v>0.1484732</v>
      </c>
      <c r="W3242">
        <v>0.20537649999999999</v>
      </c>
      <c r="X3242">
        <v>0.96735530000000003</v>
      </c>
      <c r="Y3242">
        <v>0.14268410000000001</v>
      </c>
      <c r="Z3242">
        <v>7.1920189999999995E-2</v>
      </c>
      <c r="AA3242">
        <v>0.98715180000000002</v>
      </c>
      <c r="AB3242">
        <v>26</v>
      </c>
      <c r="AC3242">
        <v>-2.24769999999998</v>
      </c>
      <c r="AD3242">
        <v>-1.120195128772</v>
      </c>
      <c r="AE3242">
        <v>-12.7615</v>
      </c>
      <c r="AF3242">
        <v>1.8968103449035401</v>
      </c>
      <c r="AG3242">
        <v>-1.120195128772</v>
      </c>
      <c r="AH3242">
        <v>12.721176423926501</v>
      </c>
      <c r="AI3242">
        <v>94.977595745424296</v>
      </c>
      <c r="AJ3242">
        <v>81.519307093996304</v>
      </c>
      <c r="AK3242">
        <v>12.9105017803229</v>
      </c>
      <c r="AL3242">
        <v>78.148460563617405</v>
      </c>
      <c r="AM3242">
        <v>81.274129842537306</v>
      </c>
      <c r="AN3242">
        <v>1.0000000371542801</v>
      </c>
    </row>
    <row r="3243" spans="1:40" x14ac:dyDescent="0.25">
      <c r="A3243" t="str">
        <f>"20190303162614312"</f>
        <v>20190303162614312</v>
      </c>
      <c r="B3243" t="str">
        <f>"1551601574306353"</f>
        <v>1551601574306353</v>
      </c>
      <c r="C3243" t="s">
        <v>40</v>
      </c>
      <c r="D3243">
        <v>4.7987479999999998</v>
      </c>
      <c r="E3243">
        <v>0.49509639999999999</v>
      </c>
      <c r="F3243" t="s">
        <v>41</v>
      </c>
      <c r="G3243">
        <v>-188.18039999999999</v>
      </c>
      <c r="H3243" s="1">
        <v>-5.6259889999999995E-7</v>
      </c>
      <c r="I3243">
        <v>159.84870000000001</v>
      </c>
      <c r="J3243">
        <v>-185.7449</v>
      </c>
      <c r="K3243">
        <v>1.1201859999999999</v>
      </c>
      <c r="L3243">
        <v>173.6968</v>
      </c>
      <c r="M3243">
        <v>-2.7646110000000002E-2</v>
      </c>
      <c r="N3243">
        <v>-1.183701E-2</v>
      </c>
      <c r="O3243">
        <v>-0.99954770000000004</v>
      </c>
      <c r="P3243">
        <v>-0.17689160000000001</v>
      </c>
      <c r="Q3243">
        <v>0.1939823</v>
      </c>
      <c r="R3243">
        <v>-0.96492509999999998</v>
      </c>
      <c r="S3243">
        <v>-0.53047180000000005</v>
      </c>
      <c r="T3243">
        <v>-0.2431712</v>
      </c>
      <c r="U3243">
        <v>-3.0608369999999998</v>
      </c>
      <c r="V3243">
        <v>0.150646</v>
      </c>
      <c r="W3243">
        <v>0.20507790000000001</v>
      </c>
      <c r="X3243">
        <v>0.96708269999999996</v>
      </c>
      <c r="Y3243">
        <v>0.1430043</v>
      </c>
      <c r="Z3243">
        <v>6.6387730000000006E-2</v>
      </c>
      <c r="AA3243">
        <v>0.98749299999999995</v>
      </c>
      <c r="AB3243">
        <v>26</v>
      </c>
      <c r="AC3243">
        <v>-2.43549999999999</v>
      </c>
      <c r="AD3243">
        <v>-1.12018656259889</v>
      </c>
      <c r="AE3243">
        <v>-13.848099999999899</v>
      </c>
      <c r="AF3243">
        <v>2.0387559922706702</v>
      </c>
      <c r="AG3243">
        <v>-1.12018656259889</v>
      </c>
      <c r="AH3243">
        <v>13.822411674300501</v>
      </c>
      <c r="AI3243">
        <v>94.583822540088093</v>
      </c>
      <c r="AJ3243">
        <v>81.609574733926806</v>
      </c>
      <c r="AK3243">
        <v>14.016790232606199</v>
      </c>
      <c r="AL3243">
        <v>78.165941389063804</v>
      </c>
      <c r="AM3243">
        <v>81.145985296358603</v>
      </c>
      <c r="AN3243">
        <v>1.00000005551184</v>
      </c>
    </row>
    <row r="3244" spans="1:40" x14ac:dyDescent="0.25">
      <c r="A3244" t="str">
        <f>"20190303162614334"</f>
        <v>20190303162614334</v>
      </c>
      <c r="B3244" t="str">
        <f>"1551601574326848"</f>
        <v>1551601574326848</v>
      </c>
      <c r="C3244" t="s">
        <v>40</v>
      </c>
      <c r="D3244">
        <v>4.7762390000000003</v>
      </c>
      <c r="E3244">
        <v>0.4953227</v>
      </c>
      <c r="F3244" t="s">
        <v>47</v>
      </c>
      <c r="G3244">
        <v>-189.11850000000001</v>
      </c>
      <c r="H3244" s="1">
        <v>-1.193289E-5</v>
      </c>
      <c r="I3244">
        <v>152.5342</v>
      </c>
      <c r="J3244">
        <v>-185.75409999999999</v>
      </c>
      <c r="K3244">
        <v>1.1201760000000001</v>
      </c>
      <c r="L3244">
        <v>173.42410000000001</v>
      </c>
      <c r="M3244">
        <v>-2.9092980000000001E-2</v>
      </c>
      <c r="N3244">
        <v>-1.182688E-2</v>
      </c>
      <c r="O3244">
        <v>-0.99950700000000003</v>
      </c>
      <c r="P3244">
        <v>-0.17960999999999999</v>
      </c>
      <c r="Q3244">
        <v>0.19423319999999999</v>
      </c>
      <c r="R3244">
        <v>-0.96437280000000003</v>
      </c>
      <c r="S3244">
        <v>-0.48658750000000001</v>
      </c>
      <c r="T3244">
        <v>-0.1615685</v>
      </c>
      <c r="U3244">
        <v>-3.0523220000000002</v>
      </c>
      <c r="V3244">
        <v>0.15198110000000001</v>
      </c>
      <c r="W3244">
        <v>0.2053084</v>
      </c>
      <c r="X3244">
        <v>0.96682480000000004</v>
      </c>
      <c r="Y3244">
        <v>0.12845139999999999</v>
      </c>
      <c r="Z3244">
        <v>4.0490470000000001E-2</v>
      </c>
      <c r="AA3244">
        <v>0.99088889999999996</v>
      </c>
      <c r="AB3244">
        <v>26</v>
      </c>
      <c r="AC3244">
        <v>-3.36440000000001</v>
      </c>
      <c r="AD3244">
        <v>-1.12018793289</v>
      </c>
      <c r="AE3244">
        <v>-20.889900000000001</v>
      </c>
      <c r="AF3244">
        <v>2.7474833198988602</v>
      </c>
      <c r="AG3244">
        <v>-1.12018793289</v>
      </c>
      <c r="AH3244">
        <v>20.920308659468098</v>
      </c>
      <c r="AI3244">
        <v>93.038956823859905</v>
      </c>
      <c r="AJ3244">
        <v>82.518112052393803</v>
      </c>
      <c r="AK3244">
        <v>21.129666348656102</v>
      </c>
      <c r="AL3244">
        <v>78.152446843919193</v>
      </c>
      <c r="AM3244">
        <v>81.066432151152199</v>
      </c>
      <c r="AN3244">
        <v>0.99999999388140504</v>
      </c>
    </row>
    <row r="3245" spans="1:40" x14ac:dyDescent="0.25">
      <c r="A3245" t="str">
        <f>"20190303162614357"</f>
        <v>20190303162614357</v>
      </c>
      <c r="B3245" t="str">
        <f>"1551601574346368"</f>
        <v>1551601574346368</v>
      </c>
      <c r="C3245" t="s">
        <v>40</v>
      </c>
      <c r="D3245">
        <v>4.8239999999999998</v>
      </c>
      <c r="E3245">
        <v>0.49464059999999999</v>
      </c>
      <c r="F3245" t="s">
        <v>47</v>
      </c>
      <c r="G3245">
        <v>-189.23169999999999</v>
      </c>
      <c r="H3245" s="1">
        <v>-1.170523E-5</v>
      </c>
      <c r="I3245">
        <v>152.00149999999999</v>
      </c>
      <c r="J3245">
        <v>-185.76320000000001</v>
      </c>
      <c r="K3245">
        <v>1.1201650000000001</v>
      </c>
      <c r="L3245">
        <v>173.16489999999999</v>
      </c>
      <c r="M3245">
        <v>-3.049164E-2</v>
      </c>
      <c r="N3245">
        <v>-1.1818779999999999E-2</v>
      </c>
      <c r="O3245">
        <v>-0.9994653</v>
      </c>
      <c r="P3245">
        <v>-0.18163760000000001</v>
      </c>
      <c r="Q3245">
        <v>0.19483410000000001</v>
      </c>
      <c r="R3245">
        <v>-0.96387140000000004</v>
      </c>
      <c r="S3245">
        <v>-0.49523929999999999</v>
      </c>
      <c r="T3245">
        <v>-0.1595232</v>
      </c>
      <c r="U3245">
        <v>-3.050735</v>
      </c>
      <c r="V3245">
        <v>0.15267520000000001</v>
      </c>
      <c r="W3245">
        <v>0.20589270000000001</v>
      </c>
      <c r="X3245">
        <v>0.96659119999999998</v>
      </c>
      <c r="Y3245">
        <v>0.129887</v>
      </c>
      <c r="Z3245">
        <v>3.9846840000000001E-2</v>
      </c>
      <c r="AA3245">
        <v>0.99072780000000005</v>
      </c>
      <c r="AB3245">
        <v>26</v>
      </c>
      <c r="AC3245">
        <v>-3.4684999999999699</v>
      </c>
      <c r="AD3245">
        <v>-1.12017670522999</v>
      </c>
      <c r="AE3245">
        <v>-21.163399999999999</v>
      </c>
      <c r="AF3245">
        <v>2.8138582244716202</v>
      </c>
      <c r="AG3245">
        <v>-1.12017670522999</v>
      </c>
      <c r="AH3245">
        <v>21.201481908441298</v>
      </c>
      <c r="AI3245">
        <v>92.998158901266294</v>
      </c>
      <c r="AJ3245">
        <v>82.439893507479695</v>
      </c>
      <c r="AK3245">
        <v>21.416709109298999</v>
      </c>
      <c r="AL3245">
        <v>78.118238569891403</v>
      </c>
      <c r="AM3245">
        <v>81.024161480703498</v>
      </c>
      <c r="AN3245">
        <v>1.0000000342628801</v>
      </c>
    </row>
    <row r="3246" spans="1:40" x14ac:dyDescent="0.25">
      <c r="A3246" t="str">
        <f>"20190303162614379"</f>
        <v>20190303162614379</v>
      </c>
      <c r="B3246" t="str">
        <f>"1551601574366835"</f>
        <v>1551601574366835</v>
      </c>
      <c r="C3246" t="s">
        <v>40</v>
      </c>
      <c r="D3246">
        <v>5.1997159999999996</v>
      </c>
      <c r="E3246">
        <v>0.51536979999999999</v>
      </c>
      <c r="F3246" t="s">
        <v>47</v>
      </c>
      <c r="G3246">
        <v>-189.3211</v>
      </c>
      <c r="H3246" s="1">
        <v>-1.138979E-5</v>
      </c>
      <c r="I3246">
        <v>151.2646</v>
      </c>
      <c r="J3246">
        <v>-185.77260000000001</v>
      </c>
      <c r="K3246">
        <v>1.120142</v>
      </c>
      <c r="L3246">
        <v>172.9101</v>
      </c>
      <c r="M3246">
        <v>-3.1897439999999999E-2</v>
      </c>
      <c r="N3246">
        <v>-1.1812130000000001E-2</v>
      </c>
      <c r="O3246">
        <v>-0.99942129999999996</v>
      </c>
      <c r="P3246">
        <v>-0.18370919999999999</v>
      </c>
      <c r="Q3246">
        <v>0.1940685</v>
      </c>
      <c r="R3246">
        <v>-0.96363290000000001</v>
      </c>
      <c r="S3246">
        <v>-0.49560549999999998</v>
      </c>
      <c r="T3246">
        <v>-0.1560348</v>
      </c>
      <c r="U3246">
        <v>-3.0505979999999999</v>
      </c>
      <c r="V3246">
        <v>0.1533986</v>
      </c>
      <c r="W3246">
        <v>0.20511099999999999</v>
      </c>
      <c r="X3246">
        <v>0.96664280000000002</v>
      </c>
      <c r="Y3246">
        <v>0.1286235</v>
      </c>
      <c r="Z3246">
        <v>3.8730859999999999E-2</v>
      </c>
      <c r="AA3246">
        <v>0.99093690000000001</v>
      </c>
      <c r="AB3246">
        <v>26</v>
      </c>
      <c r="AC3246">
        <v>-3.54849999999999</v>
      </c>
      <c r="AD3246">
        <v>-1.12015338979</v>
      </c>
      <c r="AE3246">
        <v>-21.645499999999998</v>
      </c>
      <c r="AF3246">
        <v>2.84878031850198</v>
      </c>
      <c r="AG3246">
        <v>-1.12015338979</v>
      </c>
      <c r="AH3246">
        <v>21.6911103663722</v>
      </c>
      <c r="AI3246">
        <v>92.931066743853293</v>
      </c>
      <c r="AJ3246">
        <v>82.517938326909501</v>
      </c>
      <c r="AK3246">
        <v>21.9060393920462</v>
      </c>
      <c r="AL3246">
        <v>78.164002774868607</v>
      </c>
      <c r="AM3246">
        <v>80.982803200650594</v>
      </c>
      <c r="AN3246">
        <v>0.99999997779739902</v>
      </c>
    </row>
    <row r="3247" spans="1:40" x14ac:dyDescent="0.25">
      <c r="A3247" t="str">
        <f>"20190303162614400"</f>
        <v>20190303162614400</v>
      </c>
      <c r="B3247" t="str">
        <f>"1551601574397090"</f>
        <v>1551601574397090</v>
      </c>
      <c r="C3247" t="s">
        <v>40</v>
      </c>
      <c r="D3247">
        <v>4.7815779999999997</v>
      </c>
      <c r="E3247">
        <v>0.57002849999999905</v>
      </c>
      <c r="F3247" t="s">
        <v>47</v>
      </c>
      <c r="G3247">
        <v>-192.8477</v>
      </c>
      <c r="H3247" s="1">
        <v>-8.8477979999999997E-6</v>
      </c>
      <c r="I3247">
        <v>140.90170000000001</v>
      </c>
      <c r="J3247">
        <v>-185.78280000000001</v>
      </c>
      <c r="K3247">
        <v>1.120101</v>
      </c>
      <c r="L3247">
        <v>172.64420000000001</v>
      </c>
      <c r="M3247">
        <v>-3.340945E-2</v>
      </c>
      <c r="N3247">
        <v>-1.180055E-2</v>
      </c>
      <c r="O3247">
        <v>-0.99937209999999999</v>
      </c>
      <c r="P3247">
        <v>-0.1872135</v>
      </c>
      <c r="Q3247">
        <v>0.19237409999999999</v>
      </c>
      <c r="R3247">
        <v>-0.9632984</v>
      </c>
      <c r="S3247">
        <v>-0.66482540000000001</v>
      </c>
      <c r="T3247">
        <v>-0.1052558</v>
      </c>
      <c r="U3247">
        <v>-3.0076900000000002</v>
      </c>
      <c r="V3247">
        <v>0.15545629999999999</v>
      </c>
      <c r="W3247">
        <v>0.2033895</v>
      </c>
      <c r="X3247">
        <v>0.96667780000000003</v>
      </c>
      <c r="Y3247">
        <v>0.1829837</v>
      </c>
      <c r="Z3247">
        <v>2.2484069999999998E-2</v>
      </c>
      <c r="AA3247">
        <v>0.98285880000000003</v>
      </c>
      <c r="AB3247">
        <v>26</v>
      </c>
      <c r="AC3247">
        <v>-7.06489999999999</v>
      </c>
      <c r="AD3247">
        <v>-1.120109847798</v>
      </c>
      <c r="AE3247">
        <v>-31.7425</v>
      </c>
      <c r="AF3247">
        <v>5.9932715845539102</v>
      </c>
      <c r="AG3247">
        <v>-1.120109847798</v>
      </c>
      <c r="AH3247">
        <v>31.922953817240799</v>
      </c>
      <c r="AI3247">
        <v>91.975086508140606</v>
      </c>
      <c r="AJ3247">
        <v>79.366963834251393</v>
      </c>
      <c r="AK3247">
        <v>32.499983550381202</v>
      </c>
      <c r="AL3247">
        <v>78.264761384116795</v>
      </c>
      <c r="AM3247">
        <v>80.864197842732693</v>
      </c>
      <c r="AN3247">
        <v>0.99999995946638898</v>
      </c>
    </row>
    <row r="3248" spans="1:40" x14ac:dyDescent="0.25">
      <c r="A3248" t="str">
        <f>"20190303162614424"</f>
        <v>20190303162614424</v>
      </c>
      <c r="B3248" t="str">
        <f>"1551601574416610"</f>
        <v>1551601574416610</v>
      </c>
      <c r="C3248" t="s">
        <v>40</v>
      </c>
      <c r="D3248">
        <v>4.8420730000000001</v>
      </c>
      <c r="E3248">
        <v>0.57821460000000002</v>
      </c>
      <c r="F3248" t="s">
        <v>47</v>
      </c>
      <c r="G3248">
        <v>-193.90469999999999</v>
      </c>
      <c r="H3248" s="1">
        <v>-1.2004829999999999E-5</v>
      </c>
      <c r="I3248">
        <v>151.05500000000001</v>
      </c>
      <c r="J3248">
        <v>-185.7936</v>
      </c>
      <c r="K3248">
        <v>1.1200509999999999</v>
      </c>
      <c r="L3248">
        <v>172.37379999999999</v>
      </c>
      <c r="M3248">
        <v>-3.4988869999999998E-2</v>
      </c>
      <c r="N3248">
        <v>-1.178446E-2</v>
      </c>
      <c r="O3248">
        <v>-0.99931840000000005</v>
      </c>
      <c r="P3248">
        <v>-0.193164</v>
      </c>
      <c r="Q3248">
        <v>0.19007080000000001</v>
      </c>
      <c r="R3248">
        <v>-0.96258049999999995</v>
      </c>
      <c r="S3248">
        <v>-1.1024320000000001</v>
      </c>
      <c r="T3248">
        <v>-0.1520388</v>
      </c>
      <c r="U3248">
        <v>-2.9304199999999998</v>
      </c>
      <c r="V3248">
        <v>0.15990650000000001</v>
      </c>
      <c r="W3248">
        <v>0.2010429</v>
      </c>
      <c r="X3248">
        <v>0.96644280000000005</v>
      </c>
      <c r="Y3248">
        <v>0.31879359999999901</v>
      </c>
      <c r="Z3248">
        <v>3.7052620000000001E-2</v>
      </c>
      <c r="AA3248">
        <v>0.94709969999999999</v>
      </c>
      <c r="AB3248">
        <v>26</v>
      </c>
      <c r="AC3248">
        <v>-8.1110999999999898</v>
      </c>
      <c r="AD3248">
        <v>-1.12006300483</v>
      </c>
      <c r="AE3248">
        <v>-21.3187999999999</v>
      </c>
      <c r="AF3248">
        <v>7.34245583206659</v>
      </c>
      <c r="AG3248">
        <v>-1.12006300483</v>
      </c>
      <c r="AH3248">
        <v>21.5376294604918</v>
      </c>
      <c r="AI3248">
        <v>92.818003874686795</v>
      </c>
      <c r="AJ3248">
        <v>71.1750941898148</v>
      </c>
      <c r="AK3248">
        <v>22.782354609611399</v>
      </c>
      <c r="AL3248">
        <v>78.402048524109702</v>
      </c>
      <c r="AM3248">
        <v>80.605024226935697</v>
      </c>
      <c r="AN3248">
        <v>1.00000001102725</v>
      </c>
    </row>
    <row r="3249" spans="1:40" x14ac:dyDescent="0.25">
      <c r="A3249" t="str">
        <f>"20190303162614445"</f>
        <v>20190303162614445</v>
      </c>
      <c r="B3249" t="str">
        <f>"1551601574437106"</f>
        <v>1551601574437106</v>
      </c>
      <c r="C3249" t="s">
        <v>40</v>
      </c>
      <c r="D3249">
        <v>4.80924</v>
      </c>
      <c r="E3249">
        <v>0.58184019999999903</v>
      </c>
      <c r="F3249" t="s">
        <v>47</v>
      </c>
      <c r="G3249">
        <v>-194.29490000000001</v>
      </c>
      <c r="H3249" s="1">
        <v>-1.225385E-5</v>
      </c>
      <c r="I3249">
        <v>151.47409999999999</v>
      </c>
      <c r="J3249">
        <v>-185.80459999999999</v>
      </c>
      <c r="K3249">
        <v>1.120007</v>
      </c>
      <c r="L3249">
        <v>172.11170000000001</v>
      </c>
      <c r="M3249">
        <v>-3.6573099999999997E-2</v>
      </c>
      <c r="N3249">
        <v>-1.1762109999999999E-2</v>
      </c>
      <c r="O3249">
        <v>-0.99926190000000004</v>
      </c>
      <c r="P3249">
        <v>-0.1991638</v>
      </c>
      <c r="Q3249">
        <v>0.1893656</v>
      </c>
      <c r="R3249">
        <v>-0.96149609999999996</v>
      </c>
      <c r="S3249">
        <v>-1.1836549999999999</v>
      </c>
      <c r="T3249">
        <v>-0.15594859999999999</v>
      </c>
      <c r="U3249">
        <v>-2.9099119999999998</v>
      </c>
      <c r="V3249">
        <v>0.1644214</v>
      </c>
      <c r="W3249">
        <v>0.20028290000000001</v>
      </c>
      <c r="X3249">
        <v>0.9658428</v>
      </c>
      <c r="Y3249">
        <v>0.34226250000000003</v>
      </c>
      <c r="Z3249">
        <v>3.820175E-2</v>
      </c>
      <c r="AA3249">
        <v>0.93882750000000004</v>
      </c>
      <c r="AB3249">
        <v>26</v>
      </c>
      <c r="AC3249">
        <v>-8.4903000000000102</v>
      </c>
      <c r="AD3249">
        <v>-1.12001925385</v>
      </c>
      <c r="AE3249">
        <v>-20.637599999999999</v>
      </c>
      <c r="AF3249">
        <v>7.7103636398767801</v>
      </c>
      <c r="AG3249">
        <v>-1.12001925385</v>
      </c>
      <c r="AH3249">
        <v>20.881728428439601</v>
      </c>
      <c r="AI3249">
        <v>92.880459805145094</v>
      </c>
      <c r="AJ3249">
        <v>69.733851019581095</v>
      </c>
      <c r="AK3249">
        <v>22.2879055262542</v>
      </c>
      <c r="AL3249">
        <v>78.446496976292593</v>
      </c>
      <c r="AM3249">
        <v>80.338802525189394</v>
      </c>
      <c r="AN3249">
        <v>0.99999997556110398</v>
      </c>
    </row>
    <row r="3250" spans="1:40" x14ac:dyDescent="0.25">
      <c r="A3250" t="str">
        <f>"20190303162614467"</f>
        <v>20190303162614467</v>
      </c>
      <c r="B3250" t="str">
        <f>"1551601574456627"</f>
        <v>1551601574456627</v>
      </c>
      <c r="C3250" t="s">
        <v>40</v>
      </c>
      <c r="D3250">
        <v>4.8208890000000002</v>
      </c>
      <c r="E3250">
        <v>0.58306139999999995</v>
      </c>
      <c r="F3250" t="s">
        <v>47</v>
      </c>
      <c r="G3250">
        <v>-194.7165</v>
      </c>
      <c r="H3250" s="1">
        <v>-1.2178020000000001E-5</v>
      </c>
      <c r="I3250">
        <v>151.12299999999999</v>
      </c>
      <c r="J3250">
        <v>-185.81540000000001</v>
      </c>
      <c r="K3250">
        <v>1.1199520000000001</v>
      </c>
      <c r="L3250">
        <v>171.86259999999999</v>
      </c>
      <c r="M3250">
        <v>-3.8145810000000002E-2</v>
      </c>
      <c r="N3250">
        <v>-1.1732609999999999E-2</v>
      </c>
      <c r="O3250">
        <v>-0.99920330000000002</v>
      </c>
      <c r="P3250">
        <v>-0.20413149999999999</v>
      </c>
      <c r="Q3250">
        <v>0.18850819999999999</v>
      </c>
      <c r="R3250">
        <v>-0.96062250000000005</v>
      </c>
      <c r="S3250">
        <v>-1.229614</v>
      </c>
      <c r="T3250">
        <v>-0.15453359999999999</v>
      </c>
      <c r="U3250">
        <v>-2.8958889999999999</v>
      </c>
      <c r="V3250">
        <v>0.16791320000000001</v>
      </c>
      <c r="W3250">
        <v>0.19936480000000001</v>
      </c>
      <c r="X3250">
        <v>0.96543190000000001</v>
      </c>
      <c r="Y3250">
        <v>0.35503649999999998</v>
      </c>
      <c r="Z3250">
        <v>3.7736890000000002E-2</v>
      </c>
      <c r="AA3250">
        <v>0.93409050000000005</v>
      </c>
      <c r="AB3250">
        <v>26</v>
      </c>
      <c r="AC3250">
        <v>-8.90109999999998</v>
      </c>
      <c r="AD3250">
        <v>-1.11996417802</v>
      </c>
      <c r="AE3250">
        <v>-20.739599999999999</v>
      </c>
      <c r="AF3250">
        <v>8.0835314386748198</v>
      </c>
      <c r="AG3250">
        <v>-1.11996417802</v>
      </c>
      <c r="AH3250">
        <v>21.012322704257699</v>
      </c>
      <c r="AI3250">
        <v>92.847897691371699</v>
      </c>
      <c r="AJ3250">
        <v>68.958049849339105</v>
      </c>
      <c r="AK3250">
        <v>22.5414175620779</v>
      </c>
      <c r="AL3250">
        <v>78.500182800254294</v>
      </c>
      <c r="AM3250">
        <v>80.133501798403501</v>
      </c>
      <c r="AN3250">
        <v>0.99999995987544399</v>
      </c>
    </row>
    <row r="3251" spans="1:40" x14ac:dyDescent="0.25">
      <c r="A3251" t="str">
        <f>"20190303162614491"</f>
        <v>20190303162614491</v>
      </c>
      <c r="B3251" t="str">
        <f>"1551601574486882"</f>
        <v>1551601574486882</v>
      </c>
      <c r="C3251" t="s">
        <v>40</v>
      </c>
      <c r="D3251">
        <v>4.8072920000000003</v>
      </c>
      <c r="E3251">
        <v>0.58374389999999998</v>
      </c>
      <c r="F3251" t="s">
        <v>47</v>
      </c>
      <c r="G3251">
        <v>-195.0369</v>
      </c>
      <c r="H3251" s="1">
        <v>-1.2028700000000001E-5</v>
      </c>
      <c r="I3251">
        <v>150.64250000000001</v>
      </c>
      <c r="J3251">
        <v>-185.82830000000001</v>
      </c>
      <c r="K3251">
        <v>1.1198669999999999</v>
      </c>
      <c r="L3251">
        <v>171.5804</v>
      </c>
      <c r="M3251">
        <v>-4.0035090000000002E-2</v>
      </c>
      <c r="N3251">
        <v>-1.1689389999999999E-2</v>
      </c>
      <c r="O3251">
        <v>-0.99913010000000002</v>
      </c>
      <c r="P3251">
        <v>-0.21225830000000001</v>
      </c>
      <c r="Q3251">
        <v>0.18626219999999999</v>
      </c>
      <c r="R3251">
        <v>-0.95929830000000005</v>
      </c>
      <c r="S3251">
        <v>-1.2542879999999901</v>
      </c>
      <c r="T3251">
        <v>-0.15233640000000001</v>
      </c>
      <c r="U3251">
        <v>-2.8863370000000002</v>
      </c>
      <c r="V3251">
        <v>0.17428270000000001</v>
      </c>
      <c r="W3251">
        <v>0.1970218</v>
      </c>
      <c r="X3251">
        <v>0.96478379999999997</v>
      </c>
      <c r="Y3251">
        <v>0.3611201</v>
      </c>
      <c r="Z3251">
        <v>3.7090489999999997E-2</v>
      </c>
      <c r="AA3251">
        <v>0.93178139999999998</v>
      </c>
      <c r="AB3251">
        <v>26</v>
      </c>
      <c r="AC3251">
        <v>-9.2085999999999899</v>
      </c>
      <c r="AD3251">
        <v>-1.1198790287</v>
      </c>
      <c r="AE3251">
        <v>-20.9378999999999</v>
      </c>
      <c r="AF3251">
        <v>8.3429099243312805</v>
      </c>
      <c r="AG3251">
        <v>-1.1198790287</v>
      </c>
      <c r="AH3251">
        <v>21.238892537705301</v>
      </c>
      <c r="AI3251">
        <v>92.809660540508006</v>
      </c>
      <c r="AJ3251">
        <v>68.554462155764796</v>
      </c>
      <c r="AK3251">
        <v>22.8461994929709</v>
      </c>
      <c r="AL3251">
        <v>78.6371432368515</v>
      </c>
      <c r="AM3251">
        <v>79.760272826364201</v>
      </c>
      <c r="AN3251">
        <v>0.99999991496848095</v>
      </c>
    </row>
    <row r="3252" spans="1:40" x14ac:dyDescent="0.25">
      <c r="A3252" t="str">
        <f>"20190303162614514"</f>
        <v>20190303162614514</v>
      </c>
      <c r="B3252" t="str">
        <f>"1551601574496643"</f>
        <v>1551601574496643</v>
      </c>
      <c r="C3252" t="s">
        <v>40</v>
      </c>
      <c r="D3252">
        <v>4.8005370000000003</v>
      </c>
      <c r="E3252">
        <v>0.58371509999999904</v>
      </c>
      <c r="F3252" t="s">
        <v>47</v>
      </c>
      <c r="G3252">
        <v>-195.06829999999999</v>
      </c>
      <c r="H3252" s="1">
        <v>-1.214418E-5</v>
      </c>
      <c r="I3252">
        <v>150.89869999999999</v>
      </c>
      <c r="J3252">
        <v>-185.84129999999999</v>
      </c>
      <c r="K3252">
        <v>1.1197619999999999</v>
      </c>
      <c r="L3252">
        <v>171.30930000000001</v>
      </c>
      <c r="M3252">
        <v>-4.1990729999999997E-2</v>
      </c>
      <c r="N3252">
        <v>-1.164313E-2</v>
      </c>
      <c r="O3252">
        <v>-0.99905029999999995</v>
      </c>
      <c r="P3252">
        <v>-0.22176460000000001</v>
      </c>
      <c r="Q3252">
        <v>0.1840483</v>
      </c>
      <c r="R3252">
        <v>-0.95757369999999997</v>
      </c>
      <c r="S3252">
        <v>-1.283768</v>
      </c>
      <c r="T3252">
        <v>-0.15559100000000001</v>
      </c>
      <c r="U3252">
        <v>-2.8734280000000001</v>
      </c>
      <c r="V3252">
        <v>0.1819974</v>
      </c>
      <c r="W3252">
        <v>0.1946871</v>
      </c>
      <c r="X3252">
        <v>0.96383289999999999</v>
      </c>
      <c r="Y3252">
        <v>0.3687898</v>
      </c>
      <c r="Z3252">
        <v>3.8203309999999997E-2</v>
      </c>
      <c r="AA3252">
        <v>0.92872739999999998</v>
      </c>
      <c r="AB3252">
        <v>26</v>
      </c>
      <c r="AC3252">
        <v>-9.2270000000000003</v>
      </c>
      <c r="AD3252">
        <v>-1.11977414418</v>
      </c>
      <c r="AE3252">
        <v>-20.410599999999999</v>
      </c>
      <c r="AF3252">
        <v>8.3409016318922706</v>
      </c>
      <c r="AG3252">
        <v>-1.11977414418</v>
      </c>
      <c r="AH3252">
        <v>20.728267240757301</v>
      </c>
      <c r="AI3252">
        <v>92.869054421986107</v>
      </c>
      <c r="AJ3252">
        <v>68.080509942241804</v>
      </c>
      <c r="AK3252">
        <v>22.371535418274998</v>
      </c>
      <c r="AL3252">
        <v>78.773554454480504</v>
      </c>
      <c r="AM3252">
        <v>79.306928901945497</v>
      </c>
      <c r="AN3252">
        <v>0.99999998981778904</v>
      </c>
    </row>
    <row r="3253" spans="1:40" x14ac:dyDescent="0.25">
      <c r="A3253" t="str">
        <f>"20190303162614537"</f>
        <v>20190303162614537</v>
      </c>
      <c r="B3253" t="str">
        <f>"1551601574526898"</f>
        <v>1551601574526898</v>
      </c>
      <c r="C3253" t="s">
        <v>40</v>
      </c>
      <c r="D3253">
        <v>4.839874</v>
      </c>
      <c r="E3253">
        <v>0.58371649999999997</v>
      </c>
      <c r="F3253" t="s">
        <v>47</v>
      </c>
      <c r="G3253">
        <v>-194.8845</v>
      </c>
      <c r="H3253" s="1">
        <v>-1.240407E-5</v>
      </c>
      <c r="I3253">
        <v>151.5805</v>
      </c>
      <c r="J3253">
        <v>-185.85509999999999</v>
      </c>
      <c r="K3253">
        <v>1.119621</v>
      </c>
      <c r="L3253">
        <v>171.03749999999999</v>
      </c>
      <c r="M3253">
        <v>-4.4142279999999999E-2</v>
      </c>
      <c r="N3253">
        <v>-1.1590420000000001E-2</v>
      </c>
      <c r="O3253">
        <v>-0.99895829999999997</v>
      </c>
      <c r="P3253">
        <v>-0.23180290000000001</v>
      </c>
      <c r="Q3253">
        <v>0.1839759</v>
      </c>
      <c r="R3253">
        <v>-0.95520720000000003</v>
      </c>
      <c r="S3253">
        <v>-1.3111569999999999</v>
      </c>
      <c r="T3253">
        <v>-0.16235529999999901</v>
      </c>
      <c r="U3253">
        <v>-2.860474</v>
      </c>
      <c r="V3253">
        <v>0.19011069999999999</v>
      </c>
      <c r="W3253">
        <v>0.1944593</v>
      </c>
      <c r="X3253">
        <v>0.96231149999999999</v>
      </c>
      <c r="Y3253">
        <v>0.3756756</v>
      </c>
      <c r="Z3253">
        <v>4.0454539999999997E-2</v>
      </c>
      <c r="AA3253">
        <v>0.92586789999999997</v>
      </c>
      <c r="AB3253">
        <v>26</v>
      </c>
      <c r="AC3253">
        <v>-9.0294000000000096</v>
      </c>
      <c r="AD3253">
        <v>-1.11963340407</v>
      </c>
      <c r="AE3253">
        <v>-19.456999999999901</v>
      </c>
      <c r="AF3253">
        <v>8.13948721744128</v>
      </c>
      <c r="AG3253">
        <v>-1.11963340407</v>
      </c>
      <c r="AH3253">
        <v>19.782737740235302</v>
      </c>
      <c r="AI3253">
        <v>92.996095076347004</v>
      </c>
      <c r="AJ3253">
        <v>67.635581758541093</v>
      </c>
      <c r="AK3253">
        <v>21.421053746754101</v>
      </c>
      <c r="AL3253">
        <v>78.786860407968803</v>
      </c>
      <c r="AM3253">
        <v>78.824759094388497</v>
      </c>
      <c r="AN3253">
        <v>0.99999996032161398</v>
      </c>
    </row>
    <row r="3254" spans="1:40" x14ac:dyDescent="0.25">
      <c r="A3254" t="str">
        <f>"20190303162614558"</f>
        <v>20190303162614558</v>
      </c>
      <c r="B3254" t="str">
        <f>"1551601574546420"</f>
        <v>1551601574546420</v>
      </c>
      <c r="C3254" t="s">
        <v>40</v>
      </c>
      <c r="D3254">
        <v>4.8374870000000003</v>
      </c>
      <c r="E3254">
        <v>0.58358949999999998</v>
      </c>
      <c r="F3254" t="s">
        <v>47</v>
      </c>
      <c r="G3254">
        <v>-195.3811</v>
      </c>
      <c r="H3254" s="1">
        <v>-1.216954E-5</v>
      </c>
      <c r="I3254">
        <v>150.82839999999999</v>
      </c>
      <c r="J3254">
        <v>-185.86850000000001</v>
      </c>
      <c r="K3254">
        <v>1.1194470000000001</v>
      </c>
      <c r="L3254">
        <v>170.78720000000001</v>
      </c>
      <c r="M3254">
        <v>-4.6357170000000003E-2</v>
      </c>
      <c r="N3254">
        <v>-1.153294E-2</v>
      </c>
      <c r="O3254">
        <v>-0.99885840000000004</v>
      </c>
      <c r="P3254">
        <v>-0.24219289999999999</v>
      </c>
      <c r="Q3254">
        <v>0.18503739999999999</v>
      </c>
      <c r="R3254">
        <v>-0.95242039999999994</v>
      </c>
      <c r="S3254">
        <v>-1.3413090000000001</v>
      </c>
      <c r="T3254">
        <v>-0.1576495</v>
      </c>
      <c r="U3254">
        <v>-2.8455349999999999</v>
      </c>
      <c r="V3254">
        <v>0.1985605</v>
      </c>
      <c r="W3254">
        <v>0.19533490000000001</v>
      </c>
      <c r="X3254">
        <v>0.960426</v>
      </c>
      <c r="Y3254">
        <v>0.38353130000000002</v>
      </c>
      <c r="Z3254">
        <v>3.9058280000000001E-2</v>
      </c>
      <c r="AA3254">
        <v>0.92270160000000001</v>
      </c>
      <c r="AB3254">
        <v>26</v>
      </c>
      <c r="AC3254">
        <v>-9.5125999999999902</v>
      </c>
      <c r="AD3254">
        <v>-1.11945916953999</v>
      </c>
      <c r="AE3254">
        <v>-19.9588</v>
      </c>
      <c r="AF3254">
        <v>8.5551451382250701</v>
      </c>
      <c r="AG3254">
        <v>-1.11945916953999</v>
      </c>
      <c r="AH3254">
        <v>20.3262385922934</v>
      </c>
      <c r="AI3254">
        <v>92.9059316475293</v>
      </c>
      <c r="AJ3254">
        <v>67.174178390236307</v>
      </c>
      <c r="AK3254">
        <v>22.0816591876426</v>
      </c>
      <c r="AL3254">
        <v>78.735712375024903</v>
      </c>
      <c r="AM3254">
        <v>78.319116577048106</v>
      </c>
      <c r="AN3254">
        <v>1.0000000483971201</v>
      </c>
    </row>
    <row r="3255" spans="1:40" x14ac:dyDescent="0.25">
      <c r="A3255" t="str">
        <f>"20190303162614581"</f>
        <v>20190303162614581</v>
      </c>
      <c r="B3255" t="str">
        <f>"1551601574576675"</f>
        <v>1551601574576675</v>
      </c>
      <c r="C3255" t="s">
        <v>40</v>
      </c>
      <c r="D3255">
        <v>4.7923109999999998</v>
      </c>
      <c r="E3255">
        <v>0.583503199999999</v>
      </c>
      <c r="F3255" t="s">
        <v>47</v>
      </c>
      <c r="G3255">
        <v>-195.92179999999999</v>
      </c>
      <c r="H3255" s="1">
        <v>-1.1923609999999999E-5</v>
      </c>
      <c r="I3255">
        <v>150.0316</v>
      </c>
      <c r="J3255">
        <v>-185.88399999999999</v>
      </c>
      <c r="K3255">
        <v>1.119224</v>
      </c>
      <c r="L3255">
        <v>170.51669999999999</v>
      </c>
      <c r="M3255">
        <v>-4.9068639999999997E-2</v>
      </c>
      <c r="N3255">
        <v>-1.145813E-2</v>
      </c>
      <c r="O3255">
        <v>-0.9987296</v>
      </c>
      <c r="P3255">
        <v>-0.253631</v>
      </c>
      <c r="Q3255">
        <v>0.1861582</v>
      </c>
      <c r="R3255">
        <v>-0.94921869999999997</v>
      </c>
      <c r="S3255">
        <v>-1.37117</v>
      </c>
      <c r="T3255">
        <v>-0.15268280000000001</v>
      </c>
      <c r="U3255">
        <v>-2.8308559999999998</v>
      </c>
      <c r="V3255">
        <v>0.20763609999999999</v>
      </c>
      <c r="W3255">
        <v>0.1962139</v>
      </c>
      <c r="X3255">
        <v>0.95832530000000005</v>
      </c>
      <c r="Y3255">
        <v>0.3907988</v>
      </c>
      <c r="Z3255">
        <v>3.759092E-2</v>
      </c>
      <c r="AA3255">
        <v>0.91970830000000003</v>
      </c>
      <c r="AB3255">
        <v>26</v>
      </c>
      <c r="AC3255">
        <v>-10.037799999999899</v>
      </c>
      <c r="AD3255">
        <v>-1.11923592361</v>
      </c>
      <c r="AE3255">
        <v>-20.4850999999999</v>
      </c>
      <c r="AF3255">
        <v>8.9988031462314204</v>
      </c>
      <c r="AG3255">
        <v>-1.11923592361</v>
      </c>
      <c r="AH3255">
        <v>20.902677629413098</v>
      </c>
      <c r="AI3255">
        <v>92.815602654880905</v>
      </c>
      <c r="AJ3255">
        <v>66.707658618032198</v>
      </c>
      <c r="AK3255">
        <v>22.784930967560399</v>
      </c>
      <c r="AL3255">
        <v>78.684355167651304</v>
      </c>
      <c r="AM3255">
        <v>77.774937190993995</v>
      </c>
      <c r="AN3255">
        <v>1.00000001259825</v>
      </c>
    </row>
    <row r="3256" spans="1:40" x14ac:dyDescent="0.25">
      <c r="A3256" t="str">
        <f>"20190303162614603"</f>
        <v>20190303162614603</v>
      </c>
      <c r="B3256" t="str">
        <f>"1551601574596196"</f>
        <v>1551601574596196</v>
      </c>
      <c r="C3256" t="s">
        <v>40</v>
      </c>
      <c r="D3256">
        <v>4.8152869999999997</v>
      </c>
      <c r="E3256">
        <v>0.58336840000000001</v>
      </c>
      <c r="F3256" t="s">
        <v>47</v>
      </c>
      <c r="G3256">
        <v>-196.82660000000001</v>
      </c>
      <c r="H3256" s="1">
        <v>-1.163723E-5</v>
      </c>
      <c r="I3256">
        <v>148.59729999999999</v>
      </c>
      <c r="J3256">
        <v>-185.90029999999999</v>
      </c>
      <c r="K3256">
        <v>1.1189739999999999</v>
      </c>
      <c r="L3256">
        <v>170.24969999999999</v>
      </c>
      <c r="M3256">
        <v>-5.2059649999999999E-2</v>
      </c>
      <c r="N3256">
        <v>-1.137284E-2</v>
      </c>
      <c r="O3256">
        <v>-0.99857929999999995</v>
      </c>
      <c r="P3256">
        <v>-0.26487909999999998</v>
      </c>
      <c r="Q3256">
        <v>0.1849597</v>
      </c>
      <c r="R3256">
        <v>-0.94637689999999997</v>
      </c>
      <c r="S3256">
        <v>-1.4045099999999999</v>
      </c>
      <c r="T3256">
        <v>-0.1436559</v>
      </c>
      <c r="U3256">
        <v>-2.8134000000000001</v>
      </c>
      <c r="V3256">
        <v>0.21624409999999999</v>
      </c>
      <c r="W3256">
        <v>0.1947535</v>
      </c>
      <c r="X3256">
        <v>0.95671810000000002</v>
      </c>
      <c r="Y3256">
        <v>0.39907740000000003</v>
      </c>
      <c r="Z3256">
        <v>3.4845710000000002E-2</v>
      </c>
      <c r="AA3256">
        <v>0.91625489999999998</v>
      </c>
      <c r="AB3256">
        <v>26</v>
      </c>
      <c r="AC3256">
        <v>-10.926299999999999</v>
      </c>
      <c r="AD3256">
        <v>-1.11898563723</v>
      </c>
      <c r="AE3256">
        <v>-21.6524</v>
      </c>
      <c r="AF3256">
        <v>9.7634091379376606</v>
      </c>
      <c r="AG3256">
        <v>-1.11898563723</v>
      </c>
      <c r="AH3256">
        <v>22.144751417906502</v>
      </c>
      <c r="AI3256">
        <v>92.647250802550204</v>
      </c>
      <c r="AJ3256">
        <v>66.2077763244952</v>
      </c>
      <c r="AK3256">
        <v>24.22738744091</v>
      </c>
      <c r="AL3256">
        <v>78.769675657061796</v>
      </c>
      <c r="AM3256">
        <v>77.263622703071107</v>
      </c>
      <c r="AN3256">
        <v>0.99999997970733401</v>
      </c>
    </row>
    <row r="3257" spans="1:40" x14ac:dyDescent="0.25">
      <c r="A3257" t="str">
        <f>"20190303162614625"</f>
        <v>20190303162614625</v>
      </c>
      <c r="B3257" t="str">
        <f>"1551601574616690"</f>
        <v>1551601574616690</v>
      </c>
      <c r="C3257" t="s">
        <v>40</v>
      </c>
      <c r="D3257">
        <v>4.7901439999999997</v>
      </c>
      <c r="E3257">
        <v>0.58301309999999995</v>
      </c>
      <c r="F3257" t="s">
        <v>47</v>
      </c>
      <c r="G3257">
        <v>-197.10480000000001</v>
      </c>
      <c r="H3257" s="1">
        <v>-1.16451299999999E-5</v>
      </c>
      <c r="I3257">
        <v>148.4402</v>
      </c>
      <c r="J3257">
        <v>-185.9179</v>
      </c>
      <c r="K3257">
        <v>1.1187320000000001</v>
      </c>
      <c r="L3257">
        <v>169.9812</v>
      </c>
      <c r="M3257">
        <v>-5.5343940000000001E-2</v>
      </c>
      <c r="N3257">
        <v>-1.12823E-2</v>
      </c>
      <c r="O3257">
        <v>-0.99840370000000001</v>
      </c>
      <c r="P3257">
        <v>-0.27551759999999997</v>
      </c>
      <c r="Q3257">
        <v>0.18241599999999999</v>
      </c>
      <c r="R3257">
        <v>-0.94382980000000005</v>
      </c>
      <c r="S3257">
        <v>-1.4364319999999999</v>
      </c>
      <c r="T3257">
        <v>-0.14345550000000001</v>
      </c>
      <c r="U3257">
        <v>-2.7960050000000001</v>
      </c>
      <c r="V3257">
        <v>0.22394030000000001</v>
      </c>
      <c r="W3257">
        <v>0.19195209999999999</v>
      </c>
      <c r="X3257">
        <v>0.9555131</v>
      </c>
      <c r="Y3257">
        <v>0.40663569999999999</v>
      </c>
      <c r="Z3257">
        <v>3.4933400000000003E-2</v>
      </c>
      <c r="AA3257">
        <v>0.91292229999999996</v>
      </c>
      <c r="AB3257">
        <v>27</v>
      </c>
      <c r="AC3257">
        <v>-11.1869</v>
      </c>
      <c r="AD3257">
        <v>-1.1187436451299999</v>
      </c>
      <c r="AE3257">
        <v>-21.541</v>
      </c>
      <c r="AF3257">
        <v>9.9563617957309507</v>
      </c>
      <c r="AG3257">
        <v>-1.1187436451299999</v>
      </c>
      <c r="AH3257">
        <v>22.0802412039728</v>
      </c>
      <c r="AI3257">
        <v>92.644533838163596</v>
      </c>
      <c r="AJ3257">
        <v>65.728564947169502</v>
      </c>
      <c r="AK3257">
        <v>24.24701588189</v>
      </c>
      <c r="AL3257">
        <v>78.933272355841694</v>
      </c>
      <c r="AM3257">
        <v>76.809848723758094</v>
      </c>
      <c r="AN3257">
        <v>1.00000007546505</v>
      </c>
    </row>
    <row r="3258" spans="1:40" x14ac:dyDescent="0.25">
      <c r="A3258" t="str">
        <f>"20190303162614645"</f>
        <v>20190303162614645</v>
      </c>
      <c r="B3258" t="str">
        <f>"1551601574636210"</f>
        <v>1551601574636210</v>
      </c>
      <c r="C3258" t="s">
        <v>40</v>
      </c>
      <c r="D3258">
        <v>4.7900999999999998</v>
      </c>
      <c r="E3258">
        <v>0.58255190000000001</v>
      </c>
      <c r="F3258" t="s">
        <v>47</v>
      </c>
      <c r="G3258">
        <v>-196.92830000000001</v>
      </c>
      <c r="H3258" s="1">
        <v>-1.178115E-5</v>
      </c>
      <c r="I3258">
        <v>149.07470000000001</v>
      </c>
      <c r="J3258">
        <v>-185.93450000000001</v>
      </c>
      <c r="K3258">
        <v>1.1185320000000001</v>
      </c>
      <c r="L3258">
        <v>169.74260000000001</v>
      </c>
      <c r="M3258">
        <v>-5.8501009999999999E-2</v>
      </c>
      <c r="N3258">
        <v>-1.119581E-2</v>
      </c>
      <c r="O3258">
        <v>-0.99822460000000002</v>
      </c>
      <c r="P3258">
        <v>-0.28527029999999998</v>
      </c>
      <c r="Q3258">
        <v>0.18038270000000001</v>
      </c>
      <c r="R3258">
        <v>-0.94132020000000005</v>
      </c>
      <c r="S3258">
        <v>-1.464035</v>
      </c>
      <c r="T3258">
        <v>-0.14875759999999999</v>
      </c>
      <c r="U3258">
        <v>-2.7799070000000001</v>
      </c>
      <c r="V3258">
        <v>0.2308636</v>
      </c>
      <c r="W3258">
        <v>0.18968380000000001</v>
      </c>
      <c r="X3258">
        <v>0.95431759999999999</v>
      </c>
      <c r="Y3258">
        <v>0.4129736</v>
      </c>
      <c r="Z3258">
        <v>3.6786640000000002E-2</v>
      </c>
      <c r="AA3258">
        <v>0.90999980000000003</v>
      </c>
      <c r="AB3258">
        <v>27</v>
      </c>
      <c r="AC3258">
        <v>-10.993799999999901</v>
      </c>
      <c r="AD3258">
        <v>-1.1185437811499901</v>
      </c>
      <c r="AE3258">
        <v>-20.667899999999999</v>
      </c>
      <c r="AF3258">
        <v>9.7435558380730996</v>
      </c>
      <c r="AG3258">
        <v>-1.1185437811499901</v>
      </c>
      <c r="AH3258">
        <v>21.227225705011101</v>
      </c>
      <c r="AI3258">
        <v>92.741787734918503</v>
      </c>
      <c r="AJ3258">
        <v>65.344299113510004</v>
      </c>
      <c r="AK3258">
        <v>23.383394357780499</v>
      </c>
      <c r="AL3258">
        <v>79.065668443198703</v>
      </c>
      <c r="AM3258">
        <v>76.400574295844095</v>
      </c>
      <c r="AN3258">
        <v>1.0000000137285801</v>
      </c>
    </row>
    <row r="3259" spans="1:40" x14ac:dyDescent="0.25">
      <c r="A3259" t="str">
        <f>"20190303162614684"</f>
        <v>20190303162614684</v>
      </c>
      <c r="B3259" t="str">
        <f>"1551601574678178"</f>
        <v>1551601574678178</v>
      </c>
      <c r="C3259" t="s">
        <v>40</v>
      </c>
      <c r="D3259">
        <v>4.7506449999999996</v>
      </c>
      <c r="E3259">
        <v>0.58140400000000003</v>
      </c>
      <c r="F3259" t="s">
        <v>47</v>
      </c>
      <c r="G3259">
        <v>-196.749</v>
      </c>
      <c r="H3259" s="1">
        <v>-1.190063E-5</v>
      </c>
      <c r="I3259">
        <v>149.636</v>
      </c>
      <c r="J3259">
        <v>-185.9684</v>
      </c>
      <c r="K3259">
        <v>1.11816</v>
      </c>
      <c r="L3259">
        <v>169.2929</v>
      </c>
      <c r="M3259">
        <v>-6.509028E-2</v>
      </c>
      <c r="N3259">
        <v>-1.102304E-2</v>
      </c>
      <c r="O3259">
        <v>-0.9978186</v>
      </c>
      <c r="P3259">
        <v>-0.30003760000000002</v>
      </c>
      <c r="Q3259">
        <v>0.17790410000000001</v>
      </c>
      <c r="R3259">
        <v>-0.93719149999999996</v>
      </c>
      <c r="S3259">
        <v>-1.487549</v>
      </c>
      <c r="T3259">
        <v>-0.1538571</v>
      </c>
      <c r="U3259">
        <v>-2.7656860000000001</v>
      </c>
      <c r="V3259">
        <v>0.23968059999999999</v>
      </c>
      <c r="W3259">
        <v>0.1867798</v>
      </c>
      <c r="X3259">
        <v>0.95271530000000004</v>
      </c>
      <c r="Y3259">
        <v>0.41487449999999998</v>
      </c>
      <c r="Z3259">
        <v>3.8690719999999998E-2</v>
      </c>
      <c r="AA3259">
        <v>0.90905570000000002</v>
      </c>
      <c r="AB3259">
        <v>27</v>
      </c>
      <c r="AC3259">
        <v>-10.7806</v>
      </c>
      <c r="AD3259">
        <v>-1.1181719006299999</v>
      </c>
      <c r="AE3259">
        <v>-19.6569</v>
      </c>
      <c r="AF3259">
        <v>9.4546654433073503</v>
      </c>
      <c r="AG3259">
        <v>-1.1181719006299999</v>
      </c>
      <c r="AH3259">
        <v>20.266549743336601</v>
      </c>
      <c r="AI3259">
        <v>92.862404147901401</v>
      </c>
      <c r="AJ3259">
        <v>64.990205645346904</v>
      </c>
      <c r="AK3259">
        <v>22.391383287848999</v>
      </c>
      <c r="AL3259">
        <v>79.235083264652204</v>
      </c>
      <c r="AM3259">
        <v>75.878784880927199</v>
      </c>
      <c r="AN3259">
        <v>0.99999996327924401</v>
      </c>
    </row>
    <row r="3260" spans="1:40" x14ac:dyDescent="0.25">
      <c r="A3260" t="str">
        <f>"20190303162614704"</f>
        <v>20190303162614704</v>
      </c>
      <c r="B3260" t="str">
        <f>"1551601574696723"</f>
        <v>1551601574696723</v>
      </c>
      <c r="C3260" t="s">
        <v>40</v>
      </c>
      <c r="D3260">
        <v>4.7393769999999904</v>
      </c>
      <c r="E3260">
        <v>0.58108409999999999</v>
      </c>
      <c r="F3260" t="s">
        <v>47</v>
      </c>
      <c r="G3260">
        <v>-196.66550000000001</v>
      </c>
      <c r="H3260" s="1">
        <v>-1.202286E-5</v>
      </c>
      <c r="I3260">
        <v>149.9555</v>
      </c>
      <c r="J3260">
        <v>-185.98920000000001</v>
      </c>
      <c r="K3260">
        <v>1.1179509999999999</v>
      </c>
      <c r="L3260">
        <v>169.03880000000001</v>
      </c>
      <c r="M3260">
        <v>-6.9157709999999997E-2</v>
      </c>
      <c r="N3260">
        <v>-1.0926140000000001E-2</v>
      </c>
      <c r="O3260">
        <v>-0.99754580000000004</v>
      </c>
      <c r="P3260">
        <v>-0.30751820000000002</v>
      </c>
      <c r="Q3260">
        <v>0.1759445</v>
      </c>
      <c r="R3260">
        <v>-0.93513440000000003</v>
      </c>
      <c r="S3260">
        <v>-1.5185090000000001</v>
      </c>
      <c r="T3260">
        <v>-0.1587306</v>
      </c>
      <c r="U3260">
        <v>-2.7450559999999999</v>
      </c>
      <c r="V3260">
        <v>0.24346000000000001</v>
      </c>
      <c r="W3260">
        <v>0.184587</v>
      </c>
      <c r="X3260">
        <v>0.95218429999999998</v>
      </c>
      <c r="Y3260">
        <v>0.42184860000000002</v>
      </c>
      <c r="Z3260">
        <v>4.0465569999999999E-2</v>
      </c>
      <c r="AA3260">
        <v>0.90576290000000004</v>
      </c>
      <c r="AB3260">
        <v>27</v>
      </c>
      <c r="AC3260">
        <v>-10.6762999999999</v>
      </c>
      <c r="AD3260">
        <v>-1.1179630228599999</v>
      </c>
      <c r="AE3260">
        <v>-19.083300000000001</v>
      </c>
      <c r="AF3260">
        <v>9.3065725889166409</v>
      </c>
      <c r="AG3260">
        <v>-1.1179630228599999</v>
      </c>
      <c r="AH3260">
        <v>19.72443944306</v>
      </c>
      <c r="AI3260">
        <v>92.934398958723506</v>
      </c>
      <c r="AJ3260">
        <v>64.740678666231204</v>
      </c>
      <c r="AK3260">
        <v>21.8383984306587</v>
      </c>
      <c r="AL3260">
        <v>79.362945837713298</v>
      </c>
      <c r="AM3260">
        <v>75.657560081358497</v>
      </c>
      <c r="AN3260">
        <v>1.00000003666774</v>
      </c>
    </row>
    <row r="3261" spans="1:40" x14ac:dyDescent="0.25">
      <c r="A3261" t="str">
        <f>"20190303162614726"</f>
        <v>20190303162614726</v>
      </c>
      <c r="B3261" t="str">
        <f>"1551601574716243"</f>
        <v>1551601574716243</v>
      </c>
      <c r="C3261" t="s">
        <v>40</v>
      </c>
      <c r="D3261">
        <v>4.8227219999999997</v>
      </c>
      <c r="E3261">
        <v>0.5708491</v>
      </c>
      <c r="F3261" t="s">
        <v>47</v>
      </c>
      <c r="G3261">
        <v>-196.37889999999999</v>
      </c>
      <c r="H3261" s="1">
        <v>-1.2225779999999999E-5</v>
      </c>
      <c r="I3261">
        <v>150.547</v>
      </c>
      <c r="J3261">
        <v>-186.01159999999999</v>
      </c>
      <c r="K3261">
        <v>1.117745</v>
      </c>
      <c r="L3261">
        <v>168.78139999999999</v>
      </c>
      <c r="M3261">
        <v>-7.3476429999999995E-2</v>
      </c>
      <c r="N3261">
        <v>-1.083171E-2</v>
      </c>
      <c r="O3261">
        <v>-0.99723799999999996</v>
      </c>
      <c r="P3261">
        <v>-0.314384</v>
      </c>
      <c r="Q3261">
        <v>0.1719466</v>
      </c>
      <c r="R3261">
        <v>-0.93359369999999997</v>
      </c>
      <c r="S3261">
        <v>-1.536133</v>
      </c>
      <c r="T3261">
        <v>-0.1652933</v>
      </c>
      <c r="U3261">
        <v>-2.7340550000000001</v>
      </c>
      <c r="V3261">
        <v>0.24633430000000001</v>
      </c>
      <c r="W3261">
        <v>0.1803737</v>
      </c>
      <c r="X3261">
        <v>0.9522524</v>
      </c>
      <c r="Y3261">
        <v>0.42386489999999999</v>
      </c>
      <c r="Z3261">
        <v>4.2740599999999997E-2</v>
      </c>
      <c r="AA3261">
        <v>0.90471639999999998</v>
      </c>
      <c r="AB3261">
        <v>27</v>
      </c>
      <c r="AC3261">
        <v>-10.3673</v>
      </c>
      <c r="AD3261">
        <v>-1.1177572257799999</v>
      </c>
      <c r="AE3261">
        <v>-18.234399999999901</v>
      </c>
      <c r="AF3261">
        <v>8.9739130752585492</v>
      </c>
      <c r="AG3261">
        <v>-1.1177572257799999</v>
      </c>
      <c r="AH3261">
        <v>18.8932521728557</v>
      </c>
      <c r="AI3261">
        <v>93.058969034607202</v>
      </c>
      <c r="AJ3261">
        <v>64.593226368629203</v>
      </c>
      <c r="AK3261">
        <v>20.946013338227299</v>
      </c>
      <c r="AL3261">
        <v>79.608471910551998</v>
      </c>
      <c r="AM3261">
        <v>75.496329502921299</v>
      </c>
      <c r="AN3261">
        <v>0.99999994615696797</v>
      </c>
    </row>
    <row r="3262" spans="1:40" x14ac:dyDescent="0.25">
      <c r="A3262" t="str">
        <f>"20190303162614746"</f>
        <v>20190303162614746</v>
      </c>
      <c r="B3262" t="str">
        <f>"1551601574736738"</f>
        <v>1551601574736738</v>
      </c>
      <c r="C3262" t="s">
        <v>40</v>
      </c>
      <c r="D3262">
        <v>5.0681859999999999</v>
      </c>
      <c r="E3262">
        <v>0.543072</v>
      </c>
      <c r="F3262" t="s">
        <v>47</v>
      </c>
      <c r="G3262">
        <v>-198.59399999999999</v>
      </c>
      <c r="H3262" s="1">
        <v>-1.1026190000000001E-5</v>
      </c>
      <c r="I3262">
        <v>145.4504</v>
      </c>
      <c r="J3262">
        <v>-186.0343</v>
      </c>
      <c r="K3262">
        <v>1.117551</v>
      </c>
      <c r="L3262">
        <v>168.5351</v>
      </c>
      <c r="M3262">
        <v>-7.7806879999999995E-2</v>
      </c>
      <c r="N3262">
        <v>-1.0742740000000001E-2</v>
      </c>
      <c r="O3262">
        <v>-0.99691070000000004</v>
      </c>
      <c r="P3262">
        <v>-0.320774</v>
      </c>
      <c r="Q3262">
        <v>0.1681184</v>
      </c>
      <c r="R3262">
        <v>-0.93211619999999995</v>
      </c>
      <c r="S3262">
        <v>-1.4776609999999999</v>
      </c>
      <c r="T3262">
        <v>-0.13126750000000001</v>
      </c>
      <c r="U3262">
        <v>-2.73996</v>
      </c>
      <c r="V3262">
        <v>0.2487143</v>
      </c>
      <c r="W3262">
        <v>0.17634369999999999</v>
      </c>
      <c r="X3262">
        <v>0.95238860000000003</v>
      </c>
      <c r="Y3262">
        <v>0.40439449999999999</v>
      </c>
      <c r="Z3262">
        <v>3.2168969999999998E-2</v>
      </c>
      <c r="AA3262">
        <v>0.91401880000000002</v>
      </c>
      <c r="AB3262">
        <v>27</v>
      </c>
      <c r="AC3262">
        <v>-12.559699999999999</v>
      </c>
      <c r="AD3262">
        <v>-1.1175620261899999</v>
      </c>
      <c r="AE3262">
        <v>-23.084700000000002</v>
      </c>
      <c r="AF3262">
        <v>10.7060079949679</v>
      </c>
      <c r="AG3262">
        <v>-1.1175620261899999</v>
      </c>
      <c r="AH3262">
        <v>23.948688911165601</v>
      </c>
      <c r="AI3262">
        <v>92.439425512679094</v>
      </c>
      <c r="AJ3262">
        <v>65.913474266467404</v>
      </c>
      <c r="AK3262">
        <v>26.2565658956857</v>
      </c>
      <c r="AL3262">
        <v>79.843137109114906</v>
      </c>
      <c r="AM3262">
        <v>75.3641947718978</v>
      </c>
      <c r="AN3262">
        <v>0.99999997448206901</v>
      </c>
    </row>
    <row r="3263" spans="1:40" x14ac:dyDescent="0.25">
      <c r="A3263" t="str">
        <f>"20190303162614769"</f>
        <v>20190303162614769</v>
      </c>
      <c r="B3263" t="str">
        <f>"1551601574756259"</f>
        <v>1551601574756259</v>
      </c>
      <c r="C3263" t="s">
        <v>40</v>
      </c>
      <c r="D3263">
        <v>4.785571</v>
      </c>
      <c r="E3263">
        <v>0.49569619999999998</v>
      </c>
      <c r="F3263" t="s">
        <v>47</v>
      </c>
      <c r="G3263">
        <v>-190.3458</v>
      </c>
      <c r="H3263" s="1">
        <v>-1.4751E-5</v>
      </c>
      <c r="I3263">
        <v>159.00810000000001</v>
      </c>
      <c r="J3263">
        <v>-186.0608</v>
      </c>
      <c r="K3263">
        <v>1.117345</v>
      </c>
      <c r="L3263">
        <v>168.2629</v>
      </c>
      <c r="M3263">
        <v>-8.2811999999999997E-2</v>
      </c>
      <c r="N3263">
        <v>-1.0646869999999999E-2</v>
      </c>
      <c r="O3263">
        <v>-0.99650830000000001</v>
      </c>
      <c r="P3263">
        <v>-0.32786799999999999</v>
      </c>
      <c r="Q3263">
        <v>0.16736619999999999</v>
      </c>
      <c r="R3263">
        <v>-0.92978000000000005</v>
      </c>
      <c r="S3263">
        <v>-1.2837829999999999</v>
      </c>
      <c r="T3263">
        <v>-0.3327618</v>
      </c>
      <c r="U3263">
        <v>-2.8367</v>
      </c>
      <c r="V3263">
        <v>0.25125150000000002</v>
      </c>
      <c r="W3263">
        <v>0.17536599999999999</v>
      </c>
      <c r="X3263">
        <v>0.95190300000000005</v>
      </c>
      <c r="Y3263">
        <v>0.33330019999999999</v>
      </c>
      <c r="Z3263">
        <v>9.70134E-2</v>
      </c>
      <c r="AA3263">
        <v>0.93781630000000005</v>
      </c>
      <c r="AB3263">
        <v>27</v>
      </c>
      <c r="AC3263">
        <v>-4.2849999999999904</v>
      </c>
      <c r="AD3263">
        <v>-1.117359751</v>
      </c>
      <c r="AE3263">
        <v>-9.2547999999999799</v>
      </c>
      <c r="AF3263">
        <v>3.46226957975336</v>
      </c>
      <c r="AG3263">
        <v>-1.117359751</v>
      </c>
      <c r="AH3263">
        <v>9.4642749829131798</v>
      </c>
      <c r="AI3263">
        <v>96.326805770264201</v>
      </c>
      <c r="AJ3263">
        <v>69.906210675389303</v>
      </c>
      <c r="AK3263">
        <v>10.139443002859499</v>
      </c>
      <c r="AL3263">
        <v>79.900041601720304</v>
      </c>
      <c r="AM3263">
        <v>75.2141860679925</v>
      </c>
      <c r="AN3263">
        <v>0.99999993580862201</v>
      </c>
    </row>
    <row r="3264" spans="1:40" x14ac:dyDescent="0.25">
      <c r="A3264" t="str">
        <f>"20190303162614793"</f>
        <v>20190303162614793</v>
      </c>
      <c r="B3264" t="str">
        <f>"1551601574786515"</f>
        <v>1551601574786515</v>
      </c>
      <c r="C3264" t="s">
        <v>40</v>
      </c>
      <c r="D3264">
        <v>4.8712910000000003</v>
      </c>
      <c r="E3264">
        <v>0.48394330000000002</v>
      </c>
      <c r="F3264" t="s">
        <v>42</v>
      </c>
      <c r="G3264">
        <v>-186.3013</v>
      </c>
      <c r="H3264">
        <v>0.93775129999999995</v>
      </c>
      <c r="I3264">
        <v>167.49420000000001</v>
      </c>
      <c r="J3264">
        <v>-186.09100000000001</v>
      </c>
      <c r="K3264">
        <v>1.1171489999999999</v>
      </c>
      <c r="L3264">
        <v>167.97139999999999</v>
      </c>
      <c r="M3264">
        <v>-8.8403640000000006E-2</v>
      </c>
      <c r="N3264">
        <v>-1.0553E-2</v>
      </c>
      <c r="O3264">
        <v>-0.99602900000000005</v>
      </c>
      <c r="P3264">
        <v>-0.33554790000000001</v>
      </c>
      <c r="Q3264">
        <v>0.16773150000000001</v>
      </c>
      <c r="R3264">
        <v>-0.92697050000000003</v>
      </c>
      <c r="S3264">
        <v>-0.94410709999999998</v>
      </c>
      <c r="T3264">
        <v>-0.70547990000000005</v>
      </c>
      <c r="U3264">
        <v>-3.020645</v>
      </c>
      <c r="V3264">
        <v>0.25387280000000001</v>
      </c>
      <c r="W3264">
        <v>0.17549970000000001</v>
      </c>
      <c r="X3264">
        <v>0.95118270000000005</v>
      </c>
      <c r="Y3264">
        <v>0.2059503</v>
      </c>
      <c r="Z3264">
        <v>0.20859839999999999</v>
      </c>
      <c r="AA3264">
        <v>0.95607070000000005</v>
      </c>
      <c r="AB3264">
        <v>27</v>
      </c>
      <c r="AC3264">
        <v>-0.210300000000017</v>
      </c>
      <c r="AD3264">
        <v>-0.17939769999999899</v>
      </c>
      <c r="AE3264">
        <v>-0.47719999999998203</v>
      </c>
      <c r="AF3264">
        <v>0.149585250715357</v>
      </c>
      <c r="AG3264">
        <v>-0.17939769999999899</v>
      </c>
      <c r="AH3264">
        <v>0.44165583294487698</v>
      </c>
      <c r="AI3264">
        <v>111.04303127389601</v>
      </c>
      <c r="AJ3264">
        <v>71.289176162378695</v>
      </c>
      <c r="AK3264">
        <v>0.499619011618953</v>
      </c>
      <c r="AL3264">
        <v>79.892261504842693</v>
      </c>
      <c r="AM3264">
        <v>75.055981915537402</v>
      </c>
      <c r="AN3264">
        <v>1.0000000360296</v>
      </c>
    </row>
    <row r="3265" spans="1:40" x14ac:dyDescent="0.25">
      <c r="A3265" t="str">
        <f>"20190303162614817"</f>
        <v>20190303162614817</v>
      </c>
      <c r="B3265" t="str">
        <f>"1551601574807012"</f>
        <v>1551601574807012</v>
      </c>
      <c r="C3265" t="s">
        <v>40</v>
      </c>
      <c r="D3265">
        <v>4.8075599999999996</v>
      </c>
      <c r="E3265">
        <v>0.48171720000000001</v>
      </c>
      <c r="F3265" t="s">
        <v>42</v>
      </c>
      <c r="G3265">
        <v>-186.29390000000001</v>
      </c>
      <c r="H3265">
        <v>0.92058530000000005</v>
      </c>
      <c r="I3265">
        <v>167.26070000000001</v>
      </c>
      <c r="J3265">
        <v>-186.1215</v>
      </c>
      <c r="K3265">
        <v>1.116984</v>
      </c>
      <c r="L3265">
        <v>167.69370000000001</v>
      </c>
      <c r="M3265">
        <v>-9.3939300000000003E-2</v>
      </c>
      <c r="N3265">
        <v>-1.04747E-2</v>
      </c>
      <c r="O3265">
        <v>-0.99552289999999999</v>
      </c>
      <c r="P3265">
        <v>-0.34258850000000002</v>
      </c>
      <c r="Q3265">
        <v>0.166987</v>
      </c>
      <c r="R3265">
        <v>-0.92452619999999996</v>
      </c>
      <c r="S3265">
        <v>-0.87724299999999999</v>
      </c>
      <c r="T3265">
        <v>-0.84982590000000002</v>
      </c>
      <c r="U3265">
        <v>-3.0725560000000001</v>
      </c>
      <c r="V3265">
        <v>0.25587189999999999</v>
      </c>
      <c r="W3265">
        <v>0.174558399999999</v>
      </c>
      <c r="X3265">
        <v>0.95082009999999995</v>
      </c>
      <c r="Y3265">
        <v>0.17413960000000001</v>
      </c>
      <c r="Z3265">
        <v>0.24807380000000001</v>
      </c>
      <c r="AA3265">
        <v>0.95296110000000001</v>
      </c>
      <c r="AB3265">
        <v>27</v>
      </c>
      <c r="AC3265">
        <v>-0.17240000000000999</v>
      </c>
      <c r="AD3265">
        <v>-0.19639869999999901</v>
      </c>
      <c r="AE3265">
        <v>-0.432999999999992</v>
      </c>
      <c r="AF3265">
        <v>0.11121072216031599</v>
      </c>
      <c r="AG3265">
        <v>-0.19639869999999901</v>
      </c>
      <c r="AH3265">
        <v>0.379830474526065</v>
      </c>
      <c r="AI3265">
        <v>116.39228197848399</v>
      </c>
      <c r="AJ3265">
        <v>73.680475074616695</v>
      </c>
      <c r="AK3265">
        <v>0.44182741366262501</v>
      </c>
      <c r="AL3265">
        <v>79.947038879492695</v>
      </c>
      <c r="AM3265">
        <v>74.938149200947507</v>
      </c>
      <c r="AN3265">
        <v>0.99999996339208896</v>
      </c>
    </row>
    <row r="3266" spans="1:40" x14ac:dyDescent="0.25">
      <c r="A3266" t="str">
        <f>"20190303162614837"</f>
        <v>20190303162614837</v>
      </c>
      <c r="B3266" t="str">
        <f>"1551601574826531"</f>
        <v>1551601574826531</v>
      </c>
      <c r="C3266" t="s">
        <v>40</v>
      </c>
      <c r="D3266">
        <v>4.7784959999999996</v>
      </c>
      <c r="E3266">
        <v>0.4814407</v>
      </c>
      <c r="F3266" t="s">
        <v>42</v>
      </c>
      <c r="G3266">
        <v>-186.31630000000001</v>
      </c>
      <c r="H3266">
        <v>0.92447440000000003</v>
      </c>
      <c r="I3266">
        <v>167.01859999999999</v>
      </c>
      <c r="J3266">
        <v>-186.1499</v>
      </c>
      <c r="K3266">
        <v>1.1168469999999999</v>
      </c>
      <c r="L3266">
        <v>167.44890000000001</v>
      </c>
      <c r="M3266">
        <v>-9.8992739999999996E-2</v>
      </c>
      <c r="N3266">
        <v>-1.041488E-2</v>
      </c>
      <c r="O3266">
        <v>-0.99503370000000002</v>
      </c>
      <c r="P3266">
        <v>-0.34790860000000001</v>
      </c>
      <c r="Q3266">
        <v>0.16654569999999999</v>
      </c>
      <c r="R3266">
        <v>-0.92261729999999997</v>
      </c>
      <c r="S3266">
        <v>-0.88633729999999999</v>
      </c>
      <c r="T3266">
        <v>-0.87657030000000002</v>
      </c>
      <c r="U3266">
        <v>-3.0747990000000001</v>
      </c>
      <c r="V3266">
        <v>0.25656770000000001</v>
      </c>
      <c r="W3266">
        <v>0.17396819999999999</v>
      </c>
      <c r="X3266">
        <v>0.95074080000000005</v>
      </c>
      <c r="Y3266">
        <v>0.17103960000000001</v>
      </c>
      <c r="Z3266">
        <v>0.2553166</v>
      </c>
      <c r="AA3266">
        <v>0.95160860000000003</v>
      </c>
      <c r="AB3266">
        <v>27</v>
      </c>
      <c r="AC3266">
        <v>-0.16640000000001001</v>
      </c>
      <c r="AD3266">
        <v>-0.19237259999999901</v>
      </c>
      <c r="AE3266">
        <v>-0.430300000000016</v>
      </c>
      <c r="AF3266">
        <v>0.10476793998040899</v>
      </c>
      <c r="AG3266">
        <v>-0.19237259999999901</v>
      </c>
      <c r="AH3266">
        <v>0.37879865486879599</v>
      </c>
      <c r="AI3266">
        <v>116.08048937427201</v>
      </c>
      <c r="AJ3266">
        <v>74.539647231100403</v>
      </c>
      <c r="AK3266">
        <v>0.43757509002331002</v>
      </c>
      <c r="AL3266">
        <v>79.9813806155951</v>
      </c>
      <c r="AM3266">
        <v>74.897857273423099</v>
      </c>
      <c r="AN3266">
        <v>0.99999999403958495</v>
      </c>
    </row>
    <row r="3267" spans="1:40" x14ac:dyDescent="0.25">
      <c r="A3267" t="str">
        <f>"20190303162614860"</f>
        <v>20190303162614860</v>
      </c>
      <c r="B3267" t="str">
        <f>"1551601574847027"</f>
        <v>1551601574847027</v>
      </c>
      <c r="C3267" t="s">
        <v>40</v>
      </c>
      <c r="D3267">
        <v>4.749422</v>
      </c>
      <c r="E3267">
        <v>0.48089320000000002</v>
      </c>
      <c r="F3267" t="s">
        <v>42</v>
      </c>
      <c r="G3267">
        <v>-186.34809999999999</v>
      </c>
      <c r="H3267">
        <v>0.92227840000000005</v>
      </c>
      <c r="I3267">
        <v>166.77940000000001</v>
      </c>
      <c r="J3267">
        <v>-186.18289999999999</v>
      </c>
      <c r="K3267">
        <v>1.1166910000000001</v>
      </c>
      <c r="L3267">
        <v>167.179</v>
      </c>
      <c r="M3267">
        <v>-0.10474600000000001</v>
      </c>
      <c r="N3267">
        <v>-1.035814E-2</v>
      </c>
      <c r="O3267">
        <v>-0.99444509999999997</v>
      </c>
      <c r="P3267">
        <v>-0.35332619999999998</v>
      </c>
      <c r="Q3267">
        <v>0.16789709999999999</v>
      </c>
      <c r="R3267">
        <v>-0.92031059999999998</v>
      </c>
      <c r="S3267">
        <v>-0.90837100000000004</v>
      </c>
      <c r="T3267">
        <v>-0.89204550000000005</v>
      </c>
      <c r="U3267">
        <v>-3.0701139999999998</v>
      </c>
      <c r="V3267">
        <v>0.25675930000000002</v>
      </c>
      <c r="W3267">
        <v>0.1751693</v>
      </c>
      <c r="X3267">
        <v>0.95046850000000005</v>
      </c>
      <c r="Y3267">
        <v>0.17169619999999999</v>
      </c>
      <c r="Z3267">
        <v>0.25960569999999999</v>
      </c>
      <c r="AA3267">
        <v>0.95032910000000004</v>
      </c>
      <c r="AB3267">
        <v>27</v>
      </c>
      <c r="AC3267">
        <v>-0.16519999999999799</v>
      </c>
      <c r="AD3267">
        <v>-0.19441259999999999</v>
      </c>
      <c r="AE3267">
        <v>-0.39959999999999202</v>
      </c>
      <c r="AF3267">
        <v>0.101844508377089</v>
      </c>
      <c r="AG3267">
        <v>-0.19441259999999999</v>
      </c>
      <c r="AH3267">
        <v>0.34497065820100697</v>
      </c>
      <c r="AI3267">
        <v>118.391225841081</v>
      </c>
      <c r="AJ3267">
        <v>73.551998635235805</v>
      </c>
      <c r="AK3267">
        <v>0.40886833815418799</v>
      </c>
      <c r="AL3267">
        <v>79.911489486696595</v>
      </c>
      <c r="AM3267">
        <v>74.882963400533797</v>
      </c>
      <c r="AN3267">
        <v>0.99999999564561504</v>
      </c>
    </row>
    <row r="3268" spans="1:40" x14ac:dyDescent="0.25">
      <c r="A3268" t="str">
        <f>"20190303162614882"</f>
        <v>20190303162614882</v>
      </c>
      <c r="B3268" t="str">
        <f>"1551601574866547"</f>
        <v>1551601574866547</v>
      </c>
      <c r="C3268" t="s">
        <v>40</v>
      </c>
      <c r="D3268">
        <v>4.7433699999999996</v>
      </c>
      <c r="E3268">
        <v>0.4806069</v>
      </c>
      <c r="F3268" t="s">
        <v>42</v>
      </c>
      <c r="G3268">
        <v>-186.4426</v>
      </c>
      <c r="H3268">
        <v>0.8697549</v>
      </c>
      <c r="I3268">
        <v>166.32249999999999</v>
      </c>
      <c r="J3268">
        <v>-186.21799999999999</v>
      </c>
      <c r="K3268">
        <v>1.1165480000000001</v>
      </c>
      <c r="L3268">
        <v>166.90690000000001</v>
      </c>
      <c r="M3268">
        <v>-0.1107359</v>
      </c>
      <c r="N3268">
        <v>-1.031104E-2</v>
      </c>
      <c r="O3268">
        <v>-0.99379649999999997</v>
      </c>
      <c r="P3268">
        <v>-0.3586744</v>
      </c>
      <c r="Q3268">
        <v>0.1694484</v>
      </c>
      <c r="R3268">
        <v>-0.91795420000000005</v>
      </c>
      <c r="S3268">
        <v>-0.92890930000000005</v>
      </c>
      <c r="T3268">
        <v>-0.88343419999999895</v>
      </c>
      <c r="U3268">
        <v>-3.0643009999999999</v>
      </c>
      <c r="V3268">
        <v>0.2566717</v>
      </c>
      <c r="W3268">
        <v>0.17658309999999999</v>
      </c>
      <c r="X3268">
        <v>0.95023049999999998</v>
      </c>
      <c r="Y3268">
        <v>0.17229169999999999</v>
      </c>
      <c r="Z3268">
        <v>0.25719550000000002</v>
      </c>
      <c r="AA3268">
        <v>0.95087650000000001</v>
      </c>
      <c r="AB3268">
        <v>27</v>
      </c>
      <c r="AC3268">
        <v>-0.22460000000000899</v>
      </c>
      <c r="AD3268">
        <v>-0.24679309999999899</v>
      </c>
      <c r="AE3268">
        <v>-0.58440000000001602</v>
      </c>
      <c r="AF3268">
        <v>0.137184366101683</v>
      </c>
      <c r="AG3268">
        <v>-0.24679309999999899</v>
      </c>
      <c r="AH3268">
        <v>0.52422093525217495</v>
      </c>
      <c r="AI3268">
        <v>114.48660421581999</v>
      </c>
      <c r="AJ3268">
        <v>75.335021328960707</v>
      </c>
      <c r="AK3268">
        <v>0.595427555179465</v>
      </c>
      <c r="AL3268">
        <v>79.829201851087902</v>
      </c>
      <c r="AM3268">
        <v>74.884273149859197</v>
      </c>
      <c r="AN3268">
        <v>0.99999997795837403</v>
      </c>
    </row>
    <row r="3269" spans="1:40" x14ac:dyDescent="0.25">
      <c r="A3269" t="str">
        <f>"20190303162614905"</f>
        <v>20190303162614905</v>
      </c>
      <c r="B3269" t="str">
        <f>"1551601574896803"</f>
        <v>1551601574896803</v>
      </c>
      <c r="C3269" t="s">
        <v>40</v>
      </c>
      <c r="D3269">
        <v>4.8738400000000004</v>
      </c>
      <c r="E3269">
        <v>0.47885030000000001</v>
      </c>
      <c r="F3269" t="s">
        <v>42</v>
      </c>
      <c r="G3269">
        <v>-186.47559999999999</v>
      </c>
      <c r="H3269">
        <v>0.87816139999999998</v>
      </c>
      <c r="I3269">
        <v>166.07839999999999</v>
      </c>
      <c r="J3269">
        <v>-186.25630000000001</v>
      </c>
      <c r="K3269">
        <v>1.1163959999999999</v>
      </c>
      <c r="L3269">
        <v>166.62569999999999</v>
      </c>
      <c r="M3269">
        <v>-0.1170871</v>
      </c>
      <c r="N3269">
        <v>-1.027055E-2</v>
      </c>
      <c r="O3269">
        <v>-0.99306850000000002</v>
      </c>
      <c r="P3269">
        <v>-0.36398950000000002</v>
      </c>
      <c r="Q3269">
        <v>0.16868</v>
      </c>
      <c r="R3269">
        <v>-0.91600139999999997</v>
      </c>
      <c r="S3269">
        <v>-0.94996639999999999</v>
      </c>
      <c r="T3269">
        <v>-0.879756599999999</v>
      </c>
      <c r="U3269">
        <v>-3.0593409999999999</v>
      </c>
      <c r="V3269">
        <v>0.25613859999999999</v>
      </c>
      <c r="W3269">
        <v>0.17569879999999999</v>
      </c>
      <c r="X3269">
        <v>0.95053829999999995</v>
      </c>
      <c r="Y3269">
        <v>0.17250009999999999</v>
      </c>
      <c r="Z3269">
        <v>0.25606459999999998</v>
      </c>
      <c r="AA3269">
        <v>0.95114390000000004</v>
      </c>
      <c r="AB3269">
        <v>27</v>
      </c>
      <c r="AC3269">
        <v>-0.21929999999997499</v>
      </c>
      <c r="AD3269">
        <v>-0.23823459999999999</v>
      </c>
      <c r="AE3269">
        <v>-0.547300000000007</v>
      </c>
      <c r="AF3269">
        <v>0.13213350783762201</v>
      </c>
      <c r="AG3269">
        <v>-0.23823459999999999</v>
      </c>
      <c r="AH3269">
        <v>0.48932419425170998</v>
      </c>
      <c r="AI3269">
        <v>115.17490078513499</v>
      </c>
      <c r="AJ3269">
        <v>74.888681407216495</v>
      </c>
      <c r="AK3269">
        <v>0.56004745835573699</v>
      </c>
      <c r="AL3269">
        <v>79.880674060216606</v>
      </c>
      <c r="AM3269">
        <v>74.918898193365095</v>
      </c>
      <c r="AN3269">
        <v>1.0000000552491399</v>
      </c>
    </row>
    <row r="3270" spans="1:40" x14ac:dyDescent="0.25">
      <c r="A3270" t="str">
        <f>"20190303162614929"</f>
        <v>20190303162614929</v>
      </c>
      <c r="B3270" t="str">
        <f>"1551601574916324"</f>
        <v>1551601574916324</v>
      </c>
      <c r="C3270" t="s">
        <v>40</v>
      </c>
      <c r="D3270">
        <v>4.9065750000000001</v>
      </c>
      <c r="E3270">
        <v>0.47810229999999998</v>
      </c>
      <c r="F3270" t="s">
        <v>42</v>
      </c>
      <c r="G3270">
        <v>-186.5044</v>
      </c>
      <c r="H3270">
        <v>0.88425959999999904</v>
      </c>
      <c r="I3270">
        <v>165.83459999999999</v>
      </c>
      <c r="J3270">
        <v>-186.29650000000001</v>
      </c>
      <c r="K3270">
        <v>1.1162369999999999</v>
      </c>
      <c r="L3270">
        <v>166.34450000000001</v>
      </c>
      <c r="M3270">
        <v>-0.1236255</v>
      </c>
      <c r="N3270">
        <v>-1.0237710000000001E-2</v>
      </c>
      <c r="O3270">
        <v>-0.9922763</v>
      </c>
      <c r="P3270">
        <v>-0.37004359999999997</v>
      </c>
      <c r="Q3270">
        <v>0.16664579999999901</v>
      </c>
      <c r="R3270">
        <v>-0.91394600000000004</v>
      </c>
      <c r="S3270">
        <v>-0.95915220000000001</v>
      </c>
      <c r="T3270">
        <v>-0.89753439999999995</v>
      </c>
      <c r="U3270">
        <v>-3.05925</v>
      </c>
      <c r="V3270">
        <v>0.2561599</v>
      </c>
      <c r="W3270">
        <v>0.17354890000000001</v>
      </c>
      <c r="X3270">
        <v>0.95092739999999998</v>
      </c>
      <c r="Y3270">
        <v>0.1682485</v>
      </c>
      <c r="Z3270">
        <v>0.26077679999999998</v>
      </c>
      <c r="AA3270">
        <v>0.95062500000000005</v>
      </c>
      <c r="AB3270">
        <v>27</v>
      </c>
      <c r="AC3270">
        <v>-0.20789999999999501</v>
      </c>
      <c r="AD3270">
        <v>-0.2319774</v>
      </c>
      <c r="AE3270">
        <v>-0.50990000000001601</v>
      </c>
      <c r="AF3270">
        <v>0.121671625588715</v>
      </c>
      <c r="AG3270">
        <v>-0.2319774</v>
      </c>
      <c r="AH3270">
        <v>0.45155268036575003</v>
      </c>
      <c r="AI3270">
        <v>116.383293097503</v>
      </c>
      <c r="AJ3270">
        <v>74.919711020880101</v>
      </c>
      <c r="AK3270">
        <v>0.52203191638984503</v>
      </c>
      <c r="AL3270">
        <v>80.0057760668615</v>
      </c>
      <c r="AM3270">
        <v>74.923591579055795</v>
      </c>
      <c r="AN3270">
        <v>1.0000000175649799</v>
      </c>
    </row>
    <row r="3271" spans="1:40" x14ac:dyDescent="0.25">
      <c r="A3271" t="str">
        <f>"20190303162614950"</f>
        <v>20190303162614950</v>
      </c>
      <c r="B3271" t="str">
        <f>"1551601574946579"</f>
        <v>1551601574946579</v>
      </c>
      <c r="C3271" t="s">
        <v>40</v>
      </c>
      <c r="D3271">
        <v>4.9163360000000003</v>
      </c>
      <c r="E3271">
        <v>0.47752080000000002</v>
      </c>
      <c r="F3271" t="s">
        <v>42</v>
      </c>
      <c r="G3271">
        <v>-186.5376</v>
      </c>
      <c r="H3271">
        <v>0.88988230000000001</v>
      </c>
      <c r="I3271">
        <v>165.5909</v>
      </c>
      <c r="J3271">
        <v>-186.3356</v>
      </c>
      <c r="K3271">
        <v>1.11608</v>
      </c>
      <c r="L3271">
        <v>166.08420000000001</v>
      </c>
      <c r="M3271">
        <v>-0.12987000000000001</v>
      </c>
      <c r="N3271">
        <v>-1.021565E-2</v>
      </c>
      <c r="O3271">
        <v>-0.99147839999999998</v>
      </c>
      <c r="P3271">
        <v>-0.3761775</v>
      </c>
      <c r="Q3271">
        <v>0.16500119999999999</v>
      </c>
      <c r="R3271">
        <v>-0.91173760000000004</v>
      </c>
      <c r="S3271">
        <v>-0.97615050000000003</v>
      </c>
      <c r="T3271">
        <v>-0.91703299999999999</v>
      </c>
      <c r="U3271">
        <v>-3.054443</v>
      </c>
      <c r="V3271">
        <v>0.25656839999999997</v>
      </c>
      <c r="W3271">
        <v>0.17179049999999901</v>
      </c>
      <c r="X3271">
        <v>0.95113650000000005</v>
      </c>
      <c r="Y3271">
        <v>0.1668307</v>
      </c>
      <c r="Z3271">
        <v>0.26613360000000003</v>
      </c>
      <c r="AA3271">
        <v>0.9493895</v>
      </c>
      <c r="AB3271">
        <v>27</v>
      </c>
      <c r="AC3271">
        <v>-0.20199999999999799</v>
      </c>
      <c r="AD3271">
        <v>-0.226197699999999</v>
      </c>
      <c r="AE3271">
        <v>-0.49330000000000501</v>
      </c>
      <c r="AF3271">
        <v>0.115435015620296</v>
      </c>
      <c r="AG3271">
        <v>-0.226197699999999</v>
      </c>
      <c r="AH3271">
        <v>0.436718934082305</v>
      </c>
      <c r="AI3271">
        <v>116.59943640959899</v>
      </c>
      <c r="AJ3271">
        <v>75.1940037923099</v>
      </c>
      <c r="AK3271">
        <v>0.50518716304210698</v>
      </c>
      <c r="AL3271">
        <v>80.108060956698296</v>
      </c>
      <c r="AM3271">
        <v>74.903814069536807</v>
      </c>
      <c r="AN3271">
        <v>0.99999998070052898</v>
      </c>
    </row>
    <row r="3272" spans="1:40" x14ac:dyDescent="0.25">
      <c r="A3272" t="str">
        <f>"20190303162614970"</f>
        <v>20190303162614970</v>
      </c>
      <c r="B3272" t="str">
        <f>"1551601574967074"</f>
        <v>1551601574967074</v>
      </c>
      <c r="C3272" t="s">
        <v>40</v>
      </c>
      <c r="D3272">
        <v>4.9043519999999896</v>
      </c>
      <c r="E3272">
        <v>0.47731859999999998</v>
      </c>
      <c r="F3272" t="s">
        <v>42</v>
      </c>
      <c r="G3272">
        <v>-186.57570000000001</v>
      </c>
      <c r="H3272">
        <v>0.89056150000000001</v>
      </c>
      <c r="I3272">
        <v>165.3493</v>
      </c>
      <c r="J3272">
        <v>-186.3751</v>
      </c>
      <c r="K3272">
        <v>1.115915</v>
      </c>
      <c r="L3272">
        <v>165.83340000000001</v>
      </c>
      <c r="M3272">
        <v>-0.1360932</v>
      </c>
      <c r="N3272">
        <v>-1.0202889999999999E-2</v>
      </c>
      <c r="O3272">
        <v>-0.99064339999999995</v>
      </c>
      <c r="P3272">
        <v>-0.38300620000000002</v>
      </c>
      <c r="Q3272">
        <v>0.16431319999999999</v>
      </c>
      <c r="R3272">
        <v>-0.90901469999999995</v>
      </c>
      <c r="S3272">
        <v>-0.99574280000000004</v>
      </c>
      <c r="T3272">
        <v>-0.93543960000000004</v>
      </c>
      <c r="U3272">
        <v>-3.0488740000000001</v>
      </c>
      <c r="V3272">
        <v>0.2577757</v>
      </c>
      <c r="W3272">
        <v>0.17097300000000001</v>
      </c>
      <c r="X3272">
        <v>0.95095739999999995</v>
      </c>
      <c r="Y3272">
        <v>0.1662295</v>
      </c>
      <c r="Z3272">
        <v>0.2711385</v>
      </c>
      <c r="AA3272">
        <v>0.94807790000000003</v>
      </c>
      <c r="AB3272">
        <v>27</v>
      </c>
      <c r="AC3272">
        <v>-0.20060000000000799</v>
      </c>
      <c r="AD3272">
        <v>-0.22535350000000001</v>
      </c>
      <c r="AE3272">
        <v>-0.48410000000001202</v>
      </c>
      <c r="AF3272">
        <v>0.112112758728327</v>
      </c>
      <c r="AG3272">
        <v>-0.22535350000000001</v>
      </c>
      <c r="AH3272">
        <v>0.42778177541002699</v>
      </c>
      <c r="AI3272">
        <v>117.002731110385</v>
      </c>
      <c r="AJ3272">
        <v>75.314247582599407</v>
      </c>
      <c r="AK3272">
        <v>0.496337302653026</v>
      </c>
      <c r="AL3272">
        <v>80.155604132218201</v>
      </c>
      <c r="AM3272">
        <v>74.833317463368104</v>
      </c>
      <c r="AN3272">
        <v>1.0000000274271199</v>
      </c>
    </row>
    <row r="3273" spans="1:40" x14ac:dyDescent="0.25">
      <c r="A3273" t="str">
        <f>"20190303162614994"</f>
        <v>20190303162614994</v>
      </c>
      <c r="B3273" t="str">
        <f>"1551601574986596"</f>
        <v>1551601574986596</v>
      </c>
      <c r="C3273" t="s">
        <v>40</v>
      </c>
      <c r="D3273">
        <v>4.8916649999999997</v>
      </c>
      <c r="E3273">
        <v>0.47686469999999997</v>
      </c>
      <c r="F3273" t="s">
        <v>42</v>
      </c>
      <c r="G3273">
        <v>-186.6183</v>
      </c>
      <c r="H3273">
        <v>0.89088509999999999</v>
      </c>
      <c r="I3273">
        <v>165.108</v>
      </c>
      <c r="J3273">
        <v>-186.4222</v>
      </c>
      <c r="K3273">
        <v>1.115693</v>
      </c>
      <c r="L3273">
        <v>165.54769999999999</v>
      </c>
      <c r="M3273">
        <v>-0.1434502</v>
      </c>
      <c r="N3273">
        <v>-1.019782E-2</v>
      </c>
      <c r="O3273">
        <v>-0.98960519999999996</v>
      </c>
      <c r="P3273">
        <v>-0.3936616</v>
      </c>
      <c r="Q3273">
        <v>0.165015299999999</v>
      </c>
      <c r="R3273">
        <v>-0.90432349999999995</v>
      </c>
      <c r="S3273">
        <v>-1.0191190000000001</v>
      </c>
      <c r="T3273">
        <v>-0.94299129999999998</v>
      </c>
      <c r="U3273">
        <v>-3.0413510000000001</v>
      </c>
      <c r="V3273">
        <v>0.26200600000000002</v>
      </c>
      <c r="W3273">
        <v>0.17147100000000001</v>
      </c>
      <c r="X3273">
        <v>0.94971079999999997</v>
      </c>
      <c r="Y3273">
        <v>0.16598379999999999</v>
      </c>
      <c r="Z3273">
        <v>0.27312920000000002</v>
      </c>
      <c r="AA3273">
        <v>0.94754930000000004</v>
      </c>
      <c r="AB3273">
        <v>27</v>
      </c>
      <c r="AC3273">
        <v>-0.196100000000001</v>
      </c>
      <c r="AD3273">
        <v>-0.22480789999999901</v>
      </c>
      <c r="AE3273">
        <v>-0.43969999999998699</v>
      </c>
      <c r="AF3273">
        <v>0.107544793757808</v>
      </c>
      <c r="AG3273">
        <v>-0.22480789999999901</v>
      </c>
      <c r="AH3273">
        <v>0.380353623968129</v>
      </c>
      <c r="AI3273">
        <v>119.629129477299</v>
      </c>
      <c r="AJ3273">
        <v>74.211776600075098</v>
      </c>
      <c r="AK3273">
        <v>0.45472338166462101</v>
      </c>
      <c r="AL3273">
        <v>80.126643135801004</v>
      </c>
      <c r="AM3273">
        <v>74.576896048780995</v>
      </c>
      <c r="AN3273">
        <v>1.00000002575681</v>
      </c>
    </row>
    <row r="3274" spans="1:40" x14ac:dyDescent="0.25">
      <c r="A3274" t="str">
        <f>"20190303162615016"</f>
        <v>20190303162615016</v>
      </c>
      <c r="B3274" t="str">
        <f>"1551601575007090"</f>
        <v>1551601575007090</v>
      </c>
      <c r="C3274" t="s">
        <v>40</v>
      </c>
      <c r="D3274">
        <v>4.909656</v>
      </c>
      <c r="E3274">
        <v>0.47619699999999998</v>
      </c>
      <c r="F3274" t="s">
        <v>42</v>
      </c>
      <c r="G3274">
        <v>-186.65989999999999</v>
      </c>
      <c r="H3274">
        <v>0.90256519999999996</v>
      </c>
      <c r="I3274">
        <v>164.8613</v>
      </c>
      <c r="J3274">
        <v>-186.47030000000001</v>
      </c>
      <c r="K3274">
        <v>1.115472</v>
      </c>
      <c r="L3274">
        <v>165.2714</v>
      </c>
      <c r="M3274">
        <v>-0.15085870000000001</v>
      </c>
      <c r="N3274">
        <v>-1.020121E-2</v>
      </c>
      <c r="O3274">
        <v>-0.98850269999999996</v>
      </c>
      <c r="P3274">
        <v>-0.40791319999999998</v>
      </c>
      <c r="Q3274">
        <v>0.1653279</v>
      </c>
      <c r="R3274">
        <v>-0.89792739999999904</v>
      </c>
      <c r="S3274">
        <v>-1.0501400000000001</v>
      </c>
      <c r="T3274">
        <v>-0.94169550000000002</v>
      </c>
      <c r="U3274">
        <v>-3.0321199999999999</v>
      </c>
      <c r="V3274">
        <v>0.27002480000000001</v>
      </c>
      <c r="W3274">
        <v>0.17151329999999901</v>
      </c>
      <c r="X3274">
        <v>0.94745440000000003</v>
      </c>
      <c r="Y3274">
        <v>0.16819990000000001</v>
      </c>
      <c r="Z3274">
        <v>0.27261149999999901</v>
      </c>
      <c r="AA3274">
        <v>0.94730760000000003</v>
      </c>
      <c r="AB3274">
        <v>27</v>
      </c>
      <c r="AC3274">
        <v>-0.189599999999984</v>
      </c>
      <c r="AD3274">
        <v>-0.21290680000000001</v>
      </c>
      <c r="AE3274">
        <v>-0.41009999999999902</v>
      </c>
      <c r="AF3274">
        <v>0.102744064838967</v>
      </c>
      <c r="AG3274">
        <v>-0.21290680000000001</v>
      </c>
      <c r="AH3274">
        <v>0.35514628717462998</v>
      </c>
      <c r="AI3274">
        <v>119.936593933102</v>
      </c>
      <c r="AJ3274">
        <v>73.864807296287793</v>
      </c>
      <c r="AK3274">
        <v>0.42663161350256101</v>
      </c>
      <c r="AL3274">
        <v>80.124183046232602</v>
      </c>
      <c r="AM3274">
        <v>74.092431514065197</v>
      </c>
      <c r="AN3274">
        <v>1.00000002238564</v>
      </c>
    </row>
    <row r="3275" spans="1:40" x14ac:dyDescent="0.25">
      <c r="A3275" t="str">
        <f>"20190303162615049"</f>
        <v>20190303162615049</v>
      </c>
      <c r="B3275" t="str">
        <f>"1551601575036371"</f>
        <v>1551601575036371</v>
      </c>
      <c r="C3275" t="s">
        <v>40</v>
      </c>
      <c r="D3275">
        <v>5.0091830000000002</v>
      </c>
      <c r="E3275">
        <v>0.47566969999999997</v>
      </c>
      <c r="F3275" t="s">
        <v>42</v>
      </c>
      <c r="G3275">
        <v>-186.70689999999999</v>
      </c>
      <c r="H3275">
        <v>0.91075019999999995</v>
      </c>
      <c r="I3275">
        <v>164.6165</v>
      </c>
      <c r="J3275">
        <v>-186.54230000000001</v>
      </c>
      <c r="K3275">
        <v>1.1151390000000001</v>
      </c>
      <c r="L3275">
        <v>164.88290000000001</v>
      </c>
      <c r="M3275">
        <v>-0.16183159999999999</v>
      </c>
      <c r="N3275">
        <v>-1.022843E-2</v>
      </c>
      <c r="O3275">
        <v>-0.98676529999999996</v>
      </c>
      <c r="P3275">
        <v>-0.43017549999999999</v>
      </c>
      <c r="Q3275">
        <v>0.16653180000000001</v>
      </c>
      <c r="R3275">
        <v>-0.88725209999999999</v>
      </c>
      <c r="S3275">
        <v>-1.090347</v>
      </c>
      <c r="T3275">
        <v>-0.94337590000000004</v>
      </c>
      <c r="U3275">
        <v>-3.0193789999999998</v>
      </c>
      <c r="V3275">
        <v>0.28331630000000002</v>
      </c>
      <c r="W3275">
        <v>0.17229729999999999</v>
      </c>
      <c r="X3275">
        <v>0.94342219999999999</v>
      </c>
      <c r="Y3275">
        <v>0.16967499999999999</v>
      </c>
      <c r="Z3275">
        <v>0.27279769999999998</v>
      </c>
      <c r="AA3275">
        <v>0.94699089999999997</v>
      </c>
      <c r="AB3275">
        <v>27</v>
      </c>
      <c r="AC3275">
        <v>-0.16459999999997799</v>
      </c>
      <c r="AD3275">
        <v>-0.20438879999999901</v>
      </c>
      <c r="AE3275">
        <v>-0.26640000000000402</v>
      </c>
      <c r="AF3275">
        <v>8.3671535279013595E-2</v>
      </c>
      <c r="AG3275">
        <v>-0.20438879999999901</v>
      </c>
      <c r="AH3275">
        <v>0.203033847180001</v>
      </c>
      <c r="AI3275">
        <v>132.945459315557</v>
      </c>
      <c r="AJ3275">
        <v>67.603130538427394</v>
      </c>
      <c r="AK3275">
        <v>0.29999741745904901</v>
      </c>
      <c r="AL3275">
        <v>80.078583788255997</v>
      </c>
      <c r="AM3275">
        <v>73.284619171913604</v>
      </c>
      <c r="AN3275">
        <v>0.99999996644290901</v>
      </c>
    </row>
    <row r="3276" spans="1:40" x14ac:dyDescent="0.25">
      <c r="A3276" t="str">
        <f>"20190303162615084"</f>
        <v>20190303162615084</v>
      </c>
      <c r="B3276" t="str">
        <f>"1551601575076387"</f>
        <v>1551601575076387</v>
      </c>
      <c r="C3276" t="s">
        <v>40</v>
      </c>
      <c r="D3276">
        <v>4.8870889999999996</v>
      </c>
      <c r="E3276">
        <v>0.53444539999999996</v>
      </c>
      <c r="F3276" t="s">
        <v>42</v>
      </c>
      <c r="G3276">
        <v>-186.82749999999999</v>
      </c>
      <c r="H3276">
        <v>0.88413539999999902</v>
      </c>
      <c r="I3276">
        <v>164.14850000000001</v>
      </c>
      <c r="J3276">
        <v>-186.6258</v>
      </c>
      <c r="K3276">
        <v>1.1148020000000001</v>
      </c>
      <c r="L3276">
        <v>164.4622</v>
      </c>
      <c r="M3276">
        <v>-0.17432529999999999</v>
      </c>
      <c r="N3276">
        <v>-1.0280009999999999E-2</v>
      </c>
      <c r="O3276">
        <v>-0.98463449999999997</v>
      </c>
      <c r="P3276">
        <v>-0.45241940000000003</v>
      </c>
      <c r="Q3276">
        <v>0.16776479999999999</v>
      </c>
      <c r="R3276">
        <v>-0.87588369999999904</v>
      </c>
      <c r="S3276">
        <v>-1.162399</v>
      </c>
      <c r="T3276">
        <v>-0.94131679999999995</v>
      </c>
      <c r="U3276">
        <v>-2.9943390000000001</v>
      </c>
      <c r="V3276">
        <v>0.29535729999999999</v>
      </c>
      <c r="W3276">
        <v>0.17313329999999999</v>
      </c>
      <c r="X3276">
        <v>0.93956850000000003</v>
      </c>
      <c r="Y3276">
        <v>0.1797358</v>
      </c>
      <c r="Z3276">
        <v>0.27206130000000001</v>
      </c>
      <c r="AA3276">
        <v>0.94534530000000006</v>
      </c>
      <c r="AB3276">
        <v>27</v>
      </c>
      <c r="AC3276">
        <v>-0.201699999999988</v>
      </c>
      <c r="AD3276">
        <v>-0.2306666</v>
      </c>
      <c r="AE3276">
        <v>-0.31369999999998299</v>
      </c>
      <c r="AF3276">
        <v>0.10410042553492301</v>
      </c>
      <c r="AG3276">
        <v>-0.2306666</v>
      </c>
      <c r="AH3276">
        <v>0.24886118909343599</v>
      </c>
      <c r="AI3276">
        <v>130.53344151898699</v>
      </c>
      <c r="AJ3276">
        <v>67.300091094579301</v>
      </c>
      <c r="AK3276">
        <v>0.35493079661972299</v>
      </c>
      <c r="AL3276">
        <v>80.029954231538198</v>
      </c>
      <c r="AM3276">
        <v>72.549240681986902</v>
      </c>
      <c r="AN3276">
        <v>1.0000000202122099</v>
      </c>
    </row>
    <row r="3277" spans="1:40" x14ac:dyDescent="0.25">
      <c r="A3277" t="str">
        <f>"20190303162615107"</f>
        <v>20190303162615107</v>
      </c>
      <c r="B3277" t="str">
        <f>"1551601575096883"</f>
        <v>1551601575096883</v>
      </c>
      <c r="C3277" t="s">
        <v>40</v>
      </c>
      <c r="D3277">
        <v>4.7529159999999999</v>
      </c>
      <c r="E3277">
        <v>0.54564330000000005</v>
      </c>
      <c r="F3277" t="s">
        <v>47</v>
      </c>
      <c r="G3277">
        <v>-192.05719999999999</v>
      </c>
      <c r="H3277" s="1">
        <v>-1.3462750000000001E-5</v>
      </c>
      <c r="I3277">
        <v>155.6514</v>
      </c>
      <c r="J3277">
        <v>-186.68690000000001</v>
      </c>
      <c r="K3277">
        <v>1.1145929999999999</v>
      </c>
      <c r="L3277">
        <v>164.1729</v>
      </c>
      <c r="M3277">
        <v>-0.1832646</v>
      </c>
      <c r="N3277">
        <v>-1.031792E-2</v>
      </c>
      <c r="O3277">
        <v>-0.98300960000000004</v>
      </c>
      <c r="P3277">
        <v>-0.4665762</v>
      </c>
      <c r="Q3277">
        <v>0.16797579999999901</v>
      </c>
      <c r="R3277">
        <v>-0.86838439999999995</v>
      </c>
      <c r="S3277">
        <v>-1.6314850000000001</v>
      </c>
      <c r="T3277">
        <v>-0.33486569999999999</v>
      </c>
      <c r="U3277">
        <v>-2.646576</v>
      </c>
      <c r="V3277">
        <v>0.30216929999999997</v>
      </c>
      <c r="W3277">
        <v>0.17311399999999999</v>
      </c>
      <c r="X3277">
        <v>0.9374034</v>
      </c>
      <c r="Y3277">
        <v>0.35705350000000002</v>
      </c>
      <c r="Z3277">
        <v>9.9177589999999996E-2</v>
      </c>
      <c r="AA3277">
        <v>0.92880390000000002</v>
      </c>
      <c r="AB3277">
        <v>27</v>
      </c>
      <c r="AC3277">
        <v>-5.3702999999999799</v>
      </c>
      <c r="AD3277">
        <v>-1.1146064627500001</v>
      </c>
      <c r="AE3277">
        <v>-8.5214999999999996</v>
      </c>
      <c r="AF3277">
        <v>3.6725930507445401</v>
      </c>
      <c r="AG3277">
        <v>-1.1146064627500001</v>
      </c>
      <c r="AH3277">
        <v>9.2481540801679696</v>
      </c>
      <c r="AI3277">
        <v>96.391227940445503</v>
      </c>
      <c r="AJ3277">
        <v>68.3411646227338</v>
      </c>
      <c r="AK3277">
        <v>10.012923707574499</v>
      </c>
      <c r="AL3277">
        <v>80.031076171711902</v>
      </c>
      <c r="AM3277">
        <v>72.1334224017221</v>
      </c>
      <c r="AN3277">
        <v>0.99999993859502301</v>
      </c>
    </row>
    <row r="3278" spans="1:40" x14ac:dyDescent="0.25">
      <c r="A3278" t="str">
        <f>"20190303162615128"</f>
        <v>20190303162615128</v>
      </c>
      <c r="B3278" t="str">
        <f>"1551601575116403"</f>
        <v>1551601575116403</v>
      </c>
      <c r="C3278" t="s">
        <v>40</v>
      </c>
      <c r="D3278">
        <v>4.8551270000000004</v>
      </c>
      <c r="E3278">
        <v>0.54877629999999999</v>
      </c>
      <c r="F3278" t="s">
        <v>47</v>
      </c>
      <c r="G3278">
        <v>-194.49619999999999</v>
      </c>
      <c r="H3278" s="1">
        <v>-1.275865E-5</v>
      </c>
      <c r="I3278">
        <v>152.72299999999899</v>
      </c>
      <c r="J3278">
        <v>-186.74289999999999</v>
      </c>
      <c r="K3278">
        <v>1.11443</v>
      </c>
      <c r="L3278">
        <v>163.91909999999999</v>
      </c>
      <c r="M3278">
        <v>-0.19129450000000001</v>
      </c>
      <c r="N3278">
        <v>-1.035032E-2</v>
      </c>
      <c r="O3278">
        <v>-0.98147810000000002</v>
      </c>
      <c r="P3278">
        <v>-0.47847659999999997</v>
      </c>
      <c r="Q3278">
        <v>0.16755149999999999</v>
      </c>
      <c r="R3278">
        <v>-0.86196689999999998</v>
      </c>
      <c r="S3278">
        <v>-1.748459</v>
      </c>
      <c r="T3278">
        <v>-0.24955430000000001</v>
      </c>
      <c r="U3278">
        <v>-2.5635680000000001</v>
      </c>
      <c r="V3278">
        <v>0.3074462</v>
      </c>
      <c r="W3278">
        <v>0.1725119</v>
      </c>
      <c r="X3278">
        <v>0.9357972</v>
      </c>
      <c r="Y3278">
        <v>0.3933701</v>
      </c>
      <c r="Z3278">
        <v>7.2111129999999996E-2</v>
      </c>
      <c r="AA3278">
        <v>0.91654780000000002</v>
      </c>
      <c r="AB3278">
        <v>27</v>
      </c>
      <c r="AC3278">
        <v>-7.7532999999999896</v>
      </c>
      <c r="AD3278">
        <v>-1.1144427586499901</v>
      </c>
      <c r="AE3278">
        <v>-11.196099999999999</v>
      </c>
      <c r="AF3278">
        <v>5.4318601091584897</v>
      </c>
      <c r="AG3278">
        <v>-1.1144427586499901</v>
      </c>
      <c r="AH3278">
        <v>12.389591460601499</v>
      </c>
      <c r="AI3278">
        <v>94.709414091817905</v>
      </c>
      <c r="AJ3278">
        <v>66.326333790100406</v>
      </c>
      <c r="AK3278">
        <v>13.5738374628689</v>
      </c>
      <c r="AL3278">
        <v>80.066101142704895</v>
      </c>
      <c r="AM3278">
        <v>71.812613403090495</v>
      </c>
      <c r="AN3278">
        <v>0.99999996053194395</v>
      </c>
    </row>
    <row r="3279" spans="1:40" x14ac:dyDescent="0.25">
      <c r="A3279" t="str">
        <f>"20190303162615148"</f>
        <v>20190303162615148</v>
      </c>
      <c r="B3279" t="str">
        <f>"1551601575136899"</f>
        <v>1551601575136899</v>
      </c>
      <c r="C3279" t="s">
        <v>40</v>
      </c>
      <c r="D3279">
        <v>4.8764419999999999</v>
      </c>
      <c r="E3279">
        <v>0.55024839999999997</v>
      </c>
      <c r="F3279" t="s">
        <v>47</v>
      </c>
      <c r="G3279">
        <v>-195.24039999999999</v>
      </c>
      <c r="H3279" s="1">
        <v>-1.264722E-5</v>
      </c>
      <c r="I3279">
        <v>152.01779999999999</v>
      </c>
      <c r="J3279">
        <v>-186.7987</v>
      </c>
      <c r="K3279">
        <v>1.1142939999999999</v>
      </c>
      <c r="L3279">
        <v>163.67609999999999</v>
      </c>
      <c r="M3279">
        <v>-0.1991395</v>
      </c>
      <c r="N3279">
        <v>-1.038157E-2</v>
      </c>
      <c r="O3279">
        <v>-0.97991620000000002</v>
      </c>
      <c r="P3279">
        <v>-0.4889926</v>
      </c>
      <c r="Q3279">
        <v>0.16601359999999901</v>
      </c>
      <c r="R3279">
        <v>-0.85634460000000001</v>
      </c>
      <c r="S3279">
        <v>-1.803177</v>
      </c>
      <c r="T3279">
        <v>-0.23648449999999999</v>
      </c>
      <c r="U3279">
        <v>-2.525452</v>
      </c>
      <c r="V3279">
        <v>0.31139309999999998</v>
      </c>
      <c r="W3279">
        <v>0.17083110000000001</v>
      </c>
      <c r="X3279">
        <v>0.93479999999999996</v>
      </c>
      <c r="Y3279">
        <v>0.40585379999999999</v>
      </c>
      <c r="Z3279">
        <v>6.797504E-2</v>
      </c>
      <c r="AA3279">
        <v>0.91140659999999896</v>
      </c>
      <c r="AB3279">
        <v>27</v>
      </c>
      <c r="AC3279">
        <v>-8.4416999999999902</v>
      </c>
      <c r="AD3279">
        <v>-1.1143066472200001</v>
      </c>
      <c r="AE3279">
        <v>-11.658299999999899</v>
      </c>
      <c r="AF3279">
        <v>5.9153983207684497</v>
      </c>
      <c r="AG3279">
        <v>-1.1143066472200001</v>
      </c>
      <c r="AH3279">
        <v>13.027858996571</v>
      </c>
      <c r="AI3279">
        <v>94.453224604473405</v>
      </c>
      <c r="AJ3279">
        <v>65.579215429737403</v>
      </c>
      <c r="AK3279">
        <v>14.3512621964733</v>
      </c>
      <c r="AL3279">
        <v>80.163855367363297</v>
      </c>
      <c r="AM3279">
        <v>71.576465121692394</v>
      </c>
      <c r="AN3279">
        <v>0.99999998372740895</v>
      </c>
    </row>
    <row r="3280" spans="1:40" x14ac:dyDescent="0.25">
      <c r="A3280" t="str">
        <f>"20190303162615173"</f>
        <v>20190303162615173</v>
      </c>
      <c r="B3280" t="str">
        <f>"1551601575167155"</f>
        <v>1551601575167155</v>
      </c>
      <c r="C3280" t="s">
        <v>40</v>
      </c>
      <c r="D3280">
        <v>4.7855939999999997</v>
      </c>
      <c r="E3280">
        <v>0.55241130000000005</v>
      </c>
      <c r="F3280" t="s">
        <v>47</v>
      </c>
      <c r="G3280">
        <v>-195.71029999999999</v>
      </c>
      <c r="H3280" s="1">
        <v>-1.256208E-5</v>
      </c>
      <c r="I3280">
        <v>151.60740000000001</v>
      </c>
      <c r="J3280">
        <v>-186.86869999999999</v>
      </c>
      <c r="K3280">
        <v>1.1141430000000001</v>
      </c>
      <c r="L3280">
        <v>163.38380000000001</v>
      </c>
      <c r="M3280">
        <v>-0.2087579</v>
      </c>
      <c r="N3280">
        <v>-1.0419680000000001E-2</v>
      </c>
      <c r="O3280">
        <v>-0.97791209999999995</v>
      </c>
      <c r="P3280">
        <v>-0.49984640000000002</v>
      </c>
      <c r="Q3280">
        <v>0.16643039999999901</v>
      </c>
      <c r="R3280">
        <v>-0.84997369999999905</v>
      </c>
      <c r="S3280">
        <v>-1.842773</v>
      </c>
      <c r="T3280">
        <v>-0.23042209999999999</v>
      </c>
      <c r="U3280">
        <v>-2.4956360000000002</v>
      </c>
      <c r="V3280">
        <v>0.31419049999999998</v>
      </c>
      <c r="W3280">
        <v>0.17111399999999999</v>
      </c>
      <c r="X3280">
        <v>0.93381170000000002</v>
      </c>
      <c r="Y3280">
        <v>0.4115065</v>
      </c>
      <c r="Z3280">
        <v>6.6080550000000002E-2</v>
      </c>
      <c r="AA3280">
        <v>0.90900809999999999</v>
      </c>
      <c r="AB3280">
        <v>27</v>
      </c>
      <c r="AC3280">
        <v>-8.8415999999999997</v>
      </c>
      <c r="AD3280">
        <v>-1.1141555620799899</v>
      </c>
      <c r="AE3280">
        <v>-11.776399999999899</v>
      </c>
      <c r="AF3280">
        <v>6.15300423552711</v>
      </c>
      <c r="AG3280">
        <v>-1.1141555620799899</v>
      </c>
      <c r="AH3280">
        <v>13.286703760583199</v>
      </c>
      <c r="AI3280">
        <v>94.351350654605795</v>
      </c>
      <c r="AJ3280">
        <v>65.151387865889404</v>
      </c>
      <c r="AK3280">
        <v>14.684593986911</v>
      </c>
      <c r="AL3280">
        <v>80.147404134582004</v>
      </c>
      <c r="AM3280">
        <v>71.403960496961602</v>
      </c>
      <c r="AN3280">
        <v>0.99999998117156896</v>
      </c>
    </row>
    <row r="3281" spans="1:40" x14ac:dyDescent="0.25">
      <c r="A3281" t="str">
        <f>"20190303162615207"</f>
        <v>20190303162615207</v>
      </c>
      <c r="B3281" t="str">
        <f>"1551601575196435"</f>
        <v>1551601575196435</v>
      </c>
      <c r="C3281" t="s">
        <v>40</v>
      </c>
      <c r="D3281">
        <v>4.7971029999999999</v>
      </c>
      <c r="E3281">
        <v>0.55318120000000004</v>
      </c>
      <c r="F3281" t="s">
        <v>47</v>
      </c>
      <c r="G3281">
        <v>-196.97900000000001</v>
      </c>
      <c r="H3281" s="1">
        <v>-1.219244E-5</v>
      </c>
      <c r="I3281">
        <v>150.22110000000001</v>
      </c>
      <c r="J3281">
        <v>-186.9726</v>
      </c>
      <c r="K3281">
        <v>1.113958</v>
      </c>
      <c r="L3281">
        <v>162.97309999999999</v>
      </c>
      <c r="M3281">
        <v>-0.22255320000000001</v>
      </c>
      <c r="N3281">
        <v>-1.047181E-2</v>
      </c>
      <c r="O3281">
        <v>-0.97486459999999997</v>
      </c>
      <c r="P3281">
        <v>-0.51295139999999995</v>
      </c>
      <c r="Q3281">
        <v>0.170328799999999</v>
      </c>
      <c r="R3281">
        <v>-0.84135000000000004</v>
      </c>
      <c r="S3281">
        <v>-1.8890690000000001</v>
      </c>
      <c r="T3281">
        <v>-0.20817479999999999</v>
      </c>
      <c r="U3281">
        <v>-2.459381</v>
      </c>
      <c r="V3281">
        <v>0.3157836</v>
      </c>
      <c r="W3281">
        <v>0.17487440000000001</v>
      </c>
      <c r="X3281">
        <v>0.93257690000000004</v>
      </c>
      <c r="Y3281">
        <v>0.41615029999999997</v>
      </c>
      <c r="Z3281">
        <v>5.887266E-2</v>
      </c>
      <c r="AA3281">
        <v>0.90738799999999997</v>
      </c>
      <c r="AB3281">
        <v>27</v>
      </c>
      <c r="AC3281">
        <v>-10.006399999999999</v>
      </c>
      <c r="AD3281">
        <v>-1.1139701924400001</v>
      </c>
      <c r="AE3281">
        <v>-12.751999999999899</v>
      </c>
      <c r="AF3281">
        <v>6.8847473266617296</v>
      </c>
      <c r="AG3281">
        <v>-1.1139701924400001</v>
      </c>
      <c r="AH3281">
        <v>14.590319143308101</v>
      </c>
      <c r="AI3281">
        <v>93.949929982792696</v>
      </c>
      <c r="AJ3281">
        <v>64.7387380501237</v>
      </c>
      <c r="AK3281">
        <v>16.171520894622201</v>
      </c>
      <c r="AL3281">
        <v>79.928651012945394</v>
      </c>
      <c r="AM3281">
        <v>71.293179689626399</v>
      </c>
      <c r="AN3281">
        <v>1.00000000610896</v>
      </c>
    </row>
    <row r="3282" spans="1:40" x14ac:dyDescent="0.25">
      <c r="A3282" t="str">
        <f>"20190303162615227"</f>
        <v>20190303162615227</v>
      </c>
      <c r="B3282" t="str">
        <f>"1551601575216931"</f>
        <v>1551601575216931</v>
      </c>
      <c r="C3282" t="s">
        <v>40</v>
      </c>
      <c r="D3282">
        <v>4.8084670000000003</v>
      </c>
      <c r="E3282">
        <v>0.55316180000000004</v>
      </c>
      <c r="F3282" t="s">
        <v>47</v>
      </c>
      <c r="G3282">
        <v>-198.96350000000001</v>
      </c>
      <c r="H3282" s="1">
        <v>-1.1816080000000001E-5</v>
      </c>
      <c r="I3282">
        <v>147.9272</v>
      </c>
      <c r="J3282">
        <v>-187.04089999999999</v>
      </c>
      <c r="K3282">
        <v>1.113856</v>
      </c>
      <c r="L3282">
        <v>162.71600000000001</v>
      </c>
      <c r="M3282">
        <v>-0.23132510000000001</v>
      </c>
      <c r="N3282">
        <v>-1.050178E-2</v>
      </c>
      <c r="O3282">
        <v>-0.97281989999999996</v>
      </c>
      <c r="P3282">
        <v>-0.52149460000000003</v>
      </c>
      <c r="Q3282">
        <v>0.17340529999999901</v>
      </c>
      <c r="R3282">
        <v>-0.83544859999999899</v>
      </c>
      <c r="S3282">
        <v>-1.9319459999999999</v>
      </c>
      <c r="T3282">
        <v>-0.17948059999999999</v>
      </c>
      <c r="U3282">
        <v>-2.4241640000000002</v>
      </c>
      <c r="V3282">
        <v>0.31712899999999999</v>
      </c>
      <c r="W3282">
        <v>0.17786379999999999</v>
      </c>
      <c r="X3282">
        <v>0.9315544</v>
      </c>
      <c r="Y3282">
        <v>0.42451470000000002</v>
      </c>
      <c r="Z3282">
        <v>4.9558119999999997E-2</v>
      </c>
      <c r="AA3282">
        <v>0.90406379999999997</v>
      </c>
      <c r="AB3282">
        <v>28</v>
      </c>
      <c r="AC3282">
        <v>-11.922599999999999</v>
      </c>
      <c r="AD3282">
        <v>-1.11386781608</v>
      </c>
      <c r="AE3282">
        <v>-14.7888</v>
      </c>
      <c r="AF3282">
        <v>8.1499510461584599</v>
      </c>
      <c r="AG3282">
        <v>-1.11386781608</v>
      </c>
      <c r="AH3282">
        <v>17.087031049215302</v>
      </c>
      <c r="AI3282">
        <v>93.367277800315094</v>
      </c>
      <c r="AJ3282">
        <v>64.500395252641198</v>
      </c>
      <c r="AK3282">
        <v>18.9638876194552</v>
      </c>
      <c r="AL3282">
        <v>79.754642806034397</v>
      </c>
      <c r="AM3282">
        <v>71.199888975251397</v>
      </c>
      <c r="AN3282">
        <v>0.99999996707539895</v>
      </c>
    </row>
    <row r="3283" spans="1:40" x14ac:dyDescent="0.25">
      <c r="A3283" t="str">
        <f>"20190303162615252"</f>
        <v>20190303162615252</v>
      </c>
      <c r="B3283" t="str">
        <f>"1551601575247187"</f>
        <v>1551601575247187</v>
      </c>
      <c r="C3283" t="s">
        <v>40</v>
      </c>
      <c r="D3283">
        <v>4.8413969999999997</v>
      </c>
      <c r="E3283">
        <v>0.55266949999999904</v>
      </c>
      <c r="F3283" t="s">
        <v>47</v>
      </c>
      <c r="G3283">
        <v>-200.35579999999999</v>
      </c>
      <c r="H3283" s="1">
        <v>-1.131596E-5</v>
      </c>
      <c r="I3283">
        <v>146.35939999999999</v>
      </c>
      <c r="J3283">
        <v>-187.11920000000001</v>
      </c>
      <c r="K3283">
        <v>1.113764</v>
      </c>
      <c r="L3283">
        <v>162.43270000000001</v>
      </c>
      <c r="M3283">
        <v>-0.24108450000000001</v>
      </c>
      <c r="N3283">
        <v>-1.053197E-2</v>
      </c>
      <c r="O3283">
        <v>-0.97044699999999995</v>
      </c>
      <c r="P3283">
        <v>-0.53168260000000001</v>
      </c>
      <c r="Q3283">
        <v>0.175432</v>
      </c>
      <c r="R3283">
        <v>-0.82857549999999902</v>
      </c>
      <c r="S3283">
        <v>-1.9565729999999999</v>
      </c>
      <c r="T3283">
        <v>-0.163679399999999</v>
      </c>
      <c r="U3283">
        <v>-2.4035489999999999</v>
      </c>
      <c r="V3283">
        <v>0.31936059999999999</v>
      </c>
      <c r="W3283">
        <v>0.17979149999999999</v>
      </c>
      <c r="X3283">
        <v>0.93042130000000001</v>
      </c>
      <c r="Y3283">
        <v>0.4249542</v>
      </c>
      <c r="Z3283">
        <v>4.4380530000000001E-2</v>
      </c>
      <c r="AA3283">
        <v>0.90412630000000005</v>
      </c>
      <c r="AB3283">
        <v>28</v>
      </c>
      <c r="AC3283">
        <v>-13.2365999999999</v>
      </c>
      <c r="AD3283">
        <v>-1.1137753159599999</v>
      </c>
      <c r="AE3283">
        <v>-16.0733</v>
      </c>
      <c r="AF3283">
        <v>8.9452984037584997</v>
      </c>
      <c r="AG3283">
        <v>-1.1137753159599999</v>
      </c>
      <c r="AH3283">
        <v>18.736856871682601</v>
      </c>
      <c r="AI3283">
        <v>93.070584926179905</v>
      </c>
      <c r="AJ3283">
        <v>64.479386372529305</v>
      </c>
      <c r="AK3283">
        <v>20.7925146246587</v>
      </c>
      <c r="AL3283">
        <v>79.642384342830098</v>
      </c>
      <c r="AM3283">
        <v>71.055575302022604</v>
      </c>
      <c r="AN3283">
        <v>0.99999998589914996</v>
      </c>
    </row>
    <row r="3284" spans="1:40" x14ac:dyDescent="0.25">
      <c r="A3284" t="str">
        <f>"20190303162615273"</f>
        <v>20190303162615273</v>
      </c>
      <c r="B3284" t="str">
        <f>"1551601575266707"</f>
        <v>1551601575266707</v>
      </c>
      <c r="C3284" t="s">
        <v>40</v>
      </c>
      <c r="D3284">
        <v>4.9874539999999996</v>
      </c>
      <c r="E3284">
        <v>0.55255969999999999</v>
      </c>
      <c r="F3284" t="s">
        <v>47</v>
      </c>
      <c r="G3284">
        <v>-201.79140000000001</v>
      </c>
      <c r="H3284" s="1">
        <v>-1.021968E-5</v>
      </c>
      <c r="I3284">
        <v>144.81440000000001</v>
      </c>
      <c r="J3284">
        <v>-187.19560000000001</v>
      </c>
      <c r="K3284">
        <v>1.1136779999999999</v>
      </c>
      <c r="L3284">
        <v>162.16659999999999</v>
      </c>
      <c r="M3284">
        <v>-0.25033909999999998</v>
      </c>
      <c r="N3284">
        <v>-1.055472E-2</v>
      </c>
      <c r="O3284">
        <v>-0.96810070000000004</v>
      </c>
      <c r="P3284">
        <v>-0.54087819999999998</v>
      </c>
      <c r="Q3284">
        <v>0.17673810000000001</v>
      </c>
      <c r="R3284">
        <v>-0.82232289999999997</v>
      </c>
      <c r="S3284">
        <v>-1.982391</v>
      </c>
      <c r="T3284">
        <v>-0.15048410000000001</v>
      </c>
      <c r="U3284">
        <v>-2.3804470000000002</v>
      </c>
      <c r="V3284">
        <v>0.32097120000000001</v>
      </c>
      <c r="W3284">
        <v>0.18101990000000001</v>
      </c>
      <c r="X3284">
        <v>0.92962860000000003</v>
      </c>
      <c r="Y3284">
        <v>0.426539</v>
      </c>
      <c r="Z3284">
        <v>4.0081989999999998E-2</v>
      </c>
      <c r="AA3284">
        <v>0.90358059999999996</v>
      </c>
      <c r="AB3284">
        <v>28</v>
      </c>
      <c r="AC3284">
        <v>-14.595799999999899</v>
      </c>
      <c r="AD3284">
        <v>-1.11368821968</v>
      </c>
      <c r="AE3284">
        <v>-17.3521999999999</v>
      </c>
      <c r="AF3284">
        <v>9.7632621793865706</v>
      </c>
      <c r="AG3284">
        <v>-1.11368821968</v>
      </c>
      <c r="AH3284">
        <v>20.4044916308534</v>
      </c>
      <c r="AI3284">
        <v>92.818662238812095</v>
      </c>
      <c r="AJ3284">
        <v>64.429541133141896</v>
      </c>
      <c r="AK3284">
        <v>22.6474031303296</v>
      </c>
      <c r="AL3284">
        <v>79.570828536230493</v>
      </c>
      <c r="AM3284">
        <v>70.951834169514299</v>
      </c>
      <c r="AN3284">
        <v>1.0000000246817</v>
      </c>
    </row>
    <row r="3285" spans="1:40" x14ac:dyDescent="0.25">
      <c r="A3285" t="str">
        <f>"20190303162615297"</f>
        <v>20190303162615297</v>
      </c>
      <c r="B3285" t="str">
        <f>"1551601575286227"</f>
        <v>1551601575286227</v>
      </c>
      <c r="C3285" t="s">
        <v>40</v>
      </c>
      <c r="D3285">
        <v>4.9277660000000001</v>
      </c>
      <c r="E3285">
        <v>0.55319419999999897</v>
      </c>
      <c r="F3285" t="s">
        <v>47</v>
      </c>
      <c r="G3285">
        <v>-202.8682</v>
      </c>
      <c r="H3285" s="1">
        <v>-9.4892849999999997E-6</v>
      </c>
      <c r="I3285">
        <v>143.7773</v>
      </c>
      <c r="J3285">
        <v>-187.2816</v>
      </c>
      <c r="K3285">
        <v>1.113588</v>
      </c>
      <c r="L3285">
        <v>161.8776</v>
      </c>
      <c r="M3285">
        <v>-0.26046609999999998</v>
      </c>
      <c r="N3285">
        <v>-1.056849E-2</v>
      </c>
      <c r="O3285">
        <v>-0.96542519999999998</v>
      </c>
      <c r="P3285">
        <v>-0.5508478</v>
      </c>
      <c r="Q3285">
        <v>0.1761161</v>
      </c>
      <c r="R3285">
        <v>-0.81581269999999995</v>
      </c>
      <c r="S3285">
        <v>-2.009109</v>
      </c>
      <c r="T3285">
        <v>-0.14276620000000001</v>
      </c>
      <c r="U3285">
        <v>-2.357361</v>
      </c>
      <c r="V3285">
        <v>0.32254060000000001</v>
      </c>
      <c r="W3285">
        <v>0.1803178</v>
      </c>
      <c r="X3285">
        <v>0.92922170000000004</v>
      </c>
      <c r="Y3285">
        <v>0.4274348</v>
      </c>
      <c r="Z3285">
        <v>3.7572670000000002E-2</v>
      </c>
      <c r="AA3285">
        <v>0.90326510000000004</v>
      </c>
      <c r="AB3285">
        <v>28</v>
      </c>
      <c r="AC3285">
        <v>-15.586600000000001</v>
      </c>
      <c r="AD3285">
        <v>-1.113597489285</v>
      </c>
      <c r="AE3285">
        <v>-18.100300000000001</v>
      </c>
      <c r="AF3285">
        <v>10.3113471155471</v>
      </c>
      <c r="AG3285">
        <v>-1.113597489285</v>
      </c>
      <c r="AH3285">
        <v>21.488763206610798</v>
      </c>
      <c r="AI3285">
        <v>92.675015336780604</v>
      </c>
      <c r="AJ3285">
        <v>64.366057428410002</v>
      </c>
      <c r="AK3285">
        <v>23.8606563793881</v>
      </c>
      <c r="AL3285">
        <v>79.611728257452597</v>
      </c>
      <c r="AM3285">
        <v>70.857685783637606</v>
      </c>
      <c r="AN3285">
        <v>0.99999995769804395</v>
      </c>
    </row>
    <row r="3286" spans="1:40" x14ac:dyDescent="0.25">
      <c r="A3286" t="str">
        <f>"20190303162615319"</f>
        <v>20190303162615319</v>
      </c>
      <c r="B3286" t="str">
        <f>"1551601575306723"</f>
        <v>1551601575306723</v>
      </c>
      <c r="C3286" t="s">
        <v>40</v>
      </c>
      <c r="D3286">
        <v>5.1593910000000003</v>
      </c>
      <c r="E3286">
        <v>0.58980350000000004</v>
      </c>
      <c r="F3286" t="s">
        <v>47</v>
      </c>
      <c r="G3286">
        <v>-203.19550000000001</v>
      </c>
      <c r="H3286" s="1">
        <v>-9.3508690000000007E-6</v>
      </c>
      <c r="I3286">
        <v>143.71979999999999</v>
      </c>
      <c r="J3286">
        <v>-187.36080000000001</v>
      </c>
      <c r="K3286">
        <v>1.11351</v>
      </c>
      <c r="L3286">
        <v>161.6216</v>
      </c>
      <c r="M3286">
        <v>-0.26949820000000002</v>
      </c>
      <c r="N3286">
        <v>-1.0573050000000001E-2</v>
      </c>
      <c r="O3286">
        <v>-0.96294299999999999</v>
      </c>
      <c r="P3286">
        <v>-0.56043189999999998</v>
      </c>
      <c r="Q3286">
        <v>0.17459279999999999</v>
      </c>
      <c r="R3286">
        <v>-0.80958869999999905</v>
      </c>
      <c r="S3286">
        <v>-2.0417019999999999</v>
      </c>
      <c r="T3286">
        <v>-0.14287079999999999</v>
      </c>
      <c r="U3286">
        <v>-2.32959</v>
      </c>
      <c r="V3286">
        <v>0.32471100000000003</v>
      </c>
      <c r="W3286">
        <v>0.1787079</v>
      </c>
      <c r="X3286">
        <v>0.92877670000000001</v>
      </c>
      <c r="Y3286">
        <v>0.43144660000000001</v>
      </c>
      <c r="Z3286">
        <v>3.766096E-2</v>
      </c>
      <c r="AA3286">
        <v>0.90135200000000004</v>
      </c>
      <c r="AB3286">
        <v>28</v>
      </c>
      <c r="AC3286">
        <v>-15.8346999999999</v>
      </c>
      <c r="AD3286">
        <v>-1.113519350869</v>
      </c>
      <c r="AE3286">
        <v>-17.901800000000001</v>
      </c>
      <c r="AF3286">
        <v>10.401413534589301</v>
      </c>
      <c r="AG3286">
        <v>-1.113519350869</v>
      </c>
      <c r="AH3286">
        <v>21.4604511672622</v>
      </c>
      <c r="AI3286">
        <v>92.673302263348603</v>
      </c>
      <c r="AJ3286">
        <v>64.141541822883099</v>
      </c>
      <c r="AK3286">
        <v>23.874260054811</v>
      </c>
      <c r="AL3286">
        <v>79.705491827886803</v>
      </c>
      <c r="AM3286">
        <v>70.729787230531102</v>
      </c>
      <c r="AN3286">
        <v>0.99999995275314801</v>
      </c>
    </row>
    <row r="3287" spans="1:40" x14ac:dyDescent="0.25">
      <c r="A3287" t="str">
        <f>"20190303162615342"</f>
        <v>20190303162615342</v>
      </c>
      <c r="B3287" t="str">
        <f>"1551601575336980"</f>
        <v>1551601575336980</v>
      </c>
      <c r="C3287" t="s">
        <v>40</v>
      </c>
      <c r="D3287">
        <v>4.8020589999999999</v>
      </c>
      <c r="E3287">
        <v>0.59348279999999998</v>
      </c>
      <c r="F3287" t="s">
        <v>47</v>
      </c>
      <c r="G3287">
        <v>-200.5549</v>
      </c>
      <c r="H3287" s="1">
        <v>-1.21197699999999E-5</v>
      </c>
      <c r="I3287">
        <v>149.35810000000001</v>
      </c>
      <c r="J3287">
        <v>-187.45259999999999</v>
      </c>
      <c r="K3287">
        <v>1.1134269999999999</v>
      </c>
      <c r="L3287">
        <v>161.33539999999999</v>
      </c>
      <c r="M3287">
        <v>-0.27965220000000002</v>
      </c>
      <c r="N3287">
        <v>-1.0575970000000001E-2</v>
      </c>
      <c r="O3287">
        <v>-0.96004330000000004</v>
      </c>
      <c r="P3287">
        <v>-0.57083689999999998</v>
      </c>
      <c r="Q3287">
        <v>0.17163729999999999</v>
      </c>
      <c r="R3287">
        <v>-0.80292339999999995</v>
      </c>
      <c r="S3287">
        <v>-2.3109280000000001</v>
      </c>
      <c r="T3287">
        <v>-0.19503190000000001</v>
      </c>
      <c r="U3287">
        <v>-2.1479339999999998</v>
      </c>
      <c r="V3287">
        <v>0.32669320000000002</v>
      </c>
      <c r="W3287">
        <v>0.17566780000000001</v>
      </c>
      <c r="X3287">
        <v>0.92866159999999998</v>
      </c>
      <c r="Y3287">
        <v>0.51156689999999905</v>
      </c>
      <c r="Z3287">
        <v>5.4671289999999997E-2</v>
      </c>
      <c r="AA3287">
        <v>0.8575024</v>
      </c>
      <c r="AB3287">
        <v>28</v>
      </c>
      <c r="AC3287">
        <v>-13.1023</v>
      </c>
      <c r="AD3287">
        <v>-1.11343911977</v>
      </c>
      <c r="AE3287">
        <v>-11.9772999999999</v>
      </c>
      <c r="AF3287">
        <v>9.1936426648315006</v>
      </c>
      <c r="AG3287">
        <v>-1.11343911977</v>
      </c>
      <c r="AH3287">
        <v>15.1042370672264</v>
      </c>
      <c r="AI3287">
        <v>93.603123867051906</v>
      </c>
      <c r="AJ3287">
        <v>58.671973543338197</v>
      </c>
      <c r="AK3287">
        <v>17.717245539446001</v>
      </c>
      <c r="AL3287">
        <v>79.882477675977796</v>
      </c>
      <c r="AM3287">
        <v>70.618674304947803</v>
      </c>
      <c r="AN3287">
        <v>0.99999999509881898</v>
      </c>
    </row>
    <row r="3288" spans="1:40" x14ac:dyDescent="0.25">
      <c r="A3288" t="str">
        <f>"20190303162615363"</f>
        <v>20190303162615363</v>
      </c>
      <c r="B3288" t="str">
        <f>"1551601575356499"</f>
        <v>1551601575356499</v>
      </c>
      <c r="C3288" t="s">
        <v>40</v>
      </c>
      <c r="D3288">
        <v>4.977786</v>
      </c>
      <c r="E3288">
        <v>0.59264469999999903</v>
      </c>
      <c r="F3288" t="s">
        <v>47</v>
      </c>
      <c r="G3288">
        <v>-200.34729999999999</v>
      </c>
      <c r="H3288" s="1">
        <v>-1.233825E-5</v>
      </c>
      <c r="I3288">
        <v>149.8553</v>
      </c>
      <c r="J3288">
        <v>-187.53659999999999</v>
      </c>
      <c r="K3288">
        <v>1.1133519999999999</v>
      </c>
      <c r="L3288">
        <v>161.0822</v>
      </c>
      <c r="M3288">
        <v>-0.28867280000000001</v>
      </c>
      <c r="N3288">
        <v>-1.0577939999999999E-2</v>
      </c>
      <c r="O3288">
        <v>-0.95736940000000004</v>
      </c>
      <c r="P3288">
        <v>-0.57970189999999999</v>
      </c>
      <c r="Q3288">
        <v>0.16902320000000001</v>
      </c>
      <c r="R3288">
        <v>-0.79710570000000003</v>
      </c>
      <c r="S3288">
        <v>-2.360611</v>
      </c>
      <c r="T3288">
        <v>-0.20383509999999999</v>
      </c>
      <c r="U3288">
        <v>-2.1016539999999999</v>
      </c>
      <c r="V3288">
        <v>0.32806489999999999</v>
      </c>
      <c r="W3288">
        <v>0.17299139999999999</v>
      </c>
      <c r="X3288">
        <v>0.92868050000000002</v>
      </c>
      <c r="Y3288">
        <v>0.52169160000000003</v>
      </c>
      <c r="Z3288">
        <v>5.7611589999999997E-2</v>
      </c>
      <c r="AA3288">
        <v>0.85118669999999996</v>
      </c>
      <c r="AB3288">
        <v>28</v>
      </c>
      <c r="AC3288">
        <v>-12.810699999999899</v>
      </c>
      <c r="AD3288">
        <v>-1.11336433825</v>
      </c>
      <c r="AE3288">
        <v>-11.226900000000001</v>
      </c>
      <c r="AF3288">
        <v>8.9857880332719002</v>
      </c>
      <c r="AG3288">
        <v>-1.11336433825</v>
      </c>
      <c r="AH3288">
        <v>14.385741831004299</v>
      </c>
      <c r="AI3288">
        <v>93.755536503072406</v>
      </c>
      <c r="AJ3288">
        <v>58.009800512227201</v>
      </c>
      <c r="AK3288">
        <v>16.998045027499099</v>
      </c>
      <c r="AL3288">
        <v>80.038209230452907</v>
      </c>
      <c r="AM3288">
        <v>70.543765426597702</v>
      </c>
      <c r="AN3288">
        <v>1.0000000370830999</v>
      </c>
    </row>
    <row r="3289" spans="1:40" x14ac:dyDescent="0.25">
      <c r="A3289" t="str">
        <f>"20190303162615385"</f>
        <v>20190303162615385</v>
      </c>
      <c r="B3289" t="str">
        <f>"1551601575376996"</f>
        <v>1551601575376996</v>
      </c>
      <c r="C3289" t="s">
        <v>40</v>
      </c>
      <c r="D3289">
        <v>4.8145300000000004</v>
      </c>
      <c r="E3289">
        <v>0.59279190000000004</v>
      </c>
      <c r="F3289" t="s">
        <v>47</v>
      </c>
      <c r="G3289">
        <v>-199.83150000000001</v>
      </c>
      <c r="H3289" s="1">
        <v>-1.262858E-5</v>
      </c>
      <c r="I3289">
        <v>150.3254</v>
      </c>
      <c r="J3289">
        <v>-187.62710000000001</v>
      </c>
      <c r="K3289">
        <v>1.113297</v>
      </c>
      <c r="L3289">
        <v>160.81780000000001</v>
      </c>
      <c r="M3289">
        <v>-0.29812919999999998</v>
      </c>
      <c r="N3289">
        <v>-1.0576230000000001E-2</v>
      </c>
      <c r="O3289">
        <v>-0.95446710000000001</v>
      </c>
      <c r="P3289">
        <v>-0.58861459999999999</v>
      </c>
      <c r="Q3289">
        <v>0.16693729999999901</v>
      </c>
      <c r="R3289">
        <v>-0.79098999999999997</v>
      </c>
      <c r="S3289">
        <v>-2.3775789999999999</v>
      </c>
      <c r="T3289">
        <v>-0.21530089999999999</v>
      </c>
      <c r="U3289">
        <v>-2.080139</v>
      </c>
      <c r="V3289">
        <v>0.32915800000000001</v>
      </c>
      <c r="W3289">
        <v>0.17084379999999999</v>
      </c>
      <c r="X3289">
        <v>0.92869120000000005</v>
      </c>
      <c r="Y3289">
        <v>0.5204453</v>
      </c>
      <c r="Z3289">
        <v>6.1419359999999999E-2</v>
      </c>
      <c r="AA3289">
        <v>0.85168330000000003</v>
      </c>
      <c r="AB3289">
        <v>28</v>
      </c>
      <c r="AC3289">
        <v>-12.2043999999999</v>
      </c>
      <c r="AD3289">
        <v>-1.1133096285799999</v>
      </c>
      <c r="AE3289">
        <v>-10.4924</v>
      </c>
      <c r="AF3289">
        <v>8.4805046904231194</v>
      </c>
      <c r="AG3289">
        <v>-1.1133096285799999</v>
      </c>
      <c r="AH3289">
        <v>13.5888792660263</v>
      </c>
      <c r="AI3289">
        <v>93.975870326799594</v>
      </c>
      <c r="AJ3289">
        <v>58.0326685412779</v>
      </c>
      <c r="AK3289">
        <v>16.056651513936998</v>
      </c>
      <c r="AL3289">
        <v>80.163116707526797</v>
      </c>
      <c r="AM3289">
        <v>70.484037907003895</v>
      </c>
      <c r="AN3289">
        <v>0.99999996895993903</v>
      </c>
    </row>
    <row r="3290" spans="1:40" x14ac:dyDescent="0.25">
      <c r="A3290" t="str">
        <f>"20190303162615411"</f>
        <v>20190303162615411</v>
      </c>
      <c r="B3290" t="str">
        <f>"1551601575406276"</f>
        <v>1551601575406276</v>
      </c>
      <c r="C3290" t="s">
        <v>40</v>
      </c>
      <c r="D3290">
        <v>4.7907419999999998</v>
      </c>
      <c r="E3290">
        <v>0.59216990000000003</v>
      </c>
      <c r="F3290" t="s">
        <v>47</v>
      </c>
      <c r="G3290">
        <v>-200.25389999999999</v>
      </c>
      <c r="H3290" s="1">
        <v>-1.242269E-5</v>
      </c>
      <c r="I3290">
        <v>150.0361</v>
      </c>
      <c r="J3290">
        <v>-187.73419999999999</v>
      </c>
      <c r="K3290">
        <v>1.1132310000000001</v>
      </c>
      <c r="L3290">
        <v>160.51560000000001</v>
      </c>
      <c r="M3290">
        <v>-0.30899480000000001</v>
      </c>
      <c r="N3290">
        <v>-1.055734E-2</v>
      </c>
      <c r="O3290">
        <v>-0.95100519999999999</v>
      </c>
      <c r="P3290">
        <v>-0.59797019999999901</v>
      </c>
      <c r="Q3290">
        <v>0.16722779999999901</v>
      </c>
      <c r="R3290">
        <v>-0.78387910000000005</v>
      </c>
      <c r="S3290">
        <v>-2.4013209999999998</v>
      </c>
      <c r="T3290">
        <v>-0.2117262</v>
      </c>
      <c r="U3290">
        <v>-2.050446</v>
      </c>
      <c r="V3290">
        <v>0.32964979999999999</v>
      </c>
      <c r="W3290">
        <v>0.1710585</v>
      </c>
      <c r="X3290">
        <v>0.92847729999999995</v>
      </c>
      <c r="Y3290">
        <v>0.5210127</v>
      </c>
      <c r="Z3290">
        <v>6.0349849999999997E-2</v>
      </c>
      <c r="AA3290">
        <v>0.85141279999999997</v>
      </c>
      <c r="AB3290">
        <v>28</v>
      </c>
      <c r="AC3290">
        <v>-12.5197</v>
      </c>
      <c r="AD3290">
        <v>-1.1132434226900001</v>
      </c>
      <c r="AE3290">
        <v>-10.4795</v>
      </c>
      <c r="AF3290">
        <v>8.6285552121219897</v>
      </c>
      <c r="AG3290">
        <v>-1.1132434226900001</v>
      </c>
      <c r="AH3290">
        <v>13.771325296937601</v>
      </c>
      <c r="AI3290">
        <v>93.918767585296905</v>
      </c>
      <c r="AJ3290">
        <v>57.930406593827897</v>
      </c>
      <c r="AK3290">
        <v>16.289281027745599</v>
      </c>
      <c r="AL3290">
        <v>80.150632309639093</v>
      </c>
      <c r="AM3290">
        <v>70.452925942020102</v>
      </c>
      <c r="AN3290">
        <v>1.0000000488387799</v>
      </c>
    </row>
    <row r="3291" spans="1:40" x14ac:dyDescent="0.25">
      <c r="A3291" t="str">
        <f>"20190303162615435"</f>
        <v>20190303162615435</v>
      </c>
      <c r="B3291" t="str">
        <f>"1551601575426771"</f>
        <v>1551601575426771</v>
      </c>
      <c r="C3291" t="s">
        <v>40</v>
      </c>
      <c r="D3291">
        <v>4.809488</v>
      </c>
      <c r="E3291">
        <v>0.59182760000000001</v>
      </c>
      <c r="F3291" t="s">
        <v>47</v>
      </c>
      <c r="G3291">
        <v>-201.0607</v>
      </c>
      <c r="H3291" s="1">
        <v>-1.190398E-5</v>
      </c>
      <c r="I3291">
        <v>149.38669999999999</v>
      </c>
      <c r="J3291">
        <v>-187.84</v>
      </c>
      <c r="K3291">
        <v>1.1131549999999999</v>
      </c>
      <c r="L3291">
        <v>160.22710000000001</v>
      </c>
      <c r="M3291">
        <v>-0.31941979999999998</v>
      </c>
      <c r="N3291">
        <v>-1.051294E-2</v>
      </c>
      <c r="O3291">
        <v>-0.94755509999999998</v>
      </c>
      <c r="P3291">
        <v>-0.60647669999999998</v>
      </c>
      <c r="Q3291">
        <v>0.16836180000000001</v>
      </c>
      <c r="R3291">
        <v>-0.77707190000000004</v>
      </c>
      <c r="S3291">
        <v>-2.4220579999999998</v>
      </c>
      <c r="T3291">
        <v>-0.20232990000000001</v>
      </c>
      <c r="U3291">
        <v>-2.022659</v>
      </c>
      <c r="V3291">
        <v>0.32969419999999999</v>
      </c>
      <c r="W3291">
        <v>0.1721009</v>
      </c>
      <c r="X3291">
        <v>0.92826880000000001</v>
      </c>
      <c r="Y3291">
        <v>0.52112539999999996</v>
      </c>
      <c r="Z3291">
        <v>5.7395330000000001E-2</v>
      </c>
      <c r="AA3291">
        <v>0.85154810000000003</v>
      </c>
      <c r="AB3291">
        <v>28</v>
      </c>
      <c r="AC3291">
        <v>-13.2206999999999</v>
      </c>
      <c r="AD3291">
        <v>-1.1131669039799901</v>
      </c>
      <c r="AE3291">
        <v>-10.840400000000001</v>
      </c>
      <c r="AF3291">
        <v>9.0269358548762799</v>
      </c>
      <c r="AG3291">
        <v>-1.1131669039799901</v>
      </c>
      <c r="AH3291">
        <v>14.434437956445899</v>
      </c>
      <c r="AI3291">
        <v>93.740994438529597</v>
      </c>
      <c r="AJ3291">
        <v>57.979171080358398</v>
      </c>
      <c r="AK3291">
        <v>17.060999695289102</v>
      </c>
      <c r="AL3291">
        <v>80.090007410025194</v>
      </c>
      <c r="AM3291">
        <v>70.446434807694402</v>
      </c>
      <c r="AN3291">
        <v>0.99999997517394401</v>
      </c>
    </row>
    <row r="3292" spans="1:40" x14ac:dyDescent="0.25">
      <c r="A3292" t="str">
        <f>"20190303162615453"</f>
        <v>20190303162615453</v>
      </c>
      <c r="B3292" t="str">
        <f>"1551601575446291"</f>
        <v>1551601575446291</v>
      </c>
      <c r="C3292" t="s">
        <v>40</v>
      </c>
      <c r="D3292">
        <v>4.7851730000000003</v>
      </c>
      <c r="E3292">
        <v>0.59157919999999997</v>
      </c>
      <c r="F3292" t="s">
        <v>47</v>
      </c>
      <c r="G3292">
        <v>-201.9161</v>
      </c>
      <c r="H3292" s="1">
        <v>-1.1327179999999999E-5</v>
      </c>
      <c r="I3292">
        <v>148.72309999999999</v>
      </c>
      <c r="J3292">
        <v>-187.91890000000001</v>
      </c>
      <c r="K3292">
        <v>1.1130960000000001</v>
      </c>
      <c r="L3292">
        <v>160.01859999999999</v>
      </c>
      <c r="M3292">
        <v>-0.32698709999999997</v>
      </c>
      <c r="N3292">
        <v>-1.045834E-2</v>
      </c>
      <c r="O3292">
        <v>-0.94497089999999995</v>
      </c>
      <c r="P3292">
        <v>-0.61242489999999905</v>
      </c>
      <c r="Q3292">
        <v>0.16905049999999999</v>
      </c>
      <c r="R3292">
        <v>-0.77224219999999999</v>
      </c>
      <c r="S3292">
        <v>-2.4425349999999999</v>
      </c>
      <c r="T3292">
        <v>-0.1931599</v>
      </c>
      <c r="U3292">
        <v>-1.996216</v>
      </c>
      <c r="V3292">
        <v>0.3294762</v>
      </c>
      <c r="W3292">
        <v>0.17270869999999999</v>
      </c>
      <c r="X3292">
        <v>0.92823330000000004</v>
      </c>
      <c r="Y3292">
        <v>0.5234607</v>
      </c>
      <c r="Z3292">
        <v>5.4519030000000003E-2</v>
      </c>
      <c r="AA3292">
        <v>0.85030380000000005</v>
      </c>
      <c r="AB3292">
        <v>28</v>
      </c>
      <c r="AC3292">
        <v>-13.9971999999999</v>
      </c>
      <c r="AD3292">
        <v>-1.1131073271799901</v>
      </c>
      <c r="AE3292">
        <v>-11.295500000000001</v>
      </c>
      <c r="AF3292">
        <v>9.4976107629149293</v>
      </c>
      <c r="AG3292">
        <v>-1.1131073271799901</v>
      </c>
      <c r="AH3292">
        <v>15.1934678559976</v>
      </c>
      <c r="AI3292">
        <v>93.554825073078206</v>
      </c>
      <c r="AJ3292">
        <v>57.990025008304102</v>
      </c>
      <c r="AK3292">
        <v>17.9523002319171</v>
      </c>
      <c r="AL3292">
        <v>80.054653503949794</v>
      </c>
      <c r="AM3292">
        <v>70.457693377497506</v>
      </c>
      <c r="AN3292">
        <v>0.99999996032550897</v>
      </c>
    </row>
    <row r="3293" spans="1:40" x14ac:dyDescent="0.25">
      <c r="A3293" t="str">
        <f>"20190303162615476"</f>
        <v>20190303162615476</v>
      </c>
      <c r="B3293" t="str">
        <f>"1551601575466787"</f>
        <v>1551601575466787</v>
      </c>
      <c r="C3293" t="s">
        <v>40</v>
      </c>
      <c r="D3293">
        <v>4.8293419999999996</v>
      </c>
      <c r="E3293">
        <v>0.5911999</v>
      </c>
      <c r="F3293" t="s">
        <v>47</v>
      </c>
      <c r="G3293">
        <v>-203.0712</v>
      </c>
      <c r="H3293" s="1">
        <v>-1.0547990000000001E-5</v>
      </c>
      <c r="I3293">
        <v>147.82570000000001</v>
      </c>
      <c r="J3293">
        <v>-188.02860000000001</v>
      </c>
      <c r="K3293">
        <v>1.1130119999999999</v>
      </c>
      <c r="L3293">
        <v>159.73589999999999</v>
      </c>
      <c r="M3293">
        <v>-0.3372735</v>
      </c>
      <c r="N3293">
        <v>-1.0357409999999999E-2</v>
      </c>
      <c r="O3293">
        <v>-0.94134989999999996</v>
      </c>
      <c r="P3293">
        <v>-0.62095059999999902</v>
      </c>
      <c r="Q3293">
        <v>0.16848050000000001</v>
      </c>
      <c r="R3293">
        <v>-0.76552929999999997</v>
      </c>
      <c r="S3293">
        <v>-2.4561459999999999</v>
      </c>
      <c r="T3293">
        <v>-0.18043149999999999</v>
      </c>
      <c r="U3293">
        <v>-1.97644</v>
      </c>
      <c r="V3293">
        <v>0.32961479999999999</v>
      </c>
      <c r="W3293">
        <v>0.1720004</v>
      </c>
      <c r="X3293">
        <v>0.92831560000000002</v>
      </c>
      <c r="Y3293">
        <v>0.52080609999999905</v>
      </c>
      <c r="Z3293">
        <v>5.0460409999999997E-2</v>
      </c>
      <c r="AA3293">
        <v>0.85218229999999995</v>
      </c>
      <c r="AB3293">
        <v>28</v>
      </c>
      <c r="AC3293">
        <v>-15.042599999999901</v>
      </c>
      <c r="AD3293">
        <v>-1.11302254799</v>
      </c>
      <c r="AE3293">
        <v>-11.9101999999999</v>
      </c>
      <c r="AF3293">
        <v>10.1098764531343</v>
      </c>
      <c r="AG3293">
        <v>-1.11302254799</v>
      </c>
      <c r="AH3293">
        <v>16.231385925125199</v>
      </c>
      <c r="AI3293">
        <v>93.331146239476297</v>
      </c>
      <c r="AJ3293">
        <v>58.082884388527901</v>
      </c>
      <c r="AK3293">
        <v>19.1547986191535</v>
      </c>
      <c r="AL3293">
        <v>80.095852585975507</v>
      </c>
      <c r="AM3293">
        <v>70.451697609801002</v>
      </c>
      <c r="AN3293">
        <v>0.99999995359127802</v>
      </c>
    </row>
    <row r="3294" spans="1:40" x14ac:dyDescent="0.25">
      <c r="A3294" t="str">
        <f>"20190303162615501"</f>
        <v>20190303162615501</v>
      </c>
      <c r="B3294" t="str">
        <f>"1551601575497043"</f>
        <v>1551601575497043</v>
      </c>
      <c r="C3294" t="s">
        <v>40</v>
      </c>
      <c r="D3294">
        <v>4.8048109999999999</v>
      </c>
      <c r="E3294">
        <v>0.59040609999999905</v>
      </c>
      <c r="F3294" t="s">
        <v>47</v>
      </c>
      <c r="G3294">
        <v>-203.61529999999999</v>
      </c>
      <c r="H3294" s="1">
        <v>-1.019779E-5</v>
      </c>
      <c r="I3294">
        <v>147.45949999999999</v>
      </c>
      <c r="J3294">
        <v>-188.1437</v>
      </c>
      <c r="K3294">
        <v>1.1129290000000001</v>
      </c>
      <c r="L3294">
        <v>159.44929999999999</v>
      </c>
      <c r="M3294">
        <v>-0.34773490000000001</v>
      </c>
      <c r="N3294">
        <v>-1.023139E-2</v>
      </c>
      <c r="O3294">
        <v>-0.93753719999999996</v>
      </c>
      <c r="P3294">
        <v>-0.6304284</v>
      </c>
      <c r="Q3294">
        <v>0.1679966</v>
      </c>
      <c r="R3294">
        <v>-0.75785100000000005</v>
      </c>
      <c r="S3294">
        <v>-2.4755549999999999</v>
      </c>
      <c r="T3294">
        <v>-0.17677579999999901</v>
      </c>
      <c r="U3294">
        <v>-1.9497990000000001</v>
      </c>
      <c r="V3294">
        <v>0.33080209999999999</v>
      </c>
      <c r="W3294">
        <v>0.17133670000000001</v>
      </c>
      <c r="X3294">
        <v>0.92801599999999995</v>
      </c>
      <c r="Y3294">
        <v>0.52025600000000005</v>
      </c>
      <c r="Z3294">
        <v>4.9408340000000002E-2</v>
      </c>
      <c r="AA3294">
        <v>0.85257989999999995</v>
      </c>
      <c r="AB3294">
        <v>28</v>
      </c>
      <c r="AC3294">
        <v>-15.471599999999899</v>
      </c>
      <c r="AD3294">
        <v>-1.1129391977900001</v>
      </c>
      <c r="AE3294">
        <v>-11.989800000000001</v>
      </c>
      <c r="AF3294">
        <v>10.303158617878699</v>
      </c>
      <c r="AG3294">
        <v>-1.1129391977900001</v>
      </c>
      <c r="AH3294">
        <v>16.568202304288899</v>
      </c>
      <c r="AI3294">
        <v>93.264786829649097</v>
      </c>
      <c r="AJ3294">
        <v>58.124031504110398</v>
      </c>
      <c r="AK3294">
        <v>19.5422373017777</v>
      </c>
      <c r="AL3294">
        <v>80.134453241667799</v>
      </c>
      <c r="AM3294">
        <v>70.380799309777601</v>
      </c>
      <c r="AN3294">
        <v>0.99999999519364902</v>
      </c>
    </row>
    <row r="3295" spans="1:40" x14ac:dyDescent="0.25">
      <c r="A3295" t="str">
        <f>"20190303162615525"</f>
        <v>20190303162615525</v>
      </c>
      <c r="B3295" t="str">
        <f>"1551601575516563"</f>
        <v>1551601575516563</v>
      </c>
      <c r="C3295" t="s">
        <v>40</v>
      </c>
      <c r="D3295">
        <v>4.8177560000000001</v>
      </c>
      <c r="E3295">
        <v>0.58986179999999999</v>
      </c>
      <c r="F3295" t="s">
        <v>47</v>
      </c>
      <c r="G3295">
        <v>-203.96350000000001</v>
      </c>
      <c r="H3295" s="1">
        <v>-9.9955299999999998E-6</v>
      </c>
      <c r="I3295">
        <v>147.25700000000001</v>
      </c>
      <c r="J3295">
        <v>-188.25839999999999</v>
      </c>
      <c r="K3295">
        <v>1.112857</v>
      </c>
      <c r="L3295">
        <v>159.17259999999999</v>
      </c>
      <c r="M3295">
        <v>-0.35785050000000002</v>
      </c>
      <c r="N3295">
        <v>-1.0107059999999999E-2</v>
      </c>
      <c r="O3295">
        <v>-0.9337242</v>
      </c>
      <c r="P3295">
        <v>-0.64034269999999904</v>
      </c>
      <c r="Q3295">
        <v>0.1669765</v>
      </c>
      <c r="R3295">
        <v>-0.74972019999999995</v>
      </c>
      <c r="S3295">
        <v>-2.4944310000000001</v>
      </c>
      <c r="T3295">
        <v>-0.17548620000000001</v>
      </c>
      <c r="U3295">
        <v>-1.9224699999999999</v>
      </c>
      <c r="V3295">
        <v>0.33289269999999999</v>
      </c>
      <c r="W3295">
        <v>0.17012629999999901</v>
      </c>
      <c r="X3295">
        <v>0.92749090000000001</v>
      </c>
      <c r="Y3295">
        <v>0.52001569999999997</v>
      </c>
      <c r="Z3295">
        <v>4.9135100000000001E-2</v>
      </c>
      <c r="AA3295">
        <v>0.85274229999999995</v>
      </c>
      <c r="AB3295">
        <v>28</v>
      </c>
      <c r="AC3295">
        <v>-15.7051</v>
      </c>
      <c r="AD3295">
        <v>-1.1128669955299999</v>
      </c>
      <c r="AE3295">
        <v>-11.9155999999999</v>
      </c>
      <c r="AF3295">
        <v>10.3677203283672</v>
      </c>
      <c r="AG3295">
        <v>-1.1128669955299999</v>
      </c>
      <c r="AH3295">
        <v>16.693618801025899</v>
      </c>
      <c r="AI3295">
        <v>93.241268044824395</v>
      </c>
      <c r="AJ3295">
        <v>58.157284054296298</v>
      </c>
      <c r="AK3295">
        <v>19.682606698070799</v>
      </c>
      <c r="AL3295">
        <v>80.204836908725696</v>
      </c>
      <c r="AM3295">
        <v>70.256050168456696</v>
      </c>
      <c r="AN3295">
        <v>0.99999993862389303</v>
      </c>
    </row>
    <row r="3296" spans="1:40" x14ac:dyDescent="0.25">
      <c r="A3296" t="str">
        <f>"20190303162615566"</f>
        <v>20190303162615566</v>
      </c>
      <c r="B3296" t="str">
        <f>"1551601575556580"</f>
        <v>1551601575556580</v>
      </c>
      <c r="C3296" t="s">
        <v>40</v>
      </c>
      <c r="D3296">
        <v>4.8019530000000001</v>
      </c>
      <c r="E3296">
        <v>0.58886490000000002</v>
      </c>
      <c r="F3296" t="s">
        <v>47</v>
      </c>
      <c r="G3296">
        <v>-204.01349999999999</v>
      </c>
      <c r="H3296" s="1">
        <v>-9.9923099999999999E-6</v>
      </c>
      <c r="I3296">
        <v>147.316</v>
      </c>
      <c r="J3296">
        <v>-188.46850000000001</v>
      </c>
      <c r="K3296">
        <v>1.112749</v>
      </c>
      <c r="L3296">
        <v>158.6858</v>
      </c>
      <c r="M3296">
        <v>-0.37565660000000001</v>
      </c>
      <c r="N3296">
        <v>-9.8954990000000003E-3</v>
      </c>
      <c r="O3296">
        <v>-0.92670600000000003</v>
      </c>
      <c r="P3296">
        <v>-0.65590289999999996</v>
      </c>
      <c r="Q3296">
        <v>0.16489509999999999</v>
      </c>
      <c r="R3296">
        <v>-0.73661460000000001</v>
      </c>
      <c r="S3296">
        <v>-2.5151669999999999</v>
      </c>
      <c r="T3296">
        <v>-0.1776606</v>
      </c>
      <c r="U3296">
        <v>-1.8928069999999999</v>
      </c>
      <c r="V3296">
        <v>0.33437240000000001</v>
      </c>
      <c r="W3296">
        <v>0.1677708</v>
      </c>
      <c r="X3296">
        <v>0.92738770000000004</v>
      </c>
      <c r="Y3296">
        <v>0.51342169999999998</v>
      </c>
      <c r="Z3296">
        <v>4.9951830000000003E-2</v>
      </c>
      <c r="AA3296">
        <v>0.85668140000000004</v>
      </c>
      <c r="AB3296">
        <v>28</v>
      </c>
      <c r="AC3296">
        <v>-15.5449999999999</v>
      </c>
      <c r="AD3296">
        <v>-1.1127589923100001</v>
      </c>
      <c r="AE3296">
        <v>-11.3697999999999</v>
      </c>
      <c r="AF3296">
        <v>10.101280637425001</v>
      </c>
      <c r="AG3296">
        <v>-1.1127589923100001</v>
      </c>
      <c r="AH3296">
        <v>16.322358503198501</v>
      </c>
      <c r="AI3296">
        <v>93.317764650219104</v>
      </c>
      <c r="AJ3296">
        <v>58.248226507462903</v>
      </c>
      <c r="AK3296">
        <v>19.227415068020001</v>
      </c>
      <c r="AL3296">
        <v>80.341765586206506</v>
      </c>
      <c r="AM3296">
        <v>70.173080173495606</v>
      </c>
      <c r="AN3296">
        <v>0.99999994466284303</v>
      </c>
    </row>
    <row r="3297" spans="1:40" x14ac:dyDescent="0.25">
      <c r="A3297" t="str">
        <f>"20190303162615588"</f>
        <v>20190303162615588</v>
      </c>
      <c r="B3297" t="str">
        <f>"1551601575577075"</f>
        <v>1551601575577075</v>
      </c>
      <c r="C3297" t="s">
        <v>40</v>
      </c>
      <c r="D3297">
        <v>4.8216359999999998</v>
      </c>
      <c r="E3297">
        <v>0.5884163</v>
      </c>
      <c r="F3297" t="s">
        <v>47</v>
      </c>
      <c r="G3297">
        <v>-204.221</v>
      </c>
      <c r="H3297" s="1">
        <v>-9.9066799999999998E-6</v>
      </c>
      <c r="I3297">
        <v>147.2876</v>
      </c>
      <c r="J3297">
        <v>-188.58959999999999</v>
      </c>
      <c r="K3297">
        <v>1.112711</v>
      </c>
      <c r="L3297">
        <v>158.41630000000001</v>
      </c>
      <c r="M3297">
        <v>-0.38551800000000003</v>
      </c>
      <c r="N3297">
        <v>-9.7747000000000007E-3</v>
      </c>
      <c r="O3297">
        <v>-0.92264880000000005</v>
      </c>
      <c r="P3297">
        <v>-0.66316430000000004</v>
      </c>
      <c r="Q3297">
        <v>0.1665095</v>
      </c>
      <c r="R3297">
        <v>-0.72971809999999904</v>
      </c>
      <c r="S3297">
        <v>-2.548279</v>
      </c>
      <c r="T3297">
        <v>-0.18001099999999901</v>
      </c>
      <c r="U3297">
        <v>-1.8438870000000001</v>
      </c>
      <c r="V3297">
        <v>0.33384829999999999</v>
      </c>
      <c r="W3297">
        <v>0.16925419999999999</v>
      </c>
      <c r="X3297">
        <v>0.92730710000000005</v>
      </c>
      <c r="Y3297">
        <v>0.52028339999999995</v>
      </c>
      <c r="Z3297">
        <v>5.0964820000000001E-2</v>
      </c>
      <c r="AA3297">
        <v>0.85247150000000005</v>
      </c>
      <c r="AB3297">
        <v>28</v>
      </c>
      <c r="AC3297">
        <v>-15.6313999999999</v>
      </c>
      <c r="AD3297">
        <v>-1.1127209066799999</v>
      </c>
      <c r="AE3297">
        <v>-11.1287</v>
      </c>
      <c r="AF3297">
        <v>10.0985005882984</v>
      </c>
      <c r="AG3297">
        <v>-1.1127209066799999</v>
      </c>
      <c r="AH3297">
        <v>16.240229526568601</v>
      </c>
      <c r="AI3297">
        <v>93.3299852867585</v>
      </c>
      <c r="AJ3297">
        <v>58.125822020700397</v>
      </c>
      <c r="AK3297">
        <v>19.156276178413599</v>
      </c>
      <c r="AL3297">
        <v>80.255541125791595</v>
      </c>
      <c r="AM3297">
        <v>70.200153083563407</v>
      </c>
      <c r="AN3297">
        <v>1.0000000646704601</v>
      </c>
    </row>
    <row r="3298" spans="1:40" x14ac:dyDescent="0.25">
      <c r="A3298" t="str">
        <f>"20190303162615609"</f>
        <v>20190303162615609</v>
      </c>
      <c r="B3298" t="str">
        <f>"1551601575596595"</f>
        <v>1551601575596595</v>
      </c>
      <c r="C3298" t="s">
        <v>40</v>
      </c>
      <c r="D3298">
        <v>4.8360919999999998</v>
      </c>
      <c r="E3298">
        <v>0.58792330000000004</v>
      </c>
      <c r="F3298" t="s">
        <v>47</v>
      </c>
      <c r="G3298">
        <v>-205.19820000000001</v>
      </c>
      <c r="H3298" s="1">
        <v>-9.3519740000000001E-6</v>
      </c>
      <c r="I3298">
        <v>146.64070000000001</v>
      </c>
      <c r="J3298">
        <v>-188.69839999999999</v>
      </c>
      <c r="K3298">
        <v>1.112679</v>
      </c>
      <c r="L3298">
        <v>158.18029999999999</v>
      </c>
      <c r="M3298">
        <v>-0.39415090000000003</v>
      </c>
      <c r="N3298">
        <v>-9.6675660000000007E-3</v>
      </c>
      <c r="O3298">
        <v>-0.91899500000000001</v>
      </c>
      <c r="P3298">
        <v>-0.66960839999999999</v>
      </c>
      <c r="Q3298">
        <v>0.1693402</v>
      </c>
      <c r="R3298">
        <v>-0.72315200000000002</v>
      </c>
      <c r="S3298">
        <v>-2.5654599999999999</v>
      </c>
      <c r="T3298">
        <v>-0.17187749999999999</v>
      </c>
      <c r="U3298">
        <v>-1.818924</v>
      </c>
      <c r="V3298">
        <v>0.33370109999999997</v>
      </c>
      <c r="W3298">
        <v>0.1719581</v>
      </c>
      <c r="X3298">
        <v>0.92686239999999998</v>
      </c>
      <c r="Y3298">
        <v>0.5206094</v>
      </c>
      <c r="Z3298">
        <v>4.8403019999999998E-2</v>
      </c>
      <c r="AA3298">
        <v>0.85242180000000001</v>
      </c>
      <c r="AB3298">
        <v>28</v>
      </c>
      <c r="AC3298">
        <v>-16.4998</v>
      </c>
      <c r="AD3298">
        <v>-1.1126883519740001</v>
      </c>
      <c r="AE3298">
        <v>-11.539599999999901</v>
      </c>
      <c r="AF3298">
        <v>10.5830651742504</v>
      </c>
      <c r="AG3298">
        <v>-1.1126883519740001</v>
      </c>
      <c r="AH3298">
        <v>17.056953007652002</v>
      </c>
      <c r="AI3298">
        <v>93.172716574197693</v>
      </c>
      <c r="AJ3298">
        <v>58.182276071355801</v>
      </c>
      <c r="AK3298">
        <v>20.104203285788302</v>
      </c>
      <c r="AL3298">
        <v>80.098312922402897</v>
      </c>
      <c r="AM3298">
        <v>70.199447119949397</v>
      </c>
      <c r="AN3298">
        <v>0.99999996041528905</v>
      </c>
    </row>
    <row r="3299" spans="1:40" x14ac:dyDescent="0.25">
      <c r="A3299" t="str">
        <f>"20190303162615632"</f>
        <v>20190303162615632</v>
      </c>
      <c r="B3299" t="str">
        <f>"1551601575626851"</f>
        <v>1551601575626851</v>
      </c>
      <c r="C3299" t="s">
        <v>40</v>
      </c>
      <c r="D3299">
        <v>4.8014479999999997</v>
      </c>
      <c r="E3299">
        <v>0.58727169999999995</v>
      </c>
      <c r="F3299" t="s">
        <v>47</v>
      </c>
      <c r="G3299">
        <v>-206.38810000000001</v>
      </c>
      <c r="H3299" s="1">
        <v>-8.6161110000000005E-6</v>
      </c>
      <c r="I3299">
        <v>145.85220000000001</v>
      </c>
      <c r="J3299">
        <v>-188.8339</v>
      </c>
      <c r="K3299">
        <v>1.1126210000000001</v>
      </c>
      <c r="L3299">
        <v>157.89400000000001</v>
      </c>
      <c r="M3299">
        <v>-0.40461079999999999</v>
      </c>
      <c r="N3299">
        <v>-9.5379330000000002E-3</v>
      </c>
      <c r="O3299">
        <v>-0.91443929999999995</v>
      </c>
      <c r="P3299">
        <v>-0.6774464</v>
      </c>
      <c r="Q3299">
        <v>0.17045370000000001</v>
      </c>
      <c r="R3299">
        <v>-0.71555040000000003</v>
      </c>
      <c r="S3299">
        <v>-2.5796969999999999</v>
      </c>
      <c r="T3299">
        <v>-0.16226360000000001</v>
      </c>
      <c r="U3299">
        <v>-1.797806</v>
      </c>
      <c r="V3299">
        <v>0.33336569999999999</v>
      </c>
      <c r="W3299">
        <v>0.17292379999999999</v>
      </c>
      <c r="X3299">
        <v>0.9268035</v>
      </c>
      <c r="Y3299">
        <v>0.5179049</v>
      </c>
      <c r="Z3299">
        <v>4.5324330000000003E-2</v>
      </c>
      <c r="AA3299">
        <v>0.85423660000000001</v>
      </c>
      <c r="AB3299">
        <v>28</v>
      </c>
      <c r="AC3299">
        <v>-17.554200000000002</v>
      </c>
      <c r="AD3299">
        <v>-1.1126296161110001</v>
      </c>
      <c r="AE3299">
        <v>-12.041799999999901</v>
      </c>
      <c r="AF3299">
        <v>11.1500558908965</v>
      </c>
      <c r="AG3299">
        <v>-1.1126296161110001</v>
      </c>
      <c r="AH3299">
        <v>18.065584904443099</v>
      </c>
      <c r="AI3299">
        <v>93.000112593139605</v>
      </c>
      <c r="AJ3299">
        <v>58.317168419022899</v>
      </c>
      <c r="AK3299">
        <v>21.258575892387601</v>
      </c>
      <c r="AL3299">
        <v>80.042141609503702</v>
      </c>
      <c r="AM3299">
        <v>70.216643855332805</v>
      </c>
      <c r="AN3299">
        <v>1.0000000290775799</v>
      </c>
    </row>
    <row r="3300" spans="1:40" x14ac:dyDescent="0.25">
      <c r="A3300" t="str">
        <f>"20190303162615660"</f>
        <v>20190303162615660</v>
      </c>
      <c r="B3300" t="str">
        <f>"1551601575646372"</f>
        <v>1551601575646372</v>
      </c>
      <c r="C3300" t="s">
        <v>40</v>
      </c>
      <c r="D3300">
        <v>4.834695</v>
      </c>
      <c r="E3300">
        <v>0.58730669999999996</v>
      </c>
      <c r="F3300" t="s">
        <v>47</v>
      </c>
      <c r="G3300">
        <v>-207.18340000000001</v>
      </c>
      <c r="H3300" s="1">
        <v>-8.1328199999999992E-6</v>
      </c>
      <c r="I3300">
        <v>145.35740000000001</v>
      </c>
      <c r="J3300">
        <v>-188.98390000000001</v>
      </c>
      <c r="K3300">
        <v>1.1125560000000001</v>
      </c>
      <c r="L3300">
        <v>157.58629999999999</v>
      </c>
      <c r="M3300">
        <v>-0.41584490000000002</v>
      </c>
      <c r="N3300">
        <v>-9.4065429999999998E-3</v>
      </c>
      <c r="O3300">
        <v>-0.90938699999999995</v>
      </c>
      <c r="P3300">
        <v>-0.68640970000000001</v>
      </c>
      <c r="Q3300">
        <v>0.1702081</v>
      </c>
      <c r="R3300">
        <v>-0.70701569999999903</v>
      </c>
      <c r="S3300">
        <v>-2.595215</v>
      </c>
      <c r="T3300">
        <v>-0.15736169999999999</v>
      </c>
      <c r="U3300">
        <v>-1.7730870000000001</v>
      </c>
      <c r="V3300">
        <v>0.33361610000000003</v>
      </c>
      <c r="W3300">
        <v>0.17251520000000001</v>
      </c>
      <c r="X3300">
        <v>0.92678950000000004</v>
      </c>
      <c r="Y3300">
        <v>0.51535640000000005</v>
      </c>
      <c r="Z3300">
        <v>4.3794920000000001E-2</v>
      </c>
      <c r="AA3300">
        <v>0.85585619999999996</v>
      </c>
      <c r="AB3300">
        <v>29</v>
      </c>
      <c r="AC3300">
        <v>-18.1995</v>
      </c>
      <c r="AD3300">
        <v>-1.11256413281999</v>
      </c>
      <c r="AE3300">
        <v>-12.2288999999999</v>
      </c>
      <c r="AF3300">
        <v>11.4361254583064</v>
      </c>
      <c r="AG3300">
        <v>-1.11256413281999</v>
      </c>
      <c r="AH3300">
        <v>18.641801414265199</v>
      </c>
      <c r="AI3300">
        <v>92.912208703742607</v>
      </c>
      <c r="AJ3300">
        <v>58.4722681230798</v>
      </c>
      <c r="AK3300">
        <v>21.898390909303401</v>
      </c>
      <c r="AL3300">
        <v>80.065909452886501</v>
      </c>
      <c r="AM3300">
        <v>70.202662637465593</v>
      </c>
      <c r="AN3300">
        <v>0.99999998686024905</v>
      </c>
    </row>
    <row r="3301" spans="1:40" x14ac:dyDescent="0.25">
      <c r="A3301" t="str">
        <f>"20190303162615676"</f>
        <v>20190303162615676</v>
      </c>
      <c r="B3301" t="str">
        <f>"1551601575666868"</f>
        <v>1551601575666868</v>
      </c>
      <c r="C3301" t="s">
        <v>40</v>
      </c>
      <c r="D3301">
        <v>5.0460949999999896</v>
      </c>
      <c r="E3301">
        <v>0.58803760000000005</v>
      </c>
      <c r="F3301" t="s">
        <v>47</v>
      </c>
      <c r="G3301">
        <v>-207.6738</v>
      </c>
      <c r="H3301" s="1">
        <v>-7.8640490000000003E-6</v>
      </c>
      <c r="I3301">
        <v>145.16309999999999</v>
      </c>
      <c r="J3301">
        <v>-189.0864</v>
      </c>
      <c r="K3301">
        <v>1.1125149999999999</v>
      </c>
      <c r="L3301">
        <v>157.38149999999999</v>
      </c>
      <c r="M3301">
        <v>-0.4233171</v>
      </c>
      <c r="N3301">
        <v>-9.3274970000000006E-3</v>
      </c>
      <c r="O3301">
        <v>-0.90593360000000001</v>
      </c>
      <c r="P3301">
        <v>-0.69161539999999999</v>
      </c>
      <c r="Q3301">
        <v>0.17041289999999901</v>
      </c>
      <c r="R3301">
        <v>-0.70187469999999996</v>
      </c>
      <c r="S3301">
        <v>-2.617264</v>
      </c>
      <c r="T3301">
        <v>-0.15579889999999999</v>
      </c>
      <c r="U3301">
        <v>-1.7397</v>
      </c>
      <c r="V3301">
        <v>0.33287050000000001</v>
      </c>
      <c r="W3301">
        <v>0.17263829999999999</v>
      </c>
      <c r="X3301">
        <v>0.92703469999999999</v>
      </c>
      <c r="Y3301">
        <v>0.51921079999999997</v>
      </c>
      <c r="Z3301">
        <v>4.3399449999999999E-2</v>
      </c>
      <c r="AA3301">
        <v>0.85354359999999996</v>
      </c>
      <c r="AB3301">
        <v>29</v>
      </c>
      <c r="AC3301">
        <v>-18.587399999999999</v>
      </c>
      <c r="AD3301">
        <v>-1.1125228640489999</v>
      </c>
      <c r="AE3301">
        <v>-12.218400000000001</v>
      </c>
      <c r="AF3301">
        <v>11.638086774355401</v>
      </c>
      <c r="AG3301">
        <v>-1.1125228640489999</v>
      </c>
      <c r="AH3301">
        <v>18.890990362977099</v>
      </c>
      <c r="AI3301">
        <v>92.870428128613099</v>
      </c>
      <c r="AJ3301">
        <v>58.364211656939602</v>
      </c>
      <c r="AK3301">
        <v>22.2160367254052</v>
      </c>
      <c r="AL3301">
        <v>80.058749476814697</v>
      </c>
      <c r="AM3301">
        <v>70.248301024703593</v>
      </c>
      <c r="AN3301">
        <v>1.00000004370061</v>
      </c>
    </row>
    <row r="3302" spans="1:40" x14ac:dyDescent="0.25">
      <c r="A3302" t="str">
        <f>"20190303162615701"</f>
        <v>20190303162615701</v>
      </c>
      <c r="B3302" t="str">
        <f>"1551601575697123"</f>
        <v>1551601575697123</v>
      </c>
      <c r="C3302" t="s">
        <v>40</v>
      </c>
      <c r="D3302">
        <v>4.9910389999999998</v>
      </c>
      <c r="E3302">
        <v>0.58929529999999997</v>
      </c>
      <c r="F3302" t="s">
        <v>47</v>
      </c>
      <c r="G3302">
        <v>-207.38409999999999</v>
      </c>
      <c r="H3302" s="1">
        <v>-8.0719460000000006E-6</v>
      </c>
      <c r="I3302">
        <v>145.4639</v>
      </c>
      <c r="J3302">
        <v>-189.22290000000001</v>
      </c>
      <c r="K3302">
        <v>1.1124639999999999</v>
      </c>
      <c r="L3302">
        <v>157.11519999999999</v>
      </c>
      <c r="M3302">
        <v>-0.43303219999999998</v>
      </c>
      <c r="N3302">
        <v>-9.2345659999999996E-3</v>
      </c>
      <c r="O3302">
        <v>-0.90133129999999995</v>
      </c>
      <c r="P3302">
        <v>-0.69847099999999995</v>
      </c>
      <c r="Q3302">
        <v>0.1711743</v>
      </c>
      <c r="R3302">
        <v>-0.69486530000000002</v>
      </c>
      <c r="S3302">
        <v>-2.635284</v>
      </c>
      <c r="T3302">
        <v>-0.16022899999999901</v>
      </c>
      <c r="U3302">
        <v>-1.716415</v>
      </c>
      <c r="V3302">
        <v>0.33211279999999999</v>
      </c>
      <c r="W3302">
        <v>0.1732976</v>
      </c>
      <c r="X3302">
        <v>0.92718339999999999</v>
      </c>
      <c r="Y3302">
        <v>0.5179378</v>
      </c>
      <c r="Z3302">
        <v>4.4826499999999998E-2</v>
      </c>
      <c r="AA3302">
        <v>0.85424299999999997</v>
      </c>
      <c r="AB3302">
        <v>29</v>
      </c>
      <c r="AC3302">
        <v>-18.161199999999901</v>
      </c>
      <c r="AD3302">
        <v>-1.112472071946</v>
      </c>
      <c r="AE3302">
        <v>-11.6512999999999</v>
      </c>
      <c r="AF3302">
        <v>11.2943290370845</v>
      </c>
      <c r="AG3302">
        <v>-1.112472071946</v>
      </c>
      <c r="AH3302">
        <v>18.318153696232599</v>
      </c>
      <c r="AI3302">
        <v>92.959239765697006</v>
      </c>
      <c r="AJ3302">
        <v>58.3434770091838</v>
      </c>
      <c r="AK3302">
        <v>21.548879723725602</v>
      </c>
      <c r="AL3302">
        <v>80.020395987279201</v>
      </c>
      <c r="AM3302">
        <v>70.292711073721506</v>
      </c>
      <c r="AN3302">
        <v>1.00000001366258</v>
      </c>
    </row>
    <row r="3303" spans="1:40" x14ac:dyDescent="0.25">
      <c r="A3303" t="str">
        <f>"20190303162615722"</f>
        <v>20190303162615722</v>
      </c>
      <c r="B3303" t="str">
        <f>"1551601575716644"</f>
        <v>1551601575716644</v>
      </c>
      <c r="C3303" t="s">
        <v>40</v>
      </c>
      <c r="D3303">
        <v>5.0190590000000004</v>
      </c>
      <c r="E3303">
        <v>0.58999840000000003</v>
      </c>
      <c r="F3303" t="s">
        <v>47</v>
      </c>
      <c r="G3303">
        <v>-207.17939999999999</v>
      </c>
      <c r="H3303" s="1">
        <v>-8.2367160000000007E-6</v>
      </c>
      <c r="I3303">
        <v>145.74420000000001</v>
      </c>
      <c r="J3303">
        <v>-189.36</v>
      </c>
      <c r="K3303">
        <v>1.1124179999999999</v>
      </c>
      <c r="L3303">
        <v>156.85470000000001</v>
      </c>
      <c r="M3303">
        <v>-0.44253589999999998</v>
      </c>
      <c r="N3303">
        <v>-9.1548659999999994E-3</v>
      </c>
      <c r="O3303">
        <v>-0.89670399999999995</v>
      </c>
      <c r="P3303">
        <v>-0.70606269999999904</v>
      </c>
      <c r="Q3303">
        <v>0.17156399999999999</v>
      </c>
      <c r="R3303">
        <v>-0.68705280000000002</v>
      </c>
      <c r="S3303">
        <v>-2.6598359999999999</v>
      </c>
      <c r="T3303">
        <v>-0.16478679999999901</v>
      </c>
      <c r="U3303">
        <v>-1.6843410000000001</v>
      </c>
      <c r="V3303">
        <v>0.33256520000000001</v>
      </c>
      <c r="W3303">
        <v>0.17356959999999999</v>
      </c>
      <c r="X3303">
        <v>0.92697039999999997</v>
      </c>
      <c r="Y3303">
        <v>0.51976259999999996</v>
      </c>
      <c r="Z3303">
        <v>4.630451E-2</v>
      </c>
      <c r="AA3303">
        <v>0.85305489999999995</v>
      </c>
      <c r="AB3303">
        <v>29</v>
      </c>
      <c r="AC3303">
        <v>-17.819399999999899</v>
      </c>
      <c r="AD3303">
        <v>-1.112426236716</v>
      </c>
      <c r="AE3303">
        <v>-11.1105</v>
      </c>
      <c r="AF3303">
        <v>11.031439111752499</v>
      </c>
      <c r="AG3303">
        <v>-1.112426236716</v>
      </c>
      <c r="AH3303">
        <v>17.799353157628801</v>
      </c>
      <c r="AI3303">
        <v>93.040858828528698</v>
      </c>
      <c r="AJ3303">
        <v>58.210760584167701</v>
      </c>
      <c r="AK3303">
        <v>20.970148159668</v>
      </c>
      <c r="AL3303">
        <v>80.004572300493905</v>
      </c>
      <c r="AM3303">
        <v>70.263753797422098</v>
      </c>
      <c r="AN3303">
        <v>1.00000007038567</v>
      </c>
    </row>
    <row r="3304" spans="1:40" x14ac:dyDescent="0.25">
      <c r="A3304" t="str">
        <f>"20190303162615749"</f>
        <v>20190303162615749</v>
      </c>
      <c r="B3304" t="str">
        <f>"1551601575737140"</f>
        <v>1551601575737140</v>
      </c>
      <c r="C3304" t="s">
        <v>40</v>
      </c>
      <c r="D3304">
        <v>5.0421779999999998</v>
      </c>
      <c r="E3304">
        <v>0.59055599999999997</v>
      </c>
      <c r="F3304" t="s">
        <v>47</v>
      </c>
      <c r="G3304">
        <v>-207.36770000000001</v>
      </c>
      <c r="H3304" s="1">
        <v>-8.1593330000000002E-6</v>
      </c>
      <c r="I3304">
        <v>145.76750000000001</v>
      </c>
      <c r="J3304">
        <v>-189.5309</v>
      </c>
      <c r="K3304">
        <v>1.1123479999999999</v>
      </c>
      <c r="L3304">
        <v>156.53899999999999</v>
      </c>
      <c r="M3304">
        <v>-0.45405499999999999</v>
      </c>
      <c r="N3304">
        <v>-9.0719500000000005E-3</v>
      </c>
      <c r="O3304">
        <v>-0.89092769999999999</v>
      </c>
      <c r="P3304">
        <v>-0.71555780000000002</v>
      </c>
      <c r="Q3304">
        <v>0.17074339999999999</v>
      </c>
      <c r="R3304">
        <v>-0.67736569999999996</v>
      </c>
      <c r="S3304">
        <v>-2.6822050000000002</v>
      </c>
      <c r="T3304">
        <v>-0.16569329999999999</v>
      </c>
      <c r="U3304">
        <v>-1.651413</v>
      </c>
      <c r="V3304">
        <v>0.33343469999999997</v>
      </c>
      <c r="W3304">
        <v>0.17261099999999999</v>
      </c>
      <c r="X3304">
        <v>0.92683700000000002</v>
      </c>
      <c r="Y3304">
        <v>0.51952140000000002</v>
      </c>
      <c r="Z3304">
        <v>4.657944E-2</v>
      </c>
      <c r="AA3304">
        <v>0.85318689999999997</v>
      </c>
      <c r="AB3304">
        <v>29</v>
      </c>
      <c r="AC3304">
        <v>-17.8368</v>
      </c>
      <c r="AD3304">
        <v>-1.11235615933299</v>
      </c>
      <c r="AE3304">
        <v>-10.7714999999999</v>
      </c>
      <c r="AF3304">
        <v>10.969634449777701</v>
      </c>
      <c r="AG3304">
        <v>-1.11235615933299</v>
      </c>
      <c r="AH3304">
        <v>17.645952302834299</v>
      </c>
      <c r="AI3304">
        <v>93.064465810830796</v>
      </c>
      <c r="AJ3304">
        <v>58.132783494860298</v>
      </c>
      <c r="AK3304">
        <v>20.807446956819501</v>
      </c>
      <c r="AL3304">
        <v>80.060337459441897</v>
      </c>
      <c r="AM3304">
        <v>70.213526643019307</v>
      </c>
      <c r="AN3304">
        <v>1.0000000405270399</v>
      </c>
    </row>
    <row r="3305" spans="1:40" x14ac:dyDescent="0.25">
      <c r="A3305" t="str">
        <f>"20190303162615768"</f>
        <v>20190303162615768</v>
      </c>
      <c r="B3305" t="str">
        <f>"1551601575757636"</f>
        <v>1551601575757636</v>
      </c>
      <c r="C3305" t="s">
        <v>40</v>
      </c>
      <c r="D3305">
        <v>5.0994339999999996</v>
      </c>
      <c r="E3305">
        <v>0.59086369999999999</v>
      </c>
      <c r="F3305" t="s">
        <v>47</v>
      </c>
      <c r="G3305">
        <v>-207.24090000000001</v>
      </c>
      <c r="H3305" s="1">
        <v>-8.2771629999999997E-6</v>
      </c>
      <c r="I3305">
        <v>146.00069999999999</v>
      </c>
      <c r="J3305">
        <v>-189.64590000000001</v>
      </c>
      <c r="K3305">
        <v>1.112293</v>
      </c>
      <c r="L3305">
        <v>156.33150000000001</v>
      </c>
      <c r="M3305">
        <v>-0.4616265</v>
      </c>
      <c r="N3305">
        <v>-9.0250520000000004E-3</v>
      </c>
      <c r="O3305">
        <v>-0.8870287</v>
      </c>
      <c r="P3305">
        <v>-0.72151989999999999</v>
      </c>
      <c r="Q3305">
        <v>0.1689071</v>
      </c>
      <c r="R3305">
        <v>-0.67147590000000001</v>
      </c>
      <c r="S3305">
        <v>-2.70784</v>
      </c>
      <c r="T3305">
        <v>-0.17007800000000001</v>
      </c>
      <c r="U3305">
        <v>-1.6112820000000001</v>
      </c>
      <c r="V3305">
        <v>0.33350180000000001</v>
      </c>
      <c r="W3305">
        <v>0.170702399999999</v>
      </c>
      <c r="X3305">
        <v>0.92716620000000005</v>
      </c>
      <c r="Y3305">
        <v>0.52506009999999903</v>
      </c>
      <c r="Z3305">
        <v>4.8069050000000002E-2</v>
      </c>
      <c r="AA3305">
        <v>0.84970659999999898</v>
      </c>
      <c r="AB3305">
        <v>29</v>
      </c>
      <c r="AC3305">
        <v>-17.594999999999999</v>
      </c>
      <c r="AD3305">
        <v>-1.1123012771630001</v>
      </c>
      <c r="AE3305">
        <v>-10.3308</v>
      </c>
      <c r="AF3305">
        <v>10.806622444956</v>
      </c>
      <c r="AG3305">
        <v>-1.1123012771630001</v>
      </c>
      <c r="AH3305">
        <v>17.235513443221201</v>
      </c>
      <c r="AI3305">
        <v>93.129633331855501</v>
      </c>
      <c r="AJ3305">
        <v>57.912394081013801</v>
      </c>
      <c r="AK3305">
        <v>20.3735913979462</v>
      </c>
      <c r="AL3305">
        <v>80.171339037975002</v>
      </c>
      <c r="AM3305">
        <v>70.216335306468693</v>
      </c>
      <c r="AN3305">
        <v>0.99999996119571899</v>
      </c>
    </row>
    <row r="3306" spans="1:40" x14ac:dyDescent="0.25">
      <c r="A3306" t="str">
        <f>"20190303162615788"</f>
        <v>20190303162615788</v>
      </c>
      <c r="B3306" t="str">
        <f>"1551601575777156"</f>
        <v>1551601575777156</v>
      </c>
      <c r="C3306" t="s">
        <v>40</v>
      </c>
      <c r="D3306">
        <v>5.0680040000000002</v>
      </c>
      <c r="E3306">
        <v>0.59104000000000001</v>
      </c>
      <c r="F3306" t="s">
        <v>47</v>
      </c>
      <c r="G3306">
        <v>-206.5659</v>
      </c>
      <c r="H3306" s="1">
        <v>-8.7025059999999999E-6</v>
      </c>
      <c r="I3306">
        <v>146.47819999999999</v>
      </c>
      <c r="J3306">
        <v>-189.78319999999999</v>
      </c>
      <c r="K3306">
        <v>1.1122369999999999</v>
      </c>
      <c r="L3306">
        <v>156.08940000000001</v>
      </c>
      <c r="M3306">
        <v>-0.47047689999999998</v>
      </c>
      <c r="N3306">
        <v>-8.9779400000000002E-3</v>
      </c>
      <c r="O3306">
        <v>-0.88236669999999995</v>
      </c>
      <c r="P3306">
        <v>-0.72840930000000004</v>
      </c>
      <c r="Q3306">
        <v>0.16786039999999999</v>
      </c>
      <c r="R3306">
        <v>-0.66426099999999999</v>
      </c>
      <c r="S3306">
        <v>-2.7236940000000001</v>
      </c>
      <c r="T3306">
        <v>-0.1790525</v>
      </c>
      <c r="U3306">
        <v>-1.586136</v>
      </c>
      <c r="V3306">
        <v>0.33366689999999999</v>
      </c>
      <c r="W3306">
        <v>0.1695709</v>
      </c>
      <c r="X3306">
        <v>0.92731450000000004</v>
      </c>
      <c r="Y3306">
        <v>0.5244238</v>
      </c>
      <c r="Z3306">
        <v>5.0908189999999999E-2</v>
      </c>
      <c r="AA3306">
        <v>0.84993419999999897</v>
      </c>
      <c r="AB3306">
        <v>29</v>
      </c>
      <c r="AC3306">
        <v>-16.782699999999998</v>
      </c>
      <c r="AD3306">
        <v>-1.112245702506</v>
      </c>
      <c r="AE3306">
        <v>-9.6112000000000197</v>
      </c>
      <c r="AF3306">
        <v>10.253150523133099</v>
      </c>
      <c r="AG3306">
        <v>-1.112245702506</v>
      </c>
      <c r="AH3306">
        <v>16.323147028803699</v>
      </c>
      <c r="AI3306">
        <v>93.3023300010572</v>
      </c>
      <c r="AJ3306">
        <v>57.865605582608502</v>
      </c>
      <c r="AK3306">
        <v>19.308270639203101</v>
      </c>
      <c r="AL3306">
        <v>80.237129134704801</v>
      </c>
      <c r="AM3306">
        <v>70.210221525298806</v>
      </c>
      <c r="AN3306">
        <v>1.0000000360963299</v>
      </c>
    </row>
    <row r="3307" spans="1:40" x14ac:dyDescent="0.25">
      <c r="A3307" t="str">
        <f>"20190303162615812"</f>
        <v>20190303162615812</v>
      </c>
      <c r="B3307" t="str">
        <f>"1551601575806436"</f>
        <v>1551601575806436</v>
      </c>
      <c r="C3307" t="s">
        <v>40</v>
      </c>
      <c r="D3307">
        <v>5.1158140000000003</v>
      </c>
      <c r="E3307">
        <v>0.59124239999999995</v>
      </c>
      <c r="F3307" t="s">
        <v>47</v>
      </c>
      <c r="G3307">
        <v>-206.3399</v>
      </c>
      <c r="H3307" s="1">
        <v>-8.8579639999999903E-6</v>
      </c>
      <c r="I3307">
        <v>146.6874</v>
      </c>
      <c r="J3307">
        <v>-189.9325</v>
      </c>
      <c r="K3307">
        <v>1.1121719999999999</v>
      </c>
      <c r="L3307">
        <v>155.8321</v>
      </c>
      <c r="M3307">
        <v>-0.47989959999999998</v>
      </c>
      <c r="N3307">
        <v>-8.9365769999999994E-3</v>
      </c>
      <c r="O3307">
        <v>-0.87727790000000005</v>
      </c>
      <c r="P3307">
        <v>-0.73583809999999905</v>
      </c>
      <c r="Q3307">
        <v>0.1688877</v>
      </c>
      <c r="R3307">
        <v>-0.65575899999999998</v>
      </c>
      <c r="S3307">
        <v>-2.7413639999999999</v>
      </c>
      <c r="T3307">
        <v>-0.18415870000000001</v>
      </c>
      <c r="U3307">
        <v>-1.5567169999999999</v>
      </c>
      <c r="V3307">
        <v>0.33434190000000003</v>
      </c>
      <c r="W3307">
        <v>0.1704966</v>
      </c>
      <c r="X3307">
        <v>0.92690150000000004</v>
      </c>
      <c r="Y3307">
        <v>0.52447929999999998</v>
      </c>
      <c r="Z3307">
        <v>5.2496309999999997E-2</v>
      </c>
      <c r="AA3307">
        <v>0.84980330000000004</v>
      </c>
      <c r="AB3307">
        <v>29</v>
      </c>
      <c r="AC3307">
        <v>-16.4073999999999</v>
      </c>
      <c r="AD3307">
        <v>-1.112180857964</v>
      </c>
      <c r="AE3307">
        <v>-9.1447000000000003</v>
      </c>
      <c r="AF3307">
        <v>9.9707555843667599</v>
      </c>
      <c r="AG3307">
        <v>-1.112180857964</v>
      </c>
      <c r="AH3307">
        <v>15.841445714507101</v>
      </c>
      <c r="AI3307">
        <v>93.400368003500503</v>
      </c>
      <c r="AJ3307">
        <v>57.813301079911</v>
      </c>
      <c r="AK3307">
        <v>18.751115047102601</v>
      </c>
      <c r="AL3307">
        <v>80.183306261521693</v>
      </c>
      <c r="AM3307">
        <v>70.165159525949093</v>
      </c>
      <c r="AN3307">
        <v>0.99999999370471004</v>
      </c>
    </row>
    <row r="3308" spans="1:40" x14ac:dyDescent="0.25">
      <c r="A3308" t="str">
        <f>"20190303162615845"</f>
        <v>20190303162615845</v>
      </c>
      <c r="B3308" t="str">
        <f>"1551601575836692"</f>
        <v>1551601575836692</v>
      </c>
      <c r="C3308" t="s">
        <v>40</v>
      </c>
      <c r="D3308">
        <v>5.1313879999999896</v>
      </c>
      <c r="E3308">
        <v>0.59131440000000002</v>
      </c>
      <c r="F3308" t="s">
        <v>47</v>
      </c>
      <c r="G3308">
        <v>-206.67910000000001</v>
      </c>
      <c r="H3308" s="1">
        <v>-8.6817909999999992E-6</v>
      </c>
      <c r="I3308">
        <v>146.5899</v>
      </c>
      <c r="J3308">
        <v>-190.16249999999999</v>
      </c>
      <c r="K3308">
        <v>1.112077</v>
      </c>
      <c r="L3308">
        <v>155.4479</v>
      </c>
      <c r="M3308">
        <v>-0.49403200000000003</v>
      </c>
      <c r="N3308">
        <v>-8.8837440000000007E-3</v>
      </c>
      <c r="O3308">
        <v>-0.86939829999999996</v>
      </c>
      <c r="P3308">
        <v>-0.74659109999999995</v>
      </c>
      <c r="Q3308">
        <v>0.1714127</v>
      </c>
      <c r="R3308">
        <v>-0.6428218</v>
      </c>
      <c r="S3308">
        <v>-2.7611080000000001</v>
      </c>
      <c r="T3308">
        <v>-0.18337110000000001</v>
      </c>
      <c r="U3308">
        <v>-1.523819</v>
      </c>
      <c r="V3308">
        <v>0.33510709999999999</v>
      </c>
      <c r="W3308">
        <v>0.1728712</v>
      </c>
      <c r="X3308">
        <v>0.92618509999999998</v>
      </c>
      <c r="Y3308">
        <v>0.52106140000000001</v>
      </c>
      <c r="Z3308">
        <v>5.2071190000000003E-2</v>
      </c>
      <c r="AA3308">
        <v>0.85192939999999995</v>
      </c>
      <c r="AB3308">
        <v>29</v>
      </c>
      <c r="AC3308">
        <v>-16.5166</v>
      </c>
      <c r="AD3308">
        <v>-1.1120856817910001</v>
      </c>
      <c r="AE3308">
        <v>-8.8580000000000005</v>
      </c>
      <c r="AF3308">
        <v>9.9487349644110203</v>
      </c>
      <c r="AG3308">
        <v>-1.1120856817910001</v>
      </c>
      <c r="AH3308">
        <v>15.8058357887734</v>
      </c>
      <c r="AI3308">
        <v>93.407681835643004</v>
      </c>
      <c r="AJ3308">
        <v>57.812281736149998</v>
      </c>
      <c r="AK3308">
        <v>18.7093160467562</v>
      </c>
      <c r="AL3308">
        <v>80.045201457020795</v>
      </c>
      <c r="AM3308">
        <v>70.109146919915801</v>
      </c>
      <c r="AN3308">
        <v>1.00000002986092</v>
      </c>
    </row>
    <row r="3309" spans="1:40" x14ac:dyDescent="0.25">
      <c r="A3309" t="str">
        <f>"20190303162615869"</f>
        <v>20190303162615869</v>
      </c>
      <c r="B3309" t="str">
        <f>"1551601575857187"</f>
        <v>1551601575857187</v>
      </c>
      <c r="C3309" t="s">
        <v>40</v>
      </c>
      <c r="D3309">
        <v>5.1519360000000001</v>
      </c>
      <c r="E3309">
        <v>0.59127269999999998</v>
      </c>
      <c r="F3309" t="s">
        <v>47</v>
      </c>
      <c r="G3309">
        <v>-207.57929999999999</v>
      </c>
      <c r="H3309" s="1">
        <v>-8.1881110000000005E-6</v>
      </c>
      <c r="I3309">
        <v>146.2319</v>
      </c>
      <c r="J3309">
        <v>-190.32919999999999</v>
      </c>
      <c r="K3309">
        <v>1.1120000000000001</v>
      </c>
      <c r="L3309">
        <v>155.178</v>
      </c>
      <c r="M3309">
        <v>-0.50400599999999995</v>
      </c>
      <c r="N3309">
        <v>-8.8509950000000004E-3</v>
      </c>
      <c r="O3309">
        <v>-0.86365479999999994</v>
      </c>
      <c r="P3309">
        <v>-0.75417829999999997</v>
      </c>
      <c r="Q3309">
        <v>0.17179459999999999</v>
      </c>
      <c r="R3309">
        <v>-0.63379969999999997</v>
      </c>
      <c r="S3309">
        <v>-2.7886350000000002</v>
      </c>
      <c r="T3309">
        <v>-0.17805789999999999</v>
      </c>
      <c r="U3309">
        <v>-1.4756009999999999</v>
      </c>
      <c r="V3309">
        <v>0.335545599999999</v>
      </c>
      <c r="W3309">
        <v>0.17315249999999999</v>
      </c>
      <c r="X3309">
        <v>0.92597370000000001</v>
      </c>
      <c r="Y3309">
        <v>0.52631019999999995</v>
      </c>
      <c r="Z3309">
        <v>5.0399050000000001E-2</v>
      </c>
      <c r="AA3309">
        <v>0.84879769999999899</v>
      </c>
      <c r="AB3309">
        <v>29</v>
      </c>
      <c r="AC3309">
        <v>-17.2501</v>
      </c>
      <c r="AD3309">
        <v>-1.112008188111</v>
      </c>
      <c r="AE3309">
        <v>-8.9460999999999995</v>
      </c>
      <c r="AF3309">
        <v>10.3557375233801</v>
      </c>
      <c r="AG3309">
        <v>-1.112008188111</v>
      </c>
      <c r="AH3309">
        <v>16.367538813753601</v>
      </c>
      <c r="AI3309">
        <v>93.2859337105279</v>
      </c>
      <c r="AJ3309">
        <v>57.678473589455898</v>
      </c>
      <c r="AK3309">
        <v>19.400365684267399</v>
      </c>
      <c r="AL3309">
        <v>80.028836732018604</v>
      </c>
      <c r="AM3309">
        <v>70.080975060917098</v>
      </c>
      <c r="AN3309">
        <v>0.999999965513649</v>
      </c>
    </row>
    <row r="3310" spans="1:40" x14ac:dyDescent="0.25">
      <c r="A3310" t="str">
        <f>"20190303162615889"</f>
        <v>20190303162615889</v>
      </c>
      <c r="B3310" t="str">
        <f>"1551601575876377"</f>
        <v>1551601575876377</v>
      </c>
      <c r="C3310" t="s">
        <v>40</v>
      </c>
      <c r="D3310">
        <v>5.1401250000000003</v>
      </c>
      <c r="E3310">
        <v>0.59115669999999898</v>
      </c>
      <c r="F3310" t="s">
        <v>47</v>
      </c>
      <c r="G3310">
        <v>-207.75489999999999</v>
      </c>
      <c r="H3310" s="1">
        <v>-8.1071450000000005E-6</v>
      </c>
      <c r="I3310">
        <v>146.22020000000001</v>
      </c>
      <c r="J3310">
        <v>-190.47389999999999</v>
      </c>
      <c r="K3310">
        <v>1.1119300000000001</v>
      </c>
      <c r="L3310">
        <v>154.94929999999999</v>
      </c>
      <c r="M3310">
        <v>-0.51248479999999996</v>
      </c>
      <c r="N3310">
        <v>-8.8270339999999992E-3</v>
      </c>
      <c r="O3310">
        <v>-0.85865089999999999</v>
      </c>
      <c r="P3310">
        <v>-0.76119289999999995</v>
      </c>
      <c r="Q3310">
        <v>0.17119970000000001</v>
      </c>
      <c r="R3310">
        <v>-0.62552069999999904</v>
      </c>
      <c r="S3310">
        <v>-2.8062740000000002</v>
      </c>
      <c r="T3310">
        <v>-0.179080399999999</v>
      </c>
      <c r="U3310">
        <v>-1.442596</v>
      </c>
      <c r="V3310">
        <v>0.3366769</v>
      </c>
      <c r="W3310">
        <v>0.1724589</v>
      </c>
      <c r="X3310">
        <v>0.92569250000000003</v>
      </c>
      <c r="Y3310">
        <v>0.52799209999999996</v>
      </c>
      <c r="Z3310">
        <v>5.0689749999999999E-2</v>
      </c>
      <c r="AA3310">
        <v>0.84773509999999996</v>
      </c>
      <c r="AB3310">
        <v>29</v>
      </c>
      <c r="AC3310">
        <v>-17.280999999999999</v>
      </c>
      <c r="AD3310">
        <v>-1.1119381071450001</v>
      </c>
      <c r="AE3310">
        <v>-8.7290999999999794</v>
      </c>
      <c r="AF3310">
        <v>10.331141116787601</v>
      </c>
      <c r="AG3310">
        <v>-1.1119381071450001</v>
      </c>
      <c r="AH3310">
        <v>16.298375375585401</v>
      </c>
      <c r="AI3310">
        <v>93.297890280642903</v>
      </c>
      <c r="AJ3310">
        <v>57.6303903638469</v>
      </c>
      <c r="AK3310">
        <v>19.328888302553601</v>
      </c>
      <c r="AL3310">
        <v>80.069184479958494</v>
      </c>
      <c r="AM3310">
        <v>70.013534546246404</v>
      </c>
      <c r="AN3310">
        <v>1.00000000586953</v>
      </c>
    </row>
    <row r="3311" spans="1:40" x14ac:dyDescent="0.25">
      <c r="A3311" t="str">
        <f>"20190303162615913"</f>
        <v>20190303162615913</v>
      </c>
      <c r="B3311" t="str">
        <f>"1551601575906632"</f>
        <v>1551601575906632</v>
      </c>
      <c r="C3311" t="s">
        <v>40</v>
      </c>
      <c r="D3311">
        <v>5.1371919999999998</v>
      </c>
      <c r="E3311">
        <v>0.59095839999999999</v>
      </c>
      <c r="F3311" t="s">
        <v>47</v>
      </c>
      <c r="G3311">
        <v>-207.619</v>
      </c>
      <c r="H3311" s="1">
        <v>-8.206096E-6</v>
      </c>
      <c r="I3311">
        <v>146.36680000000001</v>
      </c>
      <c r="J3311">
        <v>-190.64949999999999</v>
      </c>
      <c r="K3311">
        <v>1.1118479999999999</v>
      </c>
      <c r="L3311">
        <v>154.6781</v>
      </c>
      <c r="M3311">
        <v>-0.52257529999999996</v>
      </c>
      <c r="N3311">
        <v>-8.8033980000000005E-3</v>
      </c>
      <c r="O3311">
        <v>-0.85254779999999997</v>
      </c>
      <c r="P3311">
        <v>-0.77003100000000002</v>
      </c>
      <c r="Q3311">
        <v>0.1705564</v>
      </c>
      <c r="R3311">
        <v>-0.61478719999999998</v>
      </c>
      <c r="S3311">
        <v>-2.821625</v>
      </c>
      <c r="T3311">
        <v>-0.1829945</v>
      </c>
      <c r="U3311">
        <v>-1.412445</v>
      </c>
      <c r="V3311">
        <v>0.338879299999999</v>
      </c>
      <c r="W3311">
        <v>0.17168329999999901</v>
      </c>
      <c r="X3311">
        <v>0.92503279999999999</v>
      </c>
      <c r="Y3311">
        <v>0.52700939999999996</v>
      </c>
      <c r="Z3311">
        <v>5.1819320000000002E-2</v>
      </c>
      <c r="AA3311">
        <v>0.84827819999999898</v>
      </c>
      <c r="AB3311">
        <v>29</v>
      </c>
      <c r="AC3311">
        <v>-16.9695</v>
      </c>
      <c r="AD3311">
        <v>-1.111856206096</v>
      </c>
      <c r="AE3311">
        <v>-8.3112999999999797</v>
      </c>
      <c r="AF3311">
        <v>10.089487208143799</v>
      </c>
      <c r="AG3311">
        <v>-1.111856206096</v>
      </c>
      <c r="AH3311">
        <v>15.899189265098199</v>
      </c>
      <c r="AI3311">
        <v>93.379161750420295</v>
      </c>
      <c r="AJ3311">
        <v>57.601143529808603</v>
      </c>
      <c r="AK3311">
        <v>18.863143842789</v>
      </c>
      <c r="AL3311">
        <v>80.1142959701167</v>
      </c>
      <c r="AM3311">
        <v>69.880044766972105</v>
      </c>
      <c r="AN3311">
        <v>1.0000000082716001</v>
      </c>
    </row>
    <row r="3312" spans="1:40" x14ac:dyDescent="0.25">
      <c r="A3312" t="str">
        <f>"20190303162615936"</f>
        <v>20190303162615936</v>
      </c>
      <c r="B3312" t="str">
        <f>"1551601575927128"</f>
        <v>1551601575927128</v>
      </c>
      <c r="C3312" t="s">
        <v>40</v>
      </c>
      <c r="D3312">
        <v>4.8802430000000001</v>
      </c>
      <c r="E3312">
        <v>0.590966199999999</v>
      </c>
      <c r="F3312" t="s">
        <v>47</v>
      </c>
      <c r="G3312">
        <v>-207.32910000000001</v>
      </c>
      <c r="H3312" s="1">
        <v>-8.3965979999999997E-6</v>
      </c>
      <c r="I3312">
        <v>146.60130000000001</v>
      </c>
      <c r="J3312">
        <v>-190.82060000000001</v>
      </c>
      <c r="K3312">
        <v>1.1117680000000001</v>
      </c>
      <c r="L3312">
        <v>154.4203</v>
      </c>
      <c r="M3312">
        <v>-0.53219300000000003</v>
      </c>
      <c r="N3312">
        <v>-8.7854730000000002E-3</v>
      </c>
      <c r="O3312">
        <v>-0.84657749999999998</v>
      </c>
      <c r="P3312">
        <v>-0.77853930000000005</v>
      </c>
      <c r="Q3312">
        <v>0.16996810000000001</v>
      </c>
      <c r="R3312">
        <v>-0.60414230000000002</v>
      </c>
      <c r="S3312">
        <v>-2.8399510000000001</v>
      </c>
      <c r="T3312">
        <v>-0.1893106</v>
      </c>
      <c r="U3312">
        <v>-1.375183</v>
      </c>
      <c r="V3312">
        <v>0.34125220000000001</v>
      </c>
      <c r="W3312">
        <v>0.17096639999999999</v>
      </c>
      <c r="X3312">
        <v>0.92429289999999997</v>
      </c>
      <c r="Y3312">
        <v>0.52844709999999995</v>
      </c>
      <c r="Z3312">
        <v>5.3746889999999999E-2</v>
      </c>
      <c r="AA3312">
        <v>0.84726319999999999</v>
      </c>
      <c r="AB3312">
        <v>29</v>
      </c>
      <c r="AC3312">
        <v>-16.508499999999898</v>
      </c>
      <c r="AD3312">
        <v>-1.1117763965979901</v>
      </c>
      <c r="AE3312">
        <v>-7.8189999999999804</v>
      </c>
      <c r="AF3312">
        <v>9.7786618418147793</v>
      </c>
      <c r="AG3312">
        <v>-1.1117763965979901</v>
      </c>
      <c r="AH3312">
        <v>15.348833223614999</v>
      </c>
      <c r="AI3312">
        <v>93.495825108491701</v>
      </c>
      <c r="AJ3312">
        <v>57.498999892207401</v>
      </c>
      <c r="AK3312">
        <v>18.233073122733501</v>
      </c>
      <c r="AL3312">
        <v>80.155987359069599</v>
      </c>
      <c r="AM3312">
        <v>69.735676068247798</v>
      </c>
      <c r="AN3312">
        <v>0.99999996946210401</v>
      </c>
    </row>
    <row r="3313" spans="1:40" x14ac:dyDescent="0.25">
      <c r="A3313" t="str">
        <f>"20190303162615959"</f>
        <v>20190303162615959</v>
      </c>
      <c r="B3313" t="str">
        <f>"1551601575947624"</f>
        <v>1551601575947624</v>
      </c>
      <c r="C3313" t="s">
        <v>40</v>
      </c>
      <c r="D3313">
        <v>4.9510350000000001</v>
      </c>
      <c r="E3313">
        <v>0.59103399999999995</v>
      </c>
      <c r="F3313" t="s">
        <v>47</v>
      </c>
      <c r="G3313">
        <v>-207.28020000000001</v>
      </c>
      <c r="H3313" s="1">
        <v>-8.4492280000000003E-6</v>
      </c>
      <c r="I3313">
        <v>146.71860000000001</v>
      </c>
      <c r="J3313">
        <v>-190.98920000000001</v>
      </c>
      <c r="K3313">
        <v>1.111691</v>
      </c>
      <c r="L3313">
        <v>154.17240000000001</v>
      </c>
      <c r="M3313">
        <v>-0.5414698</v>
      </c>
      <c r="N3313">
        <v>-8.7719870000000002E-3</v>
      </c>
      <c r="O3313">
        <v>-0.84067479999999895</v>
      </c>
      <c r="P3313">
        <v>-0.78658899999999998</v>
      </c>
      <c r="Q3313">
        <v>0.168600799999999</v>
      </c>
      <c r="R3313">
        <v>-0.59401359999999903</v>
      </c>
      <c r="S3313">
        <v>-2.8578190000000001</v>
      </c>
      <c r="T3313">
        <v>-0.19303380000000001</v>
      </c>
      <c r="U3313">
        <v>-1.337234</v>
      </c>
      <c r="V3313">
        <v>0.34329969999999999</v>
      </c>
      <c r="W3313">
        <v>0.16948820000000001</v>
      </c>
      <c r="X3313">
        <v>0.92380680000000004</v>
      </c>
      <c r="Y3313">
        <v>0.53031249999999996</v>
      </c>
      <c r="Z3313">
        <v>5.4855920000000002E-2</v>
      </c>
      <c r="AA3313">
        <v>0.84602559999999905</v>
      </c>
      <c r="AB3313">
        <v>30</v>
      </c>
      <c r="AC3313">
        <v>-16.290999999999901</v>
      </c>
      <c r="AD3313">
        <v>-1.1116994492279999</v>
      </c>
      <c r="AE3313">
        <v>-7.4538000000000002</v>
      </c>
      <c r="AF3313">
        <v>9.6227408532874801</v>
      </c>
      <c r="AG3313">
        <v>-1.1116994492279999</v>
      </c>
      <c r="AH3313">
        <v>15.0300075268791</v>
      </c>
      <c r="AI3313">
        <v>93.564475990884503</v>
      </c>
      <c r="AJ3313">
        <v>57.3711951687823</v>
      </c>
      <c r="AK3313">
        <v>17.881111359559899</v>
      </c>
      <c r="AL3313">
        <v>80.241936427464395</v>
      </c>
      <c r="AM3313">
        <v>69.614220388775195</v>
      </c>
      <c r="AN3313">
        <v>0.99999996884278397</v>
      </c>
    </row>
    <row r="3314" spans="1:40" x14ac:dyDescent="0.25">
      <c r="A3314" t="str">
        <f>"20190303162615979"</f>
        <v>20190303162615979</v>
      </c>
      <c r="B3314" t="str">
        <f>"1551601575966757"</f>
        <v>1551601575966757</v>
      </c>
      <c r="C3314" t="s">
        <v>40</v>
      </c>
      <c r="D3314">
        <v>5.0245850000000001</v>
      </c>
      <c r="E3314">
        <v>0.59057169999999903</v>
      </c>
      <c r="F3314" t="s">
        <v>47</v>
      </c>
      <c r="G3314">
        <v>-207.1437</v>
      </c>
      <c r="H3314" s="1">
        <v>-8.5494919999999998E-6</v>
      </c>
      <c r="I3314">
        <v>146.869</v>
      </c>
      <c r="J3314">
        <v>-191.15010000000001</v>
      </c>
      <c r="K3314">
        <v>1.1116220000000001</v>
      </c>
      <c r="L3314">
        <v>153.94130000000001</v>
      </c>
      <c r="M3314">
        <v>-0.55013509999999999</v>
      </c>
      <c r="N3314">
        <v>-8.7621699999999997E-3</v>
      </c>
      <c r="O3314">
        <v>-0.83502989999999999</v>
      </c>
      <c r="P3314">
        <v>-0.79352270000000003</v>
      </c>
      <c r="Q3314">
        <v>0.1674658</v>
      </c>
      <c r="R3314">
        <v>-0.58504519999999904</v>
      </c>
      <c r="S3314">
        <v>-2.8748320000000001</v>
      </c>
      <c r="T3314">
        <v>-0.1978365</v>
      </c>
      <c r="U3314">
        <v>-1.299698</v>
      </c>
      <c r="V3314">
        <v>0.3444333</v>
      </c>
      <c r="W3314">
        <v>0.1682737</v>
      </c>
      <c r="X3314">
        <v>0.92360690000000001</v>
      </c>
      <c r="Y3314">
        <v>0.53250929999999996</v>
      </c>
      <c r="Z3314">
        <v>5.6307019999999999E-2</v>
      </c>
      <c r="AA3314">
        <v>0.8445492</v>
      </c>
      <c r="AB3314">
        <v>30</v>
      </c>
      <c r="AC3314">
        <v>-15.993599999999899</v>
      </c>
      <c r="AD3314">
        <v>-1.11163054949199</v>
      </c>
      <c r="AE3314">
        <v>-7.07230000000001</v>
      </c>
      <c r="AF3314">
        <v>9.4266843004187404</v>
      </c>
      <c r="AG3314">
        <v>-1.11163054949199</v>
      </c>
      <c r="AH3314">
        <v>14.6456050045387</v>
      </c>
      <c r="AI3314">
        <v>93.651893144806607</v>
      </c>
      <c r="AJ3314">
        <v>57.232529352036003</v>
      </c>
      <c r="AK3314">
        <v>17.452559850271101</v>
      </c>
      <c r="AL3314">
        <v>80.312536731994896</v>
      </c>
      <c r="AM3314">
        <v>69.548409709385695</v>
      </c>
      <c r="AN3314">
        <v>1.00000002099409</v>
      </c>
    </row>
    <row r="3315" spans="1:40" x14ac:dyDescent="0.25">
      <c r="A3315" t="str">
        <f>"20190303162616000"</f>
        <v>20190303162616000</v>
      </c>
      <c r="B3315" t="str">
        <f>"1551601575987253"</f>
        <v>1551601575987253</v>
      </c>
      <c r="C3315" t="s">
        <v>40</v>
      </c>
      <c r="D3315">
        <v>5.0267379999999999</v>
      </c>
      <c r="E3315">
        <v>0.56188850000000001</v>
      </c>
      <c r="F3315" t="s">
        <v>47</v>
      </c>
      <c r="G3315">
        <v>-207.11060000000001</v>
      </c>
      <c r="H3315" s="1">
        <v>-8.578234E-6</v>
      </c>
      <c r="I3315">
        <v>146.92230000000001</v>
      </c>
      <c r="J3315">
        <v>-191.3135</v>
      </c>
      <c r="K3315">
        <v>1.111564</v>
      </c>
      <c r="L3315">
        <v>153.71180000000001</v>
      </c>
      <c r="M3315">
        <v>-0.55875520000000001</v>
      </c>
      <c r="N3315">
        <v>-8.7544400000000005E-3</v>
      </c>
      <c r="O3315">
        <v>-0.82928649999999904</v>
      </c>
      <c r="P3315">
        <v>-0.79996089999999997</v>
      </c>
      <c r="Q3315">
        <v>0.16720090000000001</v>
      </c>
      <c r="R3315">
        <v>-0.576287199999999</v>
      </c>
      <c r="S3315">
        <v>-2.8869929999999999</v>
      </c>
      <c r="T3315">
        <v>-0.2010758</v>
      </c>
      <c r="U3315">
        <v>-1.2696229999999999</v>
      </c>
      <c r="V3315">
        <v>0.34507979999999999</v>
      </c>
      <c r="W3315">
        <v>0.16794519999999999</v>
      </c>
      <c r="X3315">
        <v>0.92342539999999995</v>
      </c>
      <c r="Y3315">
        <v>0.53236839999999996</v>
      </c>
      <c r="Z3315">
        <v>5.721304E-2</v>
      </c>
      <c r="AA3315">
        <v>0.84457709999999997</v>
      </c>
      <c r="AB3315">
        <v>30</v>
      </c>
      <c r="AC3315">
        <v>-15.7971</v>
      </c>
      <c r="AD3315">
        <v>-1.111572578234</v>
      </c>
      <c r="AE3315">
        <v>-6.7895000000000003</v>
      </c>
      <c r="AF3315">
        <v>9.2682745159234106</v>
      </c>
      <c r="AG3315">
        <v>-1.111572578234</v>
      </c>
      <c r="AH3315">
        <v>14.3975339852201</v>
      </c>
      <c r="AI3315">
        <v>93.714300042900604</v>
      </c>
      <c r="AJ3315">
        <v>57.228978971482803</v>
      </c>
      <c r="AK3315">
        <v>17.158831281726801</v>
      </c>
      <c r="AL3315">
        <v>80.331630545493695</v>
      </c>
      <c r="AM3315">
        <v>69.509516748198394</v>
      </c>
      <c r="AN3315">
        <v>1.0000000639681099</v>
      </c>
    </row>
    <row r="3316" spans="1:40" x14ac:dyDescent="0.25">
      <c r="A3316" t="str">
        <f>"20190303162616024"</f>
        <v>20190303162616024</v>
      </c>
      <c r="B3316" t="str">
        <f>"1551601576016533"</f>
        <v>1551601576016533</v>
      </c>
      <c r="C3316" t="s">
        <v>40</v>
      </c>
      <c r="D3316">
        <v>5.021039</v>
      </c>
      <c r="E3316">
        <v>0.56152040000000003</v>
      </c>
      <c r="F3316" t="s">
        <v>47</v>
      </c>
      <c r="G3316">
        <v>-208.32749999999999</v>
      </c>
      <c r="H3316" s="1">
        <v>-7.5226569999999999E-6</v>
      </c>
      <c r="I3316">
        <v>144.96789999999999</v>
      </c>
      <c r="J3316">
        <v>-191.5076</v>
      </c>
      <c r="K3316">
        <v>1.111505</v>
      </c>
      <c r="L3316">
        <v>153.44550000000001</v>
      </c>
      <c r="M3316">
        <v>-0.56876590000000005</v>
      </c>
      <c r="N3316">
        <v>-8.7482329999999994E-3</v>
      </c>
      <c r="O3316">
        <v>-0.82245309999999905</v>
      </c>
      <c r="P3316">
        <v>-0.80701699999999998</v>
      </c>
      <c r="Q3316">
        <v>0.16745209999999999</v>
      </c>
      <c r="R3316">
        <v>-0.5662895</v>
      </c>
      <c r="S3316">
        <v>-2.7644500000000001</v>
      </c>
      <c r="T3316">
        <v>-0.1806092</v>
      </c>
      <c r="U3316">
        <v>-1.420715</v>
      </c>
      <c r="V3316">
        <v>0.34536109999999998</v>
      </c>
      <c r="W3316">
        <v>0.16813839999999999</v>
      </c>
      <c r="X3316">
        <v>0.92328500000000002</v>
      </c>
      <c r="Y3316">
        <v>0.4701458</v>
      </c>
      <c r="Z3316">
        <v>5.0032439999999997E-2</v>
      </c>
      <c r="AA3316">
        <v>0.88116949999999905</v>
      </c>
      <c r="AB3316">
        <v>30</v>
      </c>
      <c r="AC3316">
        <v>-16.819899999999901</v>
      </c>
      <c r="AD3316">
        <v>-1.111512522657</v>
      </c>
      <c r="AE3316">
        <v>-8.4776000000000202</v>
      </c>
      <c r="AF3316">
        <v>8.9808782256492599</v>
      </c>
      <c r="AG3316">
        <v>-1.111512522657</v>
      </c>
      <c r="AH3316">
        <v>16.482247756201499</v>
      </c>
      <c r="AI3316">
        <v>93.3889180444841</v>
      </c>
      <c r="AJ3316">
        <v>61.414833903094497</v>
      </c>
      <c r="AK3316">
        <v>18.8030881742541</v>
      </c>
      <c r="AL3316">
        <v>80.320400706043202</v>
      </c>
      <c r="AM3316">
        <v>69.491344539562505</v>
      </c>
      <c r="AN3316">
        <v>1.0000000010863801</v>
      </c>
    </row>
    <row r="3317" spans="1:40" x14ac:dyDescent="0.25">
      <c r="A3317" t="str">
        <f>"20190303162616049"</f>
        <v>20190303162616049</v>
      </c>
      <c r="B3317" t="str">
        <f>"1551601576037029"</f>
        <v>1551601576037029</v>
      </c>
      <c r="C3317" t="s">
        <v>40</v>
      </c>
      <c r="D3317">
        <v>4.9991899999999996</v>
      </c>
      <c r="E3317">
        <v>0.56118459999999903</v>
      </c>
      <c r="F3317" t="s">
        <v>47</v>
      </c>
      <c r="G3317">
        <v>-208.6979</v>
      </c>
      <c r="H3317" s="1">
        <v>-7.3299150000000001E-6</v>
      </c>
      <c r="I3317">
        <v>144.86000000000001</v>
      </c>
      <c r="J3317">
        <v>-191.7141</v>
      </c>
      <c r="K3317">
        <v>1.111448</v>
      </c>
      <c r="L3317">
        <v>153.1694</v>
      </c>
      <c r="M3317">
        <v>-0.57914849999999996</v>
      </c>
      <c r="N3317">
        <v>-8.7445960000000003E-3</v>
      </c>
      <c r="O3317">
        <v>-0.81517539999999999</v>
      </c>
      <c r="P3317">
        <v>-0.8141948</v>
      </c>
      <c r="Q3317">
        <v>0.16770060000000001</v>
      </c>
      <c r="R3317">
        <v>-0.55584509999999998</v>
      </c>
      <c r="S3317">
        <v>-2.780319</v>
      </c>
      <c r="T3317">
        <v>-0.17977399999999999</v>
      </c>
      <c r="U3317">
        <v>-1.3885959999999999</v>
      </c>
      <c r="V3317">
        <v>0.3455357</v>
      </c>
      <c r="W3317">
        <v>0.16833389999999901</v>
      </c>
      <c r="X3317">
        <v>0.923184</v>
      </c>
      <c r="Y3317">
        <v>0.46913559999999999</v>
      </c>
      <c r="Z3317">
        <v>4.9575859999999999E-2</v>
      </c>
      <c r="AA3317">
        <v>0.88173349999999995</v>
      </c>
      <c r="AB3317">
        <v>30</v>
      </c>
      <c r="AC3317">
        <v>-16.983799999999999</v>
      </c>
      <c r="AD3317">
        <v>-1.1114553299150001</v>
      </c>
      <c r="AE3317">
        <v>-8.3093999999999806</v>
      </c>
      <c r="AF3317">
        <v>9.0016377008269597</v>
      </c>
      <c r="AG3317">
        <v>-1.1114553299150001</v>
      </c>
      <c r="AH3317">
        <v>16.553192773735798</v>
      </c>
      <c r="AI3317">
        <v>93.375782702123502</v>
      </c>
      <c r="AJ3317">
        <v>61.462621747662801</v>
      </c>
      <c r="AK3317">
        <v>18.8751955023466</v>
      </c>
      <c r="AL3317">
        <v>80.309037013632405</v>
      </c>
      <c r="AM3317">
        <v>69.479782329685094</v>
      </c>
      <c r="AN3317">
        <v>0.99999995985984902</v>
      </c>
    </row>
    <row r="3318" spans="1:40" x14ac:dyDescent="0.25">
      <c r="A3318" t="str">
        <f>"20190303162616068"</f>
        <v>20190303162616068</v>
      </c>
      <c r="B3318" t="str">
        <f>"1551601576056549"</f>
        <v>1551601576056549</v>
      </c>
      <c r="C3318" t="s">
        <v>40</v>
      </c>
      <c r="D3318">
        <v>5.01647</v>
      </c>
      <c r="E3318">
        <v>0.56060279999999996</v>
      </c>
      <c r="F3318" t="s">
        <v>47</v>
      </c>
      <c r="G3318">
        <v>-208.43219999999999</v>
      </c>
      <c r="H3318" s="1">
        <v>-7.501659E-6</v>
      </c>
      <c r="I3318">
        <v>145.0642</v>
      </c>
      <c r="J3318">
        <v>-191.87090000000001</v>
      </c>
      <c r="K3318">
        <v>1.1114040000000001</v>
      </c>
      <c r="L3318">
        <v>152.96440000000001</v>
      </c>
      <c r="M3318">
        <v>-0.58686609999999995</v>
      </c>
      <c r="N3318">
        <v>-8.7438700000000008E-3</v>
      </c>
      <c r="O3318">
        <v>-0.80963680000000005</v>
      </c>
      <c r="P3318">
        <v>-0.81925159999999997</v>
      </c>
      <c r="Q3318">
        <v>0.16731960000000001</v>
      </c>
      <c r="R3318">
        <v>-0.54848059999999998</v>
      </c>
      <c r="S3318">
        <v>-2.7971339999999998</v>
      </c>
      <c r="T3318">
        <v>-0.18595929999999999</v>
      </c>
      <c r="U3318">
        <v>-1.3560939999999999</v>
      </c>
      <c r="V3318">
        <v>0.345161</v>
      </c>
      <c r="W3318">
        <v>0.1679282</v>
      </c>
      <c r="X3318">
        <v>0.92339800000000005</v>
      </c>
      <c r="Y3318">
        <v>0.47102460000000002</v>
      </c>
      <c r="Z3318">
        <v>5.1361270000000001E-2</v>
      </c>
      <c r="AA3318">
        <v>0.88062359999999995</v>
      </c>
      <c r="AB3318">
        <v>30</v>
      </c>
      <c r="AC3318">
        <v>-16.5612999999999</v>
      </c>
      <c r="AD3318">
        <v>-1.111411501659</v>
      </c>
      <c r="AE3318">
        <v>-7.9002000000000097</v>
      </c>
      <c r="AF3318">
        <v>8.7405466325906502</v>
      </c>
      <c r="AG3318">
        <v>-1.111411501659</v>
      </c>
      <c r="AH3318">
        <v>16.057263789458101</v>
      </c>
      <c r="AI3318">
        <v>93.478874637593293</v>
      </c>
      <c r="AJ3318">
        <v>61.4389564707174</v>
      </c>
      <c r="AK3318">
        <v>18.315788581624101</v>
      </c>
      <c r="AL3318">
        <v>80.332617311864894</v>
      </c>
      <c r="AM3318">
        <v>69.504538443782295</v>
      </c>
      <c r="AN3318">
        <v>0.999999931340117</v>
      </c>
    </row>
    <row r="3319" spans="1:40" x14ac:dyDescent="0.25">
      <c r="A3319" t="str">
        <f>"20190303162616089"</f>
        <v>20190303162616089</v>
      </c>
      <c r="B3319" t="str">
        <f>"1551601576076544"</f>
        <v>1551601576076544</v>
      </c>
      <c r="C3319" t="s">
        <v>40</v>
      </c>
      <c r="D3319">
        <v>4.988988</v>
      </c>
      <c r="E3319">
        <v>0.55996610000000002</v>
      </c>
      <c r="F3319" t="s">
        <v>47</v>
      </c>
      <c r="G3319">
        <v>-208.37209999999999</v>
      </c>
      <c r="H3319" s="1">
        <v>-7.5429499999999902E-6</v>
      </c>
      <c r="I3319">
        <v>145.1198</v>
      </c>
      <c r="J3319">
        <v>-192.0472</v>
      </c>
      <c r="K3319">
        <v>1.1113500000000001</v>
      </c>
      <c r="L3319">
        <v>152.73849999999999</v>
      </c>
      <c r="M3319">
        <v>-0.59537189999999995</v>
      </c>
      <c r="N3319">
        <v>-8.7451259999999902E-3</v>
      </c>
      <c r="O3319">
        <v>-0.80340290000000003</v>
      </c>
      <c r="P3319">
        <v>-0.82435020000000003</v>
      </c>
      <c r="Q3319">
        <v>0.16724169999999999</v>
      </c>
      <c r="R3319">
        <v>-0.54081219999999997</v>
      </c>
      <c r="S3319">
        <v>-2.807083</v>
      </c>
      <c r="T3319">
        <v>-0.18906609999999999</v>
      </c>
      <c r="U3319">
        <v>-1.334457</v>
      </c>
      <c r="V3319">
        <v>0.34406829999999999</v>
      </c>
      <c r="W3319">
        <v>0.167840299999999</v>
      </c>
      <c r="X3319">
        <v>0.92382169999999997</v>
      </c>
      <c r="Y3319">
        <v>0.46842339999999999</v>
      </c>
      <c r="Z3319">
        <v>5.2079790000000001E-2</v>
      </c>
      <c r="AA3319">
        <v>0.88196779999999997</v>
      </c>
      <c r="AB3319">
        <v>30</v>
      </c>
      <c r="AC3319">
        <v>-16.3248999999999</v>
      </c>
      <c r="AD3319">
        <v>-1.11135754295</v>
      </c>
      <c r="AE3319">
        <v>-7.6186999999999898</v>
      </c>
      <c r="AF3319">
        <v>8.5473103316171297</v>
      </c>
      <c r="AG3319">
        <v>-1.11135754295</v>
      </c>
      <c r="AH3319">
        <v>15.780818568663999</v>
      </c>
      <c r="AI3319">
        <v>93.543505422682003</v>
      </c>
      <c r="AJ3319">
        <v>61.5588484733548</v>
      </c>
      <c r="AK3319">
        <v>17.981264254504801</v>
      </c>
      <c r="AL3319">
        <v>80.337726278509606</v>
      </c>
      <c r="AM3319">
        <v>69.572648636128406</v>
      </c>
      <c r="AN3319">
        <v>0.99999994737993303</v>
      </c>
    </row>
    <row r="3320" spans="1:40" x14ac:dyDescent="0.25">
      <c r="A3320" t="str">
        <f>"20190303162616114"</f>
        <v>20190303162616114</v>
      </c>
      <c r="B3320" t="str">
        <f>"1551601576106799"</f>
        <v>1551601576106799</v>
      </c>
      <c r="C3320" t="s">
        <v>40</v>
      </c>
      <c r="D3320">
        <v>4.9516879999999999</v>
      </c>
      <c r="E3320">
        <v>0.56016519999999903</v>
      </c>
      <c r="F3320" t="s">
        <v>47</v>
      </c>
      <c r="G3320">
        <v>-208.50370000000001</v>
      </c>
      <c r="H3320" s="1">
        <v>-7.472252E-6</v>
      </c>
      <c r="I3320">
        <v>145.07310000000001</v>
      </c>
      <c r="J3320">
        <v>-192.26</v>
      </c>
      <c r="K3320">
        <v>1.111286</v>
      </c>
      <c r="L3320">
        <v>152.47200000000001</v>
      </c>
      <c r="M3320">
        <v>-0.60541840000000002</v>
      </c>
      <c r="N3320">
        <v>-8.7494759999999904E-3</v>
      </c>
      <c r="O3320">
        <v>-0.79585950000000005</v>
      </c>
      <c r="P3320">
        <v>-0.830009</v>
      </c>
      <c r="Q3320">
        <v>0.16736519999999999</v>
      </c>
      <c r="R3320">
        <v>-0.53204739999999995</v>
      </c>
      <c r="S3320">
        <v>-2.8170009999999999</v>
      </c>
      <c r="T3320">
        <v>-0.19023979999999999</v>
      </c>
      <c r="U3320">
        <v>-1.312149</v>
      </c>
      <c r="V3320">
        <v>0.34225460000000002</v>
      </c>
      <c r="W3320">
        <v>0.1679631</v>
      </c>
      <c r="X3320">
        <v>0.92447290000000004</v>
      </c>
      <c r="Y3320">
        <v>0.46424029999999999</v>
      </c>
      <c r="Z3320">
        <v>5.211851E-2</v>
      </c>
      <c r="AA3320">
        <v>0.88417449999999997</v>
      </c>
      <c r="AB3320">
        <v>30</v>
      </c>
      <c r="AC3320">
        <v>-16.2437</v>
      </c>
      <c r="AD3320">
        <v>-1.111293472252</v>
      </c>
      <c r="AE3320">
        <v>-7.3988999999999896</v>
      </c>
      <c r="AF3320">
        <v>8.4159724738605401</v>
      </c>
      <c r="AG3320">
        <v>-1.111293472252</v>
      </c>
      <c r="AH3320">
        <v>15.6626070344946</v>
      </c>
      <c r="AI3320">
        <v>93.576375459632402</v>
      </c>
      <c r="AJ3320">
        <v>61.749573817522602</v>
      </c>
      <c r="AK3320">
        <v>17.815185235614301</v>
      </c>
      <c r="AL3320">
        <v>80.330589338129798</v>
      </c>
      <c r="AM3320">
        <v>69.684644635432093</v>
      </c>
      <c r="AN3320">
        <v>0.99999997850858902</v>
      </c>
    </row>
    <row r="3321" spans="1:40" x14ac:dyDescent="0.25">
      <c r="A3321" t="str">
        <f>"20190303162616138"</f>
        <v>20190303162616138</v>
      </c>
      <c r="B3321" t="str">
        <f>"1551601576126319"</f>
        <v>1551601576126319</v>
      </c>
      <c r="C3321" t="s">
        <v>40</v>
      </c>
      <c r="D3321">
        <v>4.9539119999999999</v>
      </c>
      <c r="E3321">
        <v>0.56077250000000001</v>
      </c>
      <c r="F3321" t="s">
        <v>47</v>
      </c>
      <c r="G3321">
        <v>-208.86060000000001</v>
      </c>
      <c r="H3321" s="1">
        <v>-7.2863360000000002E-6</v>
      </c>
      <c r="I3321">
        <v>144.9683</v>
      </c>
      <c r="J3321">
        <v>-192.4615</v>
      </c>
      <c r="K3321">
        <v>1.111218</v>
      </c>
      <c r="L3321">
        <v>152.22569999999999</v>
      </c>
      <c r="M3321">
        <v>-0.61472640000000001</v>
      </c>
      <c r="N3321">
        <v>-8.7564849999999996E-3</v>
      </c>
      <c r="O3321">
        <v>-0.7886919</v>
      </c>
      <c r="P3321">
        <v>-0.83499869999999898</v>
      </c>
      <c r="Q3321">
        <v>0.1675151</v>
      </c>
      <c r="R3321">
        <v>-0.52413350000000003</v>
      </c>
      <c r="S3321">
        <v>-2.8320620000000001</v>
      </c>
      <c r="T3321">
        <v>-0.18958630000000001</v>
      </c>
      <c r="U3321">
        <v>-1.2801359999999999</v>
      </c>
      <c r="V3321">
        <v>0.34018300000000001</v>
      </c>
      <c r="W3321">
        <v>0.16812050000000001</v>
      </c>
      <c r="X3321">
        <v>0.92520860000000005</v>
      </c>
      <c r="Y3321">
        <v>0.46392319999999998</v>
      </c>
      <c r="Z3321">
        <v>5.1688049999999999E-2</v>
      </c>
      <c r="AA3321">
        <v>0.88436630000000005</v>
      </c>
      <c r="AB3321">
        <v>30</v>
      </c>
      <c r="AC3321">
        <v>-16.399100000000001</v>
      </c>
      <c r="AD3321">
        <v>-1.1112252863359999</v>
      </c>
      <c r="AE3321">
        <v>-7.2573999999999899</v>
      </c>
      <c r="AF3321">
        <v>8.4404381866474996</v>
      </c>
      <c r="AG3321">
        <v>-1.1112252863359999</v>
      </c>
      <c r="AH3321">
        <v>15.744962583761801</v>
      </c>
      <c r="AI3321">
        <v>93.559357830455198</v>
      </c>
      <c r="AJ3321">
        <v>61.805474085734403</v>
      </c>
      <c r="AK3321">
        <v>17.899152638705299</v>
      </c>
      <c r="AL3321">
        <v>80.321440755779605</v>
      </c>
      <c r="AM3321">
        <v>69.812408772805597</v>
      </c>
      <c r="AN3321">
        <v>0.99999996476160402</v>
      </c>
    </row>
    <row r="3322" spans="1:40" x14ac:dyDescent="0.25">
      <c r="A3322" t="str">
        <f>"20190303162616161"</f>
        <v>20190303162616161</v>
      </c>
      <c r="B3322" t="str">
        <f>"1551601576146815"</f>
        <v>1551601576146815</v>
      </c>
      <c r="C3322" t="s">
        <v>40</v>
      </c>
      <c r="D3322">
        <v>4.9589850000000002</v>
      </c>
      <c r="E3322">
        <v>0.56110450000000001</v>
      </c>
      <c r="F3322" t="s">
        <v>47</v>
      </c>
      <c r="G3322">
        <v>-209.57509999999999</v>
      </c>
      <c r="H3322" s="1">
        <v>-6.906069E-6</v>
      </c>
      <c r="I3322">
        <v>144.72799999999901</v>
      </c>
      <c r="J3322">
        <v>-192.66419999999999</v>
      </c>
      <c r="K3322">
        <v>1.111143</v>
      </c>
      <c r="L3322">
        <v>151.98439999999999</v>
      </c>
      <c r="M3322">
        <v>-0.62388769999999905</v>
      </c>
      <c r="N3322">
        <v>-8.7664700000000002E-3</v>
      </c>
      <c r="O3322">
        <v>-0.78146510000000002</v>
      </c>
      <c r="P3322">
        <v>-0.83992350000000005</v>
      </c>
      <c r="Q3322">
        <v>0.16808010000000001</v>
      </c>
      <c r="R3322">
        <v>-0.51602109999999901</v>
      </c>
      <c r="S3322">
        <v>-2.8469699999999998</v>
      </c>
      <c r="T3322">
        <v>-0.18486089999999999</v>
      </c>
      <c r="U3322">
        <v>-1.2472989999999999</v>
      </c>
      <c r="V3322">
        <v>0.33829890000000001</v>
      </c>
      <c r="W3322">
        <v>0.16868459999999999</v>
      </c>
      <c r="X3322">
        <v>0.92579659999999997</v>
      </c>
      <c r="Y3322">
        <v>0.46394079999999899</v>
      </c>
      <c r="Z3322">
        <v>5.0041519999999999E-2</v>
      </c>
      <c r="AA3322">
        <v>0.88445169999999995</v>
      </c>
      <c r="AB3322">
        <v>30</v>
      </c>
      <c r="AC3322">
        <v>-16.910899999999899</v>
      </c>
      <c r="AD3322">
        <v>-1.111149906069</v>
      </c>
      <c r="AE3322">
        <v>-7.25640000000001</v>
      </c>
      <c r="AF3322">
        <v>8.6568686958219097</v>
      </c>
      <c r="AG3322">
        <v>-1.111149906069</v>
      </c>
      <c r="AH3322">
        <v>16.162816436670301</v>
      </c>
      <c r="AI3322">
        <v>93.468005781221805</v>
      </c>
      <c r="AJ3322">
        <v>61.826321158304097</v>
      </c>
      <c r="AK3322">
        <v>18.368795956620499</v>
      </c>
      <c r="AL3322">
        <v>80.288652194870906</v>
      </c>
      <c r="AM3322">
        <v>69.926996411315699</v>
      </c>
      <c r="AN3322">
        <v>0.99999999229496495</v>
      </c>
    </row>
    <row r="3323" spans="1:40" x14ac:dyDescent="0.25">
      <c r="A3323" t="str">
        <f>"20190303162616191"</f>
        <v>20190303162616191</v>
      </c>
      <c r="B3323" t="str">
        <f>"1551601576186362"</f>
        <v>1551601576186362</v>
      </c>
      <c r="C3323" t="s">
        <v>40</v>
      </c>
      <c r="D3323">
        <v>4.9512900000000002</v>
      </c>
      <c r="E3323">
        <v>0.5609826</v>
      </c>
      <c r="F3323" t="s">
        <v>41</v>
      </c>
      <c r="G3323">
        <v>-210.4359</v>
      </c>
      <c r="H3323" s="1">
        <v>-5.399165E-6</v>
      </c>
      <c r="I3323">
        <v>144.43780000000001</v>
      </c>
      <c r="J3323">
        <v>-192.94309999999999</v>
      </c>
      <c r="K3323">
        <v>1.1110439999999999</v>
      </c>
      <c r="L3323">
        <v>151.66139999999999</v>
      </c>
      <c r="M3323">
        <v>-0.63620759999999998</v>
      </c>
      <c r="N3323">
        <v>-8.7843390000000004E-3</v>
      </c>
      <c r="O3323">
        <v>-0.77146809999999999</v>
      </c>
      <c r="P3323">
        <v>-0.84806039999999905</v>
      </c>
      <c r="Q3323">
        <v>0.169572</v>
      </c>
      <c r="R3323">
        <v>-0.50203520000000001</v>
      </c>
      <c r="S3323">
        <v>-2.8611300000000002</v>
      </c>
      <c r="T3323">
        <v>-0.17888799999999999</v>
      </c>
      <c r="U3323">
        <v>-1.2149509999999999</v>
      </c>
      <c r="V3323">
        <v>0.33879730000000002</v>
      </c>
      <c r="W3323">
        <v>0.17009250000000001</v>
      </c>
      <c r="X3323">
        <v>0.92535659999999997</v>
      </c>
      <c r="Y3323">
        <v>0.46004980000000001</v>
      </c>
      <c r="Z3323">
        <v>4.7852730000000003E-2</v>
      </c>
      <c r="AA3323">
        <v>0.88660260000000002</v>
      </c>
      <c r="AB3323">
        <v>30</v>
      </c>
      <c r="AC3323">
        <v>-17.492799999999999</v>
      </c>
      <c r="AD3323">
        <v>-1.1110493991649999</v>
      </c>
      <c r="AE3323">
        <v>-7.22359999999997</v>
      </c>
      <c r="AF3323">
        <v>8.8692030524142904</v>
      </c>
      <c r="AG3323">
        <v>-1.1110493991649999</v>
      </c>
      <c r="AH3323">
        <v>16.645105261203799</v>
      </c>
      <c r="AI3323">
        <v>93.3713112510694</v>
      </c>
      <c r="AJ3323">
        <v>61.9494564416215</v>
      </c>
      <c r="AK3323">
        <v>18.893298354413702</v>
      </c>
      <c r="AL3323">
        <v>80.206802292414906</v>
      </c>
      <c r="AM3323">
        <v>69.890997683554502</v>
      </c>
      <c r="AN3323">
        <v>0.99999995310354794</v>
      </c>
    </row>
    <row r="3324" spans="1:40" x14ac:dyDescent="0.25">
      <c r="A3324" t="str">
        <f>"20190303162616213"</f>
        <v>20190303162616213</v>
      </c>
      <c r="B3324" t="str">
        <f>"1551601576206858"</f>
        <v>1551601576206858</v>
      </c>
      <c r="C3324" t="s">
        <v>40</v>
      </c>
      <c r="D3324">
        <v>4.9626330000000003</v>
      </c>
      <c r="E3324">
        <v>0.56075450000000004</v>
      </c>
      <c r="F3324" t="s">
        <v>41</v>
      </c>
      <c r="G3324">
        <v>-211.1756</v>
      </c>
      <c r="H3324" s="1">
        <v>-5.0846450000000002E-6</v>
      </c>
      <c r="I3324">
        <v>144.26609999999999</v>
      </c>
      <c r="J3324">
        <v>-193.15270000000001</v>
      </c>
      <c r="K3324">
        <v>1.110954</v>
      </c>
      <c r="L3324">
        <v>151.42509999999999</v>
      </c>
      <c r="M3324">
        <v>-0.64525699999999997</v>
      </c>
      <c r="N3324">
        <v>-8.7985349999999997E-3</v>
      </c>
      <c r="O3324">
        <v>-0.76391509999999996</v>
      </c>
      <c r="P3324">
        <v>-0.854262999999999</v>
      </c>
      <c r="Q3324">
        <v>0.17046989999999901</v>
      </c>
      <c r="R3324">
        <v>-0.49109629999999999</v>
      </c>
      <c r="S3324">
        <v>-2.8808590000000001</v>
      </c>
      <c r="T3324">
        <v>-0.17555319999999999</v>
      </c>
      <c r="U3324">
        <v>-1.1685030000000001</v>
      </c>
      <c r="V3324">
        <v>0.33969860000000002</v>
      </c>
      <c r="W3324">
        <v>0.17091519999999999</v>
      </c>
      <c r="X3324">
        <v>0.92487450000000004</v>
      </c>
      <c r="Y3324">
        <v>0.46403260000000002</v>
      </c>
      <c r="Z3324">
        <v>4.6731050000000003E-2</v>
      </c>
      <c r="AA3324">
        <v>0.88458459999999905</v>
      </c>
      <c r="AB3324">
        <v>30</v>
      </c>
      <c r="AC3324">
        <v>-18.0229</v>
      </c>
      <c r="AD3324">
        <v>-1.1109590846449999</v>
      </c>
      <c r="AE3324">
        <v>-7.15899999999999</v>
      </c>
      <c r="AF3324">
        <v>9.1189961161910098</v>
      </c>
      <c r="AG3324">
        <v>-1.1109590846449999</v>
      </c>
      <c r="AH3324">
        <v>17.042997207893901</v>
      </c>
      <c r="AI3324">
        <v>93.289487127226494</v>
      </c>
      <c r="AJ3324">
        <v>61.850624440309304</v>
      </c>
      <c r="AK3324">
        <v>19.3611485734484</v>
      </c>
      <c r="AL3324">
        <v>80.158964955923807</v>
      </c>
      <c r="AM3324">
        <v>69.832142231008504</v>
      </c>
      <c r="AN3324">
        <v>0.99999999259162498</v>
      </c>
    </row>
    <row r="3325" spans="1:40" x14ac:dyDescent="0.25">
      <c r="A3325" t="str">
        <f>"20190303162616236"</f>
        <v>20190303162616236</v>
      </c>
      <c r="B3325" t="str">
        <f>"1551601576226378"</f>
        <v>1551601576226378</v>
      </c>
      <c r="C3325" t="s">
        <v>40</v>
      </c>
      <c r="D3325">
        <v>4.951473</v>
      </c>
      <c r="E3325">
        <v>0.56059309999999996</v>
      </c>
      <c r="F3325" t="s">
        <v>41</v>
      </c>
      <c r="G3325">
        <v>-211.8227</v>
      </c>
      <c r="H3325" s="1">
        <v>-4.8104480000000002E-6</v>
      </c>
      <c r="I3325">
        <v>144.12119999999999</v>
      </c>
      <c r="J3325">
        <v>-193.3597</v>
      </c>
      <c r="K3325">
        <v>1.11087</v>
      </c>
      <c r="L3325">
        <v>151.19710000000001</v>
      </c>
      <c r="M3325">
        <v>-0.65402320000000003</v>
      </c>
      <c r="N3325">
        <v>-8.8125800000000004E-3</v>
      </c>
      <c r="O3325">
        <v>-0.75642319999999996</v>
      </c>
      <c r="P3325">
        <v>-0.85995759999999899</v>
      </c>
      <c r="Q3325">
        <v>0.1696879</v>
      </c>
      <c r="R3325">
        <v>-0.48133090000000001</v>
      </c>
      <c r="S3325">
        <v>-2.8950960000000001</v>
      </c>
      <c r="T3325">
        <v>-0.17227239999999999</v>
      </c>
      <c r="U3325">
        <v>-1.132584</v>
      </c>
      <c r="V3325">
        <v>0.33970080000000002</v>
      </c>
      <c r="W3325">
        <v>0.17008679999999901</v>
      </c>
      <c r="X3325">
        <v>0.92502640000000003</v>
      </c>
      <c r="Y3325">
        <v>0.4648738</v>
      </c>
      <c r="Z3325">
        <v>4.5564100000000003E-2</v>
      </c>
      <c r="AA3325">
        <v>0.88420379999999998</v>
      </c>
      <c r="AB3325">
        <v>30</v>
      </c>
      <c r="AC3325">
        <v>-18.462999999999901</v>
      </c>
      <c r="AD3325">
        <v>-1.110874810448</v>
      </c>
      <c r="AE3325">
        <v>-7.0759000000000096</v>
      </c>
      <c r="AF3325">
        <v>9.3090170250084601</v>
      </c>
      <c r="AG3325">
        <v>-1.110874810448</v>
      </c>
      <c r="AH3325">
        <v>17.373441886803199</v>
      </c>
      <c r="AI3325">
        <v>93.225791002433397</v>
      </c>
      <c r="AJ3325">
        <v>61.8167565797687</v>
      </c>
      <c r="AK3325">
        <v>19.741538030521099</v>
      </c>
      <c r="AL3325">
        <v>80.207134140439393</v>
      </c>
      <c r="AM3325">
        <v>69.835067154407895</v>
      </c>
      <c r="AN3325">
        <v>0.99999999687592001</v>
      </c>
    </row>
    <row r="3326" spans="1:40" x14ac:dyDescent="0.25">
      <c r="A3326" t="str">
        <f>"20190303162616258"</f>
        <v>20190303162616258</v>
      </c>
      <c r="B3326" t="str">
        <f>"1551601576246874"</f>
        <v>1551601576246874</v>
      </c>
      <c r="C3326" t="s">
        <v>40</v>
      </c>
      <c r="D3326">
        <v>4.984553</v>
      </c>
      <c r="E3326">
        <v>0.56032399999999905</v>
      </c>
      <c r="F3326" t="s">
        <v>41</v>
      </c>
      <c r="G3326">
        <v>-211.99629999999999</v>
      </c>
      <c r="H3326" s="1">
        <v>-4.7480769999999999E-6</v>
      </c>
      <c r="I3326">
        <v>144.1455</v>
      </c>
      <c r="J3326">
        <v>-193.56360000000001</v>
      </c>
      <c r="K3326">
        <v>1.1107940000000001</v>
      </c>
      <c r="L3326">
        <v>150.97749999999999</v>
      </c>
      <c r="M3326">
        <v>-0.66248640000000003</v>
      </c>
      <c r="N3326">
        <v>-8.8299539999999992E-3</v>
      </c>
      <c r="O3326">
        <v>-0.74902190000000002</v>
      </c>
      <c r="P3326">
        <v>-0.8651877</v>
      </c>
      <c r="Q3326">
        <v>0.16872579999999901</v>
      </c>
      <c r="R3326">
        <v>-0.47221000000000002</v>
      </c>
      <c r="S3326">
        <v>-2.9070740000000002</v>
      </c>
      <c r="T3326">
        <v>-0.17328209999999999</v>
      </c>
      <c r="U3326">
        <v>-1.099945</v>
      </c>
      <c r="V3326">
        <v>0.33922819999999998</v>
      </c>
      <c r="W3326">
        <v>0.1691009</v>
      </c>
      <c r="X3326">
        <v>0.92538050000000005</v>
      </c>
      <c r="Y3326">
        <v>0.46479999999999999</v>
      </c>
      <c r="Z3326">
        <v>4.5646239999999998E-2</v>
      </c>
      <c r="AA3326">
        <v>0.88423830000000003</v>
      </c>
      <c r="AB3326">
        <v>31</v>
      </c>
      <c r="AC3326">
        <v>-18.432699999999901</v>
      </c>
      <c r="AD3326">
        <v>-1.1107987480769901</v>
      </c>
      <c r="AE3326">
        <v>-6.8319999999999901</v>
      </c>
      <c r="AF3326">
        <v>9.2512123013645997</v>
      </c>
      <c r="AG3326">
        <v>-1.1107987480769901</v>
      </c>
      <c r="AH3326">
        <v>17.274250935741001</v>
      </c>
      <c r="AI3326">
        <v>93.244416011897101</v>
      </c>
      <c r="AJ3326">
        <v>61.828757221635499</v>
      </c>
      <c r="AK3326">
        <v>19.626985206459899</v>
      </c>
      <c r="AL3326">
        <v>80.264452175217897</v>
      </c>
      <c r="AM3326">
        <v>69.867952876146305</v>
      </c>
      <c r="AN3326">
        <v>0.99999997791814899</v>
      </c>
    </row>
    <row r="3327" spans="1:40" x14ac:dyDescent="0.25">
      <c r="A3327" t="str">
        <f>"20190303162616280"</f>
        <v>20190303162616280</v>
      </c>
      <c r="B3327" t="str">
        <f>"1551601576266899"</f>
        <v>1551601576266899</v>
      </c>
      <c r="C3327" t="s">
        <v>40</v>
      </c>
      <c r="D3327">
        <v>4.9952439999999996</v>
      </c>
      <c r="E3327">
        <v>0.55998309999999996</v>
      </c>
      <c r="F3327" t="s">
        <v>41</v>
      </c>
      <c r="G3327">
        <v>-211.9606</v>
      </c>
      <c r="H3327" s="1">
        <v>-4.7740700000000002E-6</v>
      </c>
      <c r="I3327">
        <v>144.2148</v>
      </c>
      <c r="J3327">
        <v>-193.7741</v>
      </c>
      <c r="K3327">
        <v>1.110722</v>
      </c>
      <c r="L3327">
        <v>150.75620000000001</v>
      </c>
      <c r="M3327">
        <v>-0.67104140000000001</v>
      </c>
      <c r="N3327">
        <v>-8.8552849999999992E-3</v>
      </c>
      <c r="O3327">
        <v>-0.74136689999999905</v>
      </c>
      <c r="P3327">
        <v>-0.87075780000000003</v>
      </c>
      <c r="Q3327">
        <v>0.166314299999999</v>
      </c>
      <c r="R3327">
        <v>-0.46273170000000002</v>
      </c>
      <c r="S3327">
        <v>-2.9166259999999999</v>
      </c>
      <c r="T3327">
        <v>-0.1761035</v>
      </c>
      <c r="U3327">
        <v>-1.072144</v>
      </c>
      <c r="V3327">
        <v>0.33902520000000003</v>
      </c>
      <c r="W3327">
        <v>0.1666707</v>
      </c>
      <c r="X3327">
        <v>0.92589569999999999</v>
      </c>
      <c r="Y3327">
        <v>0.4629605</v>
      </c>
      <c r="Z3327">
        <v>4.6194430000000002E-2</v>
      </c>
      <c r="AA3327">
        <v>0.88517440000000003</v>
      </c>
      <c r="AB3327">
        <v>31</v>
      </c>
      <c r="AC3327">
        <v>-18.186499999999899</v>
      </c>
      <c r="AD3327">
        <v>-1.11072677407</v>
      </c>
      <c r="AE3327">
        <v>-6.5414000000000003</v>
      </c>
      <c r="AF3327">
        <v>9.0637406266258793</v>
      </c>
      <c r="AG3327">
        <v>-1.11072677407</v>
      </c>
      <c r="AH3327">
        <v>16.998001192973401</v>
      </c>
      <c r="AI3327">
        <v>93.299996580129402</v>
      </c>
      <c r="AJ3327">
        <v>61.932394463917099</v>
      </c>
      <c r="AK3327">
        <v>19.295521570294699</v>
      </c>
      <c r="AL3327">
        <v>80.405697671981798</v>
      </c>
      <c r="AM3327">
        <v>69.889332246288703</v>
      </c>
      <c r="AN3327">
        <v>1.000000027876</v>
      </c>
    </row>
    <row r="3328" spans="1:40" x14ac:dyDescent="0.25">
      <c r="A3328" t="str">
        <f>"20190303162616303"</f>
        <v>20190303162616303</v>
      </c>
      <c r="B3328" t="str">
        <f>"1551601576297155"</f>
        <v>1551601576297155</v>
      </c>
      <c r="C3328" t="s">
        <v>40</v>
      </c>
      <c r="D3328">
        <v>4.9884279999999999</v>
      </c>
      <c r="E3328">
        <v>0.55942840000000005</v>
      </c>
      <c r="F3328" t="s">
        <v>41</v>
      </c>
      <c r="G3328">
        <v>-211.41239999999999</v>
      </c>
      <c r="H3328" s="1">
        <v>-5.0291139999999998E-6</v>
      </c>
      <c r="I3328">
        <v>144.4657</v>
      </c>
      <c r="J3328">
        <v>-194.0146</v>
      </c>
      <c r="K3328">
        <v>1.110654</v>
      </c>
      <c r="L3328">
        <v>150.50970000000001</v>
      </c>
      <c r="M3328">
        <v>-0.68059809999999998</v>
      </c>
      <c r="N3328">
        <v>-8.8888109999999999E-3</v>
      </c>
      <c r="O3328">
        <v>-0.73260329999999996</v>
      </c>
      <c r="P3328">
        <v>-0.87627619999999895</v>
      </c>
      <c r="Q3328">
        <v>0.1641214</v>
      </c>
      <c r="R3328">
        <v>-0.4529957</v>
      </c>
      <c r="S3328">
        <v>-2.9259490000000001</v>
      </c>
      <c r="T3328">
        <v>-0.18425420000000001</v>
      </c>
      <c r="U3328">
        <v>-1.0435179999999999</v>
      </c>
      <c r="V3328">
        <v>0.33761619999999998</v>
      </c>
      <c r="W3328">
        <v>0.16449859999999999</v>
      </c>
      <c r="X3328">
        <v>0.92679849999999997</v>
      </c>
      <c r="Y3328">
        <v>0.45991340000000003</v>
      </c>
      <c r="Z3328">
        <v>4.8196009999999997E-2</v>
      </c>
      <c r="AA3328">
        <v>0.88665490000000002</v>
      </c>
      <c r="AB3328">
        <v>31</v>
      </c>
      <c r="AC3328">
        <v>-17.397799999999901</v>
      </c>
      <c r="AD3328">
        <v>-1.1106590291139999</v>
      </c>
      <c r="AE3328">
        <v>-6.0440000000000103</v>
      </c>
      <c r="AF3328">
        <v>8.6012115129837703</v>
      </c>
      <c r="AG3328">
        <v>-1.1106590291139999</v>
      </c>
      <c r="AH3328">
        <v>16.210453637926001</v>
      </c>
      <c r="AI3328">
        <v>93.463489872986599</v>
      </c>
      <c r="AJ3328">
        <v>62.0497306299551</v>
      </c>
      <c r="AK3328">
        <v>18.3845916494598</v>
      </c>
      <c r="AL3328">
        <v>80.531891379189901</v>
      </c>
      <c r="AM3328">
        <v>69.9842179720589</v>
      </c>
      <c r="AN3328">
        <v>0.99999997375332395</v>
      </c>
    </row>
    <row r="3329" spans="1:40" x14ac:dyDescent="0.25">
      <c r="A3329" t="str">
        <f>"20190303162616327"</f>
        <v>20190303162616327</v>
      </c>
      <c r="B3329" t="str">
        <f>"1551601576316675"</f>
        <v>1551601576316675</v>
      </c>
      <c r="C3329" t="s">
        <v>40</v>
      </c>
      <c r="D3329">
        <v>5.014132</v>
      </c>
      <c r="E3329">
        <v>0.56777239999999995</v>
      </c>
      <c r="F3329" t="s">
        <v>41</v>
      </c>
      <c r="G3329">
        <v>-211.30850000000001</v>
      </c>
      <c r="H3329" s="1">
        <v>-5.0831980000000003E-6</v>
      </c>
      <c r="I3329">
        <v>144.54580000000001</v>
      </c>
      <c r="J3329">
        <v>-194.23869999999999</v>
      </c>
      <c r="K3329">
        <v>1.110609</v>
      </c>
      <c r="L3329">
        <v>150.28530000000001</v>
      </c>
      <c r="M3329">
        <v>-0.68930340000000001</v>
      </c>
      <c r="N3329">
        <v>-8.9200879999999996E-3</v>
      </c>
      <c r="O3329">
        <v>-0.72441800000000001</v>
      </c>
      <c r="P3329">
        <v>-0.88063349999999996</v>
      </c>
      <c r="Q3329">
        <v>0.16460169999999999</v>
      </c>
      <c r="R3329">
        <v>-0.44428699999999999</v>
      </c>
      <c r="S3329">
        <v>-2.9355470000000001</v>
      </c>
      <c r="T3329">
        <v>-0.1885278</v>
      </c>
      <c r="U3329">
        <v>-1.012329</v>
      </c>
      <c r="V3329">
        <v>0.33569310000000002</v>
      </c>
      <c r="W3329">
        <v>0.16501689999999999</v>
      </c>
      <c r="X3329">
        <v>0.92740480000000003</v>
      </c>
      <c r="Y3329">
        <v>0.45854889999999998</v>
      </c>
      <c r="Z3329">
        <v>4.9118179999999997E-2</v>
      </c>
      <c r="AA3329">
        <v>0.88731070000000001</v>
      </c>
      <c r="AB3329">
        <v>31</v>
      </c>
      <c r="AC3329">
        <v>-17.069800000000001</v>
      </c>
      <c r="AD3329">
        <v>-1.110614083198</v>
      </c>
      <c r="AE3329">
        <v>-5.7394999999999898</v>
      </c>
      <c r="AF3329">
        <v>8.3778842887242497</v>
      </c>
      <c r="AG3329">
        <v>-1.110614083198</v>
      </c>
      <c r="AH3329">
        <v>15.8643645402059</v>
      </c>
      <c r="AI3329">
        <v>93.542368413699904</v>
      </c>
      <c r="AJ3329">
        <v>62.161710385881001</v>
      </c>
      <c r="AK3329">
        <v>17.974995717985401</v>
      </c>
      <c r="AL3329">
        <v>80.501784243501405</v>
      </c>
      <c r="AM3329">
        <v>70.101242733426204</v>
      </c>
      <c r="AN3329">
        <v>1.00000004886812</v>
      </c>
    </row>
    <row r="3330" spans="1:40" x14ac:dyDescent="0.25">
      <c r="A3330" t="str">
        <f>"20190303162616352"</f>
        <v>20190303162616352</v>
      </c>
      <c r="B3330" t="str">
        <f>"1551601576346931"</f>
        <v>1551601576346931</v>
      </c>
      <c r="C3330" t="s">
        <v>40</v>
      </c>
      <c r="D3330">
        <v>5.0091489999999999</v>
      </c>
      <c r="E3330">
        <v>0.56738259999999996</v>
      </c>
      <c r="F3330" t="s">
        <v>41</v>
      </c>
      <c r="G3330">
        <v>-213.0401</v>
      </c>
      <c r="H3330" s="1">
        <v>-4.4030440000000004E-6</v>
      </c>
      <c r="I3330">
        <v>144.46</v>
      </c>
      <c r="J3330">
        <v>-194.49529999999999</v>
      </c>
      <c r="K3330">
        <v>1.1105560000000001</v>
      </c>
      <c r="L3330">
        <v>150.03469999999999</v>
      </c>
      <c r="M3330">
        <v>-0.69903249999999995</v>
      </c>
      <c r="N3330">
        <v>-8.9546560000000001E-3</v>
      </c>
      <c r="O3330">
        <v>-0.71503409999999901</v>
      </c>
      <c r="P3330">
        <v>-0.88593180000000005</v>
      </c>
      <c r="Q3330">
        <v>0.16681170000000001</v>
      </c>
      <c r="R3330">
        <v>-0.43278050000000001</v>
      </c>
      <c r="S3330">
        <v>-2.9745180000000002</v>
      </c>
      <c r="T3330">
        <v>-0.17570749999999999</v>
      </c>
      <c r="U3330">
        <v>-0.92160030000000004</v>
      </c>
      <c r="V3330">
        <v>0.33501439999999999</v>
      </c>
      <c r="W3330">
        <v>0.16722919999999999</v>
      </c>
      <c r="X3330">
        <v>0.92725389999999996</v>
      </c>
      <c r="Y3330">
        <v>0.47474820000000001</v>
      </c>
      <c r="Z3330">
        <v>4.5440090000000002E-2</v>
      </c>
      <c r="AA3330">
        <v>0.878947899999999</v>
      </c>
      <c r="AB3330">
        <v>31</v>
      </c>
      <c r="AC3330">
        <v>-18.544799999999999</v>
      </c>
      <c r="AD3330">
        <v>-1.1105604030439999</v>
      </c>
      <c r="AE3330">
        <v>-5.5746999999999698</v>
      </c>
      <c r="AF3330">
        <v>9.3329451470351596</v>
      </c>
      <c r="AG3330">
        <v>-1.1105604030439999</v>
      </c>
      <c r="AH3330">
        <v>16.894627831898099</v>
      </c>
      <c r="AI3330">
        <v>93.293094960185002</v>
      </c>
      <c r="AJ3330">
        <v>61.082822911414297</v>
      </c>
      <c r="AK3330">
        <v>19.333019916834601</v>
      </c>
      <c r="AL3330">
        <v>80.3732424483362</v>
      </c>
      <c r="AM3330">
        <v>70.135345179323096</v>
      </c>
      <c r="AN3330">
        <v>1.0000000243025999</v>
      </c>
    </row>
    <row r="3331" spans="1:40" x14ac:dyDescent="0.25">
      <c r="A3331" t="str">
        <f>"20190303162616392"</f>
        <v>20190303162616392</v>
      </c>
      <c r="B3331" t="str">
        <f>"1551601576386947"</f>
        <v>1551601576386947</v>
      </c>
      <c r="C3331" t="s">
        <v>40</v>
      </c>
      <c r="D3331">
        <v>4.9796129999999996</v>
      </c>
      <c r="E3331">
        <v>0.56567319999999999</v>
      </c>
      <c r="F3331" t="s">
        <v>41</v>
      </c>
      <c r="G3331">
        <v>-213.1172</v>
      </c>
      <c r="H3331" s="1">
        <v>-4.3796210000000003E-6</v>
      </c>
      <c r="I3331">
        <v>144.4949</v>
      </c>
      <c r="J3331">
        <v>-194.90309999999999</v>
      </c>
      <c r="K3331">
        <v>1.1104700000000001</v>
      </c>
      <c r="L3331">
        <v>149.65</v>
      </c>
      <c r="M3331">
        <v>-0.71397869999999997</v>
      </c>
      <c r="N3331">
        <v>-9.0056879999999995E-3</v>
      </c>
      <c r="O3331">
        <v>-0.7001098</v>
      </c>
      <c r="P3331">
        <v>-0.894561099999999</v>
      </c>
      <c r="Q3331">
        <v>0.16671079999999999</v>
      </c>
      <c r="R3331">
        <v>-0.41469050000000002</v>
      </c>
      <c r="S3331">
        <v>-2.9858699999999998</v>
      </c>
      <c r="T3331">
        <v>-0.1780697</v>
      </c>
      <c r="U3331">
        <v>-0.88825989999999999</v>
      </c>
      <c r="V3331">
        <v>0.33431300000000003</v>
      </c>
      <c r="W3331">
        <v>0.167131</v>
      </c>
      <c r="X3331">
        <v>0.92752469999999998</v>
      </c>
      <c r="Y3331">
        <v>0.46606350000000002</v>
      </c>
      <c r="Z3331">
        <v>4.5353299999999999E-2</v>
      </c>
      <c r="AA3331">
        <v>0.88358809999999999</v>
      </c>
      <c r="AB3331">
        <v>31</v>
      </c>
      <c r="AC3331">
        <v>-18.214099999999998</v>
      </c>
      <c r="AD3331">
        <v>-1.1104743796209999</v>
      </c>
      <c r="AE3331">
        <v>-5.1551</v>
      </c>
      <c r="AF3331">
        <v>9.0404922931513898</v>
      </c>
      <c r="AG3331">
        <v>-1.1104743796209999</v>
      </c>
      <c r="AH3331">
        <v>16.557305348180499</v>
      </c>
      <c r="AI3331">
        <v>93.368849754245403</v>
      </c>
      <c r="AJ3331">
        <v>61.364917061142798</v>
      </c>
      <c r="AK3331">
        <v>18.8973017820854</v>
      </c>
      <c r="AL3331">
        <v>80.378949080521807</v>
      </c>
      <c r="AM3331">
        <v>70.179027852435098</v>
      </c>
      <c r="AN3331">
        <v>1.00000001112004</v>
      </c>
    </row>
    <row r="3332" spans="1:40" x14ac:dyDescent="0.25">
      <c r="A3332" t="str">
        <f>"20190303162616414"</f>
        <v>20190303162616414</v>
      </c>
      <c r="B3332" t="str">
        <f>"1551601576406467"</f>
        <v>1551601576406467</v>
      </c>
      <c r="C3332" t="s">
        <v>40</v>
      </c>
      <c r="D3332">
        <v>4.9171610000000001</v>
      </c>
      <c r="E3332">
        <v>0.56556300000000004</v>
      </c>
      <c r="F3332" t="s">
        <v>41</v>
      </c>
      <c r="G3332">
        <v>-212.7911</v>
      </c>
      <c r="H3332" s="1">
        <v>-4.530273E-6</v>
      </c>
      <c r="I3332">
        <v>144.63820000000001</v>
      </c>
      <c r="J3332">
        <v>-195.1422</v>
      </c>
      <c r="K3332">
        <v>1.1104229999999999</v>
      </c>
      <c r="L3332">
        <v>149.43170000000001</v>
      </c>
      <c r="M3332">
        <v>-0.72246440000000001</v>
      </c>
      <c r="N3332">
        <v>-9.0330670000000005E-3</v>
      </c>
      <c r="O3332">
        <v>-0.69134910000000005</v>
      </c>
      <c r="P3332">
        <v>-0.89878799999999903</v>
      </c>
      <c r="Q3332">
        <v>0.16656560000000001</v>
      </c>
      <c r="R3332">
        <v>-0.40550710000000001</v>
      </c>
      <c r="S3332">
        <v>-2.9987949999999999</v>
      </c>
      <c r="T3332">
        <v>-0.1861631</v>
      </c>
      <c r="U3332">
        <v>-0.84019469999999996</v>
      </c>
      <c r="V3332">
        <v>0.33252979999999999</v>
      </c>
      <c r="W3332">
        <v>0.16702429999999999</v>
      </c>
      <c r="X3332">
        <v>0.92818469999999997</v>
      </c>
      <c r="Y3332">
        <v>0.46925169999999999</v>
      </c>
      <c r="Z3332">
        <v>4.742159E-2</v>
      </c>
      <c r="AA3332">
        <v>0.88179019999999997</v>
      </c>
      <c r="AB3332">
        <v>31</v>
      </c>
      <c r="AC3332">
        <v>-17.648899999999902</v>
      </c>
      <c r="AD3332">
        <v>-1.110427530273</v>
      </c>
      <c r="AE3332">
        <v>-4.7934999999999901</v>
      </c>
      <c r="AF3332">
        <v>8.7066759720170595</v>
      </c>
      <c r="AG3332">
        <v>-1.110427530273</v>
      </c>
      <c r="AH3332">
        <v>16.006329347986298</v>
      </c>
      <c r="AI3332">
        <v>93.487396161272898</v>
      </c>
      <c r="AJ3332">
        <v>61.455928414872702</v>
      </c>
      <c r="AK3332">
        <v>18.254912625863</v>
      </c>
      <c r="AL3332">
        <v>80.385149696412896</v>
      </c>
      <c r="AM3332">
        <v>70.289519445670706</v>
      </c>
      <c r="AN3332">
        <v>1.0000000109963001</v>
      </c>
    </row>
    <row r="3333" spans="1:40" x14ac:dyDescent="0.25">
      <c r="A3333" t="str">
        <f>"20190303162616437"</f>
        <v>20190303162616437</v>
      </c>
      <c r="B3333" t="str">
        <f>"1551601576426964"</f>
        <v>1551601576426964</v>
      </c>
      <c r="C3333" t="s">
        <v>40</v>
      </c>
      <c r="D3333">
        <v>4.8997339999999996</v>
      </c>
      <c r="E3333">
        <v>0.56572100000000003</v>
      </c>
      <c r="F3333" t="s">
        <v>41</v>
      </c>
      <c r="G3333">
        <v>-213.32</v>
      </c>
      <c r="H3333" s="1">
        <v>-4.3102650000000001E-6</v>
      </c>
      <c r="I3333">
        <v>144.54300000000001</v>
      </c>
      <c r="J3333">
        <v>-195.38140000000001</v>
      </c>
      <c r="K3333">
        <v>1.1103799999999999</v>
      </c>
      <c r="L3333">
        <v>149.2184</v>
      </c>
      <c r="M3333">
        <v>-0.73074779999999995</v>
      </c>
      <c r="N3333">
        <v>-9.0623760000000005E-3</v>
      </c>
      <c r="O3333">
        <v>-0.68258730000000001</v>
      </c>
      <c r="P3333">
        <v>-0.90290680000000001</v>
      </c>
      <c r="Q3333">
        <v>0.1676106</v>
      </c>
      <c r="R3333">
        <v>-0.39581080000000002</v>
      </c>
      <c r="S3333">
        <v>-3.0070190000000001</v>
      </c>
      <c r="T3333">
        <v>-0.18368970000000001</v>
      </c>
      <c r="U3333">
        <v>-0.80868530000000005</v>
      </c>
      <c r="V3333">
        <v>0.33123619999999998</v>
      </c>
      <c r="W3333">
        <v>0.168097</v>
      </c>
      <c r="X3333">
        <v>0.92845359999999999</v>
      </c>
      <c r="Y3333">
        <v>0.4678833</v>
      </c>
      <c r="Z3333">
        <v>4.638639E-2</v>
      </c>
      <c r="AA3333">
        <v>0.88257209999999997</v>
      </c>
      <c r="AB3333">
        <v>31</v>
      </c>
      <c r="AC3333">
        <v>-17.938599999999902</v>
      </c>
      <c r="AD3333">
        <v>-1.110384310265</v>
      </c>
      <c r="AE3333">
        <v>-4.67539999999999</v>
      </c>
      <c r="AF3333">
        <v>8.7969237677128191</v>
      </c>
      <c r="AG3333">
        <v>-1.110384310265</v>
      </c>
      <c r="AH3333">
        <v>16.242357225451801</v>
      </c>
      <c r="AI3333">
        <v>93.440084520306698</v>
      </c>
      <c r="AJ3333">
        <v>61.559852600783003</v>
      </c>
      <c r="AK3333">
        <v>18.504944996692601</v>
      </c>
      <c r="AL3333">
        <v>80.322807521901495</v>
      </c>
      <c r="AM3333">
        <v>70.365573069203904</v>
      </c>
      <c r="AN3333">
        <v>1.00000005447619</v>
      </c>
    </row>
    <row r="3334" spans="1:40" x14ac:dyDescent="0.25">
      <c r="A3334" t="str">
        <f>"20190303162616460"</f>
        <v>20190303162616460</v>
      </c>
      <c r="B3334" t="str">
        <f>"1551601576446483"</f>
        <v>1551601576446483</v>
      </c>
      <c r="C3334" t="s">
        <v>40</v>
      </c>
      <c r="D3334">
        <v>4.8234180000000002</v>
      </c>
      <c r="E3334">
        <v>0.55780459999999998</v>
      </c>
      <c r="F3334" t="s">
        <v>41</v>
      </c>
      <c r="G3334">
        <v>-214.5421</v>
      </c>
      <c r="H3334" s="1">
        <v>-3.7976770000000001E-6</v>
      </c>
      <c r="I3334">
        <v>144.2989</v>
      </c>
      <c r="J3334">
        <v>-195.619</v>
      </c>
      <c r="K3334">
        <v>1.1103419999999999</v>
      </c>
      <c r="L3334">
        <v>149.01169999999999</v>
      </c>
      <c r="M3334">
        <v>-0.73878159999999904</v>
      </c>
      <c r="N3334">
        <v>-9.0935080000000001E-3</v>
      </c>
      <c r="O3334">
        <v>-0.67388349999999997</v>
      </c>
      <c r="P3334">
        <v>-0.90734179999999998</v>
      </c>
      <c r="Q3334">
        <v>0.16736870000000001</v>
      </c>
      <c r="R3334">
        <v>-0.38564029999999999</v>
      </c>
      <c r="S3334">
        <v>-3.0156100000000001</v>
      </c>
      <c r="T3334">
        <v>-0.17475779999999999</v>
      </c>
      <c r="U3334">
        <v>-0.77426149999999905</v>
      </c>
      <c r="V3334">
        <v>0.33071139999999999</v>
      </c>
      <c r="W3334">
        <v>0.16786760000000001</v>
      </c>
      <c r="X3334">
        <v>0.92868209999999995</v>
      </c>
      <c r="Y3334">
        <v>0.46763680000000002</v>
      </c>
      <c r="Z3334">
        <v>4.362021E-2</v>
      </c>
      <c r="AA3334">
        <v>0.88284379999999996</v>
      </c>
      <c r="AB3334">
        <v>31</v>
      </c>
      <c r="AC3334">
        <v>-18.923099999999899</v>
      </c>
      <c r="AD3334">
        <v>-1.1103457976769999</v>
      </c>
      <c r="AE3334">
        <v>-4.7127999999999801</v>
      </c>
      <c r="AF3334">
        <v>9.2406615273600305</v>
      </c>
      <c r="AG3334">
        <v>-1.1103457976769999</v>
      </c>
      <c r="AH3334">
        <v>17.101186368531199</v>
      </c>
      <c r="AI3334">
        <v>93.269301680842105</v>
      </c>
      <c r="AJ3334">
        <v>61.615337879430399</v>
      </c>
      <c r="AK3334">
        <v>19.469804017115599</v>
      </c>
      <c r="AL3334">
        <v>80.336140124824396</v>
      </c>
      <c r="AM3334">
        <v>70.398763726927996</v>
      </c>
      <c r="AN3334">
        <v>1.0000000020400599</v>
      </c>
    </row>
    <row r="3335" spans="1:40" x14ac:dyDescent="0.25">
      <c r="A3335" t="str">
        <f>"20190303162616481"</f>
        <v>20190303162616481</v>
      </c>
      <c r="B3335" t="str">
        <f>"1551601576476740"</f>
        <v>1551601576476740</v>
      </c>
      <c r="C3335" t="s">
        <v>40</v>
      </c>
      <c r="D3335">
        <v>4.8257339999999997</v>
      </c>
      <c r="E3335">
        <v>0.55663339999999994</v>
      </c>
      <c r="F3335" t="s">
        <v>41</v>
      </c>
      <c r="G3335">
        <v>-214.5121</v>
      </c>
      <c r="H3335" s="1">
        <v>-3.7363609999999999E-6</v>
      </c>
      <c r="I3335">
        <v>143.98249999999999</v>
      </c>
      <c r="J3335">
        <v>-195.85329999999999</v>
      </c>
      <c r="K3335">
        <v>1.110298</v>
      </c>
      <c r="L3335">
        <v>148.81280000000001</v>
      </c>
      <c r="M3335">
        <v>-0.74651440000000002</v>
      </c>
      <c r="N3335">
        <v>-9.1234660000000002E-3</v>
      </c>
      <c r="O3335">
        <v>-0.66530669999999903</v>
      </c>
      <c r="P3335">
        <v>-0.91162220000000005</v>
      </c>
      <c r="Q3335">
        <v>0.16791130000000001</v>
      </c>
      <c r="R3335">
        <v>-0.3751681</v>
      </c>
      <c r="S3335">
        <v>-2.9995120000000002</v>
      </c>
      <c r="T3335">
        <v>-0.17628070000000001</v>
      </c>
      <c r="U3335">
        <v>-0.79844669999999995</v>
      </c>
      <c r="V3335">
        <v>0.33064110000000002</v>
      </c>
      <c r="W3335">
        <v>0.16841049999999999</v>
      </c>
      <c r="X3335">
        <v>0.92860880000000001</v>
      </c>
      <c r="Y3335">
        <v>0.44953670000000001</v>
      </c>
      <c r="Z3335">
        <v>4.3358710000000002E-2</v>
      </c>
      <c r="AA3335">
        <v>0.89220889999999997</v>
      </c>
      <c r="AB3335">
        <v>31</v>
      </c>
      <c r="AC3335">
        <v>-18.658799999999999</v>
      </c>
      <c r="AD3335">
        <v>-1.1103017363609999</v>
      </c>
      <c r="AE3335">
        <v>-4.8303000000000198</v>
      </c>
      <c r="AF3335">
        <v>8.7791689933996402</v>
      </c>
      <c r="AG3335">
        <v>-1.1103017363609999</v>
      </c>
      <c r="AH3335">
        <v>17.0867049554424</v>
      </c>
      <c r="AI3335">
        <v>93.307884452618296</v>
      </c>
      <c r="AJ3335">
        <v>62.805848151220502</v>
      </c>
      <c r="AK3335">
        <v>19.242194895457601</v>
      </c>
      <c r="AL3335">
        <v>80.3045846760687</v>
      </c>
      <c r="AM3335">
        <v>70.4011838633091</v>
      </c>
      <c r="AN3335">
        <v>0.99999996847844896</v>
      </c>
    </row>
    <row r="3336" spans="1:40" x14ac:dyDescent="0.25">
      <c r="A3336" t="str">
        <f>"20190303162616506"</f>
        <v>20190303162616506</v>
      </c>
      <c r="B3336" t="str">
        <f>"1551601576497235"</f>
        <v>1551601576497235</v>
      </c>
      <c r="C3336" t="s">
        <v>40</v>
      </c>
      <c r="D3336">
        <v>4.7694279999999996</v>
      </c>
      <c r="E3336">
        <v>0.55614629999999998</v>
      </c>
      <c r="F3336" t="s">
        <v>41</v>
      </c>
      <c r="G3336">
        <v>-215.3707</v>
      </c>
      <c r="H3336" s="1">
        <v>-3.2793780000000001E-6</v>
      </c>
      <c r="I3336">
        <v>143.79040000000001</v>
      </c>
      <c r="J3336">
        <v>-196.12</v>
      </c>
      <c r="K3336">
        <v>1.110263</v>
      </c>
      <c r="L3336">
        <v>148.59200000000001</v>
      </c>
      <c r="M3336">
        <v>-0.75509419999999905</v>
      </c>
      <c r="N3336">
        <v>-9.1553680000000005E-3</v>
      </c>
      <c r="O3336">
        <v>-0.65555259999999904</v>
      </c>
      <c r="P3336">
        <v>-0.91652259999999997</v>
      </c>
      <c r="Q3336">
        <v>0.16847879999999901</v>
      </c>
      <c r="R3336">
        <v>-0.36276920000000001</v>
      </c>
      <c r="S3336">
        <v>-3.0041660000000001</v>
      </c>
      <c r="T3336">
        <v>-0.17090060000000001</v>
      </c>
      <c r="U3336">
        <v>-0.77307130000000002</v>
      </c>
      <c r="V3336">
        <v>0.33113520000000002</v>
      </c>
      <c r="W3336">
        <v>0.16896329999999901</v>
      </c>
      <c r="X3336">
        <v>0.9283323</v>
      </c>
      <c r="Y3336">
        <v>0.44542949999999998</v>
      </c>
      <c r="Z3336">
        <v>4.1481039999999997E-2</v>
      </c>
      <c r="AA3336">
        <v>0.89435560000000003</v>
      </c>
      <c r="AB3336">
        <v>31</v>
      </c>
      <c r="AC3336">
        <v>-19.250699999999899</v>
      </c>
      <c r="AD3336">
        <v>-1.110266279378</v>
      </c>
      <c r="AE3336">
        <v>-4.8015999999999996</v>
      </c>
      <c r="AF3336">
        <v>8.9664834550914403</v>
      </c>
      <c r="AG3336">
        <v>-1.110266279378</v>
      </c>
      <c r="AH3336">
        <v>17.6293260608815</v>
      </c>
      <c r="AI3336">
        <v>93.212919358495995</v>
      </c>
      <c r="AJ3336">
        <v>63.041573753109397</v>
      </c>
      <c r="AK3336">
        <v>19.8096858663238</v>
      </c>
      <c r="AL3336">
        <v>80.272451278127804</v>
      </c>
      <c r="AM3336">
        <v>70.368733595698899</v>
      </c>
      <c r="AN3336">
        <v>0.99999998832460901</v>
      </c>
    </row>
    <row r="3337" spans="1:40" x14ac:dyDescent="0.25">
      <c r="A3337" t="str">
        <f>"20190303162616527"</f>
        <v>20190303162616527</v>
      </c>
      <c r="B3337" t="str">
        <f>"1551601576517731"</f>
        <v>1551601576517731</v>
      </c>
      <c r="C3337" t="s">
        <v>40</v>
      </c>
      <c r="D3337">
        <v>4.7383119999999996</v>
      </c>
      <c r="E3337">
        <v>0.55556059999999996</v>
      </c>
      <c r="F3337" t="s">
        <v>41</v>
      </c>
      <c r="G3337">
        <v>-215.91970000000001</v>
      </c>
      <c r="H3337" s="1">
        <v>-3.0124659999999999E-6</v>
      </c>
      <c r="I3337">
        <v>143.76259999999999</v>
      </c>
      <c r="J3337">
        <v>-196.36490000000001</v>
      </c>
      <c r="K3337">
        <v>1.1102459999999901</v>
      </c>
      <c r="L3337">
        <v>148.39410000000001</v>
      </c>
      <c r="M3337">
        <v>-0.76277569999999995</v>
      </c>
      <c r="N3337">
        <v>-9.1822520000000001E-3</v>
      </c>
      <c r="O3337">
        <v>-0.64659800000000001</v>
      </c>
      <c r="P3337">
        <v>-0.92072109999999996</v>
      </c>
      <c r="Q3337">
        <v>0.16906749999999901</v>
      </c>
      <c r="R3337">
        <v>-0.35169529999999999</v>
      </c>
      <c r="S3337">
        <v>-3.013382</v>
      </c>
      <c r="T3337">
        <v>-0.1689745</v>
      </c>
      <c r="U3337">
        <v>-0.735000599999999</v>
      </c>
      <c r="V3337">
        <v>0.33133049999999997</v>
      </c>
      <c r="W3337">
        <v>0.16954649999999999</v>
      </c>
      <c r="X3337">
        <v>0.92815630000000005</v>
      </c>
      <c r="Y3337">
        <v>0.44619999999999999</v>
      </c>
      <c r="Z3337">
        <v>4.0688920000000003E-2</v>
      </c>
      <c r="AA3337">
        <v>0.89400780000000002</v>
      </c>
      <c r="AB3337">
        <v>31</v>
      </c>
      <c r="AC3337">
        <v>-19.5548</v>
      </c>
      <c r="AD3337">
        <v>-1.1102490124659901</v>
      </c>
      <c r="AE3337">
        <v>-4.6315000000000097</v>
      </c>
      <c r="AF3337">
        <v>9.0839556292920101</v>
      </c>
      <c r="AG3337">
        <v>-1.1102490124659901</v>
      </c>
      <c r="AH3337">
        <v>17.856894502541699</v>
      </c>
      <c r="AI3337">
        <v>93.171885005954607</v>
      </c>
      <c r="AJ3337">
        <v>63.037168503394597</v>
      </c>
      <c r="AK3337">
        <v>20.065382727960401</v>
      </c>
      <c r="AL3337">
        <v>80.238547499700204</v>
      </c>
      <c r="AM3337">
        <v>70.354601653385203</v>
      </c>
      <c r="AN3337">
        <v>1.0000000165610901</v>
      </c>
    </row>
    <row r="3338" spans="1:40" x14ac:dyDescent="0.25">
      <c r="A3338" t="str">
        <f>"20190303162616552"</f>
        <v>20190303162616552</v>
      </c>
      <c r="B3338" t="str">
        <f>"1551601576547011"</f>
        <v>1551601576547011</v>
      </c>
      <c r="C3338" t="s">
        <v>40</v>
      </c>
      <c r="D3338">
        <v>4.7128829999999997</v>
      </c>
      <c r="E3338">
        <v>0.55441619999999903</v>
      </c>
      <c r="F3338" t="s">
        <v>41</v>
      </c>
      <c r="G3338">
        <v>-216.51300000000001</v>
      </c>
      <c r="H3338" s="1">
        <v>-2.7186710000000002E-6</v>
      </c>
      <c r="I3338">
        <v>143.7124</v>
      </c>
      <c r="J3338">
        <v>-196.64080000000001</v>
      </c>
      <c r="K3338">
        <v>1.1102270000000001</v>
      </c>
      <c r="L3338">
        <v>148.1765</v>
      </c>
      <c r="M3338">
        <v>-0.77119899999999997</v>
      </c>
      <c r="N3338">
        <v>-9.2090869999999995E-3</v>
      </c>
      <c r="O3338">
        <v>-0.63652769999999903</v>
      </c>
      <c r="P3338">
        <v>-0.92522199999999999</v>
      </c>
      <c r="Q3338">
        <v>0.17060649999999999</v>
      </c>
      <c r="R3338">
        <v>-0.33890629999999999</v>
      </c>
      <c r="S3338">
        <v>-3.0207519999999999</v>
      </c>
      <c r="T3338">
        <v>-0.16645679999999999</v>
      </c>
      <c r="U3338">
        <v>-0.70190430000000004</v>
      </c>
      <c r="V3338">
        <v>0.33187260000000002</v>
      </c>
      <c r="W3338">
        <v>0.17107259999999999</v>
      </c>
      <c r="X3338">
        <v>0.92768249999999997</v>
      </c>
      <c r="Y3338">
        <v>0.4442759</v>
      </c>
      <c r="Z3338">
        <v>3.9637070000000003E-2</v>
      </c>
      <c r="AA3338">
        <v>0.89501269999999999</v>
      </c>
      <c r="AB3338">
        <v>31</v>
      </c>
      <c r="AC3338">
        <v>-19.8721999999999</v>
      </c>
      <c r="AD3338">
        <v>-1.110229718671</v>
      </c>
      <c r="AE3338">
        <v>-4.4641000000000002</v>
      </c>
      <c r="AF3338">
        <v>9.1796099385615904</v>
      </c>
      <c r="AG3338">
        <v>-1.110229718671</v>
      </c>
      <c r="AH3338">
        <v>18.1138898949016</v>
      </c>
      <c r="AI3338">
        <v>93.129359522071596</v>
      </c>
      <c r="AJ3338">
        <v>63.125390491494997</v>
      </c>
      <c r="AK3338">
        <v>20.337425003598099</v>
      </c>
      <c r="AL3338">
        <v>80.149812254397901</v>
      </c>
      <c r="AM3338">
        <v>70.315648667100703</v>
      </c>
      <c r="AN3338">
        <v>1.0000000389538799</v>
      </c>
    </row>
    <row r="3339" spans="1:40" x14ac:dyDescent="0.25">
      <c r="A3339" t="str">
        <f>"20190303162616575"</f>
        <v>20190303162616575</v>
      </c>
      <c r="B3339" t="str">
        <f>"1551601576566531"</f>
        <v>1551601576566531</v>
      </c>
      <c r="C3339" t="s">
        <v>40</v>
      </c>
      <c r="D3339">
        <v>4.7061529999999996</v>
      </c>
      <c r="E3339">
        <v>0.55362959999999894</v>
      </c>
      <c r="F3339" t="s">
        <v>41</v>
      </c>
      <c r="G3339">
        <v>-217.19280000000001</v>
      </c>
      <c r="H3339" s="1">
        <v>-2.3752460000000001E-6</v>
      </c>
      <c r="I3339">
        <v>143.62950000000001</v>
      </c>
      <c r="J3339">
        <v>-196.89850000000001</v>
      </c>
      <c r="K3339">
        <v>1.1102179999999999</v>
      </c>
      <c r="L3339">
        <v>147.9785</v>
      </c>
      <c r="M3339">
        <v>-0.7788429</v>
      </c>
      <c r="N3339">
        <v>-9.2302819999999994E-3</v>
      </c>
      <c r="O3339">
        <v>-0.62715140000000003</v>
      </c>
      <c r="P3339">
        <v>-0.92937000000000003</v>
      </c>
      <c r="Q3339">
        <v>0.17194879999999901</v>
      </c>
      <c r="R3339">
        <v>-0.3266577</v>
      </c>
      <c r="S3339">
        <v>-3.0272830000000002</v>
      </c>
      <c r="T3339">
        <v>-0.16353509999999999</v>
      </c>
      <c r="U3339">
        <v>-0.66976930000000001</v>
      </c>
      <c r="V3339">
        <v>0.3327869</v>
      </c>
      <c r="W3339">
        <v>0.17239689999999999</v>
      </c>
      <c r="X3339">
        <v>0.92710959999999998</v>
      </c>
      <c r="Y3339">
        <v>0.44295649999999998</v>
      </c>
      <c r="Z3339">
        <v>3.853558E-2</v>
      </c>
      <c r="AA3339">
        <v>0.89571449999999997</v>
      </c>
      <c r="AB3339">
        <v>32</v>
      </c>
      <c r="AC3339">
        <v>-20.2943</v>
      </c>
      <c r="AD3339">
        <v>-1.110220375246</v>
      </c>
      <c r="AE3339">
        <v>-4.3489999999999798</v>
      </c>
      <c r="AF3339">
        <v>9.3141561859127808</v>
      </c>
      <c r="AG3339">
        <v>-1.110220375246</v>
      </c>
      <c r="AH3339">
        <v>18.481457459980199</v>
      </c>
      <c r="AI3339">
        <v>93.070666840348295</v>
      </c>
      <c r="AJ3339">
        <v>63.253127929679899</v>
      </c>
      <c r="AK3339">
        <v>20.7255968450186</v>
      </c>
      <c r="AL3339">
        <v>80.072790886942599</v>
      </c>
      <c r="AM3339">
        <v>70.254349982605902</v>
      </c>
      <c r="AN3339">
        <v>1.00000001117669</v>
      </c>
    </row>
    <row r="3340" spans="1:40" x14ac:dyDescent="0.25">
      <c r="A3340" t="str">
        <f>"20190303162616597"</f>
        <v>20190303162616597</v>
      </c>
      <c r="B3340" t="str">
        <f>"1551601576587027"</f>
        <v>1551601576587027</v>
      </c>
      <c r="C3340" t="s">
        <v>40</v>
      </c>
      <c r="D3340">
        <v>4.6843690000000002</v>
      </c>
      <c r="E3340">
        <v>0.55357690000000004</v>
      </c>
      <c r="F3340" t="s">
        <v>41</v>
      </c>
      <c r="G3340">
        <v>-217.70590000000001</v>
      </c>
      <c r="H3340" s="1">
        <v>-2.1269369999999999E-6</v>
      </c>
      <c r="I3340">
        <v>143.60769999999999</v>
      </c>
      <c r="J3340">
        <v>-197.1609</v>
      </c>
      <c r="K3340">
        <v>1.1102160000000001</v>
      </c>
      <c r="L3340">
        <v>147.7816</v>
      </c>
      <c r="M3340">
        <v>-0.78640319999999997</v>
      </c>
      <c r="N3340">
        <v>-9.2472189999999992E-3</v>
      </c>
      <c r="O3340">
        <v>-0.61764410000000003</v>
      </c>
      <c r="P3340">
        <v>-0.93344289999999996</v>
      </c>
      <c r="Q3340">
        <v>0.17133880000000001</v>
      </c>
      <c r="R3340">
        <v>-0.31516250000000001</v>
      </c>
      <c r="S3340">
        <v>-3.0339360000000002</v>
      </c>
      <c r="T3340">
        <v>-0.16188179999999999</v>
      </c>
      <c r="U3340">
        <v>-0.63729859999999905</v>
      </c>
      <c r="V3340">
        <v>0.33302169999999998</v>
      </c>
      <c r="W3340">
        <v>0.17179839999999999</v>
      </c>
      <c r="X3340">
        <v>0.92713639999999997</v>
      </c>
      <c r="Y3340">
        <v>0.44167790000000001</v>
      </c>
      <c r="Z3340">
        <v>3.7766460000000002E-2</v>
      </c>
      <c r="AA3340">
        <v>0.89637849999999997</v>
      </c>
      <c r="AB3340">
        <v>32</v>
      </c>
      <c r="AC3340">
        <v>-20.545000000000002</v>
      </c>
      <c r="AD3340">
        <v>-1.1102181269369999</v>
      </c>
      <c r="AE3340">
        <v>-4.1738999999999997</v>
      </c>
      <c r="AF3340">
        <v>9.3812245034296406</v>
      </c>
      <c r="AG3340">
        <v>-1.1102181269369999</v>
      </c>
      <c r="AH3340">
        <v>18.683047282893899</v>
      </c>
      <c r="AI3340">
        <v>93.039840889016006</v>
      </c>
      <c r="AJ3340">
        <v>63.337630316002901</v>
      </c>
      <c r="AK3340">
        <v>20.9355251486075</v>
      </c>
      <c r="AL3340">
        <v>80.107601917280206</v>
      </c>
      <c r="AM3340">
        <v>70.242023451827905</v>
      </c>
      <c r="AN3340">
        <v>1.0000000235591999</v>
      </c>
    </row>
    <row r="3341" spans="1:40" x14ac:dyDescent="0.25">
      <c r="A3341" t="str">
        <f>"20190303162616619"</f>
        <v>20190303162616619</v>
      </c>
      <c r="B3341" t="str">
        <f>"1551601576606548"</f>
        <v>1551601576606548</v>
      </c>
      <c r="C3341" t="s">
        <v>40</v>
      </c>
      <c r="D3341">
        <v>4.7315310000000004</v>
      </c>
      <c r="E3341">
        <v>0.5465044</v>
      </c>
      <c r="F3341" t="s">
        <v>41</v>
      </c>
      <c r="G3341">
        <v>-218.09180000000001</v>
      </c>
      <c r="H3341" s="1">
        <v>-1.95548E-6</v>
      </c>
      <c r="I3341">
        <v>143.6489</v>
      </c>
      <c r="J3341">
        <v>-197.40940000000001</v>
      </c>
      <c r="K3341">
        <v>1.1102320000000001</v>
      </c>
      <c r="L3341">
        <v>147.59970000000001</v>
      </c>
      <c r="M3341">
        <v>-0.79334249999999995</v>
      </c>
      <c r="N3341">
        <v>-9.2585859999999992E-3</v>
      </c>
      <c r="O3341">
        <v>-0.6087053</v>
      </c>
      <c r="P3341">
        <v>-0.93672129999999998</v>
      </c>
      <c r="Q3341">
        <v>0.16968539999999999</v>
      </c>
      <c r="R3341">
        <v>-0.306203</v>
      </c>
      <c r="S3341">
        <v>-3.0408019999999998</v>
      </c>
      <c r="T3341">
        <v>-0.16129079999999901</v>
      </c>
      <c r="U3341">
        <v>-0.60038760000000002</v>
      </c>
      <c r="V3341">
        <v>0.33154689999999998</v>
      </c>
      <c r="W3341">
        <v>0.1702137</v>
      </c>
      <c r="X3341">
        <v>0.92795689999999997</v>
      </c>
      <c r="Y3341">
        <v>0.44239719999999999</v>
      </c>
      <c r="Z3341">
        <v>3.7355550000000001E-2</v>
      </c>
      <c r="AA3341">
        <v>0.89604089999999903</v>
      </c>
      <c r="AB3341">
        <v>32</v>
      </c>
      <c r="AC3341">
        <v>-20.682400000000001</v>
      </c>
      <c r="AD3341">
        <v>-1.11023395547999</v>
      </c>
      <c r="AE3341">
        <v>-3.9508000000000099</v>
      </c>
      <c r="AF3341">
        <v>9.4293387350158504</v>
      </c>
      <c r="AG3341">
        <v>-1.11023395547999</v>
      </c>
      <c r="AH3341">
        <v>18.761744722478898</v>
      </c>
      <c r="AI3341">
        <v>93.026601507461905</v>
      </c>
      <c r="AJ3341">
        <v>63.316663521344701</v>
      </c>
      <c r="AK3341">
        <v>21.0273182656999</v>
      </c>
      <c r="AL3341">
        <v>80.1997560367642</v>
      </c>
      <c r="AM3341">
        <v>70.338853771948294</v>
      </c>
      <c r="AN3341">
        <v>1.00000002941245</v>
      </c>
    </row>
    <row r="3342" spans="1:40" x14ac:dyDescent="0.25">
      <c r="A3342" t="str">
        <f>"20190303162616642"</f>
        <v>20190303162616642</v>
      </c>
      <c r="B3342" t="str">
        <f>"1551601576636804"</f>
        <v>1551601576636804</v>
      </c>
      <c r="C3342" t="s">
        <v>40</v>
      </c>
      <c r="D3342">
        <v>4.7136440000000004</v>
      </c>
      <c r="E3342">
        <v>0.54517689999999996</v>
      </c>
      <c r="F3342" t="s">
        <v>41</v>
      </c>
      <c r="G3342">
        <v>-215.5273</v>
      </c>
      <c r="H3342" s="1">
        <v>-3.2224030000000001E-6</v>
      </c>
      <c r="I3342">
        <v>143.85429999999999</v>
      </c>
      <c r="J3342">
        <v>-197.68129999999999</v>
      </c>
      <c r="K3342">
        <v>1.1102590000000001</v>
      </c>
      <c r="L3342">
        <v>147.40559999999999</v>
      </c>
      <c r="M3342">
        <v>-0.8006856</v>
      </c>
      <c r="N3342">
        <v>-9.2662390000000008E-3</v>
      </c>
      <c r="O3342">
        <v>-0.59901289999999996</v>
      </c>
      <c r="P3342">
        <v>-0.9399035</v>
      </c>
      <c r="Q3342">
        <v>0.16902149999999999</v>
      </c>
      <c r="R3342">
        <v>-0.29666999999999999</v>
      </c>
      <c r="S3342">
        <v>-3.0314640000000002</v>
      </c>
      <c r="T3342">
        <v>-0.1857636</v>
      </c>
      <c r="U3342">
        <v>-0.62666319999999998</v>
      </c>
      <c r="V3342">
        <v>0.32972770000000001</v>
      </c>
      <c r="W3342">
        <v>0.16963719999999999</v>
      </c>
      <c r="X3342">
        <v>0.92871029999999999</v>
      </c>
      <c r="Y3342">
        <v>0.42306270000000001</v>
      </c>
      <c r="Z3342">
        <v>4.2666879999999997E-2</v>
      </c>
      <c r="AA3342">
        <v>0.90509530000000005</v>
      </c>
      <c r="AB3342">
        <v>32</v>
      </c>
      <c r="AC3342">
        <v>-17.846</v>
      </c>
      <c r="AD3342">
        <v>-1.1102622224030001</v>
      </c>
      <c r="AE3342">
        <v>-3.5512999999999901</v>
      </c>
      <c r="AF3342">
        <v>7.8177411882043799</v>
      </c>
      <c r="AG3342">
        <v>-1.1102622224030001</v>
      </c>
      <c r="AH3342">
        <v>16.356121365341899</v>
      </c>
      <c r="AI3342">
        <v>93.504660995302999</v>
      </c>
      <c r="AJ3342">
        <v>64.453582888975902</v>
      </c>
      <c r="AK3342">
        <v>18.162391516703799</v>
      </c>
      <c r="AL3342">
        <v>80.233274013431696</v>
      </c>
      <c r="AM3342">
        <v>70.4531902997266</v>
      </c>
      <c r="AN3342">
        <v>0.999999978548609</v>
      </c>
    </row>
    <row r="3343" spans="1:40" x14ac:dyDescent="0.25">
      <c r="A3343" t="str">
        <f>"20190303162616663"</f>
        <v>20190303162616663</v>
      </c>
      <c r="B3343" t="str">
        <f>"1551601576656324"</f>
        <v>1551601576656324</v>
      </c>
      <c r="C3343" t="s">
        <v>40</v>
      </c>
      <c r="D3343">
        <v>4.7457089999999997</v>
      </c>
      <c r="E3343">
        <v>0.54442299999999999</v>
      </c>
      <c r="F3343" t="s">
        <v>41</v>
      </c>
      <c r="G3343">
        <v>-215.16669999999999</v>
      </c>
      <c r="H3343" s="1">
        <v>-3.4084179999999999E-6</v>
      </c>
      <c r="I3343">
        <v>143.91290000000001</v>
      </c>
      <c r="J3343">
        <v>-197.9288</v>
      </c>
      <c r="K3343">
        <v>1.1102970000000001</v>
      </c>
      <c r="L3343">
        <v>147.2329</v>
      </c>
      <c r="M3343">
        <v>-0.80716639999999995</v>
      </c>
      <c r="N3343">
        <v>-9.2714200000000007E-3</v>
      </c>
      <c r="O3343">
        <v>-0.59025130000000003</v>
      </c>
      <c r="P3343">
        <v>-0.94229859999999999</v>
      </c>
      <c r="Q3343">
        <v>0.17018429999999901</v>
      </c>
      <c r="R3343">
        <v>-0.28828959999999998</v>
      </c>
      <c r="S3343">
        <v>-3.0350950000000001</v>
      </c>
      <c r="T3343">
        <v>-0.1927181</v>
      </c>
      <c r="U3343">
        <v>-0.60626219999999997</v>
      </c>
      <c r="V3343">
        <v>0.327762</v>
      </c>
      <c r="W3343">
        <v>0.1708866</v>
      </c>
      <c r="X3343">
        <v>0.92917700000000003</v>
      </c>
      <c r="Y3343">
        <v>0.4191433</v>
      </c>
      <c r="Z3343">
        <v>4.3921149999999999E-2</v>
      </c>
      <c r="AA3343">
        <v>0.90685709999999997</v>
      </c>
      <c r="AB3343">
        <v>32</v>
      </c>
      <c r="AC3343">
        <v>-17.2378999999999</v>
      </c>
      <c r="AD3343">
        <v>-1.1103004084179999</v>
      </c>
      <c r="AE3343">
        <v>-3.3199999999999901</v>
      </c>
      <c r="AF3343">
        <v>7.4653582356760797</v>
      </c>
      <c r="AG3343">
        <v>-1.1103004084179999</v>
      </c>
      <c r="AH3343">
        <v>15.8109204246869</v>
      </c>
      <c r="AI3343">
        <v>93.633463193594295</v>
      </c>
      <c r="AJ3343">
        <v>64.724973451157894</v>
      </c>
      <c r="AK3343">
        <v>17.519975606709401</v>
      </c>
      <c r="AL3343">
        <v>80.160628434805602</v>
      </c>
      <c r="AM3343">
        <v>70.569990476193098</v>
      </c>
      <c r="AN3343">
        <v>1.00000002801627</v>
      </c>
    </row>
    <row r="3344" spans="1:40" x14ac:dyDescent="0.25">
      <c r="A3344" t="str">
        <f>"20190303162616684"</f>
        <v>20190303162616684</v>
      </c>
      <c r="B3344" t="str">
        <f>"1551601576676820"</f>
        <v>1551601576676820</v>
      </c>
      <c r="C3344" t="s">
        <v>40</v>
      </c>
      <c r="D3344">
        <v>4.743366</v>
      </c>
      <c r="E3344">
        <v>0.5434523</v>
      </c>
      <c r="F3344" t="s">
        <v>41</v>
      </c>
      <c r="G3344">
        <v>-215.7578</v>
      </c>
      <c r="H3344" s="1">
        <v>-3.0984560000000001E-6</v>
      </c>
      <c r="I3344">
        <v>143.798</v>
      </c>
      <c r="J3344">
        <v>-198.19139999999999</v>
      </c>
      <c r="K3344">
        <v>1.1103419999999999</v>
      </c>
      <c r="L3344">
        <v>147.054</v>
      </c>
      <c r="M3344">
        <v>-0.81382659999999996</v>
      </c>
      <c r="N3344">
        <v>-9.275719E-3</v>
      </c>
      <c r="O3344">
        <v>-0.58103389999999999</v>
      </c>
      <c r="P3344">
        <v>-0.94464749999999997</v>
      </c>
      <c r="Q3344">
        <v>0.17175869999999999</v>
      </c>
      <c r="R3344">
        <v>-0.279535799999999</v>
      </c>
      <c r="S3344">
        <v>-3.0387569999999999</v>
      </c>
      <c r="T3344">
        <v>-0.18923889999999999</v>
      </c>
      <c r="U3344">
        <v>-0.585449199999999</v>
      </c>
      <c r="V3344">
        <v>0.32566630000000002</v>
      </c>
      <c r="W3344">
        <v>0.1725537</v>
      </c>
      <c r="X3344">
        <v>0.92960569999999998</v>
      </c>
      <c r="Y3344">
        <v>0.41508679999999898</v>
      </c>
      <c r="Z3344">
        <v>4.2556999999999998E-2</v>
      </c>
      <c r="AA3344">
        <v>0.90878590000000004</v>
      </c>
      <c r="AB3344">
        <v>32</v>
      </c>
      <c r="AC3344">
        <v>-17.566400000000002</v>
      </c>
      <c r="AD3344">
        <v>-1.1103450984559999</v>
      </c>
      <c r="AE3344">
        <v>-3.2559999999999998</v>
      </c>
      <c r="AF3344">
        <v>7.5281008895230501</v>
      </c>
      <c r="AG3344">
        <v>-1.1103450984559999</v>
      </c>
      <c r="AH3344">
        <v>16.126255687151701</v>
      </c>
      <c r="AI3344">
        <v>93.570052000445202</v>
      </c>
      <c r="AJ3344">
        <v>64.975769561270496</v>
      </c>
      <c r="AK3344">
        <v>17.831469141040898</v>
      </c>
      <c r="AL3344">
        <v>80.0636704934238</v>
      </c>
      <c r="AM3344">
        <v>70.693246635299204</v>
      </c>
      <c r="AN3344">
        <v>1.00000003790593</v>
      </c>
    </row>
    <row r="3345" spans="1:40" x14ac:dyDescent="0.25">
      <c r="A3345" t="str">
        <f>"20190303162616706"</f>
        <v>20190303162616706</v>
      </c>
      <c r="B3345" t="str">
        <f>"1551601576696338"</f>
        <v>1551601576696338</v>
      </c>
      <c r="C3345" t="s">
        <v>40</v>
      </c>
      <c r="D3345">
        <v>4.7533139999999996</v>
      </c>
      <c r="E3345">
        <v>0.54280530000000005</v>
      </c>
      <c r="F3345" t="s">
        <v>41</v>
      </c>
      <c r="G3345">
        <v>-216.6319</v>
      </c>
      <c r="H3345" s="1">
        <v>-2.6395709999999999E-6</v>
      </c>
      <c r="I3345">
        <v>143.62639999999999</v>
      </c>
      <c r="J3345">
        <v>-198.45060000000001</v>
      </c>
      <c r="K3345">
        <v>1.1103860000000001</v>
      </c>
      <c r="L3345">
        <v>146.88140000000001</v>
      </c>
      <c r="M3345">
        <v>-0.82018139999999995</v>
      </c>
      <c r="N3345">
        <v>-9.2779860000000002E-3</v>
      </c>
      <c r="O3345">
        <v>-0.5720286</v>
      </c>
      <c r="P3345">
        <v>-0.94686420000000004</v>
      </c>
      <c r="Q3345">
        <v>0.17222460000000001</v>
      </c>
      <c r="R3345">
        <v>-0.2716385</v>
      </c>
      <c r="S3345">
        <v>-3.041779</v>
      </c>
      <c r="T3345">
        <v>-0.1831527</v>
      </c>
      <c r="U3345">
        <v>-0.56538389999999905</v>
      </c>
      <c r="V3345">
        <v>0.32312049999999998</v>
      </c>
      <c r="W3345">
        <v>0.17312759999999999</v>
      </c>
      <c r="X3345">
        <v>0.93038699999999996</v>
      </c>
      <c r="Y3345">
        <v>0.41113100000000002</v>
      </c>
      <c r="Z3345">
        <v>4.0598660000000002E-2</v>
      </c>
      <c r="AA3345">
        <v>0.91067180000000003</v>
      </c>
      <c r="AB3345">
        <v>32</v>
      </c>
      <c r="AC3345">
        <v>-18.1813</v>
      </c>
      <c r="AD3345">
        <v>-1.1103886395710001</v>
      </c>
      <c r="AE3345">
        <v>-3.2550000000000199</v>
      </c>
      <c r="AF3345">
        <v>7.7030251959860001</v>
      </c>
      <c r="AG3345">
        <v>-1.1103886395710001</v>
      </c>
      <c r="AH3345">
        <v>16.714229735104801</v>
      </c>
      <c r="AI3345">
        <v>93.452729561535804</v>
      </c>
      <c r="AJ3345">
        <v>65.256616537547899</v>
      </c>
      <c r="AK3345">
        <v>18.437327239563398</v>
      </c>
      <c r="AL3345">
        <v>80.030285586940394</v>
      </c>
      <c r="AM3345">
        <v>70.848045412276704</v>
      </c>
      <c r="AN3345">
        <v>0.99999999658550398</v>
      </c>
    </row>
    <row r="3346" spans="1:40" x14ac:dyDescent="0.25">
      <c r="A3346" t="str">
        <f>"20190303162616728"</f>
        <v>20190303162616728</v>
      </c>
      <c r="B3346" t="str">
        <f>"1551601576716835"</f>
        <v>1551601576716835</v>
      </c>
      <c r="C3346" t="s">
        <v>40</v>
      </c>
      <c r="D3346">
        <v>4.808751</v>
      </c>
      <c r="E3346">
        <v>0.54222609999999904</v>
      </c>
      <c r="F3346" t="s">
        <v>41</v>
      </c>
      <c r="G3346">
        <v>-216.83709999999999</v>
      </c>
      <c r="H3346" s="1">
        <v>-2.5332679999999999E-6</v>
      </c>
      <c r="I3346">
        <v>143.59139999999999</v>
      </c>
      <c r="J3346">
        <v>-198.72190000000001</v>
      </c>
      <c r="K3346">
        <v>1.110439</v>
      </c>
      <c r="L3346">
        <v>146.70490000000001</v>
      </c>
      <c r="M3346">
        <v>-0.82660730000000004</v>
      </c>
      <c r="N3346">
        <v>-9.2774899999999993E-3</v>
      </c>
      <c r="O3346">
        <v>-0.562702699999999</v>
      </c>
      <c r="P3346">
        <v>-0.9493045</v>
      </c>
      <c r="Q3346">
        <v>0.17188689999999901</v>
      </c>
      <c r="R3346">
        <v>-0.26320359999999998</v>
      </c>
      <c r="S3346">
        <v>-3.0454859999999999</v>
      </c>
      <c r="T3346">
        <v>-0.1839209</v>
      </c>
      <c r="U3346">
        <v>-0.54493709999999995</v>
      </c>
      <c r="V3346">
        <v>0.32085819999999998</v>
      </c>
      <c r="W3346">
        <v>0.17289660000000001</v>
      </c>
      <c r="X3346">
        <v>0.9312125</v>
      </c>
      <c r="Y3346">
        <v>0.4069276</v>
      </c>
      <c r="Z3346">
        <v>4.0275539999999999E-2</v>
      </c>
      <c r="AA3346">
        <v>0.9125721</v>
      </c>
      <c r="AB3346">
        <v>32</v>
      </c>
      <c r="AC3346">
        <v>-18.115199999999898</v>
      </c>
      <c r="AD3346">
        <v>-1.110441533268</v>
      </c>
      <c r="AE3346">
        <v>-3.1135000000000099</v>
      </c>
      <c r="AF3346">
        <v>7.5924475041505799</v>
      </c>
      <c r="AG3346">
        <v>-1.110441533268</v>
      </c>
      <c r="AH3346">
        <v>16.666024398548</v>
      </c>
      <c r="AI3346">
        <v>93.469799454868905</v>
      </c>
      <c r="AJ3346">
        <v>65.507679034874499</v>
      </c>
      <c r="AK3346">
        <v>18.347607712044798</v>
      </c>
      <c r="AL3346">
        <v>80.043723288135098</v>
      </c>
      <c r="AM3346">
        <v>70.988118213245698</v>
      </c>
      <c r="AN3346">
        <v>0.99999996947752401</v>
      </c>
    </row>
    <row r="3347" spans="1:40" x14ac:dyDescent="0.25">
      <c r="A3347" t="str">
        <f>"20190303162616752"</f>
        <v>20190303162616752</v>
      </c>
      <c r="B3347" t="str">
        <f>"1551601576747091"</f>
        <v>1551601576747091</v>
      </c>
      <c r="C3347" t="s">
        <v>40</v>
      </c>
      <c r="D3347">
        <v>4.810511</v>
      </c>
      <c r="E3347">
        <v>0.5414757</v>
      </c>
      <c r="F3347" t="s">
        <v>41</v>
      </c>
      <c r="G3347">
        <v>-216.7441</v>
      </c>
      <c r="H3347" s="1">
        <v>-2.5832909999999999E-6</v>
      </c>
      <c r="I3347">
        <v>143.61420000000001</v>
      </c>
      <c r="J3347">
        <v>-199.0198</v>
      </c>
      <c r="K3347">
        <v>1.1105050000000001</v>
      </c>
      <c r="L3347">
        <v>146.51580000000001</v>
      </c>
      <c r="M3347">
        <v>-0.83340149999999902</v>
      </c>
      <c r="N3347">
        <v>-9.2742020000000005E-3</v>
      </c>
      <c r="O3347">
        <v>-0.55259009999999997</v>
      </c>
      <c r="P3347">
        <v>-0.95185540000000002</v>
      </c>
      <c r="Q3347">
        <v>0.17101429999999901</v>
      </c>
      <c r="R3347">
        <v>-0.25441249999999999</v>
      </c>
      <c r="S3347">
        <v>-3.0492400000000002</v>
      </c>
      <c r="T3347">
        <v>-0.18787960000000001</v>
      </c>
      <c r="U3347">
        <v>-0.52291869999999996</v>
      </c>
      <c r="V3347">
        <v>0.31815599999999999</v>
      </c>
      <c r="W3347">
        <v>0.17214979999999999</v>
      </c>
      <c r="X3347">
        <v>0.93227740000000003</v>
      </c>
      <c r="Y3347">
        <v>0.40234130000000001</v>
      </c>
      <c r="Z3347">
        <v>4.0649520000000001E-2</v>
      </c>
      <c r="AA3347">
        <v>0.91458680000000003</v>
      </c>
      <c r="AB3347">
        <v>32</v>
      </c>
      <c r="AC3347">
        <v>-17.724299999999999</v>
      </c>
      <c r="AD3347">
        <v>-1.1105075832910001</v>
      </c>
      <c r="AE3347">
        <v>-2.9016000000000002</v>
      </c>
      <c r="AF3347">
        <v>7.3482990600982596</v>
      </c>
      <c r="AG3347">
        <v>-1.1105075832910001</v>
      </c>
      <c r="AH3347">
        <v>16.313191361265499</v>
      </c>
      <c r="AI3347">
        <v>93.551669481169895</v>
      </c>
      <c r="AJ3347">
        <v>65.750752776294604</v>
      </c>
      <c r="AK3347">
        <v>17.926263931964598</v>
      </c>
      <c r="AL3347">
        <v>80.087163167462904</v>
      </c>
      <c r="AM3347">
        <v>71.156893541767403</v>
      </c>
      <c r="AN3347">
        <v>0.99999997226339898</v>
      </c>
    </row>
    <row r="3348" spans="1:40" x14ac:dyDescent="0.25">
      <c r="A3348" t="str">
        <f>"20190303162616775"</f>
        <v>20190303162616775</v>
      </c>
      <c r="B3348" t="str">
        <f>"1551601576766612"</f>
        <v>1551601576766612</v>
      </c>
      <c r="C3348" t="s">
        <v>40</v>
      </c>
      <c r="D3348">
        <v>4.8596459999999997</v>
      </c>
      <c r="E3348">
        <v>0.54124740000000005</v>
      </c>
      <c r="F3348" t="s">
        <v>41</v>
      </c>
      <c r="G3348">
        <v>-216.524</v>
      </c>
      <c r="H3348" s="1">
        <v>-2.6955580000000002E-6</v>
      </c>
      <c r="I3348">
        <v>143.64510000000001</v>
      </c>
      <c r="J3348">
        <v>-199.3064</v>
      </c>
      <c r="K3348">
        <v>1.110576</v>
      </c>
      <c r="L3348">
        <v>146.3383</v>
      </c>
      <c r="M3348">
        <v>-0.83969780000000005</v>
      </c>
      <c r="N3348">
        <v>-9.2698020000000006E-3</v>
      </c>
      <c r="O3348">
        <v>-0.54297510000000004</v>
      </c>
      <c r="P3348">
        <v>-0.95415050000000001</v>
      </c>
      <c r="Q3348">
        <v>0.17004430000000001</v>
      </c>
      <c r="R3348">
        <v>-0.24633669999999999</v>
      </c>
      <c r="S3348">
        <v>-3.0527039999999999</v>
      </c>
      <c r="T3348">
        <v>-0.19366990000000001</v>
      </c>
      <c r="U3348">
        <v>-0.50064090000000006</v>
      </c>
      <c r="V3348">
        <v>0.31537720000000002</v>
      </c>
      <c r="W3348">
        <v>0.17130609999999999</v>
      </c>
      <c r="X3348">
        <v>0.93337639999999999</v>
      </c>
      <c r="Y3348">
        <v>0.39840769999999998</v>
      </c>
      <c r="Z3348">
        <v>4.1461089999999999E-2</v>
      </c>
      <c r="AA3348">
        <v>0.9162709</v>
      </c>
      <c r="AB3348">
        <v>32</v>
      </c>
      <c r="AC3348">
        <v>-17.217600000000001</v>
      </c>
      <c r="AD3348">
        <v>-1.1105786955579999</v>
      </c>
      <c r="AE3348">
        <v>-2.6931999999999898</v>
      </c>
      <c r="AF3348">
        <v>7.0588898636699202</v>
      </c>
      <c r="AG3348">
        <v>-1.1105786955579999</v>
      </c>
      <c r="AH3348">
        <v>15.856207804936201</v>
      </c>
      <c r="AI3348">
        <v>93.661160493147307</v>
      </c>
      <c r="AJ3348">
        <v>66.002257844534796</v>
      </c>
      <c r="AK3348">
        <v>17.391970477774102</v>
      </c>
      <c r="AL3348">
        <v>80.136233160981106</v>
      </c>
      <c r="AM3348">
        <v>71.330477740272599</v>
      </c>
      <c r="AN3348">
        <v>1.0000000311270001</v>
      </c>
    </row>
    <row r="3349" spans="1:40" x14ac:dyDescent="0.25">
      <c r="A3349" t="str">
        <f>"20190303162616796"</f>
        <v>20190303162616796</v>
      </c>
      <c r="B3349" t="str">
        <f>"1551601576787108"</f>
        <v>1551601576787108</v>
      </c>
      <c r="C3349" t="s">
        <v>40</v>
      </c>
      <c r="D3349">
        <v>4.8772390000000003</v>
      </c>
      <c r="E3349">
        <v>0.53629879999999996</v>
      </c>
      <c r="F3349" t="s">
        <v>41</v>
      </c>
      <c r="G3349">
        <v>-216.60489999999999</v>
      </c>
      <c r="H3349" s="1">
        <v>-2.659098E-6</v>
      </c>
      <c r="I3349">
        <v>143.65180000000001</v>
      </c>
      <c r="J3349">
        <v>-199.5762</v>
      </c>
      <c r="K3349">
        <v>1.110641</v>
      </c>
      <c r="L3349">
        <v>146.17529999999999</v>
      </c>
      <c r="M3349">
        <v>-0.84542009999999901</v>
      </c>
      <c r="N3349">
        <v>-9.2663090000000004E-3</v>
      </c>
      <c r="O3349">
        <v>-0.53402159999999999</v>
      </c>
      <c r="P3349">
        <v>-0.95581099999999997</v>
      </c>
      <c r="Q3349">
        <v>0.1700593</v>
      </c>
      <c r="R3349">
        <v>-0.23980299999999999</v>
      </c>
      <c r="S3349">
        <v>-3.0565799999999999</v>
      </c>
      <c r="T3349">
        <v>-0.1962353</v>
      </c>
      <c r="U3349">
        <v>-0.47470089999999998</v>
      </c>
      <c r="V3349">
        <v>0.3118107</v>
      </c>
      <c r="W3349">
        <v>0.17145929999999901</v>
      </c>
      <c r="X3349">
        <v>0.93454579999999998</v>
      </c>
      <c r="Y3349">
        <v>0.3964046</v>
      </c>
      <c r="Z3349">
        <v>4.1591789999999997E-2</v>
      </c>
      <c r="AA3349">
        <v>0.91713330000000004</v>
      </c>
      <c r="AB3349">
        <v>32</v>
      </c>
      <c r="AC3349">
        <v>-17.028699999999901</v>
      </c>
      <c r="AD3349">
        <v>-1.110643659098</v>
      </c>
      <c r="AE3349">
        <v>-2.5234999999999799</v>
      </c>
      <c r="AF3349">
        <v>6.9317213967229199</v>
      </c>
      <c r="AG3349">
        <v>-1.110643659098</v>
      </c>
      <c r="AH3349">
        <v>15.679418813416399</v>
      </c>
      <c r="AI3349">
        <v>93.706775591812601</v>
      </c>
      <c r="AJ3349">
        <v>66.150235822071906</v>
      </c>
      <c r="AK3349">
        <v>17.179245186730299</v>
      </c>
      <c r="AL3349">
        <v>80.127323598364498</v>
      </c>
      <c r="AM3349">
        <v>71.548751355549101</v>
      </c>
      <c r="AN3349">
        <v>1.0000000282443</v>
      </c>
    </row>
    <row r="3350" spans="1:40" x14ac:dyDescent="0.25">
      <c r="A3350" t="str">
        <f>"20190303162616826"</f>
        <v>20190303162616826</v>
      </c>
      <c r="B3350" t="str">
        <f>"1551601576816388"</f>
        <v>1551601576816388</v>
      </c>
      <c r="C3350" t="s">
        <v>40</v>
      </c>
      <c r="D3350">
        <v>4.92164</v>
      </c>
      <c r="E3350">
        <v>0.53580779999999995</v>
      </c>
      <c r="F3350" t="s">
        <v>41</v>
      </c>
      <c r="G3350">
        <v>-214.65260000000001</v>
      </c>
      <c r="H3350" s="1">
        <v>-3.604564E-6</v>
      </c>
      <c r="I3350">
        <v>143.73670000000001</v>
      </c>
      <c r="J3350">
        <v>-199.94139999999999</v>
      </c>
      <c r="K3350">
        <v>1.110716</v>
      </c>
      <c r="L3350">
        <v>145.96100000000001</v>
      </c>
      <c r="M3350">
        <v>-0.85288039999999998</v>
      </c>
      <c r="N3350">
        <v>-9.2654250000000007E-3</v>
      </c>
      <c r="O3350">
        <v>-0.5220245</v>
      </c>
      <c r="P3350">
        <v>-0.95770659999999996</v>
      </c>
      <c r="Q3350">
        <v>0.1712563</v>
      </c>
      <c r="R3350">
        <v>-0.23123450000000001</v>
      </c>
      <c r="S3350">
        <v>-3.054764</v>
      </c>
      <c r="T3350">
        <v>-0.22503809999999999</v>
      </c>
      <c r="U3350">
        <v>-0.4941101</v>
      </c>
      <c r="V3350">
        <v>0.30685790000000002</v>
      </c>
      <c r="W3350">
        <v>0.17282610000000001</v>
      </c>
      <c r="X3350">
        <v>0.93593230000000005</v>
      </c>
      <c r="Y3350">
        <v>0.37714639999999999</v>
      </c>
      <c r="Z3350">
        <v>4.6755190000000002E-2</v>
      </c>
      <c r="AA3350">
        <v>0.92497269999999998</v>
      </c>
      <c r="AB3350">
        <v>32</v>
      </c>
      <c r="AC3350">
        <v>-14.7112</v>
      </c>
      <c r="AD3350">
        <v>-1.110719604564</v>
      </c>
      <c r="AE3350">
        <v>-2.2242999999999902</v>
      </c>
      <c r="AF3350">
        <v>5.75074259670121</v>
      </c>
      <c r="AG3350">
        <v>-1.110719604564</v>
      </c>
      <c r="AH3350">
        <v>13.6326429485019</v>
      </c>
      <c r="AI3350">
        <v>94.293095365832698</v>
      </c>
      <c r="AJ3350">
        <v>67.128220963457494</v>
      </c>
      <c r="AK3350">
        <v>14.837577033155201</v>
      </c>
      <c r="AL3350">
        <v>80.047824191150596</v>
      </c>
      <c r="AM3350">
        <v>71.847578739015702</v>
      </c>
      <c r="AN3350">
        <v>0.99999995090845295</v>
      </c>
    </row>
    <row r="3351" spans="1:40" x14ac:dyDescent="0.25">
      <c r="A3351" t="str">
        <f>"20190303162616844"</f>
        <v>20190303162616844</v>
      </c>
      <c r="B3351" t="str">
        <f>"1551601576836884"</f>
        <v>1551601576836884</v>
      </c>
      <c r="C3351" t="s">
        <v>40</v>
      </c>
      <c r="D3351">
        <v>4.9244640000000004</v>
      </c>
      <c r="E3351">
        <v>0.53566040000000004</v>
      </c>
      <c r="F3351" t="s">
        <v>41</v>
      </c>
      <c r="G3351">
        <v>-215.1857</v>
      </c>
      <c r="H3351" s="1">
        <v>-3.3221450000000001E-6</v>
      </c>
      <c r="I3351">
        <v>143.6224</v>
      </c>
      <c r="J3351">
        <v>-200.18559999999999</v>
      </c>
      <c r="K3351">
        <v>1.110744</v>
      </c>
      <c r="L3351">
        <v>145.82130000000001</v>
      </c>
      <c r="M3351">
        <v>-0.85771409999999904</v>
      </c>
      <c r="N3351">
        <v>-9.2676359999999992E-3</v>
      </c>
      <c r="O3351">
        <v>-0.51404349999999999</v>
      </c>
      <c r="P3351">
        <v>-0.95825890000000002</v>
      </c>
      <c r="Q3351">
        <v>0.17348659999999999</v>
      </c>
      <c r="R3351">
        <v>-0.22725039999999999</v>
      </c>
      <c r="S3351">
        <v>-3.0590359999999999</v>
      </c>
      <c r="T3351">
        <v>-0.22288469999999999</v>
      </c>
      <c r="U3351">
        <v>-0.46928409999999898</v>
      </c>
      <c r="V3351">
        <v>0.30184329999999998</v>
      </c>
      <c r="W3351">
        <v>0.17520160000000001</v>
      </c>
      <c r="X3351">
        <v>0.93712059999999997</v>
      </c>
      <c r="Y3351">
        <v>0.37609429999999999</v>
      </c>
      <c r="Z3351">
        <v>4.5807250000000001E-2</v>
      </c>
      <c r="AA3351">
        <v>0.92544839999999995</v>
      </c>
      <c r="AB3351">
        <v>32</v>
      </c>
      <c r="AC3351">
        <v>-15.0001</v>
      </c>
      <c r="AD3351">
        <v>-1.1107473221449999</v>
      </c>
      <c r="AE3351">
        <v>-2.1989000000000001</v>
      </c>
      <c r="AF3351">
        <v>5.7938253116671401</v>
      </c>
      <c r="AG3351">
        <v>-1.1107473221449999</v>
      </c>
      <c r="AH3351">
        <v>13.9219954486968</v>
      </c>
      <c r="AI3351">
        <v>94.212774948960799</v>
      </c>
      <c r="AJ3351">
        <v>67.404707725208695</v>
      </c>
      <c r="AK3351">
        <v>15.120321710509399</v>
      </c>
      <c r="AL3351">
        <v>79.909609794795003</v>
      </c>
      <c r="AM3351">
        <v>72.146430046428407</v>
      </c>
      <c r="AN3351">
        <v>0.99999999867090505</v>
      </c>
    </row>
    <row r="3352" spans="1:40" x14ac:dyDescent="0.25">
      <c r="A3352" t="str">
        <f>"20190303162616863"</f>
        <v>20190303162616863</v>
      </c>
      <c r="B3352" t="str">
        <f>"1551601576856404"</f>
        <v>1551601576856404</v>
      </c>
      <c r="C3352" t="s">
        <v>40</v>
      </c>
      <c r="D3352">
        <v>4.9490809999999996</v>
      </c>
      <c r="E3352">
        <v>0.535556699999999</v>
      </c>
      <c r="F3352" t="s">
        <v>41</v>
      </c>
      <c r="G3352">
        <v>-215.88740000000001</v>
      </c>
      <c r="H3352" s="1">
        <v>-2.9520970000000002E-6</v>
      </c>
      <c r="I3352">
        <v>143.47819999999999</v>
      </c>
      <c r="J3352">
        <v>-200.4247</v>
      </c>
      <c r="K3352">
        <v>1.1107469999999999</v>
      </c>
      <c r="L3352">
        <v>145.68729999999999</v>
      </c>
      <c r="M3352">
        <v>-0.86233700000000002</v>
      </c>
      <c r="N3352">
        <v>-9.2718009999999997E-3</v>
      </c>
      <c r="O3352">
        <v>-0.50625019999999998</v>
      </c>
      <c r="P3352">
        <v>-0.95929180000000003</v>
      </c>
      <c r="Q3352">
        <v>0.1750719</v>
      </c>
      <c r="R3352">
        <v>-0.2216069</v>
      </c>
      <c r="S3352">
        <v>-3.061569</v>
      </c>
      <c r="T3352">
        <v>-0.21657560000000001</v>
      </c>
      <c r="U3352">
        <v>-0.45686339999999998</v>
      </c>
      <c r="V3352">
        <v>0.29874970000000001</v>
      </c>
      <c r="W3352">
        <v>0.17687310000000001</v>
      </c>
      <c r="X3352">
        <v>0.93779769999999896</v>
      </c>
      <c r="Y3352">
        <v>0.37162200000000001</v>
      </c>
      <c r="Z3352">
        <v>4.3840299999999999E-2</v>
      </c>
      <c r="AA3352">
        <v>0.92734839999999996</v>
      </c>
      <c r="AB3352">
        <v>32</v>
      </c>
      <c r="AC3352">
        <v>-15.4627</v>
      </c>
      <c r="AD3352">
        <v>-1.1107499520969999</v>
      </c>
      <c r="AE3352">
        <v>-2.2090999999999998</v>
      </c>
      <c r="AF3352">
        <v>5.8934571236519</v>
      </c>
      <c r="AG3352">
        <v>-1.1107499520969999</v>
      </c>
      <c r="AH3352">
        <v>14.380314256133801</v>
      </c>
      <c r="AI3352">
        <v>94.088075307532804</v>
      </c>
      <c r="AJ3352">
        <v>67.714802245121703</v>
      </c>
      <c r="AK3352">
        <v>15.580758660269799</v>
      </c>
      <c r="AL3352">
        <v>79.812320596728497</v>
      </c>
      <c r="AM3352">
        <v>72.329931890953901</v>
      </c>
      <c r="AN3352">
        <v>1.0000000014394901</v>
      </c>
    </row>
    <row r="3353" spans="1:40" x14ac:dyDescent="0.25">
      <c r="A3353" t="str">
        <f>"20190303162616885"</f>
        <v>20190303162616885</v>
      </c>
      <c r="B3353" t="str">
        <f>"1551601576876900"</f>
        <v>1551601576876900</v>
      </c>
      <c r="C3353" t="s">
        <v>40</v>
      </c>
      <c r="D3353">
        <v>4.9856210000000001</v>
      </c>
      <c r="E3353">
        <v>0.53577790000000003</v>
      </c>
      <c r="F3353" t="s">
        <v>41</v>
      </c>
      <c r="G3353">
        <v>-216.57640000000001</v>
      </c>
      <c r="H3353" s="1">
        <v>-2.5948679999999999E-6</v>
      </c>
      <c r="I3353">
        <v>143.3597</v>
      </c>
      <c r="J3353">
        <v>-200.71549999999999</v>
      </c>
      <c r="K3353">
        <v>1.110735</v>
      </c>
      <c r="L3353">
        <v>145.5283</v>
      </c>
      <c r="M3353">
        <v>-0.86782530000000002</v>
      </c>
      <c r="N3353">
        <v>-9.2794469999999997E-3</v>
      </c>
      <c r="O3353">
        <v>-0.49678299999999997</v>
      </c>
      <c r="P3353">
        <v>-0.96146450000000006</v>
      </c>
      <c r="Q3353">
        <v>0.1744976</v>
      </c>
      <c r="R3353">
        <v>-0.21245459999999999</v>
      </c>
      <c r="S3353">
        <v>-3.0637819999999998</v>
      </c>
      <c r="T3353">
        <v>-0.2106963</v>
      </c>
      <c r="U3353">
        <v>-0.44152829999999899</v>
      </c>
      <c r="V3353">
        <v>0.29746679999999998</v>
      </c>
      <c r="W3353">
        <v>0.17633109999999999</v>
      </c>
      <c r="X3353">
        <v>0.93830749999999996</v>
      </c>
      <c r="Y3353">
        <v>0.3662319</v>
      </c>
      <c r="Z3353">
        <v>4.1890070000000001E-2</v>
      </c>
      <c r="AA3353">
        <v>0.92958030000000003</v>
      </c>
      <c r="AB3353">
        <v>32</v>
      </c>
      <c r="AC3353">
        <v>-15.860900000000001</v>
      </c>
      <c r="AD3353">
        <v>-1.1107375948680001</v>
      </c>
      <c r="AE3353">
        <v>-2.1685999999999899</v>
      </c>
      <c r="AF3353">
        <v>5.9689813156372802</v>
      </c>
      <c r="AG3353">
        <v>-1.1107375948680001</v>
      </c>
      <c r="AH3353">
        <v>14.7713393259894</v>
      </c>
      <c r="AI3353">
        <v>93.988117818812398</v>
      </c>
      <c r="AJ3353">
        <v>67.996756120411703</v>
      </c>
      <c r="AK3353">
        <v>15.9704396130664</v>
      </c>
      <c r="AL3353">
        <v>79.8438713987737</v>
      </c>
      <c r="AM3353">
        <v>72.410090825426394</v>
      </c>
      <c r="AN3353">
        <v>1.00000005924284</v>
      </c>
    </row>
    <row r="3354" spans="1:40" x14ac:dyDescent="0.25">
      <c r="A3354" t="str">
        <f>"20190303162616907"</f>
        <v>20190303162616907</v>
      </c>
      <c r="B3354" t="str">
        <f>"1551601576897396"</f>
        <v>1551601576897396</v>
      </c>
      <c r="C3354" t="s">
        <v>40</v>
      </c>
      <c r="D3354">
        <v>4.9779460000000002</v>
      </c>
      <c r="E3354">
        <v>0.54098349999999995</v>
      </c>
      <c r="F3354" t="s">
        <v>41</v>
      </c>
      <c r="G3354">
        <v>-217.04640000000001</v>
      </c>
      <c r="H3354" s="1">
        <v>-2.3666599999999999E-6</v>
      </c>
      <c r="I3354">
        <v>143.33709999999999</v>
      </c>
      <c r="J3354">
        <v>-200.99340000000001</v>
      </c>
      <c r="K3354">
        <v>1.110706</v>
      </c>
      <c r="L3354">
        <v>145.3801</v>
      </c>
      <c r="M3354">
        <v>-0.87294889999999903</v>
      </c>
      <c r="N3354">
        <v>-9.2894229999999998E-3</v>
      </c>
      <c r="O3354">
        <v>-0.48772369999999998</v>
      </c>
      <c r="P3354">
        <v>-0.96330020000000005</v>
      </c>
      <c r="Q3354">
        <v>0.17413429999999999</v>
      </c>
      <c r="R3354">
        <v>-0.2042793</v>
      </c>
      <c r="S3354">
        <v>-3.0671689999999998</v>
      </c>
      <c r="T3354">
        <v>-0.20861160000000001</v>
      </c>
      <c r="U3354">
        <v>-0.41152949999999999</v>
      </c>
      <c r="V3354">
        <v>0.29570479999999999</v>
      </c>
      <c r="W3354">
        <v>0.17600250000000001</v>
      </c>
      <c r="X3354">
        <v>0.93892589999999998</v>
      </c>
      <c r="Y3354">
        <v>0.36566409999999999</v>
      </c>
      <c r="Z3354">
        <v>4.0981839999999999E-2</v>
      </c>
      <c r="AA3354">
        <v>0.92984429999999996</v>
      </c>
      <c r="AB3354">
        <v>33</v>
      </c>
      <c r="AC3354">
        <v>-16.052999999999901</v>
      </c>
      <c r="AD3354">
        <v>-1.1107083666599999</v>
      </c>
      <c r="AE3354">
        <v>-2.0430000000000001</v>
      </c>
      <c r="AF3354">
        <v>6.0179032398468104</v>
      </c>
      <c r="AG3354">
        <v>-1.1107083666599999</v>
      </c>
      <c r="AH3354">
        <v>14.9401298168104</v>
      </c>
      <c r="AI3354">
        <v>93.944861239141204</v>
      </c>
      <c r="AJ3354">
        <v>68.060361499033505</v>
      </c>
      <c r="AK3354">
        <v>16.144854022972002</v>
      </c>
      <c r="AL3354">
        <v>79.862997595361506</v>
      </c>
      <c r="AM3354">
        <v>72.518729190275806</v>
      </c>
      <c r="AN3354">
        <v>1.00000002722004</v>
      </c>
    </row>
    <row r="3355" spans="1:40" x14ac:dyDescent="0.25">
      <c r="A3355" t="str">
        <f>"20190303162616929"</f>
        <v>20190303162616929</v>
      </c>
      <c r="B3355" t="str">
        <f>"1551601576916916"</f>
        <v>1551601576916916</v>
      </c>
      <c r="C3355" t="s">
        <v>40</v>
      </c>
      <c r="D3355">
        <v>5.0018120000000001</v>
      </c>
      <c r="E3355">
        <v>0.54292750000000001</v>
      </c>
      <c r="F3355" t="s">
        <v>41</v>
      </c>
      <c r="G3355">
        <v>-227.53630000000001</v>
      </c>
      <c r="H3355" s="1">
        <v>-1.7931719999999999E-6</v>
      </c>
      <c r="I3355">
        <v>142.44990000000001</v>
      </c>
      <c r="J3355">
        <v>-201.2869</v>
      </c>
      <c r="K3355">
        <v>1.110665</v>
      </c>
      <c r="L3355">
        <v>145.2276</v>
      </c>
      <c r="M3355">
        <v>-0.87824619999999998</v>
      </c>
      <c r="N3355">
        <v>-9.3027779999999994E-3</v>
      </c>
      <c r="O3355">
        <v>-0.4781184</v>
      </c>
      <c r="P3355">
        <v>-0.96499120000000005</v>
      </c>
      <c r="Q3355">
        <v>0.17507719999999999</v>
      </c>
      <c r="R3355">
        <v>-0.19529469999999999</v>
      </c>
      <c r="S3355">
        <v>-3.0657350000000001</v>
      </c>
      <c r="T3355">
        <v>-0.12828789999999901</v>
      </c>
      <c r="U3355">
        <v>-0.33843990000000002</v>
      </c>
      <c r="V3355">
        <v>0.2941127</v>
      </c>
      <c r="W3355">
        <v>0.1769647</v>
      </c>
      <c r="X3355">
        <v>0.939245</v>
      </c>
      <c r="Y3355">
        <v>0.37826900000000002</v>
      </c>
      <c r="Z3355">
        <v>2.420957E-2</v>
      </c>
      <c r="AA3355">
        <v>0.92537910000000001</v>
      </c>
      <c r="AB3355">
        <v>33</v>
      </c>
      <c r="AC3355">
        <v>-26.249400000000001</v>
      </c>
      <c r="AD3355">
        <v>-1.110666793172</v>
      </c>
      <c r="AE3355">
        <v>-2.7776999999999799</v>
      </c>
      <c r="AF3355">
        <v>10.093383311634399</v>
      </c>
      <c r="AG3355">
        <v>-1.110666793172</v>
      </c>
      <c r="AH3355">
        <v>24.339466021377401</v>
      </c>
      <c r="AI3355">
        <v>92.4136828428733</v>
      </c>
      <c r="AJ3355">
        <v>67.476603013812195</v>
      </c>
      <c r="AK3355">
        <v>26.372705087017899</v>
      </c>
      <c r="AL3355">
        <v>79.806987942169201</v>
      </c>
      <c r="AM3355">
        <v>72.612712283912103</v>
      </c>
      <c r="AN3355">
        <v>0.99999997768618898</v>
      </c>
    </row>
    <row r="3356" spans="1:40" x14ac:dyDescent="0.25">
      <c r="A3356" t="str">
        <f>"20190303162616952"</f>
        <v>20190303162616952</v>
      </c>
      <c r="B3356" t="str">
        <f>"1551601576947171"</f>
        <v>1551601576947171</v>
      </c>
      <c r="C3356" t="s">
        <v>40</v>
      </c>
      <c r="D3356">
        <v>5.0316519999999896</v>
      </c>
      <c r="E3356">
        <v>0.5421222</v>
      </c>
      <c r="F3356" t="s">
        <v>41</v>
      </c>
      <c r="G3356">
        <v>-228.16460000000001</v>
      </c>
      <c r="H3356" s="1">
        <v>-1.5790470000000001E-6</v>
      </c>
      <c r="I3356">
        <v>142.65809999999999</v>
      </c>
      <c r="J3356">
        <v>-201.58349999999999</v>
      </c>
      <c r="K3356">
        <v>1.1106049999999901</v>
      </c>
      <c r="L3356">
        <v>145.07769999999999</v>
      </c>
      <c r="M3356">
        <v>-0.88349339999999998</v>
      </c>
      <c r="N3356">
        <v>-9.3192120000000003E-3</v>
      </c>
      <c r="O3356">
        <v>-0.46835120000000002</v>
      </c>
      <c r="P3356">
        <v>-0.96674660000000001</v>
      </c>
      <c r="Q3356">
        <v>0.17696870000000001</v>
      </c>
      <c r="R3356">
        <v>-0.1846169</v>
      </c>
      <c r="S3356">
        <v>-3.072403</v>
      </c>
      <c r="T3356">
        <v>-0.12696089999999999</v>
      </c>
      <c r="U3356">
        <v>-0.29371639999999999</v>
      </c>
      <c r="V3356">
        <v>0.29399160000000002</v>
      </c>
      <c r="W3356">
        <v>0.1788266</v>
      </c>
      <c r="X3356">
        <v>0.9389303</v>
      </c>
      <c r="Y3356">
        <v>0.3815674</v>
      </c>
      <c r="Z3356">
        <v>2.3731220000000001E-2</v>
      </c>
      <c r="AA3356">
        <v>0.92403630000000003</v>
      </c>
      <c r="AB3356">
        <v>33</v>
      </c>
      <c r="AC3356">
        <v>-26.581099999999999</v>
      </c>
      <c r="AD3356">
        <v>-1.1106065790470001</v>
      </c>
      <c r="AE3356">
        <v>-2.4196</v>
      </c>
      <c r="AF3356">
        <v>10.2942126635868</v>
      </c>
      <c r="AG3356">
        <v>-1.1106065790470001</v>
      </c>
      <c r="AH3356">
        <v>24.5759643753</v>
      </c>
      <c r="AI3356">
        <v>92.386810973782602</v>
      </c>
      <c r="AJ3356">
        <v>67.272496735707406</v>
      </c>
      <c r="AK3356">
        <v>26.668001168302499</v>
      </c>
      <c r="AL3356">
        <v>79.698580597305593</v>
      </c>
      <c r="AM3356">
        <v>72.613965782765305</v>
      </c>
      <c r="AN3356">
        <v>1.0000000609980999</v>
      </c>
    </row>
    <row r="3357" spans="1:40" x14ac:dyDescent="0.25">
      <c r="A3357" t="str">
        <f>"20190303162616976"</f>
        <v>20190303162616976</v>
      </c>
      <c r="B3357" t="str">
        <f>"1551601576966692"</f>
        <v>1551601576966692</v>
      </c>
      <c r="C3357" t="s">
        <v>40</v>
      </c>
      <c r="D3357">
        <v>5.0750099999999998</v>
      </c>
      <c r="E3357">
        <v>0.54158589999999995</v>
      </c>
      <c r="F3357" t="s">
        <v>41</v>
      </c>
      <c r="G3357">
        <v>-227.43029999999999</v>
      </c>
      <c r="H3357" s="1">
        <v>-1.9410090000000002E-6</v>
      </c>
      <c r="I3357">
        <v>142.83449999999999</v>
      </c>
      <c r="J3357">
        <v>-201.91059999999999</v>
      </c>
      <c r="K3357">
        <v>1.1105119999999999</v>
      </c>
      <c r="L3357">
        <v>144.9169</v>
      </c>
      <c r="M3357">
        <v>-0.88916519999999999</v>
      </c>
      <c r="N3357">
        <v>-9.3403970000000003E-3</v>
      </c>
      <c r="O3357">
        <v>-0.45749139999999999</v>
      </c>
      <c r="P3357">
        <v>-0.96882469999999998</v>
      </c>
      <c r="Q3357">
        <v>0.1770272</v>
      </c>
      <c r="R3357">
        <v>-0.17332239999999999</v>
      </c>
      <c r="S3357">
        <v>-3.0764010000000002</v>
      </c>
      <c r="T3357">
        <v>-0.13218959999999999</v>
      </c>
      <c r="U3357">
        <v>-0.26698300000000003</v>
      </c>
      <c r="V3357">
        <v>0.2934794</v>
      </c>
      <c r="W3357">
        <v>0.1788566</v>
      </c>
      <c r="X3357">
        <v>0.93908480000000005</v>
      </c>
      <c r="Y3357">
        <v>0.37827499999999997</v>
      </c>
      <c r="Z3357">
        <v>2.4409859999999999E-2</v>
      </c>
      <c r="AA3357">
        <v>0.92537139999999996</v>
      </c>
      <c r="AB3357">
        <v>33</v>
      </c>
      <c r="AC3357">
        <v>-25.5197</v>
      </c>
      <c r="AD3357">
        <v>-1.1105139410089999</v>
      </c>
      <c r="AE3357">
        <v>-2.0823999999999998</v>
      </c>
      <c r="AF3357">
        <v>9.8054272476787094</v>
      </c>
      <c r="AG3357">
        <v>-1.1105139410089999</v>
      </c>
      <c r="AH3357">
        <v>23.600540970391599</v>
      </c>
      <c r="AI3357">
        <v>92.488129989674405</v>
      </c>
      <c r="AJ3357">
        <v>67.438352461308497</v>
      </c>
      <c r="AK3357">
        <v>25.580562519573899</v>
      </c>
      <c r="AL3357">
        <v>79.696833460054194</v>
      </c>
      <c r="AM3357">
        <v>72.645119370843702</v>
      </c>
      <c r="AN3357">
        <v>1.00000005158947</v>
      </c>
    </row>
    <row r="3358" spans="1:40" x14ac:dyDescent="0.25">
      <c r="A3358" t="str">
        <f>"20190303162617019"</f>
        <v>20190303162617019</v>
      </c>
      <c r="B3358" t="str">
        <f>"1551601577006707"</f>
        <v>1551601577006707</v>
      </c>
      <c r="C3358" t="s">
        <v>40</v>
      </c>
      <c r="D3358">
        <v>5.0982479999999999</v>
      </c>
      <c r="E3358">
        <v>0.5350454</v>
      </c>
      <c r="F3358" t="s">
        <v>41</v>
      </c>
      <c r="G3358">
        <v>-227.2715</v>
      </c>
      <c r="H3358" s="1">
        <v>-2.048684E-6</v>
      </c>
      <c r="I3358">
        <v>142.98320000000001</v>
      </c>
      <c r="J3358">
        <v>-202.48849999999999</v>
      </c>
      <c r="K3358">
        <v>1.110312</v>
      </c>
      <c r="L3358">
        <v>144.6454</v>
      </c>
      <c r="M3358">
        <v>-0.8989123</v>
      </c>
      <c r="N3358">
        <v>-9.3851960000000002E-3</v>
      </c>
      <c r="O3358">
        <v>-0.43802809999999998</v>
      </c>
      <c r="P3358">
        <v>-0.97222569999999997</v>
      </c>
      <c r="Q3358">
        <v>0.17348910000000001</v>
      </c>
      <c r="R3358">
        <v>-0.1570957</v>
      </c>
      <c r="S3358">
        <v>-3.0791629999999999</v>
      </c>
      <c r="T3358">
        <v>-0.13483210000000001</v>
      </c>
      <c r="U3358">
        <v>-0.2347717</v>
      </c>
      <c r="V3358">
        <v>0.28900969999999998</v>
      </c>
      <c r="W3358">
        <v>0.175352799999999</v>
      </c>
      <c r="X3358">
        <v>0.94112960000000001</v>
      </c>
      <c r="Y3358">
        <v>0.36778559999999999</v>
      </c>
      <c r="Z3358">
        <v>2.409157E-2</v>
      </c>
      <c r="AA3358">
        <v>0.92959849999999999</v>
      </c>
      <c r="AB3358">
        <v>33</v>
      </c>
      <c r="AC3358">
        <v>-24.783000000000001</v>
      </c>
      <c r="AD3358">
        <v>-1.110314048684</v>
      </c>
      <c r="AE3358">
        <v>-1.6621999999999799</v>
      </c>
      <c r="AF3358">
        <v>9.3432211527487805</v>
      </c>
      <c r="AG3358">
        <v>-1.110314048684</v>
      </c>
      <c r="AH3358">
        <v>22.960966708115599</v>
      </c>
      <c r="AI3358">
        <v>92.564582802959904</v>
      </c>
      <c r="AJ3358">
        <v>67.857727887175898</v>
      </c>
      <c r="AK3358">
        <v>24.8139994955886</v>
      </c>
      <c r="AL3358">
        <v>79.900811154570306</v>
      </c>
      <c r="AM3358">
        <v>72.928900953311796</v>
      </c>
      <c r="AN3358">
        <v>1.0000000675790399</v>
      </c>
    </row>
    <row r="3359" spans="1:40" x14ac:dyDescent="0.25">
      <c r="A3359" t="str">
        <f>"20190303162617044"</f>
        <v>20190303162617044</v>
      </c>
      <c r="B3359" t="str">
        <f>"1551601577036964"</f>
        <v>1551601577036964</v>
      </c>
      <c r="C3359" t="s">
        <v>40</v>
      </c>
      <c r="D3359">
        <v>5.132009</v>
      </c>
      <c r="E3359">
        <v>0.53399659999999904</v>
      </c>
      <c r="F3359" t="s">
        <v>41</v>
      </c>
      <c r="G3359">
        <v>-222.37899999999999</v>
      </c>
      <c r="H3359" s="1">
        <v>-4.0919949999999996E-6</v>
      </c>
      <c r="I3359">
        <v>143.14279999999999</v>
      </c>
      <c r="J3359">
        <v>-202.82339999999999</v>
      </c>
      <c r="K3359">
        <v>1.110193</v>
      </c>
      <c r="L3359">
        <v>144.49549999999999</v>
      </c>
      <c r="M3359">
        <v>-0.90439760000000002</v>
      </c>
      <c r="N3359">
        <v>-9.4126899999999996E-3</v>
      </c>
      <c r="O3359">
        <v>-0.4265871</v>
      </c>
      <c r="P3359">
        <v>-0.97369890000000003</v>
      </c>
      <c r="Q3359">
        <v>0.17313139999999999</v>
      </c>
      <c r="R3359">
        <v>-0.148109299999999</v>
      </c>
      <c r="S3359">
        <v>-3.0787810000000002</v>
      </c>
      <c r="T3359">
        <v>-0.17186209999999999</v>
      </c>
      <c r="U3359">
        <v>-0.23257449999999999</v>
      </c>
      <c r="V3359">
        <v>0.28582249999999998</v>
      </c>
      <c r="W3359">
        <v>0.175029399999999</v>
      </c>
      <c r="X3359">
        <v>0.94216250000000001</v>
      </c>
      <c r="Y3359">
        <v>0.35621130000000001</v>
      </c>
      <c r="Z3359">
        <v>3.0546130000000001E-2</v>
      </c>
      <c r="AA3359">
        <v>0.93390600000000001</v>
      </c>
      <c r="AB3359">
        <v>33</v>
      </c>
      <c r="AC3359">
        <v>-19.555599999999998</v>
      </c>
      <c r="AD3359">
        <v>-1.1101970919949999</v>
      </c>
      <c r="AE3359">
        <v>-1.35269999999999</v>
      </c>
      <c r="AF3359">
        <v>7.0963403632669104</v>
      </c>
      <c r="AG3359">
        <v>-1.1101970919949999</v>
      </c>
      <c r="AH3359">
        <v>18.205493044639301</v>
      </c>
      <c r="AI3359">
        <v>93.251915080479193</v>
      </c>
      <c r="AJ3359">
        <v>68.704602760930698</v>
      </c>
      <c r="AK3359">
        <v>19.571166575674901</v>
      </c>
      <c r="AL3359">
        <v>79.919630830906897</v>
      </c>
      <c r="AM3359">
        <v>73.123851139075697</v>
      </c>
      <c r="AN3359">
        <v>0.99999998438842996</v>
      </c>
    </row>
    <row r="3360" spans="1:40" x14ac:dyDescent="0.25">
      <c r="A3360" t="str">
        <f>"20190303162617064"</f>
        <v>20190303162617064</v>
      </c>
      <c r="B3360" t="str">
        <f>"1551601577056483"</f>
        <v>1551601577056483</v>
      </c>
      <c r="C3360" t="s">
        <v>40</v>
      </c>
      <c r="D3360">
        <v>5.1448219999999996</v>
      </c>
      <c r="E3360">
        <v>0.5335396</v>
      </c>
      <c r="F3360" t="s">
        <v>41</v>
      </c>
      <c r="G3360">
        <v>-222.5505</v>
      </c>
      <c r="H3360" s="1">
        <v>-4.0351620000000001E-6</v>
      </c>
      <c r="I3360">
        <v>143.1514</v>
      </c>
      <c r="J3360">
        <v>-203.10679999999999</v>
      </c>
      <c r="K3360">
        <v>1.1101000000000001</v>
      </c>
      <c r="L3360">
        <v>144.3724</v>
      </c>
      <c r="M3360">
        <v>-0.90893460000000004</v>
      </c>
      <c r="N3360">
        <v>-9.4351709999999991E-3</v>
      </c>
      <c r="O3360">
        <v>-0.41683209999999998</v>
      </c>
      <c r="P3360">
        <v>-0.97483830000000005</v>
      </c>
      <c r="Q3360">
        <v>0.1726191</v>
      </c>
      <c r="R3360">
        <v>-0.141043899999999</v>
      </c>
      <c r="S3360">
        <v>-3.0799409999999998</v>
      </c>
      <c r="T3360">
        <v>-0.17333280000000001</v>
      </c>
      <c r="U3360">
        <v>-0.20983889999999999</v>
      </c>
      <c r="V3360">
        <v>0.28257719999999997</v>
      </c>
      <c r="W3360">
        <v>0.17456549999999901</v>
      </c>
      <c r="X3360">
        <v>0.94322689999999998</v>
      </c>
      <c r="Y3360">
        <v>0.35303970000000001</v>
      </c>
      <c r="Z3360">
        <v>3.0322450000000001E-2</v>
      </c>
      <c r="AA3360">
        <v>0.93511679999999997</v>
      </c>
      <c r="AB3360">
        <v>33</v>
      </c>
      <c r="AC3360">
        <v>-19.4437</v>
      </c>
      <c r="AD3360">
        <v>-1.110104035162</v>
      </c>
      <c r="AE3360">
        <v>-1.2210000000000001</v>
      </c>
      <c r="AF3360">
        <v>6.97262112454389</v>
      </c>
      <c r="AG3360">
        <v>-1.110104035162</v>
      </c>
      <c r="AH3360">
        <v>18.1239663203018</v>
      </c>
      <c r="AI3360">
        <v>93.271810672553002</v>
      </c>
      <c r="AJ3360">
        <v>68.957353474841497</v>
      </c>
      <c r="AK3360">
        <v>19.450653754944899</v>
      </c>
      <c r="AL3360">
        <v>79.946625968985202</v>
      </c>
      <c r="AM3360">
        <v>73.322540978994596</v>
      </c>
      <c r="AN3360">
        <v>0.99999998631684905</v>
      </c>
    </row>
    <row r="3361" spans="1:40" x14ac:dyDescent="0.25">
      <c r="A3361" t="str">
        <f>"20190303162617087"</f>
        <v>20190303162617087</v>
      </c>
      <c r="B3361" t="str">
        <f>"1551601577076980"</f>
        <v>1551601577076980</v>
      </c>
      <c r="C3361" t="s">
        <v>40</v>
      </c>
      <c r="D3361">
        <v>5.1371180000000001</v>
      </c>
      <c r="E3361">
        <v>0.53317060000000005</v>
      </c>
      <c r="F3361" t="s">
        <v>41</v>
      </c>
      <c r="G3361">
        <v>-223.05009999999999</v>
      </c>
      <c r="H3361" s="1">
        <v>-3.8628700000000003E-6</v>
      </c>
      <c r="I3361">
        <v>143.1386</v>
      </c>
      <c r="J3361">
        <v>-203.42920000000001</v>
      </c>
      <c r="K3361">
        <v>1.109988</v>
      </c>
      <c r="L3361">
        <v>144.23699999999999</v>
      </c>
      <c r="M3361">
        <v>-0.91398809999999997</v>
      </c>
      <c r="N3361">
        <v>-9.4653459999999995E-3</v>
      </c>
      <c r="O3361">
        <v>-0.4056302</v>
      </c>
      <c r="P3361">
        <v>-0.97612509999999997</v>
      </c>
      <c r="Q3361">
        <v>0.172916299999999</v>
      </c>
      <c r="R3361">
        <v>-0.1314505</v>
      </c>
      <c r="S3361">
        <v>-3.0802149999999999</v>
      </c>
      <c r="T3361">
        <v>-0.17145439999999901</v>
      </c>
      <c r="U3361">
        <v>-0.19055179999999999</v>
      </c>
      <c r="V3361">
        <v>0.2802905</v>
      </c>
      <c r="W3361">
        <v>0.17488010000000001</v>
      </c>
      <c r="X3361">
        <v>0.94385079999999999</v>
      </c>
      <c r="Y3361">
        <v>0.34741850000000002</v>
      </c>
      <c r="Z3361">
        <v>2.9331380000000001E-2</v>
      </c>
      <c r="AA3361">
        <v>0.93725130000000001</v>
      </c>
      <c r="AB3361">
        <v>33</v>
      </c>
      <c r="AC3361">
        <v>-19.620899999999899</v>
      </c>
      <c r="AD3361">
        <v>-1.1099918628700001</v>
      </c>
      <c r="AE3361">
        <v>-1.0983999999999901</v>
      </c>
      <c r="AF3361">
        <v>6.9330984446906001</v>
      </c>
      <c r="AG3361">
        <v>-1.1099918628700001</v>
      </c>
      <c r="AH3361">
        <v>18.321187841712199</v>
      </c>
      <c r="AI3361">
        <v>93.243121738176399</v>
      </c>
      <c r="AJ3361">
        <v>69.272370015951196</v>
      </c>
      <c r="AK3361">
        <v>19.6205468810304</v>
      </c>
      <c r="AL3361">
        <v>79.928319998532601</v>
      </c>
      <c r="AM3361">
        <v>73.460431830567003</v>
      </c>
      <c r="AN3361">
        <v>1.00000007321344</v>
      </c>
    </row>
    <row r="3362" spans="1:40" x14ac:dyDescent="0.25">
      <c r="A3362" t="str">
        <f>"20190303162617110"</f>
        <v>20190303162617110</v>
      </c>
      <c r="B3362" t="str">
        <f>"1551601577096500"</f>
        <v>1551601577096500</v>
      </c>
      <c r="C3362" t="s">
        <v>40</v>
      </c>
      <c r="D3362">
        <v>5.1562979999999996</v>
      </c>
      <c r="E3362">
        <v>0.53172069999999905</v>
      </c>
      <c r="F3362" t="s">
        <v>41</v>
      </c>
      <c r="G3362">
        <v>-223.5061</v>
      </c>
      <c r="H3362" s="1">
        <v>-3.7108379999999999E-6</v>
      </c>
      <c r="I3362">
        <v>143.1591</v>
      </c>
      <c r="J3362">
        <v>-203.738</v>
      </c>
      <c r="K3362">
        <v>1.109877</v>
      </c>
      <c r="L3362">
        <v>144.1114</v>
      </c>
      <c r="M3362">
        <v>-0.91872600000000004</v>
      </c>
      <c r="N3362">
        <v>-9.4998930000000006E-3</v>
      </c>
      <c r="O3362">
        <v>-0.39478190000000002</v>
      </c>
      <c r="P3362">
        <v>-0.97708309999999998</v>
      </c>
      <c r="Q3362">
        <v>0.1730331</v>
      </c>
      <c r="R3362">
        <v>-0.1239707</v>
      </c>
      <c r="S3362">
        <v>-3.081299</v>
      </c>
      <c r="T3362">
        <v>-0.17035600000000001</v>
      </c>
      <c r="U3362">
        <v>-0.1654205</v>
      </c>
      <c r="V3362">
        <v>0.27638299999999999</v>
      </c>
      <c r="W3362">
        <v>0.17506169999999999</v>
      </c>
      <c r="X3362">
        <v>0.94496869999999999</v>
      </c>
      <c r="Y3362">
        <v>0.34398689999999998</v>
      </c>
      <c r="Z3362">
        <v>2.857198E-2</v>
      </c>
      <c r="AA3362">
        <v>0.93853969999999998</v>
      </c>
      <c r="AB3362">
        <v>33</v>
      </c>
      <c r="AC3362">
        <v>-19.7681</v>
      </c>
      <c r="AD3362">
        <v>-1.109880710838</v>
      </c>
      <c r="AE3362">
        <v>-0.95230000000000803</v>
      </c>
      <c r="AF3362">
        <v>6.9077716966273304</v>
      </c>
      <c r="AG3362">
        <v>-1.109880710838</v>
      </c>
      <c r="AH3362">
        <v>18.480131125079701</v>
      </c>
      <c r="AI3362">
        <v>93.219858860301699</v>
      </c>
      <c r="AJ3362">
        <v>69.504532463861906</v>
      </c>
      <c r="AK3362">
        <v>19.760171846549198</v>
      </c>
      <c r="AL3362">
        <v>79.9177513425808</v>
      </c>
      <c r="AM3362">
        <v>73.696938334752204</v>
      </c>
      <c r="AN3362">
        <v>1.00000000273779</v>
      </c>
    </row>
    <row r="3363" spans="1:40" x14ac:dyDescent="0.25">
      <c r="A3363" t="str">
        <f>"20190303162617154"</f>
        <v>20190303162617154</v>
      </c>
      <c r="B3363" t="str">
        <f>"1551601577147252"</f>
        <v>1551601577147252</v>
      </c>
      <c r="C3363" t="s">
        <v>40</v>
      </c>
      <c r="D3363">
        <v>5.1846940000000004</v>
      </c>
      <c r="E3363">
        <v>0.53033769999999902</v>
      </c>
      <c r="F3363" t="s">
        <v>41</v>
      </c>
      <c r="G3363">
        <v>-224.24850000000001</v>
      </c>
      <c r="H3363" s="1">
        <v>-3.3739259999999999E-6</v>
      </c>
      <c r="I3363">
        <v>143.0899</v>
      </c>
      <c r="J3363">
        <v>-204.3537</v>
      </c>
      <c r="K3363">
        <v>1.109613</v>
      </c>
      <c r="L3363">
        <v>143.87389999999999</v>
      </c>
      <c r="M3363">
        <v>-0.92786150000000001</v>
      </c>
      <c r="N3363">
        <v>-9.5782360000000004E-3</v>
      </c>
      <c r="O3363">
        <v>-0.37280239999999998</v>
      </c>
      <c r="P3363">
        <v>-0.9786878</v>
      </c>
      <c r="Q3363">
        <v>0.17391579999999901</v>
      </c>
      <c r="R3363">
        <v>-0.1091955</v>
      </c>
      <c r="S3363">
        <v>-3.0804140000000002</v>
      </c>
      <c r="T3363">
        <v>-0.16669</v>
      </c>
      <c r="U3363">
        <v>-0.15341189999999999</v>
      </c>
      <c r="V3363">
        <v>0.26822190000000001</v>
      </c>
      <c r="W3363">
        <v>0.1760785</v>
      </c>
      <c r="X3363">
        <v>0.947129</v>
      </c>
      <c r="Y3363">
        <v>0.32530379999999998</v>
      </c>
      <c r="Z3363">
        <v>2.6431260000000002E-2</v>
      </c>
      <c r="AA3363">
        <v>0.94524010000000003</v>
      </c>
      <c r="AB3363">
        <v>33</v>
      </c>
      <c r="AC3363">
        <v>-19.8948</v>
      </c>
      <c r="AD3363">
        <v>-1.1096163739260001</v>
      </c>
      <c r="AE3363">
        <v>-0.78399999999999104</v>
      </c>
      <c r="AF3363">
        <v>6.6689780958467297</v>
      </c>
      <c r="AG3363">
        <v>-1.1096163739260001</v>
      </c>
      <c r="AH3363">
        <v>18.6946886151302</v>
      </c>
      <c r="AI3363">
        <v>93.199734488404602</v>
      </c>
      <c r="AJ3363">
        <v>70.367098413238395</v>
      </c>
      <c r="AK3363">
        <v>19.879584999613201</v>
      </c>
      <c r="AL3363">
        <v>79.858573592456096</v>
      </c>
      <c r="AM3363">
        <v>74.188159884368702</v>
      </c>
      <c r="AN3363">
        <v>0.99999998422142899</v>
      </c>
    </row>
    <row r="3364" spans="1:40" x14ac:dyDescent="0.25">
      <c r="A3364" t="str">
        <f>"20190303162617178"</f>
        <v>20190303162617178</v>
      </c>
      <c r="B3364" t="str">
        <f>"1551601577166771"</f>
        <v>1551601577166771</v>
      </c>
      <c r="C3364" t="s">
        <v>40</v>
      </c>
      <c r="D3364">
        <v>5.3337969999999997</v>
      </c>
      <c r="E3364">
        <v>0.52967240000000004</v>
      </c>
      <c r="F3364" t="s">
        <v>41</v>
      </c>
      <c r="G3364">
        <v>-225.52440000000001</v>
      </c>
      <c r="H3364" s="1">
        <v>-2.8217539999999998E-6</v>
      </c>
      <c r="I3364">
        <v>143.0718</v>
      </c>
      <c r="J3364">
        <v>-204.70509999999999</v>
      </c>
      <c r="K3364">
        <v>1.109445</v>
      </c>
      <c r="L3364">
        <v>143.7457</v>
      </c>
      <c r="M3364">
        <v>-0.93287790000000004</v>
      </c>
      <c r="N3364">
        <v>-9.6235690000000002E-3</v>
      </c>
      <c r="O3364">
        <v>-0.36006440000000001</v>
      </c>
      <c r="P3364">
        <v>-0.97985940000000005</v>
      </c>
      <c r="Q3364">
        <v>0.17382729999999999</v>
      </c>
      <c r="R3364">
        <v>-9.8283120000000002E-2</v>
      </c>
      <c r="S3364">
        <v>-3.080978</v>
      </c>
      <c r="T3364">
        <v>-0.1614833</v>
      </c>
      <c r="U3364">
        <v>-0.11672970000000001</v>
      </c>
      <c r="V3364">
        <v>0.2658759</v>
      </c>
      <c r="W3364">
        <v>0.17600199999999999</v>
      </c>
      <c r="X3364">
        <v>0.94780450000000005</v>
      </c>
      <c r="Y3364">
        <v>0.32367109999999999</v>
      </c>
      <c r="Z3364">
        <v>2.4997780000000001E-2</v>
      </c>
      <c r="AA3364">
        <v>0.9458394</v>
      </c>
      <c r="AB3364">
        <v>33</v>
      </c>
      <c r="AC3364">
        <v>-20.819299999999998</v>
      </c>
      <c r="AD3364">
        <v>-1.109447821754</v>
      </c>
      <c r="AE3364">
        <v>-0.67390000000000305</v>
      </c>
      <c r="AF3364">
        <v>6.8485120595515001</v>
      </c>
      <c r="AG3364">
        <v>-1.109447821754</v>
      </c>
      <c r="AH3364">
        <v>19.609792529157001</v>
      </c>
      <c r="AI3364">
        <v>93.057410549185704</v>
      </c>
      <c r="AJ3364">
        <v>70.748786604128597</v>
      </c>
      <c r="AK3364">
        <v>20.800888320828999</v>
      </c>
      <c r="AL3364">
        <v>79.863026769173899</v>
      </c>
      <c r="AM3364">
        <v>74.330253806012905</v>
      </c>
      <c r="AN3364">
        <v>1.0000000342125199</v>
      </c>
    </row>
    <row r="3365" spans="1:40" x14ac:dyDescent="0.25">
      <c r="A3365" t="str">
        <f>"20190303162617202"</f>
        <v>20190303162617202</v>
      </c>
      <c r="B3365" t="str">
        <f>"1551601577197029"</f>
        <v>1551601577197029</v>
      </c>
      <c r="C3365" t="s">
        <v>40</v>
      </c>
      <c r="D3365">
        <v>5.162846</v>
      </c>
      <c r="E3365">
        <v>0.52851199999999998</v>
      </c>
      <c r="F3365" t="s">
        <v>41</v>
      </c>
      <c r="G3365">
        <v>-225.55500000000001</v>
      </c>
      <c r="H3365" s="1">
        <v>-2.8263610000000001E-6</v>
      </c>
      <c r="I3365">
        <v>143.13849999999999</v>
      </c>
      <c r="J3365">
        <v>-205.05619999999999</v>
      </c>
      <c r="K3365">
        <v>1.109273</v>
      </c>
      <c r="L3365">
        <v>143.62379999999999</v>
      </c>
      <c r="M3365">
        <v>-0.93775699999999995</v>
      </c>
      <c r="N3365">
        <v>-9.6699569999999999E-3</v>
      </c>
      <c r="O3365">
        <v>-0.34715770000000001</v>
      </c>
      <c r="P3365">
        <v>-0.98093370000000002</v>
      </c>
      <c r="Q3365">
        <v>0.17292160000000001</v>
      </c>
      <c r="R3365">
        <v>-8.8698860000000004E-2</v>
      </c>
      <c r="S3365">
        <v>-3.0817570000000001</v>
      </c>
      <c r="T3365">
        <v>-0.163984299999999</v>
      </c>
      <c r="U3365">
        <v>-8.9752199999999893E-2</v>
      </c>
      <c r="V3365">
        <v>0.2621599</v>
      </c>
      <c r="W3365">
        <v>0.17514479999999999</v>
      </c>
      <c r="X3365">
        <v>0.9489976</v>
      </c>
      <c r="Y3365">
        <v>0.31888529999999998</v>
      </c>
      <c r="Z3365">
        <v>2.474343E-2</v>
      </c>
      <c r="AA3365">
        <v>0.94747029999999999</v>
      </c>
      <c r="AB3365">
        <v>33</v>
      </c>
      <c r="AC3365">
        <v>-20.498799999999999</v>
      </c>
      <c r="AD3365">
        <v>-1.1092758263610001</v>
      </c>
      <c r="AE3365">
        <v>-0.48529999999999501</v>
      </c>
      <c r="AF3365">
        <v>6.6420942435744204</v>
      </c>
      <c r="AG3365">
        <v>-1.1092758263610001</v>
      </c>
      <c r="AH3365">
        <v>19.335684051322598</v>
      </c>
      <c r="AI3365">
        <v>93.105672381018096</v>
      </c>
      <c r="AJ3365">
        <v>71.0416433319037</v>
      </c>
      <c r="AK3365">
        <v>20.4747792792021</v>
      </c>
      <c r="AL3365">
        <v>79.912915110403404</v>
      </c>
      <c r="AM3365">
        <v>74.557224302569097</v>
      </c>
      <c r="AN3365">
        <v>0.99999997947040398</v>
      </c>
    </row>
    <row r="3366" spans="1:40" x14ac:dyDescent="0.25">
      <c r="A3366" t="str">
        <f>"20190303162617224"</f>
        <v>20190303162617224</v>
      </c>
      <c r="B3366" t="str">
        <f>"1551601577216547"</f>
        <v>1551601577216547</v>
      </c>
      <c r="C3366" t="s">
        <v>40</v>
      </c>
      <c r="D3366">
        <v>5.1947299999999998</v>
      </c>
      <c r="E3366">
        <v>0.52814939999999999</v>
      </c>
      <c r="F3366" t="s">
        <v>41</v>
      </c>
      <c r="G3366">
        <v>-225.6456</v>
      </c>
      <c r="H3366" s="1">
        <v>-2.7948240000000001E-6</v>
      </c>
      <c r="I3366">
        <v>143.166</v>
      </c>
      <c r="J3366">
        <v>-205.36879999999999</v>
      </c>
      <c r="K3366">
        <v>1.10911</v>
      </c>
      <c r="L3366">
        <v>143.5196</v>
      </c>
      <c r="M3366">
        <v>-0.94198680000000001</v>
      </c>
      <c r="N3366">
        <v>-9.7139319999999998E-3</v>
      </c>
      <c r="O3366">
        <v>-0.33550930000000001</v>
      </c>
      <c r="P3366">
        <v>-0.9814716</v>
      </c>
      <c r="Q3366">
        <v>0.17258289999999901</v>
      </c>
      <c r="R3366">
        <v>-8.323912E-2</v>
      </c>
      <c r="S3366">
        <v>-3.0813899999999999</v>
      </c>
      <c r="T3366">
        <v>-0.16601299999999999</v>
      </c>
      <c r="U3366">
        <v>-6.8496699999999994E-2</v>
      </c>
      <c r="V3366">
        <v>0.25574390000000002</v>
      </c>
      <c r="W3366">
        <v>0.17494109999999999</v>
      </c>
      <c r="X3366">
        <v>0.95078430000000003</v>
      </c>
      <c r="Y3366">
        <v>0.313662</v>
      </c>
      <c r="Z3366">
        <v>2.4432789999999999E-2</v>
      </c>
      <c r="AA3366">
        <v>0.94922030000000002</v>
      </c>
      <c r="AB3366">
        <v>33</v>
      </c>
      <c r="AC3366">
        <v>-20.276800000000001</v>
      </c>
      <c r="AD3366">
        <v>-1.109112794824</v>
      </c>
      <c r="AE3366">
        <v>-0.35360000000000003</v>
      </c>
      <c r="AF3366">
        <v>6.4509787146192501</v>
      </c>
      <c r="AG3366">
        <v>-1.109112794824</v>
      </c>
      <c r="AH3366">
        <v>19.162704836639399</v>
      </c>
      <c r="AI3366">
        <v>93.139748993556196</v>
      </c>
      <c r="AJ3366">
        <v>71.394585530390003</v>
      </c>
      <c r="AK3366">
        <v>20.249802819392499</v>
      </c>
      <c r="AL3366">
        <v>79.924770079247097</v>
      </c>
      <c r="AM3366">
        <v>74.944800659513504</v>
      </c>
      <c r="AN3366">
        <v>1.0000000579914501</v>
      </c>
    </row>
    <row r="3367" spans="1:40" x14ac:dyDescent="0.25">
      <c r="A3367" t="str">
        <f>"20190303162617243"</f>
        <v>20190303162617243</v>
      </c>
      <c r="B3367" t="str">
        <f>"1551601577237044"</f>
        <v>1551601577237044</v>
      </c>
      <c r="C3367" t="s">
        <v>40</v>
      </c>
      <c r="D3367">
        <v>5.2853500000000002</v>
      </c>
      <c r="E3367">
        <v>0.5272251</v>
      </c>
      <c r="F3367" t="s">
        <v>41</v>
      </c>
      <c r="G3367">
        <v>-225.73070000000001</v>
      </c>
      <c r="H3367" s="1">
        <v>-2.7595029999999999E-6</v>
      </c>
      <c r="I3367">
        <v>143.1705</v>
      </c>
      <c r="J3367">
        <v>-205.64959999999999</v>
      </c>
      <c r="K3367">
        <v>1.1089629999999999</v>
      </c>
      <c r="L3367">
        <v>143.4297</v>
      </c>
      <c r="M3367">
        <v>-0.94568730000000001</v>
      </c>
      <c r="N3367">
        <v>-9.7545889999999993E-3</v>
      </c>
      <c r="O3367">
        <v>-0.32493119999999998</v>
      </c>
      <c r="P3367">
        <v>-0.98156089999999996</v>
      </c>
      <c r="Q3367">
        <v>0.1737341</v>
      </c>
      <c r="R3367">
        <v>-7.9716770000000006E-2</v>
      </c>
      <c r="S3367">
        <v>-3.08168</v>
      </c>
      <c r="T3367">
        <v>-0.16785899999999901</v>
      </c>
      <c r="U3367">
        <v>-5.282593E-2</v>
      </c>
      <c r="V3367">
        <v>0.2485106</v>
      </c>
      <c r="W3367">
        <v>0.1762592</v>
      </c>
      <c r="X3367">
        <v>0.95245740000000001</v>
      </c>
      <c r="Y3367">
        <v>0.30784409999999901</v>
      </c>
      <c r="Z3367">
        <v>2.4091850000000001E-2</v>
      </c>
      <c r="AA3367">
        <v>0.95113179999999997</v>
      </c>
      <c r="AB3367">
        <v>33</v>
      </c>
      <c r="AC3367">
        <v>-20.081099999999999</v>
      </c>
      <c r="AD3367">
        <v>-1.108965759503</v>
      </c>
      <c r="AE3367">
        <v>-0.25919999999999199</v>
      </c>
      <c r="AF3367">
        <v>6.2610614974064402</v>
      </c>
      <c r="AG3367">
        <v>-1.108965759503</v>
      </c>
      <c r="AH3367">
        <v>19.017583046828701</v>
      </c>
      <c r="AI3367">
        <v>93.170266806235702</v>
      </c>
      <c r="AJ3367">
        <v>71.777168982191199</v>
      </c>
      <c r="AK3367">
        <v>20.052410355692398</v>
      </c>
      <c r="AL3367">
        <v>79.848055510803903</v>
      </c>
      <c r="AM3367">
        <v>75.376678690204699</v>
      </c>
      <c r="AN3367">
        <v>0.99999996135587899</v>
      </c>
    </row>
    <row r="3368" spans="1:40" x14ac:dyDescent="0.25">
      <c r="A3368" t="str">
        <f>"20190303162617288"</f>
        <v>20190303162617288</v>
      </c>
      <c r="B3368" t="str">
        <f>"1551601577277060"</f>
        <v>1551601577277060</v>
      </c>
      <c r="C3368" t="s">
        <v>40</v>
      </c>
      <c r="D3368">
        <v>5.3182839999999896</v>
      </c>
      <c r="E3368">
        <v>0.52572890000000005</v>
      </c>
      <c r="F3368" t="s">
        <v>41</v>
      </c>
      <c r="G3368">
        <v>-226.46279999999999</v>
      </c>
      <c r="H3368" s="1">
        <v>-2.4278299999999998E-6</v>
      </c>
      <c r="I3368">
        <v>143.10419999999999</v>
      </c>
      <c r="J3368">
        <v>-206.30690000000001</v>
      </c>
      <c r="K3368">
        <v>1.1086229999999999</v>
      </c>
      <c r="L3368">
        <v>143.23310000000001</v>
      </c>
      <c r="M3368">
        <v>-0.95398320000000003</v>
      </c>
      <c r="N3368">
        <v>-9.8511950000000001E-3</v>
      </c>
      <c r="O3368">
        <v>-0.29969859999999998</v>
      </c>
      <c r="P3368">
        <v>-0.98178779999999999</v>
      </c>
      <c r="Q3368">
        <v>0.17727689999999999</v>
      </c>
      <c r="R3368">
        <v>-6.8307099999999996E-2</v>
      </c>
      <c r="S3368">
        <v>-3.081528</v>
      </c>
      <c r="T3368">
        <v>-0.16418969999999999</v>
      </c>
      <c r="U3368">
        <v>-4.8172E-2</v>
      </c>
      <c r="V3368">
        <v>0.23429249999999999</v>
      </c>
      <c r="W3368">
        <v>0.18012220000000001</v>
      </c>
      <c r="X3368">
        <v>0.95533389999999996</v>
      </c>
      <c r="Y3368">
        <v>0.28401739999999998</v>
      </c>
      <c r="Z3368">
        <v>2.1732979999999999E-2</v>
      </c>
      <c r="AA3368">
        <v>0.9585728</v>
      </c>
      <c r="AB3368">
        <v>34</v>
      </c>
      <c r="AC3368">
        <v>-20.1558999999999</v>
      </c>
      <c r="AD3368">
        <v>-1.1086254278299901</v>
      </c>
      <c r="AE3368">
        <v>-0.128900000000015</v>
      </c>
      <c r="AF3368">
        <v>5.9001641193296104</v>
      </c>
      <c r="AG3368">
        <v>-1.1086254278299901</v>
      </c>
      <c r="AH3368">
        <v>19.2098410218717</v>
      </c>
      <c r="AI3368">
        <v>93.157680659881706</v>
      </c>
      <c r="AJ3368">
        <v>72.926037615119697</v>
      </c>
      <c r="AK3368">
        <v>20.126077090676201</v>
      </c>
      <c r="AL3368">
        <v>79.623121487783195</v>
      </c>
      <c r="AM3368">
        <v>76.220364836748303</v>
      </c>
      <c r="AN3368">
        <v>0.99999992148914696</v>
      </c>
    </row>
    <row r="3369" spans="1:40" x14ac:dyDescent="0.25">
      <c r="A3369" t="str">
        <f>"20190303162617310"</f>
        <v>20190303162617310</v>
      </c>
      <c r="B3369" t="str">
        <f>"1551601577296580"</f>
        <v>1551601577296580</v>
      </c>
      <c r="C3369" t="s">
        <v>40</v>
      </c>
      <c r="D3369">
        <v>5.328112</v>
      </c>
      <c r="E3369">
        <v>0.48270400000000002</v>
      </c>
      <c r="F3369" t="s">
        <v>41</v>
      </c>
      <c r="G3369">
        <v>-229.33449999999999</v>
      </c>
      <c r="H3369" s="1">
        <v>-1.1845249999999999E-6</v>
      </c>
      <c r="I3369">
        <v>143.0616</v>
      </c>
      <c r="J3369">
        <v>-206.62029999999999</v>
      </c>
      <c r="K3369">
        <v>1.108457</v>
      </c>
      <c r="L3369">
        <v>143.14609999999999</v>
      </c>
      <c r="M3369">
        <v>-0.95774729999999997</v>
      </c>
      <c r="N3369">
        <v>-9.8980969999999998E-3</v>
      </c>
      <c r="O3369">
        <v>-0.28744049999999999</v>
      </c>
      <c r="P3369">
        <v>-0.98199110000000001</v>
      </c>
      <c r="Q3369">
        <v>0.17785979999999901</v>
      </c>
      <c r="R3369">
        <v>-6.3711619999999997E-2</v>
      </c>
      <c r="S3369">
        <v>-3.0808409999999999</v>
      </c>
      <c r="T3369">
        <v>-0.14832190000000001</v>
      </c>
      <c r="U3369">
        <v>-2.293396E-2</v>
      </c>
      <c r="V3369">
        <v>0.22655520000000001</v>
      </c>
      <c r="W3369">
        <v>0.180897</v>
      </c>
      <c r="X3369">
        <v>0.95705220000000002</v>
      </c>
      <c r="Y3369">
        <v>0.27972520000000001</v>
      </c>
      <c r="Z3369">
        <v>1.8916880000000001E-2</v>
      </c>
      <c r="AA3369">
        <v>0.95989380000000002</v>
      </c>
      <c r="AB3369">
        <v>34</v>
      </c>
      <c r="AC3369">
        <v>-22.714200000000002</v>
      </c>
      <c r="AD3369">
        <v>-1.1084581845249999</v>
      </c>
      <c r="AE3369">
        <v>-8.4499999999991304E-2</v>
      </c>
      <c r="AF3369">
        <v>6.43304770670332</v>
      </c>
      <c r="AG3369">
        <v>-1.1084581845249999</v>
      </c>
      <c r="AH3369">
        <v>21.7280765428299</v>
      </c>
      <c r="AI3369">
        <v>92.800454209272999</v>
      </c>
      <c r="AJ3369">
        <v>73.507519757407394</v>
      </c>
      <c r="AK3369">
        <v>22.6874875778398</v>
      </c>
      <c r="AL3369">
        <v>79.577987587257198</v>
      </c>
      <c r="AM3369">
        <v>76.681991214062705</v>
      </c>
      <c r="AN3369">
        <v>0.99999994839043804</v>
      </c>
    </row>
    <row r="3370" spans="1:40" x14ac:dyDescent="0.25">
      <c r="A3370" t="str">
        <f>"20190303162617332"</f>
        <v>20190303162617332</v>
      </c>
      <c r="B3370" t="str">
        <f>"1551601577326836"</f>
        <v>1551601577326836</v>
      </c>
      <c r="C3370" t="s">
        <v>40</v>
      </c>
      <c r="D3370">
        <v>5.3235239999999999</v>
      </c>
      <c r="E3370">
        <v>0.47770220000000002</v>
      </c>
      <c r="F3370" t="s">
        <v>41</v>
      </c>
      <c r="G3370">
        <v>-232.76840000000001</v>
      </c>
      <c r="H3370" s="1">
        <v>-3.2256449999999998E-6</v>
      </c>
      <c r="I3370">
        <v>140.14619999999999</v>
      </c>
      <c r="J3370">
        <v>-206.96780000000001</v>
      </c>
      <c r="K3370">
        <v>1.1082730000000001</v>
      </c>
      <c r="L3370">
        <v>143.0547</v>
      </c>
      <c r="M3370">
        <v>-0.96177069999999998</v>
      </c>
      <c r="N3370">
        <v>-9.9498680000000006E-3</v>
      </c>
      <c r="O3370">
        <v>-0.27367560000000002</v>
      </c>
      <c r="P3370">
        <v>-0.98253380000000001</v>
      </c>
      <c r="Q3370">
        <v>0.1770293</v>
      </c>
      <c r="R3370">
        <v>-5.7344079999999999E-2</v>
      </c>
      <c r="S3370">
        <v>-3.0557400000000001</v>
      </c>
      <c r="T3370">
        <v>-0.12953770000000001</v>
      </c>
      <c r="U3370">
        <v>-0.35057070000000001</v>
      </c>
      <c r="V3370">
        <v>0.21911720000000001</v>
      </c>
      <c r="W3370">
        <v>0.1802512</v>
      </c>
      <c r="X3370">
        <v>0.95890410000000004</v>
      </c>
      <c r="Y3370">
        <v>0.16196820000000001</v>
      </c>
      <c r="Z3370">
        <v>1.287986E-2</v>
      </c>
      <c r="AA3370">
        <v>0.98671189999999998</v>
      </c>
      <c r="AB3370">
        <v>34</v>
      </c>
      <c r="AC3370">
        <v>-25.800599999999999</v>
      </c>
      <c r="AD3370">
        <v>-1.1082762256450001</v>
      </c>
      <c r="AE3370">
        <v>-2.9085000000000001</v>
      </c>
      <c r="AF3370">
        <v>4.2561404617954004</v>
      </c>
      <c r="AG3370">
        <v>-1.1082762256450001</v>
      </c>
      <c r="AH3370">
        <v>25.5649319603618</v>
      </c>
      <c r="AI3370">
        <v>92.448639044366899</v>
      </c>
      <c r="AJ3370">
        <v>80.547886707710205</v>
      </c>
      <c r="AK3370">
        <v>25.9404848443662</v>
      </c>
      <c r="AL3370">
        <v>79.615607723697707</v>
      </c>
      <c r="AM3370">
        <v>77.128455534965298</v>
      </c>
      <c r="AN3370">
        <v>0.99999995771704397</v>
      </c>
    </row>
    <row r="3371" spans="1:40" x14ac:dyDescent="0.25">
      <c r="A3371" t="str">
        <f>"20190303162617355"</f>
        <v>20190303162617355</v>
      </c>
      <c r="B3371" t="str">
        <f>"1551601577346355"</f>
        <v>1551601577346355</v>
      </c>
      <c r="C3371" t="s">
        <v>40</v>
      </c>
      <c r="D3371">
        <v>5.3204459999999996</v>
      </c>
      <c r="E3371">
        <v>0.4770703</v>
      </c>
      <c r="F3371" t="s">
        <v>41</v>
      </c>
      <c r="G3371">
        <v>-232.6037</v>
      </c>
      <c r="H3371" s="1">
        <v>-3.2460330000000002E-6</v>
      </c>
      <c r="I3371">
        <v>139.9572</v>
      </c>
      <c r="J3371">
        <v>-207.2902</v>
      </c>
      <c r="K3371">
        <v>1.1081110000000001</v>
      </c>
      <c r="L3371">
        <v>142.97470000000001</v>
      </c>
      <c r="M3371">
        <v>-0.96536040000000001</v>
      </c>
      <c r="N3371">
        <v>-9.9992480000000005E-3</v>
      </c>
      <c r="O3371">
        <v>-0.26072869999999998</v>
      </c>
      <c r="P3371">
        <v>-0.98267479999999996</v>
      </c>
      <c r="Q3371">
        <v>0.17782510000000001</v>
      </c>
      <c r="R3371">
        <v>-5.2236200000000003E-2</v>
      </c>
      <c r="S3371">
        <v>-3.0555880000000002</v>
      </c>
      <c r="T3371">
        <v>-0.13209749999999901</v>
      </c>
      <c r="U3371">
        <v>-0.36918640000000003</v>
      </c>
      <c r="V3371">
        <v>0.2112646</v>
      </c>
      <c r="W3371">
        <v>0.18125150000000001</v>
      </c>
      <c r="X3371">
        <v>0.96047649999999996</v>
      </c>
      <c r="Y3371">
        <v>0.14276069999999999</v>
      </c>
      <c r="Z3371">
        <v>1.2243209999999999E-2</v>
      </c>
      <c r="AA3371">
        <v>0.98968149999999999</v>
      </c>
      <c r="AB3371">
        <v>34</v>
      </c>
      <c r="AC3371">
        <v>-25.313500000000001</v>
      </c>
      <c r="AD3371">
        <v>-1.108114246033</v>
      </c>
      <c r="AE3371">
        <v>-3.0175000000000098</v>
      </c>
      <c r="AF3371">
        <v>3.6802114154704402</v>
      </c>
      <c r="AG3371">
        <v>-1.108114246033</v>
      </c>
      <c r="AH3371">
        <v>25.177087616856401</v>
      </c>
      <c r="AI3371">
        <v>92.493655909388707</v>
      </c>
      <c r="AJ3371">
        <v>81.683797563872602</v>
      </c>
      <c r="AK3371">
        <v>25.468757608326399</v>
      </c>
      <c r="AL3371">
        <v>79.557335082378103</v>
      </c>
      <c r="AM3371">
        <v>77.594870561851295</v>
      </c>
      <c r="AN3371">
        <v>0.99999997225882897</v>
      </c>
    </row>
    <row r="3372" spans="1:40" x14ac:dyDescent="0.25">
      <c r="A3372" t="str">
        <f>"20190303162617379"</f>
        <v>20190303162617379</v>
      </c>
      <c r="B3372" t="str">
        <f>"1551601577366852"</f>
        <v>1551601577366852</v>
      </c>
      <c r="C3372" t="s">
        <v>40</v>
      </c>
      <c r="D3372">
        <v>5.3888910000000001</v>
      </c>
      <c r="E3372">
        <v>0.47700360000000003</v>
      </c>
      <c r="F3372" t="s">
        <v>41</v>
      </c>
      <c r="G3372">
        <v>-233.02950000000001</v>
      </c>
      <c r="H3372" s="1">
        <v>-3.07194E-6</v>
      </c>
      <c r="I3372">
        <v>139.98949999999999</v>
      </c>
      <c r="J3372">
        <v>-207.6463</v>
      </c>
      <c r="K3372">
        <v>1.1079330000000001</v>
      </c>
      <c r="L3372">
        <v>142.89160000000001</v>
      </c>
      <c r="M3372">
        <v>-0.96915479999999998</v>
      </c>
      <c r="N3372">
        <v>-1.0055120000000001E-2</v>
      </c>
      <c r="O3372">
        <v>-0.2462473</v>
      </c>
      <c r="P3372">
        <v>-0.98227920000000002</v>
      </c>
      <c r="Q3372">
        <v>0.1814008</v>
      </c>
      <c r="R3372">
        <v>-4.7133019999999998E-2</v>
      </c>
      <c r="S3372">
        <v>-3.0578460000000001</v>
      </c>
      <c r="T3372">
        <v>-0.13164479999999901</v>
      </c>
      <c r="U3372">
        <v>-0.35464479999999998</v>
      </c>
      <c r="V3372">
        <v>0.20188500000000001</v>
      </c>
      <c r="W3372">
        <v>0.18507950000000001</v>
      </c>
      <c r="X3372">
        <v>0.96176300000000003</v>
      </c>
      <c r="Y3372">
        <v>0.13268559999999999</v>
      </c>
      <c r="Z3372">
        <v>1.1461020000000001E-2</v>
      </c>
      <c r="AA3372">
        <v>0.99109190000000003</v>
      </c>
      <c r="AB3372">
        <v>34</v>
      </c>
      <c r="AC3372">
        <v>-25.383199999999999</v>
      </c>
      <c r="AD3372">
        <v>-1.10793607194</v>
      </c>
      <c r="AE3372">
        <v>-2.9021000000000101</v>
      </c>
      <c r="AF3372">
        <v>3.43168074505587</v>
      </c>
      <c r="AG3372">
        <v>-1.10793607194</v>
      </c>
      <c r="AH3372">
        <v>25.268645736301501</v>
      </c>
      <c r="AI3372">
        <v>92.487790428015799</v>
      </c>
      <c r="AJ3372">
        <v>82.266098525977398</v>
      </c>
      <c r="AK3372">
        <v>25.524662826807301</v>
      </c>
      <c r="AL3372">
        <v>79.334232775654399</v>
      </c>
      <c r="AM3372">
        <v>78.145083973447996</v>
      </c>
      <c r="AN3372">
        <v>1.0000000213571201</v>
      </c>
    </row>
    <row r="3373" spans="1:40" x14ac:dyDescent="0.25">
      <c r="A3373" t="str">
        <f>"20190303162617422"</f>
        <v>20190303162617422</v>
      </c>
      <c r="B3373" t="str">
        <f>"1551601577417135"</f>
        <v>1551601577417135</v>
      </c>
      <c r="C3373" t="s">
        <v>40</v>
      </c>
      <c r="D3373">
        <v>5.314419</v>
      </c>
      <c r="E3373">
        <v>0.47687879999999999</v>
      </c>
      <c r="F3373" t="s">
        <v>41</v>
      </c>
      <c r="G3373">
        <v>-234.7415</v>
      </c>
      <c r="H3373" s="1">
        <v>-2.320229E-6</v>
      </c>
      <c r="I3373">
        <v>139.9246</v>
      </c>
      <c r="J3373">
        <v>-208.3065</v>
      </c>
      <c r="K3373">
        <v>1.1076090000000001</v>
      </c>
      <c r="L3373">
        <v>142.7534</v>
      </c>
      <c r="M3373">
        <v>-0.97568600000000005</v>
      </c>
      <c r="N3373">
        <v>-1.015317E-2</v>
      </c>
      <c r="O3373">
        <v>-0.21893779999999999</v>
      </c>
      <c r="P3373">
        <v>-0.98149920000000002</v>
      </c>
      <c r="Q3373">
        <v>0.18706159999999999</v>
      </c>
      <c r="R3373">
        <v>-4.0832710000000001E-2</v>
      </c>
      <c r="S3373">
        <v>-3.0611570000000001</v>
      </c>
      <c r="T3373">
        <v>-0.12517210000000001</v>
      </c>
      <c r="U3373">
        <v>-0.33520509999999998</v>
      </c>
      <c r="V3373">
        <v>0.1810677</v>
      </c>
      <c r="W3373">
        <v>0.19135160000000001</v>
      </c>
      <c r="X3373">
        <v>0.96467559999999997</v>
      </c>
      <c r="Y3373">
        <v>0.11122410000000001</v>
      </c>
      <c r="Z3373">
        <v>9.4377579999999992E-3</v>
      </c>
      <c r="AA3373">
        <v>0.99375049999999998</v>
      </c>
      <c r="AB3373">
        <v>34</v>
      </c>
      <c r="AC3373">
        <v>-26.434999999999999</v>
      </c>
      <c r="AD3373">
        <v>-1.1076113202290001</v>
      </c>
      <c r="AE3373">
        <v>-2.8288000000000002</v>
      </c>
      <c r="AF3373">
        <v>3.0225100945944399</v>
      </c>
      <c r="AG3373">
        <v>-1.1076113202290001</v>
      </c>
      <c r="AH3373">
        <v>26.367186705795199</v>
      </c>
      <c r="AI3373">
        <v>92.389788472500797</v>
      </c>
      <c r="AJ3373">
        <v>83.4606425298537</v>
      </c>
      <c r="AK3373">
        <v>26.562961146808998</v>
      </c>
      <c r="AL3373">
        <v>78.968327236232</v>
      </c>
      <c r="AM3373">
        <v>79.369384736413593</v>
      </c>
      <c r="AN3373">
        <v>0.99999998002060397</v>
      </c>
    </row>
    <row r="3374" spans="1:40" x14ac:dyDescent="0.25">
      <c r="A3374" t="str">
        <f>"20190303162617443"</f>
        <v>20190303162617443</v>
      </c>
      <c r="B3374" t="str">
        <f>"1551601577437631"</f>
        <v>1551601577437631</v>
      </c>
      <c r="C3374" t="s">
        <v>40</v>
      </c>
      <c r="D3374">
        <v>5.3083910000000003</v>
      </c>
      <c r="E3374">
        <v>0.47722870000000001</v>
      </c>
      <c r="F3374" t="s">
        <v>41</v>
      </c>
      <c r="G3374">
        <v>-238.1301</v>
      </c>
      <c r="H3374" s="1">
        <v>-8.0048699999999996E-7</v>
      </c>
      <c r="I3374">
        <v>139.6763</v>
      </c>
      <c r="J3374">
        <v>-208.6293</v>
      </c>
      <c r="K3374">
        <v>1.107464</v>
      </c>
      <c r="L3374">
        <v>142.6927</v>
      </c>
      <c r="M3374">
        <v>-0.97861810000000005</v>
      </c>
      <c r="N3374">
        <v>-1.019343E-2</v>
      </c>
      <c r="O3374">
        <v>-0.20543349999999999</v>
      </c>
      <c r="P3374">
        <v>-0.98170500000000005</v>
      </c>
      <c r="Q3374">
        <v>0.18680099999999999</v>
      </c>
      <c r="R3374">
        <v>-3.6888749999999998E-2</v>
      </c>
      <c r="S3374">
        <v>-3.0650940000000002</v>
      </c>
      <c r="T3374">
        <v>-0.113834</v>
      </c>
      <c r="U3374">
        <v>-0.31623839999999998</v>
      </c>
      <c r="V3374">
        <v>0.17165830000000001</v>
      </c>
      <c r="W3374">
        <v>0.19138250000000001</v>
      </c>
      <c r="X3374">
        <v>0.96638820000000003</v>
      </c>
      <c r="Y3374">
        <v>0.10375769999999999</v>
      </c>
      <c r="Z3374">
        <v>7.8922950000000006E-3</v>
      </c>
      <c r="AA3374">
        <v>0.99457130000000005</v>
      </c>
      <c r="AB3374">
        <v>34</v>
      </c>
      <c r="AC3374">
        <v>-29.500800000000002</v>
      </c>
      <c r="AD3374">
        <v>-1.107464800487</v>
      </c>
      <c r="AE3374">
        <v>-3.0164</v>
      </c>
      <c r="AF3374">
        <v>3.1043805113676401</v>
      </c>
      <c r="AG3374">
        <v>-1.107464800487</v>
      </c>
      <c r="AH3374">
        <v>29.4501418806495</v>
      </c>
      <c r="AI3374">
        <v>92.141722959066996</v>
      </c>
      <c r="AJ3374">
        <v>83.982593942003007</v>
      </c>
      <c r="AK3374">
        <v>29.634009405311001</v>
      </c>
      <c r="AL3374">
        <v>78.966523607241001</v>
      </c>
      <c r="AM3374">
        <v>79.927680899695801</v>
      </c>
      <c r="AN3374">
        <v>0.99999999318219002</v>
      </c>
    </row>
    <row r="3375" spans="1:40" x14ac:dyDescent="0.25">
      <c r="A3375" t="str">
        <f>"20190303162617465"</f>
        <v>20190303162617465</v>
      </c>
      <c r="B3375" t="str">
        <f>"1551601577457151"</f>
        <v>1551601577457151</v>
      </c>
      <c r="C3375" t="s">
        <v>40</v>
      </c>
      <c r="D3375">
        <v>5.36538</v>
      </c>
      <c r="E3375">
        <v>0.47751919999999998</v>
      </c>
      <c r="F3375" t="s">
        <v>41</v>
      </c>
      <c r="G3375">
        <v>-237.50919999999999</v>
      </c>
      <c r="H3375" s="1">
        <v>-1.1195999999999901E-6</v>
      </c>
      <c r="I3375">
        <v>139.87459999999999</v>
      </c>
      <c r="J3375">
        <v>-208.9768</v>
      </c>
      <c r="K3375">
        <v>1.107335</v>
      </c>
      <c r="L3375">
        <v>142.6327</v>
      </c>
      <c r="M3375">
        <v>-0.98157360000000005</v>
      </c>
      <c r="N3375">
        <v>-1.023019E-2</v>
      </c>
      <c r="O3375">
        <v>-0.19081090000000001</v>
      </c>
      <c r="P3375">
        <v>-0.98194179999999998</v>
      </c>
      <c r="Q3375">
        <v>0.1860793</v>
      </c>
      <c r="R3375">
        <v>-3.4139589999999997E-2</v>
      </c>
      <c r="S3375">
        <v>-3.067062</v>
      </c>
      <c r="T3375">
        <v>-0.11761340000000001</v>
      </c>
      <c r="U3375">
        <v>-0.29928589999999999</v>
      </c>
      <c r="V3375">
        <v>0.1599817</v>
      </c>
      <c r="W3375">
        <v>0.19103519999999999</v>
      </c>
      <c r="X3375">
        <v>0.96845820000000005</v>
      </c>
      <c r="Y3375">
        <v>9.4424439999999998E-2</v>
      </c>
      <c r="Z3375">
        <v>7.5757289999999998E-3</v>
      </c>
      <c r="AA3375">
        <v>0.99550320000000003</v>
      </c>
      <c r="AB3375">
        <v>34</v>
      </c>
      <c r="AC3375">
        <v>-28.532399999999999</v>
      </c>
      <c r="AD3375">
        <v>-1.1073361196</v>
      </c>
      <c r="AE3375">
        <v>-2.75810000000001</v>
      </c>
      <c r="AF3375">
        <v>2.73307930268835</v>
      </c>
      <c r="AG3375">
        <v>-1.1073361196</v>
      </c>
      <c r="AH3375">
        <v>28.491899459475</v>
      </c>
      <c r="AI3375">
        <v>92.215517613675402</v>
      </c>
      <c r="AJ3375">
        <v>84.520679788654107</v>
      </c>
      <c r="AK3375">
        <v>28.644096260231098</v>
      </c>
      <c r="AL3375">
        <v>78.986795869794506</v>
      </c>
      <c r="AM3375">
        <v>80.619897190256594</v>
      </c>
      <c r="AN3375">
        <v>0.999999938560583</v>
      </c>
    </row>
    <row r="3376" spans="1:40" x14ac:dyDescent="0.25">
      <c r="A3376" t="str">
        <f>"20190303162617488"</f>
        <v>20190303162617488</v>
      </c>
      <c r="B3376" t="str">
        <f>"1551601577477648"</f>
        <v>1551601577477648</v>
      </c>
      <c r="C3376" t="s">
        <v>40</v>
      </c>
      <c r="D3376">
        <v>5.3766619999999996</v>
      </c>
      <c r="E3376">
        <v>0.47757569999999999</v>
      </c>
      <c r="F3376" t="s">
        <v>41</v>
      </c>
      <c r="G3376">
        <v>-236.32910000000001</v>
      </c>
      <c r="H3376" s="1">
        <v>-1.688646E-6</v>
      </c>
      <c r="I3376">
        <v>140.1105</v>
      </c>
      <c r="J3376">
        <v>-209.32380000000001</v>
      </c>
      <c r="K3376">
        <v>1.1072360000000001</v>
      </c>
      <c r="L3376">
        <v>142.5779</v>
      </c>
      <c r="M3376">
        <v>-0.98430470000000003</v>
      </c>
      <c r="N3376">
        <v>-1.025879E-2</v>
      </c>
      <c r="O3376">
        <v>-0.176178799999999</v>
      </c>
      <c r="P3376">
        <v>-0.98157220000000001</v>
      </c>
      <c r="Q3376">
        <v>0.187919</v>
      </c>
      <c r="R3376">
        <v>-3.4682409999999997E-2</v>
      </c>
      <c r="S3376">
        <v>-3.0688629999999999</v>
      </c>
      <c r="T3376">
        <v>-0.1242409</v>
      </c>
      <c r="U3376">
        <v>-0.28297420000000001</v>
      </c>
      <c r="V3376">
        <v>0.145033299999999</v>
      </c>
      <c r="W3376">
        <v>0.1933628</v>
      </c>
      <c r="X3376">
        <v>0.97034849999999995</v>
      </c>
      <c r="Y3376">
        <v>8.4897260000000002E-2</v>
      </c>
      <c r="Z3376">
        <v>7.4090340000000001E-3</v>
      </c>
      <c r="AA3376">
        <v>0.99636210000000003</v>
      </c>
      <c r="AB3376">
        <v>34</v>
      </c>
      <c r="AC3376">
        <v>-27.005299999999998</v>
      </c>
      <c r="AD3376">
        <v>-1.107237688646</v>
      </c>
      <c r="AE3376">
        <v>-2.4673999999999898</v>
      </c>
      <c r="AF3376">
        <v>2.32533388513786</v>
      </c>
      <c r="AG3376">
        <v>-1.107237688646</v>
      </c>
      <c r="AH3376">
        <v>26.972602407022201</v>
      </c>
      <c r="AI3376">
        <v>92.342020682833194</v>
      </c>
      <c r="AJ3376">
        <v>85.072659082328897</v>
      </c>
      <c r="AK3376">
        <v>27.095284342184499</v>
      </c>
      <c r="AL3376">
        <v>78.850901464445101</v>
      </c>
      <c r="AM3376">
        <v>81.499206136558499</v>
      </c>
      <c r="AN3376">
        <v>1.00000002099249</v>
      </c>
    </row>
    <row r="3377" spans="1:40" x14ac:dyDescent="0.25">
      <c r="A3377" t="str">
        <f>"20190303162617512"</f>
        <v>20190303162617512</v>
      </c>
      <c r="B3377" t="str">
        <f>"1551601577506927"</f>
        <v>1551601577506927</v>
      </c>
      <c r="C3377" t="s">
        <v>40</v>
      </c>
      <c r="D3377">
        <v>5.3170060000000001</v>
      </c>
      <c r="E3377">
        <v>0.47746949999999999</v>
      </c>
      <c r="F3377" t="s">
        <v>41</v>
      </c>
      <c r="G3377">
        <v>-237.12139999999999</v>
      </c>
      <c r="H3377" s="1">
        <v>-1.332187E-6</v>
      </c>
      <c r="I3377">
        <v>140.04830000000001</v>
      </c>
      <c r="J3377">
        <v>-209.68170000000001</v>
      </c>
      <c r="K3377">
        <v>1.1071629999999999</v>
      </c>
      <c r="L3377">
        <v>142.52670000000001</v>
      </c>
      <c r="M3377">
        <v>-0.98688410000000004</v>
      </c>
      <c r="N3377">
        <v>-1.02775E-2</v>
      </c>
      <c r="O3377">
        <v>-0.16110329999999901</v>
      </c>
      <c r="P3377">
        <v>-0.98077369999999997</v>
      </c>
      <c r="Q3377">
        <v>0.19187100000000001</v>
      </c>
      <c r="R3377">
        <v>-3.5617629999999997E-2</v>
      </c>
      <c r="S3377">
        <v>-3.069855</v>
      </c>
      <c r="T3377">
        <v>-0.1222787</v>
      </c>
      <c r="U3377">
        <v>-0.2793427</v>
      </c>
      <c r="V3377">
        <v>0.1292584</v>
      </c>
      <c r="W3377">
        <v>0.19783329999999999</v>
      </c>
      <c r="X3377">
        <v>0.97167599999999998</v>
      </c>
      <c r="Y3377">
        <v>7.0873279999999997E-2</v>
      </c>
      <c r="Z3377">
        <v>6.4814460000000001E-3</v>
      </c>
      <c r="AA3377">
        <v>0.99746429999999997</v>
      </c>
      <c r="AB3377">
        <v>34</v>
      </c>
      <c r="AC3377">
        <v>-27.439699999999899</v>
      </c>
      <c r="AD3377">
        <v>-1.1071643321869999</v>
      </c>
      <c r="AE3377">
        <v>-2.4783999999999899</v>
      </c>
      <c r="AF3377">
        <v>1.9716528850097499</v>
      </c>
      <c r="AG3377">
        <v>-1.1071643321869999</v>
      </c>
      <c r="AH3377">
        <v>27.436225827336798</v>
      </c>
      <c r="AI3377">
        <v>92.304928474554998</v>
      </c>
      <c r="AJ3377">
        <v>85.889612372639803</v>
      </c>
      <c r="AK3377">
        <v>27.529251998665998</v>
      </c>
      <c r="AL3377">
        <v>78.589715151909999</v>
      </c>
      <c r="AM3377">
        <v>82.422645416283004</v>
      </c>
      <c r="AN3377">
        <v>0.99999999876772505</v>
      </c>
    </row>
    <row r="3378" spans="1:40" x14ac:dyDescent="0.25">
      <c r="A3378" t="str">
        <f>"20190303162617558"</f>
        <v>20190303162617558</v>
      </c>
      <c r="B3378" t="str">
        <f>"1551601577546944"</f>
        <v>1551601577546944</v>
      </c>
      <c r="C3378" t="s">
        <v>40</v>
      </c>
      <c r="D3378">
        <v>5.3567669999999996</v>
      </c>
      <c r="E3378">
        <v>0.47809550000000001</v>
      </c>
      <c r="F3378" t="s">
        <v>41</v>
      </c>
      <c r="G3378">
        <v>-239.3623</v>
      </c>
      <c r="H3378" s="1">
        <v>-3.0117640000000002E-7</v>
      </c>
      <c r="I3378">
        <v>139.78649999999999</v>
      </c>
      <c r="J3378">
        <v>-210.3869</v>
      </c>
      <c r="K3378">
        <v>1.1071549999999999</v>
      </c>
      <c r="L3378">
        <v>142.44130000000001</v>
      </c>
      <c r="M3378">
        <v>-0.99122639999999995</v>
      </c>
      <c r="N3378">
        <v>-1.0271489999999999E-2</v>
      </c>
      <c r="O3378">
        <v>-0.13177510000000001</v>
      </c>
      <c r="P3378">
        <v>-0.98191450000000002</v>
      </c>
      <c r="Q3378">
        <v>0.1863764</v>
      </c>
      <c r="R3378">
        <v>-3.328387E-2</v>
      </c>
      <c r="S3378">
        <v>-3.0709379999999999</v>
      </c>
      <c r="T3378">
        <v>-0.1145539</v>
      </c>
      <c r="U3378">
        <v>-0.28350829999999999</v>
      </c>
      <c r="V3378">
        <v>0.10262209999999999</v>
      </c>
      <c r="W3378">
        <v>0.19323419999999999</v>
      </c>
      <c r="X3378">
        <v>0.9757711</v>
      </c>
      <c r="Y3378">
        <v>4.0014750000000002E-2</v>
      </c>
      <c r="Z3378">
        <v>4.4804240000000002E-3</v>
      </c>
      <c r="AA3378">
        <v>0.99918899999999999</v>
      </c>
      <c r="AB3378">
        <v>34</v>
      </c>
      <c r="AC3378">
        <v>-28.9754</v>
      </c>
      <c r="AD3378">
        <v>-1.1071553011763999</v>
      </c>
      <c r="AE3378">
        <v>-2.6548000000000198</v>
      </c>
      <c r="AF3378">
        <v>1.1850751913061299</v>
      </c>
      <c r="AG3378">
        <v>-1.1071553011763999</v>
      </c>
      <c r="AH3378">
        <v>29.030520032403601</v>
      </c>
      <c r="AI3378">
        <v>92.182251146352101</v>
      </c>
      <c r="AJ3378">
        <v>87.662386752835999</v>
      </c>
      <c r="AK3378">
        <v>29.075785276098099</v>
      </c>
      <c r="AL3378">
        <v>78.858411050422603</v>
      </c>
      <c r="AM3378">
        <v>83.996258436904597</v>
      </c>
      <c r="AN3378">
        <v>0.99999999552662999</v>
      </c>
    </row>
    <row r="3379" spans="1:40" x14ac:dyDescent="0.25">
      <c r="A3379" t="str">
        <f>"20190303162617582"</f>
        <v>20190303162617582</v>
      </c>
      <c r="B3379" t="str">
        <f>"1551601577577199"</f>
        <v>1551601577577199</v>
      </c>
      <c r="C3379" t="s">
        <v>40</v>
      </c>
      <c r="D3379">
        <v>5.2977449999999999</v>
      </c>
      <c r="E3379">
        <v>0.47860629999999998</v>
      </c>
      <c r="F3379" t="s">
        <v>41</v>
      </c>
      <c r="G3379">
        <v>-235.05959999999999</v>
      </c>
      <c r="H3379" s="1">
        <v>-2.2769350000000001E-6</v>
      </c>
      <c r="I3379">
        <v>140.2748</v>
      </c>
      <c r="J3379">
        <v>-210.75479999999999</v>
      </c>
      <c r="K3379">
        <v>1.1072409999999999</v>
      </c>
      <c r="L3379">
        <v>142.4051</v>
      </c>
      <c r="M3379">
        <v>-0.99309809999999998</v>
      </c>
      <c r="N3379">
        <v>-1.024476E-2</v>
      </c>
      <c r="O3379">
        <v>-0.1168392</v>
      </c>
      <c r="P3379">
        <v>-0.98257229999999995</v>
      </c>
      <c r="Q3379">
        <v>0.18285879999999999</v>
      </c>
      <c r="R3379">
        <v>-3.3388099999999997E-2</v>
      </c>
      <c r="S3379">
        <v>-3.0722809999999998</v>
      </c>
      <c r="T3379">
        <v>-0.1378646</v>
      </c>
      <c r="U3379">
        <v>-0.2697754</v>
      </c>
      <c r="V3379">
        <v>8.77111E-2</v>
      </c>
      <c r="W3379">
        <v>0.19020670000000001</v>
      </c>
      <c r="X3379">
        <v>0.97781810000000002</v>
      </c>
      <c r="Y3379">
        <v>2.941885E-2</v>
      </c>
      <c r="Z3379">
        <v>4.8263530000000002E-3</v>
      </c>
      <c r="AA3379">
        <v>0.99955550000000004</v>
      </c>
      <c r="AB3379">
        <v>34</v>
      </c>
      <c r="AC3379">
        <v>-24.3048</v>
      </c>
      <c r="AD3379">
        <v>-1.107243276935</v>
      </c>
      <c r="AE3379">
        <v>-2.1303000000000001</v>
      </c>
      <c r="AF3379">
        <v>0.72270597228993905</v>
      </c>
      <c r="AG3379">
        <v>-1.107243276935</v>
      </c>
      <c r="AH3379">
        <v>24.337106569262101</v>
      </c>
      <c r="AI3379">
        <v>92.603791601086698</v>
      </c>
      <c r="AJ3379">
        <v>88.299064979715894</v>
      </c>
      <c r="AK3379">
        <v>24.372998333408301</v>
      </c>
      <c r="AL3379">
        <v>79.035153130039205</v>
      </c>
      <c r="AM3379">
        <v>84.874239064786195</v>
      </c>
      <c r="AN3379">
        <v>1.0000000312378501</v>
      </c>
    </row>
    <row r="3380" spans="1:40" x14ac:dyDescent="0.25">
      <c r="A3380" t="str">
        <f>"20190303162617604"</f>
        <v>20190303162617604</v>
      </c>
      <c r="B3380" t="str">
        <f>"1551601577596719"</f>
        <v>1551601577596719</v>
      </c>
      <c r="C3380" t="s">
        <v>40</v>
      </c>
      <c r="D3380">
        <v>5.3686360000000004</v>
      </c>
      <c r="E3380">
        <v>0.48798279999999999</v>
      </c>
      <c r="F3380" t="s">
        <v>41</v>
      </c>
      <c r="G3380">
        <v>-232.94499999999999</v>
      </c>
      <c r="H3380" s="1">
        <v>-3.250567E-6</v>
      </c>
      <c r="I3380">
        <v>140.52459999999999</v>
      </c>
      <c r="J3380">
        <v>-211.1036</v>
      </c>
      <c r="K3380">
        <v>1.107434</v>
      </c>
      <c r="L3380">
        <v>142.37559999999999</v>
      </c>
      <c r="M3380">
        <v>-0.99462030000000001</v>
      </c>
      <c r="N3380">
        <v>-1.0202630000000001E-2</v>
      </c>
      <c r="O3380">
        <v>-0.10308489999999999</v>
      </c>
      <c r="P3380">
        <v>-0.98268920000000004</v>
      </c>
      <c r="Q3380">
        <v>0.1823401</v>
      </c>
      <c r="R3380">
        <v>-3.2771010000000003E-2</v>
      </c>
      <c r="S3380">
        <v>-3.0729220000000002</v>
      </c>
      <c r="T3380">
        <v>-0.15333239999999901</v>
      </c>
      <c r="U3380">
        <v>-0.26040649999999999</v>
      </c>
      <c r="V3380">
        <v>7.4668719999999994E-2</v>
      </c>
      <c r="W3380">
        <v>0.19010379999999999</v>
      </c>
      <c r="X3380">
        <v>0.97892040000000002</v>
      </c>
      <c r="Y3380">
        <v>1.862465E-2</v>
      </c>
      <c r="Z3380">
        <v>4.6257909999999998E-3</v>
      </c>
      <c r="AA3380">
        <v>0.99981580000000003</v>
      </c>
      <c r="AB3380">
        <v>34</v>
      </c>
      <c r="AC3380">
        <v>-21.8414</v>
      </c>
      <c r="AD3380">
        <v>-1.107437250567</v>
      </c>
      <c r="AE3380">
        <v>-1.85099999999999</v>
      </c>
      <c r="AF3380">
        <v>0.40945256201464902</v>
      </c>
      <c r="AG3380">
        <v>-1.107437250567</v>
      </c>
      <c r="AH3380">
        <v>21.8600509729084</v>
      </c>
      <c r="AI3380">
        <v>92.899635633653801</v>
      </c>
      <c r="AJ3380">
        <v>88.926939338336496</v>
      </c>
      <c r="AK3380">
        <v>21.891913968464198</v>
      </c>
      <c r="AL3380">
        <v>79.041158214007396</v>
      </c>
      <c r="AM3380">
        <v>85.6381189622943</v>
      </c>
      <c r="AN3380">
        <v>1.0000000110285101</v>
      </c>
    </row>
    <row r="3381" spans="1:40" x14ac:dyDescent="0.25">
      <c r="A3381" t="str">
        <f>"20190303162617626"</f>
        <v>20190303162617626</v>
      </c>
      <c r="B3381" t="str">
        <f>"1551601577617215"</f>
        <v>1551601577617215</v>
      </c>
      <c r="C3381" t="s">
        <v>40</v>
      </c>
      <c r="D3381">
        <v>5.2945460000000004</v>
      </c>
      <c r="E3381">
        <v>0.50245899999999999</v>
      </c>
      <c r="F3381" t="s">
        <v>41</v>
      </c>
      <c r="G3381">
        <v>-231.12039999999999</v>
      </c>
      <c r="H3381" s="1">
        <v>-4.1735370000000003E-6</v>
      </c>
      <c r="I3381">
        <v>141.18799999999999</v>
      </c>
      <c r="J3381">
        <v>-211.46610000000001</v>
      </c>
      <c r="K3381">
        <v>1.107718</v>
      </c>
      <c r="L3381">
        <v>142.3494</v>
      </c>
      <c r="M3381">
        <v>-0.99595590000000001</v>
      </c>
      <c r="N3381">
        <v>-1.0143040000000001E-2</v>
      </c>
      <c r="O3381">
        <v>-8.9270970000000005E-2</v>
      </c>
      <c r="P3381">
        <v>-0.98207840000000002</v>
      </c>
      <c r="Q3381">
        <v>0.18599070000000001</v>
      </c>
      <c r="R3381">
        <v>-3.0495540000000002E-2</v>
      </c>
      <c r="S3381">
        <v>-3.0783689999999999</v>
      </c>
      <c r="T3381">
        <v>-0.1703122</v>
      </c>
      <c r="U3381">
        <v>-0.1826324</v>
      </c>
      <c r="V3381">
        <v>6.324639E-2</v>
      </c>
      <c r="W3381">
        <v>0.19409299999999999</v>
      </c>
      <c r="X3381">
        <v>0.97894219999999998</v>
      </c>
      <c r="Y3381">
        <v>2.9987469999999999E-2</v>
      </c>
      <c r="Z3381">
        <v>4.9975509999999898E-3</v>
      </c>
      <c r="AA3381">
        <v>0.99953780000000003</v>
      </c>
      <c r="AB3381">
        <v>34</v>
      </c>
      <c r="AC3381">
        <v>-19.6542999999999</v>
      </c>
      <c r="AD3381">
        <v>-1.107722173537</v>
      </c>
      <c r="AE3381">
        <v>-1.16140000000001</v>
      </c>
      <c r="AF3381">
        <v>0.59599930349292296</v>
      </c>
      <c r="AG3381">
        <v>-1.107722173537</v>
      </c>
      <c r="AH3381">
        <v>19.617406808094799</v>
      </c>
      <c r="AI3381">
        <v>93.230360808172705</v>
      </c>
      <c r="AJ3381">
        <v>88.259823818963397</v>
      </c>
      <c r="AK3381">
        <v>19.657693492823402</v>
      </c>
      <c r="AL3381">
        <v>78.808256112896004</v>
      </c>
      <c r="AM3381">
        <v>86.303436604517799</v>
      </c>
      <c r="AN3381">
        <v>1.0000000147189301</v>
      </c>
    </row>
    <row r="3382" spans="1:40" x14ac:dyDescent="0.25">
      <c r="A3382" t="str">
        <f>"20190303162617646"</f>
        <v>20190303162617646</v>
      </c>
      <c r="B3382" t="str">
        <f>"1551601577636736"</f>
        <v>1551601577636736</v>
      </c>
      <c r="C3382" t="s">
        <v>40</v>
      </c>
      <c r="D3382">
        <v>5.0992199999999999</v>
      </c>
      <c r="E3382">
        <v>0.50619269999999905</v>
      </c>
      <c r="F3382" t="s">
        <v>41</v>
      </c>
      <c r="G3382">
        <v>-237.2774</v>
      </c>
      <c r="H3382" s="1">
        <v>-1.7370860000000001E-6</v>
      </c>
      <c r="I3382">
        <v>141.82159999999999</v>
      </c>
      <c r="J3382">
        <v>-211.77010000000001</v>
      </c>
      <c r="K3382">
        <v>1.108058</v>
      </c>
      <c r="L3382">
        <v>142.33090000000001</v>
      </c>
      <c r="M3382">
        <v>-0.99688889999999997</v>
      </c>
      <c r="N3382">
        <v>-1.008242E-2</v>
      </c>
      <c r="O3382">
        <v>-7.8173119999999999E-2</v>
      </c>
      <c r="P3382">
        <v>-0.98132949999999997</v>
      </c>
      <c r="Q3382">
        <v>0.19015899999999999</v>
      </c>
      <c r="R3382">
        <v>-2.8848579999999999E-2</v>
      </c>
      <c r="S3382">
        <v>-3.07782</v>
      </c>
      <c r="T3382">
        <v>-0.13208789999999901</v>
      </c>
      <c r="U3382">
        <v>-6.2927250000000004E-2</v>
      </c>
      <c r="V3382">
        <v>5.3879990000000003E-2</v>
      </c>
      <c r="W3382">
        <v>0.1985227</v>
      </c>
      <c r="X3382">
        <v>0.97861419999999999</v>
      </c>
      <c r="Y3382">
        <v>5.7674719999999999E-2</v>
      </c>
      <c r="Z3382">
        <v>4.0889960000000001E-3</v>
      </c>
      <c r="AA3382">
        <v>0.99832710000000002</v>
      </c>
      <c r="AB3382">
        <v>34</v>
      </c>
      <c r="AC3382">
        <v>-25.507299999999901</v>
      </c>
      <c r="AD3382">
        <v>-1.1080597370859999</v>
      </c>
      <c r="AE3382">
        <v>-0.50930000000002396</v>
      </c>
      <c r="AF3382">
        <v>1.48354662834458</v>
      </c>
      <c r="AG3382">
        <v>-1.1080597370859999</v>
      </c>
      <c r="AH3382">
        <v>25.4210968917135</v>
      </c>
      <c r="AI3382">
        <v>92.491605847636293</v>
      </c>
      <c r="AJ3382">
        <v>86.660070963509696</v>
      </c>
      <c r="AK3382">
        <v>25.488445895293601</v>
      </c>
      <c r="AL3382">
        <v>78.5494165620225</v>
      </c>
      <c r="AM3382">
        <v>86.848622918404899</v>
      </c>
      <c r="AN3382">
        <v>1.00000003408966</v>
      </c>
    </row>
    <row r="3383" spans="1:40" x14ac:dyDescent="0.25">
      <c r="A3383" t="str">
        <f>"20190303162617668"</f>
        <v>20190303162617668</v>
      </c>
      <c r="B3383" t="str">
        <f>"1551601577657231"</f>
        <v>1551601577657231</v>
      </c>
      <c r="C3383" t="s">
        <v>40</v>
      </c>
      <c r="D3383">
        <v>5.2293690000000002</v>
      </c>
      <c r="E3383">
        <v>0.50691819999999999</v>
      </c>
      <c r="F3383" t="s">
        <v>41</v>
      </c>
      <c r="G3383">
        <v>-242.62049999999999</v>
      </c>
      <c r="H3383" s="1">
        <v>-3.7816430000000001E-6</v>
      </c>
      <c r="I3383">
        <v>141.9973</v>
      </c>
      <c r="J3383">
        <v>-212.12569999999999</v>
      </c>
      <c r="K3383">
        <v>1.108562</v>
      </c>
      <c r="L3383">
        <v>142.31299999999999</v>
      </c>
      <c r="M3383">
        <v>-0.99777389999999999</v>
      </c>
      <c r="N3383">
        <v>-9.9968869999999994E-3</v>
      </c>
      <c r="O3383">
        <v>-6.5935190000000005E-2</v>
      </c>
      <c r="P3383">
        <v>-0.98098110000000005</v>
      </c>
      <c r="Q3383">
        <v>0.19279250000000001</v>
      </c>
      <c r="R3383">
        <v>-2.2525630000000001E-2</v>
      </c>
      <c r="S3383">
        <v>-3.077499</v>
      </c>
      <c r="T3383">
        <v>-0.11053549999999999</v>
      </c>
      <c r="U3383">
        <v>-3.3279419999999997E-2</v>
      </c>
      <c r="V3383">
        <v>4.7969150000000002E-2</v>
      </c>
      <c r="W3383">
        <v>0.20129649999999999</v>
      </c>
      <c r="X3383">
        <v>0.97835510000000003</v>
      </c>
      <c r="Y3383">
        <v>5.507753E-2</v>
      </c>
      <c r="Z3383">
        <v>2.970674E-3</v>
      </c>
      <c r="AA3383">
        <v>0.99847759999999997</v>
      </c>
      <c r="AB3383">
        <v>35</v>
      </c>
      <c r="AC3383">
        <v>-30.494800000000001</v>
      </c>
      <c r="AD3383">
        <v>-1.1085657816429999</v>
      </c>
      <c r="AE3383">
        <v>-0.31569999999999199</v>
      </c>
      <c r="AF3383">
        <v>1.6935300469151799</v>
      </c>
      <c r="AG3383">
        <v>-1.1085657816429999</v>
      </c>
      <c r="AH3383">
        <v>30.409068981599901</v>
      </c>
      <c r="AI3383">
        <v>92.084571720414601</v>
      </c>
      <c r="AJ3383">
        <v>86.812398509980994</v>
      </c>
      <c r="AK3383">
        <v>30.476358680783001</v>
      </c>
      <c r="AL3383">
        <v>78.387215064775603</v>
      </c>
      <c r="AM3383">
        <v>87.193012412254802</v>
      </c>
      <c r="AN3383">
        <v>1.00000001097999</v>
      </c>
    </row>
    <row r="3384" spans="1:40" x14ac:dyDescent="0.25">
      <c r="A3384" t="str">
        <f>"20190303162617692"</f>
        <v>20190303162617692</v>
      </c>
      <c r="B3384" t="str">
        <f>"1551601577676752"</f>
        <v>1551601577676752</v>
      </c>
      <c r="C3384" t="s">
        <v>40</v>
      </c>
      <c r="D3384">
        <v>5.0499890000000001</v>
      </c>
      <c r="E3384">
        <v>0.50753720000000002</v>
      </c>
      <c r="F3384" t="s">
        <v>41</v>
      </c>
      <c r="G3384">
        <v>-246.11510000000001</v>
      </c>
      <c r="H3384" s="1">
        <v>-2.3326260000000002E-6</v>
      </c>
      <c r="I3384">
        <v>142.1859</v>
      </c>
      <c r="J3384">
        <v>-212.4819</v>
      </c>
      <c r="K3384">
        <v>1.1092070000000001</v>
      </c>
      <c r="L3384">
        <v>142.29849999999999</v>
      </c>
      <c r="M3384">
        <v>-0.99845660000000003</v>
      </c>
      <c r="N3384">
        <v>-9.8965470000000003E-3</v>
      </c>
      <c r="O3384">
        <v>-5.4649459999999997E-2</v>
      </c>
      <c r="P3384">
        <v>-0.98121990000000003</v>
      </c>
      <c r="Q3384">
        <v>0.1921911</v>
      </c>
      <c r="R3384">
        <v>-1.6434219999999999E-2</v>
      </c>
      <c r="S3384">
        <v>-3.0776210000000002</v>
      </c>
      <c r="T3384">
        <v>-0.1003766</v>
      </c>
      <c r="U3384">
        <v>-1.1505130000000001E-2</v>
      </c>
      <c r="V3384">
        <v>4.2646400000000001E-2</v>
      </c>
      <c r="W3384">
        <v>0.20080980000000001</v>
      </c>
      <c r="X3384">
        <v>0.9787015</v>
      </c>
      <c r="Y3384">
        <v>5.086972E-2</v>
      </c>
      <c r="Z3384">
        <v>2.3213779999999998E-3</v>
      </c>
      <c r="AA3384">
        <v>0.9987026</v>
      </c>
      <c r="AB3384">
        <v>35</v>
      </c>
      <c r="AC3384">
        <v>-33.633200000000002</v>
      </c>
      <c r="AD3384">
        <v>-1.109209332626</v>
      </c>
      <c r="AE3384">
        <v>-0.112599999999986</v>
      </c>
      <c r="AF3384">
        <v>1.7238195426807299</v>
      </c>
      <c r="AG3384">
        <v>-1.109209332626</v>
      </c>
      <c r="AH3384">
        <v>33.552594314110301</v>
      </c>
      <c r="AI3384">
        <v>91.890949380812103</v>
      </c>
      <c r="AJ3384">
        <v>87.058921288625598</v>
      </c>
      <c r="AK3384">
        <v>33.615152600673703</v>
      </c>
      <c r="AL3384">
        <v>78.415681595731101</v>
      </c>
      <c r="AM3384">
        <v>87.504945074950299</v>
      </c>
      <c r="AN3384">
        <v>0.99999995865562397</v>
      </c>
    </row>
    <row r="3385" spans="1:40" x14ac:dyDescent="0.25">
      <c r="A3385" t="str">
        <f>"20190303162617712"</f>
        <v>20190303162617712</v>
      </c>
      <c r="B3385" t="str">
        <f>"1551601577707007"</f>
        <v>1551601577707007</v>
      </c>
      <c r="C3385" t="s">
        <v>40</v>
      </c>
      <c r="D3385">
        <v>5.090592</v>
      </c>
      <c r="E3385">
        <v>0.50819709999999996</v>
      </c>
      <c r="F3385" t="s">
        <v>41</v>
      </c>
      <c r="G3385">
        <v>-244.91229999999999</v>
      </c>
      <c r="H3385" s="1">
        <v>-2.9139230000000002E-6</v>
      </c>
      <c r="I3385">
        <v>142.43119999999999</v>
      </c>
      <c r="J3385">
        <v>-212.80170000000001</v>
      </c>
      <c r="K3385">
        <v>1.109912</v>
      </c>
      <c r="L3385">
        <v>142.28809999999999</v>
      </c>
      <c r="M3385">
        <v>-0.99891560000000001</v>
      </c>
      <c r="N3385">
        <v>-9.7993300000000002E-3</v>
      </c>
      <c r="O3385">
        <v>-4.5515699999999999E-2</v>
      </c>
      <c r="P3385">
        <v>-0.98136900000000005</v>
      </c>
      <c r="Q3385">
        <v>0.19181400000000001</v>
      </c>
      <c r="R3385">
        <v>-1.10651E-2</v>
      </c>
      <c r="S3385">
        <v>-3.0782620000000001</v>
      </c>
      <c r="T3385">
        <v>-0.1052853</v>
      </c>
      <c r="U3385">
        <v>1.260376E-2</v>
      </c>
      <c r="V3385">
        <v>3.8687800000000001E-2</v>
      </c>
      <c r="W3385">
        <v>0.2005043</v>
      </c>
      <c r="X3385">
        <v>0.97892860000000004</v>
      </c>
      <c r="Y3385">
        <v>4.955685E-2</v>
      </c>
      <c r="Z3385">
        <v>2.200044E-3</v>
      </c>
      <c r="AA3385">
        <v>0.99876889999999996</v>
      </c>
      <c r="AB3385">
        <v>35</v>
      </c>
      <c r="AC3385">
        <v>-32.110599999999899</v>
      </c>
      <c r="AD3385">
        <v>-1.109914913923</v>
      </c>
      <c r="AE3385">
        <v>0.143100000000004</v>
      </c>
      <c r="AF3385">
        <v>1.6026434908959899</v>
      </c>
      <c r="AG3385">
        <v>-1.109914913923</v>
      </c>
      <c r="AH3385">
        <v>32.032533930382499</v>
      </c>
      <c r="AI3385">
        <v>91.982005548996497</v>
      </c>
      <c r="AJ3385">
        <v>87.135780597942301</v>
      </c>
      <c r="AK3385">
        <v>32.091799688957401</v>
      </c>
      <c r="AL3385">
        <v>78.433548889209106</v>
      </c>
      <c r="AM3385">
        <v>87.7368168655305</v>
      </c>
      <c r="AN3385">
        <v>0.99999996204264396</v>
      </c>
    </row>
    <row r="3386" spans="1:40" x14ac:dyDescent="0.25">
      <c r="A3386" t="str">
        <f>"20190303162617734"</f>
        <v>20190303162617734</v>
      </c>
      <c r="B3386" t="str">
        <f>"1551601577727504"</f>
        <v>1551601577727504</v>
      </c>
      <c r="C3386" t="s">
        <v>40</v>
      </c>
      <c r="D3386">
        <v>5.1049699999999998</v>
      </c>
      <c r="E3386">
        <v>0.50852520000000001</v>
      </c>
      <c r="F3386" t="s">
        <v>41</v>
      </c>
      <c r="G3386">
        <v>-243.34049999999999</v>
      </c>
      <c r="H3386" s="1">
        <v>-3.642589E-6</v>
      </c>
      <c r="I3386">
        <v>142.63560000000001</v>
      </c>
      <c r="J3386">
        <v>-213.154</v>
      </c>
      <c r="K3386">
        <v>1.1108559999999901</v>
      </c>
      <c r="L3386">
        <v>142.27889999999999</v>
      </c>
      <c r="M3386">
        <v>-0.9992801</v>
      </c>
      <c r="N3386">
        <v>-9.693017E-3</v>
      </c>
      <c r="O3386">
        <v>-3.6682010000000001E-2</v>
      </c>
      <c r="P3386">
        <v>-0.98068679999999997</v>
      </c>
      <c r="Q3386">
        <v>0.19557649999999999</v>
      </c>
      <c r="R3386">
        <v>-1.782664E-3</v>
      </c>
      <c r="S3386">
        <v>-3.079224</v>
      </c>
      <c r="T3386">
        <v>-0.1119125</v>
      </c>
      <c r="U3386">
        <v>3.5049440000000001E-2</v>
      </c>
      <c r="V3386">
        <v>3.889223E-2</v>
      </c>
      <c r="W3386">
        <v>0.2042284</v>
      </c>
      <c r="X3386">
        <v>0.97815039999999998</v>
      </c>
      <c r="Y3386">
        <v>4.8002349999999999E-2</v>
      </c>
      <c r="Z3386">
        <v>2.0817819999999999E-3</v>
      </c>
      <c r="AA3386">
        <v>0.99884499999999998</v>
      </c>
      <c r="AB3386">
        <v>35</v>
      </c>
      <c r="AC3386">
        <v>-30.186499999999899</v>
      </c>
      <c r="AD3386">
        <v>-1.1108596425889901</v>
      </c>
      <c r="AE3386">
        <v>0.356700000000017</v>
      </c>
      <c r="AF3386">
        <v>1.4618339116002601</v>
      </c>
      <c r="AG3386">
        <v>-1.1108596425889901</v>
      </c>
      <c r="AH3386">
        <v>30.1123237916112</v>
      </c>
      <c r="AI3386">
        <v>92.110230831427401</v>
      </c>
      <c r="AJ3386">
        <v>87.2206990792657</v>
      </c>
      <c r="AK3386">
        <v>30.168245087533201</v>
      </c>
      <c r="AL3386">
        <v>78.215666243950594</v>
      </c>
      <c r="AM3386">
        <v>87.723062375041195</v>
      </c>
      <c r="AN3386">
        <v>1.0000000249705401</v>
      </c>
    </row>
    <row r="3387" spans="1:40" x14ac:dyDescent="0.25">
      <c r="A3387" t="str">
        <f>"20190303162617756"</f>
        <v>20190303162617756</v>
      </c>
      <c r="B3387" t="str">
        <f>"1551601577747024"</f>
        <v>1551601577747024</v>
      </c>
      <c r="C3387" t="s">
        <v>40</v>
      </c>
      <c r="D3387">
        <v>5.0720789999999996</v>
      </c>
      <c r="E3387">
        <v>0.50862209999999997</v>
      </c>
      <c r="F3387" t="s">
        <v>41</v>
      </c>
      <c r="G3387">
        <v>-246.4982</v>
      </c>
      <c r="H3387" s="1">
        <v>-2.3672610000000002E-6</v>
      </c>
      <c r="I3387">
        <v>142.93360000000001</v>
      </c>
      <c r="J3387">
        <v>-213.50200000000001</v>
      </c>
      <c r="K3387">
        <v>1.1119129999999999</v>
      </c>
      <c r="L3387">
        <v>142.27170000000001</v>
      </c>
      <c r="M3387">
        <v>-0.99952289999999999</v>
      </c>
      <c r="N3387">
        <v>-9.5963569999999998E-3</v>
      </c>
      <c r="O3387">
        <v>-2.9357210000000002E-2</v>
      </c>
      <c r="P3387">
        <v>-0.98051889999999997</v>
      </c>
      <c r="Q3387">
        <v>0.19615109999999999</v>
      </c>
      <c r="R3387">
        <v>1.035982E-2</v>
      </c>
      <c r="S3387">
        <v>-3.0796359999999998</v>
      </c>
      <c r="T3387">
        <v>-0.1025978</v>
      </c>
      <c r="U3387">
        <v>6.0470580000000003E-2</v>
      </c>
      <c r="V3387">
        <v>4.3326900000000002E-2</v>
      </c>
      <c r="W3387">
        <v>0.20470360000000001</v>
      </c>
      <c r="X3387">
        <v>0.97786459999999997</v>
      </c>
      <c r="Y3387">
        <v>4.8933079999999997E-2</v>
      </c>
      <c r="Z3387">
        <v>1.7456749999999999E-3</v>
      </c>
      <c r="AA3387">
        <v>0.99880049999999998</v>
      </c>
      <c r="AB3387">
        <v>35</v>
      </c>
      <c r="AC3387">
        <v>-32.996199999999902</v>
      </c>
      <c r="AD3387">
        <v>-1.1119153672609901</v>
      </c>
      <c r="AE3387">
        <v>0.66190000000000204</v>
      </c>
      <c r="AF3387">
        <v>1.62848715592815</v>
      </c>
      <c r="AG3387">
        <v>-1.1119153672609901</v>
      </c>
      <c r="AH3387">
        <v>32.925170431295697</v>
      </c>
      <c r="AI3387">
        <v>91.931839998295601</v>
      </c>
      <c r="AJ3387">
        <v>87.168443886172497</v>
      </c>
      <c r="AK3387">
        <v>32.984165506055199</v>
      </c>
      <c r="AL3387">
        <v>78.187851131408493</v>
      </c>
      <c r="AM3387">
        <v>87.463016933859393</v>
      </c>
      <c r="AN3387">
        <v>0.99999998002486401</v>
      </c>
    </row>
    <row r="3388" spans="1:40" x14ac:dyDescent="0.25">
      <c r="A3388" t="str">
        <f>"20190303162617781"</f>
        <v>20190303162617781</v>
      </c>
      <c r="B3388" t="str">
        <f>"1551601577766543"</f>
        <v>1551601577766543</v>
      </c>
      <c r="C3388" t="s">
        <v>40</v>
      </c>
      <c r="D3388">
        <v>5.0490469999999998</v>
      </c>
      <c r="E3388">
        <v>0.5084902</v>
      </c>
      <c r="F3388" t="s">
        <v>41</v>
      </c>
      <c r="G3388">
        <v>-246.56</v>
      </c>
      <c r="H3388" s="1">
        <v>-2.4250780000000001E-6</v>
      </c>
      <c r="I3388">
        <v>143.25059999999999</v>
      </c>
      <c r="J3388">
        <v>-213.89660000000001</v>
      </c>
      <c r="K3388">
        <v>1.113197</v>
      </c>
      <c r="L3388">
        <v>142.2653</v>
      </c>
      <c r="M3388">
        <v>-0.9996929</v>
      </c>
      <c r="N3388">
        <v>-9.5045230000000008E-3</v>
      </c>
      <c r="O3388">
        <v>-2.289244E-2</v>
      </c>
      <c r="P3388">
        <v>-0.9813383</v>
      </c>
      <c r="Q3388">
        <v>0.19112209999999999</v>
      </c>
      <c r="R3388">
        <v>2.1160490000000001E-2</v>
      </c>
      <c r="S3388">
        <v>-3.079361</v>
      </c>
      <c r="T3388">
        <v>-0.10357520000000001</v>
      </c>
      <c r="U3388">
        <v>9.1186519999999993E-2</v>
      </c>
      <c r="V3388">
        <v>4.7082300000000001E-2</v>
      </c>
      <c r="W3388">
        <v>0.19964889999999999</v>
      </c>
      <c r="X3388">
        <v>0.97873569999999999</v>
      </c>
      <c r="Y3388">
        <v>5.2430200000000003E-2</v>
      </c>
      <c r="Z3388">
        <v>1.682755E-3</v>
      </c>
      <c r="AA3388">
        <v>0.99862320000000004</v>
      </c>
      <c r="AB3388">
        <v>35</v>
      </c>
      <c r="AC3388">
        <v>-32.663400000000003</v>
      </c>
      <c r="AD3388">
        <v>-1.113199425078</v>
      </c>
      <c r="AE3388">
        <v>0.98529999999999496</v>
      </c>
      <c r="AF3388">
        <v>1.73081182543249</v>
      </c>
      <c r="AG3388">
        <v>-1.113199425078</v>
      </c>
      <c r="AH3388">
        <v>32.594457928314903</v>
      </c>
      <c r="AI3388">
        <v>91.953314181591296</v>
      </c>
      <c r="AJ3388">
        <v>86.960367921028507</v>
      </c>
      <c r="AK3388">
        <v>32.659357161091599</v>
      </c>
      <c r="AL3388">
        <v>78.483571563537197</v>
      </c>
      <c r="AM3388">
        <v>87.245896822791906</v>
      </c>
      <c r="AN3388">
        <v>0.99999999834949405</v>
      </c>
    </row>
    <row r="3389" spans="1:40" x14ac:dyDescent="0.25">
      <c r="A3389" t="str">
        <f>"20190303162617806"</f>
        <v>20190303162617806</v>
      </c>
      <c r="B3389" t="str">
        <f>"1551601577797249"</f>
        <v>1551601577797249</v>
      </c>
      <c r="C3389" t="s">
        <v>40</v>
      </c>
      <c r="D3389">
        <v>5.0558430000000003</v>
      </c>
      <c r="E3389">
        <v>0.50820710000000002</v>
      </c>
      <c r="F3389" t="s">
        <v>41</v>
      </c>
      <c r="G3389">
        <v>-242.01079999999999</v>
      </c>
      <c r="H3389" s="1">
        <v>-4.257205E-6</v>
      </c>
      <c r="I3389">
        <v>143.36779999999999</v>
      </c>
      <c r="J3389">
        <v>-214.27549999999999</v>
      </c>
      <c r="K3389">
        <v>1.1143879999999999</v>
      </c>
      <c r="L3389">
        <v>142.26</v>
      </c>
      <c r="M3389">
        <v>-0.99978639999999996</v>
      </c>
      <c r="N3389">
        <v>-9.4351580000000008E-3</v>
      </c>
      <c r="O3389">
        <v>-1.8383759999999999E-2</v>
      </c>
      <c r="P3389">
        <v>-0.98229379999999999</v>
      </c>
      <c r="Q3389">
        <v>0.18506790000000001</v>
      </c>
      <c r="R3389">
        <v>2.913601E-2</v>
      </c>
      <c r="S3389">
        <v>-3.0781860000000001</v>
      </c>
      <c r="T3389">
        <v>-0.12188300000000001</v>
      </c>
      <c r="U3389">
        <v>0.1207275</v>
      </c>
      <c r="V3389">
        <v>4.998147E-2</v>
      </c>
      <c r="W3389">
        <v>0.19362199999999999</v>
      </c>
      <c r="X3389">
        <v>0.97980219999999996</v>
      </c>
      <c r="Y3389">
        <v>5.7489980000000003E-2</v>
      </c>
      <c r="Z3389">
        <v>1.9628100000000002E-3</v>
      </c>
      <c r="AA3389">
        <v>0.99834420000000001</v>
      </c>
      <c r="AB3389">
        <v>35</v>
      </c>
      <c r="AC3389">
        <v>-27.735299999999899</v>
      </c>
      <c r="AD3389">
        <v>-1.114392257205</v>
      </c>
      <c r="AE3389">
        <v>1.1077999999999899</v>
      </c>
      <c r="AF3389">
        <v>1.61491165227303</v>
      </c>
      <c r="AG3389">
        <v>-1.114392257205</v>
      </c>
      <c r="AH3389">
        <v>27.665653782900101</v>
      </c>
      <c r="AI3389">
        <v>92.302752268815198</v>
      </c>
      <c r="AJ3389">
        <v>86.659296543435403</v>
      </c>
      <c r="AK3389">
        <v>27.735143932975401</v>
      </c>
      <c r="AL3389">
        <v>78.835763968331406</v>
      </c>
      <c r="AM3389">
        <v>87.079770635585604</v>
      </c>
      <c r="AN3389">
        <v>0.99999998867609996</v>
      </c>
    </row>
    <row r="3390" spans="1:40" x14ac:dyDescent="0.25">
      <c r="A3390" t="str">
        <f>"20190303162617830"</f>
        <v>20190303162617830</v>
      </c>
      <c r="B3390" t="str">
        <f>"1551601577820672"</f>
        <v>1551601577820672</v>
      </c>
      <c r="C3390" t="s">
        <v>40</v>
      </c>
      <c r="D3390">
        <v>4.9924410000000004</v>
      </c>
      <c r="E3390">
        <v>0.50798180000000004</v>
      </c>
      <c r="F3390" t="s">
        <v>41</v>
      </c>
      <c r="G3390">
        <v>-238.18889999999999</v>
      </c>
      <c r="H3390" s="1">
        <v>-1.7628460000000001E-6</v>
      </c>
      <c r="I3390">
        <v>143.3879</v>
      </c>
      <c r="J3390">
        <v>-214.66370000000001</v>
      </c>
      <c r="K3390">
        <v>1.115494</v>
      </c>
      <c r="L3390">
        <v>142.25540000000001</v>
      </c>
      <c r="M3390">
        <v>-0.99984099999999998</v>
      </c>
      <c r="N3390">
        <v>-9.3731409999999998E-3</v>
      </c>
      <c r="O3390">
        <v>-1.516323E-2</v>
      </c>
      <c r="P3390">
        <v>-0.98281110000000005</v>
      </c>
      <c r="Q3390">
        <v>0.18142150000000001</v>
      </c>
      <c r="R3390">
        <v>3.418587E-2</v>
      </c>
      <c r="S3390">
        <v>-3.0767820000000001</v>
      </c>
      <c r="T3390">
        <v>-0.14338139999999999</v>
      </c>
      <c r="U3390">
        <v>0.14512630000000001</v>
      </c>
      <c r="V3390">
        <v>5.131935E-2</v>
      </c>
      <c r="W3390">
        <v>0.1900307</v>
      </c>
      <c r="X3390">
        <v>0.98043599999999997</v>
      </c>
      <c r="Y3390">
        <v>6.2166100000000002E-2</v>
      </c>
      <c r="Z3390">
        <v>2.3025279999999999E-3</v>
      </c>
      <c r="AA3390">
        <v>0.99806309999999998</v>
      </c>
      <c r="AB3390">
        <v>35</v>
      </c>
      <c r="AC3390">
        <v>-23.525199999999899</v>
      </c>
      <c r="AD3390">
        <v>-1.115495762846</v>
      </c>
      <c r="AE3390">
        <v>1.1324999999999901</v>
      </c>
      <c r="AF3390">
        <v>1.4857706615959101</v>
      </c>
      <c r="AG3390">
        <v>-1.115495762846</v>
      </c>
      <c r="AH3390">
        <v>23.4527133618253</v>
      </c>
      <c r="AI3390">
        <v>92.7177019342558</v>
      </c>
      <c r="AJ3390">
        <v>86.3750558694001</v>
      </c>
      <c r="AK3390">
        <v>23.526189859127701</v>
      </c>
      <c r="AL3390">
        <v>79.045424693485103</v>
      </c>
      <c r="AM3390">
        <v>87.003678787081896</v>
      </c>
      <c r="AN3390">
        <v>1.00000004636145</v>
      </c>
    </row>
    <row r="3391" spans="1:40" x14ac:dyDescent="0.25">
      <c r="A3391" t="str">
        <f>"20190303162617869"</f>
        <v>20190303162617869</v>
      </c>
      <c r="B3391" t="str">
        <f>"1551601577858736"</f>
        <v>1551601577858736</v>
      </c>
      <c r="C3391" t="s">
        <v>40</v>
      </c>
      <c r="D3391">
        <v>5.2308329999999996</v>
      </c>
      <c r="E3391">
        <v>0.50381670000000001</v>
      </c>
      <c r="F3391" t="s">
        <v>41</v>
      </c>
      <c r="G3391">
        <v>-236.75399999999999</v>
      </c>
      <c r="H3391" s="1">
        <v>-2.3867310000000002E-6</v>
      </c>
      <c r="I3391">
        <v>143.4194</v>
      </c>
      <c r="J3391">
        <v>-215.27950000000001</v>
      </c>
      <c r="K3391">
        <v>1.117035</v>
      </c>
      <c r="L3391">
        <v>142.24870000000001</v>
      </c>
      <c r="M3391">
        <v>-0.99987720000000002</v>
      </c>
      <c r="N3391">
        <v>-9.2800009999999995E-3</v>
      </c>
      <c r="O3391">
        <v>-1.2631440000000001E-2</v>
      </c>
      <c r="P3391">
        <v>-0.98289709999999997</v>
      </c>
      <c r="Q3391">
        <v>0.1816343</v>
      </c>
      <c r="R3391">
        <v>3.0369549999999999E-2</v>
      </c>
      <c r="S3391">
        <v>-3.0754999999999999</v>
      </c>
      <c r="T3391">
        <v>-0.15530360000000001</v>
      </c>
      <c r="U3391">
        <v>0.1620636</v>
      </c>
      <c r="V3391">
        <v>4.4336090000000002E-2</v>
      </c>
      <c r="W3391">
        <v>0.1903888</v>
      </c>
      <c r="X3391">
        <v>0.98070710000000005</v>
      </c>
      <c r="Y3391">
        <v>6.5123589999999995E-2</v>
      </c>
      <c r="Z3391">
        <v>2.4646770000000002E-3</v>
      </c>
      <c r="AA3391">
        <v>0.99787409999999999</v>
      </c>
      <c r="AB3391">
        <v>35</v>
      </c>
      <c r="AC3391">
        <v>-21.474499999999999</v>
      </c>
      <c r="AD3391">
        <v>-1.1170373867309999</v>
      </c>
      <c r="AE3391">
        <v>1.1706999999999801</v>
      </c>
      <c r="AF3391">
        <v>1.4379927866718401</v>
      </c>
      <c r="AG3391">
        <v>-1.1170373867309999</v>
      </c>
      <c r="AH3391">
        <v>21.400265950301701</v>
      </c>
      <c r="AI3391">
        <v>92.981266028350703</v>
      </c>
      <c r="AJ3391">
        <v>86.155783791654002</v>
      </c>
      <c r="AK3391">
        <v>21.4775924749847</v>
      </c>
      <c r="AL3391">
        <v>79.024525014621204</v>
      </c>
      <c r="AM3391">
        <v>87.411518318431305</v>
      </c>
      <c r="AN3391">
        <v>1.00000000001616</v>
      </c>
    </row>
    <row r="3392" spans="1:40" x14ac:dyDescent="0.25">
      <c r="A3392" t="str">
        <f>"20190303162617892"</f>
        <v>20190303162617892</v>
      </c>
      <c r="B3392" t="str">
        <f>"1551601577886539"</f>
        <v>1551601577886539</v>
      </c>
      <c r="C3392" t="s">
        <v>40</v>
      </c>
      <c r="D3392">
        <v>5.0917659999999998</v>
      </c>
      <c r="E3392">
        <v>0.50082420000000005</v>
      </c>
      <c r="F3392" t="s">
        <v>41</v>
      </c>
      <c r="G3392">
        <v>-232.15770000000001</v>
      </c>
      <c r="H3392" s="1">
        <v>-4.1286620000000002E-6</v>
      </c>
      <c r="I3392">
        <v>142.92500000000001</v>
      </c>
      <c r="J3392">
        <v>-215.64259999999999</v>
      </c>
      <c r="K3392">
        <v>1.1178140000000001</v>
      </c>
      <c r="L3392">
        <v>142.2448</v>
      </c>
      <c r="M3392">
        <v>-0.99988279999999996</v>
      </c>
      <c r="N3392">
        <v>-9.2291300000000003E-3</v>
      </c>
      <c r="O3392">
        <v>-1.222235E-2</v>
      </c>
      <c r="P3392">
        <v>-0.98325989999999996</v>
      </c>
      <c r="Q3392">
        <v>0.1805329</v>
      </c>
      <c r="R3392">
        <v>2.4658530000000001E-2</v>
      </c>
      <c r="S3392">
        <v>-3.0861209999999999</v>
      </c>
      <c r="T3392">
        <v>-0.20424680000000001</v>
      </c>
      <c r="U3392">
        <v>0.1236725</v>
      </c>
      <c r="V3392">
        <v>3.7874230000000002E-2</v>
      </c>
      <c r="W3392">
        <v>0.18936069999999999</v>
      </c>
      <c r="X3392">
        <v>0.98117690000000002</v>
      </c>
      <c r="Y3392">
        <v>5.2102200000000001E-2</v>
      </c>
      <c r="Z3392">
        <v>2.657464E-3</v>
      </c>
      <c r="AA3392">
        <v>0.99863820000000003</v>
      </c>
      <c r="AB3392">
        <v>35</v>
      </c>
      <c r="AC3392">
        <v>-16.5151</v>
      </c>
      <c r="AD3392">
        <v>-1.1178181286619999</v>
      </c>
      <c r="AE3392">
        <v>0.68020000000001302</v>
      </c>
      <c r="AF3392">
        <v>0.87799563164556405</v>
      </c>
      <c r="AG3392">
        <v>-1.1178181286619999</v>
      </c>
      <c r="AH3392">
        <v>16.430408663393202</v>
      </c>
      <c r="AI3392">
        <v>93.886506650751002</v>
      </c>
      <c r="AJ3392">
        <v>86.941181197235196</v>
      </c>
      <c r="AK3392">
        <v>16.491777422220501</v>
      </c>
      <c r="AL3392">
        <v>79.084522486007302</v>
      </c>
      <c r="AM3392">
        <v>87.789433593637298</v>
      </c>
      <c r="AN3392">
        <v>1.0000000205480899</v>
      </c>
    </row>
    <row r="3393" spans="1:40" x14ac:dyDescent="0.25">
      <c r="A3393" t="str">
        <f>"20190303162617913"</f>
        <v>20190303162617913</v>
      </c>
      <c r="B3393" t="str">
        <f>"1551601577907036"</f>
        <v>1551601577907036</v>
      </c>
      <c r="C3393" t="s">
        <v>40</v>
      </c>
      <c r="D3393">
        <v>5.3022640000000001</v>
      </c>
      <c r="E3393">
        <v>0.49993280000000001</v>
      </c>
      <c r="F3393" t="s">
        <v>41</v>
      </c>
      <c r="G3393">
        <v>-234.50579999999999</v>
      </c>
      <c r="H3393" s="1">
        <v>-3.1732439999999999E-6</v>
      </c>
      <c r="I3393">
        <v>142.75040000000001</v>
      </c>
      <c r="J3393">
        <v>-215.9682</v>
      </c>
      <c r="K3393">
        <v>1.1184289999999999</v>
      </c>
      <c r="L3393">
        <v>142.24119999999999</v>
      </c>
      <c r="M3393">
        <v>-0.99988200000000005</v>
      </c>
      <c r="N3393">
        <v>-9.1863239999999992E-3</v>
      </c>
      <c r="O3393">
        <v>-1.23187E-2</v>
      </c>
      <c r="P3393">
        <v>-0.98379870000000003</v>
      </c>
      <c r="Q3393">
        <v>0.1782965</v>
      </c>
      <c r="R3393">
        <v>1.873035E-2</v>
      </c>
      <c r="S3393">
        <v>-3.0825650000000002</v>
      </c>
      <c r="T3393">
        <v>-0.18267050000000001</v>
      </c>
      <c r="U3393">
        <v>8.2641599999999996E-2</v>
      </c>
      <c r="V3393">
        <v>3.1758460000000002E-2</v>
      </c>
      <c r="W3393">
        <v>0.1871718</v>
      </c>
      <c r="X3393">
        <v>0.98181370000000001</v>
      </c>
      <c r="Y3393">
        <v>3.9018039999999997E-2</v>
      </c>
      <c r="Z3393">
        <v>1.950486E-3</v>
      </c>
      <c r="AA3393">
        <v>0.99923660000000003</v>
      </c>
      <c r="AB3393">
        <v>35</v>
      </c>
      <c r="AC3393">
        <v>-18.537600000000001</v>
      </c>
      <c r="AD3393">
        <v>-1.1184321732439999</v>
      </c>
      <c r="AE3393">
        <v>0.50920000000002097</v>
      </c>
      <c r="AF3393">
        <v>0.73485718082330398</v>
      </c>
      <c r="AG3393">
        <v>-1.1184321732439999</v>
      </c>
      <c r="AH3393">
        <v>18.462764856357602</v>
      </c>
      <c r="AI3393">
        <v>93.463875340023193</v>
      </c>
      <c r="AJ3393">
        <v>87.720709628907798</v>
      </c>
      <c r="AK3393">
        <v>18.511201790902401</v>
      </c>
      <c r="AL3393">
        <v>79.212220647366905</v>
      </c>
      <c r="AM3393">
        <v>88.147315026646297</v>
      </c>
      <c r="AN3393">
        <v>1.0000000120022501</v>
      </c>
    </row>
    <row r="3394" spans="1:40" x14ac:dyDescent="0.25">
      <c r="A3394" t="str">
        <f>"20190303162617936"</f>
        <v>20190303162617936</v>
      </c>
      <c r="B3394" t="str">
        <f>"1551601577927532"</f>
        <v>1551601577927532</v>
      </c>
      <c r="C3394" t="s">
        <v>40</v>
      </c>
      <c r="D3394">
        <v>5.2279260000000001</v>
      </c>
      <c r="E3394">
        <v>0.49942029999999898</v>
      </c>
      <c r="F3394" t="s">
        <v>41</v>
      </c>
      <c r="G3394">
        <v>-235.01329999999999</v>
      </c>
      <c r="H3394" s="1">
        <v>-2.9117899999999999E-6</v>
      </c>
      <c r="I3394">
        <v>142.58609999999999</v>
      </c>
      <c r="J3394">
        <v>-216.34110000000001</v>
      </c>
      <c r="K3394">
        <v>1.1190709999999999</v>
      </c>
      <c r="L3394">
        <v>142.23679999999999</v>
      </c>
      <c r="M3394">
        <v>-0.99987619999999999</v>
      </c>
      <c r="N3394">
        <v>-9.1411960000000007E-3</v>
      </c>
      <c r="O3394">
        <v>-1.282051E-2</v>
      </c>
      <c r="P3394">
        <v>-0.98442700000000005</v>
      </c>
      <c r="Q3394">
        <v>0.17520549999999999</v>
      </c>
      <c r="R3394">
        <v>1.439852E-2</v>
      </c>
      <c r="S3394">
        <v>-3.0811310000000001</v>
      </c>
      <c r="T3394">
        <v>-0.1809402</v>
      </c>
      <c r="U3394">
        <v>5.5816650000000002E-2</v>
      </c>
      <c r="V3394">
        <v>2.762949E-2</v>
      </c>
      <c r="W3394">
        <v>0.18410380000000001</v>
      </c>
      <c r="X3394">
        <v>0.98251840000000001</v>
      </c>
      <c r="Y3394">
        <v>3.0852950000000001E-2</v>
      </c>
      <c r="Z3394">
        <v>1.6813240000000001E-3</v>
      </c>
      <c r="AA3394">
        <v>0.99952249999999998</v>
      </c>
      <c r="AB3394">
        <v>35</v>
      </c>
      <c r="AC3394">
        <v>-18.672199999999901</v>
      </c>
      <c r="AD3394">
        <v>-1.1190739117899999</v>
      </c>
      <c r="AE3394">
        <v>0.349299999999999</v>
      </c>
      <c r="AF3394">
        <v>0.58656223113738004</v>
      </c>
      <c r="AG3394">
        <v>-1.1190739117899999</v>
      </c>
      <c r="AH3394">
        <v>18.599402705153199</v>
      </c>
      <c r="AI3394">
        <v>93.441468710779702</v>
      </c>
      <c r="AJ3394">
        <v>88.193683641836699</v>
      </c>
      <c r="AK3394">
        <v>18.642268173682801</v>
      </c>
      <c r="AL3394">
        <v>79.391113544774697</v>
      </c>
      <c r="AM3394">
        <v>88.3892046455464</v>
      </c>
      <c r="AN3394">
        <v>1.0000000021153299</v>
      </c>
    </row>
    <row r="3395" spans="1:40" x14ac:dyDescent="0.25">
      <c r="A3395" t="str">
        <f>"20190303162617958"</f>
        <v>20190303162617958</v>
      </c>
      <c r="B3395" t="str">
        <f>"1551601577947052"</f>
        <v>1551601577947052</v>
      </c>
      <c r="C3395" t="s">
        <v>40</v>
      </c>
      <c r="D3395">
        <v>5.2332890000000001</v>
      </c>
      <c r="E3395">
        <v>0.49905319999999997</v>
      </c>
      <c r="F3395" t="s">
        <v>41</v>
      </c>
      <c r="G3395">
        <v>-234.85</v>
      </c>
      <c r="H3395" s="1">
        <v>-2.9467640000000002E-6</v>
      </c>
      <c r="I3395">
        <v>142.45429999999999</v>
      </c>
      <c r="J3395">
        <v>-216.68459999999999</v>
      </c>
      <c r="K3395">
        <v>1.119599</v>
      </c>
      <c r="L3395">
        <v>142.23230000000001</v>
      </c>
      <c r="M3395">
        <v>-0.99986629999999999</v>
      </c>
      <c r="N3395">
        <v>-9.1043779999999998E-3</v>
      </c>
      <c r="O3395">
        <v>-1.3588660000000001E-2</v>
      </c>
      <c r="P3395">
        <v>-0.98477680000000001</v>
      </c>
      <c r="Q3395">
        <v>0.1735729</v>
      </c>
      <c r="R3395">
        <v>9.3430860000000004E-3</v>
      </c>
      <c r="S3395">
        <v>-3.0800930000000002</v>
      </c>
      <c r="T3395">
        <v>-0.18622610000000001</v>
      </c>
      <c r="U3395">
        <v>3.6209110000000003E-2</v>
      </c>
      <c r="V3395">
        <v>2.3093570000000001E-2</v>
      </c>
      <c r="W3395">
        <v>0.18248329999999999</v>
      </c>
      <c r="X3395">
        <v>0.98293770000000003</v>
      </c>
      <c r="Y3395">
        <v>2.5271229999999999E-2</v>
      </c>
      <c r="Z3395">
        <v>1.5755949999999999E-3</v>
      </c>
      <c r="AA3395">
        <v>0.9996794</v>
      </c>
      <c r="AB3395">
        <v>35</v>
      </c>
      <c r="AC3395">
        <v>-18.165400000000002</v>
      </c>
      <c r="AD3395">
        <v>-1.1196019467639999</v>
      </c>
      <c r="AE3395">
        <v>0.22199999999997999</v>
      </c>
      <c r="AF3395">
        <v>0.46705919428853099</v>
      </c>
      <c r="AG3395">
        <v>-1.1196019467639999</v>
      </c>
      <c r="AH3395">
        <v>18.091989688619002</v>
      </c>
      <c r="AI3395">
        <v>93.539991082152099</v>
      </c>
      <c r="AJ3395">
        <v>88.5211920549974</v>
      </c>
      <c r="AK3395">
        <v>18.132615467804499</v>
      </c>
      <c r="AL3395">
        <v>79.485561406014796</v>
      </c>
      <c r="AM3395">
        <v>88.6541153948084</v>
      </c>
      <c r="AN3395">
        <v>0.99999999491776204</v>
      </c>
    </row>
    <row r="3396" spans="1:40" x14ac:dyDescent="0.25">
      <c r="A3396" t="str">
        <f>"20190303162617982"</f>
        <v>20190303162617982</v>
      </c>
      <c r="B3396" t="str">
        <f>"1551601577966572"</f>
        <v>1551601577966572</v>
      </c>
      <c r="C3396" t="s">
        <v>40</v>
      </c>
      <c r="D3396">
        <v>5.2427000000000001</v>
      </c>
      <c r="E3396">
        <v>0.4989827</v>
      </c>
      <c r="F3396" t="s">
        <v>41</v>
      </c>
      <c r="G3396">
        <v>-235.05510000000001</v>
      </c>
      <c r="H3396" s="1">
        <v>-2.825076E-6</v>
      </c>
      <c r="I3396">
        <v>142.32749999999999</v>
      </c>
      <c r="J3396">
        <v>-217.06559999999999</v>
      </c>
      <c r="K3396">
        <v>1.1201299999999901</v>
      </c>
      <c r="L3396">
        <v>142.22659999999999</v>
      </c>
      <c r="M3396">
        <v>-0.99985000000000002</v>
      </c>
      <c r="N3396">
        <v>-9.0701059999999997E-3</v>
      </c>
      <c r="O3396">
        <v>-1.47501E-2</v>
      </c>
      <c r="P3396">
        <v>-0.98484099999999997</v>
      </c>
      <c r="Q3396">
        <v>0.1733933</v>
      </c>
      <c r="R3396">
        <v>4.8398989999999999E-3</v>
      </c>
      <c r="S3396">
        <v>-3.0793149999999998</v>
      </c>
      <c r="T3396">
        <v>-0.1876708</v>
      </c>
      <c r="U3396">
        <v>1.5975949999999999E-2</v>
      </c>
      <c r="V3396">
        <v>1.9497319999999999E-2</v>
      </c>
      <c r="W3396">
        <v>0.1823033</v>
      </c>
      <c r="X3396">
        <v>0.98304899999999995</v>
      </c>
      <c r="Y3396">
        <v>1.9875819999999999E-2</v>
      </c>
      <c r="Z3396">
        <v>1.4597589999999999E-3</v>
      </c>
      <c r="AA3396">
        <v>0.99980139999999995</v>
      </c>
      <c r="AB3396">
        <v>35</v>
      </c>
      <c r="AC3396">
        <v>-17.9895</v>
      </c>
      <c r="AD3396">
        <v>-1.1201328250760001</v>
      </c>
      <c r="AE3396">
        <v>0.10089999999999499</v>
      </c>
      <c r="AF3396">
        <v>0.36483245342686899</v>
      </c>
      <c r="AG3396">
        <v>-1.1201328250760001</v>
      </c>
      <c r="AH3396">
        <v>17.9165931827525</v>
      </c>
      <c r="AI3396">
        <v>93.576696228145295</v>
      </c>
      <c r="AJ3396">
        <v>88.8334572783601</v>
      </c>
      <c r="AK3396">
        <v>17.955280881711001</v>
      </c>
      <c r="AL3396">
        <v>79.496050517327504</v>
      </c>
      <c r="AM3396">
        <v>88.863772097595799</v>
      </c>
      <c r="AN3396">
        <v>0.99999998753953601</v>
      </c>
    </row>
    <row r="3397" spans="1:40" x14ac:dyDescent="0.25">
      <c r="A3397" t="str">
        <f>"20190303162618006"</f>
        <v>20190303162618006</v>
      </c>
      <c r="B3397" t="str">
        <f>"1551601577997335"</f>
        <v>1551601577997335</v>
      </c>
      <c r="C3397" t="s">
        <v>40</v>
      </c>
      <c r="D3397">
        <v>4.6504699999999897</v>
      </c>
      <c r="E3397">
        <v>0.4987105</v>
      </c>
      <c r="F3397" t="s">
        <v>41</v>
      </c>
      <c r="G3397">
        <v>-235.5959</v>
      </c>
      <c r="H3397" s="1">
        <v>-2.566058E-6</v>
      </c>
      <c r="I3397">
        <v>142.2261</v>
      </c>
      <c r="J3397">
        <v>-217.4332</v>
      </c>
      <c r="K3397">
        <v>1.120584</v>
      </c>
      <c r="L3397">
        <v>142.22040000000001</v>
      </c>
      <c r="M3397">
        <v>-0.99982979999999999</v>
      </c>
      <c r="N3397">
        <v>-9.0420799999999992E-3</v>
      </c>
      <c r="O3397">
        <v>-1.6089199999999901E-2</v>
      </c>
      <c r="P3397">
        <v>-0.98469700000000004</v>
      </c>
      <c r="Q3397">
        <v>0.17425979999999999</v>
      </c>
      <c r="R3397">
        <v>2.3267840000000001E-3</v>
      </c>
      <c r="S3397">
        <v>-3.0789490000000002</v>
      </c>
      <c r="T3397">
        <v>-0.18611810000000001</v>
      </c>
      <c r="U3397" s="1">
        <v>-7.6293949999999995E-5</v>
      </c>
      <c r="V3397">
        <v>1.809794E-2</v>
      </c>
      <c r="W3397">
        <v>0.18316209999999999</v>
      </c>
      <c r="X3397">
        <v>0.98291609999999996</v>
      </c>
      <c r="Y3397">
        <v>1.6010239999999999E-2</v>
      </c>
      <c r="Z3397">
        <v>1.3821930000000001E-3</v>
      </c>
      <c r="AA3397">
        <v>0.99987090000000001</v>
      </c>
      <c r="AB3397">
        <v>36</v>
      </c>
      <c r="AC3397">
        <v>-18.162700000000001</v>
      </c>
      <c r="AD3397">
        <v>-1.1205865660580001</v>
      </c>
      <c r="AE3397">
        <v>5.6999999999902597E-3</v>
      </c>
      <c r="AF3397">
        <v>0.29680468729090098</v>
      </c>
      <c r="AG3397">
        <v>-1.1205865660580001</v>
      </c>
      <c r="AH3397">
        <v>18.091391587815</v>
      </c>
      <c r="AI3397">
        <v>93.543915003543006</v>
      </c>
      <c r="AJ3397">
        <v>89.060098258149907</v>
      </c>
      <c r="AK3397">
        <v>18.1284929560648</v>
      </c>
      <c r="AL3397">
        <v>79.446002083731699</v>
      </c>
      <c r="AM3397">
        <v>88.945160809698194</v>
      </c>
      <c r="AN3397">
        <v>0.99999997497393101</v>
      </c>
    </row>
    <row r="3398" spans="1:40" x14ac:dyDescent="0.25">
      <c r="A3398" t="str">
        <f>"20190303162618048"</f>
        <v>20190303162618048</v>
      </c>
      <c r="B3398" t="str">
        <f>"1551601578037351"</f>
        <v>1551601578037351</v>
      </c>
      <c r="C3398" t="s">
        <v>40</v>
      </c>
      <c r="D3398">
        <v>5.3454509999999997</v>
      </c>
      <c r="E3398">
        <v>0.49875770000000003</v>
      </c>
      <c r="F3398" t="s">
        <v>41</v>
      </c>
      <c r="G3398">
        <v>-236.93039999999999</v>
      </c>
      <c r="H3398" s="1">
        <v>-1.9716240000000001E-6</v>
      </c>
      <c r="I3398">
        <v>142.14359999999999</v>
      </c>
      <c r="J3398">
        <v>-218.10159999999999</v>
      </c>
      <c r="K3398">
        <v>1.1213089999999999</v>
      </c>
      <c r="L3398">
        <v>142.2071</v>
      </c>
      <c r="M3398">
        <v>-0.99977510000000003</v>
      </c>
      <c r="N3398">
        <v>-9.0046039999999994E-3</v>
      </c>
      <c r="O3398">
        <v>-1.9202170000000001E-2</v>
      </c>
      <c r="P3398">
        <v>-0.98540399999999995</v>
      </c>
      <c r="Q3398">
        <v>0.17023250000000001</v>
      </c>
      <c r="R3398">
        <v>1.7312680000000001E-4</v>
      </c>
      <c r="S3398">
        <v>-3.0779420000000002</v>
      </c>
      <c r="T3398">
        <v>-0.17690210000000001</v>
      </c>
      <c r="U3398">
        <v>-1.211548E-2</v>
      </c>
      <c r="V3398">
        <v>1.8704410000000001E-2</v>
      </c>
      <c r="W3398">
        <v>0.17913850000000001</v>
      </c>
      <c r="X3398">
        <v>0.98364600000000002</v>
      </c>
      <c r="Y3398">
        <v>1.521575E-2</v>
      </c>
      <c r="Z3398">
        <v>1.435319E-3</v>
      </c>
      <c r="AA3398">
        <v>0.99988319999999997</v>
      </c>
      <c r="AB3398">
        <v>36</v>
      </c>
      <c r="AC3398">
        <v>-18.828800000000001</v>
      </c>
      <c r="AD3398">
        <v>-1.121310971624</v>
      </c>
      <c r="AE3398">
        <v>-6.3500000000004705E-2</v>
      </c>
      <c r="AF3398">
        <v>0.29702676585936799</v>
      </c>
      <c r="AG3398">
        <v>-1.121310971624</v>
      </c>
      <c r="AH3398">
        <v>18.760014784971901</v>
      </c>
      <c r="AI3398">
        <v>93.420147522527003</v>
      </c>
      <c r="AJ3398">
        <v>89.092913389332793</v>
      </c>
      <c r="AK3398">
        <v>18.795843102321399</v>
      </c>
      <c r="AL3398">
        <v>79.680415635768696</v>
      </c>
      <c r="AM3398">
        <v>88.910629829172805</v>
      </c>
      <c r="AN3398">
        <v>0.99999995522584795</v>
      </c>
    </row>
    <row r="3399" spans="1:40" x14ac:dyDescent="0.25">
      <c r="A3399" t="str">
        <f>"20190303162618072"</f>
        <v>20190303162618072</v>
      </c>
      <c r="B3399" t="str">
        <f>"1551601578066632"</f>
        <v>1551601578066632</v>
      </c>
      <c r="C3399" t="s">
        <v>40</v>
      </c>
      <c r="D3399">
        <v>5.3448960000000003</v>
      </c>
      <c r="E3399">
        <v>0.4988628</v>
      </c>
      <c r="F3399" t="s">
        <v>41</v>
      </c>
      <c r="G3399">
        <v>-236.916</v>
      </c>
      <c r="H3399" s="1">
        <v>-1.9651149999999998E-6</v>
      </c>
      <c r="I3399">
        <v>142.0959</v>
      </c>
      <c r="J3399">
        <v>-218.4966</v>
      </c>
      <c r="K3399">
        <v>1.1217189999999999</v>
      </c>
      <c r="L3399">
        <v>142.1977</v>
      </c>
      <c r="M3399">
        <v>-0.99972799999999995</v>
      </c>
      <c r="N3399">
        <v>-8.99259E-3</v>
      </c>
      <c r="O3399">
        <v>-2.1518160000000001E-2</v>
      </c>
      <c r="P3399">
        <v>-0.98531729999999995</v>
      </c>
      <c r="Q3399">
        <v>0.1707322</v>
      </c>
      <c r="R3399">
        <v>-2.5591950000000002E-4</v>
      </c>
      <c r="S3399">
        <v>-3.0760800000000001</v>
      </c>
      <c r="T3399">
        <v>-0.1833303</v>
      </c>
      <c r="U3399">
        <v>-1.817322E-2</v>
      </c>
      <c r="V3399">
        <v>2.0376350000000001E-2</v>
      </c>
      <c r="W3399">
        <v>0.17964939999999999</v>
      </c>
      <c r="X3399">
        <v>0.9835197</v>
      </c>
      <c r="Y3399">
        <v>1.555292E-2</v>
      </c>
      <c r="Z3399">
        <v>1.620893E-3</v>
      </c>
      <c r="AA3399">
        <v>0.99987780000000004</v>
      </c>
      <c r="AB3399">
        <v>36</v>
      </c>
      <c r="AC3399">
        <v>-18.4194</v>
      </c>
      <c r="AD3399">
        <v>-1.121720965115</v>
      </c>
      <c r="AE3399">
        <v>-0.101799999999997</v>
      </c>
      <c r="AF3399">
        <v>0.29350272876275102</v>
      </c>
      <c r="AG3399">
        <v>-1.121720965115</v>
      </c>
      <c r="AH3399">
        <v>18.349276006933501</v>
      </c>
      <c r="AI3399">
        <v>93.497784113765405</v>
      </c>
      <c r="AJ3399">
        <v>89.083613234672995</v>
      </c>
      <c r="AK3399">
        <v>18.385873157236599</v>
      </c>
      <c r="AL3399">
        <v>79.650661518941206</v>
      </c>
      <c r="AM3399">
        <v>88.813128133360905</v>
      </c>
      <c r="AN3399">
        <v>1.00000005142388</v>
      </c>
    </row>
    <row r="3400" spans="1:40" x14ac:dyDescent="0.25">
      <c r="A3400" t="str">
        <f>"20190303162618091"</f>
        <v>20190303162618091</v>
      </c>
      <c r="B3400" t="str">
        <f>"1551601578077367"</f>
        <v>1551601578077367</v>
      </c>
      <c r="C3400" t="s">
        <v>40</v>
      </c>
      <c r="D3400">
        <v>5.3528390000000003</v>
      </c>
      <c r="E3400">
        <v>0.49883379999999999</v>
      </c>
      <c r="F3400" t="s">
        <v>41</v>
      </c>
      <c r="G3400">
        <v>-237.99119999999999</v>
      </c>
      <c r="H3400" s="1">
        <v>-1.495703E-6</v>
      </c>
      <c r="I3400">
        <v>142.06530000000001</v>
      </c>
      <c r="J3400">
        <v>-218.78899999999999</v>
      </c>
      <c r="K3400">
        <v>1.1220349999999999</v>
      </c>
      <c r="L3400">
        <v>142.18989999999999</v>
      </c>
      <c r="M3400">
        <v>-0.99968369999999995</v>
      </c>
      <c r="N3400">
        <v>-8.9880469999999903E-3</v>
      </c>
      <c r="O3400">
        <v>-2.34889E-2</v>
      </c>
      <c r="P3400">
        <v>-0.98513620000000002</v>
      </c>
      <c r="Q3400">
        <v>0.17177400000000001</v>
      </c>
      <c r="R3400">
        <v>7.0739719999999998E-4</v>
      </c>
      <c r="S3400">
        <v>-3.075348</v>
      </c>
      <c r="T3400">
        <v>-0.1769549</v>
      </c>
      <c r="U3400">
        <v>-2.087402E-2</v>
      </c>
      <c r="V3400">
        <v>2.31431E-2</v>
      </c>
      <c r="W3400">
        <v>0.1807108</v>
      </c>
      <c r="X3400">
        <v>0.98326400000000003</v>
      </c>
      <c r="Y3400">
        <v>1.6644309999999999E-2</v>
      </c>
      <c r="Z3400">
        <v>1.692629E-3</v>
      </c>
      <c r="AA3400">
        <v>0.99985999999999997</v>
      </c>
      <c r="AB3400">
        <v>36</v>
      </c>
      <c r="AC3400">
        <v>-19.202199999999898</v>
      </c>
      <c r="AD3400">
        <v>-1.122036495703</v>
      </c>
      <c r="AE3400">
        <v>-0.124599999999986</v>
      </c>
      <c r="AF3400">
        <v>0.32538022711196302</v>
      </c>
      <c r="AG3400">
        <v>-1.122036495703</v>
      </c>
      <c r="AH3400">
        <v>19.134498757056299</v>
      </c>
      <c r="AI3400">
        <v>93.355465982493499</v>
      </c>
      <c r="AJ3400">
        <v>89.0257849275512</v>
      </c>
      <c r="AK3400">
        <v>19.170129912801102</v>
      </c>
      <c r="AL3400">
        <v>79.588835850747699</v>
      </c>
      <c r="AM3400">
        <v>88.651677299502197</v>
      </c>
      <c r="AN3400">
        <v>1.0000000450051201</v>
      </c>
    </row>
    <row r="3401" spans="1:40" x14ac:dyDescent="0.25">
      <c r="A3401" t="str">
        <f>"20190303162618113"</f>
        <v>20190303162618113</v>
      </c>
      <c r="B3401" t="str">
        <f>"1551601578106648"</f>
        <v>1551601578106648</v>
      </c>
      <c r="C3401" t="s">
        <v>40</v>
      </c>
      <c r="D3401">
        <v>5.3457470000000002</v>
      </c>
      <c r="E3401">
        <v>0.49879289999999998</v>
      </c>
      <c r="F3401" t="s">
        <v>41</v>
      </c>
      <c r="G3401">
        <v>-238.892</v>
      </c>
      <c r="H3401" s="1">
        <v>-1.107646E-6</v>
      </c>
      <c r="I3401">
        <v>142.0592</v>
      </c>
      <c r="J3401">
        <v>-219.15049999999999</v>
      </c>
      <c r="K3401">
        <v>1.1224190000000001</v>
      </c>
      <c r="L3401">
        <v>142.17910000000001</v>
      </c>
      <c r="M3401">
        <v>-0.99961520000000004</v>
      </c>
      <c r="N3401">
        <v>-8.9874299999999994E-3</v>
      </c>
      <c r="O3401">
        <v>-2.6248710000000001E-2</v>
      </c>
      <c r="P3401">
        <v>-0.98480109999999998</v>
      </c>
      <c r="Q3401">
        <v>0.17368649999999999</v>
      </c>
      <c r="R3401">
        <v>3.7802989999999998E-4</v>
      </c>
      <c r="S3401">
        <v>-3.0752109999999999</v>
      </c>
      <c r="T3401">
        <v>-0.17164099999999999</v>
      </c>
      <c r="U3401">
        <v>-1.9989010000000001E-2</v>
      </c>
      <c r="V3401">
        <v>2.535016E-2</v>
      </c>
      <c r="W3401">
        <v>0.1826516</v>
      </c>
      <c r="X3401">
        <v>0.98285080000000002</v>
      </c>
      <c r="Y3401">
        <v>1.968721E-2</v>
      </c>
      <c r="Z3401">
        <v>1.8654940000000001E-3</v>
      </c>
      <c r="AA3401">
        <v>0.99980440000000004</v>
      </c>
      <c r="AB3401">
        <v>36</v>
      </c>
      <c r="AC3401">
        <v>-19.741499999999998</v>
      </c>
      <c r="AD3401">
        <v>-1.1224201076459901</v>
      </c>
      <c r="AE3401">
        <v>-0.11990000000000101</v>
      </c>
      <c r="AF3401">
        <v>0.39706756225075901</v>
      </c>
      <c r="AG3401">
        <v>-1.1224201076459901</v>
      </c>
      <c r="AH3401">
        <v>19.674248306641299</v>
      </c>
      <c r="AI3401">
        <v>93.264533857450999</v>
      </c>
      <c r="AJ3401">
        <v>88.843808056193893</v>
      </c>
      <c r="AK3401">
        <v>19.710239368876699</v>
      </c>
      <c r="AL3401">
        <v>79.4757533869236</v>
      </c>
      <c r="AM3401">
        <v>88.522527302098396</v>
      </c>
      <c r="AN3401">
        <v>0.99999996632761201</v>
      </c>
    </row>
    <row r="3402" spans="1:40" x14ac:dyDescent="0.25">
      <c r="A3402" t="str">
        <f>"20190303162618135"</f>
        <v>20190303162618135</v>
      </c>
      <c r="B3402" t="str">
        <f>"1551601578127144"</f>
        <v>1551601578127144</v>
      </c>
      <c r="C3402" t="s">
        <v>40</v>
      </c>
      <c r="D3402">
        <v>5.4049329999999998</v>
      </c>
      <c r="E3402">
        <v>0.49892880000000001</v>
      </c>
      <c r="F3402" t="s">
        <v>41</v>
      </c>
      <c r="G3402">
        <v>-240.62200000000001</v>
      </c>
      <c r="H3402" s="1">
        <v>-4.4918579999999901E-6</v>
      </c>
      <c r="I3402">
        <v>142.02629999999999</v>
      </c>
      <c r="J3402">
        <v>-219.51949999999999</v>
      </c>
      <c r="K3402">
        <v>1.122808</v>
      </c>
      <c r="L3402">
        <v>142.16669999999999</v>
      </c>
      <c r="M3402">
        <v>-0.99952660000000004</v>
      </c>
      <c r="N3402">
        <v>-8.9922619999999905E-3</v>
      </c>
      <c r="O3402">
        <v>-2.9424680000000002E-2</v>
      </c>
      <c r="P3402">
        <v>-0.98471319999999996</v>
      </c>
      <c r="Q3402">
        <v>0.174183</v>
      </c>
      <c r="R3402">
        <v>-7.7929020000000004E-4</v>
      </c>
      <c r="S3402">
        <v>-3.0746609999999999</v>
      </c>
      <c r="T3402">
        <v>-0.16072809999999901</v>
      </c>
      <c r="U3402">
        <v>-2.1865840000000001E-2</v>
      </c>
      <c r="V3402">
        <v>2.7149119999999999E-2</v>
      </c>
      <c r="W3402">
        <v>0.1831855</v>
      </c>
      <c r="X3402">
        <v>0.9827034</v>
      </c>
      <c r="Y3402">
        <v>2.225361E-2</v>
      </c>
      <c r="Z3402">
        <v>1.953808E-3</v>
      </c>
      <c r="AA3402">
        <v>0.99975040000000004</v>
      </c>
      <c r="AB3402">
        <v>36</v>
      </c>
      <c r="AC3402">
        <v>-21.102499999999999</v>
      </c>
      <c r="AD3402">
        <v>-1.122812491858</v>
      </c>
      <c r="AE3402">
        <v>-0.140399999999999</v>
      </c>
      <c r="AF3402">
        <v>0.47926342797804899</v>
      </c>
      <c r="AG3402">
        <v>-1.122812491858</v>
      </c>
      <c r="AH3402">
        <v>21.037936586249501</v>
      </c>
      <c r="AI3402">
        <v>93.054234856502504</v>
      </c>
      <c r="AJ3402">
        <v>88.694975488789794</v>
      </c>
      <c r="AK3402">
        <v>21.073328572684598</v>
      </c>
      <c r="AL3402">
        <v>79.444638418829598</v>
      </c>
      <c r="AM3402">
        <v>88.417493597690495</v>
      </c>
      <c r="AN3402">
        <v>0.99999998724929196</v>
      </c>
    </row>
    <row r="3403" spans="1:40" x14ac:dyDescent="0.25">
      <c r="A3403" t="str">
        <f>"20190303162618158"</f>
        <v>20190303162618158</v>
      </c>
      <c r="B3403" t="str">
        <f>"1551601578146664"</f>
        <v>1551601578146664</v>
      </c>
      <c r="C3403" t="s">
        <v>40</v>
      </c>
      <c r="D3403">
        <v>5.4105660000000002</v>
      </c>
      <c r="E3403">
        <v>0.49886340000000001</v>
      </c>
      <c r="F3403" t="s">
        <v>41</v>
      </c>
      <c r="G3403">
        <v>-241.35489999999999</v>
      </c>
      <c r="H3403" s="1">
        <v>-4.2344859999999999E-6</v>
      </c>
      <c r="I3403">
        <v>141.98140000000001</v>
      </c>
      <c r="J3403">
        <v>-219.86869999999999</v>
      </c>
      <c r="K3403">
        <v>1.1231359999999999</v>
      </c>
      <c r="L3403">
        <v>142.15369999999999</v>
      </c>
      <c r="M3403">
        <v>-0.99942359999999997</v>
      </c>
      <c r="N3403">
        <v>-8.9993780000000006E-3</v>
      </c>
      <c r="O3403">
        <v>-3.2731320000000001E-2</v>
      </c>
      <c r="P3403">
        <v>-0.98483129999999997</v>
      </c>
      <c r="Q3403">
        <v>0.1735043</v>
      </c>
      <c r="R3403">
        <v>-1.859327E-3</v>
      </c>
      <c r="S3403">
        <v>-3.0745390000000001</v>
      </c>
      <c r="T3403">
        <v>-0.15809819999999999</v>
      </c>
      <c r="U3403">
        <v>-2.6092529999999999E-2</v>
      </c>
      <c r="V3403">
        <v>2.918865E-2</v>
      </c>
      <c r="W3403">
        <v>0.1825503</v>
      </c>
      <c r="X3403">
        <v>0.98276319999999995</v>
      </c>
      <c r="Y3403">
        <v>2.4182720000000001E-2</v>
      </c>
      <c r="Z3403">
        <v>2.1174660000000001E-3</v>
      </c>
      <c r="AA3403">
        <v>0.99970530000000002</v>
      </c>
      <c r="AB3403">
        <v>36</v>
      </c>
      <c r="AC3403">
        <v>-21.4862</v>
      </c>
      <c r="AD3403">
        <v>-1.123140234486</v>
      </c>
      <c r="AE3403">
        <v>-0.172299999999978</v>
      </c>
      <c r="AF3403">
        <v>0.52964542032930995</v>
      </c>
      <c r="AG3403">
        <v>-1.123140234486</v>
      </c>
      <c r="AH3403">
        <v>21.421796556233001</v>
      </c>
      <c r="AI3403">
        <v>93.000342256993804</v>
      </c>
      <c r="AJ3403">
        <v>88.583673140784697</v>
      </c>
      <c r="AK3403">
        <v>21.457757011259002</v>
      </c>
      <c r="AL3403">
        <v>79.481657573365894</v>
      </c>
      <c r="AM3403">
        <v>88.298781473135406</v>
      </c>
      <c r="AN3403">
        <v>1.0000000482965701</v>
      </c>
    </row>
    <row r="3404" spans="1:40" x14ac:dyDescent="0.25">
      <c r="A3404" t="str">
        <f>"20190303162618184"</f>
        <v>20190303162618184</v>
      </c>
      <c r="B3404" t="str">
        <f>"1551601578176920"</f>
        <v>1551601578176920</v>
      </c>
      <c r="C3404" t="s">
        <v>40</v>
      </c>
      <c r="D3404">
        <v>5.3494099999999998</v>
      </c>
      <c r="E3404">
        <v>0.49883379999999999</v>
      </c>
      <c r="F3404" t="s">
        <v>41</v>
      </c>
      <c r="G3404">
        <v>-241.54060000000001</v>
      </c>
      <c r="H3404" s="1">
        <v>-4.1635699999999998E-6</v>
      </c>
      <c r="I3404">
        <v>141.93790000000001</v>
      </c>
      <c r="J3404">
        <v>-220.27449999999999</v>
      </c>
      <c r="K3404">
        <v>1.1234440000000001</v>
      </c>
      <c r="L3404">
        <v>142.13650000000001</v>
      </c>
      <c r="M3404">
        <v>-0.99927889999999997</v>
      </c>
      <c r="N3404">
        <v>-9.0072490000000002E-3</v>
      </c>
      <c r="O3404">
        <v>-3.68881E-2</v>
      </c>
      <c r="P3404">
        <v>-0.98507270000000002</v>
      </c>
      <c r="Q3404">
        <v>0.17209739999999901</v>
      </c>
      <c r="R3404">
        <v>-3.8152609999999999E-3</v>
      </c>
      <c r="S3404">
        <v>-3.0742029999999998</v>
      </c>
      <c r="T3404">
        <v>-0.1593195</v>
      </c>
      <c r="U3404">
        <v>-3.0593869999999999E-2</v>
      </c>
      <c r="V3404">
        <v>3.1208360000000001E-2</v>
      </c>
      <c r="W3404">
        <v>0.18119009999999999</v>
      </c>
      <c r="X3404">
        <v>0.98295279999999996</v>
      </c>
      <c r="Y3404">
        <v>2.6867140000000001E-2</v>
      </c>
      <c r="Z3404">
        <v>2.39463E-3</v>
      </c>
      <c r="AA3404">
        <v>0.99963619999999997</v>
      </c>
      <c r="AB3404">
        <v>36</v>
      </c>
      <c r="AC3404">
        <v>-21.266100000000002</v>
      </c>
      <c r="AD3404">
        <v>-1.12344816357</v>
      </c>
      <c r="AE3404">
        <v>-0.198599999999999</v>
      </c>
      <c r="AF3404">
        <v>0.58440213997920598</v>
      </c>
      <c r="AG3404">
        <v>-1.12344816357</v>
      </c>
      <c r="AH3404">
        <v>21.1997919990527</v>
      </c>
      <c r="AI3404">
        <v>93.032308487424601</v>
      </c>
      <c r="AJ3404">
        <v>88.420960993010695</v>
      </c>
      <c r="AK3404">
        <v>21.2375808989757</v>
      </c>
      <c r="AL3404">
        <v>79.560912677114899</v>
      </c>
      <c r="AM3404">
        <v>88.181492691797999</v>
      </c>
      <c r="AN3404">
        <v>1.0000000105498601</v>
      </c>
    </row>
    <row r="3405" spans="1:40" x14ac:dyDescent="0.25">
      <c r="A3405" t="str">
        <f>"20190303162618208"</f>
        <v>20190303162618208</v>
      </c>
      <c r="B3405" t="str">
        <f>"1551601578197416"</f>
        <v>1551601578197416</v>
      </c>
      <c r="C3405" t="s">
        <v>40</v>
      </c>
      <c r="D3405">
        <v>5.3486529999999997</v>
      </c>
      <c r="E3405">
        <v>0.49884909999999999</v>
      </c>
      <c r="F3405" t="s">
        <v>41</v>
      </c>
      <c r="G3405">
        <v>-241.52430000000001</v>
      </c>
      <c r="H3405" s="1">
        <v>-4.1586359999999996E-6</v>
      </c>
      <c r="I3405">
        <v>141.87880000000001</v>
      </c>
      <c r="J3405">
        <v>-220.6591</v>
      </c>
      <c r="K3405">
        <v>1.1236630000000001</v>
      </c>
      <c r="L3405">
        <v>142.11859999999999</v>
      </c>
      <c r="M3405">
        <v>-0.99911749999999999</v>
      </c>
      <c r="N3405">
        <v>-9.0127509999999994E-3</v>
      </c>
      <c r="O3405">
        <v>-4.1024020000000001E-2</v>
      </c>
      <c r="P3405">
        <v>-0.98508300000000004</v>
      </c>
      <c r="Q3405">
        <v>0.1720006</v>
      </c>
      <c r="R3405">
        <v>-5.2129330000000003E-3</v>
      </c>
      <c r="S3405">
        <v>-3.073715</v>
      </c>
      <c r="T3405">
        <v>-0.1625036</v>
      </c>
      <c r="U3405">
        <v>-3.727722E-2</v>
      </c>
      <c r="V3405">
        <v>3.3786719999999999E-2</v>
      </c>
      <c r="W3405">
        <v>0.18113670000000001</v>
      </c>
      <c r="X3405">
        <v>0.98287740000000001</v>
      </c>
      <c r="Y3405">
        <v>2.8819540000000001E-2</v>
      </c>
      <c r="Z3405">
        <v>2.6883390000000001E-3</v>
      </c>
      <c r="AA3405">
        <v>0.99958100000000005</v>
      </c>
      <c r="AB3405">
        <v>36</v>
      </c>
      <c r="AC3405">
        <v>-20.865200000000002</v>
      </c>
      <c r="AD3405">
        <v>-1.1236671586360001</v>
      </c>
      <c r="AE3405">
        <v>-0.23979999999997401</v>
      </c>
      <c r="AF3405">
        <v>0.61462872775591704</v>
      </c>
      <c r="AG3405">
        <v>-1.1236671586360001</v>
      </c>
      <c r="AH3405">
        <v>20.797163093841199</v>
      </c>
      <c r="AI3405">
        <v>93.091327006391197</v>
      </c>
      <c r="AJ3405">
        <v>88.307202538539201</v>
      </c>
      <c r="AK3405">
        <v>20.8365637548088</v>
      </c>
      <c r="AL3405">
        <v>79.564023797393105</v>
      </c>
      <c r="AM3405">
        <v>88.031214780079296</v>
      </c>
      <c r="AN3405">
        <v>1.000000014983</v>
      </c>
    </row>
    <row r="3406" spans="1:40" x14ac:dyDescent="0.25">
      <c r="A3406" t="str">
        <f>"20190303162618232"</f>
        <v>20190303162618232</v>
      </c>
      <c r="B3406" t="str">
        <f>"1551601578226696"</f>
        <v>1551601578226696</v>
      </c>
      <c r="C3406" t="s">
        <v>40</v>
      </c>
      <c r="D3406">
        <v>5.3456479999999997</v>
      </c>
      <c r="E3406">
        <v>0.49885760000000001</v>
      </c>
      <c r="F3406" t="s">
        <v>41</v>
      </c>
      <c r="G3406">
        <v>-241.95079999999999</v>
      </c>
      <c r="H3406" s="1">
        <v>-4.0069270000000002E-6</v>
      </c>
      <c r="I3406">
        <v>141.84180000000001</v>
      </c>
      <c r="J3406">
        <v>-221.0693</v>
      </c>
      <c r="K3406">
        <v>1.1238239999999999</v>
      </c>
      <c r="L3406">
        <v>142.09780000000001</v>
      </c>
      <c r="M3406">
        <v>-0.99892040000000004</v>
      </c>
      <c r="N3406">
        <v>-9.0169929999999992E-3</v>
      </c>
      <c r="O3406">
        <v>-4.5569199999999997E-2</v>
      </c>
      <c r="P3406">
        <v>-0.98532180000000003</v>
      </c>
      <c r="Q3406">
        <v>0.17055399999999901</v>
      </c>
      <c r="R3406">
        <v>-7.2264619999999899E-3</v>
      </c>
      <c r="S3406">
        <v>-3.0735320000000002</v>
      </c>
      <c r="T3406">
        <v>-0.1622055</v>
      </c>
      <c r="U3406">
        <v>-3.9962770000000002E-2</v>
      </c>
      <c r="V3406">
        <v>3.6198080000000001E-2</v>
      </c>
      <c r="W3406">
        <v>0.179731</v>
      </c>
      <c r="X3406">
        <v>0.98304959999999997</v>
      </c>
      <c r="Y3406">
        <v>3.2483119999999997E-2</v>
      </c>
      <c r="Z3406">
        <v>2.9946399999999998E-3</v>
      </c>
      <c r="AA3406">
        <v>0.99946780000000002</v>
      </c>
      <c r="AB3406">
        <v>36</v>
      </c>
      <c r="AC3406">
        <v>-20.8814999999999</v>
      </c>
      <c r="AD3406">
        <v>-1.1238280069269999</v>
      </c>
      <c r="AE3406">
        <v>-0.25600000000000001</v>
      </c>
      <c r="AF3406">
        <v>0.69384853494561005</v>
      </c>
      <c r="AG3406">
        <v>-1.1238280069269999</v>
      </c>
      <c r="AH3406">
        <v>20.811201422076099</v>
      </c>
      <c r="AI3406">
        <v>93.089320312164304</v>
      </c>
      <c r="AJ3406">
        <v>88.090457550248601</v>
      </c>
      <c r="AK3406">
        <v>20.853069793409801</v>
      </c>
      <c r="AL3406">
        <v>79.645908545504895</v>
      </c>
      <c r="AM3406">
        <v>87.891194288890404</v>
      </c>
      <c r="AN3406">
        <v>1.00000002470842</v>
      </c>
    </row>
    <row r="3407" spans="1:40" x14ac:dyDescent="0.25">
      <c r="A3407" t="str">
        <f>"20190303162618252"</f>
        <v>20190303162618252</v>
      </c>
      <c r="B3407" t="str">
        <f>"1551601578237432"</f>
        <v>1551601578237432</v>
      </c>
      <c r="C3407" t="s">
        <v>40</v>
      </c>
      <c r="D3407">
        <v>5.366568</v>
      </c>
      <c r="E3407">
        <v>0.51260309999999998</v>
      </c>
      <c r="F3407" t="s">
        <v>41</v>
      </c>
      <c r="G3407">
        <v>-241.774</v>
      </c>
      <c r="H3407" s="1">
        <v>-4.0585820000000003E-6</v>
      </c>
      <c r="I3407">
        <v>141.7937</v>
      </c>
      <c r="J3407">
        <v>-221.3681</v>
      </c>
      <c r="K3407">
        <v>1.123882</v>
      </c>
      <c r="L3407">
        <v>142.0813</v>
      </c>
      <c r="M3407">
        <v>-0.99876240000000005</v>
      </c>
      <c r="N3407">
        <v>-9.0194420000000008E-3</v>
      </c>
      <c r="O3407">
        <v>-4.8913499999999999E-2</v>
      </c>
      <c r="P3407">
        <v>-0.98598730000000001</v>
      </c>
      <c r="Q3407">
        <v>0.16669679999999901</v>
      </c>
      <c r="R3407">
        <v>-6.4386460000000001E-3</v>
      </c>
      <c r="S3407">
        <v>-3.0732569999999999</v>
      </c>
      <c r="T3407">
        <v>-0.1668134</v>
      </c>
      <c r="U3407">
        <v>-4.5120239999999999E-2</v>
      </c>
      <c r="V3407">
        <v>4.0307969999999999E-2</v>
      </c>
      <c r="W3407">
        <v>0.17592360000000001</v>
      </c>
      <c r="X3407">
        <v>0.98357819999999996</v>
      </c>
      <c r="Y3407">
        <v>3.4139219999999998E-2</v>
      </c>
      <c r="Z3407">
        <v>3.2906810000000002E-3</v>
      </c>
      <c r="AA3407">
        <v>0.99941159999999996</v>
      </c>
      <c r="AB3407">
        <v>36</v>
      </c>
      <c r="AC3407">
        <v>-20.405899999999999</v>
      </c>
      <c r="AD3407">
        <v>-1.1238860585820001</v>
      </c>
      <c r="AE3407">
        <v>-0.28759999999999702</v>
      </c>
      <c r="AF3407">
        <v>0.70875922483606901</v>
      </c>
      <c r="AG3407">
        <v>-1.1238860585820001</v>
      </c>
      <c r="AH3407">
        <v>20.333871626885799</v>
      </c>
      <c r="AI3407">
        <v>93.161695540893405</v>
      </c>
      <c r="AJ3407">
        <v>88.003701454082204</v>
      </c>
      <c r="AK3407">
        <v>20.377237174114999</v>
      </c>
      <c r="AL3407">
        <v>79.867589203625897</v>
      </c>
      <c r="AM3407">
        <v>87.653277605721499</v>
      </c>
      <c r="AN3407">
        <v>0.99999996049885898</v>
      </c>
    </row>
    <row r="3408" spans="1:40" x14ac:dyDescent="0.25">
      <c r="A3408" t="str">
        <f>"20190303162618271"</f>
        <v>20190303162618271</v>
      </c>
      <c r="B3408" t="str">
        <f>"1551601578266712"</f>
        <v>1551601578266712</v>
      </c>
      <c r="C3408" t="s">
        <v>40</v>
      </c>
      <c r="D3408">
        <v>5.2678269999999996</v>
      </c>
      <c r="E3408">
        <v>0.52370720000000004</v>
      </c>
      <c r="F3408" t="s">
        <v>42</v>
      </c>
      <c r="G3408">
        <v>-222.18889999999999</v>
      </c>
      <c r="H3408">
        <v>1.003126</v>
      </c>
      <c r="I3408">
        <v>142.09649999999999</v>
      </c>
      <c r="J3408">
        <v>-221.6893</v>
      </c>
      <c r="K3408">
        <v>1.1239110000000001</v>
      </c>
      <c r="L3408">
        <v>142.0626</v>
      </c>
      <c r="M3408">
        <v>-0.99858089999999999</v>
      </c>
      <c r="N3408">
        <v>-9.021477E-3</v>
      </c>
      <c r="O3408">
        <v>-5.2485200000000003E-2</v>
      </c>
      <c r="P3408">
        <v>-0.98700310000000002</v>
      </c>
      <c r="Q3408">
        <v>0.16063440000000001</v>
      </c>
      <c r="R3408">
        <v>-4.6622249999999999E-3</v>
      </c>
      <c r="S3408">
        <v>-3.120682</v>
      </c>
      <c r="T3408">
        <v>-0.45929160000000002</v>
      </c>
      <c r="U3408">
        <v>5.7037350000000001E-2</v>
      </c>
      <c r="V3408">
        <v>4.5685789999999997E-2</v>
      </c>
      <c r="W3408">
        <v>0.1699224</v>
      </c>
      <c r="X3408">
        <v>0.98439790000000005</v>
      </c>
      <c r="Y3408">
        <v>6.9435529999999995E-2</v>
      </c>
      <c r="Z3408">
        <v>1.260652E-2</v>
      </c>
      <c r="AA3408">
        <v>0.99750680000000003</v>
      </c>
      <c r="AB3408">
        <v>36</v>
      </c>
      <c r="AC3408">
        <v>-0.499599999999986</v>
      </c>
      <c r="AD3408">
        <v>-0.120785</v>
      </c>
      <c r="AE3408">
        <v>3.3899999999988398E-2</v>
      </c>
      <c r="AF3408">
        <v>5.6772809597088497E-2</v>
      </c>
      <c r="AG3408">
        <v>-0.120785</v>
      </c>
      <c r="AH3408">
        <v>0.46979837312518002</v>
      </c>
      <c r="AI3408">
        <v>104.318607170852</v>
      </c>
      <c r="AJ3408">
        <v>83.109500684637396</v>
      </c>
      <c r="AK3408">
        <v>0.48838783720073697</v>
      </c>
      <c r="AL3408">
        <v>80.216692931422401</v>
      </c>
      <c r="AM3408">
        <v>87.342816310349406</v>
      </c>
      <c r="AN3408">
        <v>1.00000001947704</v>
      </c>
    </row>
    <row r="3409" spans="1:40" x14ac:dyDescent="0.25">
      <c r="A3409" t="str">
        <f>"20190303162618293"</f>
        <v>20190303162618293</v>
      </c>
      <c r="B3409" t="str">
        <f>"1551601578287208"</f>
        <v>1551601578287208</v>
      </c>
      <c r="C3409" t="s">
        <v>40</v>
      </c>
      <c r="D3409">
        <v>5.249574</v>
      </c>
      <c r="E3409">
        <v>0.52389279999999905</v>
      </c>
      <c r="F3409" t="s">
        <v>42</v>
      </c>
      <c r="G3409">
        <v>-222.4579</v>
      </c>
      <c r="H3409">
        <v>0.88555189999999995</v>
      </c>
      <c r="I3409">
        <v>142.09379999999999</v>
      </c>
      <c r="J3409">
        <v>-222.0299</v>
      </c>
      <c r="K3409">
        <v>1.12391</v>
      </c>
      <c r="L3409">
        <v>142.04150000000001</v>
      </c>
      <c r="M3409">
        <v>-0.99837909999999996</v>
      </c>
      <c r="N3409">
        <v>-9.0228889999999992E-3</v>
      </c>
      <c r="O3409">
        <v>-5.6196360000000001E-2</v>
      </c>
      <c r="P3409">
        <v>-0.9877785</v>
      </c>
      <c r="Q3409">
        <v>0.15584519999999999</v>
      </c>
      <c r="R3409">
        <v>-2.5002119999999999E-3</v>
      </c>
      <c r="S3409">
        <v>-3.2017359999999999</v>
      </c>
      <c r="T3409">
        <v>-0.99291059999999998</v>
      </c>
      <c r="U3409">
        <v>0.12989809999999999</v>
      </c>
      <c r="V3409">
        <v>5.158542E-2</v>
      </c>
      <c r="W3409">
        <v>0.16519229999999999</v>
      </c>
      <c r="X3409">
        <v>0.98491139999999999</v>
      </c>
      <c r="Y3409">
        <v>8.9798899999999904E-2</v>
      </c>
      <c r="Z3409">
        <v>3.0537209999999999E-2</v>
      </c>
      <c r="AA3409">
        <v>0.99549169999999998</v>
      </c>
      <c r="AB3409">
        <v>36</v>
      </c>
      <c r="AC3409">
        <v>-0.42799999999999699</v>
      </c>
      <c r="AD3409">
        <v>-0.23835809999999899</v>
      </c>
      <c r="AE3409">
        <v>5.2299999999973999E-2</v>
      </c>
      <c r="AF3409">
        <v>5.8418429998770699E-2</v>
      </c>
      <c r="AG3409">
        <v>-0.23835809999999899</v>
      </c>
      <c r="AH3409">
        <v>0.32505247693481298</v>
      </c>
      <c r="AI3409">
        <v>125.819043061306</v>
      </c>
      <c r="AJ3409">
        <v>79.811566577441994</v>
      </c>
      <c r="AK3409">
        <v>0.40729155350999902</v>
      </c>
      <c r="AL3409">
        <v>80.491594338385497</v>
      </c>
      <c r="AM3409">
        <v>87.001833209012403</v>
      </c>
      <c r="AN3409">
        <v>1.0000000086929099</v>
      </c>
    </row>
    <row r="3410" spans="1:40" x14ac:dyDescent="0.25">
      <c r="A3410" t="str">
        <f>"20190303162618314"</f>
        <v>20190303162618314</v>
      </c>
      <c r="B3410" t="str">
        <f>"1551601578306730"</f>
        <v>1551601578306730</v>
      </c>
      <c r="C3410" t="s">
        <v>40</v>
      </c>
      <c r="D3410">
        <v>5.2641479999999996</v>
      </c>
      <c r="E3410">
        <v>0.52339690000000005</v>
      </c>
      <c r="F3410" t="s">
        <v>42</v>
      </c>
      <c r="G3410">
        <v>-222.7807</v>
      </c>
      <c r="H3410">
        <v>0.88376149999999998</v>
      </c>
      <c r="I3410">
        <v>142.07239999999999</v>
      </c>
      <c r="J3410">
        <v>-222.39750000000001</v>
      </c>
      <c r="K3410">
        <v>1.1238669999999999</v>
      </c>
      <c r="L3410">
        <v>142.01759999999999</v>
      </c>
      <c r="M3410">
        <v>-0.99815410000000004</v>
      </c>
      <c r="N3410">
        <v>-9.0234800000000004E-3</v>
      </c>
      <c r="O3410">
        <v>-6.0058809999999997E-2</v>
      </c>
      <c r="P3410">
        <v>-0.98810679999999995</v>
      </c>
      <c r="Q3410">
        <v>0.15376909999999999</v>
      </c>
      <c r="R3410" s="1">
        <v>-8.8704749999999995E-5</v>
      </c>
      <c r="S3410">
        <v>-3.1988979999999998</v>
      </c>
      <c r="T3410">
        <v>-1.023317</v>
      </c>
      <c r="U3410">
        <v>0.1309052</v>
      </c>
      <c r="V3410">
        <v>5.7857220000000001E-2</v>
      </c>
      <c r="W3410">
        <v>0.163166899999999</v>
      </c>
      <c r="X3410">
        <v>0.98490049999999996</v>
      </c>
      <c r="Y3410">
        <v>9.3212779999999995E-2</v>
      </c>
      <c r="Z3410">
        <v>3.3177159999999997E-2</v>
      </c>
      <c r="AA3410">
        <v>0.99509329999999996</v>
      </c>
      <c r="AB3410">
        <v>36</v>
      </c>
      <c r="AC3410">
        <v>-0.38319999999998799</v>
      </c>
      <c r="AD3410">
        <v>-0.2401055</v>
      </c>
      <c r="AE3410">
        <v>5.4800000000000099E-2</v>
      </c>
      <c r="AF3410">
        <v>5.6123784244131003E-2</v>
      </c>
      <c r="AG3410">
        <v>-0.2401055</v>
      </c>
      <c r="AH3410">
        <v>0.27385527388900299</v>
      </c>
      <c r="AI3410">
        <v>130.659574263114</v>
      </c>
      <c r="AJ3410">
        <v>78.418196124293502</v>
      </c>
      <c r="AK3410">
        <v>0.368506772427526</v>
      </c>
      <c r="AL3410">
        <v>80.609236992505501</v>
      </c>
      <c r="AM3410">
        <v>86.638067298814903</v>
      </c>
      <c r="AN3410">
        <v>0.99999994503099199</v>
      </c>
    </row>
    <row r="3411" spans="1:40" x14ac:dyDescent="0.25">
      <c r="A3411" t="str">
        <f>"20190303162618337"</f>
        <v>20190303162618337</v>
      </c>
      <c r="B3411" t="str">
        <f>"1551601578327224"</f>
        <v>1551601578327224</v>
      </c>
      <c r="C3411" t="s">
        <v>40</v>
      </c>
      <c r="D3411">
        <v>5.3103099999999896</v>
      </c>
      <c r="E3411">
        <v>0.52249369999999995</v>
      </c>
      <c r="F3411" t="s">
        <v>42</v>
      </c>
      <c r="G3411">
        <v>-223.11009999999999</v>
      </c>
      <c r="H3411">
        <v>0.89799929999999994</v>
      </c>
      <c r="I3411">
        <v>142.0462</v>
      </c>
      <c r="J3411">
        <v>-222.76390000000001</v>
      </c>
      <c r="K3411">
        <v>1.1237710000000001</v>
      </c>
      <c r="L3411">
        <v>141.99250000000001</v>
      </c>
      <c r="M3411">
        <v>-0.99792890000000001</v>
      </c>
      <c r="N3411">
        <v>-9.0231410000000001E-3</v>
      </c>
      <c r="O3411">
        <v>-6.3691239999999996E-2</v>
      </c>
      <c r="P3411">
        <v>-0.98827730000000003</v>
      </c>
      <c r="Q3411">
        <v>0.15263309999999999</v>
      </c>
      <c r="R3411">
        <v>3.372075E-3</v>
      </c>
      <c r="S3411">
        <v>-3.1936490000000002</v>
      </c>
      <c r="T3411">
        <v>-1.012408</v>
      </c>
      <c r="U3411">
        <v>0.1274719</v>
      </c>
      <c r="V3411">
        <v>6.4954620000000005E-2</v>
      </c>
      <c r="W3411">
        <v>0.16207539999999901</v>
      </c>
      <c r="X3411">
        <v>0.98463829999999997</v>
      </c>
      <c r="Y3411">
        <v>9.5674099999999998E-2</v>
      </c>
      <c r="Z3411">
        <v>3.4373269999999997E-2</v>
      </c>
      <c r="AA3411">
        <v>0.99481900000000001</v>
      </c>
      <c r="AB3411">
        <v>36</v>
      </c>
      <c r="AC3411">
        <v>-0.34619999999998102</v>
      </c>
      <c r="AD3411">
        <v>-0.22577169999999899</v>
      </c>
      <c r="AE3411">
        <v>5.3699999999991997E-2</v>
      </c>
      <c r="AF3411">
        <v>5.3445834482559899E-2</v>
      </c>
      <c r="AG3411">
        <v>-0.22577169999999899</v>
      </c>
      <c r="AH3411">
        <v>0.24169945488858799</v>
      </c>
      <c r="AI3411">
        <v>132.36696387043699</v>
      </c>
      <c r="AJ3411">
        <v>77.531104375255097</v>
      </c>
      <c r="AK3411">
        <v>0.33503424338098298</v>
      </c>
      <c r="AL3411">
        <v>80.672620128593607</v>
      </c>
      <c r="AM3411">
        <v>86.225780495707099</v>
      </c>
      <c r="AN3411">
        <v>1.00000005988569</v>
      </c>
    </row>
    <row r="3412" spans="1:40" x14ac:dyDescent="0.25">
      <c r="A3412" t="str">
        <f>"20190303162618361"</f>
        <v>20190303162618361</v>
      </c>
      <c r="B3412" t="str">
        <f>"1551601578357480"</f>
        <v>1551601578357480</v>
      </c>
      <c r="C3412" t="s">
        <v>40</v>
      </c>
      <c r="D3412">
        <v>5.2818870000000002</v>
      </c>
      <c r="E3412">
        <v>0.52104819999999996</v>
      </c>
      <c r="F3412" t="s">
        <v>42</v>
      </c>
      <c r="G3412">
        <v>-223.4401</v>
      </c>
      <c r="H3412">
        <v>0.91191330000000004</v>
      </c>
      <c r="I3412">
        <v>142.01859999999999</v>
      </c>
      <c r="J3412">
        <v>-223.1344</v>
      </c>
      <c r="K3412">
        <v>1.1235980000000001</v>
      </c>
      <c r="L3412">
        <v>141.9659</v>
      </c>
      <c r="M3412">
        <v>-0.99771049999999994</v>
      </c>
      <c r="N3412">
        <v>-9.0214639999999999E-3</v>
      </c>
      <c r="O3412">
        <v>-6.7025879999999996E-2</v>
      </c>
      <c r="P3412">
        <v>-0.98841369999999895</v>
      </c>
      <c r="Q3412">
        <v>0.15162600000000001</v>
      </c>
      <c r="R3412">
        <v>6.9457360000000001E-3</v>
      </c>
      <c r="S3412">
        <v>-3.189514</v>
      </c>
      <c r="T3412">
        <v>-0.99936139999999996</v>
      </c>
      <c r="U3412">
        <v>0.123168899999999</v>
      </c>
      <c r="V3412">
        <v>7.1897390000000005E-2</v>
      </c>
      <c r="W3412">
        <v>0.1610924</v>
      </c>
      <c r="X3412">
        <v>0.984317</v>
      </c>
      <c r="Y3412">
        <v>9.7637379999999996E-2</v>
      </c>
      <c r="Z3412">
        <v>3.529028E-2</v>
      </c>
      <c r="AA3412">
        <v>0.99459620000000004</v>
      </c>
      <c r="AB3412">
        <v>36</v>
      </c>
      <c r="AC3412">
        <v>-0.30570000000000103</v>
      </c>
      <c r="AD3412">
        <v>-0.211684699999999</v>
      </c>
      <c r="AE3412">
        <v>5.2699999999987299E-2</v>
      </c>
      <c r="AF3412">
        <v>4.9856104104738397E-2</v>
      </c>
      <c r="AG3412">
        <v>-0.211684699999999</v>
      </c>
      <c r="AH3412">
        <v>0.20569571171468801</v>
      </c>
      <c r="AI3412">
        <v>135.00449356796301</v>
      </c>
      <c r="AJ3412">
        <v>76.375510518537098</v>
      </c>
      <c r="AK3412">
        <v>0.29934389779717302</v>
      </c>
      <c r="AL3412">
        <v>80.729691077665905</v>
      </c>
      <c r="AM3412">
        <v>85.822367892976999</v>
      </c>
      <c r="AN3412">
        <v>0.99999997625778503</v>
      </c>
    </row>
    <row r="3413" spans="1:40" x14ac:dyDescent="0.25">
      <c r="A3413" t="str">
        <f>"20190303162618382"</f>
        <v>20190303162618382</v>
      </c>
      <c r="B3413" t="str">
        <f>"1551601578377000"</f>
        <v>1551601578377000</v>
      </c>
      <c r="C3413" t="s">
        <v>40</v>
      </c>
      <c r="D3413">
        <v>5.2738709999999998</v>
      </c>
      <c r="E3413">
        <v>0.52027279999999998</v>
      </c>
      <c r="F3413" t="s">
        <v>42</v>
      </c>
      <c r="G3413">
        <v>-224.06290000000001</v>
      </c>
      <c r="H3413">
        <v>0.83652749999999998</v>
      </c>
      <c r="I3413">
        <v>142.0017</v>
      </c>
      <c r="J3413">
        <v>-223.49459999999999</v>
      </c>
      <c r="K3413">
        <v>1.123372</v>
      </c>
      <c r="L3413">
        <v>141.9391</v>
      </c>
      <c r="M3413">
        <v>-0.99751500000000004</v>
      </c>
      <c r="N3413">
        <v>-9.0191839999999995E-3</v>
      </c>
      <c r="O3413">
        <v>-6.9876069999999998E-2</v>
      </c>
      <c r="P3413">
        <v>-0.9883653</v>
      </c>
      <c r="Q3413">
        <v>0.1517637</v>
      </c>
      <c r="R3413">
        <v>1.012571E-2</v>
      </c>
      <c r="S3413">
        <v>-3.1853940000000001</v>
      </c>
      <c r="T3413">
        <v>-0.98499769999999998</v>
      </c>
      <c r="U3413">
        <v>0.1220093</v>
      </c>
      <c r="V3413">
        <v>7.7973490000000006E-2</v>
      </c>
      <c r="W3413">
        <v>0.16122649999999999</v>
      </c>
      <c r="X3413">
        <v>0.98383240000000005</v>
      </c>
      <c r="Y3413">
        <v>0.10012160000000001</v>
      </c>
      <c r="Z3413">
        <v>3.6068059999999999E-2</v>
      </c>
      <c r="AA3413">
        <v>0.99432120000000002</v>
      </c>
      <c r="AB3413">
        <v>37</v>
      </c>
      <c r="AC3413">
        <v>-0.56830000000002201</v>
      </c>
      <c r="AD3413">
        <v>-0.2868445</v>
      </c>
      <c r="AE3413">
        <v>6.2600000000003306E-2</v>
      </c>
      <c r="AF3413">
        <v>8.1615697179783397E-2</v>
      </c>
      <c r="AG3413">
        <v>-0.2868445</v>
      </c>
      <c r="AH3413">
        <v>0.44941441753883199</v>
      </c>
      <c r="AI3413">
        <v>122.12845746649801</v>
      </c>
      <c r="AJ3413">
        <v>79.707003217491902</v>
      </c>
      <c r="AK3413">
        <v>0.53936463352555797</v>
      </c>
      <c r="AL3413">
        <v>80.721906362084496</v>
      </c>
      <c r="AM3413">
        <v>85.468503650490405</v>
      </c>
      <c r="AN3413">
        <v>1.00000002036739</v>
      </c>
    </row>
    <row r="3414" spans="1:40" x14ac:dyDescent="0.25">
      <c r="A3414" t="str">
        <f>"20190303162618407"</f>
        <v>20190303162618407</v>
      </c>
      <c r="B3414" t="str">
        <f>"1551601578396519"</f>
        <v>1551601578396519</v>
      </c>
      <c r="C3414" t="s">
        <v>40</v>
      </c>
      <c r="D3414">
        <v>5.3258470000000004</v>
      </c>
      <c r="E3414">
        <v>0.51973859999999905</v>
      </c>
      <c r="F3414" t="s">
        <v>42</v>
      </c>
      <c r="G3414">
        <v>-224.39359999999999</v>
      </c>
      <c r="H3414">
        <v>0.84767899999999996</v>
      </c>
      <c r="I3414">
        <v>141.97669999999999</v>
      </c>
      <c r="J3414">
        <v>-223.88249999999999</v>
      </c>
      <c r="K3414">
        <v>1.1230880000000001</v>
      </c>
      <c r="L3414">
        <v>141.90960000000001</v>
      </c>
      <c r="M3414">
        <v>-0.99732489999999996</v>
      </c>
      <c r="N3414">
        <v>-9.0178329999999994E-3</v>
      </c>
      <c r="O3414">
        <v>-7.2539399999999907E-2</v>
      </c>
      <c r="P3414">
        <v>-0.98818419999999896</v>
      </c>
      <c r="Q3414">
        <v>0.15272829999999901</v>
      </c>
      <c r="R3414">
        <v>1.290081E-2</v>
      </c>
      <c r="S3414">
        <v>-3.1838989999999998</v>
      </c>
      <c r="T3414">
        <v>-0.9764256</v>
      </c>
      <c r="U3414">
        <v>0.13267519999999999</v>
      </c>
      <c r="V3414">
        <v>8.3465780000000003E-2</v>
      </c>
      <c r="W3414">
        <v>0.16216529999999901</v>
      </c>
      <c r="X3414">
        <v>0.98322730000000003</v>
      </c>
      <c r="Y3414">
        <v>0.1058591</v>
      </c>
      <c r="Z3414">
        <v>3.7440649999999999E-2</v>
      </c>
      <c r="AA3414">
        <v>0.993676</v>
      </c>
      <c r="AB3414">
        <v>37</v>
      </c>
      <c r="AC3414">
        <v>-0.511099999999999</v>
      </c>
      <c r="AD3414">
        <v>-0.27540899999999902</v>
      </c>
      <c r="AE3414">
        <v>6.7099999999982105E-2</v>
      </c>
      <c r="AF3414">
        <v>8.0905510321945498E-2</v>
      </c>
      <c r="AG3414">
        <v>-0.27540899999999902</v>
      </c>
      <c r="AH3414">
        <v>0.39277116556379499</v>
      </c>
      <c r="AI3414">
        <v>124.480338400184</v>
      </c>
      <c r="AJ3414">
        <v>78.360648210357894</v>
      </c>
      <c r="AK3414">
        <v>0.486482278587613</v>
      </c>
      <c r="AL3414">
        <v>80.667399828887298</v>
      </c>
      <c r="AM3414">
        <v>85.1478167690004</v>
      </c>
      <c r="AN3414">
        <v>1.0000000222101899</v>
      </c>
    </row>
    <row r="3415" spans="1:40" x14ac:dyDescent="0.25">
      <c r="A3415" t="str">
        <f>"20190303162618449"</f>
        <v>20190303162618449</v>
      </c>
      <c r="B3415" t="str">
        <f>"1551601578436536"</f>
        <v>1551601578436536</v>
      </c>
      <c r="C3415" t="s">
        <v>40</v>
      </c>
      <c r="D3415">
        <v>5.2810129999999997</v>
      </c>
      <c r="E3415">
        <v>0.51989439999999998</v>
      </c>
      <c r="F3415" t="s">
        <v>42</v>
      </c>
      <c r="G3415">
        <v>-224.72739999999999</v>
      </c>
      <c r="H3415">
        <v>0.86609599999999898</v>
      </c>
      <c r="I3415">
        <v>141.94730000000001</v>
      </c>
      <c r="J3415">
        <v>-224.57400000000001</v>
      </c>
      <c r="K3415">
        <v>1.122447</v>
      </c>
      <c r="L3415">
        <v>141.85550000000001</v>
      </c>
      <c r="M3415">
        <v>-0.99706799999999995</v>
      </c>
      <c r="N3415">
        <v>-9.0272070000000006E-3</v>
      </c>
      <c r="O3415">
        <v>-7.5986150000000002E-2</v>
      </c>
      <c r="P3415">
        <v>-0.98773180000000005</v>
      </c>
      <c r="Q3415">
        <v>0.15513550000000001</v>
      </c>
      <c r="R3415">
        <v>1.7861910000000002E-2</v>
      </c>
      <c r="S3415">
        <v>-3.1837010000000001</v>
      </c>
      <c r="T3415">
        <v>-0.96840349999999997</v>
      </c>
      <c r="U3415">
        <v>0.14131160000000001</v>
      </c>
      <c r="V3415">
        <v>9.2024410000000001E-2</v>
      </c>
      <c r="W3415">
        <v>0.16448170000000001</v>
      </c>
      <c r="X3415">
        <v>0.98207800000000001</v>
      </c>
      <c r="Y3415">
        <v>0.1116965</v>
      </c>
      <c r="Z3415">
        <v>3.9033100000000001E-2</v>
      </c>
      <c r="AA3415">
        <v>0.99297550000000001</v>
      </c>
      <c r="AB3415">
        <v>37</v>
      </c>
      <c r="AC3415">
        <v>-0.153399999999976</v>
      </c>
      <c r="AD3415">
        <v>-0.256351</v>
      </c>
      <c r="AE3415">
        <v>9.1800000000006293E-2</v>
      </c>
      <c r="AF3415">
        <v>3.3763841131128701E-2</v>
      </c>
      <c r="AG3415">
        <v>-0.256351</v>
      </c>
      <c r="AH3415">
        <v>4.7764360255097803E-2</v>
      </c>
      <c r="AI3415">
        <v>167.14656268307101</v>
      </c>
      <c r="AJ3415">
        <v>54.7441375454572</v>
      </c>
      <c r="AK3415">
        <v>0.26293966281165498</v>
      </c>
      <c r="AL3415">
        <v>80.532872916916006</v>
      </c>
      <c r="AM3415">
        <v>84.646800734616505</v>
      </c>
      <c r="AN3415">
        <v>0.99999995987736801</v>
      </c>
    </row>
    <row r="3416" spans="1:40" x14ac:dyDescent="0.25">
      <c r="A3416" t="str">
        <f>"20190303162618471"</f>
        <v>20190303162618471</v>
      </c>
      <c r="B3416" t="str">
        <f>"1551601578466792"</f>
        <v>1551601578466792</v>
      </c>
      <c r="C3416" t="s">
        <v>40</v>
      </c>
      <c r="D3416">
        <v>5.3209229999999996</v>
      </c>
      <c r="E3416">
        <v>0.51977870000000004</v>
      </c>
      <c r="F3416" t="s">
        <v>42</v>
      </c>
      <c r="G3416">
        <v>-225.38650000000001</v>
      </c>
      <c r="H3416">
        <v>0.87478339999999999</v>
      </c>
      <c r="I3416">
        <v>141.89840000000001</v>
      </c>
      <c r="J3416">
        <v>-224.94040000000001</v>
      </c>
      <c r="K3416">
        <v>1.122047</v>
      </c>
      <c r="L3416">
        <v>141.82660000000001</v>
      </c>
      <c r="M3416">
        <v>-0.99698439999999999</v>
      </c>
      <c r="N3416">
        <v>-9.0391829999999992E-3</v>
      </c>
      <c r="O3416">
        <v>-7.707398E-2</v>
      </c>
      <c r="P3416">
        <v>-0.98781169999999996</v>
      </c>
      <c r="Q3416">
        <v>0.1546902</v>
      </c>
      <c r="R3416">
        <v>1.7292180000000001E-2</v>
      </c>
      <c r="S3416">
        <v>-3.1868289999999999</v>
      </c>
      <c r="T3416">
        <v>-0.97139949999999997</v>
      </c>
      <c r="U3416">
        <v>0.16697690000000001</v>
      </c>
      <c r="V3416">
        <v>9.2697370000000001E-2</v>
      </c>
      <c r="W3416">
        <v>0.163961</v>
      </c>
      <c r="X3416">
        <v>0.98210189999999997</v>
      </c>
      <c r="Y3416">
        <v>0.1202326</v>
      </c>
      <c r="Z3416">
        <v>4.073164E-2</v>
      </c>
      <c r="AA3416">
        <v>0.99190979999999995</v>
      </c>
      <c r="AB3416">
        <v>37</v>
      </c>
      <c r="AC3416">
        <v>-0.446100000000001</v>
      </c>
      <c r="AD3416">
        <v>-0.247263599999999</v>
      </c>
      <c r="AE3416">
        <v>7.1799999999996006E-2</v>
      </c>
      <c r="AF3416">
        <v>8.1549222577109795E-2</v>
      </c>
      <c r="AG3416">
        <v>-0.247263599999999</v>
      </c>
      <c r="AH3416">
        <v>0.338014603718505</v>
      </c>
      <c r="AI3416">
        <v>125.417187551566</v>
      </c>
      <c r="AJ3416">
        <v>76.436054354576697</v>
      </c>
      <c r="AK3416">
        <v>0.426665484794434</v>
      </c>
      <c r="AL3416">
        <v>80.563118560288103</v>
      </c>
      <c r="AM3416">
        <v>84.608013983933205</v>
      </c>
      <c r="AN3416">
        <v>1.0000000769547599</v>
      </c>
    </row>
    <row r="3417" spans="1:40" x14ac:dyDescent="0.25">
      <c r="A3417" t="str">
        <f>"20190303162618493"</f>
        <v>20190303162618493</v>
      </c>
      <c r="B3417" t="str">
        <f>"1551601578487288"</f>
        <v>1551601578487288</v>
      </c>
      <c r="C3417" t="s">
        <v>40</v>
      </c>
      <c r="D3417">
        <v>5.311134</v>
      </c>
      <c r="E3417">
        <v>0.51969100000000001</v>
      </c>
      <c r="F3417" t="s">
        <v>42</v>
      </c>
      <c r="G3417">
        <v>-225.7176</v>
      </c>
      <c r="H3417">
        <v>0.88217429999999997</v>
      </c>
      <c r="I3417">
        <v>141.86789999999999</v>
      </c>
      <c r="J3417">
        <v>-225.30930000000001</v>
      </c>
      <c r="K3417">
        <v>1.121613</v>
      </c>
      <c r="L3417">
        <v>141.79740000000001</v>
      </c>
      <c r="M3417">
        <v>-0.99694090000000002</v>
      </c>
      <c r="N3417">
        <v>-9.0564310000000002E-3</v>
      </c>
      <c r="O3417">
        <v>-7.7634179999999997E-2</v>
      </c>
      <c r="P3417">
        <v>-0.9880757</v>
      </c>
      <c r="Q3417">
        <v>0.1532705</v>
      </c>
      <c r="R3417">
        <v>1.4653680000000001E-2</v>
      </c>
      <c r="S3417">
        <v>-3.1881560000000002</v>
      </c>
      <c r="T3417">
        <v>-0.98405169999999997</v>
      </c>
      <c r="U3417">
        <v>0.1696472</v>
      </c>
      <c r="V3417">
        <v>9.0817990000000001E-2</v>
      </c>
      <c r="W3417">
        <v>0.16245789999999999</v>
      </c>
      <c r="X3417">
        <v>0.98252709999999999</v>
      </c>
      <c r="Y3417">
        <v>0.1212999</v>
      </c>
      <c r="Z3417">
        <v>4.1553100000000003E-2</v>
      </c>
      <c r="AA3417">
        <v>0.99174580000000001</v>
      </c>
      <c r="AB3417">
        <v>37</v>
      </c>
      <c r="AC3417">
        <v>-0.408299999999997</v>
      </c>
      <c r="AD3417">
        <v>-0.23943869999999901</v>
      </c>
      <c r="AE3417">
        <v>7.04999999999813E-2</v>
      </c>
      <c r="AF3417">
        <v>7.6454997495128296E-2</v>
      </c>
      <c r="AG3417">
        <v>-0.23943869999999901</v>
      </c>
      <c r="AH3417">
        <v>0.30105818168170101</v>
      </c>
      <c r="AI3417">
        <v>127.62700367745801</v>
      </c>
      <c r="AJ3417">
        <v>75.750722350557794</v>
      </c>
      <c r="AK3417">
        <v>0.39218909528078699</v>
      </c>
      <c r="AL3417">
        <v>80.650409479134794</v>
      </c>
      <c r="AM3417">
        <v>84.718981563283194</v>
      </c>
      <c r="AN3417">
        <v>0.99999998940722901</v>
      </c>
    </row>
    <row r="3418" spans="1:40" x14ac:dyDescent="0.25">
      <c r="A3418" t="str">
        <f>"20190303162618517"</f>
        <v>20190303162618517</v>
      </c>
      <c r="B3418" t="str">
        <f>"1551601578506809"</f>
        <v>1551601578506809</v>
      </c>
      <c r="C3418" t="s">
        <v>40</v>
      </c>
      <c r="D3418">
        <v>5.293355</v>
      </c>
      <c r="E3418">
        <v>0.51945909999999995</v>
      </c>
      <c r="F3418" t="s">
        <v>42</v>
      </c>
      <c r="G3418">
        <v>-226.0497</v>
      </c>
      <c r="H3418">
        <v>0.89088029999999996</v>
      </c>
      <c r="I3418">
        <v>141.8365</v>
      </c>
      <c r="J3418">
        <v>-225.6968</v>
      </c>
      <c r="K3418">
        <v>1.1211089999999999</v>
      </c>
      <c r="L3418">
        <v>141.7671</v>
      </c>
      <c r="M3418">
        <v>-0.99694479999999996</v>
      </c>
      <c r="N3418">
        <v>-9.0814550000000004E-3</v>
      </c>
      <c r="O3418">
        <v>-7.7579819999999994E-2</v>
      </c>
      <c r="P3418">
        <v>-0.98812759999999999</v>
      </c>
      <c r="Q3418">
        <v>0.15322359999999999</v>
      </c>
      <c r="R3418">
        <v>1.1251870000000001E-2</v>
      </c>
      <c r="S3418">
        <v>-3.1878359999999999</v>
      </c>
      <c r="T3418">
        <v>-0.99333119999999997</v>
      </c>
      <c r="U3418">
        <v>0.16769410000000001</v>
      </c>
      <c r="V3418">
        <v>8.7579420000000005E-2</v>
      </c>
      <c r="W3418">
        <v>0.16231860000000001</v>
      </c>
      <c r="X3418">
        <v>0.9828441</v>
      </c>
      <c r="Y3418">
        <v>0.120513</v>
      </c>
      <c r="Z3418">
        <v>4.1793749999999998E-2</v>
      </c>
      <c r="AA3418">
        <v>0.99183160000000004</v>
      </c>
      <c r="AB3418">
        <v>37</v>
      </c>
      <c r="AC3418">
        <v>-0.35290000000000499</v>
      </c>
      <c r="AD3418">
        <v>-0.23022869999999901</v>
      </c>
      <c r="AE3418">
        <v>6.9400000000001599E-2</v>
      </c>
      <c r="AF3418">
        <v>6.8500610988092098E-2</v>
      </c>
      <c r="AG3418">
        <v>-0.23022869999999901</v>
      </c>
      <c r="AH3418">
        <v>0.24575137471290401</v>
      </c>
      <c r="AI3418">
        <v>132.06416665171801</v>
      </c>
      <c r="AJ3418">
        <v>74.424747191048297</v>
      </c>
      <c r="AK3418">
        <v>0.34364418543417002</v>
      </c>
      <c r="AL3418">
        <v>80.658498278362401</v>
      </c>
      <c r="AM3418">
        <v>84.907928098380097</v>
      </c>
      <c r="AN3418">
        <v>1.0000000038091501</v>
      </c>
    </row>
    <row r="3419" spans="1:40" x14ac:dyDescent="0.25">
      <c r="A3419" t="str">
        <f>"20190303162618540"</f>
        <v>20190303162618540</v>
      </c>
      <c r="B3419" t="str">
        <f>"1551601578537064"</f>
        <v>1551601578537064</v>
      </c>
      <c r="C3419" t="s">
        <v>40</v>
      </c>
      <c r="D3419">
        <v>5.2678079999999996</v>
      </c>
      <c r="E3419">
        <v>0.5191945</v>
      </c>
      <c r="F3419" t="s">
        <v>42</v>
      </c>
      <c r="G3419">
        <v>-226.38470000000001</v>
      </c>
      <c r="H3419">
        <v>0.90595689999999995</v>
      </c>
      <c r="I3419">
        <v>141.8021</v>
      </c>
      <c r="J3419">
        <v>-226.06790000000001</v>
      </c>
      <c r="K3419">
        <v>1.1206020000000001</v>
      </c>
      <c r="L3419">
        <v>141.73869999999999</v>
      </c>
      <c r="M3419">
        <v>-0.99699930000000003</v>
      </c>
      <c r="N3419">
        <v>-9.1149999999999998E-3</v>
      </c>
      <c r="O3419">
        <v>-7.6873209999999997E-2</v>
      </c>
      <c r="P3419">
        <v>-0.98773730000000004</v>
      </c>
      <c r="Q3419">
        <v>0.15597569999999999</v>
      </c>
      <c r="R3419">
        <v>6.8413450000000004E-3</v>
      </c>
      <c r="S3419">
        <v>-3.1888890000000001</v>
      </c>
      <c r="T3419">
        <v>-0.99741290000000005</v>
      </c>
      <c r="U3419">
        <v>0.16181950000000001</v>
      </c>
      <c r="V3419">
        <v>8.2661390000000001E-2</v>
      </c>
      <c r="W3419">
        <v>0.16498769999999999</v>
      </c>
      <c r="X3419">
        <v>0.98282559999999997</v>
      </c>
      <c r="Y3419">
        <v>0.11805300000000001</v>
      </c>
      <c r="Z3419">
        <v>4.1349900000000002E-2</v>
      </c>
      <c r="AA3419">
        <v>0.99214599999999997</v>
      </c>
      <c r="AB3419">
        <v>37</v>
      </c>
      <c r="AC3419">
        <v>-0.31680000000000003</v>
      </c>
      <c r="AD3419">
        <v>-0.21464510000000001</v>
      </c>
      <c r="AE3419">
        <v>6.34000000000014E-2</v>
      </c>
      <c r="AF3419">
        <v>6.0751876045989202E-2</v>
      </c>
      <c r="AG3419">
        <v>-0.21464510000000001</v>
      </c>
      <c r="AH3419">
        <v>0.215756785858778</v>
      </c>
      <c r="AI3419">
        <v>133.75949993038799</v>
      </c>
      <c r="AJ3419">
        <v>74.274068353901896</v>
      </c>
      <c r="AK3419">
        <v>0.31034545274778602</v>
      </c>
      <c r="AL3419">
        <v>80.503480093960704</v>
      </c>
      <c r="AM3419">
        <v>85.192404003411497</v>
      </c>
      <c r="AN3419">
        <v>1.00000000328169</v>
      </c>
    </row>
    <row r="3420" spans="1:40" x14ac:dyDescent="0.25">
      <c r="A3420" t="str">
        <f>"20190303162618583"</f>
        <v>20190303162618583</v>
      </c>
      <c r="B3420" t="str">
        <f>"1551601578577080"</f>
        <v>1551601578577080</v>
      </c>
      <c r="C3420" t="s">
        <v>40</v>
      </c>
      <c r="D3420">
        <v>5.2893970000000001</v>
      </c>
      <c r="E3420">
        <v>0.51891179999999903</v>
      </c>
      <c r="F3420" t="s">
        <v>42</v>
      </c>
      <c r="G3420">
        <v>-227.01660000000001</v>
      </c>
      <c r="H3420">
        <v>0.82580699999999996</v>
      </c>
      <c r="I3420">
        <v>141.78299999999999</v>
      </c>
      <c r="J3420">
        <v>-226.79320000000001</v>
      </c>
      <c r="K3420">
        <v>1.11965</v>
      </c>
      <c r="L3420">
        <v>141.68539999999999</v>
      </c>
      <c r="M3420">
        <v>-0.99721959999999998</v>
      </c>
      <c r="N3420">
        <v>-9.1918220000000005E-3</v>
      </c>
      <c r="O3420">
        <v>-7.3949219999999996E-2</v>
      </c>
      <c r="P3420">
        <v>-0.98717909999999998</v>
      </c>
      <c r="Q3420">
        <v>0.15961700000000001</v>
      </c>
      <c r="R3420">
        <v>2.6456450000000002E-4</v>
      </c>
      <c r="S3420">
        <v>-3.1928709999999998</v>
      </c>
      <c r="T3420">
        <v>-0.99206539999999999</v>
      </c>
      <c r="U3420">
        <v>0.1485901</v>
      </c>
      <c r="V3420">
        <v>7.3578119999999997E-2</v>
      </c>
      <c r="W3420">
        <v>0.16852429999999999</v>
      </c>
      <c r="X3420">
        <v>0.98294749999999997</v>
      </c>
      <c r="Y3420">
        <v>0.11154119999999999</v>
      </c>
      <c r="Z3420">
        <v>3.9211580000000003E-2</v>
      </c>
      <c r="AA3420">
        <v>0.99298589999999998</v>
      </c>
      <c r="AB3420">
        <v>37</v>
      </c>
      <c r="AC3420">
        <v>-0.22339999999999799</v>
      </c>
      <c r="AD3420">
        <v>-0.29384300000000002</v>
      </c>
      <c r="AE3420">
        <v>9.7599999999999895E-2</v>
      </c>
      <c r="AF3420">
        <v>4.6418174896651503E-2</v>
      </c>
      <c r="AG3420">
        <v>-0.29384300000000002</v>
      </c>
      <c r="AH3420">
        <v>8.7888143355829604E-2</v>
      </c>
      <c r="AI3420">
        <v>161.31178276733601</v>
      </c>
      <c r="AJ3420">
        <v>62.159199244339902</v>
      </c>
      <c r="AK3420">
        <v>0.31019781003783797</v>
      </c>
      <c r="AL3420">
        <v>80.297970020324399</v>
      </c>
      <c r="AM3420">
        <v>85.719132240006005</v>
      </c>
      <c r="AN3420">
        <v>0.99999998359473696</v>
      </c>
    </row>
    <row r="3421" spans="1:40" x14ac:dyDescent="0.25">
      <c r="A3421" t="str">
        <f>"20190303162618606"</f>
        <v>20190303162618606</v>
      </c>
      <c r="B3421" t="str">
        <f>"1551601578596601"</f>
        <v>1551601578596601</v>
      </c>
      <c r="C3421" t="s">
        <v>40</v>
      </c>
      <c r="D3421">
        <v>5.3054819999999996</v>
      </c>
      <c r="E3421">
        <v>0.51883230000000002</v>
      </c>
      <c r="F3421" t="s">
        <v>42</v>
      </c>
      <c r="G3421">
        <v>-227.68620000000001</v>
      </c>
      <c r="H3421">
        <v>0.84488079999999999</v>
      </c>
      <c r="I3421">
        <v>141.721</v>
      </c>
      <c r="J3421">
        <v>-227.16900000000001</v>
      </c>
      <c r="K3421">
        <v>1.1192470000000001</v>
      </c>
      <c r="L3421">
        <v>141.6593</v>
      </c>
      <c r="M3421">
        <v>-0.99737370000000003</v>
      </c>
      <c r="N3421">
        <v>-9.2267310000000002E-3</v>
      </c>
      <c r="O3421">
        <v>-7.1837940000000003E-2</v>
      </c>
      <c r="P3421">
        <v>-0.98664379999999996</v>
      </c>
      <c r="Q3421">
        <v>0.16287839999999901</v>
      </c>
      <c r="R3421">
        <v>-2.1791940000000002E-3</v>
      </c>
      <c r="S3421">
        <v>-3.198013</v>
      </c>
      <c r="T3421">
        <v>-0.98397120000000005</v>
      </c>
      <c r="U3421">
        <v>0.1267548</v>
      </c>
      <c r="V3421">
        <v>6.9201910000000005E-2</v>
      </c>
      <c r="W3421">
        <v>0.17175470000000001</v>
      </c>
      <c r="X3421">
        <v>0.98270619999999997</v>
      </c>
      <c r="Y3421">
        <v>0.103244</v>
      </c>
      <c r="Z3421">
        <v>3.6946519999999997E-2</v>
      </c>
      <c r="AA3421">
        <v>0.99396960000000001</v>
      </c>
      <c r="AB3421">
        <v>37</v>
      </c>
      <c r="AC3421">
        <v>-0.51720000000000199</v>
      </c>
      <c r="AD3421">
        <v>-0.27436619999999901</v>
      </c>
      <c r="AE3421">
        <v>6.1700000000001802E-2</v>
      </c>
      <c r="AF3421">
        <v>7.7259879706965601E-2</v>
      </c>
      <c r="AG3421">
        <v>-0.27436619999999901</v>
      </c>
      <c r="AH3421">
        <v>0.40034859026793801</v>
      </c>
      <c r="AI3421">
        <v>123.936717419196</v>
      </c>
      <c r="AJ3421">
        <v>79.0772469598474</v>
      </c>
      <c r="AK3421">
        <v>0.49145182311626401</v>
      </c>
      <c r="AL3421">
        <v>80.110143569890695</v>
      </c>
      <c r="AM3421">
        <v>85.971895992924004</v>
      </c>
      <c r="AN3421">
        <v>1.00000002841908</v>
      </c>
    </row>
    <row r="3422" spans="1:40" x14ac:dyDescent="0.25">
      <c r="A3422" t="str">
        <f>"20190303162618629"</f>
        <v>20190303162618629</v>
      </c>
      <c r="B3422" t="str">
        <f>"1551601578617096"</f>
        <v>1551601578617096</v>
      </c>
      <c r="C3422" t="s">
        <v>40</v>
      </c>
      <c r="D3422">
        <v>5.3020050000000003</v>
      </c>
      <c r="E3422">
        <v>0.51885749999999997</v>
      </c>
      <c r="F3422" t="s">
        <v>42</v>
      </c>
      <c r="G3422">
        <v>-228.02369999999999</v>
      </c>
      <c r="H3422">
        <v>0.85901709999999998</v>
      </c>
      <c r="I3422">
        <v>141.69239999999999</v>
      </c>
      <c r="J3422">
        <v>-227.5608</v>
      </c>
      <c r="K3422">
        <v>1.1188990000000001</v>
      </c>
      <c r="L3422">
        <v>141.63319999999999</v>
      </c>
      <c r="M3422">
        <v>-0.99755110000000002</v>
      </c>
      <c r="N3422">
        <v>-9.2575999999999995E-3</v>
      </c>
      <c r="O3422">
        <v>-6.9328669999999995E-2</v>
      </c>
      <c r="P3422">
        <v>-0.98576589999999997</v>
      </c>
      <c r="Q3422">
        <v>0.16807429999999901</v>
      </c>
      <c r="R3422">
        <v>-4.1111769999999997E-3</v>
      </c>
      <c r="S3422">
        <v>-3.201813</v>
      </c>
      <c r="T3422">
        <v>-0.97476119999999999</v>
      </c>
      <c r="U3422">
        <v>0.1234131</v>
      </c>
      <c r="V3422">
        <v>6.4911220000000006E-2</v>
      </c>
      <c r="W3422">
        <v>0.17693039999999999</v>
      </c>
      <c r="X3422">
        <v>0.98208050000000002</v>
      </c>
      <c r="Y3422">
        <v>0.10008060000000001</v>
      </c>
      <c r="Z3422">
        <v>3.5363289999999999E-2</v>
      </c>
      <c r="AA3422">
        <v>0.99435070000000003</v>
      </c>
      <c r="AB3422">
        <v>37</v>
      </c>
      <c r="AC3422">
        <v>-0.46289999999998999</v>
      </c>
      <c r="AD3422">
        <v>-0.2598819</v>
      </c>
      <c r="AE3422">
        <v>5.9200000000004097E-2</v>
      </c>
      <c r="AF3422">
        <v>6.9574578209421797E-2</v>
      </c>
      <c r="AG3422">
        <v>-0.2598819</v>
      </c>
      <c r="AH3422">
        <v>0.349342904844202</v>
      </c>
      <c r="AI3422">
        <v>126.114035706441</v>
      </c>
      <c r="AJ3422">
        <v>78.736439861692205</v>
      </c>
      <c r="AK3422">
        <v>0.44093048096680099</v>
      </c>
      <c r="AL3422">
        <v>79.808984623733394</v>
      </c>
      <c r="AM3422">
        <v>86.218500161464206</v>
      </c>
      <c r="AN3422">
        <v>0.99999997070314794</v>
      </c>
    </row>
    <row r="3423" spans="1:40" x14ac:dyDescent="0.25">
      <c r="A3423" t="str">
        <f>"20190303162618653"</f>
        <v>20190303162618653</v>
      </c>
      <c r="B3423" t="str">
        <f>"1551601578647351"</f>
        <v>1551601578647351</v>
      </c>
      <c r="C3423" t="s">
        <v>40</v>
      </c>
      <c r="D3423">
        <v>5.294791</v>
      </c>
      <c r="E3423">
        <v>0.51883469999999998</v>
      </c>
      <c r="F3423" t="s">
        <v>42</v>
      </c>
      <c r="G3423">
        <v>-228.36410000000001</v>
      </c>
      <c r="H3423">
        <v>0.87866880000000003</v>
      </c>
      <c r="I3423">
        <v>141.66329999999999</v>
      </c>
      <c r="J3423">
        <v>-227.9589</v>
      </c>
      <c r="K3423">
        <v>1.1186199999999999</v>
      </c>
      <c r="L3423">
        <v>141.6078</v>
      </c>
      <c r="M3423">
        <v>-0.99773970000000001</v>
      </c>
      <c r="N3423">
        <v>-9.2843209999999999E-3</v>
      </c>
      <c r="O3423">
        <v>-6.6554349999999998E-2</v>
      </c>
      <c r="P3423">
        <v>-0.984931</v>
      </c>
      <c r="Q3423">
        <v>0.17289260000000001</v>
      </c>
      <c r="R3423">
        <v>-4.378837E-3</v>
      </c>
      <c r="S3423">
        <v>-3.2073360000000002</v>
      </c>
      <c r="T3423">
        <v>-0.95913470000000001</v>
      </c>
      <c r="U3423">
        <v>0.12019349999999999</v>
      </c>
      <c r="V3423">
        <v>6.2002590000000003E-2</v>
      </c>
      <c r="W3423">
        <v>0.18173549999999999</v>
      </c>
      <c r="X3423">
        <v>0.98139080000000001</v>
      </c>
      <c r="Y3423">
        <v>9.6778210000000003E-2</v>
      </c>
      <c r="Z3423">
        <v>3.3475350000000001E-2</v>
      </c>
      <c r="AA3423">
        <v>0.99474289999999999</v>
      </c>
      <c r="AB3423">
        <v>37</v>
      </c>
      <c r="AC3423">
        <v>-0.405200000000007</v>
      </c>
      <c r="AD3423">
        <v>-0.2399512</v>
      </c>
      <c r="AE3423">
        <v>5.5499999999994998E-2</v>
      </c>
      <c r="AF3423">
        <v>6.1259301980191201E-2</v>
      </c>
      <c r="AG3423">
        <v>-0.2399512</v>
      </c>
      <c r="AH3423">
        <v>0.29802256183929998</v>
      </c>
      <c r="AI3423">
        <v>128.261279509015</v>
      </c>
      <c r="AJ3423">
        <v>78.384494281668196</v>
      </c>
      <c r="AK3423">
        <v>0.38748771312881602</v>
      </c>
      <c r="AL3423">
        <v>79.529135966464494</v>
      </c>
      <c r="AM3423">
        <v>86.384955478968706</v>
      </c>
      <c r="AN3423">
        <v>1.00000000772579</v>
      </c>
    </row>
    <row r="3424" spans="1:40" x14ac:dyDescent="0.25">
      <c r="A3424" t="str">
        <f>"20190303162618673"</f>
        <v>20190303162618673</v>
      </c>
      <c r="B3424" t="str">
        <f>"1551601578666872"</f>
        <v>1551601578666872</v>
      </c>
      <c r="C3424" t="s">
        <v>40</v>
      </c>
      <c r="D3424">
        <v>5.2706179999999998</v>
      </c>
      <c r="E3424">
        <v>0.50558670000000006</v>
      </c>
      <c r="F3424" t="s">
        <v>42</v>
      </c>
      <c r="G3424">
        <v>-228.70529999999999</v>
      </c>
      <c r="H3424">
        <v>0.89874169999999998</v>
      </c>
      <c r="I3424">
        <v>141.63570000000001</v>
      </c>
      <c r="J3424">
        <v>-228.29769999999999</v>
      </c>
      <c r="K3424">
        <v>1.118441</v>
      </c>
      <c r="L3424">
        <v>141.58709999999999</v>
      </c>
      <c r="M3424">
        <v>-0.9978998</v>
      </c>
      <c r="N3424">
        <v>-9.3065309999999998E-3</v>
      </c>
      <c r="O3424">
        <v>-6.4103599999999997E-2</v>
      </c>
      <c r="P3424">
        <v>-0.98425750000000001</v>
      </c>
      <c r="Q3424">
        <v>0.17669679999999999</v>
      </c>
      <c r="R3424">
        <v>-3.9354999999999998E-3</v>
      </c>
      <c r="S3424">
        <v>-3.2125240000000002</v>
      </c>
      <c r="T3424">
        <v>-0.94622189999999995</v>
      </c>
      <c r="U3424">
        <v>0.1190491</v>
      </c>
      <c r="V3424">
        <v>6.008811E-2</v>
      </c>
      <c r="W3424">
        <v>0.18553829999999999</v>
      </c>
      <c r="X3424">
        <v>0.98079810000000001</v>
      </c>
      <c r="Y3424">
        <v>9.4334050000000003E-2</v>
      </c>
      <c r="Z3424">
        <v>3.1941589999999999E-2</v>
      </c>
      <c r="AA3424">
        <v>0.99502809999999997</v>
      </c>
      <c r="AB3424">
        <v>37</v>
      </c>
      <c r="AC3424">
        <v>-0.40760000000000202</v>
      </c>
      <c r="AD3424">
        <v>-0.21969929999999999</v>
      </c>
      <c r="AE3424">
        <v>4.8600000000021702E-2</v>
      </c>
      <c r="AF3424">
        <v>5.8011921435166702E-2</v>
      </c>
      <c r="AG3424">
        <v>-0.21969929999999999</v>
      </c>
      <c r="AH3424">
        <v>0.31376586212623497</v>
      </c>
      <c r="AI3424">
        <v>124.548651521153</v>
      </c>
      <c r="AJ3424">
        <v>79.524919878582807</v>
      </c>
      <c r="AK3424">
        <v>0.38740441619179999</v>
      </c>
      <c r="AL3424">
        <v>79.3074816841158</v>
      </c>
      <c r="AM3424">
        <v>86.494184226344103</v>
      </c>
      <c r="AN3424">
        <v>0.99999997734693502</v>
      </c>
    </row>
    <row r="3425" spans="1:40" x14ac:dyDescent="0.25">
      <c r="A3425" t="str">
        <f>"20190303162618717"</f>
        <v>20190303162618717</v>
      </c>
      <c r="B3425" t="str">
        <f>"1551601578706888"</f>
        <v>1551601578706888</v>
      </c>
      <c r="C3425" t="s">
        <v>40</v>
      </c>
      <c r="D3425">
        <v>5.4659190000000004</v>
      </c>
      <c r="E3425">
        <v>0.48495779999999999</v>
      </c>
      <c r="F3425" t="s">
        <v>42</v>
      </c>
      <c r="G3425">
        <v>-229.06010000000001</v>
      </c>
      <c r="H3425">
        <v>0.94588669999999997</v>
      </c>
      <c r="I3425">
        <v>141.59110000000001</v>
      </c>
      <c r="J3425">
        <v>-229.0264</v>
      </c>
      <c r="K3425">
        <v>1.118276</v>
      </c>
      <c r="L3425">
        <v>141.5454</v>
      </c>
      <c r="M3425">
        <v>-0.99821680000000002</v>
      </c>
      <c r="N3425">
        <v>-9.3532900000000002E-3</v>
      </c>
      <c r="O3425">
        <v>-5.8955109999999998E-2</v>
      </c>
      <c r="P3425">
        <v>-0.98395429999999995</v>
      </c>
      <c r="Q3425">
        <v>0.17838660000000001</v>
      </c>
      <c r="R3425">
        <v>-3.5367670000000001E-3</v>
      </c>
      <c r="S3425">
        <v>-3.1771240000000001</v>
      </c>
      <c r="T3425">
        <v>-0.71909419999999902</v>
      </c>
      <c r="U3425">
        <v>1.6540530000000001E-2</v>
      </c>
      <c r="V3425">
        <v>5.5488570000000001E-2</v>
      </c>
      <c r="W3425">
        <v>0.18727260000000001</v>
      </c>
      <c r="X3425">
        <v>0.98073949999999999</v>
      </c>
      <c r="Y3425">
        <v>6.1171789999999997E-2</v>
      </c>
      <c r="Z3425">
        <v>1.9752479999999999E-2</v>
      </c>
      <c r="AA3425">
        <v>0.99793180000000004</v>
      </c>
      <c r="AB3425">
        <v>37</v>
      </c>
      <c r="AC3425">
        <v>-3.3700000000010201E-2</v>
      </c>
      <c r="AD3425">
        <v>-0.1723893</v>
      </c>
      <c r="AE3425">
        <v>4.5700000000010697E-2</v>
      </c>
      <c r="AF3425">
        <v>4.6595102981909003E-3</v>
      </c>
      <c r="AG3425">
        <v>-0.1723893</v>
      </c>
      <c r="AH3425">
        <v>3.0288985820845701E-3</v>
      </c>
      <c r="AI3425">
        <v>178.15354982006301</v>
      </c>
      <c r="AJ3425">
        <v>33.025742364192403</v>
      </c>
      <c r="AK3425">
        <v>0.17247885672548199</v>
      </c>
      <c r="AL3425">
        <v>79.206341003526504</v>
      </c>
      <c r="AM3425">
        <v>86.761754786238001</v>
      </c>
      <c r="AN3425">
        <v>0.99999998748582697</v>
      </c>
    </row>
    <row r="3426" spans="1:40" x14ac:dyDescent="0.25">
      <c r="A3426" t="str">
        <f>"20190303162618739"</f>
        <v>20190303162618739</v>
      </c>
      <c r="B3426" t="str">
        <f>"1551601578727383"</f>
        <v>1551601578727383</v>
      </c>
      <c r="C3426" t="s">
        <v>40</v>
      </c>
      <c r="D3426">
        <v>5.4475160000000002</v>
      </c>
      <c r="E3426">
        <v>0.48517949999999999</v>
      </c>
      <c r="F3426" t="s">
        <v>41</v>
      </c>
      <c r="G3426">
        <v>-279.32600000000002</v>
      </c>
      <c r="H3426" s="1">
        <v>-3.368088E-7</v>
      </c>
      <c r="I3426">
        <v>139.24770000000001</v>
      </c>
      <c r="J3426">
        <v>-229.38890000000001</v>
      </c>
      <c r="K3426">
        <v>1.118263</v>
      </c>
      <c r="L3426">
        <v>141.52600000000001</v>
      </c>
      <c r="M3426">
        <v>-0.9983552</v>
      </c>
      <c r="N3426">
        <v>-9.3742449999999998E-3</v>
      </c>
      <c r="O3426">
        <v>-5.6563130000000003E-2</v>
      </c>
      <c r="P3426">
        <v>-0.98419900000000005</v>
      </c>
      <c r="Q3426">
        <v>0.17706269999999999</v>
      </c>
      <c r="R3426">
        <v>-1.124831E-3</v>
      </c>
      <c r="S3426">
        <v>-3.0607760000000002</v>
      </c>
      <c r="T3426">
        <v>-6.8048120000000004E-2</v>
      </c>
      <c r="U3426">
        <v>-0.13981629999999901</v>
      </c>
      <c r="V3426">
        <v>5.5548750000000001E-2</v>
      </c>
      <c r="W3426">
        <v>0.1859712</v>
      </c>
      <c r="X3426">
        <v>0.98098370000000001</v>
      </c>
      <c r="Y3426">
        <v>1.093883E-2</v>
      </c>
      <c r="Z3426">
        <v>8.9831979999999904E-4</v>
      </c>
      <c r="AA3426">
        <v>0.99993969999999999</v>
      </c>
      <c r="AB3426">
        <v>37</v>
      </c>
      <c r="AC3426">
        <v>-49.937099999999901</v>
      </c>
      <c r="AD3426">
        <v>-1.1182633368088</v>
      </c>
      <c r="AE3426">
        <v>-2.2783000000000002</v>
      </c>
      <c r="AF3426">
        <v>0.54979496414334095</v>
      </c>
      <c r="AG3426">
        <v>-1.1182633368088</v>
      </c>
      <c r="AH3426">
        <v>49.961016634233999</v>
      </c>
      <c r="AI3426">
        <v>91.2821435635462</v>
      </c>
      <c r="AJ3426">
        <v>89.369515240382597</v>
      </c>
      <c r="AK3426">
        <v>49.976554208141003</v>
      </c>
      <c r="AL3426">
        <v>79.282239106381596</v>
      </c>
      <c r="AM3426">
        <v>86.759055501833799</v>
      </c>
      <c r="AN3426">
        <v>0.99999998526084599</v>
      </c>
    </row>
    <row r="3427" spans="1:40" x14ac:dyDescent="0.25">
      <c r="A3427" t="str">
        <f>"20190303162618759"</f>
        <v>20190303162618759</v>
      </c>
      <c r="B3427" t="str">
        <f>"1551601578746904"</f>
        <v>1551601578746904</v>
      </c>
      <c r="C3427" t="s">
        <v>40</v>
      </c>
      <c r="D3427">
        <v>5.5577649999999998</v>
      </c>
      <c r="E3427">
        <v>0.48577229999999999</v>
      </c>
      <c r="F3427" t="s">
        <v>47</v>
      </c>
      <c r="G3427">
        <v>-280.31200000000001</v>
      </c>
      <c r="H3427" s="1">
        <v>-3.64648E-6</v>
      </c>
      <c r="I3427">
        <v>139.328</v>
      </c>
      <c r="J3427">
        <v>-229.73910000000001</v>
      </c>
      <c r="K3427">
        <v>1.118306</v>
      </c>
      <c r="L3427">
        <v>141.5078</v>
      </c>
      <c r="M3427">
        <v>-0.9984729</v>
      </c>
      <c r="N3427">
        <v>-9.397519E-3</v>
      </c>
      <c r="O3427">
        <v>-5.4437939999999997E-2</v>
      </c>
      <c r="P3427">
        <v>-0.98424909999999999</v>
      </c>
      <c r="Q3427">
        <v>0.17676549999999999</v>
      </c>
      <c r="R3427">
        <v>2.7428180000000002E-3</v>
      </c>
      <c r="S3427">
        <v>-3.0601039999999999</v>
      </c>
      <c r="T3427">
        <v>-6.7199709999999996E-2</v>
      </c>
      <c r="U3427">
        <v>-0.13208010000000001</v>
      </c>
      <c r="V3427">
        <v>5.7296159999999999E-2</v>
      </c>
      <c r="W3427">
        <v>0.18569430000000001</v>
      </c>
      <c r="X3427">
        <v>0.98093569999999997</v>
      </c>
      <c r="Y3427">
        <v>1.1323679999999999E-2</v>
      </c>
      <c r="Z3427">
        <v>8.5980360000000001E-4</v>
      </c>
      <c r="AA3427">
        <v>0.99993549999999998</v>
      </c>
      <c r="AB3427">
        <v>37</v>
      </c>
      <c r="AC3427">
        <v>-50.572899999999997</v>
      </c>
      <c r="AD3427">
        <v>-1.11830964648</v>
      </c>
      <c r="AE3427">
        <v>-2.1798000000000002</v>
      </c>
      <c r="AF3427">
        <v>0.57635744731842298</v>
      </c>
      <c r="AG3427">
        <v>-1.11830964648</v>
      </c>
      <c r="AH3427">
        <v>50.591878316457901</v>
      </c>
      <c r="AI3427">
        <v>91.266207874146303</v>
      </c>
      <c r="AJ3427">
        <v>89.347297988997298</v>
      </c>
      <c r="AK3427">
        <v>50.607518769050202</v>
      </c>
      <c r="AL3427">
        <v>79.298386098220107</v>
      </c>
      <c r="AM3427">
        <v>86.657168823684501</v>
      </c>
      <c r="AN3427">
        <v>1.0000000352688601</v>
      </c>
    </row>
    <row r="3428" spans="1:40" x14ac:dyDescent="0.25">
      <c r="A3428" t="str">
        <f>"20190303162618783"</f>
        <v>20190303162618783</v>
      </c>
      <c r="B3428" t="str">
        <f>"1551601578777161"</f>
        <v>1551601578777161</v>
      </c>
      <c r="C3428" t="s">
        <v>40</v>
      </c>
      <c r="D3428">
        <v>5.3127000000000004</v>
      </c>
      <c r="E3428">
        <v>0.48642000000000002</v>
      </c>
      <c r="F3428" t="s">
        <v>41</v>
      </c>
      <c r="G3428">
        <v>-275.6019</v>
      </c>
      <c r="H3428" s="1">
        <v>-1.9058790000000001E-6</v>
      </c>
      <c r="I3428">
        <v>139.7544</v>
      </c>
      <c r="J3428">
        <v>-230.13849999999999</v>
      </c>
      <c r="K3428">
        <v>1.1184019999999999</v>
      </c>
      <c r="L3428">
        <v>141.4879</v>
      </c>
      <c r="M3428">
        <v>-0.99859039999999999</v>
      </c>
      <c r="N3428">
        <v>-9.4304980000000007E-3</v>
      </c>
      <c r="O3428">
        <v>-5.2235240000000002E-2</v>
      </c>
      <c r="P3428">
        <v>-0.98406450000000001</v>
      </c>
      <c r="Q3428">
        <v>0.1776452</v>
      </c>
      <c r="R3428">
        <v>7.7223179999999997E-3</v>
      </c>
      <c r="S3428">
        <v>-3.0617220000000001</v>
      </c>
      <c r="T3428">
        <v>-7.4656490000000006E-2</v>
      </c>
      <c r="U3428">
        <v>-0.11705019999999999</v>
      </c>
      <c r="V3428">
        <v>6.0055980000000002E-2</v>
      </c>
      <c r="W3428">
        <v>0.18660180000000001</v>
      </c>
      <c r="X3428">
        <v>0.98059830000000003</v>
      </c>
      <c r="Y3428">
        <v>1.403771E-2</v>
      </c>
      <c r="Z3428">
        <v>1.016896E-3</v>
      </c>
      <c r="AA3428">
        <v>0.99990089999999998</v>
      </c>
      <c r="AB3428">
        <v>38</v>
      </c>
      <c r="AC3428">
        <v>-45.4634</v>
      </c>
      <c r="AD3428">
        <v>-1.1184039058790001</v>
      </c>
      <c r="AE3428">
        <v>-1.73349999999999</v>
      </c>
      <c r="AF3428">
        <v>0.64337491853025797</v>
      </c>
      <c r="AG3428">
        <v>-1.1184039058790001</v>
      </c>
      <c r="AH3428">
        <v>45.464408515647897</v>
      </c>
      <c r="AI3428">
        <v>91.409025066794797</v>
      </c>
      <c r="AJ3428">
        <v>89.189251365611995</v>
      </c>
      <c r="AK3428">
        <v>45.482713202492597</v>
      </c>
      <c r="AL3428">
        <v>79.245464710339405</v>
      </c>
      <c r="AM3428">
        <v>86.495342005330798</v>
      </c>
      <c r="AN3428">
        <v>0.99999998922994504</v>
      </c>
    </row>
    <row r="3429" spans="1:40" x14ac:dyDescent="0.25">
      <c r="A3429" t="str">
        <f>"20190303162618808"</f>
        <v>20190303162618808</v>
      </c>
      <c r="B3429" t="str">
        <f>"1551601578796681"</f>
        <v>1551601578796681</v>
      </c>
      <c r="C3429" t="s">
        <v>40</v>
      </c>
      <c r="D3429">
        <v>5.4876110000000002</v>
      </c>
      <c r="E3429">
        <v>0.48664299999999999</v>
      </c>
      <c r="F3429" t="s">
        <v>41</v>
      </c>
      <c r="G3429">
        <v>-272.87490000000003</v>
      </c>
      <c r="H3429" s="1">
        <v>-3.1782630000000002E-6</v>
      </c>
      <c r="I3429">
        <v>140.1397</v>
      </c>
      <c r="J3429">
        <v>-230.55629999999999</v>
      </c>
      <c r="K3429">
        <v>1.118528</v>
      </c>
      <c r="L3429">
        <v>141.46780000000001</v>
      </c>
      <c r="M3429">
        <v>-0.99869600000000003</v>
      </c>
      <c r="N3429">
        <v>-9.4961170000000001E-3</v>
      </c>
      <c r="O3429">
        <v>-5.0163149999999997E-2</v>
      </c>
      <c r="P3429">
        <v>-0.98390909999999998</v>
      </c>
      <c r="Q3429">
        <v>0.178176</v>
      </c>
      <c r="R3429">
        <v>1.3282270000000001E-2</v>
      </c>
      <c r="S3429">
        <v>-3.0637970000000001</v>
      </c>
      <c r="T3429">
        <v>-8.0179329999999993E-2</v>
      </c>
      <c r="U3429">
        <v>-9.6649170000000006E-2</v>
      </c>
      <c r="V3429">
        <v>6.3517509999999999E-2</v>
      </c>
      <c r="W3429">
        <v>0.18719250000000001</v>
      </c>
      <c r="X3429">
        <v>0.98026760000000002</v>
      </c>
      <c r="Y3429">
        <v>1.8634660000000001E-2</v>
      </c>
      <c r="Z3429">
        <v>1.1673569999999999E-3</v>
      </c>
      <c r="AA3429">
        <v>0.99982570000000004</v>
      </c>
      <c r="AB3429">
        <v>38</v>
      </c>
      <c r="AC3429">
        <v>-42.318600000000004</v>
      </c>
      <c r="AD3429">
        <v>-1.1185311782630001</v>
      </c>
      <c r="AE3429">
        <v>-1.3281000000000001</v>
      </c>
      <c r="AF3429">
        <v>0.79594644115544</v>
      </c>
      <c r="AG3429">
        <v>-1.1185311782630001</v>
      </c>
      <c r="AH3429">
        <v>42.302418582566297</v>
      </c>
      <c r="AI3429">
        <v>91.514354390522399</v>
      </c>
      <c r="AJ3429">
        <v>88.922071296869902</v>
      </c>
      <c r="AK3429">
        <v>42.324688547803603</v>
      </c>
      <c r="AL3429">
        <v>79.211013556411203</v>
      </c>
      <c r="AM3429">
        <v>86.292640071133206</v>
      </c>
      <c r="AN3429">
        <v>1.0000000368713</v>
      </c>
    </row>
    <row r="3430" spans="1:40" x14ac:dyDescent="0.25">
      <c r="A3430" t="str">
        <f>"20190303162618851"</f>
        <v>20190303162618851</v>
      </c>
      <c r="B3430" t="str">
        <f>"1551601578836696"</f>
        <v>1551601578836696</v>
      </c>
      <c r="C3430" t="s">
        <v>40</v>
      </c>
      <c r="D3430">
        <v>5.551679</v>
      </c>
      <c r="E3430">
        <v>0.48663400000000001</v>
      </c>
      <c r="F3430" t="s">
        <v>41</v>
      </c>
      <c r="G3430">
        <v>-271.28919999999999</v>
      </c>
      <c r="H3430" s="1">
        <v>-3.9360409999999997E-6</v>
      </c>
      <c r="I3430">
        <v>140.43100000000001</v>
      </c>
      <c r="J3430">
        <v>-231.2741</v>
      </c>
      <c r="K3430">
        <v>1.1187579999999999</v>
      </c>
      <c r="L3430">
        <v>141.435</v>
      </c>
      <c r="M3430">
        <v>-0.99884499999999998</v>
      </c>
      <c r="N3430">
        <v>-9.7715440000000001E-3</v>
      </c>
      <c r="O3430">
        <v>-4.7043630000000003E-2</v>
      </c>
      <c r="P3430">
        <v>-0.9837823</v>
      </c>
      <c r="Q3430">
        <v>0.17834800000000001</v>
      </c>
      <c r="R3430">
        <v>1.9086880000000001E-2</v>
      </c>
      <c r="S3430">
        <v>-3.065353</v>
      </c>
      <c r="T3430">
        <v>-8.4175230000000004E-2</v>
      </c>
      <c r="U3430">
        <v>-7.8018190000000001E-2</v>
      </c>
      <c r="V3430">
        <v>6.6171460000000001E-2</v>
      </c>
      <c r="W3430">
        <v>0.1876449</v>
      </c>
      <c r="X3430">
        <v>0.98000540000000003</v>
      </c>
      <c r="Y3430">
        <v>2.1597080000000001E-2</v>
      </c>
      <c r="Z3430">
        <v>1.2330500000000001E-3</v>
      </c>
      <c r="AA3430">
        <v>0.99976600000000004</v>
      </c>
      <c r="AB3430">
        <v>38</v>
      </c>
      <c r="AC3430">
        <v>-40.015099999999897</v>
      </c>
      <c r="AD3430">
        <v>-1.1187619360409999</v>
      </c>
      <c r="AE3430">
        <v>-1.00399999999999</v>
      </c>
      <c r="AF3430">
        <v>0.87897057193289996</v>
      </c>
      <c r="AG3430">
        <v>-1.1187619360409999</v>
      </c>
      <c r="AH3430">
        <v>39.986789423687497</v>
      </c>
      <c r="AI3430">
        <v>91.602232934452303</v>
      </c>
      <c r="AJ3430">
        <v>88.740754237871798</v>
      </c>
      <c r="AK3430">
        <v>40.012092496521397</v>
      </c>
      <c r="AL3430">
        <v>79.184624151517596</v>
      </c>
      <c r="AM3430">
        <v>86.137164842710902</v>
      </c>
      <c r="AN3430">
        <v>0.99999992732184795</v>
      </c>
    </row>
    <row r="3431" spans="1:40" x14ac:dyDescent="0.25">
      <c r="A3431" t="str">
        <f>"20190303162618871"</f>
        <v>20190303162618871</v>
      </c>
      <c r="B3431" t="str">
        <f>"1551601578857193"</f>
        <v>1551601578857193</v>
      </c>
      <c r="C3431" t="s">
        <v>40</v>
      </c>
      <c r="D3431">
        <v>5.5517479999999999</v>
      </c>
      <c r="E3431">
        <v>0.48668440000000002</v>
      </c>
      <c r="F3431" t="s">
        <v>41</v>
      </c>
      <c r="G3431">
        <v>-268.20389999999998</v>
      </c>
      <c r="H3431" s="1">
        <v>-1.0571480000000001E-6</v>
      </c>
      <c r="I3431">
        <v>140.75989999999999</v>
      </c>
      <c r="J3431">
        <v>-231.63079999999999</v>
      </c>
      <c r="K3431">
        <v>1.118878</v>
      </c>
      <c r="L3431">
        <v>141.4194</v>
      </c>
      <c r="M3431">
        <v>-0.99890829999999997</v>
      </c>
      <c r="N3431">
        <v>-9.9958359999999993E-3</v>
      </c>
      <c r="O3431">
        <v>-4.5630999999999998E-2</v>
      </c>
      <c r="P3431">
        <v>-0.98323629999999995</v>
      </c>
      <c r="Q3431">
        <v>0.18142730000000001</v>
      </c>
      <c r="R3431">
        <v>1.81873E-2</v>
      </c>
      <c r="S3431">
        <v>-3.0673979999999998</v>
      </c>
      <c r="T3431">
        <v>-9.2924480000000004E-2</v>
      </c>
      <c r="U3431">
        <v>-5.6060789999999999E-2</v>
      </c>
      <c r="V3431">
        <v>6.3848909999999995E-2</v>
      </c>
      <c r="W3431">
        <v>0.1909585</v>
      </c>
      <c r="X3431">
        <v>0.97951940000000004</v>
      </c>
      <c r="Y3431">
        <v>2.7345359999999999E-2</v>
      </c>
      <c r="Z3431">
        <v>1.476031E-3</v>
      </c>
      <c r="AA3431">
        <v>0.99962499999999999</v>
      </c>
      <c r="AB3431">
        <v>38</v>
      </c>
      <c r="AC3431">
        <v>-36.573099999999897</v>
      </c>
      <c r="AD3431">
        <v>-1.1188790571480001</v>
      </c>
      <c r="AE3431">
        <v>-0.65950000000000797</v>
      </c>
      <c r="AF3431">
        <v>1.0091933945278799</v>
      </c>
      <c r="AG3431">
        <v>-1.1188790571480001</v>
      </c>
      <c r="AH3431">
        <v>36.530916240664602</v>
      </c>
      <c r="AI3431">
        <v>91.753653994720906</v>
      </c>
      <c r="AJ3431">
        <v>88.417564484759893</v>
      </c>
      <c r="AK3431">
        <v>36.561977559132799</v>
      </c>
      <c r="AL3431">
        <v>78.991274044841305</v>
      </c>
      <c r="AM3431">
        <v>86.270512892270204</v>
      </c>
      <c r="AN3431">
        <v>1.00000004350339</v>
      </c>
    </row>
    <row r="3432" spans="1:40" x14ac:dyDescent="0.25">
      <c r="A3432" t="str">
        <f>"20190303162618896"</f>
        <v>20190303162618896</v>
      </c>
      <c r="B3432" t="str">
        <f>"1551601578886473"</f>
        <v>1551601578886473</v>
      </c>
      <c r="C3432" t="s">
        <v>40</v>
      </c>
      <c r="D3432">
        <v>5.5577899999999998</v>
      </c>
      <c r="E3432">
        <v>0.48657909999999999</v>
      </c>
      <c r="F3432" t="s">
        <v>41</v>
      </c>
      <c r="G3432">
        <v>-270.47019999999998</v>
      </c>
      <c r="H3432" s="1">
        <v>-4.3122449999999997E-6</v>
      </c>
      <c r="I3432">
        <v>140.7225</v>
      </c>
      <c r="J3432">
        <v>-232.03559999999999</v>
      </c>
      <c r="K3432">
        <v>1.1189910000000001</v>
      </c>
      <c r="L3432">
        <v>141.4023</v>
      </c>
      <c r="M3432">
        <v>-0.99897460000000005</v>
      </c>
      <c r="N3432">
        <v>-1.032828E-2</v>
      </c>
      <c r="O3432">
        <v>-4.4080729999999999E-2</v>
      </c>
      <c r="P3432">
        <v>-0.98247850000000003</v>
      </c>
      <c r="Q3432">
        <v>0.185585</v>
      </c>
      <c r="R3432">
        <v>1.7155299999999998E-2</v>
      </c>
      <c r="S3432">
        <v>-3.0684809999999998</v>
      </c>
      <c r="T3432">
        <v>-8.8396550000000004E-2</v>
      </c>
      <c r="U3432">
        <v>-5.5053709999999999E-2</v>
      </c>
      <c r="V3432">
        <v>6.1261299999999998E-2</v>
      </c>
      <c r="W3432">
        <v>0.19545219999999999</v>
      </c>
      <c r="X3432">
        <v>0.97879799999999995</v>
      </c>
      <c r="Y3432">
        <v>2.61324E-2</v>
      </c>
      <c r="Z3432">
        <v>1.325031E-3</v>
      </c>
      <c r="AA3432">
        <v>0.99965760000000004</v>
      </c>
      <c r="AB3432">
        <v>38</v>
      </c>
      <c r="AC3432">
        <v>-38.434599999999897</v>
      </c>
      <c r="AD3432">
        <v>-1.118995312245</v>
      </c>
      <c r="AE3432">
        <v>-0.67979999999999996</v>
      </c>
      <c r="AF3432">
        <v>1.0143169142927999</v>
      </c>
      <c r="AG3432">
        <v>-1.118995312245</v>
      </c>
      <c r="AH3432">
        <v>38.394669485653097</v>
      </c>
      <c r="AI3432">
        <v>91.668805162969306</v>
      </c>
      <c r="AJ3432">
        <v>88.486702331447702</v>
      </c>
      <c r="AK3432">
        <v>38.424362509012198</v>
      </c>
      <c r="AL3432">
        <v>78.728859132928605</v>
      </c>
      <c r="AM3432">
        <v>86.418626288019198</v>
      </c>
      <c r="AN3432">
        <v>1.0000000170832599</v>
      </c>
    </row>
    <row r="3433" spans="1:40" x14ac:dyDescent="0.25">
      <c r="A3433" t="str">
        <f>"20190303162618919"</f>
        <v>20190303162618919</v>
      </c>
      <c r="B3433" t="str">
        <f>"1551601578907945"</f>
        <v>1551601578907945</v>
      </c>
      <c r="C3433" t="s">
        <v>40</v>
      </c>
      <c r="D3433">
        <v>5.5558990000000001</v>
      </c>
      <c r="E3433">
        <v>0.48634040000000001</v>
      </c>
      <c r="F3433" t="s">
        <v>41</v>
      </c>
      <c r="G3433">
        <v>-273.36180000000002</v>
      </c>
      <c r="H3433" s="1">
        <v>-3.0972280000000001E-6</v>
      </c>
      <c r="I3433">
        <v>140.62010000000001</v>
      </c>
      <c r="J3433">
        <v>-232.42189999999999</v>
      </c>
      <c r="K3433">
        <v>1.1190869999999999</v>
      </c>
      <c r="L3433">
        <v>141.38669999999999</v>
      </c>
      <c r="M3433">
        <v>-0.99903430000000004</v>
      </c>
      <c r="N3433">
        <v>-1.073204E-2</v>
      </c>
      <c r="O3433">
        <v>-4.2608809999999997E-2</v>
      </c>
      <c r="P3433">
        <v>-0.98240939999999999</v>
      </c>
      <c r="Q3433">
        <v>0.1859015</v>
      </c>
      <c r="R3433">
        <v>1.7685289999999999E-2</v>
      </c>
      <c r="S3433">
        <v>-3.0702060000000002</v>
      </c>
      <c r="T3433">
        <v>-8.313239E-2</v>
      </c>
      <c r="U3433">
        <v>-5.8105469999999999E-2</v>
      </c>
      <c r="V3433">
        <v>6.0336000000000001E-2</v>
      </c>
      <c r="W3433">
        <v>0.19617039999999999</v>
      </c>
      <c r="X3433">
        <v>0.97871180000000002</v>
      </c>
      <c r="Y3433">
        <v>2.3680820000000002E-2</v>
      </c>
      <c r="Z3433">
        <v>1.143317E-3</v>
      </c>
      <c r="AA3433">
        <v>0.99971889999999997</v>
      </c>
      <c r="AB3433">
        <v>38</v>
      </c>
      <c r="AC3433">
        <v>-40.939900000000002</v>
      </c>
      <c r="AD3433">
        <v>-1.119090097228</v>
      </c>
      <c r="AE3433">
        <v>-0.76659999999998196</v>
      </c>
      <c r="AF3433">
        <v>0.97786657063551996</v>
      </c>
      <c r="AG3433">
        <v>-1.119090097228</v>
      </c>
      <c r="AH3433">
        <v>40.904827866237</v>
      </c>
      <c r="AI3433">
        <v>91.566681793384106</v>
      </c>
      <c r="AJ3433">
        <v>88.630553876072696</v>
      </c>
      <c r="AK3433">
        <v>40.931815601585001</v>
      </c>
      <c r="AL3433">
        <v>78.686897052351</v>
      </c>
      <c r="AM3433">
        <v>86.472272383889901</v>
      </c>
      <c r="AN3433">
        <v>1.00000002309569</v>
      </c>
    </row>
    <row r="3434" spans="1:40" x14ac:dyDescent="0.25">
      <c r="A3434" t="str">
        <f>"20190303162618942"</f>
        <v>20190303162618942</v>
      </c>
      <c r="B3434" t="str">
        <f>"1551601578926488"</f>
        <v>1551601578926488</v>
      </c>
      <c r="C3434" t="s">
        <v>40</v>
      </c>
      <c r="D3434">
        <v>5.5493589999999999</v>
      </c>
      <c r="E3434">
        <v>0.48608790000000002</v>
      </c>
      <c r="F3434" t="s">
        <v>41</v>
      </c>
      <c r="G3434">
        <v>-272.05630000000002</v>
      </c>
      <c r="H3434" s="1">
        <v>-3.6557539999999998E-6</v>
      </c>
      <c r="I3434">
        <v>140.61449999999999</v>
      </c>
      <c r="J3434">
        <v>-232.79750000000001</v>
      </c>
      <c r="K3434">
        <v>1.1191580000000001</v>
      </c>
      <c r="L3434">
        <v>141.37209999999999</v>
      </c>
      <c r="M3434">
        <v>-0.99909079999999995</v>
      </c>
      <c r="N3434">
        <v>-1.115844E-2</v>
      </c>
      <c r="O3434">
        <v>-4.1149989999999997E-2</v>
      </c>
      <c r="P3434">
        <v>-0.98296170000000005</v>
      </c>
      <c r="Q3434">
        <v>0.18298900000000001</v>
      </c>
      <c r="R3434">
        <v>1.7377489999999999E-2</v>
      </c>
      <c r="S3434">
        <v>-3.0711979999999999</v>
      </c>
      <c r="T3434">
        <v>-8.6716290000000001E-2</v>
      </c>
      <c r="U3434">
        <v>-5.9829710000000001E-2</v>
      </c>
      <c r="V3434">
        <v>5.8604000000000003E-2</v>
      </c>
      <c r="W3434">
        <v>0.19369169999999999</v>
      </c>
      <c r="X3434">
        <v>0.97931049999999997</v>
      </c>
      <c r="Y3434">
        <v>2.1666000000000001E-2</v>
      </c>
      <c r="Z3434">
        <v>1.128663E-3</v>
      </c>
      <c r="AA3434">
        <v>0.9997646</v>
      </c>
      <c r="AB3434">
        <v>38</v>
      </c>
      <c r="AC3434">
        <v>-39.258800000000001</v>
      </c>
      <c r="AD3434">
        <v>-1.1191616557539901</v>
      </c>
      <c r="AE3434">
        <v>-0.75759999999999605</v>
      </c>
      <c r="AF3434">
        <v>0.85794442087360001</v>
      </c>
      <c r="AG3434">
        <v>-1.1191616557539901</v>
      </c>
      <c r="AH3434">
        <v>39.224855259799703</v>
      </c>
      <c r="AI3434">
        <v>91.633926416183897</v>
      </c>
      <c r="AJ3434">
        <v>88.7469996414696</v>
      </c>
      <c r="AK3434">
        <v>39.250195688598197</v>
      </c>
      <c r="AL3434">
        <v>78.831693289229307</v>
      </c>
      <c r="AM3434">
        <v>86.575384091422606</v>
      </c>
      <c r="AN3434">
        <v>0.99999997943756902</v>
      </c>
    </row>
    <row r="3435" spans="1:40" x14ac:dyDescent="0.25">
      <c r="A3435" t="str">
        <f>"20190303162618963"</f>
        <v>20190303162618963</v>
      </c>
      <c r="B3435" t="str">
        <f>"1551601578956746"</f>
        <v>1551601578956746</v>
      </c>
      <c r="C3435" t="s">
        <v>40</v>
      </c>
      <c r="D3435">
        <v>5.6167669999999896</v>
      </c>
      <c r="E3435">
        <v>0.48565570000000002</v>
      </c>
      <c r="F3435" t="s">
        <v>41</v>
      </c>
      <c r="G3435">
        <v>-267.14179999999999</v>
      </c>
      <c r="H3435" s="1">
        <v>-1.480435E-6</v>
      </c>
      <c r="I3435">
        <v>140.63829999999999</v>
      </c>
      <c r="J3435">
        <v>-233.1618</v>
      </c>
      <c r="K3435">
        <v>1.11921</v>
      </c>
      <c r="L3435">
        <v>141.3586</v>
      </c>
      <c r="M3435">
        <v>-0.9991447</v>
      </c>
      <c r="N3435">
        <v>-1.1558880000000001E-2</v>
      </c>
      <c r="O3435">
        <v>-3.9702830000000001E-2</v>
      </c>
      <c r="P3435">
        <v>-0.98320399999999997</v>
      </c>
      <c r="Q3435">
        <v>0.18161530000000001</v>
      </c>
      <c r="R3435">
        <v>1.8046010000000001E-2</v>
      </c>
      <c r="S3435">
        <v>-3.071777</v>
      </c>
      <c r="T3435">
        <v>-0.1000986</v>
      </c>
      <c r="U3435">
        <v>-6.5628049999999993E-2</v>
      </c>
      <c r="V3435">
        <v>5.785237E-2</v>
      </c>
      <c r="W3435">
        <v>0.19271759999999999</v>
      </c>
      <c r="X3435">
        <v>0.97954739999999996</v>
      </c>
      <c r="Y3435">
        <v>1.833137E-2</v>
      </c>
      <c r="Z3435">
        <v>1.2385149999999999E-3</v>
      </c>
      <c r="AA3435">
        <v>0.99983120000000003</v>
      </c>
      <c r="AB3435">
        <v>37</v>
      </c>
      <c r="AC3435">
        <v>-33.979999999999897</v>
      </c>
      <c r="AD3435">
        <v>-1.119211480435</v>
      </c>
      <c r="AE3435">
        <v>-0.72030000000000804</v>
      </c>
      <c r="AF3435">
        <v>0.62877843451742299</v>
      </c>
      <c r="AG3435">
        <v>-1.119211480435</v>
      </c>
      <c r="AH3435">
        <v>33.9449947741114</v>
      </c>
      <c r="AI3435">
        <v>91.888110038090304</v>
      </c>
      <c r="AJ3435">
        <v>88.938805818000105</v>
      </c>
      <c r="AK3435">
        <v>33.969260617094697</v>
      </c>
      <c r="AL3435">
        <v>78.888577560578597</v>
      </c>
      <c r="AM3435">
        <v>86.620019958142194</v>
      </c>
      <c r="AN3435">
        <v>1.0000000394555599</v>
      </c>
    </row>
    <row r="3436" spans="1:40" x14ac:dyDescent="0.25">
      <c r="A3436" t="str">
        <f>"20190303162619030"</f>
        <v>20190303162619030</v>
      </c>
      <c r="B3436" t="str">
        <f>"1551601579017326"</f>
        <v>1551601579017326</v>
      </c>
      <c r="C3436" t="s">
        <v>40</v>
      </c>
      <c r="D3436">
        <v>5.5088730000000004</v>
      </c>
      <c r="E3436">
        <v>0.48500199999999999</v>
      </c>
      <c r="F3436" t="s">
        <v>41</v>
      </c>
      <c r="G3436">
        <v>-264.3877</v>
      </c>
      <c r="H3436" s="1">
        <v>-2.6677509999999998E-6</v>
      </c>
      <c r="I3436">
        <v>140.6602</v>
      </c>
      <c r="J3436">
        <v>-234.2936</v>
      </c>
      <c r="K3436">
        <v>1.1193519999999999</v>
      </c>
      <c r="L3436">
        <v>141.3201</v>
      </c>
      <c r="M3436">
        <v>-0.99930569999999996</v>
      </c>
      <c r="N3436">
        <v>-1.2584700000000001E-2</v>
      </c>
      <c r="O3436">
        <v>-3.5068769999999999E-2</v>
      </c>
      <c r="P3436">
        <v>-0.98328450000000001</v>
      </c>
      <c r="Q3436">
        <v>0.1802058</v>
      </c>
      <c r="R3436">
        <v>2.6032759999999999E-2</v>
      </c>
      <c r="S3436">
        <v>-3.0728610000000001</v>
      </c>
      <c r="T3436">
        <v>-0.1101391</v>
      </c>
      <c r="U3436">
        <v>-6.8725590000000003E-2</v>
      </c>
      <c r="V3436">
        <v>6.1266630000000002E-2</v>
      </c>
      <c r="W3436">
        <v>0.1923049</v>
      </c>
      <c r="X3436">
        <v>0.97942079999999998</v>
      </c>
      <c r="Y3436">
        <v>1.2696310000000001E-2</v>
      </c>
      <c r="Z3436">
        <v>1.122135E-3</v>
      </c>
      <c r="AA3436">
        <v>0.9999188</v>
      </c>
      <c r="AB3436">
        <v>37</v>
      </c>
      <c r="AC3436">
        <v>-30.094100000000001</v>
      </c>
      <c r="AD3436">
        <v>-1.119354667751</v>
      </c>
      <c r="AE3436">
        <v>-0.65989999999999305</v>
      </c>
      <c r="AF3436">
        <v>0.39540580767939199</v>
      </c>
      <c r="AG3436">
        <v>-1.119354667751</v>
      </c>
      <c r="AH3436">
        <v>30.057166459407298</v>
      </c>
      <c r="AI3436">
        <v>92.132574041284599</v>
      </c>
      <c r="AJ3436">
        <v>89.246310284600298</v>
      </c>
      <c r="AK3436">
        <v>30.080600994552601</v>
      </c>
      <c r="AL3436">
        <v>78.912673134482205</v>
      </c>
      <c r="AM3436">
        <v>86.420587123971899</v>
      </c>
      <c r="AN3436">
        <v>0.999999938994101</v>
      </c>
    </row>
    <row r="3437" spans="1:40" x14ac:dyDescent="0.25">
      <c r="A3437" t="str">
        <f>"20190303162619057"</f>
        <v>20190303162619057</v>
      </c>
      <c r="B3437" t="str">
        <f>"1551601579046606"</f>
        <v>1551601579046606</v>
      </c>
      <c r="C3437" t="s">
        <v>40</v>
      </c>
      <c r="D3437">
        <v>5.4467919999999896</v>
      </c>
      <c r="E3437">
        <v>0.48451830000000001</v>
      </c>
      <c r="F3437" t="s">
        <v>41</v>
      </c>
      <c r="G3437">
        <v>-262.75229999999999</v>
      </c>
      <c r="H3437" s="1">
        <v>-3.422552E-6</v>
      </c>
      <c r="I3437">
        <v>140.86019999999999</v>
      </c>
      <c r="J3437">
        <v>-234.72909999999999</v>
      </c>
      <c r="K3437">
        <v>1.1193959999999901</v>
      </c>
      <c r="L3437">
        <v>141.3066</v>
      </c>
      <c r="M3437">
        <v>-0.99936290000000005</v>
      </c>
      <c r="N3437">
        <v>-1.2888490000000001E-2</v>
      </c>
      <c r="O3437">
        <v>-3.3284279999999999E-2</v>
      </c>
      <c r="P3437">
        <v>-0.98339929999999998</v>
      </c>
      <c r="Q3437">
        <v>0.1792347</v>
      </c>
      <c r="R3437">
        <v>2.8299769999999998E-2</v>
      </c>
      <c r="S3437">
        <v>-3.074478</v>
      </c>
      <c r="T3437">
        <v>-0.12092749999999999</v>
      </c>
      <c r="U3437">
        <v>-4.9682619999999997E-2</v>
      </c>
      <c r="V3437">
        <v>6.1767790000000003E-2</v>
      </c>
      <c r="W3437">
        <v>0.19163569999999999</v>
      </c>
      <c r="X3437">
        <v>0.97952059999999996</v>
      </c>
      <c r="Y3437">
        <v>1.7104899999999999E-2</v>
      </c>
      <c r="Z3437">
        <v>1.325884E-3</v>
      </c>
      <c r="AA3437">
        <v>0.99985279999999999</v>
      </c>
      <c r="AB3437">
        <v>37</v>
      </c>
      <c r="AC3437">
        <v>-28.023199999999999</v>
      </c>
      <c r="AD3437">
        <v>-1.1193994225520001</v>
      </c>
      <c r="AE3437">
        <v>-0.44640000000001101</v>
      </c>
      <c r="AF3437">
        <v>0.485881723703257</v>
      </c>
      <c r="AG3437">
        <v>-1.1193994225520001</v>
      </c>
      <c r="AH3437">
        <v>27.977898492137101</v>
      </c>
      <c r="AI3437">
        <v>92.290844593072094</v>
      </c>
      <c r="AJ3437">
        <v>89.005065591943307</v>
      </c>
      <c r="AK3437">
        <v>28.004498569925701</v>
      </c>
      <c r="AL3437">
        <v>78.951743410166003</v>
      </c>
      <c r="AM3437">
        <v>86.391751341068399</v>
      </c>
      <c r="AN3437">
        <v>1.0000000536101601</v>
      </c>
    </row>
    <row r="3438" spans="1:40" x14ac:dyDescent="0.25">
      <c r="A3438" t="str">
        <f>"20190303162619097"</f>
        <v>20190303162619097</v>
      </c>
      <c r="B3438" t="str">
        <f>"1551601579086595"</f>
        <v>1551601579086595</v>
      </c>
      <c r="C3438" t="s">
        <v>40</v>
      </c>
      <c r="D3438">
        <v>5.3933220000000004</v>
      </c>
      <c r="E3438">
        <v>0.48392309999999999</v>
      </c>
      <c r="F3438" t="s">
        <v>41</v>
      </c>
      <c r="G3438">
        <v>-261.7285</v>
      </c>
      <c r="H3438" s="1">
        <v>-3.8781960000000003E-6</v>
      </c>
      <c r="I3438">
        <v>140.9221</v>
      </c>
      <c r="J3438">
        <v>-235.40049999999999</v>
      </c>
      <c r="K3438">
        <v>1.119502</v>
      </c>
      <c r="L3438">
        <v>141.28729999999999</v>
      </c>
      <c r="M3438">
        <v>-0.99944120000000003</v>
      </c>
      <c r="N3438">
        <v>-1.3246880000000001E-2</v>
      </c>
      <c r="O3438">
        <v>-3.0686720000000001E-2</v>
      </c>
      <c r="P3438">
        <v>-0.98302040000000002</v>
      </c>
      <c r="Q3438">
        <v>0.18089820000000001</v>
      </c>
      <c r="R3438">
        <v>3.077036E-2</v>
      </c>
      <c r="S3438">
        <v>-3.0751189999999999</v>
      </c>
      <c r="T3438">
        <v>-0.12749479999999999</v>
      </c>
      <c r="U3438">
        <v>-4.379272E-2</v>
      </c>
      <c r="V3438">
        <v>6.1636150000000001E-2</v>
      </c>
      <c r="W3438">
        <v>0.19366030000000001</v>
      </c>
      <c r="X3438">
        <v>0.97913059999999996</v>
      </c>
      <c r="Y3438">
        <v>1.6422659999999999E-2</v>
      </c>
      <c r="Z3438">
        <v>1.3141190000000001E-3</v>
      </c>
      <c r="AA3438">
        <v>0.99986430000000004</v>
      </c>
      <c r="AB3438">
        <v>37</v>
      </c>
      <c r="AC3438">
        <v>-26.327999999999999</v>
      </c>
      <c r="AD3438">
        <v>-1.1195058781959999</v>
      </c>
      <c r="AE3438">
        <v>-0.36519999999998698</v>
      </c>
      <c r="AF3438">
        <v>0.442163622385354</v>
      </c>
      <c r="AG3438">
        <v>-1.1195058781959999</v>
      </c>
      <c r="AH3438">
        <v>26.279300600464399</v>
      </c>
      <c r="AI3438">
        <v>92.438997224520193</v>
      </c>
      <c r="AJ3438">
        <v>89.036058092999497</v>
      </c>
      <c r="AK3438">
        <v>26.306851619489599</v>
      </c>
      <c r="AL3438">
        <v>78.833527663096305</v>
      </c>
      <c r="AM3438">
        <v>86.397990637134598</v>
      </c>
      <c r="AN3438">
        <v>1.0000000293196301</v>
      </c>
    </row>
    <row r="3439" spans="1:40" x14ac:dyDescent="0.25">
      <c r="A3439" t="str">
        <f>"20190303162619119"</f>
        <v>20190303162619119</v>
      </c>
      <c r="B3439" t="str">
        <f>"1551601579107091"</f>
        <v>1551601579107091</v>
      </c>
      <c r="C3439" t="s">
        <v>40</v>
      </c>
      <c r="D3439">
        <v>5.3972619999999996</v>
      </c>
      <c r="E3439">
        <v>0.48367510000000002</v>
      </c>
      <c r="F3439" t="s">
        <v>41</v>
      </c>
      <c r="G3439">
        <v>-262.79860000000002</v>
      </c>
      <c r="H3439" s="1">
        <v>-3.4221470000000001E-6</v>
      </c>
      <c r="I3439">
        <v>140.9333</v>
      </c>
      <c r="J3439">
        <v>-235.7687</v>
      </c>
      <c r="K3439">
        <v>1.1195790000000001</v>
      </c>
      <c r="L3439">
        <v>141.2773</v>
      </c>
      <c r="M3439">
        <v>-0.99947850000000005</v>
      </c>
      <c r="N3439">
        <v>-1.3395550000000001E-2</v>
      </c>
      <c r="O3439">
        <v>-2.9382579999999998E-2</v>
      </c>
      <c r="P3439">
        <v>-0.98319579999999995</v>
      </c>
      <c r="Q3439">
        <v>0.1794519</v>
      </c>
      <c r="R3439">
        <v>3.3513059999999997E-2</v>
      </c>
      <c r="S3439">
        <v>-3.0762019999999999</v>
      </c>
      <c r="T3439">
        <v>-0.12569610000000001</v>
      </c>
      <c r="U3439">
        <v>-3.9733890000000001E-2</v>
      </c>
      <c r="V3439">
        <v>6.3060050000000006E-2</v>
      </c>
      <c r="W3439">
        <v>0.19236900000000001</v>
      </c>
      <c r="X3439">
        <v>0.97929440000000001</v>
      </c>
      <c r="Y3439">
        <v>1.6443590000000001E-2</v>
      </c>
      <c r="Z3439">
        <v>1.2523110000000001E-3</v>
      </c>
      <c r="AA3439">
        <v>0.99986399999999998</v>
      </c>
      <c r="AB3439">
        <v>37</v>
      </c>
      <c r="AC3439">
        <v>-27.029900000000001</v>
      </c>
      <c r="AD3439">
        <v>-1.1195824221469901</v>
      </c>
      <c r="AE3439">
        <v>-0.34399999999999398</v>
      </c>
      <c r="AF3439">
        <v>0.44965667964239803</v>
      </c>
      <c r="AG3439">
        <v>-1.1195824221469901</v>
      </c>
      <c r="AH3439">
        <v>26.982052274695</v>
      </c>
      <c r="AI3439">
        <v>92.375715528698393</v>
      </c>
      <c r="AJ3439">
        <v>89.045252559942298</v>
      </c>
      <c r="AK3439">
        <v>27.009013326737801</v>
      </c>
      <c r="AL3439">
        <v>78.908930855719603</v>
      </c>
      <c r="AM3439">
        <v>86.315619457922296</v>
      </c>
      <c r="AN3439">
        <v>0.99999996196917995</v>
      </c>
    </row>
    <row r="3440" spans="1:40" x14ac:dyDescent="0.25">
      <c r="A3440" t="str">
        <f>"20190303162619142"</f>
        <v>20190303162619142</v>
      </c>
      <c r="B3440" t="str">
        <f>"1551601579137346"</f>
        <v>1551601579137346</v>
      </c>
      <c r="C3440" t="s">
        <v>40</v>
      </c>
      <c r="D3440">
        <v>5.4443640000000002</v>
      </c>
      <c r="E3440">
        <v>0.483375</v>
      </c>
      <c r="F3440" t="s">
        <v>41</v>
      </c>
      <c r="G3440">
        <v>-262.01979999999998</v>
      </c>
      <c r="H3440" s="1">
        <v>-3.7692069999999998E-6</v>
      </c>
      <c r="I3440">
        <v>140.9821</v>
      </c>
      <c r="J3440">
        <v>-236.1454</v>
      </c>
      <c r="K3440">
        <v>1.1196790000000001</v>
      </c>
      <c r="L3440">
        <v>141.26750000000001</v>
      </c>
      <c r="M3440">
        <v>-0.99951129999999999</v>
      </c>
      <c r="N3440">
        <v>-1.3512690000000001E-2</v>
      </c>
      <c r="O3440">
        <v>-2.8192539999999999E-2</v>
      </c>
      <c r="P3440">
        <v>-0.98364929999999995</v>
      </c>
      <c r="Q3440">
        <v>0.17634759999999999</v>
      </c>
      <c r="R3440">
        <v>3.6553870000000002E-2</v>
      </c>
      <c r="S3440">
        <v>-3.0764010000000002</v>
      </c>
      <c r="T3440">
        <v>-0.1312054</v>
      </c>
      <c r="U3440">
        <v>-3.4591669999999998E-2</v>
      </c>
      <c r="V3440">
        <v>6.4883170000000004E-2</v>
      </c>
      <c r="W3440">
        <v>0.18939629999999999</v>
      </c>
      <c r="X3440">
        <v>0.97975469999999998</v>
      </c>
      <c r="Y3440">
        <v>1.6922099999999999E-2</v>
      </c>
      <c r="Z3440">
        <v>1.2958240000000001E-3</v>
      </c>
      <c r="AA3440">
        <v>0.99985599999999997</v>
      </c>
      <c r="AB3440">
        <v>37</v>
      </c>
      <c r="AC3440">
        <v>-25.874399999999898</v>
      </c>
      <c r="AD3440">
        <v>-1.1196827692069999</v>
      </c>
      <c r="AE3440">
        <v>-0.28540000000000898</v>
      </c>
      <c r="AF3440">
        <v>0.44341479010856499</v>
      </c>
      <c r="AG3440">
        <v>-1.1196827692069999</v>
      </c>
      <c r="AH3440">
        <v>25.8238079587044</v>
      </c>
      <c r="AI3440">
        <v>92.482341223838802</v>
      </c>
      <c r="AJ3440">
        <v>89.016283745389202</v>
      </c>
      <c r="AK3440">
        <v>25.851873504018801</v>
      </c>
      <c r="AL3440">
        <v>79.082445249871995</v>
      </c>
      <c r="AM3440">
        <v>86.211182740623101</v>
      </c>
      <c r="AN3440">
        <v>1.0000000281875101</v>
      </c>
    </row>
    <row r="3441" spans="1:40" x14ac:dyDescent="0.25">
      <c r="A3441" t="str">
        <f>"20190303162619164"</f>
        <v>20190303162619164</v>
      </c>
      <c r="B3441" t="str">
        <f>"1551601579156868"</f>
        <v>1551601579156868</v>
      </c>
      <c r="C3441" t="s">
        <v>40</v>
      </c>
      <c r="D3441">
        <v>5.4983510000000004</v>
      </c>
      <c r="E3441">
        <v>0.48336560000000001</v>
      </c>
      <c r="F3441" t="s">
        <v>41</v>
      </c>
      <c r="G3441">
        <v>-260.4588</v>
      </c>
      <c r="H3441" s="1">
        <v>-4.3713139999999999E-6</v>
      </c>
      <c r="I3441">
        <v>141.03360000000001</v>
      </c>
      <c r="J3441">
        <v>-236.5163</v>
      </c>
      <c r="K3441">
        <v>1.119785</v>
      </c>
      <c r="L3441">
        <v>141.25810000000001</v>
      </c>
      <c r="M3441">
        <v>-0.9995387</v>
      </c>
      <c r="N3441">
        <v>-1.3602039999999999E-2</v>
      </c>
      <c r="O3441">
        <v>-2.715681E-2</v>
      </c>
      <c r="P3441">
        <v>-0.98367269999999896</v>
      </c>
      <c r="Q3441">
        <v>0.17548339999999901</v>
      </c>
      <c r="R3441">
        <v>3.992528E-2</v>
      </c>
      <c r="S3441">
        <v>-3.0763699999999998</v>
      </c>
      <c r="T3441">
        <v>-0.14167379999999999</v>
      </c>
      <c r="U3441">
        <v>-2.9586790000000002E-2</v>
      </c>
      <c r="V3441">
        <v>6.717969E-2</v>
      </c>
      <c r="W3441">
        <v>0.18863170000000001</v>
      </c>
      <c r="X3441">
        <v>0.97974740000000005</v>
      </c>
      <c r="Y3441">
        <v>1.7506310000000001E-2</v>
      </c>
      <c r="Z3441">
        <v>1.40251E-3</v>
      </c>
      <c r="AA3441">
        <v>0.99984569999999995</v>
      </c>
      <c r="AB3441">
        <v>37</v>
      </c>
      <c r="AC3441">
        <v>-23.9424999999999</v>
      </c>
      <c r="AD3441">
        <v>-1.1197893713139999</v>
      </c>
      <c r="AE3441">
        <v>-0.224500000000006</v>
      </c>
      <c r="AF3441">
        <v>0.42491546525205198</v>
      </c>
      <c r="AG3441">
        <v>-1.1197893713139999</v>
      </c>
      <c r="AH3441">
        <v>23.887517678774699</v>
      </c>
      <c r="AI3441">
        <v>92.683499595582205</v>
      </c>
      <c r="AJ3441">
        <v>88.980919834806201</v>
      </c>
      <c r="AK3441">
        <v>23.917524584339599</v>
      </c>
      <c r="AL3441">
        <v>79.127057442797295</v>
      </c>
      <c r="AM3441">
        <v>86.077461080335894</v>
      </c>
      <c r="AN3441">
        <v>0.99999999840007303</v>
      </c>
    </row>
    <row r="3442" spans="1:40" x14ac:dyDescent="0.25">
      <c r="A3442" t="str">
        <f>"20190303162619186"</f>
        <v>20190303162619186</v>
      </c>
      <c r="B3442" t="str">
        <f>"1551601579177362"</f>
        <v>1551601579177362</v>
      </c>
      <c r="C3442" t="s">
        <v>40</v>
      </c>
      <c r="D3442">
        <v>5.2697589999999996</v>
      </c>
      <c r="E3442">
        <v>0.50394519999999998</v>
      </c>
      <c r="F3442" t="s">
        <v>41</v>
      </c>
      <c r="G3442">
        <v>-260.27289999999999</v>
      </c>
      <c r="H3442" s="1">
        <v>-4.4451400000000003E-6</v>
      </c>
      <c r="I3442">
        <v>141.0932</v>
      </c>
      <c r="J3442">
        <v>-236.87739999999999</v>
      </c>
      <c r="K3442">
        <v>1.119899</v>
      </c>
      <c r="L3442">
        <v>141.2492</v>
      </c>
      <c r="M3442">
        <v>-0.99956100000000003</v>
      </c>
      <c r="N3442">
        <v>-1.3672E-2</v>
      </c>
      <c r="O3442">
        <v>-2.6290500000000001E-2</v>
      </c>
      <c r="P3442">
        <v>-0.98383869999999896</v>
      </c>
      <c r="Q3442">
        <v>0.17355799999999999</v>
      </c>
      <c r="R3442">
        <v>4.4040669999999997E-2</v>
      </c>
      <c r="S3442">
        <v>-3.0765380000000002</v>
      </c>
      <c r="T3442">
        <v>-0.1450157</v>
      </c>
      <c r="U3442">
        <v>-2.1347049999999999E-2</v>
      </c>
      <c r="V3442">
        <v>7.0385569999999995E-2</v>
      </c>
      <c r="W3442">
        <v>0.1867878</v>
      </c>
      <c r="X3442">
        <v>0.97987559999999996</v>
      </c>
      <c r="Y3442">
        <v>1.9313859999999999E-2</v>
      </c>
      <c r="Z3442">
        <v>1.4660999999999999E-3</v>
      </c>
      <c r="AA3442">
        <v>0.99981240000000005</v>
      </c>
      <c r="AB3442">
        <v>37</v>
      </c>
      <c r="AC3442">
        <v>-23.395499999999998</v>
      </c>
      <c r="AD3442">
        <v>-1.1199034451400001</v>
      </c>
      <c r="AE3442">
        <v>-0.156000000000005</v>
      </c>
      <c r="AF3442">
        <v>0.45814099817017101</v>
      </c>
      <c r="AG3442">
        <v>-1.1199034451400001</v>
      </c>
      <c r="AH3442">
        <v>23.338039557758702</v>
      </c>
      <c r="AI3442">
        <v>92.746769973716894</v>
      </c>
      <c r="AJ3442">
        <v>88.875390777058399</v>
      </c>
      <c r="AK3442">
        <v>23.369385257215299</v>
      </c>
      <c r="AL3442">
        <v>79.234617098964193</v>
      </c>
      <c r="AM3442">
        <v>85.891436144834898</v>
      </c>
      <c r="AN3442">
        <v>1.0000000010842101</v>
      </c>
    </row>
    <row r="3443" spans="1:40" x14ac:dyDescent="0.25">
      <c r="A3443" t="str">
        <f>"20190303162619209"</f>
        <v>20190303162619209</v>
      </c>
      <c r="B3443" t="str">
        <f>"1551601579197859"</f>
        <v>1551601579197859</v>
      </c>
      <c r="C3443" t="s">
        <v>40</v>
      </c>
      <c r="D3443">
        <v>5.2533899999999996</v>
      </c>
      <c r="E3443">
        <v>0.52252940000000003</v>
      </c>
      <c r="F3443" t="s">
        <v>42</v>
      </c>
      <c r="G3443">
        <v>-237.78919999999999</v>
      </c>
      <c r="H3443">
        <v>1.0011650000000001</v>
      </c>
      <c r="I3443">
        <v>141.29339999999999</v>
      </c>
      <c r="J3443">
        <v>-237.26759999999999</v>
      </c>
      <c r="K3443">
        <v>1.120028</v>
      </c>
      <c r="L3443">
        <v>141.2398</v>
      </c>
      <c r="M3443">
        <v>-0.99958000000000002</v>
      </c>
      <c r="N3443">
        <v>-1.373154E-2</v>
      </c>
      <c r="O3443">
        <v>-2.5517740000000001E-2</v>
      </c>
      <c r="P3443">
        <v>-0.98388039999999999</v>
      </c>
      <c r="Q3443">
        <v>0.17221210000000001</v>
      </c>
      <c r="R3443">
        <v>4.8194149999999998E-2</v>
      </c>
      <c r="S3443">
        <v>-3.1141049999999999</v>
      </c>
      <c r="T3443">
        <v>-0.40557559999999998</v>
      </c>
      <c r="U3443">
        <v>0.150177</v>
      </c>
      <c r="V3443">
        <v>7.3714070000000007E-2</v>
      </c>
      <c r="W3443">
        <v>0.18551580000000001</v>
      </c>
      <c r="X3443">
        <v>0.97987250000000004</v>
      </c>
      <c r="Y3443">
        <v>7.2792689999999993E-2</v>
      </c>
      <c r="Z3443">
        <v>8.1788509999999991E-3</v>
      </c>
      <c r="AA3443">
        <v>0.99731360000000002</v>
      </c>
      <c r="AB3443">
        <v>37</v>
      </c>
      <c r="AC3443">
        <v>-0.52160000000000595</v>
      </c>
      <c r="AD3443">
        <v>-0.118863</v>
      </c>
      <c r="AE3443">
        <v>5.3599999999988698E-2</v>
      </c>
      <c r="AF3443">
        <v>6.3624364509775697E-2</v>
      </c>
      <c r="AG3443">
        <v>-0.118863</v>
      </c>
      <c r="AH3443">
        <v>0.494643805802023</v>
      </c>
      <c r="AI3443">
        <v>103.40558740775499</v>
      </c>
      <c r="AJ3443">
        <v>82.670482131581906</v>
      </c>
      <c r="AK3443">
        <v>0.512687982252932</v>
      </c>
      <c r="AL3443">
        <v>79.308793819470594</v>
      </c>
      <c r="AM3443">
        <v>85.697843642491506</v>
      </c>
      <c r="AN3443">
        <v>0.99999999621092694</v>
      </c>
    </row>
    <row r="3444" spans="1:40" x14ac:dyDescent="0.25">
      <c r="A3444" t="str">
        <f>"20190303162619234"</f>
        <v>20190303162619234</v>
      </c>
      <c r="B3444" t="str">
        <f>"1551601579227139"</f>
        <v>1551601579227139</v>
      </c>
      <c r="C3444" t="s">
        <v>40</v>
      </c>
      <c r="D3444">
        <v>5.2415149999999997</v>
      </c>
      <c r="E3444">
        <v>0.52127579999999996</v>
      </c>
      <c r="F3444" t="s">
        <v>42</v>
      </c>
      <c r="G3444">
        <v>-238.0675</v>
      </c>
      <c r="H3444">
        <v>0.88863539999999996</v>
      </c>
      <c r="I3444">
        <v>141.31540000000001</v>
      </c>
      <c r="J3444">
        <v>-237.67679999999999</v>
      </c>
      <c r="K3444">
        <v>1.1201589999999999</v>
      </c>
      <c r="L3444">
        <v>141.23009999999999</v>
      </c>
      <c r="M3444">
        <v>-0.99959589999999998</v>
      </c>
      <c r="N3444">
        <v>-1.3776679999999999E-2</v>
      </c>
      <c r="O3444">
        <v>-2.4867050000000002E-2</v>
      </c>
      <c r="P3444">
        <v>-0.98361330000000002</v>
      </c>
      <c r="Q3444">
        <v>0.1726027</v>
      </c>
      <c r="R3444">
        <v>5.2090089999999999E-2</v>
      </c>
      <c r="S3444">
        <v>-3.1961979999999999</v>
      </c>
      <c r="T3444">
        <v>-0.92462279999999997</v>
      </c>
      <c r="U3444">
        <v>0.30178829999999901</v>
      </c>
      <c r="V3444">
        <v>7.6901300000000006E-2</v>
      </c>
      <c r="W3444">
        <v>0.18596460000000001</v>
      </c>
      <c r="X3444">
        <v>0.97954240000000004</v>
      </c>
      <c r="Y3444">
        <v>0.11299099999999999</v>
      </c>
      <c r="Z3444">
        <v>2.347875E-2</v>
      </c>
      <c r="AA3444">
        <v>0.99331860000000005</v>
      </c>
      <c r="AB3444">
        <v>37</v>
      </c>
      <c r="AC3444">
        <v>-0.39070000000000898</v>
      </c>
      <c r="AD3444">
        <v>-0.231523599999999</v>
      </c>
      <c r="AE3444">
        <v>8.5300000000017903E-2</v>
      </c>
      <c r="AF3444">
        <v>7.1143928073729698E-2</v>
      </c>
      <c r="AG3444">
        <v>-0.231523599999999</v>
      </c>
      <c r="AH3444">
        <v>0.29093995142979301</v>
      </c>
      <c r="AI3444">
        <v>127.70411016330399</v>
      </c>
      <c r="AJ3444">
        <v>76.259035268389397</v>
      </c>
      <c r="AK3444">
        <v>0.37856398560440202</v>
      </c>
      <c r="AL3444">
        <v>79.282623892338506</v>
      </c>
      <c r="AM3444">
        <v>85.511066166813407</v>
      </c>
      <c r="AN3444">
        <v>0.99999997789630402</v>
      </c>
    </row>
    <row r="3445" spans="1:40" x14ac:dyDescent="0.25">
      <c r="A3445" t="str">
        <f>"20190303162619275"</f>
        <v>20190303162619275</v>
      </c>
      <c r="B3445" t="str">
        <f>"1551601579267156"</f>
        <v>1551601579267156</v>
      </c>
      <c r="C3445" t="s">
        <v>40</v>
      </c>
      <c r="D3445">
        <v>5.3130420000000003</v>
      </c>
      <c r="E3445">
        <v>0.52012449999999999</v>
      </c>
      <c r="F3445" t="s">
        <v>42</v>
      </c>
      <c r="G3445">
        <v>-238.3991</v>
      </c>
      <c r="H3445">
        <v>0.89195749999999996</v>
      </c>
      <c r="I3445">
        <v>141.29810000000001</v>
      </c>
      <c r="J3445">
        <v>-238.35980000000001</v>
      </c>
      <c r="K3445">
        <v>1.1203449999999999</v>
      </c>
      <c r="L3445">
        <v>141.2141</v>
      </c>
      <c r="M3445">
        <v>-0.99961540000000004</v>
      </c>
      <c r="N3445">
        <v>-1.3824990000000001E-2</v>
      </c>
      <c r="O3445">
        <v>-2.4042999999999998E-2</v>
      </c>
      <c r="P3445">
        <v>-0.983213</v>
      </c>
      <c r="Q3445">
        <v>0.17382529999999999</v>
      </c>
      <c r="R3445">
        <v>5.5471399999999997E-2</v>
      </c>
      <c r="S3445">
        <v>-3.2120820000000001</v>
      </c>
      <c r="T3445">
        <v>-1.014785</v>
      </c>
      <c r="U3445">
        <v>0.3019714</v>
      </c>
      <c r="V3445">
        <v>7.9384369999999996E-2</v>
      </c>
      <c r="W3445">
        <v>0.1872576</v>
      </c>
      <c r="X3445">
        <v>0.97909789999999997</v>
      </c>
      <c r="Y3445">
        <v>0.11084430000000001</v>
      </c>
      <c r="Z3445">
        <v>2.492223E-2</v>
      </c>
      <c r="AA3445">
        <v>0.99352529999999994</v>
      </c>
      <c r="AB3445">
        <v>37</v>
      </c>
      <c r="AC3445">
        <v>-3.9299999999997198E-2</v>
      </c>
      <c r="AD3445">
        <v>-0.22838749999999999</v>
      </c>
      <c r="AE3445">
        <v>8.40000000000031E-2</v>
      </c>
      <c r="AF3445">
        <v>1.20201360113235E-2</v>
      </c>
      <c r="AG3445">
        <v>-0.22838749999999999</v>
      </c>
      <c r="AH3445">
        <v>5.2752328823381404E-3</v>
      </c>
      <c r="AI3445">
        <v>176.71049760007099</v>
      </c>
      <c r="AJ3445">
        <v>23.695052387798</v>
      </c>
      <c r="AK3445">
        <v>0.22876442448060699</v>
      </c>
      <c r="AL3445">
        <v>79.207215971340702</v>
      </c>
      <c r="AM3445">
        <v>85.364649719799502</v>
      </c>
      <c r="AN3445">
        <v>0.99999999237123305</v>
      </c>
    </row>
    <row r="3446" spans="1:40" x14ac:dyDescent="0.25">
      <c r="A3446" t="str">
        <f>"20190303162619299"</f>
        <v>20190303162619299</v>
      </c>
      <c r="B3446" t="str">
        <f>"1551601579287651"</f>
        <v>1551601579287651</v>
      </c>
      <c r="C3446" t="s">
        <v>40</v>
      </c>
      <c r="D3446">
        <v>5.3202319999999999</v>
      </c>
      <c r="E3446">
        <v>0.51930829999999994</v>
      </c>
      <c r="F3446" t="s">
        <v>42</v>
      </c>
      <c r="G3446">
        <v>-239.06110000000001</v>
      </c>
      <c r="H3446">
        <v>0.89532520000000004</v>
      </c>
      <c r="I3446">
        <v>141.28120000000001</v>
      </c>
      <c r="J3446">
        <v>-238.74250000000001</v>
      </c>
      <c r="K3446">
        <v>1.1204259999999999</v>
      </c>
      <c r="L3446">
        <v>141.2054</v>
      </c>
      <c r="M3446">
        <v>-0.99962430000000002</v>
      </c>
      <c r="N3446">
        <v>-1.384349E-2</v>
      </c>
      <c r="O3446">
        <v>-2.3657959999999999E-2</v>
      </c>
      <c r="P3446">
        <v>-0.98302999999999996</v>
      </c>
      <c r="Q3446">
        <v>0.1751894</v>
      </c>
      <c r="R3446">
        <v>5.4413429999999999E-2</v>
      </c>
      <c r="S3446">
        <v>-3.2163240000000002</v>
      </c>
      <c r="T3446">
        <v>-1.031957</v>
      </c>
      <c r="U3446">
        <v>0.30761719999999998</v>
      </c>
      <c r="V3446">
        <v>7.7917330000000007E-2</v>
      </c>
      <c r="W3446">
        <v>0.18865229999999999</v>
      </c>
      <c r="X3446">
        <v>0.97894800000000004</v>
      </c>
      <c r="Y3446">
        <v>0.1118328</v>
      </c>
      <c r="Z3446">
        <v>2.5331380000000001E-2</v>
      </c>
      <c r="AA3446">
        <v>0.99340419999999996</v>
      </c>
      <c r="AB3446">
        <v>37</v>
      </c>
      <c r="AC3446">
        <v>-0.31860000000000299</v>
      </c>
      <c r="AD3446">
        <v>-0.22510079999999899</v>
      </c>
      <c r="AE3446">
        <v>7.5800000000015105E-2</v>
      </c>
      <c r="AF3446">
        <v>5.6584108441663901E-2</v>
      </c>
      <c r="AG3446">
        <v>-0.22510079999999899</v>
      </c>
      <c r="AH3446">
        <v>0.21509638040210199</v>
      </c>
      <c r="AI3446">
        <v>135.343923965046</v>
      </c>
      <c r="AJ3446">
        <v>75.261470059187005</v>
      </c>
      <c r="AK3446">
        <v>0.31644681125090202</v>
      </c>
      <c r="AL3446">
        <v>79.125855519036193</v>
      </c>
      <c r="AM3446">
        <v>85.449255121792504</v>
      </c>
      <c r="AN3446">
        <v>0.99999999365680903</v>
      </c>
    </row>
    <row r="3447" spans="1:40" x14ac:dyDescent="0.25">
      <c r="A3447" t="str">
        <f>"20190303162619319"</f>
        <v>20190303162619319</v>
      </c>
      <c r="B3447" t="str">
        <f>"1551601579307172"</f>
        <v>1551601579307172</v>
      </c>
      <c r="C3447" t="s">
        <v>40</v>
      </c>
      <c r="D3447">
        <v>5.2639529999999999</v>
      </c>
      <c r="E3447">
        <v>0.51877139999999999</v>
      </c>
      <c r="F3447" t="s">
        <v>42</v>
      </c>
      <c r="G3447">
        <v>-239.6902</v>
      </c>
      <c r="H3447">
        <v>0.81697299999999995</v>
      </c>
      <c r="I3447">
        <v>141.29390000000001</v>
      </c>
      <c r="J3447">
        <v>-239.08099999999999</v>
      </c>
      <c r="K3447">
        <v>1.1204700000000001</v>
      </c>
      <c r="L3447">
        <v>141.1977</v>
      </c>
      <c r="M3447">
        <v>-0.99963239999999998</v>
      </c>
      <c r="N3447">
        <v>-1.385581E-2</v>
      </c>
      <c r="O3447">
        <v>-2.3309300000000002E-2</v>
      </c>
      <c r="P3447">
        <v>-0.98258009999999996</v>
      </c>
      <c r="Q3447">
        <v>0.17779220000000001</v>
      </c>
      <c r="R3447">
        <v>5.4094049999999998E-2</v>
      </c>
      <c r="S3447">
        <v>-3.2188110000000001</v>
      </c>
      <c r="T3447">
        <v>-1.030661</v>
      </c>
      <c r="U3447">
        <v>0.300705</v>
      </c>
      <c r="V3447">
        <v>7.7236269999999996E-2</v>
      </c>
      <c r="W3447">
        <v>0.19126689999999999</v>
      </c>
      <c r="X3447">
        <v>0.97849450000000004</v>
      </c>
      <c r="Y3447">
        <v>0.10946309999999999</v>
      </c>
      <c r="Z3447">
        <v>2.4795649999999999E-2</v>
      </c>
      <c r="AA3447">
        <v>0.99368160000000005</v>
      </c>
      <c r="AB3447">
        <v>37</v>
      </c>
      <c r="AC3447">
        <v>-0.60920000000001495</v>
      </c>
      <c r="AD3447">
        <v>-0.30349700000000002</v>
      </c>
      <c r="AE3447">
        <v>9.6200000000010194E-2</v>
      </c>
      <c r="AF3447">
        <v>8.8857917970752501E-2</v>
      </c>
      <c r="AG3447">
        <v>-0.30349700000000002</v>
      </c>
      <c r="AH3447">
        <v>0.48849960174427498</v>
      </c>
      <c r="AI3447">
        <v>121.435521529787</v>
      </c>
      <c r="AJ3447">
        <v>79.690633889153005</v>
      </c>
      <c r="AK3447">
        <v>0.58192612890246898</v>
      </c>
      <c r="AL3447">
        <v>78.973271482224206</v>
      </c>
      <c r="AM3447">
        <v>85.486785255927401</v>
      </c>
      <c r="AN3447">
        <v>0.99999997748468605</v>
      </c>
    </row>
    <row r="3448" spans="1:40" x14ac:dyDescent="0.25">
      <c r="A3448" t="str">
        <f>"20190303162619341"</f>
        <v>20190303162619341</v>
      </c>
      <c r="B3448" t="str">
        <f>"1551601579337426"</f>
        <v>1551601579337426</v>
      </c>
      <c r="C3448" t="s">
        <v>40</v>
      </c>
      <c r="D3448">
        <v>5.3593760000000001</v>
      </c>
      <c r="E3448">
        <v>0.5181386</v>
      </c>
      <c r="F3448" t="s">
        <v>42</v>
      </c>
      <c r="G3448">
        <v>-240.02160000000001</v>
      </c>
      <c r="H3448">
        <v>0.82180200000000003</v>
      </c>
      <c r="I3448">
        <v>141.2834</v>
      </c>
      <c r="J3448">
        <v>-239.44409999999999</v>
      </c>
      <c r="K3448">
        <v>1.120487</v>
      </c>
      <c r="L3448">
        <v>141.18969999999999</v>
      </c>
      <c r="M3448">
        <v>-0.99964149999999996</v>
      </c>
      <c r="N3448">
        <v>-1.3865499999999999E-2</v>
      </c>
      <c r="O3448">
        <v>-2.2901769999999998E-2</v>
      </c>
      <c r="P3448">
        <v>-0.982348</v>
      </c>
      <c r="Q3448">
        <v>0.17915029999999901</v>
      </c>
      <c r="R3448">
        <v>5.3829179999999997E-2</v>
      </c>
      <c r="S3448">
        <v>-3.2221980000000001</v>
      </c>
      <c r="T3448">
        <v>-1.0231220000000001</v>
      </c>
      <c r="U3448">
        <v>0.29270940000000001</v>
      </c>
      <c r="V3448">
        <v>7.6565149999999998E-2</v>
      </c>
      <c r="W3448">
        <v>0.1926339</v>
      </c>
      <c r="X3448">
        <v>0.97827909999999996</v>
      </c>
      <c r="Y3448">
        <v>0.106778</v>
      </c>
      <c r="Z3448">
        <v>2.404924E-2</v>
      </c>
      <c r="AA3448">
        <v>0.99399199999999999</v>
      </c>
      <c r="AB3448">
        <v>37</v>
      </c>
      <c r="AC3448">
        <v>-0.577500000000014</v>
      </c>
      <c r="AD3448">
        <v>-0.29868499999999998</v>
      </c>
      <c r="AE3448">
        <v>9.3700000000012496E-2</v>
      </c>
      <c r="AF3448">
        <v>8.4800285732369404E-2</v>
      </c>
      <c r="AG3448">
        <v>-0.29868499999999998</v>
      </c>
      <c r="AH3448">
        <v>0.45627879960286299</v>
      </c>
      <c r="AI3448">
        <v>122.764927187851</v>
      </c>
      <c r="AJ3448">
        <v>79.471593559515995</v>
      </c>
      <c r="AK3448">
        <v>0.55190049886942605</v>
      </c>
      <c r="AL3448">
        <v>78.893464567940697</v>
      </c>
      <c r="AM3448">
        <v>85.524860347362093</v>
      </c>
      <c r="AN3448">
        <v>1.0000000195602701</v>
      </c>
    </row>
    <row r="3449" spans="1:40" x14ac:dyDescent="0.25">
      <c r="A3449" t="str">
        <f>"20190303162619364"</f>
        <v>20190303162619364</v>
      </c>
      <c r="B3449" t="str">
        <f>"1551601579356947"</f>
        <v>1551601579356947</v>
      </c>
      <c r="C3449" t="s">
        <v>40</v>
      </c>
      <c r="D3449">
        <v>5.3276789999999998</v>
      </c>
      <c r="E3449">
        <v>0.51812250000000004</v>
      </c>
      <c r="F3449" t="s">
        <v>42</v>
      </c>
      <c r="G3449">
        <v>-240.35470000000001</v>
      </c>
      <c r="H3449">
        <v>0.83179139999999996</v>
      </c>
      <c r="I3449">
        <v>141.2697</v>
      </c>
      <c r="J3449">
        <v>-239.8347</v>
      </c>
      <c r="K3449">
        <v>1.1204730000000001</v>
      </c>
      <c r="L3449">
        <v>141.1814</v>
      </c>
      <c r="M3449">
        <v>-0.99965320000000002</v>
      </c>
      <c r="N3449">
        <v>-1.386862E-2</v>
      </c>
      <c r="O3449">
        <v>-2.239143E-2</v>
      </c>
      <c r="P3449">
        <v>-0.98256509999999997</v>
      </c>
      <c r="Q3449">
        <v>0.17816499999999999</v>
      </c>
      <c r="R3449">
        <v>5.3132640000000002E-2</v>
      </c>
      <c r="S3449">
        <v>-3.2248839999999999</v>
      </c>
      <c r="T3449">
        <v>-1.022454</v>
      </c>
      <c r="U3449">
        <v>0.28276059999999997</v>
      </c>
      <c r="V3449">
        <v>7.5380649999999993E-2</v>
      </c>
      <c r="W3449">
        <v>0.1916535</v>
      </c>
      <c r="X3449">
        <v>0.97856359999999998</v>
      </c>
      <c r="Y3449">
        <v>0.1033664</v>
      </c>
      <c r="Z3449">
        <v>2.3316710000000001E-2</v>
      </c>
      <c r="AA3449">
        <v>0.99436999999999998</v>
      </c>
      <c r="AB3449">
        <v>37</v>
      </c>
      <c r="AC3449">
        <v>-0.52000000000001001</v>
      </c>
      <c r="AD3449">
        <v>-0.28868159999999998</v>
      </c>
      <c r="AE3449">
        <v>8.8300000000003806E-2</v>
      </c>
      <c r="AF3449">
        <v>7.6889414262256095E-2</v>
      </c>
      <c r="AG3449">
        <v>-0.28868159999999998</v>
      </c>
      <c r="AH3449">
        <v>0.39851308618577502</v>
      </c>
      <c r="AI3449">
        <v>125.423431291547</v>
      </c>
      <c r="AJ3449">
        <v>79.079499012349402</v>
      </c>
      <c r="AK3449">
        <v>0.49805795653263502</v>
      </c>
      <c r="AL3449">
        <v>78.950703828489495</v>
      </c>
      <c r="AM3449">
        <v>85.595094139111893</v>
      </c>
      <c r="AN3449">
        <v>1.00000001285081</v>
      </c>
    </row>
    <row r="3450" spans="1:40" x14ac:dyDescent="0.25">
      <c r="A3450" t="str">
        <f>"20190303162619387"</f>
        <v>20190303162619387</v>
      </c>
      <c r="B3450" t="str">
        <f>"1551601579377443"</f>
        <v>1551601579377443</v>
      </c>
      <c r="C3450" t="s">
        <v>40</v>
      </c>
      <c r="D3450">
        <v>5.3462990000000001</v>
      </c>
      <c r="E3450">
        <v>0.51807190000000003</v>
      </c>
      <c r="F3450" t="s">
        <v>42</v>
      </c>
      <c r="G3450">
        <v>-240.68969999999999</v>
      </c>
      <c r="H3450">
        <v>0.84695969999999998</v>
      </c>
      <c r="I3450">
        <v>141.2552</v>
      </c>
      <c r="J3450">
        <v>-240.18799999999999</v>
      </c>
      <c r="K3450">
        <v>1.120433</v>
      </c>
      <c r="L3450">
        <v>141.17400000000001</v>
      </c>
      <c r="M3450">
        <v>-0.99966540000000004</v>
      </c>
      <c r="N3450">
        <v>-1.3866710000000001E-2</v>
      </c>
      <c r="O3450">
        <v>-2.183829E-2</v>
      </c>
      <c r="P3450">
        <v>-0.98258849999999998</v>
      </c>
      <c r="Q3450">
        <v>0.17829779999999901</v>
      </c>
      <c r="R3450">
        <v>5.2249339999999998E-2</v>
      </c>
      <c r="S3450">
        <v>-3.2252960000000002</v>
      </c>
      <c r="T3450">
        <v>-1.0316510000000001</v>
      </c>
      <c r="U3450">
        <v>0.27780149999999998</v>
      </c>
      <c r="V3450">
        <v>7.3974680000000001E-2</v>
      </c>
      <c r="W3450">
        <v>0.1917799</v>
      </c>
      <c r="X3450">
        <v>0.97864609999999996</v>
      </c>
      <c r="Y3450">
        <v>0.1013106</v>
      </c>
      <c r="Z3450">
        <v>2.301197E-2</v>
      </c>
      <c r="AA3450">
        <v>0.99458869999999999</v>
      </c>
      <c r="AB3450">
        <v>37</v>
      </c>
      <c r="AC3450">
        <v>-0.50169999999999904</v>
      </c>
      <c r="AD3450">
        <v>-0.27347329999999997</v>
      </c>
      <c r="AE3450">
        <v>8.1199999999995498E-2</v>
      </c>
      <c r="AF3450">
        <v>7.1450136313972998E-2</v>
      </c>
      <c r="AG3450">
        <v>-0.27347329999999997</v>
      </c>
      <c r="AH3450">
        <v>0.38758479779155602</v>
      </c>
      <c r="AI3450">
        <v>124.75643660207901</v>
      </c>
      <c r="AJ3450">
        <v>79.554956150052405</v>
      </c>
      <c r="AK3450">
        <v>0.47970276554476599</v>
      </c>
      <c r="AL3450">
        <v>78.943324464102403</v>
      </c>
      <c r="AM3450">
        <v>85.6773013469913</v>
      </c>
      <c r="AN3450">
        <v>0.99999998618516095</v>
      </c>
    </row>
    <row r="3451" spans="1:40" x14ac:dyDescent="0.25">
      <c r="A3451" t="str">
        <f>"20190303162619412"</f>
        <v>20190303162619412</v>
      </c>
      <c r="B3451" t="str">
        <f>"1551601579407505"</f>
        <v>1551601579407505</v>
      </c>
      <c r="C3451" t="s">
        <v>40</v>
      </c>
      <c r="D3451">
        <v>5.3197390000000002</v>
      </c>
      <c r="E3451">
        <v>0.51803569999999999</v>
      </c>
      <c r="F3451" t="s">
        <v>42</v>
      </c>
      <c r="G3451">
        <v>-241.02080000000001</v>
      </c>
      <c r="H3451">
        <v>0.85249140000000001</v>
      </c>
      <c r="I3451">
        <v>141.24520000000001</v>
      </c>
      <c r="J3451">
        <v>-240.59209999999999</v>
      </c>
      <c r="K3451">
        <v>1.120363</v>
      </c>
      <c r="L3451">
        <v>141.16589999999999</v>
      </c>
      <c r="M3451">
        <v>-0.99968210000000002</v>
      </c>
      <c r="N3451">
        <v>-1.386243E-2</v>
      </c>
      <c r="O3451">
        <v>-2.1068360000000001E-2</v>
      </c>
      <c r="P3451">
        <v>-0.98232330000000001</v>
      </c>
      <c r="Q3451">
        <v>0.17990929999999999</v>
      </c>
      <c r="R3451">
        <v>5.1709860000000003E-2</v>
      </c>
      <c r="S3451">
        <v>-3.2269290000000002</v>
      </c>
      <c r="T3451">
        <v>-1.0382209999999901</v>
      </c>
      <c r="U3451">
        <v>0.27522279999999999</v>
      </c>
      <c r="V3451">
        <v>7.2712499999999999E-2</v>
      </c>
      <c r="W3451">
        <v>0.19337309999999999</v>
      </c>
      <c r="X3451">
        <v>0.97842720000000005</v>
      </c>
      <c r="Y3451">
        <v>9.975821E-2</v>
      </c>
      <c r="Z3451">
        <v>2.265375E-2</v>
      </c>
      <c r="AA3451">
        <v>0.99475380000000002</v>
      </c>
      <c r="AB3451">
        <v>37</v>
      </c>
      <c r="AC3451">
        <v>-0.42870000000002001</v>
      </c>
      <c r="AD3451">
        <v>-0.26787159999999899</v>
      </c>
      <c r="AE3451">
        <v>7.9300000000017606E-2</v>
      </c>
      <c r="AF3451">
        <v>6.4111995341253294E-2</v>
      </c>
      <c r="AG3451">
        <v>-0.26787159999999899</v>
      </c>
      <c r="AH3451">
        <v>0.30993041106491398</v>
      </c>
      <c r="AI3451">
        <v>130.24381079311999</v>
      </c>
      <c r="AJ3451">
        <v>78.312676270129003</v>
      </c>
      <c r="AK3451">
        <v>0.414635263498009</v>
      </c>
      <c r="AL3451">
        <v>78.850300005933505</v>
      </c>
      <c r="AM3451">
        <v>85.749836980402804</v>
      </c>
      <c r="AN3451">
        <v>1.0000000245798399</v>
      </c>
    </row>
    <row r="3452" spans="1:40" x14ac:dyDescent="0.25">
      <c r="A3452" t="str">
        <f>"20190303162619434"</f>
        <v>20190303162619434</v>
      </c>
      <c r="B3452" t="str">
        <f>"1551601579427025"</f>
        <v>1551601579427025</v>
      </c>
      <c r="C3452" t="s">
        <v>40</v>
      </c>
      <c r="D3452">
        <v>5.3234250000000003</v>
      </c>
      <c r="E3452">
        <v>0.51805509999999999</v>
      </c>
      <c r="F3452" t="s">
        <v>42</v>
      </c>
      <c r="G3452">
        <v>-241.35769999999999</v>
      </c>
      <c r="H3452">
        <v>0.87329480000000004</v>
      </c>
      <c r="I3452">
        <v>141.2312</v>
      </c>
      <c r="J3452">
        <v>-240.96879999999999</v>
      </c>
      <c r="K3452">
        <v>1.1202719999999999</v>
      </c>
      <c r="L3452">
        <v>141.15880000000001</v>
      </c>
      <c r="M3452">
        <v>-0.99970000000000003</v>
      </c>
      <c r="N3452">
        <v>-1.3857990000000001E-2</v>
      </c>
      <c r="O3452">
        <v>-2.0195020000000001E-2</v>
      </c>
      <c r="P3452">
        <v>-0.98199650000000005</v>
      </c>
      <c r="Q3452">
        <v>0.1816757</v>
      </c>
      <c r="R3452">
        <v>5.1739739999999999E-2</v>
      </c>
      <c r="S3452">
        <v>-3.2304529999999998</v>
      </c>
      <c r="T3452">
        <v>-1.0424249999999999</v>
      </c>
      <c r="U3452">
        <v>0.27430729999999998</v>
      </c>
      <c r="V3452">
        <v>7.1928889999999995E-2</v>
      </c>
      <c r="W3452">
        <v>0.19511510000000001</v>
      </c>
      <c r="X3452">
        <v>0.97813919999999999</v>
      </c>
      <c r="Y3452">
        <v>9.8584350000000001E-2</v>
      </c>
      <c r="Z3452">
        <v>2.2261159999999999E-2</v>
      </c>
      <c r="AA3452">
        <v>0.99487969999999903</v>
      </c>
      <c r="AB3452">
        <v>37</v>
      </c>
      <c r="AC3452">
        <v>-0.38890000000000602</v>
      </c>
      <c r="AD3452">
        <v>-0.24697719999999901</v>
      </c>
      <c r="AE3452">
        <v>7.2399999999987502E-2</v>
      </c>
      <c r="AF3452">
        <v>5.7734830833497397E-2</v>
      </c>
      <c r="AG3452">
        <v>-0.24697719999999901</v>
      </c>
      <c r="AH3452">
        <v>0.27871535310072898</v>
      </c>
      <c r="AI3452">
        <v>130.94837540632</v>
      </c>
      <c r="AJ3452">
        <v>78.296913970193401</v>
      </c>
      <c r="AK3452">
        <v>0.37684651526221702</v>
      </c>
      <c r="AL3452">
        <v>78.748552293072905</v>
      </c>
      <c r="AM3452">
        <v>85.794241578070299</v>
      </c>
      <c r="AN3452">
        <v>0.99999998102064003</v>
      </c>
    </row>
    <row r="3453" spans="1:40" x14ac:dyDescent="0.25">
      <c r="A3453" t="str">
        <f>"20190303162619455"</f>
        <v>20190303162619455</v>
      </c>
      <c r="B3453" t="str">
        <f>"1551601579446545"</f>
        <v>1551601579446545</v>
      </c>
      <c r="C3453" t="s">
        <v>40</v>
      </c>
      <c r="D3453">
        <v>5.3609790000000004</v>
      </c>
      <c r="E3453">
        <v>0.51812159999999996</v>
      </c>
      <c r="F3453" t="s">
        <v>42</v>
      </c>
      <c r="G3453">
        <v>-241.6918</v>
      </c>
      <c r="H3453">
        <v>0.88745959999999902</v>
      </c>
      <c r="I3453">
        <v>141.22040000000001</v>
      </c>
      <c r="J3453">
        <v>-241.31870000000001</v>
      </c>
      <c r="K3453">
        <v>1.1201589999999999</v>
      </c>
      <c r="L3453">
        <v>141.15260000000001</v>
      </c>
      <c r="M3453">
        <v>-0.99971909999999997</v>
      </c>
      <c r="N3453">
        <v>-1.3854E-2</v>
      </c>
      <c r="O3453">
        <v>-1.9226980000000001E-2</v>
      </c>
      <c r="P3453">
        <v>-0.98182619999999998</v>
      </c>
      <c r="Q3453">
        <v>0.18287809999999999</v>
      </c>
      <c r="R3453">
        <v>5.072583E-2</v>
      </c>
      <c r="S3453">
        <v>-3.233063</v>
      </c>
      <c r="T3453">
        <v>-1.0410410000000001</v>
      </c>
      <c r="U3453">
        <v>0.27554319999999999</v>
      </c>
      <c r="V3453">
        <v>7.0018849999999994E-2</v>
      </c>
      <c r="W3453">
        <v>0.1962962</v>
      </c>
      <c r="X3453">
        <v>0.97804150000000001</v>
      </c>
      <c r="Y3453">
        <v>9.8030430000000002E-2</v>
      </c>
      <c r="Z3453">
        <v>2.1835029999999998E-2</v>
      </c>
      <c r="AA3453">
        <v>0.99494389999999999</v>
      </c>
      <c r="AB3453">
        <v>37</v>
      </c>
      <c r="AC3453">
        <v>-0.37309999999999299</v>
      </c>
      <c r="AD3453">
        <v>-0.2326994</v>
      </c>
      <c r="AE3453">
        <v>6.7800000000005398E-2</v>
      </c>
      <c r="AF3453">
        <v>5.4455980021382799E-2</v>
      </c>
      <c r="AG3453">
        <v>-0.2326994</v>
      </c>
      <c r="AH3453">
        <v>0.27004141969444301</v>
      </c>
      <c r="AI3453">
        <v>130.18821748449699</v>
      </c>
      <c r="AJ3453">
        <v>78.5987606684497</v>
      </c>
      <c r="AK3453">
        <v>0.36060620193091503</v>
      </c>
      <c r="AL3453">
        <v>78.6795461358561</v>
      </c>
      <c r="AM3453">
        <v>85.9051310336162</v>
      </c>
      <c r="AN3453">
        <v>1.000000006606</v>
      </c>
    </row>
    <row r="3454" spans="1:40" x14ac:dyDescent="0.25">
      <c r="A3454" t="str">
        <f>"20190303162619522"</f>
        <v>20190303162619522</v>
      </c>
      <c r="B3454" t="str">
        <f>"1551601579506623"</f>
        <v>1551601579506623</v>
      </c>
      <c r="C3454" t="s">
        <v>40</v>
      </c>
      <c r="D3454">
        <v>5.5527759999999997</v>
      </c>
      <c r="E3454">
        <v>0.473134</v>
      </c>
      <c r="F3454" t="s">
        <v>42</v>
      </c>
      <c r="G3454">
        <v>-242.97839999999999</v>
      </c>
      <c r="H3454">
        <v>0.8223644</v>
      </c>
      <c r="I3454">
        <v>141.21459999999999</v>
      </c>
      <c r="J3454">
        <v>-242.4057</v>
      </c>
      <c r="K3454">
        <v>1.1198109999999999</v>
      </c>
      <c r="L3454">
        <v>141.13679999999999</v>
      </c>
      <c r="M3454">
        <v>-0.99978789999999995</v>
      </c>
      <c r="N3454">
        <v>-1.388519E-2</v>
      </c>
      <c r="O3454">
        <v>-1.52091E-2</v>
      </c>
      <c r="P3454">
        <v>-0.98085370000000005</v>
      </c>
      <c r="Q3454">
        <v>0.19036310000000001</v>
      </c>
      <c r="R3454">
        <v>4.1087899999999997E-2</v>
      </c>
      <c r="S3454">
        <v>-3.241425</v>
      </c>
      <c r="T3454">
        <v>-1.0212909999999999</v>
      </c>
      <c r="U3454">
        <v>0.25022889999999998</v>
      </c>
      <c r="V3454">
        <v>5.6643359999999997E-2</v>
      </c>
      <c r="W3454">
        <v>0.20377700000000001</v>
      </c>
      <c r="X3454">
        <v>0.97737739999999995</v>
      </c>
      <c r="Y3454">
        <v>8.7064009999999997E-2</v>
      </c>
      <c r="Z3454">
        <v>1.8459659999999999E-2</v>
      </c>
      <c r="AA3454">
        <v>0.99603169999999996</v>
      </c>
      <c r="AB3454">
        <v>37</v>
      </c>
      <c r="AC3454">
        <v>-0.57269999999999699</v>
      </c>
      <c r="AD3454">
        <v>-0.29744660000000001</v>
      </c>
      <c r="AE3454">
        <v>7.7799999999996303E-2</v>
      </c>
      <c r="AF3454">
        <v>6.83884837082675E-2</v>
      </c>
      <c r="AG3454">
        <v>-0.29744660000000001</v>
      </c>
      <c r="AH3454">
        <v>0.45178819861973801</v>
      </c>
      <c r="AI3454">
        <v>123.062536716498</v>
      </c>
      <c r="AJ3454">
        <v>81.392320243005003</v>
      </c>
      <c r="AK3454">
        <v>0.54521925953467898</v>
      </c>
      <c r="AL3454">
        <v>78.242085544952303</v>
      </c>
      <c r="AM3454">
        <v>86.683165293637103</v>
      </c>
      <c r="AN3454">
        <v>1.0000000589959199</v>
      </c>
    </row>
    <row r="3455" spans="1:40" x14ac:dyDescent="0.25">
      <c r="A3455" t="str">
        <f>"20190303162619542"</f>
        <v>20190303162619542</v>
      </c>
      <c r="B3455" t="str">
        <f>"1551601579527118"</f>
        <v>1551601579527118</v>
      </c>
      <c r="C3455" t="s">
        <v>40</v>
      </c>
      <c r="D3455">
        <v>5.4760499999999999</v>
      </c>
      <c r="E3455">
        <v>0.4720936</v>
      </c>
      <c r="F3455" t="s">
        <v>41</v>
      </c>
      <c r="G3455">
        <v>-275.45960000000002</v>
      </c>
      <c r="H3455" s="1">
        <v>-2.0673710000000001E-6</v>
      </c>
      <c r="I3455">
        <v>140.1319</v>
      </c>
      <c r="J3455">
        <v>-242.74430000000001</v>
      </c>
      <c r="K3455">
        <v>1.119721</v>
      </c>
      <c r="L3455">
        <v>141.13310000000001</v>
      </c>
      <c r="M3455">
        <v>-0.99980950000000002</v>
      </c>
      <c r="N3455">
        <v>-1.3898880000000001E-2</v>
      </c>
      <c r="O3455">
        <v>-1.371266E-2</v>
      </c>
      <c r="P3455">
        <v>-0.9807401</v>
      </c>
      <c r="Q3455">
        <v>0.19142290000000001</v>
      </c>
      <c r="R3455">
        <v>3.8813359999999998E-2</v>
      </c>
      <c r="S3455">
        <v>-3.0827640000000001</v>
      </c>
      <c r="T3455">
        <v>-0.1044393</v>
      </c>
      <c r="U3455">
        <v>-9.3719479999999994E-2</v>
      </c>
      <c r="V3455">
        <v>5.2955450000000001E-2</v>
      </c>
      <c r="W3455">
        <v>0.20484820000000001</v>
      </c>
      <c r="X3455">
        <v>0.97736020000000001</v>
      </c>
      <c r="Y3455">
        <v>-1.666583E-2</v>
      </c>
      <c r="Z3455">
        <v>-1.2430709999999999E-4</v>
      </c>
      <c r="AA3455">
        <v>0.99986109999999995</v>
      </c>
      <c r="AB3455">
        <v>37</v>
      </c>
      <c r="AC3455">
        <v>-32.715299999999999</v>
      </c>
      <c r="AD3455">
        <v>-1.1197230673709999</v>
      </c>
      <c r="AE3455">
        <v>-1.0012000000000101</v>
      </c>
      <c r="AF3455">
        <v>-0.55180298098658598</v>
      </c>
      <c r="AG3455">
        <v>-1.1197230673709999</v>
      </c>
      <c r="AH3455">
        <v>32.687698063644397</v>
      </c>
      <c r="AI3455">
        <v>91.961630987082998</v>
      </c>
      <c r="AJ3455">
        <v>90.967121611963506</v>
      </c>
      <c r="AK3455">
        <v>32.711525048175403</v>
      </c>
      <c r="AL3455">
        <v>78.179387183771496</v>
      </c>
      <c r="AM3455">
        <v>86.898625592402396</v>
      </c>
      <c r="AN3455">
        <v>1.00000001263599</v>
      </c>
    </row>
    <row r="3456" spans="1:40" x14ac:dyDescent="0.25">
      <c r="A3456" t="str">
        <f>"20190303162619567"</f>
        <v>20190303162619567</v>
      </c>
      <c r="B3456" t="str">
        <f>"1551601579557374"</f>
        <v>1551601579557374</v>
      </c>
      <c r="C3456" t="s">
        <v>40</v>
      </c>
      <c r="D3456">
        <v>5.5059969999999998</v>
      </c>
      <c r="E3456">
        <v>0.47397139999999999</v>
      </c>
      <c r="F3456" t="s">
        <v>47</v>
      </c>
      <c r="G3456">
        <v>-290.67899999999997</v>
      </c>
      <c r="H3456" s="1">
        <v>-8.8061310000000001E-6</v>
      </c>
      <c r="I3456">
        <v>139.44669999999999</v>
      </c>
      <c r="J3456">
        <v>-243.14619999999999</v>
      </c>
      <c r="K3456">
        <v>1.1196219999999999</v>
      </c>
      <c r="L3456">
        <v>141.1294</v>
      </c>
      <c r="M3456">
        <v>-0.99983339999999998</v>
      </c>
      <c r="N3456">
        <v>-1.391332E-2</v>
      </c>
      <c r="O3456">
        <v>-1.1817380000000001E-2</v>
      </c>
      <c r="P3456">
        <v>-0.98066600000000004</v>
      </c>
      <c r="Q3456">
        <v>0.1918398</v>
      </c>
      <c r="R3456">
        <v>3.8624949999999998E-2</v>
      </c>
      <c r="S3456">
        <v>-3.0772400000000002</v>
      </c>
      <c r="T3456">
        <v>-7.1882719999999997E-2</v>
      </c>
      <c r="U3456">
        <v>-0.1082611</v>
      </c>
      <c r="V3456">
        <v>5.0962559999999997E-2</v>
      </c>
      <c r="W3456">
        <v>0.20527390000000001</v>
      </c>
      <c r="X3456">
        <v>0.97737680000000005</v>
      </c>
      <c r="Y3456">
        <v>-2.333619E-2</v>
      </c>
      <c r="Z3456">
        <v>-3.2334729999999997E-4</v>
      </c>
      <c r="AA3456">
        <v>0.99972760000000005</v>
      </c>
      <c r="AB3456">
        <v>37</v>
      </c>
      <c r="AC3456">
        <v>-47.532800000000002</v>
      </c>
      <c r="AD3456">
        <v>-1.1196308061310001</v>
      </c>
      <c r="AE3456">
        <v>-1.6827000000000101</v>
      </c>
      <c r="AF3456">
        <v>-1.1201942147661099</v>
      </c>
      <c r="AG3456">
        <v>-1.1196308061310001</v>
      </c>
      <c r="AH3456">
        <v>47.523032901856297</v>
      </c>
      <c r="AI3456">
        <v>91.349249963303606</v>
      </c>
      <c r="AJ3456">
        <v>91.350303500475903</v>
      </c>
      <c r="AK3456">
        <v>47.549417077517901</v>
      </c>
      <c r="AL3456">
        <v>78.154466434063707</v>
      </c>
      <c r="AM3456">
        <v>87.015176072711</v>
      </c>
      <c r="AN3456">
        <v>0.99999998286060099</v>
      </c>
    </row>
    <row r="3457" spans="1:40" x14ac:dyDescent="0.25">
      <c r="A3457" t="str">
        <f>"20190303162619588"</f>
        <v>20190303162619588</v>
      </c>
      <c r="B3457" t="str">
        <f>"1551601579577871"</f>
        <v>1551601579577871</v>
      </c>
      <c r="C3457" t="s">
        <v>40</v>
      </c>
      <c r="D3457">
        <v>5.4988799999999998</v>
      </c>
      <c r="E3457">
        <v>0.47494900000000001</v>
      </c>
      <c r="F3457" t="s">
        <v>47</v>
      </c>
      <c r="G3457">
        <v>-281.00400000000002</v>
      </c>
      <c r="H3457" s="1">
        <v>-4.1769690000000002E-6</v>
      </c>
      <c r="I3457">
        <v>139.9693</v>
      </c>
      <c r="J3457">
        <v>-243.4931</v>
      </c>
      <c r="K3457">
        <v>1.119548</v>
      </c>
      <c r="L3457">
        <v>141.12690000000001</v>
      </c>
      <c r="M3457">
        <v>-0.99985190000000002</v>
      </c>
      <c r="N3457">
        <v>-1.392464E-2</v>
      </c>
      <c r="O3457">
        <v>-1.0109730000000001E-2</v>
      </c>
      <c r="P3457">
        <v>-0.98056730000000003</v>
      </c>
      <c r="Q3457">
        <v>0.1920885</v>
      </c>
      <c r="R3457">
        <v>3.9874890000000003E-2</v>
      </c>
      <c r="S3457">
        <v>-3.0806879999999999</v>
      </c>
      <c r="T3457">
        <v>-9.1110109999999994E-2</v>
      </c>
      <c r="U3457">
        <v>-9.4406130000000005E-2</v>
      </c>
      <c r="V3457">
        <v>5.0576419999999997E-2</v>
      </c>
      <c r="W3457">
        <v>0.20552500000000001</v>
      </c>
      <c r="X3457">
        <v>0.97734410000000005</v>
      </c>
      <c r="Y3457">
        <v>-2.051064E-2</v>
      </c>
      <c r="Z3457">
        <v>-2.8794630000000002E-4</v>
      </c>
      <c r="AA3457">
        <v>0.99978959999999995</v>
      </c>
      <c r="AB3457">
        <v>37</v>
      </c>
      <c r="AC3457">
        <v>-37.510899999999999</v>
      </c>
      <c r="AD3457">
        <v>-1.119552176969</v>
      </c>
      <c r="AE3457">
        <v>-1.1576</v>
      </c>
      <c r="AF3457">
        <v>-0.77758696891837398</v>
      </c>
      <c r="AG3457">
        <v>-1.119552176969</v>
      </c>
      <c r="AH3457">
        <v>37.487325368674099</v>
      </c>
      <c r="AI3457">
        <v>91.710251952129497</v>
      </c>
      <c r="AJ3457">
        <v>91.188296658943003</v>
      </c>
      <c r="AK3457">
        <v>37.512099406298603</v>
      </c>
      <c r="AL3457">
        <v>78.139766168890901</v>
      </c>
      <c r="AM3457">
        <v>87.037652521828406</v>
      </c>
      <c r="AN3457">
        <v>0.99999999484491298</v>
      </c>
    </row>
    <row r="3458" spans="1:40" x14ac:dyDescent="0.25">
      <c r="A3458" t="str">
        <f>"20190303162619634"</f>
        <v>20190303162619634</v>
      </c>
      <c r="B3458" t="str">
        <f>"1551601579627434"</f>
        <v>1551601579627434</v>
      </c>
      <c r="C3458" t="s">
        <v>40</v>
      </c>
      <c r="D3458">
        <v>5.4298679999999999</v>
      </c>
      <c r="E3458">
        <v>0.47657440000000001</v>
      </c>
      <c r="F3458" t="s">
        <v>41</v>
      </c>
      <c r="G3458">
        <v>-278.0478</v>
      </c>
      <c r="H3458" s="1">
        <v>-9.7287569999999998E-7</v>
      </c>
      <c r="I3458">
        <v>140.19149999999999</v>
      </c>
      <c r="J3458">
        <v>-244.2415</v>
      </c>
      <c r="K3458">
        <v>1.1194489999999999</v>
      </c>
      <c r="L3458">
        <v>141.12360000000001</v>
      </c>
      <c r="M3458">
        <v>-0.99988279999999996</v>
      </c>
      <c r="N3458">
        <v>-1.394515E-2</v>
      </c>
      <c r="O3458">
        <v>-6.321714E-3</v>
      </c>
      <c r="P3458">
        <v>-0.98044169999999997</v>
      </c>
      <c r="Q3458">
        <v>0.19178100000000001</v>
      </c>
      <c r="R3458">
        <v>4.4207919999999998E-2</v>
      </c>
      <c r="S3458">
        <v>-3.0823969999999998</v>
      </c>
      <c r="T3458">
        <v>-9.9867579999999997E-2</v>
      </c>
      <c r="U3458">
        <v>-8.3435060000000005E-2</v>
      </c>
      <c r="V3458">
        <v>5.1250440000000001E-2</v>
      </c>
      <c r="W3458">
        <v>0.2052216</v>
      </c>
      <c r="X3458">
        <v>0.97737280000000004</v>
      </c>
      <c r="Y3458">
        <v>-2.07233E-2</v>
      </c>
      <c r="Z3458">
        <v>-3.6355529999999999E-4</v>
      </c>
      <c r="AA3458">
        <v>0.99978520000000004</v>
      </c>
      <c r="AB3458">
        <v>37</v>
      </c>
      <c r="AC3458">
        <v>-33.806299999999901</v>
      </c>
      <c r="AD3458">
        <v>-1.1194499728756999</v>
      </c>
      <c r="AE3458">
        <v>-0.93210000000001902</v>
      </c>
      <c r="AF3458">
        <v>-0.717560615135724</v>
      </c>
      <c r="AG3458">
        <v>-1.1194499728756999</v>
      </c>
      <c r="AH3458">
        <v>33.774511300503399</v>
      </c>
      <c r="AI3458">
        <v>91.897935143319501</v>
      </c>
      <c r="AJ3458">
        <v>91.217101566812204</v>
      </c>
      <c r="AK3458">
        <v>33.800675659903497</v>
      </c>
      <c r="AL3458">
        <v>78.157529011930805</v>
      </c>
      <c r="AM3458">
        <v>86.998333726911298</v>
      </c>
      <c r="AN3458">
        <v>1.0000000514432901</v>
      </c>
    </row>
    <row r="3459" spans="1:40" x14ac:dyDescent="0.25">
      <c r="A3459" t="str">
        <f>"20190303162619654"</f>
        <v>20190303162619654</v>
      </c>
      <c r="B3459" t="str">
        <f>"1551601579646953"</f>
        <v>1551601579646953</v>
      </c>
      <c r="C3459" t="s">
        <v>40</v>
      </c>
      <c r="D3459">
        <v>5.4290120000000002</v>
      </c>
      <c r="E3459">
        <v>0.47690500000000002</v>
      </c>
      <c r="F3459" t="s">
        <v>41</v>
      </c>
      <c r="G3459">
        <v>-272.98790000000002</v>
      </c>
      <c r="H3459" s="1">
        <v>-3.2469799999999999E-6</v>
      </c>
      <c r="I3459">
        <v>140.58019999999999</v>
      </c>
      <c r="J3459">
        <v>-244.58009999999999</v>
      </c>
      <c r="K3459">
        <v>1.1194189999999999</v>
      </c>
      <c r="L3459">
        <v>141.12309999999999</v>
      </c>
      <c r="M3459">
        <v>-0.99989220000000001</v>
      </c>
      <c r="N3459">
        <v>-1.3952330000000001E-2</v>
      </c>
      <c r="O3459">
        <v>-4.6014350000000001E-3</v>
      </c>
      <c r="P3459">
        <v>-0.9806357</v>
      </c>
      <c r="Q3459">
        <v>0.1904691</v>
      </c>
      <c r="R3459">
        <v>4.5556180000000002E-2</v>
      </c>
      <c r="S3459">
        <v>-3.0859990000000002</v>
      </c>
      <c r="T3459">
        <v>-0.1201764</v>
      </c>
      <c r="U3459">
        <v>-5.833435E-2</v>
      </c>
      <c r="V3459">
        <v>5.092112E-2</v>
      </c>
      <c r="W3459">
        <v>0.20391889999999999</v>
      </c>
      <c r="X3459">
        <v>0.97766260000000005</v>
      </c>
      <c r="Y3459">
        <v>-1.4285000000000001E-2</v>
      </c>
      <c r="Z3459">
        <v>-2.628145E-4</v>
      </c>
      <c r="AA3459">
        <v>0.99989799999999995</v>
      </c>
      <c r="AB3459">
        <v>36</v>
      </c>
      <c r="AC3459">
        <v>-28.407800000000002</v>
      </c>
      <c r="AD3459">
        <v>-1.1194222469799999</v>
      </c>
      <c r="AE3459">
        <v>-0.54290000000000205</v>
      </c>
      <c r="AF3459">
        <v>-0.41152611744139</v>
      </c>
      <c r="AG3459">
        <v>-1.1194222469799999</v>
      </c>
      <c r="AH3459">
        <v>28.365967256859001</v>
      </c>
      <c r="AI3459">
        <v>92.259685590356895</v>
      </c>
      <c r="AJ3459">
        <v>90.831174041930396</v>
      </c>
      <c r="AK3459">
        <v>28.391029539796001</v>
      </c>
      <c r="AL3459">
        <v>78.233780418758201</v>
      </c>
      <c r="AM3459">
        <v>87.018469058440203</v>
      </c>
      <c r="AN3459">
        <v>1.0000000188390099</v>
      </c>
    </row>
    <row r="3460" spans="1:40" x14ac:dyDescent="0.25">
      <c r="A3460" t="str">
        <f>"20190303162619677"</f>
        <v>20190303162619677</v>
      </c>
      <c r="B3460" t="str">
        <f>"1551601579666474"</f>
        <v>1551601579666474</v>
      </c>
      <c r="C3460" t="s">
        <v>40</v>
      </c>
      <c r="D3460">
        <v>5.4844710000000001</v>
      </c>
      <c r="E3460">
        <v>0.4772769</v>
      </c>
      <c r="F3460" t="s">
        <v>41</v>
      </c>
      <c r="G3460">
        <v>-271.2953</v>
      </c>
      <c r="H3460" s="1">
        <v>-4.0006030000000002E-6</v>
      </c>
      <c r="I3460">
        <v>140.68350000000001</v>
      </c>
      <c r="J3460">
        <v>-244.9479</v>
      </c>
      <c r="K3460">
        <v>1.1193959999999901</v>
      </c>
      <c r="L3460">
        <v>141.12309999999999</v>
      </c>
      <c r="M3460">
        <v>-0.99989890000000003</v>
      </c>
      <c r="N3460">
        <v>-1.3958699999999999E-2</v>
      </c>
      <c r="O3460">
        <v>-2.742516E-3</v>
      </c>
      <c r="P3460">
        <v>-0.98105900000000001</v>
      </c>
      <c r="Q3460">
        <v>0.18816579999999999</v>
      </c>
      <c r="R3460">
        <v>4.6005360000000002E-2</v>
      </c>
      <c r="S3460">
        <v>-3.0867</v>
      </c>
      <c r="T3460">
        <v>-0.1293398</v>
      </c>
      <c r="U3460">
        <v>-5.078125E-2</v>
      </c>
      <c r="V3460">
        <v>4.9547220000000003E-2</v>
      </c>
      <c r="W3460">
        <v>0.2016328</v>
      </c>
      <c r="X3460">
        <v>0.97820720000000005</v>
      </c>
      <c r="Y3460">
        <v>-1.3691979999999999E-2</v>
      </c>
      <c r="Z3460">
        <v>-3.0575710000000001E-4</v>
      </c>
      <c r="AA3460">
        <v>0.99990619999999997</v>
      </c>
      <c r="AB3460">
        <v>36</v>
      </c>
      <c r="AC3460">
        <v>-26.3474</v>
      </c>
      <c r="AD3460">
        <v>-1.1194000006029901</v>
      </c>
      <c r="AE3460">
        <v>-0.439599999999984</v>
      </c>
      <c r="AF3460">
        <v>-0.366671461177139</v>
      </c>
      <c r="AG3460">
        <v>-1.1194000006029901</v>
      </c>
      <c r="AH3460">
        <v>26.301044497174001</v>
      </c>
      <c r="AI3460">
        <v>92.436861023759704</v>
      </c>
      <c r="AJ3460">
        <v>90.798727452239106</v>
      </c>
      <c r="AK3460">
        <v>26.327408645062601</v>
      </c>
      <c r="AL3460">
        <v>78.367543238358195</v>
      </c>
      <c r="AM3460">
        <v>87.100386698567803</v>
      </c>
      <c r="AN3460">
        <v>1.0000000195887</v>
      </c>
    </row>
    <row r="3461" spans="1:40" x14ac:dyDescent="0.25">
      <c r="A3461" t="str">
        <f>"20190303162619721"</f>
        <v>20190303162619721</v>
      </c>
      <c r="B3461" t="str">
        <f>"1551601579706489"</f>
        <v>1551601579706489</v>
      </c>
      <c r="C3461" t="s">
        <v>40</v>
      </c>
      <c r="D3461">
        <v>5.4427940000000001</v>
      </c>
      <c r="E3461">
        <v>0.4774349</v>
      </c>
      <c r="F3461" t="s">
        <v>41</v>
      </c>
      <c r="G3461">
        <v>-269.55360000000002</v>
      </c>
      <c r="H3461" s="1">
        <v>-4.7929420000000004E-7</v>
      </c>
      <c r="I3461">
        <v>140.76429999999999</v>
      </c>
      <c r="J3461">
        <v>-245.6516</v>
      </c>
      <c r="K3461">
        <v>1.119383</v>
      </c>
      <c r="L3461">
        <v>141.1251</v>
      </c>
      <c r="M3461">
        <v>-0.99990219999999996</v>
      </c>
      <c r="N3461">
        <v>-1.3968059999999999E-2</v>
      </c>
      <c r="O3461">
        <v>7.7058270000000004E-4</v>
      </c>
      <c r="P3461">
        <v>-0.98152439999999996</v>
      </c>
      <c r="Q3461">
        <v>0.18590309999999999</v>
      </c>
      <c r="R3461">
        <v>4.5280330000000001E-2</v>
      </c>
      <c r="S3461">
        <v>-3.0869599999999999</v>
      </c>
      <c r="T3461">
        <v>-0.14043659999999999</v>
      </c>
      <c r="U3461">
        <v>-4.501343E-2</v>
      </c>
      <c r="V3461">
        <v>4.5371719999999997E-2</v>
      </c>
      <c r="W3461">
        <v>0.19940450000000001</v>
      </c>
      <c r="X3461">
        <v>0.97886629999999997</v>
      </c>
      <c r="Y3461">
        <v>-1.532971E-2</v>
      </c>
      <c r="Z3461">
        <v>-4.7992599999999999E-4</v>
      </c>
      <c r="AA3461">
        <v>0.99988239999999995</v>
      </c>
      <c r="AB3461">
        <v>36</v>
      </c>
      <c r="AC3461">
        <v>-23.902000000000001</v>
      </c>
      <c r="AD3461">
        <v>-1.1193834792941999</v>
      </c>
      <c r="AE3461">
        <v>-0.360800000000011</v>
      </c>
      <c r="AF3461">
        <v>-0.37839043859035298</v>
      </c>
      <c r="AG3461">
        <v>-1.1193834792941999</v>
      </c>
      <c r="AH3461">
        <v>23.8494188867068</v>
      </c>
      <c r="AI3461">
        <v>92.686894076033795</v>
      </c>
      <c r="AJ3461">
        <v>90.9089679030144</v>
      </c>
      <c r="AK3461">
        <v>23.8786720721933</v>
      </c>
      <c r="AL3461">
        <v>78.497861906343502</v>
      </c>
      <c r="AM3461">
        <v>87.346165907823007</v>
      </c>
      <c r="AN3461">
        <v>0.99999999043584897</v>
      </c>
    </row>
    <row r="3462" spans="1:40" x14ac:dyDescent="0.25">
      <c r="A3462" t="str">
        <f>"20190303162619745"</f>
        <v>20190303162619745</v>
      </c>
      <c r="B3462" t="str">
        <f>"1551601579736745"</f>
        <v>1551601579736745</v>
      </c>
      <c r="C3462" t="s">
        <v>40</v>
      </c>
      <c r="D3462">
        <v>5.4572909999999997</v>
      </c>
      <c r="E3462">
        <v>0.42218679999999997</v>
      </c>
      <c r="F3462" t="s">
        <v>41</v>
      </c>
      <c r="G3462">
        <v>-268.6653</v>
      </c>
      <c r="H3462" s="1">
        <v>-8.6758750000000004E-7</v>
      </c>
      <c r="I3462">
        <v>140.79140000000001</v>
      </c>
      <c r="J3462">
        <v>-246.04920000000001</v>
      </c>
      <c r="K3462">
        <v>1.119383</v>
      </c>
      <c r="L3462">
        <v>141.12729999999999</v>
      </c>
      <c r="M3462">
        <v>-0.99989870000000003</v>
      </c>
      <c r="N3462">
        <v>-1.3971809999999999E-2</v>
      </c>
      <c r="O3462">
        <v>2.728627E-3</v>
      </c>
      <c r="P3462">
        <v>-0.98148020000000002</v>
      </c>
      <c r="Q3462">
        <v>0.1860243</v>
      </c>
      <c r="R3462">
        <v>4.5734730000000001E-2</v>
      </c>
      <c r="S3462">
        <v>-3.0869599999999999</v>
      </c>
      <c r="T3462">
        <v>-0.150149799999999</v>
      </c>
      <c r="U3462">
        <v>-4.475403E-2</v>
      </c>
      <c r="V3462">
        <v>4.3905159999999999E-2</v>
      </c>
      <c r="W3462">
        <v>0.1995363</v>
      </c>
      <c r="X3462">
        <v>0.97890630000000001</v>
      </c>
      <c r="Y3462">
        <v>-1.7196980000000001E-2</v>
      </c>
      <c r="Z3462">
        <v>-6.327301E-4</v>
      </c>
      <c r="AA3462">
        <v>0.99985190000000002</v>
      </c>
      <c r="AB3462">
        <v>36</v>
      </c>
      <c r="AC3462">
        <v>-22.6160999999999</v>
      </c>
      <c r="AD3462">
        <v>-1.1193838675875001</v>
      </c>
      <c r="AE3462">
        <v>-0.33589999999998099</v>
      </c>
      <c r="AF3462">
        <v>-0.39664420570270498</v>
      </c>
      <c r="AG3462">
        <v>-1.1193838675875001</v>
      </c>
      <c r="AH3462">
        <v>22.559845249492799</v>
      </c>
      <c r="AI3462">
        <v>92.840158161435298</v>
      </c>
      <c r="AJ3462">
        <v>91.007263012284</v>
      </c>
      <c r="AK3462">
        <v>22.591081526788301</v>
      </c>
      <c r="AL3462">
        <v>78.490155227310794</v>
      </c>
      <c r="AM3462">
        <v>87.431934403521495</v>
      </c>
      <c r="AN3462">
        <v>0.99999997113600203</v>
      </c>
    </row>
    <row r="3463" spans="1:40" x14ac:dyDescent="0.25">
      <c r="A3463" t="str">
        <f>"20190303162619766"</f>
        <v>20190303162619766</v>
      </c>
      <c r="B3463" t="str">
        <f>"1551601579757241"</f>
        <v>1551601579757241</v>
      </c>
      <c r="C3463" t="s">
        <v>40</v>
      </c>
      <c r="D3463">
        <v>5.3727</v>
      </c>
      <c r="E3463">
        <v>0.41751179999999899</v>
      </c>
      <c r="F3463" t="s">
        <v>41</v>
      </c>
      <c r="G3463">
        <v>-260.44569999999999</v>
      </c>
      <c r="H3463" s="1">
        <v>-4.2079050000000003E-6</v>
      </c>
      <c r="I3463">
        <v>138.90110000000001</v>
      </c>
      <c r="J3463">
        <v>-246.39449999999999</v>
      </c>
      <c r="K3463">
        <v>1.119394</v>
      </c>
      <c r="L3463">
        <v>141.12989999999999</v>
      </c>
      <c r="M3463">
        <v>-0.99989280000000003</v>
      </c>
      <c r="N3463">
        <v>-1.397428E-2</v>
      </c>
      <c r="O3463">
        <v>4.4096500000000002E-3</v>
      </c>
      <c r="P3463">
        <v>-0.98128740000000003</v>
      </c>
      <c r="Q3463">
        <v>0.18711929999999999</v>
      </c>
      <c r="R3463">
        <v>4.5405470000000003E-2</v>
      </c>
      <c r="S3463">
        <v>-3.1251530000000001</v>
      </c>
      <c r="T3463">
        <v>-0.2429945</v>
      </c>
      <c r="U3463">
        <v>-0.4832458</v>
      </c>
      <c r="V3463">
        <v>4.1929559999999998E-2</v>
      </c>
      <c r="W3463">
        <v>0.20064019999999999</v>
      </c>
      <c r="X3463">
        <v>0.97876730000000001</v>
      </c>
      <c r="Y3463">
        <v>-0.15661639999999999</v>
      </c>
      <c r="Z3463">
        <v>-7.4257969999999996E-3</v>
      </c>
      <c r="AA3463">
        <v>0.98763160000000005</v>
      </c>
      <c r="AB3463">
        <v>36</v>
      </c>
      <c r="AC3463">
        <v>-14.0511999999999</v>
      </c>
      <c r="AD3463">
        <v>-1.119398207905</v>
      </c>
      <c r="AE3463">
        <v>-2.2287999999999699</v>
      </c>
      <c r="AF3463">
        <v>-2.2766508259479599</v>
      </c>
      <c r="AG3463">
        <v>-1.119398207905</v>
      </c>
      <c r="AH3463">
        <v>13.954841775187599</v>
      </c>
      <c r="AI3463">
        <v>94.5266134718307</v>
      </c>
      <c r="AJ3463">
        <v>99.265840248707406</v>
      </c>
      <c r="AK3463">
        <v>14.1835750183679</v>
      </c>
      <c r="AL3463">
        <v>78.425601357410997</v>
      </c>
      <c r="AM3463">
        <v>87.546997303069304</v>
      </c>
      <c r="AN3463">
        <v>1.00000000270356</v>
      </c>
    </row>
    <row r="3464" spans="1:40" x14ac:dyDescent="0.25">
      <c r="A3464" t="str">
        <f>"20190303162619790"</f>
        <v>20190303162619790</v>
      </c>
      <c r="B3464" t="str">
        <f>"1551601579776761"</f>
        <v>1551601579776761</v>
      </c>
      <c r="C3464" t="s">
        <v>40</v>
      </c>
      <c r="D3464">
        <v>5.3237579999999998</v>
      </c>
      <c r="E3464">
        <v>0.41611520000000002</v>
      </c>
      <c r="F3464" t="s">
        <v>41</v>
      </c>
      <c r="G3464">
        <v>-260.87729999999999</v>
      </c>
      <c r="H3464" s="1">
        <v>-4.0552380000000004E-6</v>
      </c>
      <c r="I3464">
        <v>138.71799999999999</v>
      </c>
      <c r="J3464">
        <v>-246.7758</v>
      </c>
      <c r="K3464">
        <v>1.11941</v>
      </c>
      <c r="L3464">
        <v>141.13339999999999</v>
      </c>
      <c r="M3464">
        <v>-0.99988290000000002</v>
      </c>
      <c r="N3464">
        <v>-1.397611E-2</v>
      </c>
      <c r="O3464">
        <v>6.2333569999999897E-3</v>
      </c>
      <c r="P3464">
        <v>-0.98100480000000001</v>
      </c>
      <c r="Q3464">
        <v>0.18868119999999999</v>
      </c>
      <c r="R3464">
        <v>4.5045920000000003E-2</v>
      </c>
      <c r="S3464">
        <v>-3.1274109999999999</v>
      </c>
      <c r="T3464">
        <v>-0.24172260000000001</v>
      </c>
      <c r="U3464">
        <v>-0.52081299999999997</v>
      </c>
      <c r="V3464">
        <v>3.9781530000000002E-2</v>
      </c>
      <c r="W3464">
        <v>0.202211</v>
      </c>
      <c r="X3464">
        <v>0.97853369999999995</v>
      </c>
      <c r="Y3464">
        <v>-0.1698191</v>
      </c>
      <c r="Z3464">
        <v>-8.0967639999999994E-3</v>
      </c>
      <c r="AA3464">
        <v>0.98544200000000004</v>
      </c>
      <c r="AB3464">
        <v>36</v>
      </c>
      <c r="AC3464">
        <v>-14.1014999999999</v>
      </c>
      <c r="AD3464">
        <v>-1.1194140552380001</v>
      </c>
      <c r="AE3464">
        <v>-2.4154</v>
      </c>
      <c r="AF3464">
        <v>-2.48802965031738</v>
      </c>
      <c r="AG3464">
        <v>-1.1194140552380001</v>
      </c>
      <c r="AH3464">
        <v>14.000457847778501</v>
      </c>
      <c r="AI3464">
        <v>94.501162978096005</v>
      </c>
      <c r="AJ3464">
        <v>100.07686640924599</v>
      </c>
      <c r="AK3464">
        <v>14.263807321866899</v>
      </c>
      <c r="AL3464">
        <v>78.333718202668393</v>
      </c>
      <c r="AM3464">
        <v>87.671966442038197</v>
      </c>
      <c r="AN3464">
        <v>1.00000003034291</v>
      </c>
    </row>
    <row r="3465" spans="1:40" x14ac:dyDescent="0.25">
      <c r="A3465" t="str">
        <f>"20190303162619813"</f>
        <v>20190303162619813</v>
      </c>
      <c r="B3465" t="str">
        <f>"1551601579807017"</f>
        <v>1551601579807017</v>
      </c>
      <c r="C3465" t="s">
        <v>40</v>
      </c>
      <c r="D3465">
        <v>5.2718030000000002</v>
      </c>
      <c r="E3465">
        <v>0.41553250000000003</v>
      </c>
      <c r="F3465" t="s">
        <v>41</v>
      </c>
      <c r="G3465">
        <v>-261.66320000000002</v>
      </c>
      <c r="H3465" s="1">
        <v>-3.737991E-6</v>
      </c>
      <c r="I3465">
        <v>138.60570000000001</v>
      </c>
      <c r="J3465">
        <v>-247.15440000000001</v>
      </c>
      <c r="K3465">
        <v>1.1194360000000001</v>
      </c>
      <c r="L3465">
        <v>141.13749999999999</v>
      </c>
      <c r="M3465">
        <v>-0.99987040000000005</v>
      </c>
      <c r="N3465">
        <v>-1.397695E-2</v>
      </c>
      <c r="O3465">
        <v>7.9969240000000007E-3</v>
      </c>
      <c r="P3465">
        <v>-0.98078240000000005</v>
      </c>
      <c r="Q3465">
        <v>0.18989130000000001</v>
      </c>
      <c r="R3465">
        <v>4.4798919999999999E-2</v>
      </c>
      <c r="S3465">
        <v>-3.1276860000000002</v>
      </c>
      <c r="T3465">
        <v>-0.23517660000000001</v>
      </c>
      <c r="U3465">
        <v>-0.53102109999999902</v>
      </c>
      <c r="V3465">
        <v>3.7796009999999998E-2</v>
      </c>
      <c r="W3465">
        <v>0.2034311</v>
      </c>
      <c r="X3465">
        <v>0.97835950000000005</v>
      </c>
      <c r="Y3465">
        <v>-0.17467959999999999</v>
      </c>
      <c r="Z3465">
        <v>-8.2285239999999992E-3</v>
      </c>
      <c r="AA3465">
        <v>0.98459090000000005</v>
      </c>
      <c r="AB3465">
        <v>36</v>
      </c>
      <c r="AC3465">
        <v>-14.508800000000001</v>
      </c>
      <c r="AD3465">
        <v>-1.1194397379909999</v>
      </c>
      <c r="AE3465">
        <v>-2.5317999999999699</v>
      </c>
      <c r="AF3465">
        <v>-2.63254758680905</v>
      </c>
      <c r="AG3465">
        <v>-1.1194397379909999</v>
      </c>
      <c r="AH3465">
        <v>14.4048687547212</v>
      </c>
      <c r="AI3465">
        <v>94.371556962705398</v>
      </c>
      <c r="AJ3465">
        <v>100.356741328856</v>
      </c>
      <c r="AK3465">
        <v>14.6861736325209</v>
      </c>
      <c r="AL3465">
        <v>78.262327836970798</v>
      </c>
      <c r="AM3465">
        <v>87.787648093485302</v>
      </c>
      <c r="AN3465">
        <v>1.0000000310296799</v>
      </c>
    </row>
    <row r="3466" spans="1:40" x14ac:dyDescent="0.25">
      <c r="A3466" t="str">
        <f>"20190303162619835"</f>
        <v>20190303162619835</v>
      </c>
      <c r="B3466" t="str">
        <f>"1551601579826537"</f>
        <v>1551601579826537</v>
      </c>
      <c r="C3466" t="s">
        <v>40</v>
      </c>
      <c r="D3466">
        <v>5.2180780000000002</v>
      </c>
      <c r="E3466">
        <v>0.41540270000000001</v>
      </c>
      <c r="F3466" t="s">
        <v>41</v>
      </c>
      <c r="G3466">
        <v>-262.56670000000003</v>
      </c>
      <c r="H3466" s="1">
        <v>-3.367895E-6</v>
      </c>
      <c r="I3466">
        <v>138.50710000000001</v>
      </c>
      <c r="J3466">
        <v>-247.50960000000001</v>
      </c>
      <c r="K3466">
        <v>1.11947</v>
      </c>
      <c r="L3466">
        <v>141.14189999999999</v>
      </c>
      <c r="M3466">
        <v>-0.99985639999999998</v>
      </c>
      <c r="N3466">
        <v>-1.397696E-2</v>
      </c>
      <c r="O3466">
        <v>9.5922969999999996E-3</v>
      </c>
      <c r="P3466">
        <v>-0.98112840000000001</v>
      </c>
      <c r="Q3466">
        <v>0.1880955</v>
      </c>
      <c r="R3466">
        <v>4.4804999999999998E-2</v>
      </c>
      <c r="S3466">
        <v>-3.1271209999999998</v>
      </c>
      <c r="T3466">
        <v>-0.22713269999999999</v>
      </c>
      <c r="U3466">
        <v>-0.53367609999999999</v>
      </c>
      <c r="V3466">
        <v>3.6204470000000002E-2</v>
      </c>
      <c r="W3466">
        <v>0.20165150000000001</v>
      </c>
      <c r="X3466">
        <v>0.97878799999999999</v>
      </c>
      <c r="Y3466">
        <v>-0.177118</v>
      </c>
      <c r="Z3466">
        <v>-8.1845689999999992E-3</v>
      </c>
      <c r="AA3466">
        <v>0.98415560000000002</v>
      </c>
      <c r="AB3466">
        <v>36</v>
      </c>
      <c r="AC3466">
        <v>-15.0571</v>
      </c>
      <c r="AD3466">
        <v>-1.119473367895</v>
      </c>
      <c r="AE3466">
        <v>-2.6347999999999798</v>
      </c>
      <c r="AF3466">
        <v>-2.7642987870442699</v>
      </c>
      <c r="AG3466">
        <v>-1.119473367895</v>
      </c>
      <c r="AH3466">
        <v>14.950941910887799</v>
      </c>
      <c r="AI3466">
        <v>94.211005576109002</v>
      </c>
      <c r="AJ3466">
        <v>100.475194968785</v>
      </c>
      <c r="AK3466">
        <v>15.2454987595757</v>
      </c>
      <c r="AL3466">
        <v>78.366449342888998</v>
      </c>
      <c r="AM3466">
        <v>87.881647441752406</v>
      </c>
      <c r="AN3466">
        <v>1.00000002002211</v>
      </c>
    </row>
    <row r="3467" spans="1:40" x14ac:dyDescent="0.25">
      <c r="A3467" t="str">
        <f>"20190303162619880"</f>
        <v>20190303162619880</v>
      </c>
      <c r="B3467" t="str">
        <f>"1551601579866553"</f>
        <v>1551601579866553</v>
      </c>
      <c r="C3467" t="s">
        <v>40</v>
      </c>
      <c r="D3467">
        <v>5.1230399999999996</v>
      </c>
      <c r="E3467">
        <v>0.41538789999999998</v>
      </c>
      <c r="F3467" t="s">
        <v>41</v>
      </c>
      <c r="G3467">
        <v>-262.91800000000001</v>
      </c>
      <c r="H3467" s="1">
        <v>-3.2180770000000002E-6</v>
      </c>
      <c r="I3467">
        <v>138.50219999999999</v>
      </c>
      <c r="J3467">
        <v>-248.21379999999999</v>
      </c>
      <c r="K3467">
        <v>1.1195850000000001</v>
      </c>
      <c r="L3467">
        <v>141.15209999999999</v>
      </c>
      <c r="M3467">
        <v>-0.99982389999999999</v>
      </c>
      <c r="N3467">
        <v>-1.397489E-2</v>
      </c>
      <c r="O3467">
        <v>1.2527E-2</v>
      </c>
      <c r="P3467">
        <v>-0.9820546</v>
      </c>
      <c r="Q3467">
        <v>0.182615</v>
      </c>
      <c r="R3467">
        <v>4.712214E-2</v>
      </c>
      <c r="S3467">
        <v>-3.125702</v>
      </c>
      <c r="T3467">
        <v>-0.22709489999999999</v>
      </c>
      <c r="U3467">
        <v>-0.53546139999999998</v>
      </c>
      <c r="V3467">
        <v>3.554479E-2</v>
      </c>
      <c r="W3467">
        <v>0.1961976</v>
      </c>
      <c r="X3467">
        <v>0.97991989999999995</v>
      </c>
      <c r="Y3467">
        <v>-0.18060960000000001</v>
      </c>
      <c r="Z3467">
        <v>-8.5073319999999994E-3</v>
      </c>
      <c r="AA3467">
        <v>0.98351809999999995</v>
      </c>
      <c r="AB3467">
        <v>36</v>
      </c>
      <c r="AC3467">
        <v>-14.7042</v>
      </c>
      <c r="AD3467">
        <v>-1.119588218077</v>
      </c>
      <c r="AE3467">
        <v>-2.6499000000000001</v>
      </c>
      <c r="AF3467">
        <v>-2.8180858442110002</v>
      </c>
      <c r="AG3467">
        <v>-1.119588218077</v>
      </c>
      <c r="AH3467">
        <v>14.5879355050828</v>
      </c>
      <c r="AI3467">
        <v>94.309343538149705</v>
      </c>
      <c r="AJ3467">
        <v>100.933672677977</v>
      </c>
      <c r="AK3467">
        <v>14.8997633505991</v>
      </c>
      <c r="AL3467">
        <v>78.6853071175357</v>
      </c>
      <c r="AM3467">
        <v>87.922611882409598</v>
      </c>
      <c r="AN3467">
        <v>0.99999997037895605</v>
      </c>
    </row>
    <row r="3468" spans="1:40" x14ac:dyDescent="0.25">
      <c r="A3468" t="str">
        <f>"20190303162619899"</f>
        <v>20190303162619899</v>
      </c>
      <c r="B3468" t="str">
        <f>"1551601579887050"</f>
        <v>1551601579887050</v>
      </c>
      <c r="C3468" t="s">
        <v>40</v>
      </c>
      <c r="D3468">
        <v>5.1053920000000002</v>
      </c>
      <c r="E3468">
        <v>0.41526580000000002</v>
      </c>
      <c r="F3468" t="s">
        <v>41</v>
      </c>
      <c r="G3468">
        <v>-263.21469999999999</v>
      </c>
      <c r="H3468" s="1">
        <v>-3.0723650000000001E-6</v>
      </c>
      <c r="I3468">
        <v>138.6061</v>
      </c>
      <c r="J3468">
        <v>-248.55680000000001</v>
      </c>
      <c r="K3468">
        <v>1.1196619999999999</v>
      </c>
      <c r="L3468">
        <v>141.1576</v>
      </c>
      <c r="M3468">
        <v>-0.99980659999999999</v>
      </c>
      <c r="N3468">
        <v>-1.397321E-2</v>
      </c>
      <c r="O3468">
        <v>1.384173E-2</v>
      </c>
      <c r="P3468">
        <v>-0.9818829</v>
      </c>
      <c r="Q3468">
        <v>0.18324460000000001</v>
      </c>
      <c r="R3468">
        <v>4.8245370000000003E-2</v>
      </c>
      <c r="S3468">
        <v>-3.1236109999999999</v>
      </c>
      <c r="T3468">
        <v>-0.23313130000000001</v>
      </c>
      <c r="U3468">
        <v>-0.5301361</v>
      </c>
      <c r="V3468">
        <v>3.5347709999999997E-2</v>
      </c>
      <c r="W3468">
        <v>0.19683059999999999</v>
      </c>
      <c r="X3468">
        <v>0.97980009999999995</v>
      </c>
      <c r="Y3468">
        <v>-0.18035180000000001</v>
      </c>
      <c r="Z3468">
        <v>-8.7773529999999999E-3</v>
      </c>
      <c r="AA3468">
        <v>0.98356299999999997</v>
      </c>
      <c r="AB3468">
        <v>36</v>
      </c>
      <c r="AC3468">
        <v>-14.6578999999999</v>
      </c>
      <c r="AD3468">
        <v>-1.1196650723649999</v>
      </c>
      <c r="AE3468">
        <v>-2.5514999999999999</v>
      </c>
      <c r="AF3468">
        <v>-2.7386562032302</v>
      </c>
      <c r="AG3468">
        <v>-1.1196650723649999</v>
      </c>
      <c r="AH3468">
        <v>14.538837187469101</v>
      </c>
      <c r="AI3468">
        <v>94.327953399510605</v>
      </c>
      <c r="AJ3468">
        <v>100.667708614815</v>
      </c>
      <c r="AK3468">
        <v>14.8368350546031</v>
      </c>
      <c r="AL3468">
        <v>78.6483178644324</v>
      </c>
      <c r="AM3468">
        <v>87.933867688552397</v>
      </c>
      <c r="AN3468">
        <v>0.99999999082930702</v>
      </c>
    </row>
    <row r="3469" spans="1:40" x14ac:dyDescent="0.25">
      <c r="A3469" t="str">
        <f>"20190303162619921"</f>
        <v>20190303162619921</v>
      </c>
      <c r="B3469" t="str">
        <f>"1551601579906570"</f>
        <v>1551601579906570</v>
      </c>
      <c r="C3469" t="s">
        <v>40</v>
      </c>
      <c r="D3469">
        <v>5.0950680000000004</v>
      </c>
      <c r="E3469">
        <v>0.41532279999999999</v>
      </c>
      <c r="F3469" t="s">
        <v>41</v>
      </c>
      <c r="G3469">
        <v>-263.94850000000002</v>
      </c>
      <c r="H3469" s="1">
        <v>-2.7664060000000001E-6</v>
      </c>
      <c r="I3469">
        <v>138.55619999999999</v>
      </c>
      <c r="J3469">
        <v>-248.9033</v>
      </c>
      <c r="K3469">
        <v>1.119734</v>
      </c>
      <c r="L3469">
        <v>141.16370000000001</v>
      </c>
      <c r="M3469">
        <v>-0.99978829999999996</v>
      </c>
      <c r="N3469">
        <v>-1.3971259999999999E-2</v>
      </c>
      <c r="O3469">
        <v>1.5110480000000001E-2</v>
      </c>
      <c r="P3469">
        <v>-0.98130320000000004</v>
      </c>
      <c r="Q3469">
        <v>0.18612110000000001</v>
      </c>
      <c r="R3469">
        <v>4.9025270000000003E-2</v>
      </c>
      <c r="S3469">
        <v>-3.1237339999999998</v>
      </c>
      <c r="T3469">
        <v>-0.2272351</v>
      </c>
      <c r="U3469">
        <v>-0.52795409999999998</v>
      </c>
      <c r="V3469">
        <v>3.487005E-2</v>
      </c>
      <c r="W3469">
        <v>0.19970399999999999</v>
      </c>
      <c r="X3469">
        <v>0.97923559999999998</v>
      </c>
      <c r="Y3469">
        <v>-0.1809499</v>
      </c>
      <c r="Z3469">
        <v>-8.6827580000000005E-3</v>
      </c>
      <c r="AA3469">
        <v>0.98345400000000005</v>
      </c>
      <c r="AB3469">
        <v>36</v>
      </c>
      <c r="AC3469">
        <v>-15.045199999999999</v>
      </c>
      <c r="AD3469">
        <v>-1.1197367664060001</v>
      </c>
      <c r="AE3469">
        <v>-2.6075000000000101</v>
      </c>
      <c r="AF3469">
        <v>-2.8194031711777199</v>
      </c>
      <c r="AG3469">
        <v>-1.1197367664060001</v>
      </c>
      <c r="AH3469">
        <v>14.9238241534302</v>
      </c>
      <c r="AI3469">
        <v>94.2165611207555</v>
      </c>
      <c r="AJ3469">
        <v>100.698210768745</v>
      </c>
      <c r="AK3469">
        <v>15.229030567642599</v>
      </c>
      <c r="AL3469">
        <v>78.480349517738901</v>
      </c>
      <c r="AM3469">
        <v>87.9605900077607</v>
      </c>
      <c r="AN3469">
        <v>0.99999998415518099</v>
      </c>
    </row>
    <row r="3470" spans="1:40" x14ac:dyDescent="0.25">
      <c r="A3470" t="str">
        <f>"20190303162619944"</f>
        <v>20190303162619944</v>
      </c>
      <c r="B3470" t="str">
        <f>"1551601579936826"</f>
        <v>1551601579936826</v>
      </c>
      <c r="C3470" t="s">
        <v>40</v>
      </c>
      <c r="D3470">
        <v>5.0553350000000004</v>
      </c>
      <c r="E3470">
        <v>0.41516750000000002</v>
      </c>
      <c r="F3470" t="s">
        <v>41</v>
      </c>
      <c r="G3470">
        <v>-265.23610000000002</v>
      </c>
      <c r="H3470" s="1">
        <v>-2.2379199999999999E-6</v>
      </c>
      <c r="I3470">
        <v>138.42140000000001</v>
      </c>
      <c r="J3470">
        <v>-249.28319999999999</v>
      </c>
      <c r="K3470">
        <v>1.1198109999999999</v>
      </c>
      <c r="L3470">
        <v>141.17080000000001</v>
      </c>
      <c r="M3470">
        <v>-0.99976770000000004</v>
      </c>
      <c r="N3470">
        <v>-1.396887E-2</v>
      </c>
      <c r="O3470">
        <v>1.6412110000000001E-2</v>
      </c>
      <c r="P3470">
        <v>-0.980661</v>
      </c>
      <c r="Q3470">
        <v>0.1892047</v>
      </c>
      <c r="R3470">
        <v>5.0056639999999999E-2</v>
      </c>
      <c r="S3470">
        <v>-3.123993</v>
      </c>
      <c r="T3470">
        <v>-0.21417269999999999</v>
      </c>
      <c r="U3470">
        <v>-0.52450559999999902</v>
      </c>
      <c r="V3470">
        <v>3.4611080000000002E-2</v>
      </c>
      <c r="W3470">
        <v>0.20278350000000001</v>
      </c>
      <c r="X3470">
        <v>0.97861180000000003</v>
      </c>
      <c r="Y3470">
        <v>-0.18121899999999999</v>
      </c>
      <c r="Z3470">
        <v>-8.3270299999999992E-3</v>
      </c>
      <c r="AA3470">
        <v>0.98340749999999999</v>
      </c>
      <c r="AB3470">
        <v>36</v>
      </c>
      <c r="AC3470">
        <v>-15.9529</v>
      </c>
      <c r="AD3470">
        <v>-1.1198132379200001</v>
      </c>
      <c r="AE3470">
        <v>-2.7494000000000001</v>
      </c>
      <c r="AF3470">
        <v>-2.9965368962625001</v>
      </c>
      <c r="AG3470">
        <v>-1.1198132379200001</v>
      </c>
      <c r="AH3470">
        <v>15.8298739574465</v>
      </c>
      <c r="AI3470">
        <v>93.976014565353296</v>
      </c>
      <c r="AJ3470">
        <v>100.71904897734601</v>
      </c>
      <c r="AK3470">
        <v>16.1498645371138</v>
      </c>
      <c r="AL3470">
        <v>78.300222842079407</v>
      </c>
      <c r="AM3470">
        <v>87.974434213939702</v>
      </c>
      <c r="AN3470">
        <v>1.0000000649151199</v>
      </c>
    </row>
    <row r="3471" spans="1:40" x14ac:dyDescent="0.25">
      <c r="A3471" t="str">
        <f>"20190303162619968"</f>
        <v>20190303162619968</v>
      </c>
      <c r="B3471" t="str">
        <f>"1551601579957321"</f>
        <v>1551601579957321</v>
      </c>
      <c r="C3471" t="s">
        <v>40</v>
      </c>
      <c r="D3471">
        <v>5.1407699999999998</v>
      </c>
      <c r="E3471">
        <v>0.41521609999999998</v>
      </c>
      <c r="F3471" t="s">
        <v>41</v>
      </c>
      <c r="G3471">
        <v>-266.69839999999999</v>
      </c>
      <c r="H3471" s="1">
        <v>-1.6385540000000001E-6</v>
      </c>
      <c r="I3471">
        <v>138.26400000000001</v>
      </c>
      <c r="J3471">
        <v>-249.66200000000001</v>
      </c>
      <c r="K3471">
        <v>1.119896</v>
      </c>
      <c r="L3471">
        <v>141.17830000000001</v>
      </c>
      <c r="M3471">
        <v>-0.99974739999999995</v>
      </c>
      <c r="N3471">
        <v>-1.3966320000000001E-2</v>
      </c>
      <c r="O3471">
        <v>1.7618419999999999E-2</v>
      </c>
      <c r="P3471">
        <v>-0.98031239999999997</v>
      </c>
      <c r="Q3471">
        <v>0.190633</v>
      </c>
      <c r="R3471">
        <v>5.145069E-2</v>
      </c>
      <c r="S3471">
        <v>-3.1245729999999998</v>
      </c>
      <c r="T3471">
        <v>-0.20091329999999999</v>
      </c>
      <c r="U3471">
        <v>-0.5215149</v>
      </c>
      <c r="V3471">
        <v>3.4796499999999897E-2</v>
      </c>
      <c r="W3471">
        <v>0.2042107</v>
      </c>
      <c r="X3471">
        <v>0.97830830000000002</v>
      </c>
      <c r="Y3471">
        <v>-0.1815165</v>
      </c>
      <c r="Z3471">
        <v>-7.9480100000000001E-3</v>
      </c>
      <c r="AA3471">
        <v>0.9833558</v>
      </c>
      <c r="AB3471">
        <v>36</v>
      </c>
      <c r="AC3471">
        <v>-17.036399999999901</v>
      </c>
      <c r="AD3471">
        <v>-1.119897638554</v>
      </c>
      <c r="AE3471">
        <v>-2.9142999999999901</v>
      </c>
      <c r="AF3471">
        <v>-3.20059414771714</v>
      </c>
      <c r="AG3471">
        <v>-1.119897638554</v>
      </c>
      <c r="AH3471">
        <v>16.911405422141002</v>
      </c>
      <c r="AI3471">
        <v>93.722783363973804</v>
      </c>
      <c r="AJ3471">
        <v>100.716848778711</v>
      </c>
      <c r="AK3471">
        <v>17.248002985020001</v>
      </c>
      <c r="AL3471">
        <v>78.216701532734405</v>
      </c>
      <c r="AM3471">
        <v>87.962960654303899</v>
      </c>
      <c r="AN3471">
        <v>0.999999968127814</v>
      </c>
    </row>
    <row r="3472" spans="1:40" x14ac:dyDescent="0.25">
      <c r="A3472" t="str">
        <f>"20190303162619989"</f>
        <v>20190303162619989</v>
      </c>
      <c r="B3472" t="str">
        <f>"1551601579976842"</f>
        <v>1551601579976842</v>
      </c>
      <c r="C3472" t="s">
        <v>40</v>
      </c>
      <c r="D3472">
        <v>5.0328839999999904</v>
      </c>
      <c r="E3472">
        <v>0.45940880000000001</v>
      </c>
      <c r="F3472" t="s">
        <v>41</v>
      </c>
      <c r="G3472">
        <v>-267.46519999999998</v>
      </c>
      <c r="H3472" s="1">
        <v>-1.313875E-6</v>
      </c>
      <c r="I3472">
        <v>138.2397</v>
      </c>
      <c r="J3472">
        <v>-249.99889999999999</v>
      </c>
      <c r="K3472">
        <v>1.1199669999999999</v>
      </c>
      <c r="L3472">
        <v>141.18520000000001</v>
      </c>
      <c r="M3472">
        <v>-0.99972910000000004</v>
      </c>
      <c r="N3472">
        <v>-1.396386E-2</v>
      </c>
      <c r="O3472">
        <v>1.8619440000000001E-2</v>
      </c>
      <c r="P3472">
        <v>-0.98001719999999903</v>
      </c>
      <c r="Q3472">
        <v>0.19186239999999999</v>
      </c>
      <c r="R3472">
        <v>5.2487390000000002E-2</v>
      </c>
      <c r="S3472">
        <v>-3.1255649999999999</v>
      </c>
      <c r="T3472">
        <v>-0.19661139999999999</v>
      </c>
      <c r="U3472">
        <v>-0.51588440000000002</v>
      </c>
      <c r="V3472">
        <v>3.482594E-2</v>
      </c>
      <c r="W3472">
        <v>0.2054396</v>
      </c>
      <c r="X3472">
        <v>0.97804999999999997</v>
      </c>
      <c r="Y3472">
        <v>-0.1807455</v>
      </c>
      <c r="Z3472">
        <v>-7.8178129999999998E-3</v>
      </c>
      <c r="AA3472">
        <v>0.98349880000000001</v>
      </c>
      <c r="AB3472">
        <v>36</v>
      </c>
      <c r="AC3472">
        <v>-17.466299999999901</v>
      </c>
      <c r="AD3472">
        <v>-1.1199683138749901</v>
      </c>
      <c r="AE3472">
        <v>-2.9455</v>
      </c>
      <c r="AF3472">
        <v>-3.25721174212083</v>
      </c>
      <c r="AG3472">
        <v>-1.1199683138749901</v>
      </c>
      <c r="AH3472">
        <v>17.339102738632899</v>
      </c>
      <c r="AI3472">
        <v>93.632357487467203</v>
      </c>
      <c r="AJ3472">
        <v>100.639222140652</v>
      </c>
      <c r="AK3472">
        <v>17.677902622708402</v>
      </c>
      <c r="AL3472">
        <v>78.144766449133698</v>
      </c>
      <c r="AM3472">
        <v>87.960700670256003</v>
      </c>
      <c r="AN3472">
        <v>1.0000000389225201</v>
      </c>
    </row>
    <row r="3473" spans="1:40" x14ac:dyDescent="0.25">
      <c r="A3473" t="str">
        <f>"20190303162620012"</f>
        <v>20190303162620012</v>
      </c>
      <c r="B3473" t="str">
        <f>"1551601580007097"</f>
        <v>1551601580007097</v>
      </c>
      <c r="C3473" t="s">
        <v>40</v>
      </c>
      <c r="D3473">
        <v>4.968458</v>
      </c>
      <c r="E3473">
        <v>0.4728135</v>
      </c>
      <c r="F3473" t="s">
        <v>47</v>
      </c>
      <c r="G3473">
        <v>-293.31150000000002</v>
      </c>
      <c r="H3473" s="1">
        <v>-8.3949119999999994E-6</v>
      </c>
      <c r="I3473">
        <v>138.93199999999999</v>
      </c>
      <c r="J3473">
        <v>-250.37350000000001</v>
      </c>
      <c r="K3473">
        <v>1.120058</v>
      </c>
      <c r="L3473">
        <v>141.19329999999999</v>
      </c>
      <c r="M3473">
        <v>-0.99970950000000003</v>
      </c>
      <c r="N3473">
        <v>-1.396099E-2</v>
      </c>
      <c r="O3473">
        <v>1.965335E-2</v>
      </c>
      <c r="P3473">
        <v>-0.97978089999999995</v>
      </c>
      <c r="Q3473">
        <v>0.1928444</v>
      </c>
      <c r="R3473">
        <v>5.3299930000000002E-2</v>
      </c>
      <c r="S3473">
        <v>-3.0853730000000001</v>
      </c>
      <c r="T3473">
        <v>-7.9781409999999997E-2</v>
      </c>
      <c r="U3473">
        <v>-0.16050719999999999</v>
      </c>
      <c r="V3473">
        <v>3.4591360000000002E-2</v>
      </c>
      <c r="W3473">
        <v>0.20642369999999999</v>
      </c>
      <c r="X3473">
        <v>0.97785109999999997</v>
      </c>
      <c r="Y3473">
        <v>-7.1532269999999995E-2</v>
      </c>
      <c r="Z3473">
        <v>-1.6575229999999999E-3</v>
      </c>
      <c r="AA3473">
        <v>0.99743689999999996</v>
      </c>
      <c r="AB3473">
        <v>36</v>
      </c>
      <c r="AC3473">
        <v>-42.938000000000002</v>
      </c>
      <c r="AD3473">
        <v>-1.120066394912</v>
      </c>
      <c r="AE3473">
        <v>-2.2612999999999701</v>
      </c>
      <c r="AF3473">
        <v>-3.1027154032176401</v>
      </c>
      <c r="AG3473">
        <v>-1.120066394912</v>
      </c>
      <c r="AH3473">
        <v>42.8561773025177</v>
      </c>
      <c r="AI3473">
        <v>91.493204954499703</v>
      </c>
      <c r="AJ3473">
        <v>94.140893629856095</v>
      </c>
      <c r="AK3473">
        <v>42.982942251400303</v>
      </c>
      <c r="AL3473">
        <v>78.087146683860595</v>
      </c>
      <c r="AM3473">
        <v>87.9740137991854</v>
      </c>
      <c r="AN3473">
        <v>1.0000000399397699</v>
      </c>
    </row>
    <row r="3474" spans="1:40" x14ac:dyDescent="0.25">
      <c r="A3474" t="str">
        <f>"20190303162620036"</f>
        <v>20190303162620036</v>
      </c>
      <c r="B3474" t="str">
        <f>"1551601580026617"</f>
        <v>1551601580026617</v>
      </c>
      <c r="C3474" t="s">
        <v>40</v>
      </c>
      <c r="D3474">
        <v>5.0257639999999997</v>
      </c>
      <c r="E3474">
        <v>0.47564459999999997</v>
      </c>
      <c r="F3474" t="s">
        <v>47</v>
      </c>
      <c r="G3474">
        <v>-319.82659999999998</v>
      </c>
      <c r="H3474" s="1">
        <v>-5.5558369999999998E-6</v>
      </c>
      <c r="I3474">
        <v>140.03579999999999</v>
      </c>
      <c r="J3474">
        <v>-250.74350000000001</v>
      </c>
      <c r="K3474">
        <v>1.1201410000000001</v>
      </c>
      <c r="L3474">
        <v>141.20160000000001</v>
      </c>
      <c r="M3474">
        <v>-0.99969070000000004</v>
      </c>
      <c r="N3474">
        <v>-1.395798E-2</v>
      </c>
      <c r="O3474">
        <v>2.0590710000000002E-2</v>
      </c>
      <c r="P3474">
        <v>-0.97943800000000003</v>
      </c>
      <c r="Q3474">
        <v>0.19445029999999999</v>
      </c>
      <c r="R3474">
        <v>5.3764590000000001E-2</v>
      </c>
      <c r="S3474">
        <v>-3.0744630000000002</v>
      </c>
      <c r="T3474">
        <v>-4.9581529999999999E-2</v>
      </c>
      <c r="U3474">
        <v>-5.1239010000000001E-2</v>
      </c>
      <c r="V3474">
        <v>3.4105740000000002E-2</v>
      </c>
      <c r="W3474">
        <v>0.2080303</v>
      </c>
      <c r="X3474">
        <v>0.97752760000000005</v>
      </c>
      <c r="Y3474">
        <v>-3.7240929999999998E-2</v>
      </c>
      <c r="Z3474">
        <v>-6.0483300000000004E-4</v>
      </c>
      <c r="AA3474">
        <v>0.99930609999999997</v>
      </c>
      <c r="AB3474">
        <v>36</v>
      </c>
      <c r="AC3474">
        <v>-69.083099999999902</v>
      </c>
      <c r="AD3474">
        <v>-1.1201465558370001</v>
      </c>
      <c r="AE3474">
        <v>-1.1658000000000099</v>
      </c>
      <c r="AF3474">
        <v>-2.58748116255394</v>
      </c>
      <c r="AG3474">
        <v>-1.1201465558370001</v>
      </c>
      <c r="AH3474">
        <v>69.026301283506697</v>
      </c>
      <c r="AI3474">
        <v>90.929051739237494</v>
      </c>
      <c r="AJ3474">
        <v>92.146752279419402</v>
      </c>
      <c r="AK3474">
        <v>69.083862485783001</v>
      </c>
      <c r="AL3474">
        <v>77.993052379922503</v>
      </c>
      <c r="AM3474">
        <v>88.001772405807699</v>
      </c>
      <c r="AN3474">
        <v>1.0000000079903899</v>
      </c>
    </row>
    <row r="3475" spans="1:40" x14ac:dyDescent="0.25">
      <c r="A3475" t="str">
        <f>"20190303162620057"</f>
        <v>20190303162620057</v>
      </c>
      <c r="B3475" t="str">
        <f>"1551601580047113"</f>
        <v>1551601580047113</v>
      </c>
      <c r="C3475" t="s">
        <v>40</v>
      </c>
      <c r="D3475">
        <v>4.9660039999999999</v>
      </c>
      <c r="E3475">
        <v>0.47726010000000002</v>
      </c>
      <c r="F3475" t="s">
        <v>41</v>
      </c>
      <c r="G3475">
        <v>-338.58870000000002</v>
      </c>
      <c r="H3475" s="1">
        <v>-8.6041669999999997E-7</v>
      </c>
      <c r="I3475">
        <v>140.4162</v>
      </c>
      <c r="J3475">
        <v>-251.08949999999999</v>
      </c>
      <c r="K3475">
        <v>1.1202289999999999</v>
      </c>
      <c r="L3475">
        <v>141.20949999999999</v>
      </c>
      <c r="M3475">
        <v>-0.99967399999999995</v>
      </c>
      <c r="N3475">
        <v>-1.3954980000000001E-2</v>
      </c>
      <c r="O3475">
        <v>2.1381509999999999E-2</v>
      </c>
      <c r="P3475">
        <v>-0.97932090000000005</v>
      </c>
      <c r="Q3475">
        <v>0.19493930000000001</v>
      </c>
      <c r="R3475">
        <v>5.4124239999999997E-2</v>
      </c>
      <c r="S3475">
        <v>-3.0722659999999999</v>
      </c>
      <c r="T3475">
        <v>-3.9175389999999997E-2</v>
      </c>
      <c r="U3475">
        <v>-2.7465819999999998E-2</v>
      </c>
      <c r="V3475">
        <v>3.3652219999999997E-2</v>
      </c>
      <c r="W3475">
        <v>0.20852229999999999</v>
      </c>
      <c r="X3475">
        <v>0.97743849999999999</v>
      </c>
      <c r="Y3475">
        <v>-3.0315080000000001E-2</v>
      </c>
      <c r="Z3475">
        <v>-3.790407E-4</v>
      </c>
      <c r="AA3475">
        <v>0.99954030000000005</v>
      </c>
      <c r="AB3475">
        <v>36</v>
      </c>
      <c r="AC3475">
        <v>-87.499200000000002</v>
      </c>
      <c r="AD3475">
        <v>-1.1202298604167</v>
      </c>
      <c r="AE3475">
        <v>-0.79329999999998702</v>
      </c>
      <c r="AF3475">
        <v>-2.6637292294861101</v>
      </c>
      <c r="AG3475">
        <v>-1.1202298604167</v>
      </c>
      <c r="AH3475">
        <v>87.447896825117496</v>
      </c>
      <c r="AI3475">
        <v>90.733593183871307</v>
      </c>
      <c r="AJ3475">
        <v>91.744733390518803</v>
      </c>
      <c r="AK3475">
        <v>87.495628619289207</v>
      </c>
      <c r="AL3475">
        <v>77.9642309636573</v>
      </c>
      <c r="AM3475">
        <v>88.028143071073202</v>
      </c>
      <c r="AN3475">
        <v>1.00000002139523</v>
      </c>
    </row>
    <row r="3476" spans="1:40" x14ac:dyDescent="0.25">
      <c r="A3476" t="str">
        <f>"20190303162620080"</f>
        <v>20190303162620080</v>
      </c>
      <c r="B3476" t="str">
        <f>"1551601580066632"</f>
        <v>1551601580066632</v>
      </c>
      <c r="C3476" t="s">
        <v>40</v>
      </c>
      <c r="D3476">
        <v>4.9642619999999997</v>
      </c>
      <c r="E3476">
        <v>0.47807949999999999</v>
      </c>
      <c r="F3476" t="s">
        <v>41</v>
      </c>
      <c r="G3476">
        <v>-348.45310000000001</v>
      </c>
      <c r="H3476" s="1">
        <v>-9.4922819999999997E-7</v>
      </c>
      <c r="I3476">
        <v>140.75620000000001</v>
      </c>
      <c r="J3476">
        <v>-251.44669999999999</v>
      </c>
      <c r="K3476">
        <v>1.120328</v>
      </c>
      <c r="L3476">
        <v>141.21789999999999</v>
      </c>
      <c r="M3476">
        <v>-0.99965859999999995</v>
      </c>
      <c r="N3476">
        <v>-1.3951720000000001E-2</v>
      </c>
      <c r="O3476">
        <v>2.2096709999999999E-2</v>
      </c>
      <c r="P3476">
        <v>-0.9792767</v>
      </c>
      <c r="Q3476">
        <v>0.1950047</v>
      </c>
      <c r="R3476">
        <v>5.4688250000000001E-2</v>
      </c>
      <c r="S3476">
        <v>-3.071167</v>
      </c>
      <c r="T3476">
        <v>-3.5335779999999997E-2</v>
      </c>
      <c r="U3476">
        <v>-1.429749E-2</v>
      </c>
      <c r="V3476">
        <v>3.347046E-2</v>
      </c>
      <c r="W3476">
        <v>0.20859220000000001</v>
      </c>
      <c r="X3476">
        <v>0.97742980000000002</v>
      </c>
      <c r="Y3476">
        <v>-2.6748839999999999E-2</v>
      </c>
      <c r="Z3476">
        <v>-2.863931E-4</v>
      </c>
      <c r="AA3476">
        <v>0.99964209999999998</v>
      </c>
      <c r="AB3476">
        <v>36</v>
      </c>
      <c r="AC3476">
        <v>-97.006399999999999</v>
      </c>
      <c r="AD3476">
        <v>-1.1203289492282</v>
      </c>
      <c r="AE3476">
        <v>-0.46169999999997902</v>
      </c>
      <c r="AF3476">
        <v>-2.6049704955413402</v>
      </c>
      <c r="AG3476">
        <v>-1.1203289492282</v>
      </c>
      <c r="AH3476">
        <v>96.959574899995204</v>
      </c>
      <c r="AI3476">
        <v>90.661761493102503</v>
      </c>
      <c r="AJ3476">
        <v>91.538970439740098</v>
      </c>
      <c r="AK3476">
        <v>97.001031814228199</v>
      </c>
      <c r="AL3476">
        <v>77.960135626579998</v>
      </c>
      <c r="AM3476">
        <v>88.038767543213694</v>
      </c>
      <c r="AN3476">
        <v>0.99999999576074505</v>
      </c>
    </row>
    <row r="3477" spans="1:40" x14ac:dyDescent="0.25">
      <c r="A3477" t="str">
        <f>"20190303162620101"</f>
        <v>20190303162620101</v>
      </c>
      <c r="B3477" t="str">
        <f>"1551601580096889"</f>
        <v>1551601580096889</v>
      </c>
      <c r="C3477" t="s">
        <v>40</v>
      </c>
      <c r="D3477">
        <v>4.8139940000000001</v>
      </c>
      <c r="E3477">
        <v>0.47883039999999999</v>
      </c>
      <c r="F3477" t="s">
        <v>41</v>
      </c>
      <c r="G3477">
        <v>-353.9563</v>
      </c>
      <c r="H3477" s="1">
        <v>-2.9328769999999999E-6</v>
      </c>
      <c r="I3477">
        <v>140.96109999999999</v>
      </c>
      <c r="J3477">
        <v>-251.79159999999999</v>
      </c>
      <c r="K3477">
        <v>1.1204240000000001</v>
      </c>
      <c r="L3477">
        <v>141.22620000000001</v>
      </c>
      <c r="M3477">
        <v>-0.99964540000000002</v>
      </c>
      <c r="N3477">
        <v>-1.394841E-2</v>
      </c>
      <c r="O3477">
        <v>2.2687229999999999E-2</v>
      </c>
      <c r="P3477">
        <v>-0.97934569999999999</v>
      </c>
      <c r="Q3477">
        <v>0.19437760000000001</v>
      </c>
      <c r="R3477">
        <v>5.5672739999999998E-2</v>
      </c>
      <c r="S3477">
        <v>-3.0706020000000001</v>
      </c>
      <c r="T3477">
        <v>-3.3558730000000002E-2</v>
      </c>
      <c r="U3477">
        <v>-7.6904299999999998E-3</v>
      </c>
      <c r="V3477">
        <v>3.382603E-2</v>
      </c>
      <c r="W3477">
        <v>0.2079705</v>
      </c>
      <c r="X3477">
        <v>0.97755000000000003</v>
      </c>
      <c r="Y3477">
        <v>-2.5189719999999999E-2</v>
      </c>
      <c r="Z3477">
        <v>-2.4478560000000001E-4</v>
      </c>
      <c r="AA3477">
        <v>0.99968270000000004</v>
      </c>
      <c r="AB3477">
        <v>36</v>
      </c>
      <c r="AC3477">
        <v>-102.1647</v>
      </c>
      <c r="AD3477">
        <v>-1.120426932877</v>
      </c>
      <c r="AE3477">
        <v>-0.26510000000001799</v>
      </c>
      <c r="AF3477">
        <v>-2.5827804496245799</v>
      </c>
      <c r="AG3477">
        <v>-1.120426932877</v>
      </c>
      <c r="AH3477">
        <v>102.12010178756699</v>
      </c>
      <c r="AI3477">
        <v>90.628403596375804</v>
      </c>
      <c r="AJ3477">
        <v>91.448792898119393</v>
      </c>
      <c r="AK3477">
        <v>102.15890220859799</v>
      </c>
      <c r="AL3477">
        <v>77.996554766842706</v>
      </c>
      <c r="AM3477">
        <v>88.018192641717107</v>
      </c>
      <c r="AN3477">
        <v>0.99999996583790496</v>
      </c>
    </row>
    <row r="3478" spans="1:40" x14ac:dyDescent="0.25">
      <c r="A3478" t="str">
        <f>"20190303162620124"</f>
        <v>20190303162620124</v>
      </c>
      <c r="B3478" t="str">
        <f>"1551601580117385"</f>
        <v>1551601580117385</v>
      </c>
      <c r="C3478" t="s">
        <v>40</v>
      </c>
      <c r="D3478">
        <v>5.0839410000000003</v>
      </c>
      <c r="E3478">
        <v>0.47916229999999999</v>
      </c>
      <c r="F3478" t="s">
        <v>41</v>
      </c>
      <c r="G3478">
        <v>-351.46859999999998</v>
      </c>
      <c r="H3478" s="1">
        <v>-4.059628E-6</v>
      </c>
      <c r="I3478">
        <v>141.21379999999999</v>
      </c>
      <c r="J3478">
        <v>-252.14859999999999</v>
      </c>
      <c r="K3478">
        <v>1.1205050000000001</v>
      </c>
      <c r="L3478">
        <v>141.23500000000001</v>
      </c>
      <c r="M3478">
        <v>-0.99963329999999995</v>
      </c>
      <c r="N3478">
        <v>-1.3944959999999999E-2</v>
      </c>
      <c r="O3478">
        <v>2.3212119999999999E-2</v>
      </c>
      <c r="P3478">
        <v>-0.97943270000000004</v>
      </c>
      <c r="Q3478">
        <v>0.19340740000000001</v>
      </c>
      <c r="R3478">
        <v>5.7490359999999997E-2</v>
      </c>
      <c r="S3478">
        <v>-3.0701450000000001</v>
      </c>
      <c r="T3478">
        <v>-3.4510249999999999E-2</v>
      </c>
      <c r="U3478">
        <v>-3.8146970000000002E-4</v>
      </c>
      <c r="V3478">
        <v>3.507851E-2</v>
      </c>
      <c r="W3478">
        <v>0.20700399999999999</v>
      </c>
      <c r="X3478">
        <v>0.977711</v>
      </c>
      <c r="Y3478">
        <v>-2.3335209999999999E-2</v>
      </c>
      <c r="Z3478">
        <v>-2.3103079999999999E-4</v>
      </c>
      <c r="AA3478">
        <v>0.9997277</v>
      </c>
      <c r="AB3478">
        <v>36</v>
      </c>
      <c r="AC3478">
        <v>-99.32</v>
      </c>
      <c r="AD3478">
        <v>-1.1205090596279901</v>
      </c>
      <c r="AE3478">
        <v>-2.1200000000021601E-2</v>
      </c>
      <c r="AF3478">
        <v>-2.3265501167826099</v>
      </c>
      <c r="AG3478">
        <v>-1.1205090596279901</v>
      </c>
      <c r="AH3478">
        <v>99.280105822968196</v>
      </c>
      <c r="AI3478">
        <v>90.646454745404299</v>
      </c>
      <c r="AJ3478">
        <v>91.342435204745698</v>
      </c>
      <c r="AK3478">
        <v>99.313683791401004</v>
      </c>
      <c r="AL3478">
        <v>78.053163223781596</v>
      </c>
      <c r="AM3478">
        <v>87.9452119799126</v>
      </c>
      <c r="AN3478">
        <v>0.99999997870040902</v>
      </c>
    </row>
    <row r="3479" spans="1:40" x14ac:dyDescent="0.25">
      <c r="A3479" t="str">
        <f>"20190303162620145"</f>
        <v>20190303162620145</v>
      </c>
      <c r="B3479" t="str">
        <f>"1551601580136904"</f>
        <v>1551601580136904</v>
      </c>
      <c r="C3479" t="s">
        <v>40</v>
      </c>
      <c r="D3479">
        <v>4.9665010000000001</v>
      </c>
      <c r="E3479">
        <v>0.47935319999999998</v>
      </c>
      <c r="F3479" t="s">
        <v>41</v>
      </c>
      <c r="G3479">
        <v>-344.11099999999999</v>
      </c>
      <c r="H3479" s="1">
        <v>-2.9884500000000002E-6</v>
      </c>
      <c r="I3479">
        <v>141.4195</v>
      </c>
      <c r="J3479">
        <v>-252.50649999999999</v>
      </c>
      <c r="K3479">
        <v>1.1205909999999999</v>
      </c>
      <c r="L3479">
        <v>141.24379999999999</v>
      </c>
      <c r="M3479">
        <v>-0.99962320000000005</v>
      </c>
      <c r="N3479">
        <v>-1.394161E-2</v>
      </c>
      <c r="O3479">
        <v>2.364546E-2</v>
      </c>
      <c r="P3479">
        <v>-0.97953020000000002</v>
      </c>
      <c r="Q3479">
        <v>0.19224730000000001</v>
      </c>
      <c r="R3479">
        <v>5.967803E-2</v>
      </c>
      <c r="S3479">
        <v>-3.0700229999999999</v>
      </c>
      <c r="T3479">
        <v>-3.7406439999999999E-2</v>
      </c>
      <c r="U3479">
        <v>6.1645509999999999E-3</v>
      </c>
      <c r="V3479">
        <v>3.6791560000000001E-2</v>
      </c>
      <c r="W3479">
        <v>0.2058488</v>
      </c>
      <c r="X3479">
        <v>0.97789190000000004</v>
      </c>
      <c r="Y3479">
        <v>-2.1636820000000001E-2</v>
      </c>
      <c r="Z3479">
        <v>-2.410317E-4</v>
      </c>
      <c r="AA3479">
        <v>0.99976589999999999</v>
      </c>
      <c r="AB3479">
        <v>36</v>
      </c>
      <c r="AC3479">
        <v>-91.604500000000002</v>
      </c>
      <c r="AD3479">
        <v>-1.12059398844999</v>
      </c>
      <c r="AE3479">
        <v>0.17570000000000599</v>
      </c>
      <c r="AF3479">
        <v>-1.9902923528561101</v>
      </c>
      <c r="AG3479">
        <v>-1.12059398844999</v>
      </c>
      <c r="AH3479">
        <v>91.5693350906527</v>
      </c>
      <c r="AI3479">
        <v>90.700965478189204</v>
      </c>
      <c r="AJ3479">
        <v>91.245148269813001</v>
      </c>
      <c r="AK3479">
        <v>91.597817241902803</v>
      </c>
      <c r="AL3479">
        <v>78.120807990798497</v>
      </c>
      <c r="AM3479">
        <v>87.845357633761296</v>
      </c>
      <c r="AN3479">
        <v>0.99999995771714101</v>
      </c>
    </row>
    <row r="3480" spans="1:40" x14ac:dyDescent="0.25">
      <c r="A3480" t="str">
        <f>"20190303162620170"</f>
        <v>20190303162620170</v>
      </c>
      <c r="B3480" t="str">
        <f>"1551601580157401"</f>
        <v>1551601580157401</v>
      </c>
      <c r="C3480" t="s">
        <v>40</v>
      </c>
      <c r="D3480">
        <v>4.8559199999999896</v>
      </c>
      <c r="E3480">
        <v>0.47945719999999997</v>
      </c>
      <c r="F3480" t="s">
        <v>41</v>
      </c>
      <c r="G3480">
        <v>-337.63560000000001</v>
      </c>
      <c r="H3480" s="1">
        <v>-1.63161E-6</v>
      </c>
      <c r="I3480">
        <v>141.62119999999999</v>
      </c>
      <c r="J3480">
        <v>-252.86580000000001</v>
      </c>
      <c r="K3480">
        <v>1.120679</v>
      </c>
      <c r="L3480">
        <v>141.2527</v>
      </c>
      <c r="M3480">
        <v>-0.99961520000000004</v>
      </c>
      <c r="N3480">
        <v>-1.3938229999999999E-2</v>
      </c>
      <c r="O3480">
        <v>2.398372E-2</v>
      </c>
      <c r="P3480">
        <v>-0.97960650000000005</v>
      </c>
      <c r="Q3480">
        <v>0.19140289999999999</v>
      </c>
      <c r="R3480">
        <v>6.1123499999999997E-2</v>
      </c>
      <c r="S3480">
        <v>-3.0697939999999999</v>
      </c>
      <c r="T3480">
        <v>-4.0409090000000002E-2</v>
      </c>
      <c r="U3480">
        <v>1.3610840000000001E-2</v>
      </c>
      <c r="V3480">
        <v>3.7857189999999999E-2</v>
      </c>
      <c r="W3480">
        <v>0.20500930000000001</v>
      </c>
      <c r="X3480">
        <v>0.9780276</v>
      </c>
      <c r="Y3480">
        <v>-1.9549839999999999E-2</v>
      </c>
      <c r="Z3480">
        <v>-2.4626200000000002E-4</v>
      </c>
      <c r="AA3480">
        <v>0.99980880000000005</v>
      </c>
      <c r="AB3480">
        <v>36</v>
      </c>
      <c r="AC3480">
        <v>-84.769800000000004</v>
      </c>
      <c r="AD3480">
        <v>-1.12068063161</v>
      </c>
      <c r="AE3480">
        <v>0.36849999999998301</v>
      </c>
      <c r="AF3480">
        <v>-1.6646077157980099</v>
      </c>
      <c r="AG3480">
        <v>-1.12068063161</v>
      </c>
      <c r="AH3480">
        <v>84.739439894517901</v>
      </c>
      <c r="AI3480">
        <v>90.757547422704803</v>
      </c>
      <c r="AJ3480">
        <v>91.125364196888299</v>
      </c>
      <c r="AK3480">
        <v>84.763196716276397</v>
      </c>
      <c r="AL3480">
        <v>78.169956335450905</v>
      </c>
      <c r="AM3480">
        <v>87.783319310046807</v>
      </c>
      <c r="AN3480">
        <v>0.99999998314147198</v>
      </c>
    </row>
    <row r="3481" spans="1:40" x14ac:dyDescent="0.25">
      <c r="A3481" t="str">
        <f>"20190303162620189"</f>
        <v>20190303162620189</v>
      </c>
      <c r="B3481" t="str">
        <f>"1551601580176924"</f>
        <v>1551601580176924</v>
      </c>
      <c r="C3481" t="s">
        <v>40</v>
      </c>
      <c r="D3481">
        <v>4.9655149999999999</v>
      </c>
      <c r="E3481">
        <v>0.47951179999999899</v>
      </c>
      <c r="F3481" t="s">
        <v>41</v>
      </c>
      <c r="G3481">
        <v>-333.9855</v>
      </c>
      <c r="H3481" s="1">
        <v>-3.3896690000000001E-6</v>
      </c>
      <c r="I3481">
        <v>141.7439</v>
      </c>
      <c r="J3481">
        <v>-253.2099</v>
      </c>
      <c r="K3481">
        <v>1.120763</v>
      </c>
      <c r="L3481">
        <v>141.26130000000001</v>
      </c>
      <c r="M3481">
        <v>-0.99960959999999999</v>
      </c>
      <c r="N3481">
        <v>-1.393499E-2</v>
      </c>
      <c r="O3481">
        <v>2.4220209999999999E-2</v>
      </c>
      <c r="P3481">
        <v>-0.97950269999999995</v>
      </c>
      <c r="Q3481">
        <v>0.19130839999999999</v>
      </c>
      <c r="R3481">
        <v>6.3055520000000004E-2</v>
      </c>
      <c r="S3481">
        <v>-3.0695800000000002</v>
      </c>
      <c r="T3481">
        <v>-4.2406800000000001E-2</v>
      </c>
      <c r="U3481">
        <v>1.8585210000000001E-2</v>
      </c>
      <c r="V3481">
        <v>3.9516339999999997E-2</v>
      </c>
      <c r="W3481">
        <v>0.2049173</v>
      </c>
      <c r="X3481">
        <v>0.97798130000000005</v>
      </c>
      <c r="Y3481">
        <v>-1.8165879999999999E-2</v>
      </c>
      <c r="Z3481">
        <v>-2.4906940000000001E-4</v>
      </c>
      <c r="AA3481">
        <v>0.99983500000000003</v>
      </c>
      <c r="AB3481">
        <v>36</v>
      </c>
      <c r="AC3481">
        <v>-80.775599999999997</v>
      </c>
      <c r="AD3481">
        <v>-1.1207663896690001</v>
      </c>
      <c r="AE3481">
        <v>0.48259999999998998</v>
      </c>
      <c r="AF3481">
        <v>-1.4738496897146101</v>
      </c>
      <c r="AG3481">
        <v>-1.1207663896690001</v>
      </c>
      <c r="AH3481">
        <v>80.748044656651899</v>
      </c>
      <c r="AI3481">
        <v>90.795070259152695</v>
      </c>
      <c r="AJ3481">
        <v>91.045672268319706</v>
      </c>
      <c r="AK3481">
        <v>80.769270555581599</v>
      </c>
      <c r="AL3481">
        <v>78.175342471074302</v>
      </c>
      <c r="AM3481">
        <v>87.686163794722702</v>
      </c>
      <c r="AN3481">
        <v>1.00000003205798</v>
      </c>
    </row>
    <row r="3482" spans="1:40" x14ac:dyDescent="0.25">
      <c r="A3482" t="str">
        <f>"20190303162620212"</f>
        <v>20190303162620212</v>
      </c>
      <c r="B3482" t="str">
        <f>"1551601580197417"</f>
        <v>1551601580197417</v>
      </c>
      <c r="C3482" t="s">
        <v>40</v>
      </c>
      <c r="D3482">
        <v>4.9670540000000001</v>
      </c>
      <c r="E3482">
        <v>0.47956530000000003</v>
      </c>
      <c r="F3482" t="s">
        <v>41</v>
      </c>
      <c r="G3482">
        <v>-335.80950000000001</v>
      </c>
      <c r="H3482" s="1">
        <v>-2.5716550000000001E-6</v>
      </c>
      <c r="I3482">
        <v>141.9101</v>
      </c>
      <c r="J3482">
        <v>-253.56209999999999</v>
      </c>
      <c r="K3482">
        <v>1.1208450000000001</v>
      </c>
      <c r="L3482">
        <v>141.27000000000001</v>
      </c>
      <c r="M3482">
        <v>-0.99960570000000004</v>
      </c>
      <c r="N3482">
        <v>-1.393177E-2</v>
      </c>
      <c r="O3482">
        <v>2.4384530000000001E-2</v>
      </c>
      <c r="P3482">
        <v>-0.97952510000000004</v>
      </c>
      <c r="Q3482">
        <v>0.19068599999999999</v>
      </c>
      <c r="R3482">
        <v>6.4572679999999993E-2</v>
      </c>
      <c r="S3482">
        <v>-3.0693510000000002</v>
      </c>
      <c r="T3482">
        <v>-4.1646959999999997E-2</v>
      </c>
      <c r="U3482">
        <v>2.4108890000000001E-2</v>
      </c>
      <c r="V3482">
        <v>4.0828789999999997E-2</v>
      </c>
      <c r="W3482">
        <v>0.20429929999999999</v>
      </c>
      <c r="X3482">
        <v>0.97805660000000005</v>
      </c>
      <c r="Y3482">
        <v>-1.6530920000000001E-2</v>
      </c>
      <c r="Z3482">
        <v>-2.183625E-4</v>
      </c>
      <c r="AA3482">
        <v>0.99986330000000001</v>
      </c>
      <c r="AB3482">
        <v>36</v>
      </c>
      <c r="AC3482">
        <v>-82.247399999999999</v>
      </c>
      <c r="AD3482">
        <v>-1.1208475716549999</v>
      </c>
      <c r="AE3482">
        <v>0.64009999999998901</v>
      </c>
      <c r="AF3482">
        <v>-1.3655953709008899</v>
      </c>
      <c r="AG3482">
        <v>-1.1208475716549999</v>
      </c>
      <c r="AH3482">
        <v>82.223280068501694</v>
      </c>
      <c r="AI3482">
        <v>90.780885950780302</v>
      </c>
      <c r="AJ3482">
        <v>90.951502521876293</v>
      </c>
      <c r="AK3482">
        <v>82.242257600452405</v>
      </c>
      <c r="AL3482">
        <v>78.211515623745697</v>
      </c>
      <c r="AM3482">
        <v>87.609586281373794</v>
      </c>
      <c r="AN3482">
        <v>0.99999995343845605</v>
      </c>
    </row>
    <row r="3483" spans="1:40" x14ac:dyDescent="0.25">
      <c r="A3483" t="str">
        <f>"20190303162620236"</f>
        <v>20190303162620236</v>
      </c>
      <c r="B3483" t="str">
        <f>"1551601580226697"</f>
        <v>1551601580226697</v>
      </c>
      <c r="C3483" t="s">
        <v>40</v>
      </c>
      <c r="D3483">
        <v>4.8191470000000001</v>
      </c>
      <c r="E3483">
        <v>0.4796125</v>
      </c>
      <c r="F3483" t="s">
        <v>41</v>
      </c>
      <c r="G3483">
        <v>-336.02260000000001</v>
      </c>
      <c r="H3483" s="1">
        <v>-2.5029819999999999E-6</v>
      </c>
      <c r="I3483">
        <v>142.03059999999999</v>
      </c>
      <c r="J3483">
        <v>-253.9554</v>
      </c>
      <c r="K3483">
        <v>1.12093</v>
      </c>
      <c r="L3483">
        <v>141.27979999999999</v>
      </c>
      <c r="M3483">
        <v>-0.99960300000000002</v>
      </c>
      <c r="N3483">
        <v>-1.3928090000000001E-2</v>
      </c>
      <c r="O3483">
        <v>2.4495119999999999E-2</v>
      </c>
      <c r="P3483">
        <v>-0.97962369999999999</v>
      </c>
      <c r="Q3483">
        <v>0.18992590000000001</v>
      </c>
      <c r="R3483">
        <v>6.5312739999999994E-2</v>
      </c>
      <c r="S3483">
        <v>-3.0689389999999999</v>
      </c>
      <c r="T3483">
        <v>-4.1714670000000002E-2</v>
      </c>
      <c r="U3483">
        <v>2.8305049999999998E-2</v>
      </c>
      <c r="V3483">
        <v>4.1414979999999997E-2</v>
      </c>
      <c r="W3483">
        <v>0.20354549999999999</v>
      </c>
      <c r="X3483">
        <v>0.97818919999999998</v>
      </c>
      <c r="Y3483">
        <v>-1.527368E-2</v>
      </c>
      <c r="Z3483">
        <v>-2.0185989999999999E-4</v>
      </c>
      <c r="AA3483">
        <v>0.99988339999999998</v>
      </c>
      <c r="AB3483">
        <v>36</v>
      </c>
      <c r="AC3483">
        <v>-82.0672</v>
      </c>
      <c r="AD3483">
        <v>-1.1209325029819901</v>
      </c>
      <c r="AE3483">
        <v>0.75079999999999802</v>
      </c>
      <c r="AF3483">
        <v>-1.25963110870002</v>
      </c>
      <c r="AG3483">
        <v>-1.1209325029819901</v>
      </c>
      <c r="AH3483">
        <v>82.045658444538205</v>
      </c>
      <c r="AI3483">
        <v>90.782651279387096</v>
      </c>
      <c r="AJ3483">
        <v>90.879581905436794</v>
      </c>
      <c r="AK3483">
        <v>82.062983310406594</v>
      </c>
      <c r="AL3483">
        <v>78.255633248728998</v>
      </c>
      <c r="AM3483">
        <v>87.575635426151095</v>
      </c>
      <c r="AN3483">
        <v>1.00000004106764</v>
      </c>
    </row>
    <row r="3484" spans="1:40" x14ac:dyDescent="0.25">
      <c r="A3484" t="str">
        <f>"20190303162620259"</f>
        <v>20190303162620259</v>
      </c>
      <c r="B3484" t="str">
        <f>"1551601580247193"</f>
        <v>1551601580247193</v>
      </c>
      <c r="C3484" t="s">
        <v>40</v>
      </c>
      <c r="D3484">
        <v>4.9672989999999997</v>
      </c>
      <c r="E3484">
        <v>0.47960839999999999</v>
      </c>
      <c r="F3484" t="s">
        <v>41</v>
      </c>
      <c r="G3484">
        <v>-336.80360000000002</v>
      </c>
      <c r="H3484" s="1">
        <v>-2.1592060000000002E-6</v>
      </c>
      <c r="I3484">
        <v>142.12610000000001</v>
      </c>
      <c r="J3484">
        <v>-254.3203</v>
      </c>
      <c r="K3484">
        <v>1.1209910000000001</v>
      </c>
      <c r="L3484">
        <v>141.28890000000001</v>
      </c>
      <c r="M3484">
        <v>-0.99960190000000004</v>
      </c>
      <c r="N3484">
        <v>-1.392464E-2</v>
      </c>
      <c r="O3484">
        <v>2.454419E-2</v>
      </c>
      <c r="P3484">
        <v>-0.97966149999999996</v>
      </c>
      <c r="Q3484">
        <v>0.18985850000000001</v>
      </c>
      <c r="R3484">
        <v>6.4942739999999999E-2</v>
      </c>
      <c r="S3484">
        <v>-3.0683440000000002</v>
      </c>
      <c r="T3484">
        <v>-4.1514519999999999E-2</v>
      </c>
      <c r="U3484">
        <v>3.1341550000000003E-2</v>
      </c>
      <c r="V3484">
        <v>4.0965139999999997E-2</v>
      </c>
      <c r="W3484">
        <v>0.20348150000000001</v>
      </c>
      <c r="X3484">
        <v>0.97822140000000002</v>
      </c>
      <c r="Y3484">
        <v>-1.4331750000000001E-2</v>
      </c>
      <c r="Z3484">
        <v>-1.8695450000000001E-4</v>
      </c>
      <c r="AA3484">
        <v>0.99989729999999999</v>
      </c>
      <c r="AB3484">
        <v>36</v>
      </c>
      <c r="AC3484">
        <v>-82.4833</v>
      </c>
      <c r="AD3484">
        <v>-1.1209931592060001</v>
      </c>
      <c r="AE3484">
        <v>0.83719999999999495</v>
      </c>
      <c r="AF3484">
        <v>-1.1875147540720701</v>
      </c>
      <c r="AG3484">
        <v>-1.1209931592060001</v>
      </c>
      <c r="AH3484">
        <v>82.463767414405694</v>
      </c>
      <c r="AI3484">
        <v>90.778736719952704</v>
      </c>
      <c r="AJ3484">
        <v>90.825027561206298</v>
      </c>
      <c r="AK3484">
        <v>82.479935457851397</v>
      </c>
      <c r="AL3484">
        <v>78.259377897856098</v>
      </c>
      <c r="AM3484">
        <v>87.602016251505702</v>
      </c>
      <c r="AN3484">
        <v>0.99999998547771396</v>
      </c>
    </row>
    <row r="3485" spans="1:40" x14ac:dyDescent="0.25">
      <c r="A3485" t="str">
        <f>"20190303162620301"</f>
        <v>20190303162620301</v>
      </c>
      <c r="B3485" t="str">
        <f>"1551601580287210"</f>
        <v>1551601580287210</v>
      </c>
      <c r="C3485" t="s">
        <v>40</v>
      </c>
      <c r="D3485">
        <v>5.0317420000000004</v>
      </c>
      <c r="E3485">
        <v>0.47934070000000001</v>
      </c>
      <c r="F3485" t="s">
        <v>41</v>
      </c>
      <c r="G3485">
        <v>-339.33600000000001</v>
      </c>
      <c r="H3485" s="1">
        <v>-9.6831739999999992E-7</v>
      </c>
      <c r="I3485">
        <v>142.14930000000001</v>
      </c>
      <c r="J3485">
        <v>-254.9786</v>
      </c>
      <c r="K3485">
        <v>1.1210690000000001</v>
      </c>
      <c r="L3485">
        <v>141.30510000000001</v>
      </c>
      <c r="M3485">
        <v>-0.99960150000000003</v>
      </c>
      <c r="N3485">
        <v>-1.391862E-2</v>
      </c>
      <c r="O3485">
        <v>2.4562029999999999E-2</v>
      </c>
      <c r="P3485">
        <v>-0.97934580000000004</v>
      </c>
      <c r="Q3485">
        <v>0.19179009999999999</v>
      </c>
      <c r="R3485">
        <v>6.4022529999999994E-2</v>
      </c>
      <c r="S3485">
        <v>-3.0680689999999999</v>
      </c>
      <c r="T3485">
        <v>-4.0454629999999998E-2</v>
      </c>
      <c r="U3485">
        <v>3.1051639999999998E-2</v>
      </c>
      <c r="V3485">
        <v>3.9999600000000003E-2</v>
      </c>
      <c r="W3485">
        <v>0.20541019999999999</v>
      </c>
      <c r="X3485">
        <v>0.97785820000000001</v>
      </c>
      <c r="Y3485">
        <v>-1.444323E-2</v>
      </c>
      <c r="Z3485">
        <v>-1.7764279999999999E-4</v>
      </c>
      <c r="AA3485">
        <v>0.99989570000000005</v>
      </c>
      <c r="AB3485">
        <v>36</v>
      </c>
      <c r="AC3485">
        <v>-84.357399999999998</v>
      </c>
      <c r="AD3485">
        <v>-1.1210699683173999</v>
      </c>
      <c r="AE3485">
        <v>0.84419999999999995</v>
      </c>
      <c r="AF3485">
        <v>-1.22802740892372</v>
      </c>
      <c r="AG3485">
        <v>-1.1210699683173999</v>
      </c>
      <c r="AH3485">
        <v>84.337788843476204</v>
      </c>
      <c r="AI3485">
        <v>90.761485318878997</v>
      </c>
      <c r="AJ3485">
        <v>90.834214611057703</v>
      </c>
      <c r="AK3485">
        <v>84.354178771402403</v>
      </c>
      <c r="AL3485">
        <v>78.146487050383499</v>
      </c>
      <c r="AM3485">
        <v>87.657603840978297</v>
      </c>
      <c r="AN3485">
        <v>0.99999998878572005</v>
      </c>
    </row>
    <row r="3486" spans="1:40" x14ac:dyDescent="0.25">
      <c r="A3486" t="str">
        <f>"20190303162620324"</f>
        <v>20190303162620324</v>
      </c>
      <c r="B3486" t="str">
        <f>"1551601580317465"</f>
        <v>1551601580317465</v>
      </c>
      <c r="C3486" t="s">
        <v>40</v>
      </c>
      <c r="D3486">
        <v>4.8412509999999997</v>
      </c>
      <c r="E3486">
        <v>0.50705699999999998</v>
      </c>
      <c r="F3486" t="s">
        <v>41</v>
      </c>
      <c r="G3486">
        <v>-361.75880000000001</v>
      </c>
      <c r="H3486" s="1">
        <v>-4.1391199999999996E-6</v>
      </c>
      <c r="I3486">
        <v>142.21860000000001</v>
      </c>
      <c r="J3486">
        <v>-255.34540000000001</v>
      </c>
      <c r="K3486">
        <v>1.1210990000000001</v>
      </c>
      <c r="L3486">
        <v>141.3142</v>
      </c>
      <c r="M3486">
        <v>-0.99960179999999998</v>
      </c>
      <c r="N3486">
        <v>-1.39153E-2</v>
      </c>
      <c r="O3486">
        <v>2.455448E-2</v>
      </c>
      <c r="P3486">
        <v>-0.97920019999999997</v>
      </c>
      <c r="Q3486">
        <v>0.1924766</v>
      </c>
      <c r="R3486">
        <v>6.4188259999999997E-2</v>
      </c>
      <c r="S3486">
        <v>-3.0678709999999998</v>
      </c>
      <c r="T3486">
        <v>-3.220928E-2</v>
      </c>
      <c r="U3486">
        <v>2.624512E-2</v>
      </c>
      <c r="V3486">
        <v>4.0163900000000002E-2</v>
      </c>
      <c r="W3486">
        <v>0.20609379999999999</v>
      </c>
      <c r="X3486">
        <v>0.97770760000000001</v>
      </c>
      <c r="Y3486">
        <v>-1.6001830000000002E-2</v>
      </c>
      <c r="Z3486">
        <v>-1.113726E-4</v>
      </c>
      <c r="AA3486">
        <v>0.99987199999999998</v>
      </c>
      <c r="AB3486">
        <v>36</v>
      </c>
      <c r="AC3486">
        <v>-106.4134</v>
      </c>
      <c r="AD3486">
        <v>-1.1211031391199999</v>
      </c>
      <c r="AE3486">
        <v>0.90440000000000897</v>
      </c>
      <c r="AF3486">
        <v>-1.7088613788498701</v>
      </c>
      <c r="AG3486">
        <v>-1.1211031391199999</v>
      </c>
      <c r="AH3486">
        <v>106.391710699816</v>
      </c>
      <c r="AI3486">
        <v>90.603654337193404</v>
      </c>
      <c r="AJ3486">
        <v>90.920204455332595</v>
      </c>
      <c r="AK3486">
        <v>106.411339551262</v>
      </c>
      <c r="AL3486">
        <v>78.106463112530093</v>
      </c>
      <c r="AM3486">
        <v>87.647631254215</v>
      </c>
      <c r="AN3486">
        <v>0.99999997217970404</v>
      </c>
    </row>
    <row r="3487" spans="1:40" x14ac:dyDescent="0.25">
      <c r="A3487" t="str">
        <f>"20190303162620346"</f>
        <v>20190303162620346</v>
      </c>
      <c r="B3487" t="str">
        <f>"1551601580336985"</f>
        <v>1551601580336985</v>
      </c>
      <c r="C3487" t="s">
        <v>40</v>
      </c>
      <c r="D3487">
        <v>4.8097750000000001</v>
      </c>
      <c r="E3487">
        <v>0.51539389999999996</v>
      </c>
      <c r="F3487" t="s">
        <v>41</v>
      </c>
      <c r="G3487">
        <v>-358.16739999999999</v>
      </c>
      <c r="H3487">
        <v>3.5309220000000002E-2</v>
      </c>
      <c r="I3487">
        <v>149.6163</v>
      </c>
      <c r="J3487">
        <v>-255.69919999999999</v>
      </c>
      <c r="K3487">
        <v>1.121119</v>
      </c>
      <c r="L3487">
        <v>141.3229</v>
      </c>
      <c r="M3487">
        <v>-0.99960190000000004</v>
      </c>
      <c r="N3487">
        <v>-1.391213E-2</v>
      </c>
      <c r="O3487">
        <v>2.4545689999999998E-2</v>
      </c>
      <c r="P3487">
        <v>-0.9792341</v>
      </c>
      <c r="Q3487">
        <v>0.19226770000000001</v>
      </c>
      <c r="R3487">
        <v>6.4296870000000006E-2</v>
      </c>
      <c r="S3487">
        <v>-3.053909</v>
      </c>
      <c r="T3487">
        <v>-3.2248970000000002E-2</v>
      </c>
      <c r="U3487">
        <v>0.246582</v>
      </c>
      <c r="V3487">
        <v>4.0271540000000002E-2</v>
      </c>
      <c r="W3487">
        <v>0.20588429999999999</v>
      </c>
      <c r="X3487">
        <v>0.97774729999999999</v>
      </c>
      <c r="Y3487">
        <v>5.5981389999999999E-2</v>
      </c>
      <c r="Z3487">
        <v>7.6754679999999997E-4</v>
      </c>
      <c r="AA3487">
        <v>0.99843150000000003</v>
      </c>
      <c r="AB3487">
        <v>35</v>
      </c>
      <c r="AC3487">
        <v>-102.4682</v>
      </c>
      <c r="AD3487">
        <v>-1.0858097799999999</v>
      </c>
      <c r="AE3487">
        <v>8.2933999999999894</v>
      </c>
      <c r="AF3487">
        <v>5.7748604573314504</v>
      </c>
      <c r="AG3487">
        <v>-1.0858097799999999</v>
      </c>
      <c r="AH3487">
        <v>102.629459270968</v>
      </c>
      <c r="AI3487">
        <v>90.605203933698107</v>
      </c>
      <c r="AJ3487">
        <v>86.779418018358996</v>
      </c>
      <c r="AK3487">
        <v>102.79753842593399</v>
      </c>
      <c r="AL3487">
        <v>78.118729523860097</v>
      </c>
      <c r="AM3487">
        <v>87.641429634901201</v>
      </c>
      <c r="AN3487">
        <v>0.999999962288875</v>
      </c>
    </row>
    <row r="3488" spans="1:40" x14ac:dyDescent="0.25">
      <c r="A3488" t="str">
        <f>"20190303162620369"</f>
        <v>20190303162620369</v>
      </c>
      <c r="B3488" t="str">
        <f>"1551601580357481"</f>
        <v>1551601580357481</v>
      </c>
      <c r="C3488" t="s">
        <v>40</v>
      </c>
      <c r="D3488">
        <v>4.7794040000000004</v>
      </c>
      <c r="E3488">
        <v>0.51726499999999997</v>
      </c>
      <c r="F3488" t="s">
        <v>41</v>
      </c>
      <c r="G3488">
        <v>-336.54180000000002</v>
      </c>
      <c r="H3488">
        <v>1.5890660000000001E-2</v>
      </c>
      <c r="I3488">
        <v>149.6163</v>
      </c>
      <c r="J3488">
        <v>-256.05869999999999</v>
      </c>
      <c r="K3488">
        <v>1.121138</v>
      </c>
      <c r="L3488">
        <v>141.33170000000001</v>
      </c>
      <c r="M3488">
        <v>-0.99960230000000005</v>
      </c>
      <c r="N3488">
        <v>-1.390889E-2</v>
      </c>
      <c r="O3488">
        <v>2.4539169999999999E-2</v>
      </c>
      <c r="P3488">
        <v>-0.97908010000000001</v>
      </c>
      <c r="Q3488">
        <v>0.19269900000000001</v>
      </c>
      <c r="R3488">
        <v>6.5342200000000003E-2</v>
      </c>
      <c r="S3488">
        <v>-3.0512389999999998</v>
      </c>
      <c r="T3488">
        <v>-4.1714550000000003E-2</v>
      </c>
      <c r="U3488">
        <v>0.31301879999999999</v>
      </c>
      <c r="V3488">
        <v>4.1319929999999998E-2</v>
      </c>
      <c r="W3488">
        <v>0.20631169999999999</v>
      </c>
      <c r="X3488">
        <v>0.97761350000000002</v>
      </c>
      <c r="Y3488">
        <v>7.7593140000000005E-2</v>
      </c>
      <c r="Z3488">
        <v>1.0762040000000001E-3</v>
      </c>
      <c r="AA3488">
        <v>0.99698450000000005</v>
      </c>
      <c r="AB3488">
        <v>35</v>
      </c>
      <c r="AC3488">
        <v>-80.483099999999993</v>
      </c>
      <c r="AD3488">
        <v>-1.10524734</v>
      </c>
      <c r="AE3488">
        <v>8.2845999999999798</v>
      </c>
      <c r="AF3488">
        <v>6.3057489049495796</v>
      </c>
      <c r="AG3488">
        <v>-1.10524734</v>
      </c>
      <c r="AH3488">
        <v>80.647126755083306</v>
      </c>
      <c r="AI3488">
        <v>90.782785340638696</v>
      </c>
      <c r="AJ3488">
        <v>85.529174586098407</v>
      </c>
      <c r="AK3488">
        <v>80.900822584107999</v>
      </c>
      <c r="AL3488">
        <v>78.093704556664093</v>
      </c>
      <c r="AM3488">
        <v>87.579770178969198</v>
      </c>
      <c r="AN3488">
        <v>1.00000000477717</v>
      </c>
    </row>
    <row r="3489" spans="1:40" x14ac:dyDescent="0.25">
      <c r="A3489" t="str">
        <f>"20190303162620390"</f>
        <v>20190303162620390</v>
      </c>
      <c r="B3489" t="str">
        <f>"1551601580377002"</f>
        <v>1551601580377002</v>
      </c>
      <c r="C3489" t="s">
        <v>40</v>
      </c>
      <c r="D3489">
        <v>4.779433</v>
      </c>
      <c r="E3489">
        <v>0.51853970000000005</v>
      </c>
      <c r="F3489" t="s">
        <v>41</v>
      </c>
      <c r="G3489">
        <v>-339.5598</v>
      </c>
      <c r="H3489">
        <v>7.9986740000000001E-2</v>
      </c>
      <c r="I3489">
        <v>150.3929</v>
      </c>
      <c r="J3489">
        <v>-256.38720000000001</v>
      </c>
      <c r="K3489">
        <v>1.12114</v>
      </c>
      <c r="L3489">
        <v>141.3398</v>
      </c>
      <c r="M3489">
        <v>-0.9996022</v>
      </c>
      <c r="N3489">
        <v>-1.3905860000000001E-2</v>
      </c>
      <c r="O3489">
        <v>2.4540559999999999E-2</v>
      </c>
      <c r="P3489">
        <v>-0.97901110000000002</v>
      </c>
      <c r="Q3489">
        <v>0.19250159999999999</v>
      </c>
      <c r="R3489">
        <v>6.6937129999999997E-2</v>
      </c>
      <c r="S3489">
        <v>-3.0495000000000001</v>
      </c>
      <c r="T3489">
        <v>-3.8023349999999997E-2</v>
      </c>
      <c r="U3489">
        <v>0.33091739999999997</v>
      </c>
      <c r="V3489">
        <v>4.2911169999999998E-2</v>
      </c>
      <c r="W3489">
        <v>0.2061115</v>
      </c>
      <c r="X3489">
        <v>0.97758719999999999</v>
      </c>
      <c r="Y3489">
        <v>8.3436159999999995E-2</v>
      </c>
      <c r="Z3489">
        <v>1.1359860000000001E-3</v>
      </c>
      <c r="AA3489">
        <v>0.99651250000000002</v>
      </c>
      <c r="AB3489">
        <v>35</v>
      </c>
      <c r="AC3489">
        <v>-83.172599999999903</v>
      </c>
      <c r="AD3489">
        <v>-1.04115326</v>
      </c>
      <c r="AE3489">
        <v>9.0531000000000006</v>
      </c>
      <c r="AF3489">
        <v>7.0079883217662404</v>
      </c>
      <c r="AG3489">
        <v>-1.04115326</v>
      </c>
      <c r="AH3489">
        <v>83.356827035029497</v>
      </c>
      <c r="AI3489">
        <v>90.713089875975001</v>
      </c>
      <c r="AJ3489">
        <v>85.194321301131893</v>
      </c>
      <c r="AK3489">
        <v>83.657375728483402</v>
      </c>
      <c r="AL3489">
        <v>78.105427379209999</v>
      </c>
      <c r="AM3489">
        <v>87.486616347083597</v>
      </c>
      <c r="AN3489">
        <v>1.0000000262734201</v>
      </c>
    </row>
    <row r="3490" spans="1:40" x14ac:dyDescent="0.25">
      <c r="A3490" t="str">
        <f>"20190303162620414"</f>
        <v>20190303162620414</v>
      </c>
      <c r="B3490" t="str">
        <f>"1551601580407258"</f>
        <v>1551601580407258</v>
      </c>
      <c r="C3490" t="s">
        <v>40</v>
      </c>
      <c r="D3490">
        <v>4.796913</v>
      </c>
      <c r="E3490">
        <v>0.51935540000000002</v>
      </c>
      <c r="F3490" t="s">
        <v>41</v>
      </c>
      <c r="G3490">
        <v>-323.9692</v>
      </c>
      <c r="H3490" s="1">
        <v>-4.5875599999999997E-6</v>
      </c>
      <c r="I3490">
        <v>148.98740000000001</v>
      </c>
      <c r="J3490">
        <v>-256.76330000000002</v>
      </c>
      <c r="K3490">
        <v>1.1211370000000001</v>
      </c>
      <c r="L3490">
        <v>141.34909999999999</v>
      </c>
      <c r="M3490">
        <v>-0.99960179999999998</v>
      </c>
      <c r="N3490">
        <v>-1.390246E-2</v>
      </c>
      <c r="O3490">
        <v>2.4560269999999999E-2</v>
      </c>
      <c r="P3490">
        <v>-0.9790316</v>
      </c>
      <c r="Q3490">
        <v>0.19185530000000001</v>
      </c>
      <c r="R3490">
        <v>6.8477220000000005E-2</v>
      </c>
      <c r="S3490">
        <v>-3.050659</v>
      </c>
      <c r="T3490">
        <v>-5.0608630000000002E-2</v>
      </c>
      <c r="U3490">
        <v>0.34521479999999999</v>
      </c>
      <c r="V3490">
        <v>4.443122E-2</v>
      </c>
      <c r="W3490">
        <v>0.20546239999999999</v>
      </c>
      <c r="X3490">
        <v>0.97765590000000002</v>
      </c>
      <c r="Y3490">
        <v>8.7980290000000003E-2</v>
      </c>
      <c r="Z3490">
        <v>1.2755959999999999E-3</v>
      </c>
      <c r="AA3490">
        <v>0.99612140000000005</v>
      </c>
      <c r="AB3490">
        <v>35</v>
      </c>
      <c r="AC3490">
        <v>-67.2058999999999</v>
      </c>
      <c r="AD3490">
        <v>-1.1211415875599999</v>
      </c>
      <c r="AE3490">
        <v>7.6383000000000099</v>
      </c>
      <c r="AF3490">
        <v>5.9835971145600002</v>
      </c>
      <c r="AG3490">
        <v>-1.1211415875599999</v>
      </c>
      <c r="AH3490">
        <v>67.354734844753395</v>
      </c>
      <c r="AI3490">
        <v>90.949878743583795</v>
      </c>
      <c r="AJ3490">
        <v>84.923338033828401</v>
      </c>
      <c r="AK3490">
        <v>67.629288765266196</v>
      </c>
      <c r="AL3490">
        <v>78.143431101502401</v>
      </c>
      <c r="AM3490">
        <v>87.397887223888404</v>
      </c>
      <c r="AN3490">
        <v>0.99999999496462899</v>
      </c>
    </row>
    <row r="3491" spans="1:40" x14ac:dyDescent="0.25">
      <c r="A3491" t="str">
        <f>"20190303162620437"</f>
        <v>20190303162620437</v>
      </c>
      <c r="B3491" t="str">
        <f>"1551601580426777"</f>
        <v>1551601580426777</v>
      </c>
      <c r="C3491" t="s">
        <v>40</v>
      </c>
      <c r="D3491">
        <v>4.7935379999999999</v>
      </c>
      <c r="E3491">
        <v>0.51973910000000001</v>
      </c>
      <c r="F3491" t="s">
        <v>47</v>
      </c>
      <c r="G3491">
        <v>-308.41239999999999</v>
      </c>
      <c r="H3491" s="1">
        <v>-1.1572030000000001E-5</v>
      </c>
      <c r="I3491">
        <v>147.37280000000001</v>
      </c>
      <c r="J3491">
        <v>-257.1275</v>
      </c>
      <c r="K3491">
        <v>1.121119</v>
      </c>
      <c r="L3491">
        <v>141.35810000000001</v>
      </c>
      <c r="M3491">
        <v>-0.99960039999999994</v>
      </c>
      <c r="N3491">
        <v>-1.389922E-2</v>
      </c>
      <c r="O3491">
        <v>2.4613280000000001E-2</v>
      </c>
      <c r="P3491">
        <v>-0.97914100000000004</v>
      </c>
      <c r="Q3491">
        <v>0.19110340000000001</v>
      </c>
      <c r="R3491">
        <v>6.9011669999999997E-2</v>
      </c>
      <c r="S3491">
        <v>-3.0523380000000002</v>
      </c>
      <c r="T3491">
        <v>-6.6257120000000003E-2</v>
      </c>
      <c r="U3491">
        <v>0.35598750000000001</v>
      </c>
      <c r="V3491">
        <v>4.4917970000000002E-2</v>
      </c>
      <c r="W3491">
        <v>0.2047078</v>
      </c>
      <c r="X3491">
        <v>0.97779199999999999</v>
      </c>
      <c r="Y3491">
        <v>9.1323370000000001E-2</v>
      </c>
      <c r="Z3491">
        <v>1.4335909999999999E-3</v>
      </c>
      <c r="AA3491">
        <v>0.99582029999999999</v>
      </c>
      <c r="AB3491">
        <v>35</v>
      </c>
      <c r="AC3491">
        <v>-51.284899999999901</v>
      </c>
      <c r="AD3491">
        <v>-1.12113057203</v>
      </c>
      <c r="AE3491">
        <v>6.0147000000000004</v>
      </c>
      <c r="AF3491">
        <v>4.7482275323438099</v>
      </c>
      <c r="AG3491">
        <v>-1.12113057203</v>
      </c>
      <c r="AH3491">
        <v>51.393188540562797</v>
      </c>
      <c r="AI3491">
        <v>91.244397925848801</v>
      </c>
      <c r="AJ3491">
        <v>84.721416051563097</v>
      </c>
      <c r="AK3491">
        <v>51.624242627125199</v>
      </c>
      <c r="AL3491">
        <v>78.1876061374427</v>
      </c>
      <c r="AM3491">
        <v>87.369786193652402</v>
      </c>
      <c r="AN3491">
        <v>1.0000000513368701</v>
      </c>
    </row>
    <row r="3492" spans="1:40" x14ac:dyDescent="0.25">
      <c r="A3492" t="str">
        <f>"20190303162620460"</f>
        <v>20190303162620460</v>
      </c>
      <c r="B3492" t="str">
        <f>"1551601580447274"</f>
        <v>1551601580447274</v>
      </c>
      <c r="C3492" t="s">
        <v>40</v>
      </c>
      <c r="D3492">
        <v>4.7837249999999996</v>
      </c>
      <c r="E3492">
        <v>0.51997179999999998</v>
      </c>
      <c r="F3492" t="s">
        <v>47</v>
      </c>
      <c r="G3492">
        <v>-304.14069999999998</v>
      </c>
      <c r="H3492" s="1">
        <v>-1.071674E-5</v>
      </c>
      <c r="I3492">
        <v>146.9135</v>
      </c>
      <c r="J3492">
        <v>-257.49689999999998</v>
      </c>
      <c r="K3492">
        <v>1.1210800000000001</v>
      </c>
      <c r="L3492">
        <v>141.3673</v>
      </c>
      <c r="M3492">
        <v>-0.99959779999999998</v>
      </c>
      <c r="N3492">
        <v>-1.3896E-2</v>
      </c>
      <c r="O3492">
        <v>2.4724969999999999E-2</v>
      </c>
      <c r="P3492">
        <v>-0.97918590000000005</v>
      </c>
      <c r="Q3492">
        <v>0.19075990000000001</v>
      </c>
      <c r="R3492">
        <v>6.9325579999999998E-2</v>
      </c>
      <c r="S3492">
        <v>-3.0527340000000001</v>
      </c>
      <c r="T3492">
        <v>-7.2798970000000005E-2</v>
      </c>
      <c r="U3492">
        <v>0.36073300000000003</v>
      </c>
      <c r="V3492">
        <v>4.5138049999999999E-2</v>
      </c>
      <c r="W3492">
        <v>0.2043577</v>
      </c>
      <c r="X3492">
        <v>0.97785500000000003</v>
      </c>
      <c r="Y3492">
        <v>9.2718190000000006E-2</v>
      </c>
      <c r="Z3492">
        <v>1.5034600000000001E-3</v>
      </c>
      <c r="AA3492">
        <v>0.9956912</v>
      </c>
      <c r="AB3492">
        <v>35</v>
      </c>
      <c r="AC3492">
        <v>-46.643799999999999</v>
      </c>
      <c r="AD3492">
        <v>-1.1210907167399999</v>
      </c>
      <c r="AE3492">
        <v>5.54619999999999</v>
      </c>
      <c r="AF3492">
        <v>4.3886264245254702</v>
      </c>
      <c r="AG3492">
        <v>-1.1210907167399999</v>
      </c>
      <c r="AH3492">
        <v>46.7400559305594</v>
      </c>
      <c r="AI3492">
        <v>91.367998471644995</v>
      </c>
      <c r="AJ3492">
        <v>84.6359773858414</v>
      </c>
      <c r="AK3492">
        <v>46.959021653789002</v>
      </c>
      <c r="AL3492">
        <v>78.208097477779802</v>
      </c>
      <c r="AM3492">
        <v>87.357087477130094</v>
      </c>
      <c r="AN3492">
        <v>0.99999995706604505</v>
      </c>
    </row>
    <row r="3493" spans="1:40" x14ac:dyDescent="0.25">
      <c r="A3493" t="str">
        <f>"20190303162620482"</f>
        <v>20190303162620482</v>
      </c>
      <c r="B3493" t="str">
        <f>"1551601580477530"</f>
        <v>1551601580477530</v>
      </c>
      <c r="C3493" t="s">
        <v>40</v>
      </c>
      <c r="D3493">
        <v>4.8079879999999999</v>
      </c>
      <c r="E3493">
        <v>0.52036380000000004</v>
      </c>
      <c r="F3493" t="s">
        <v>47</v>
      </c>
      <c r="G3493">
        <v>-302.10169999999999</v>
      </c>
      <c r="H3493" s="1">
        <v>-1.029644E-5</v>
      </c>
      <c r="I3493">
        <v>146.69120000000001</v>
      </c>
      <c r="J3493">
        <v>-257.8485</v>
      </c>
      <c r="K3493">
        <v>1.121038</v>
      </c>
      <c r="L3493">
        <v>141.37610000000001</v>
      </c>
      <c r="M3493">
        <v>-0.99959359999999997</v>
      </c>
      <c r="N3493">
        <v>-1.3893030000000001E-2</v>
      </c>
      <c r="O3493">
        <v>2.4898389999999999E-2</v>
      </c>
      <c r="P3493">
        <v>-0.97916780000000003</v>
      </c>
      <c r="Q3493">
        <v>0.19065409999999999</v>
      </c>
      <c r="R3493">
        <v>6.9870520000000005E-2</v>
      </c>
      <c r="S3493">
        <v>-3.0529480000000002</v>
      </c>
      <c r="T3493">
        <v>-7.6732399999999895E-2</v>
      </c>
      <c r="U3493">
        <v>0.36439510000000003</v>
      </c>
      <c r="V3493">
        <v>4.553683E-2</v>
      </c>
      <c r="W3493">
        <v>0.20424329999999999</v>
      </c>
      <c r="X3493">
        <v>0.97786050000000002</v>
      </c>
      <c r="Y3493">
        <v>9.3711219999999998E-2</v>
      </c>
      <c r="Z3493">
        <v>1.5484079999999901E-3</v>
      </c>
      <c r="AA3493">
        <v>0.99559819999999999</v>
      </c>
      <c r="AB3493">
        <v>35</v>
      </c>
      <c r="AC3493">
        <v>-44.2531999999999</v>
      </c>
      <c r="AD3493">
        <v>-1.1210482964399999</v>
      </c>
      <c r="AE3493">
        <v>5.3151000000000002</v>
      </c>
      <c r="AF3493">
        <v>4.2088497412802299</v>
      </c>
      <c r="AG3493">
        <v>-1.1210482964399999</v>
      </c>
      <c r="AH3493">
        <v>44.343775962838002</v>
      </c>
      <c r="AI3493">
        <v>91.441700869339599</v>
      </c>
      <c r="AJ3493">
        <v>84.578065028507993</v>
      </c>
      <c r="AK3493">
        <v>44.557172622036902</v>
      </c>
      <c r="AL3493">
        <v>78.214794369889503</v>
      </c>
      <c r="AM3493">
        <v>87.333786724767805</v>
      </c>
      <c r="AN3493">
        <v>1.00000004297079</v>
      </c>
    </row>
    <row r="3494" spans="1:40" x14ac:dyDescent="0.25">
      <c r="A3494" t="str">
        <f>"20190303162620503"</f>
        <v>20190303162620503</v>
      </c>
      <c r="B3494" t="str">
        <f>"1551601580497050"</f>
        <v>1551601580497050</v>
      </c>
      <c r="C3494" t="s">
        <v>40</v>
      </c>
      <c r="D3494">
        <v>4.7999780000000003</v>
      </c>
      <c r="E3494">
        <v>0.52059200000000005</v>
      </c>
      <c r="F3494" t="s">
        <v>47</v>
      </c>
      <c r="G3494">
        <v>-300.89760000000001</v>
      </c>
      <c r="H3494" s="1">
        <v>-1.0058459999999999E-5</v>
      </c>
      <c r="I3494">
        <v>146.59870000000001</v>
      </c>
      <c r="J3494">
        <v>-258.1728</v>
      </c>
      <c r="K3494">
        <v>1.1209899999999999</v>
      </c>
      <c r="L3494">
        <v>141.3844</v>
      </c>
      <c r="M3494">
        <v>-0.99958809999999998</v>
      </c>
      <c r="N3494">
        <v>-1.3890410000000001E-2</v>
      </c>
      <c r="O3494">
        <v>2.511091E-2</v>
      </c>
      <c r="P3494">
        <v>-0.97915209999999997</v>
      </c>
      <c r="Q3494">
        <v>0.1904119</v>
      </c>
      <c r="R3494">
        <v>7.0743039999999993E-2</v>
      </c>
      <c r="S3494">
        <v>-3.0528559999999998</v>
      </c>
      <c r="T3494">
        <v>-7.9499840000000002E-2</v>
      </c>
      <c r="U3494">
        <v>0.3703613</v>
      </c>
      <c r="V3494">
        <v>4.6224920000000003E-2</v>
      </c>
      <c r="W3494">
        <v>0.20399320000000001</v>
      </c>
      <c r="X3494">
        <v>0.97788039999999998</v>
      </c>
      <c r="Y3494">
        <v>9.5417520000000006E-2</v>
      </c>
      <c r="Z3494">
        <v>1.5995180000000001E-3</v>
      </c>
      <c r="AA3494">
        <v>0.99543610000000005</v>
      </c>
      <c r="AB3494">
        <v>35</v>
      </c>
      <c r="AC3494">
        <v>-42.724800000000002</v>
      </c>
      <c r="AD3494">
        <v>-1.1210000584599999</v>
      </c>
      <c r="AE3494">
        <v>5.2142999999999997</v>
      </c>
      <c r="AF3494">
        <v>4.1368871673247396</v>
      </c>
      <c r="AG3494">
        <v>-1.1210000584599999</v>
      </c>
      <c r="AH3494">
        <v>42.813232729032698</v>
      </c>
      <c r="AI3494">
        <v>91.492911017640097</v>
      </c>
      <c r="AJ3494">
        <v>84.480851179711706</v>
      </c>
      <c r="AK3494">
        <v>43.027239898424298</v>
      </c>
      <c r="AL3494">
        <v>78.229431984713401</v>
      </c>
      <c r="AM3494">
        <v>87.293613025767499</v>
      </c>
      <c r="AN3494">
        <v>1.0000000227896999</v>
      </c>
    </row>
    <row r="3495" spans="1:40" x14ac:dyDescent="0.25">
      <c r="A3495" t="str">
        <f>"20190303162620526"</f>
        <v>20190303162620526</v>
      </c>
      <c r="B3495" t="str">
        <f>"1551601580517546"</f>
        <v>1551601580517546</v>
      </c>
      <c r="C3495" t="s">
        <v>40</v>
      </c>
      <c r="D3495">
        <v>4.8151109999999999</v>
      </c>
      <c r="E3495">
        <v>0.52073789999999998</v>
      </c>
      <c r="F3495" t="s">
        <v>47</v>
      </c>
      <c r="G3495">
        <v>-299.7072</v>
      </c>
      <c r="H3495" s="1">
        <v>-9.8857480000000005E-6</v>
      </c>
      <c r="I3495">
        <v>146.49250000000001</v>
      </c>
      <c r="J3495">
        <v>-258.53370000000001</v>
      </c>
      <c r="K3495">
        <v>1.1209370000000001</v>
      </c>
      <c r="L3495">
        <v>141.3938</v>
      </c>
      <c r="M3495">
        <v>-0.99958049999999998</v>
      </c>
      <c r="N3495">
        <v>-1.388755E-2</v>
      </c>
      <c r="O3495">
        <v>2.5419939999999999E-2</v>
      </c>
      <c r="P3495">
        <v>-0.97897299999999998</v>
      </c>
      <c r="Q3495">
        <v>0.19092490000000001</v>
      </c>
      <c r="R3495">
        <v>7.1832969999999996E-2</v>
      </c>
      <c r="S3495">
        <v>-3.052765</v>
      </c>
      <c r="T3495">
        <v>-8.2393170000000002E-2</v>
      </c>
      <c r="U3495">
        <v>0.37544250000000001</v>
      </c>
      <c r="V3495">
        <v>4.7044669999999997E-2</v>
      </c>
      <c r="W3495">
        <v>0.20449490000000001</v>
      </c>
      <c r="X3495">
        <v>0.97773650000000001</v>
      </c>
      <c r="Y3495">
        <v>9.6742380000000003E-2</v>
      </c>
      <c r="Z3495">
        <v>1.643675E-3</v>
      </c>
      <c r="AA3495">
        <v>0.99530810000000003</v>
      </c>
      <c r="AB3495">
        <v>35</v>
      </c>
      <c r="AC3495">
        <v>-41.173499999999898</v>
      </c>
      <c r="AD3495">
        <v>-1.1209468857480001</v>
      </c>
      <c r="AE3495">
        <v>5.0987</v>
      </c>
      <c r="AF3495">
        <v>4.0473687685529001</v>
      </c>
      <c r="AG3495">
        <v>-1.1209468857480001</v>
      </c>
      <c r="AH3495">
        <v>41.259694076319903</v>
      </c>
      <c r="AI3495">
        <v>91.548803519452704</v>
      </c>
      <c r="AJ3495">
        <v>84.397496171311104</v>
      </c>
      <c r="AK3495">
        <v>41.472883564334303</v>
      </c>
      <c r="AL3495">
        <v>78.200067591203805</v>
      </c>
      <c r="AM3495">
        <v>87.245286637703998</v>
      </c>
      <c r="AN3495">
        <v>1.0000000142668299</v>
      </c>
    </row>
    <row r="3496" spans="1:40" x14ac:dyDescent="0.25">
      <c r="A3496" t="str">
        <f>"20190303162620548"</f>
        <v>20190303162620548</v>
      </c>
      <c r="B3496" t="str">
        <f>"1551601580537065"</f>
        <v>1551601580537065</v>
      </c>
      <c r="C3496" t="s">
        <v>40</v>
      </c>
      <c r="D3496">
        <v>4.8373589999999904</v>
      </c>
      <c r="E3496">
        <v>0.52082850000000003</v>
      </c>
      <c r="F3496" t="s">
        <v>47</v>
      </c>
      <c r="G3496">
        <v>-300.89249999999998</v>
      </c>
      <c r="H3496" s="1">
        <v>-1.007458E-5</v>
      </c>
      <c r="I3496">
        <v>146.66329999999999</v>
      </c>
      <c r="J3496">
        <v>-258.87920000000003</v>
      </c>
      <c r="K3496">
        <v>1.120878</v>
      </c>
      <c r="L3496">
        <v>141.40299999999999</v>
      </c>
      <c r="M3496">
        <v>-0.99957099999999999</v>
      </c>
      <c r="N3496">
        <v>-1.3884870000000001E-2</v>
      </c>
      <c r="O3496">
        <v>2.578927E-2</v>
      </c>
      <c r="P3496">
        <v>-0.97880460000000002</v>
      </c>
      <c r="Q3496">
        <v>0.19141240000000001</v>
      </c>
      <c r="R3496">
        <v>7.2822579999999998E-2</v>
      </c>
      <c r="S3496">
        <v>-3.0523380000000002</v>
      </c>
      <c r="T3496">
        <v>-8.0774550000000001E-2</v>
      </c>
      <c r="U3496">
        <v>0.37971500000000002</v>
      </c>
      <c r="V3496">
        <v>4.7704629999999998E-2</v>
      </c>
      <c r="W3496">
        <v>0.20497099999999999</v>
      </c>
      <c r="X3496">
        <v>0.97760480000000005</v>
      </c>
      <c r="Y3496">
        <v>9.7764660000000003E-2</v>
      </c>
      <c r="Z3496">
        <v>1.647403E-3</v>
      </c>
      <c r="AA3496">
        <v>0.99520819999999999</v>
      </c>
      <c r="AB3496">
        <v>35</v>
      </c>
      <c r="AC3496">
        <v>-42.013299999999902</v>
      </c>
      <c r="AD3496">
        <v>-1.1208880745799901</v>
      </c>
      <c r="AE3496">
        <v>5.2603</v>
      </c>
      <c r="AF3496">
        <v>4.1720295637735498</v>
      </c>
      <c r="AG3496">
        <v>-1.1208880745799901</v>
      </c>
      <c r="AH3496">
        <v>42.105488491700598</v>
      </c>
      <c r="AI3496">
        <v>91.517480369755702</v>
      </c>
      <c r="AJ3496">
        <v>84.341308372124004</v>
      </c>
      <c r="AK3496">
        <v>42.326521022657502</v>
      </c>
      <c r="AL3496">
        <v>78.172198503305097</v>
      </c>
      <c r="AM3496">
        <v>87.206327574097898</v>
      </c>
      <c r="AN3496">
        <v>0.99999999377373805</v>
      </c>
    </row>
    <row r="3497" spans="1:40" x14ac:dyDescent="0.25">
      <c r="A3497" t="str">
        <f>"20190303162620571"</f>
        <v>20190303162620571</v>
      </c>
      <c r="B3497" t="str">
        <f>"1551601580556586"</f>
        <v>1551601580556586</v>
      </c>
      <c r="C3497" t="s">
        <v>40</v>
      </c>
      <c r="D3497">
        <v>4.7800250000000002</v>
      </c>
      <c r="E3497">
        <v>0.52055699999999905</v>
      </c>
      <c r="F3497" t="s">
        <v>47</v>
      </c>
      <c r="G3497">
        <v>-301.5385</v>
      </c>
      <c r="H3497" s="1">
        <v>-1.0215500000000001E-5</v>
      </c>
      <c r="I3497">
        <v>146.76310000000001</v>
      </c>
      <c r="J3497">
        <v>-259.23630000000003</v>
      </c>
      <c r="K3497">
        <v>1.120819</v>
      </c>
      <c r="L3497">
        <v>141.4126</v>
      </c>
      <c r="M3497">
        <v>-0.99955930000000004</v>
      </c>
      <c r="N3497">
        <v>-1.3882129999999999E-2</v>
      </c>
      <c r="O3497">
        <v>2.624075E-2</v>
      </c>
      <c r="P3497">
        <v>-0.97883529999999996</v>
      </c>
      <c r="Q3497">
        <v>0.19099720000000001</v>
      </c>
      <c r="R3497">
        <v>7.3495840000000007E-2</v>
      </c>
      <c r="S3497">
        <v>-3.0521240000000001</v>
      </c>
      <c r="T3497">
        <v>-8.0195669999999997E-2</v>
      </c>
      <c r="U3497">
        <v>0.38349909999999998</v>
      </c>
      <c r="V3497">
        <v>4.7962680000000001E-2</v>
      </c>
      <c r="W3497">
        <v>0.20454720000000001</v>
      </c>
      <c r="X3497">
        <v>0.97768089999999996</v>
      </c>
      <c r="Y3497">
        <v>9.8538749999999994E-2</v>
      </c>
      <c r="Z3497">
        <v>1.652829E-3</v>
      </c>
      <c r="AA3497">
        <v>0.99513189999999996</v>
      </c>
      <c r="AB3497">
        <v>35</v>
      </c>
      <c r="AC3497">
        <v>-42.3021999999999</v>
      </c>
      <c r="AD3497">
        <v>-1.1208292154999999</v>
      </c>
      <c r="AE3497">
        <v>5.35050000000001</v>
      </c>
      <c r="AF3497">
        <v>4.2355821623526104</v>
      </c>
      <c r="AG3497">
        <v>-1.1208292154999999</v>
      </c>
      <c r="AH3497">
        <v>42.398748852933501</v>
      </c>
      <c r="AI3497">
        <v>91.506789418997499</v>
      </c>
      <c r="AJ3497">
        <v>84.295150478926701</v>
      </c>
      <c r="AK3497">
        <v>42.624527195952403</v>
      </c>
      <c r="AL3497">
        <v>78.197005651045998</v>
      </c>
      <c r="AM3497">
        <v>87.191458093588096</v>
      </c>
      <c r="AN3497">
        <v>0.99999995896271499</v>
      </c>
    </row>
    <row r="3498" spans="1:40" x14ac:dyDescent="0.25">
      <c r="A3498" t="str">
        <f>"20190303162620593"</f>
        <v>20190303162620593</v>
      </c>
      <c r="B3498" t="str">
        <f>"1551601580577081"</f>
        <v>1551601580577081</v>
      </c>
      <c r="C3498" t="s">
        <v>40</v>
      </c>
      <c r="D3498">
        <v>4.7848300000000004</v>
      </c>
      <c r="E3498">
        <v>0.52063130000000002</v>
      </c>
      <c r="F3498" t="s">
        <v>47</v>
      </c>
      <c r="G3498">
        <v>-300.83690000000001</v>
      </c>
      <c r="H3498" s="1">
        <v>-1.005786E-5</v>
      </c>
      <c r="I3498">
        <v>146.63730000000001</v>
      </c>
      <c r="J3498">
        <v>-259.58690000000001</v>
      </c>
      <c r="K3498">
        <v>1.1207659999999999</v>
      </c>
      <c r="L3498">
        <v>141.42230000000001</v>
      </c>
      <c r="M3498">
        <v>-0.99954620000000005</v>
      </c>
      <c r="N3498">
        <v>-1.387962E-2</v>
      </c>
      <c r="O3498">
        <v>2.6740280000000002E-2</v>
      </c>
      <c r="P3498">
        <v>-0.97874530000000004</v>
      </c>
      <c r="Q3498">
        <v>0.1908482</v>
      </c>
      <c r="R3498">
        <v>7.5064759999999994E-2</v>
      </c>
      <c r="S3498">
        <v>-3.0520939999999999</v>
      </c>
      <c r="T3498">
        <v>-8.2231399999999996E-2</v>
      </c>
      <c r="U3498">
        <v>0.38331599999999999</v>
      </c>
      <c r="V3498">
        <v>4.906957E-2</v>
      </c>
      <c r="W3498">
        <v>0.20438809999999999</v>
      </c>
      <c r="X3498">
        <v>0.97765930000000001</v>
      </c>
      <c r="Y3498">
        <v>9.7982269999999996E-2</v>
      </c>
      <c r="Z3498">
        <v>1.6501319999999999E-3</v>
      </c>
      <c r="AA3498">
        <v>0.99518680000000004</v>
      </c>
      <c r="AB3498">
        <v>35</v>
      </c>
      <c r="AC3498">
        <v>-41.25</v>
      </c>
      <c r="AD3498">
        <v>-1.1207760578599999</v>
      </c>
      <c r="AE3498">
        <v>5.2149999999999999</v>
      </c>
      <c r="AF3498">
        <v>4.1070079772148604</v>
      </c>
      <c r="AG3498">
        <v>-1.1207760578599999</v>
      </c>
      <c r="AH3498">
        <v>41.3446691613631</v>
      </c>
      <c r="AI3498">
        <v>91.545199029183095</v>
      </c>
      <c r="AJ3498">
        <v>84.327085395461594</v>
      </c>
      <c r="AK3498">
        <v>41.563268898864798</v>
      </c>
      <c r="AL3498">
        <v>78.206318792644595</v>
      </c>
      <c r="AM3498">
        <v>87.126686152919902</v>
      </c>
      <c r="AN3498">
        <v>1.00000001249904</v>
      </c>
    </row>
    <row r="3499" spans="1:40" x14ac:dyDescent="0.25">
      <c r="A3499" t="str">
        <f>"20190303162620615"</f>
        <v>20190303162620615</v>
      </c>
      <c r="B3499" t="str">
        <f>"1551601580607337"</f>
        <v>1551601580607337</v>
      </c>
      <c r="C3499" t="s">
        <v>40</v>
      </c>
      <c r="D3499">
        <v>4.7391800000000002</v>
      </c>
      <c r="E3499">
        <v>0.52064109999999997</v>
      </c>
      <c r="F3499" t="s">
        <v>47</v>
      </c>
      <c r="G3499">
        <v>-300.26119999999997</v>
      </c>
      <c r="H3499" s="1">
        <v>-9.9433929999999995E-6</v>
      </c>
      <c r="I3499">
        <v>146.59049999999999</v>
      </c>
      <c r="J3499">
        <v>-259.9391</v>
      </c>
      <c r="K3499">
        <v>1.1207240000000001</v>
      </c>
      <c r="L3499">
        <v>141.4323</v>
      </c>
      <c r="M3499">
        <v>-0.99953139999999996</v>
      </c>
      <c r="N3499">
        <v>-1.387715E-2</v>
      </c>
      <c r="O3499">
        <v>2.72827E-2</v>
      </c>
      <c r="P3499">
        <v>-0.97879839999999996</v>
      </c>
      <c r="Q3499">
        <v>0.18963869999999999</v>
      </c>
      <c r="R3499">
        <v>7.7399560000000006E-2</v>
      </c>
      <c r="S3499">
        <v>-3.0518489999999998</v>
      </c>
      <c r="T3499">
        <v>-8.4093329999999994E-2</v>
      </c>
      <c r="U3499">
        <v>0.38777159999999999</v>
      </c>
      <c r="V3499">
        <v>5.0890240000000003E-2</v>
      </c>
      <c r="W3499">
        <v>0.2031715</v>
      </c>
      <c r="X3499">
        <v>0.97781980000000002</v>
      </c>
      <c r="Y3499">
        <v>9.8879869999999995E-2</v>
      </c>
      <c r="Z3499">
        <v>1.674706E-3</v>
      </c>
      <c r="AA3499">
        <v>0.99509800000000004</v>
      </c>
      <c r="AB3499">
        <v>35</v>
      </c>
      <c r="AC3499">
        <v>-40.322099999999899</v>
      </c>
      <c r="AD3499">
        <v>-1.1207339433929999</v>
      </c>
      <c r="AE3499">
        <v>5.1581999999999901</v>
      </c>
      <c r="AF3499">
        <v>4.0529971273125298</v>
      </c>
      <c r="AG3499">
        <v>-1.1207339433929999</v>
      </c>
      <c r="AH3499">
        <v>40.417109768517101</v>
      </c>
      <c r="AI3499">
        <v>91.580436412789794</v>
      </c>
      <c r="AJ3499">
        <v>84.273566328340394</v>
      </c>
      <c r="AK3499">
        <v>40.635275221489998</v>
      </c>
      <c r="AL3499">
        <v>78.277518917572905</v>
      </c>
      <c r="AM3499">
        <v>87.020752058381206</v>
      </c>
      <c r="AN3499">
        <v>1.00000001810577</v>
      </c>
    </row>
    <row r="3500" spans="1:40" x14ac:dyDescent="0.25">
      <c r="A3500" t="str">
        <f>"20190303162620638"</f>
        <v>20190303162620638</v>
      </c>
      <c r="B3500" t="str">
        <f>"1551601580627834"</f>
        <v>1551601580627834</v>
      </c>
      <c r="C3500" t="s">
        <v>40</v>
      </c>
      <c r="D3500">
        <v>4.7352169999999996</v>
      </c>
      <c r="E3500">
        <v>0.5207193</v>
      </c>
      <c r="F3500" t="s">
        <v>47</v>
      </c>
      <c r="G3500">
        <v>-298.81319999999999</v>
      </c>
      <c r="H3500" s="1">
        <v>-9.9549349999999992E-6</v>
      </c>
      <c r="I3500">
        <v>146.4571</v>
      </c>
      <c r="J3500">
        <v>-260.29270000000002</v>
      </c>
      <c r="K3500">
        <v>1.120692</v>
      </c>
      <c r="L3500">
        <v>141.4425</v>
      </c>
      <c r="M3500">
        <v>-0.99951570000000001</v>
      </c>
      <c r="N3500">
        <v>-1.3874600000000001E-2</v>
      </c>
      <c r="O3500">
        <v>2.7855930000000001E-2</v>
      </c>
      <c r="P3500">
        <v>-0.9786918</v>
      </c>
      <c r="Q3500">
        <v>0.18922120000000001</v>
      </c>
      <c r="R3500">
        <v>7.9736790000000002E-2</v>
      </c>
      <c r="S3500">
        <v>-3.0508419999999998</v>
      </c>
      <c r="T3500">
        <v>-8.7955240000000004E-2</v>
      </c>
      <c r="U3500">
        <v>0.39434809999999998</v>
      </c>
      <c r="V3500">
        <v>5.268287E-2</v>
      </c>
      <c r="W3500">
        <v>0.2027448</v>
      </c>
      <c r="X3500">
        <v>0.97781340000000005</v>
      </c>
      <c r="Y3500">
        <v>0.1004558</v>
      </c>
      <c r="Z3500">
        <v>1.727714E-3</v>
      </c>
      <c r="AA3500">
        <v>0.99494000000000005</v>
      </c>
      <c r="AB3500">
        <v>35</v>
      </c>
      <c r="AC3500">
        <v>-38.520499999999899</v>
      </c>
      <c r="AD3500">
        <v>-1.1207019549349999</v>
      </c>
      <c r="AE3500">
        <v>5.0145999999999997</v>
      </c>
      <c r="AF3500">
        <v>3.9362498245136202</v>
      </c>
      <c r="AG3500">
        <v>-1.1207019549349999</v>
      </c>
      <c r="AH3500">
        <v>38.613109919808998</v>
      </c>
      <c r="AI3500">
        <v>91.653912001504395</v>
      </c>
      <c r="AJ3500">
        <v>84.179331677945896</v>
      </c>
      <c r="AK3500">
        <v>38.8293998567069</v>
      </c>
      <c r="AL3500">
        <v>78.302486359917395</v>
      </c>
      <c r="AM3500">
        <v>86.915985802530102</v>
      </c>
      <c r="AN3500">
        <v>0.99999999196901801</v>
      </c>
    </row>
    <row r="3501" spans="1:40" x14ac:dyDescent="0.25">
      <c r="A3501" t="str">
        <f>"20190303162620661"</f>
        <v>20190303162620661</v>
      </c>
      <c r="B3501" t="str">
        <f>"1551601580657114"</f>
        <v>1551601580657114</v>
      </c>
      <c r="C3501" t="s">
        <v>40</v>
      </c>
      <c r="D3501">
        <v>4.7301449999999896</v>
      </c>
      <c r="E3501">
        <v>0.5209279</v>
      </c>
      <c r="F3501" t="s">
        <v>47</v>
      </c>
      <c r="G3501">
        <v>-298.54020000000003</v>
      </c>
      <c r="H3501" s="1">
        <v>-9.9858209999999993E-6</v>
      </c>
      <c r="I3501">
        <v>146.48330000000001</v>
      </c>
      <c r="J3501">
        <v>-260.6601</v>
      </c>
      <c r="K3501">
        <v>1.1206689999999999</v>
      </c>
      <c r="L3501">
        <v>141.45339999999999</v>
      </c>
      <c r="M3501">
        <v>-0.99949840000000001</v>
      </c>
      <c r="N3501">
        <v>-1.3871980000000001E-2</v>
      </c>
      <c r="O3501">
        <v>2.8471320000000001E-2</v>
      </c>
      <c r="P3501">
        <v>-0.97852249999999996</v>
      </c>
      <c r="Q3501">
        <v>0.1893561</v>
      </c>
      <c r="R3501">
        <v>8.1474270000000001E-2</v>
      </c>
      <c r="S3501">
        <v>-3.0498349999999999</v>
      </c>
      <c r="T3501">
        <v>-8.9364289999999999E-2</v>
      </c>
      <c r="U3501">
        <v>0.401947</v>
      </c>
      <c r="V3501">
        <v>5.3831759999999999E-2</v>
      </c>
      <c r="W3501">
        <v>0.20287169999999999</v>
      </c>
      <c r="X3501">
        <v>0.9777245</v>
      </c>
      <c r="Y3501">
        <v>0.1023197</v>
      </c>
      <c r="Z3501">
        <v>1.7687270000000001E-3</v>
      </c>
      <c r="AA3501">
        <v>0.99475000000000002</v>
      </c>
      <c r="AB3501">
        <v>35</v>
      </c>
      <c r="AC3501">
        <v>-37.880099999999999</v>
      </c>
      <c r="AD3501">
        <v>-1.120678985821</v>
      </c>
      <c r="AE3501">
        <v>5.02990000000002</v>
      </c>
      <c r="AF3501">
        <v>3.9458665123781902</v>
      </c>
      <c r="AG3501">
        <v>-1.120678985821</v>
      </c>
      <c r="AH3501">
        <v>37.975299888928802</v>
      </c>
      <c r="AI3501">
        <v>91.681303461899006</v>
      </c>
      <c r="AJ3501">
        <v>84.067904659373099</v>
      </c>
      <c r="AK3501">
        <v>38.196193338824202</v>
      </c>
      <c r="AL3501">
        <v>78.295061213773295</v>
      </c>
      <c r="AM3501">
        <v>86.848578831503502</v>
      </c>
      <c r="AN3501">
        <v>0.99999999147291796</v>
      </c>
    </row>
    <row r="3502" spans="1:40" x14ac:dyDescent="0.25">
      <c r="A3502" t="str">
        <f>"20190303162620683"</f>
        <v>20190303162620683</v>
      </c>
      <c r="B3502" t="str">
        <f>"1551601580677610"</f>
        <v>1551601580677610</v>
      </c>
      <c r="C3502" t="s">
        <v>40</v>
      </c>
      <c r="D3502">
        <v>4.7441339999999999</v>
      </c>
      <c r="E3502">
        <v>0.52104640000000002</v>
      </c>
      <c r="F3502" t="s">
        <v>47</v>
      </c>
      <c r="G3502">
        <v>-299.07479999999998</v>
      </c>
      <c r="H3502" s="1">
        <v>-9.9713670000000005E-6</v>
      </c>
      <c r="I3502">
        <v>146.60650000000001</v>
      </c>
      <c r="J3502">
        <v>-260.9982</v>
      </c>
      <c r="K3502">
        <v>1.120654</v>
      </c>
      <c r="L3502">
        <v>141.46360000000001</v>
      </c>
      <c r="M3502">
        <v>-0.99948199999999998</v>
      </c>
      <c r="N3502">
        <v>-1.386925E-2</v>
      </c>
      <c r="O3502">
        <v>2.904487E-2</v>
      </c>
      <c r="P3502">
        <v>-0.97829710000000003</v>
      </c>
      <c r="Q3502">
        <v>0.18972020000000001</v>
      </c>
      <c r="R3502">
        <v>8.3315479999999997E-2</v>
      </c>
      <c r="S3502">
        <v>-3.0490110000000001</v>
      </c>
      <c r="T3502">
        <v>-8.8949319999999998E-2</v>
      </c>
      <c r="U3502">
        <v>0.40901179999999998</v>
      </c>
      <c r="V3502">
        <v>5.5123489999999997E-2</v>
      </c>
      <c r="W3502">
        <v>0.20322750000000001</v>
      </c>
      <c r="X3502">
        <v>0.97757859999999996</v>
      </c>
      <c r="Y3502">
        <v>0.1040478</v>
      </c>
      <c r="Z3502">
        <v>1.7939970000000001E-3</v>
      </c>
      <c r="AA3502">
        <v>0.99457070000000003</v>
      </c>
      <c r="AB3502">
        <v>35</v>
      </c>
      <c r="AC3502">
        <v>-38.0765999999999</v>
      </c>
      <c r="AD3502">
        <v>-1.1206639713669999</v>
      </c>
      <c r="AE3502">
        <v>5.1428999999999903</v>
      </c>
      <c r="AF3502">
        <v>4.0312642382438604</v>
      </c>
      <c r="AG3502">
        <v>-1.1206639713669999</v>
      </c>
      <c r="AH3502">
        <v>38.177443899583203</v>
      </c>
      <c r="AI3502">
        <v>91.672091801173707</v>
      </c>
      <c r="AJ3502">
        <v>83.972313021116904</v>
      </c>
      <c r="AK3502">
        <v>38.406043818663299</v>
      </c>
      <c r="AL3502">
        <v>78.274241387262293</v>
      </c>
      <c r="AM3502">
        <v>86.772635676942002</v>
      </c>
      <c r="AN3502">
        <v>0.99999996754199405</v>
      </c>
    </row>
    <row r="3503" spans="1:40" x14ac:dyDescent="0.25">
      <c r="A3503" t="str">
        <f>"20190303162620702"</f>
        <v>20190303162620702</v>
      </c>
      <c r="B3503" t="str">
        <f>"1551601580697130"</f>
        <v>1551601580697130</v>
      </c>
      <c r="C3503" t="s">
        <v>40</v>
      </c>
      <c r="D3503">
        <v>4.7101620000000004</v>
      </c>
      <c r="E3503">
        <v>0.52051049999999999</v>
      </c>
      <c r="F3503" t="s">
        <v>47</v>
      </c>
      <c r="G3503">
        <v>-300.12970000000001</v>
      </c>
      <c r="H3503" s="1">
        <v>-9.9789050000000006E-6</v>
      </c>
      <c r="I3503">
        <v>146.81360000000001</v>
      </c>
      <c r="J3503">
        <v>-261.30889999999999</v>
      </c>
      <c r="K3503">
        <v>1.120641</v>
      </c>
      <c r="L3503">
        <v>141.47309999999999</v>
      </c>
      <c r="M3503">
        <v>-0.99946639999999998</v>
      </c>
      <c r="N3503">
        <v>-1.3866710000000001E-2</v>
      </c>
      <c r="O3503">
        <v>2.9573039999999998E-2</v>
      </c>
      <c r="P3503">
        <v>-0.97836140000000005</v>
      </c>
      <c r="Q3503">
        <v>0.18910109999999999</v>
      </c>
      <c r="R3503">
        <v>8.3962300000000004E-2</v>
      </c>
      <c r="S3503">
        <v>-3.0480040000000002</v>
      </c>
      <c r="T3503">
        <v>-8.7290049999999994E-2</v>
      </c>
      <c r="U3503">
        <v>0.41671750000000002</v>
      </c>
      <c r="V3503">
        <v>5.525389E-2</v>
      </c>
      <c r="W3503">
        <v>0.20260610000000001</v>
      </c>
      <c r="X3503">
        <v>0.97770020000000002</v>
      </c>
      <c r="Y3503">
        <v>0.106035</v>
      </c>
      <c r="Z3503">
        <v>1.8159350000000001E-3</v>
      </c>
      <c r="AA3503">
        <v>0.99436069999999999</v>
      </c>
      <c r="AB3503">
        <v>35</v>
      </c>
      <c r="AC3503">
        <v>-38.820799999999998</v>
      </c>
      <c r="AD3503">
        <v>-1.1206509789049901</v>
      </c>
      <c r="AE3503">
        <v>5.34050000000002</v>
      </c>
      <c r="AF3503">
        <v>4.1865802696218104</v>
      </c>
      <c r="AG3503">
        <v>-1.1206509789049901</v>
      </c>
      <c r="AH3503">
        <v>38.929928836686003</v>
      </c>
      <c r="AI3503">
        <v>91.639433931614306</v>
      </c>
      <c r="AJ3503">
        <v>83.861919947711996</v>
      </c>
      <c r="AK3503">
        <v>39.170431095405903</v>
      </c>
      <c r="AL3503">
        <v>78.310601244170698</v>
      </c>
      <c r="AM3503">
        <v>86.765418719179195</v>
      </c>
      <c r="AN3503">
        <v>0.99999995259868901</v>
      </c>
    </row>
    <row r="3504" spans="1:40" x14ac:dyDescent="0.25">
      <c r="A3504" t="str">
        <f>"20190303162620727"</f>
        <v>20190303162620727</v>
      </c>
      <c r="B3504" t="str">
        <f>"1551601580716650"</f>
        <v>1551601580716650</v>
      </c>
      <c r="C3504" t="s">
        <v>40</v>
      </c>
      <c r="D3504">
        <v>4.7712219999999999</v>
      </c>
      <c r="E3504">
        <v>0.52025540000000003</v>
      </c>
      <c r="F3504" t="s">
        <v>42</v>
      </c>
      <c r="G3504">
        <v>-262.27550000000002</v>
      </c>
      <c r="H3504">
        <v>1.0474079999999999</v>
      </c>
      <c r="I3504">
        <v>141.60380000000001</v>
      </c>
      <c r="J3504">
        <v>-261.68599999999998</v>
      </c>
      <c r="K3504">
        <v>1.12063</v>
      </c>
      <c r="L3504">
        <v>141.48490000000001</v>
      </c>
      <c r="M3504">
        <v>-0.99944739999999999</v>
      </c>
      <c r="N3504">
        <v>-1.386356E-2</v>
      </c>
      <c r="O3504">
        <v>3.0212599999999999E-2</v>
      </c>
      <c r="P3504">
        <v>-0.9785758</v>
      </c>
      <c r="Q3504">
        <v>0.18786030000000001</v>
      </c>
      <c r="R3504">
        <v>8.4249790000000005E-2</v>
      </c>
      <c r="S3504">
        <v>-3.075745</v>
      </c>
      <c r="T3504">
        <v>-0.23305519999999999</v>
      </c>
      <c r="U3504">
        <v>0.41538999999999998</v>
      </c>
      <c r="V3504">
        <v>5.491E-2</v>
      </c>
      <c r="W3504">
        <v>0.20136570000000001</v>
      </c>
      <c r="X3504">
        <v>0.97797579999999995</v>
      </c>
      <c r="Y3504">
        <v>0.103544899999999</v>
      </c>
      <c r="Z3504">
        <v>2.7643530000000002E-3</v>
      </c>
      <c r="AA3504">
        <v>0.99462090000000003</v>
      </c>
      <c r="AB3504">
        <v>35</v>
      </c>
      <c r="AC3504">
        <v>-0.58950000000004299</v>
      </c>
      <c r="AD3504">
        <v>-7.3222000000000106E-2</v>
      </c>
      <c r="AE3504">
        <v>0.118899999999996</v>
      </c>
      <c r="AF3504">
        <v>9.9557719018666002E-2</v>
      </c>
      <c r="AG3504">
        <v>-7.3222000000000106E-2</v>
      </c>
      <c r="AH3504">
        <v>0.58416318187164196</v>
      </c>
      <c r="AI3504">
        <v>97.043960965210104</v>
      </c>
      <c r="AJ3504">
        <v>80.328126742829397</v>
      </c>
      <c r="AK3504">
        <v>0.59709281000075798</v>
      </c>
      <c r="AL3504">
        <v>78.383166703446406</v>
      </c>
      <c r="AM3504">
        <v>86.786411772457399</v>
      </c>
      <c r="AN3504">
        <v>0.999999959311064</v>
      </c>
    </row>
    <row r="3505" spans="1:40" x14ac:dyDescent="0.25">
      <c r="A3505" t="str">
        <f>"20190303162620748"</f>
        <v>20190303162620748</v>
      </c>
      <c r="B3505" t="str">
        <f>"1551601580737146"</f>
        <v>1551601580737146</v>
      </c>
      <c r="C3505" t="s">
        <v>40</v>
      </c>
      <c r="D3505">
        <v>4.7499330000000004</v>
      </c>
      <c r="E3505">
        <v>0.51615509999999998</v>
      </c>
      <c r="F3505" t="s">
        <v>42</v>
      </c>
      <c r="G3505">
        <v>-262.5772</v>
      </c>
      <c r="H3505">
        <v>1.031374</v>
      </c>
      <c r="I3505">
        <v>141.60489999999999</v>
      </c>
      <c r="J3505">
        <v>-262.01499999999999</v>
      </c>
      <c r="K3505">
        <v>1.120622</v>
      </c>
      <c r="L3505">
        <v>141.49539999999999</v>
      </c>
      <c r="M3505">
        <v>-0.99943059999999995</v>
      </c>
      <c r="N3505">
        <v>-1.3858799999999999E-2</v>
      </c>
      <c r="O3505">
        <v>3.0767610000000001E-2</v>
      </c>
      <c r="P3505">
        <v>-0.97861149999999997</v>
      </c>
      <c r="Q3505">
        <v>0.1874702</v>
      </c>
      <c r="R3505">
        <v>8.4705089999999997E-2</v>
      </c>
      <c r="S3505">
        <v>-3.0893250000000001</v>
      </c>
      <c r="T3505">
        <v>-0.30942229999999998</v>
      </c>
      <c r="U3505">
        <v>0.41522219999999999</v>
      </c>
      <c r="V3505">
        <v>5.48219E-2</v>
      </c>
      <c r="W3505">
        <v>0.20097100000000001</v>
      </c>
      <c r="X3505">
        <v>0.97806199999999999</v>
      </c>
      <c r="Y3505">
        <v>0.1021878</v>
      </c>
      <c r="Z3505">
        <v>3.1608510000000001E-3</v>
      </c>
      <c r="AA3505">
        <v>0.99476010000000004</v>
      </c>
      <c r="AB3505">
        <v>35</v>
      </c>
      <c r="AC3505">
        <v>-0.56220000000001802</v>
      </c>
      <c r="AD3505">
        <v>-8.9247999999999994E-2</v>
      </c>
      <c r="AE3505">
        <v>0.109499999999997</v>
      </c>
      <c r="AF3505">
        <v>8.9964617314362297E-2</v>
      </c>
      <c r="AG3505">
        <v>-8.9247999999999994E-2</v>
      </c>
      <c r="AH3505">
        <v>0.55190307013277595</v>
      </c>
      <c r="AI3505">
        <v>99.068097054210497</v>
      </c>
      <c r="AJ3505">
        <v>80.741758429117994</v>
      </c>
      <c r="AK3505">
        <v>0.56626481145706298</v>
      </c>
      <c r="AL3505">
        <v>78.406254143109095</v>
      </c>
      <c r="AM3505">
        <v>86.791839193588402</v>
      </c>
      <c r="AN3505">
        <v>1.0000000297023</v>
      </c>
    </row>
    <row r="3506" spans="1:40" x14ac:dyDescent="0.25">
      <c r="A3506" t="str">
        <f>"20190303162620770"</f>
        <v>20190303162620770</v>
      </c>
      <c r="B3506" t="str">
        <f>"1551601580767402"</f>
        <v>1551601580767402</v>
      </c>
      <c r="C3506" t="s">
        <v>40</v>
      </c>
      <c r="D3506">
        <v>4.7536290000000001</v>
      </c>
      <c r="E3506">
        <v>0.51500519999999905</v>
      </c>
      <c r="F3506" t="s">
        <v>42</v>
      </c>
      <c r="G3506">
        <v>-262.83150000000001</v>
      </c>
      <c r="H3506">
        <v>0.9134582</v>
      </c>
      <c r="I3506">
        <v>141.5943</v>
      </c>
      <c r="J3506">
        <v>-262.35520000000002</v>
      </c>
      <c r="K3506">
        <v>1.120614</v>
      </c>
      <c r="L3506">
        <v>141.50649999999999</v>
      </c>
      <c r="M3506">
        <v>-0.999413</v>
      </c>
      <c r="N3506">
        <v>-1.3847089999999999E-2</v>
      </c>
      <c r="O3506">
        <v>3.1339590000000001E-2</v>
      </c>
      <c r="P3506">
        <v>-0.97872499999999996</v>
      </c>
      <c r="Q3506">
        <v>0.1869682</v>
      </c>
      <c r="R3506">
        <v>8.4500980000000003E-2</v>
      </c>
      <c r="S3506">
        <v>-3.1871339999999999</v>
      </c>
      <c r="T3506">
        <v>-0.80869250000000004</v>
      </c>
      <c r="U3506">
        <v>0.38542179999999998</v>
      </c>
      <c r="V3506">
        <v>5.4054650000000003E-2</v>
      </c>
      <c r="W3506">
        <v>0.20046040000000001</v>
      </c>
      <c r="X3506">
        <v>0.97820940000000001</v>
      </c>
      <c r="Y3506">
        <v>8.6888569999999998E-2</v>
      </c>
      <c r="Z3506">
        <v>4.0575439999999997E-3</v>
      </c>
      <c r="AA3506">
        <v>0.99620980000000003</v>
      </c>
      <c r="AB3506">
        <v>35</v>
      </c>
      <c r="AC3506">
        <v>-0.47629999999998002</v>
      </c>
      <c r="AD3506">
        <v>-0.2071558</v>
      </c>
      <c r="AE3506">
        <v>8.7800000000015602E-2</v>
      </c>
      <c r="AF3506">
        <v>6.15653158810157E-2</v>
      </c>
      <c r="AG3506">
        <v>-0.2071558</v>
      </c>
      <c r="AH3506">
        <v>0.40476762585682602</v>
      </c>
      <c r="AI3506">
        <v>116.83805191245099</v>
      </c>
      <c r="AJ3506">
        <v>81.351575177456994</v>
      </c>
      <c r="AK3506">
        <v>0.45884708186381701</v>
      </c>
      <c r="AL3506">
        <v>78.436116201564403</v>
      </c>
      <c r="AM3506">
        <v>86.837122293929895</v>
      </c>
      <c r="AN3506">
        <v>0.99999995370157002</v>
      </c>
    </row>
    <row r="3507" spans="1:40" x14ac:dyDescent="0.25">
      <c r="A3507" t="str">
        <f>"20190303162620793"</f>
        <v>20190303162620793</v>
      </c>
      <c r="B3507" t="str">
        <f>"1551601580786922"</f>
        <v>1551601580786922</v>
      </c>
      <c r="C3507" t="s">
        <v>40</v>
      </c>
      <c r="D3507">
        <v>4.7465510000000002</v>
      </c>
      <c r="E3507">
        <v>0.51491579999999904</v>
      </c>
      <c r="F3507" t="s">
        <v>42</v>
      </c>
      <c r="G3507">
        <v>-263.14049999999997</v>
      </c>
      <c r="H3507">
        <v>0.90688290000000005</v>
      </c>
      <c r="I3507">
        <v>141.59870000000001</v>
      </c>
      <c r="J3507">
        <v>-262.72179999999997</v>
      </c>
      <c r="K3507">
        <v>1.120601</v>
      </c>
      <c r="L3507">
        <v>141.51859999999999</v>
      </c>
      <c r="M3507">
        <v>-0.99939370000000005</v>
      </c>
      <c r="N3507">
        <v>-1.3827280000000001E-2</v>
      </c>
      <c r="O3507">
        <v>3.1954389999999999E-2</v>
      </c>
      <c r="P3507">
        <v>-0.97877309999999995</v>
      </c>
      <c r="Q3507">
        <v>0.18668109999999999</v>
      </c>
      <c r="R3507">
        <v>8.4578860000000006E-2</v>
      </c>
      <c r="S3507">
        <v>-3.1991879999999999</v>
      </c>
      <c r="T3507">
        <v>-0.87066569999999899</v>
      </c>
      <c r="U3507">
        <v>0.37464900000000001</v>
      </c>
      <c r="V3507">
        <v>5.3529340000000002E-2</v>
      </c>
      <c r="W3507">
        <v>0.2001549</v>
      </c>
      <c r="X3507">
        <v>0.97830090000000003</v>
      </c>
      <c r="Y3507">
        <v>8.2431569999999996E-2</v>
      </c>
      <c r="Z3507">
        <v>3.488175E-3</v>
      </c>
      <c r="AA3507">
        <v>0.99659059999999999</v>
      </c>
      <c r="AB3507">
        <v>35</v>
      </c>
      <c r="AC3507">
        <v>-0.41870000000000102</v>
      </c>
      <c r="AD3507">
        <v>-0.21371809999999999</v>
      </c>
      <c r="AE3507">
        <v>8.0100000000015797E-2</v>
      </c>
      <c r="AF3507">
        <v>5.3285567490763797E-2</v>
      </c>
      <c r="AG3507">
        <v>-0.21371809999999999</v>
      </c>
      <c r="AH3507">
        <v>0.33647532004652703</v>
      </c>
      <c r="AI3507">
        <v>122.102073978128</v>
      </c>
      <c r="AJ3507">
        <v>81.001144164619106</v>
      </c>
      <c r="AK3507">
        <v>0.40215720678714101</v>
      </c>
      <c r="AL3507">
        <v>78.453982840736103</v>
      </c>
      <c r="AM3507">
        <v>86.868090412212197</v>
      </c>
      <c r="AN3507">
        <v>1.0000000125878199</v>
      </c>
    </row>
    <row r="3508" spans="1:40" x14ac:dyDescent="0.25">
      <c r="A3508" t="str">
        <f>"20190303162620817"</f>
        <v>20190303162620817</v>
      </c>
      <c r="B3508" t="str">
        <f>"1551601580807418"</f>
        <v>1551601580807418</v>
      </c>
      <c r="C3508" t="s">
        <v>40</v>
      </c>
      <c r="D3508">
        <v>4.7274580000000004</v>
      </c>
      <c r="E3508">
        <v>0.51549990000000001</v>
      </c>
      <c r="F3508" t="s">
        <v>42</v>
      </c>
      <c r="G3508">
        <v>-263.45760000000001</v>
      </c>
      <c r="H3508">
        <v>0.91824899999999998</v>
      </c>
      <c r="I3508">
        <v>141.60429999999999</v>
      </c>
      <c r="J3508">
        <v>-263.08260000000001</v>
      </c>
      <c r="K3508">
        <v>1.1205969999999901</v>
      </c>
      <c r="L3508">
        <v>141.5308</v>
      </c>
      <c r="M3508">
        <v>-0.9993746</v>
      </c>
      <c r="N3508">
        <v>-1.380517E-2</v>
      </c>
      <c r="O3508">
        <v>3.2557570000000001E-2</v>
      </c>
      <c r="P3508">
        <v>-0.97901919999999998</v>
      </c>
      <c r="Q3508">
        <v>0.18570149999999999</v>
      </c>
      <c r="R3508">
        <v>8.388574E-2</v>
      </c>
      <c r="S3508">
        <v>-3.200806</v>
      </c>
      <c r="T3508">
        <v>-0.8803455</v>
      </c>
      <c r="U3508">
        <v>0.37255860000000002</v>
      </c>
      <c r="V3508">
        <v>5.223672E-2</v>
      </c>
      <c r="W3508">
        <v>0.19915869999999999</v>
      </c>
      <c r="X3508">
        <v>0.97857400000000005</v>
      </c>
      <c r="Y3508">
        <v>8.1158209999999995E-2</v>
      </c>
      <c r="Z3508">
        <v>3.1776399999999998E-3</v>
      </c>
      <c r="AA3508">
        <v>0.99669620000000003</v>
      </c>
      <c r="AB3508">
        <v>35</v>
      </c>
      <c r="AC3508">
        <v>-0.375</v>
      </c>
      <c r="AD3508">
        <v>-0.202347999999999</v>
      </c>
      <c r="AE3508">
        <v>7.3499999999995597E-2</v>
      </c>
      <c r="AF3508">
        <v>4.78375594286495E-2</v>
      </c>
      <c r="AG3508">
        <v>-0.202347999999999</v>
      </c>
      <c r="AH3508">
        <v>0.29459313357698902</v>
      </c>
      <c r="AI3508">
        <v>124.136955117369</v>
      </c>
      <c r="AJ3508">
        <v>80.776523247644704</v>
      </c>
      <c r="AK3508">
        <v>0.36058044809279199</v>
      </c>
      <c r="AL3508">
        <v>78.5122332099278</v>
      </c>
      <c r="AM3508">
        <v>86.944425590777897</v>
      </c>
      <c r="AN3508">
        <v>0.99999996808902303</v>
      </c>
    </row>
    <row r="3509" spans="1:40" x14ac:dyDescent="0.25">
      <c r="A3509" t="str">
        <f>"20190303162620860"</f>
        <v>20190303162620860</v>
      </c>
      <c r="B3509" t="str">
        <f>"1551601580847433"</f>
        <v>1551601580847433</v>
      </c>
      <c r="C3509" t="s">
        <v>40</v>
      </c>
      <c r="D3509">
        <v>4.6507459999999998</v>
      </c>
      <c r="E3509">
        <v>0.51617650000000004</v>
      </c>
      <c r="F3509" t="s">
        <v>42</v>
      </c>
      <c r="G3509">
        <v>-263.77449999999999</v>
      </c>
      <c r="H3509">
        <v>0.92934410000000001</v>
      </c>
      <c r="I3509">
        <v>141.61170000000001</v>
      </c>
      <c r="J3509">
        <v>-263.74489999999997</v>
      </c>
      <c r="K3509">
        <v>1.120568</v>
      </c>
      <c r="L3509">
        <v>141.55369999999999</v>
      </c>
      <c r="M3509">
        <v>-0.99933859999999997</v>
      </c>
      <c r="N3509">
        <v>-1.3750099999999999E-2</v>
      </c>
      <c r="O3509">
        <v>3.3667040000000002E-2</v>
      </c>
      <c r="P3509">
        <v>-0.97943809999999998</v>
      </c>
      <c r="Q3509">
        <v>0.18387700000000001</v>
      </c>
      <c r="R3509">
        <v>8.3009669999999994E-2</v>
      </c>
      <c r="S3509">
        <v>-3.2001040000000001</v>
      </c>
      <c r="T3509">
        <v>-0.88462079999999998</v>
      </c>
      <c r="U3509">
        <v>0.37321470000000001</v>
      </c>
      <c r="V3509">
        <v>5.025611E-2</v>
      </c>
      <c r="W3509">
        <v>0.19728879999999999</v>
      </c>
      <c r="X3509">
        <v>0.97905640000000005</v>
      </c>
      <c r="Y3509">
        <v>8.032984E-2</v>
      </c>
      <c r="Z3509">
        <v>2.7816270000000001E-3</v>
      </c>
      <c r="AA3509">
        <v>0.99676450000000005</v>
      </c>
      <c r="AB3509">
        <v>35</v>
      </c>
      <c r="AC3509">
        <v>-2.96000000000162E-2</v>
      </c>
      <c r="AD3509">
        <v>-0.1912239</v>
      </c>
      <c r="AE3509">
        <v>5.8000000000021097E-2</v>
      </c>
      <c r="AF3509">
        <v>5.9197066731572602E-3</v>
      </c>
      <c r="AG3509">
        <v>-0.1912239</v>
      </c>
      <c r="AH3509">
        <v>3.2768622402098001E-3</v>
      </c>
      <c r="AI3509">
        <v>177.973527180307</v>
      </c>
      <c r="AJ3509">
        <v>28.966784656230899</v>
      </c>
      <c r="AK3509">
        <v>0.19134356713631001</v>
      </c>
      <c r="AL3509">
        <v>78.621539860545894</v>
      </c>
      <c r="AM3509">
        <v>87.061519676807293</v>
      </c>
      <c r="AN3509">
        <v>0.99999999078936597</v>
      </c>
    </row>
    <row r="3510" spans="1:40" x14ac:dyDescent="0.25">
      <c r="A3510" t="str">
        <f>"20190303162620905"</f>
        <v>20190303162620905</v>
      </c>
      <c r="B3510" t="str">
        <f>"1551601580897210"</f>
        <v>1551601580897210</v>
      </c>
      <c r="C3510" t="s">
        <v>40</v>
      </c>
      <c r="D3510">
        <v>4.5615920000000001</v>
      </c>
      <c r="E3510">
        <v>0.51859</v>
      </c>
      <c r="F3510" t="s">
        <v>42</v>
      </c>
      <c r="G3510">
        <v>-264.67770000000002</v>
      </c>
      <c r="H3510">
        <v>0.86191859999999998</v>
      </c>
      <c r="I3510">
        <v>141.66319999999999</v>
      </c>
      <c r="J3510">
        <v>-264.4443</v>
      </c>
      <c r="K3510">
        <v>1.1205510000000001</v>
      </c>
      <c r="L3510">
        <v>141.5787</v>
      </c>
      <c r="M3510">
        <v>-0.99929950000000001</v>
      </c>
      <c r="N3510">
        <v>-1.3677160000000001E-2</v>
      </c>
      <c r="O3510">
        <v>3.483808E-2</v>
      </c>
      <c r="P3510">
        <v>-0.97942099999999999</v>
      </c>
      <c r="Q3510">
        <v>0.183339</v>
      </c>
      <c r="R3510">
        <v>8.438909E-2</v>
      </c>
      <c r="S3510">
        <v>-3.1976619999999998</v>
      </c>
      <c r="T3510">
        <v>-0.88669959999999903</v>
      </c>
      <c r="U3510">
        <v>0.3746796</v>
      </c>
      <c r="V3510">
        <v>5.0484019999999998E-2</v>
      </c>
      <c r="W3510">
        <v>0.1966801</v>
      </c>
      <c r="X3510">
        <v>0.97916720000000002</v>
      </c>
      <c r="Y3510">
        <v>7.9752149999999994E-2</v>
      </c>
      <c r="Z3510">
        <v>2.3975759999999998E-3</v>
      </c>
      <c r="AA3510">
        <v>0.99681189999999997</v>
      </c>
      <c r="AB3510">
        <v>35</v>
      </c>
      <c r="AC3510">
        <v>-0.23340000000001701</v>
      </c>
      <c r="AD3510">
        <v>-0.25863239999999998</v>
      </c>
      <c r="AE3510">
        <v>8.4499999999991304E-2</v>
      </c>
      <c r="AF3510">
        <v>3.6592048095986603E-2</v>
      </c>
      <c r="AG3510">
        <v>-0.25863239999999998</v>
      </c>
      <c r="AH3510">
        <v>0.113253400376514</v>
      </c>
      <c r="AI3510">
        <v>155.28893890933</v>
      </c>
      <c r="AJ3510">
        <v>72.094412778218597</v>
      </c>
      <c r="AK3510">
        <v>0.28470340533696098</v>
      </c>
      <c r="AL3510">
        <v>78.657113497844193</v>
      </c>
      <c r="AM3510">
        <v>87.048550692920401</v>
      </c>
      <c r="AN3510">
        <v>1.0000000517836001</v>
      </c>
    </row>
    <row r="3511" spans="1:40" x14ac:dyDescent="0.25">
      <c r="A3511" t="str">
        <f>"20190303162620926"</f>
        <v>20190303162620926</v>
      </c>
      <c r="B3511" t="str">
        <f>"1551601580917706"</f>
        <v>1551601580917706</v>
      </c>
      <c r="C3511" t="s">
        <v>40</v>
      </c>
      <c r="D3511">
        <v>4.5488039999999996</v>
      </c>
      <c r="E3511">
        <v>0.51936139999999997</v>
      </c>
      <c r="F3511" t="s">
        <v>42</v>
      </c>
      <c r="G3511">
        <v>-265.30380000000002</v>
      </c>
      <c r="H3511">
        <v>0.87455959999999999</v>
      </c>
      <c r="I3511">
        <v>141.68729999999999</v>
      </c>
      <c r="J3511">
        <v>-264.7919</v>
      </c>
      <c r="K3511">
        <v>1.1205620000000001</v>
      </c>
      <c r="L3511">
        <v>141.59139999999999</v>
      </c>
      <c r="M3511">
        <v>-0.99927969999999999</v>
      </c>
      <c r="N3511">
        <v>-1.364392E-2</v>
      </c>
      <c r="O3511">
        <v>3.5412680000000002E-2</v>
      </c>
      <c r="P3511">
        <v>-0.97923059999999995</v>
      </c>
      <c r="Q3511">
        <v>0.18393619999999999</v>
      </c>
      <c r="R3511">
        <v>8.5294159999999994E-2</v>
      </c>
      <c r="S3511">
        <v>-3.1996769999999999</v>
      </c>
      <c r="T3511">
        <v>-0.91574259999999996</v>
      </c>
      <c r="U3511">
        <v>0.40379330000000002</v>
      </c>
      <c r="V3511">
        <v>5.0829939999999997E-2</v>
      </c>
      <c r="W3511">
        <v>0.19724340000000001</v>
      </c>
      <c r="X3511">
        <v>0.97903589999999996</v>
      </c>
      <c r="Y3511">
        <v>8.7623039999999999E-2</v>
      </c>
      <c r="Z3511">
        <v>3.4396520000000001E-3</v>
      </c>
      <c r="AA3511">
        <v>0.99614780000000003</v>
      </c>
      <c r="AB3511">
        <v>35</v>
      </c>
      <c r="AC3511">
        <v>-0.511900000000025</v>
      </c>
      <c r="AD3511">
        <v>-0.24600240000000001</v>
      </c>
      <c r="AE3511">
        <v>9.5900000000000304E-2</v>
      </c>
      <c r="AF3511">
        <v>6.3534861920678795E-2</v>
      </c>
      <c r="AG3511">
        <v>-0.24600240000000001</v>
      </c>
      <c r="AH3511">
        <v>0.42103607071979698</v>
      </c>
      <c r="AI3511">
        <v>120.016650998285</v>
      </c>
      <c r="AJ3511">
        <v>81.418740533193798</v>
      </c>
      <c r="AK3511">
        <v>0.49175729006513502</v>
      </c>
      <c r="AL3511">
        <v>78.624192959967601</v>
      </c>
      <c r="AM3511">
        <v>87.027965466184</v>
      </c>
      <c r="AN3511">
        <v>0.99999996756638598</v>
      </c>
    </row>
    <row r="3512" spans="1:40" x14ac:dyDescent="0.25">
      <c r="A3512" t="str">
        <f>"20190303162620949"</f>
        <v>20190303162620949</v>
      </c>
      <c r="B3512" t="str">
        <f>"1551601580937226"</f>
        <v>1551601580937226</v>
      </c>
      <c r="C3512" t="s">
        <v>40</v>
      </c>
      <c r="D3512">
        <v>4.5425940000000002</v>
      </c>
      <c r="E3512">
        <v>0.51997170000000004</v>
      </c>
      <c r="F3512" t="s">
        <v>42</v>
      </c>
      <c r="G3512">
        <v>-265.61770000000001</v>
      </c>
      <c r="H3512">
        <v>0.88339650000000003</v>
      </c>
      <c r="I3512">
        <v>141.69890000000001</v>
      </c>
      <c r="J3512">
        <v>-265.13819999999998</v>
      </c>
      <c r="K3512">
        <v>1.1205719999999999</v>
      </c>
      <c r="L3512">
        <v>141.60429999999999</v>
      </c>
      <c r="M3512">
        <v>-0.99926000000000004</v>
      </c>
      <c r="N3512">
        <v>-1.361324E-2</v>
      </c>
      <c r="O3512">
        <v>3.5976599999999997E-2</v>
      </c>
      <c r="P3512">
        <v>-0.97908919999999999</v>
      </c>
      <c r="Q3512">
        <v>0.18460670000000001</v>
      </c>
      <c r="R3512">
        <v>8.5470270000000001E-2</v>
      </c>
      <c r="S3512">
        <v>-3.200043</v>
      </c>
      <c r="T3512">
        <v>-0.91899739999999996</v>
      </c>
      <c r="U3512">
        <v>0.41558840000000002</v>
      </c>
      <c r="V3512">
        <v>5.0454369999999998E-2</v>
      </c>
      <c r="W3512">
        <v>0.19788330000000001</v>
      </c>
      <c r="X3512">
        <v>0.97892619999999997</v>
      </c>
      <c r="Y3512">
        <v>9.0544479999999997E-2</v>
      </c>
      <c r="Z3512">
        <v>3.724284E-3</v>
      </c>
      <c r="AA3512">
        <v>0.99588540000000003</v>
      </c>
      <c r="AB3512">
        <v>35</v>
      </c>
      <c r="AC3512">
        <v>-0.47950000000003001</v>
      </c>
      <c r="AD3512">
        <v>-0.23717549999999901</v>
      </c>
      <c r="AE3512">
        <v>9.4600000000014006E-2</v>
      </c>
      <c r="AF3512">
        <v>6.2555055540350707E-2</v>
      </c>
      <c r="AG3512">
        <v>-0.23717549999999901</v>
      </c>
      <c r="AH3512">
        <v>0.39060763280557098</v>
      </c>
      <c r="AI3512">
        <v>120.94506515009201</v>
      </c>
      <c r="AJ3512">
        <v>80.901451674302905</v>
      </c>
      <c r="AK3512">
        <v>0.46123711426974101</v>
      </c>
      <c r="AL3512">
        <v>78.586792304471501</v>
      </c>
      <c r="AM3512">
        <v>87.049556157082094</v>
      </c>
      <c r="AN3512">
        <v>0.99999997445871303</v>
      </c>
    </row>
    <row r="3513" spans="1:40" x14ac:dyDescent="0.25">
      <c r="A3513" t="str">
        <f>"20190303162620971"</f>
        <v>20190303162620971</v>
      </c>
      <c r="B3513" t="str">
        <f>"1551601580967481"</f>
        <v>1551601580967481</v>
      </c>
      <c r="C3513" t="s">
        <v>40</v>
      </c>
      <c r="D3513">
        <v>4.525601</v>
      </c>
      <c r="E3513">
        <v>0.52084989999999998</v>
      </c>
      <c r="F3513" t="s">
        <v>42</v>
      </c>
      <c r="G3513">
        <v>-265.9314</v>
      </c>
      <c r="H3513">
        <v>0.89234760000000002</v>
      </c>
      <c r="I3513">
        <v>141.709</v>
      </c>
      <c r="J3513">
        <v>-265.46879999999999</v>
      </c>
      <c r="K3513">
        <v>1.120584</v>
      </c>
      <c r="L3513">
        <v>141.61670000000001</v>
      </c>
      <c r="M3513">
        <v>-0.99924139999999995</v>
      </c>
      <c r="N3513">
        <v>-1.3583720000000001E-2</v>
      </c>
      <c r="O3513">
        <v>3.650022E-2</v>
      </c>
      <c r="P3513">
        <v>-0.97895940000000004</v>
      </c>
      <c r="Q3513">
        <v>0.1856353</v>
      </c>
      <c r="R3513">
        <v>8.4725700000000001E-2</v>
      </c>
      <c r="S3513">
        <v>-3.2008359999999998</v>
      </c>
      <c r="T3513">
        <v>-0.92103239999999997</v>
      </c>
      <c r="U3513">
        <v>0.42231750000000001</v>
      </c>
      <c r="V3513">
        <v>4.9196370000000003E-2</v>
      </c>
      <c r="W3513">
        <v>0.19888439999999999</v>
      </c>
      <c r="X3513">
        <v>0.97878739999999997</v>
      </c>
      <c r="Y3513">
        <v>9.200005E-2</v>
      </c>
      <c r="Z3513">
        <v>3.801292E-3</v>
      </c>
      <c r="AA3513">
        <v>0.99575170000000002</v>
      </c>
      <c r="AB3513">
        <v>35</v>
      </c>
      <c r="AC3513">
        <v>-0.462600000000008</v>
      </c>
      <c r="AD3513">
        <v>-0.22823640000000001</v>
      </c>
      <c r="AE3513">
        <v>9.2299999999994498E-2</v>
      </c>
      <c r="AF3513">
        <v>6.1058116615404702E-2</v>
      </c>
      <c r="AG3513">
        <v>-0.22823640000000001</v>
      </c>
      <c r="AH3513">
        <v>0.37732787123525702</v>
      </c>
      <c r="AI3513">
        <v>120.841783445746</v>
      </c>
      <c r="AJ3513">
        <v>80.808236355065304</v>
      </c>
      <c r="AK3513">
        <v>0.44519239694822998</v>
      </c>
      <c r="AL3513">
        <v>78.528270992476905</v>
      </c>
      <c r="AM3513">
        <v>87.122588346638693</v>
      </c>
      <c r="AN3513">
        <v>1.0000000308916399</v>
      </c>
    </row>
    <row r="3514" spans="1:40" x14ac:dyDescent="0.25">
      <c r="A3514" t="str">
        <f>"20190303162620993"</f>
        <v>20190303162620993</v>
      </c>
      <c r="B3514" t="str">
        <f>"1551601580987002"</f>
        <v>1551601580987002</v>
      </c>
      <c r="C3514" t="s">
        <v>40</v>
      </c>
      <c r="D3514">
        <v>4.5056099999999999</v>
      </c>
      <c r="E3514">
        <v>0.52126329999999998</v>
      </c>
      <c r="F3514" t="s">
        <v>42</v>
      </c>
      <c r="G3514">
        <v>-266.24360000000001</v>
      </c>
      <c r="H3514">
        <v>0.89772669999999999</v>
      </c>
      <c r="I3514">
        <v>141.72059999999999</v>
      </c>
      <c r="J3514">
        <v>-265.83089999999999</v>
      </c>
      <c r="K3514">
        <v>1.1206069999999999</v>
      </c>
      <c r="L3514">
        <v>141.63050000000001</v>
      </c>
      <c r="M3514">
        <v>-0.99922169999999999</v>
      </c>
      <c r="N3514">
        <v>-1.354929E-2</v>
      </c>
      <c r="O3514">
        <v>3.7048610000000003E-2</v>
      </c>
      <c r="P3514">
        <v>-0.97889409999999999</v>
      </c>
      <c r="Q3514">
        <v>0.18673519999999999</v>
      </c>
      <c r="R3514">
        <v>8.3046380000000003E-2</v>
      </c>
      <c r="S3514">
        <v>-3.2020870000000001</v>
      </c>
      <c r="T3514">
        <v>-0.92108920000000005</v>
      </c>
      <c r="U3514">
        <v>0.42852780000000001</v>
      </c>
      <c r="V3514">
        <v>4.697399E-2</v>
      </c>
      <c r="W3514">
        <v>0.19995399999999999</v>
      </c>
      <c r="X3514">
        <v>0.97867859999999995</v>
      </c>
      <c r="Y3514">
        <v>9.3270779999999998E-2</v>
      </c>
      <c r="Z3514">
        <v>3.838157E-3</v>
      </c>
      <c r="AA3514">
        <v>0.9956334</v>
      </c>
      <c r="AB3514">
        <v>35</v>
      </c>
      <c r="AC3514">
        <v>-0.41270000000002899</v>
      </c>
      <c r="AD3514">
        <v>-0.222880299999999</v>
      </c>
      <c r="AE3514">
        <v>9.0099999999978295E-2</v>
      </c>
      <c r="AF3514">
        <v>5.8469478993806098E-2</v>
      </c>
      <c r="AG3514">
        <v>-0.222880299999999</v>
      </c>
      <c r="AH3514">
        <v>0.32521778347615699</v>
      </c>
      <c r="AI3514">
        <v>124.000133731517</v>
      </c>
      <c r="AJ3514">
        <v>79.8079246248045</v>
      </c>
      <c r="AK3514">
        <v>0.39857360021838101</v>
      </c>
      <c r="AL3514">
        <v>78.465730674118007</v>
      </c>
      <c r="AM3514">
        <v>87.252062679878804</v>
      </c>
      <c r="AN3514">
        <v>0.99999997997523904</v>
      </c>
    </row>
    <row r="3515" spans="1:40" x14ac:dyDescent="0.25">
      <c r="A3515" t="str">
        <f>"20190303162621017"</f>
        <v>20190303162621017</v>
      </c>
      <c r="B3515" t="str">
        <f>"1551601581007498"</f>
        <v>1551601581007498</v>
      </c>
      <c r="C3515" t="s">
        <v>40</v>
      </c>
      <c r="D3515">
        <v>4.5997560000000002</v>
      </c>
      <c r="E3515">
        <v>0.49880200000000002</v>
      </c>
      <c r="F3515" t="s">
        <v>42</v>
      </c>
      <c r="G3515">
        <v>-266.55959999999999</v>
      </c>
      <c r="H3515">
        <v>0.91207179999999999</v>
      </c>
      <c r="I3515">
        <v>141.72810000000001</v>
      </c>
      <c r="J3515">
        <v>-266.18889999999999</v>
      </c>
      <c r="K3515">
        <v>1.1206339999999999</v>
      </c>
      <c r="L3515">
        <v>141.64439999999999</v>
      </c>
      <c r="M3515">
        <v>-0.99920319999999996</v>
      </c>
      <c r="N3515">
        <v>-1.351542E-2</v>
      </c>
      <c r="O3515">
        <v>3.7553080000000003E-2</v>
      </c>
      <c r="P3515">
        <v>-0.97880290000000003</v>
      </c>
      <c r="Q3515">
        <v>0.18771679999999999</v>
      </c>
      <c r="R3515">
        <v>8.1899540000000007E-2</v>
      </c>
      <c r="S3515">
        <v>-3.203217</v>
      </c>
      <c r="T3515">
        <v>-0.91670660000000004</v>
      </c>
      <c r="U3515">
        <v>0.428421</v>
      </c>
      <c r="V3515">
        <v>4.5324360000000001E-2</v>
      </c>
      <c r="W3515">
        <v>0.20090649999999999</v>
      </c>
      <c r="X3515">
        <v>0.97856129999999997</v>
      </c>
      <c r="Y3515">
        <v>9.2753710000000003E-2</v>
      </c>
      <c r="Z3515">
        <v>3.6121949999999999E-3</v>
      </c>
      <c r="AA3515">
        <v>0.99568250000000003</v>
      </c>
      <c r="AB3515">
        <v>35</v>
      </c>
      <c r="AC3515">
        <v>-0.37069999999999897</v>
      </c>
      <c r="AD3515">
        <v>-0.208562199999999</v>
      </c>
      <c r="AE3515">
        <v>8.3700000000021604E-2</v>
      </c>
      <c r="AF3515">
        <v>5.3581026119226702E-2</v>
      </c>
      <c r="AG3515">
        <v>-0.208562199999999</v>
      </c>
      <c r="AH3515">
        <v>0.287109336065063</v>
      </c>
      <c r="AI3515">
        <v>125.530330885051</v>
      </c>
      <c r="AJ3515">
        <v>79.428928890295197</v>
      </c>
      <c r="AK3515">
        <v>0.358888406729098</v>
      </c>
      <c r="AL3515">
        <v>78.410025947937299</v>
      </c>
      <c r="AM3515">
        <v>87.348106973256293</v>
      </c>
      <c r="AN3515">
        <v>0.99999996860467399</v>
      </c>
    </row>
    <row r="3516" spans="1:40" x14ac:dyDescent="0.25">
      <c r="A3516" t="str">
        <f>"20190303162621038"</f>
        <v>20190303162621038</v>
      </c>
      <c r="B3516" t="str">
        <f>"1551601581027018"</f>
        <v>1551601581027018</v>
      </c>
      <c r="C3516" t="s">
        <v>40</v>
      </c>
      <c r="D3516">
        <v>4.9864249999999997</v>
      </c>
      <c r="E3516">
        <v>0.49287120000000001</v>
      </c>
      <c r="F3516" t="s">
        <v>42</v>
      </c>
      <c r="G3516">
        <v>-266.92739999999998</v>
      </c>
      <c r="H3516">
        <v>1.0266649999999999</v>
      </c>
      <c r="I3516">
        <v>141.702</v>
      </c>
      <c r="J3516">
        <v>-266.51769999999999</v>
      </c>
      <c r="K3516">
        <v>1.120671</v>
      </c>
      <c r="L3516">
        <v>141.65719999999999</v>
      </c>
      <c r="M3516">
        <v>-0.99918779999999996</v>
      </c>
      <c r="N3516">
        <v>-1.3486679999999999E-2</v>
      </c>
      <c r="O3516">
        <v>3.7969500000000003E-2</v>
      </c>
      <c r="P3516">
        <v>-0.97875179999999995</v>
      </c>
      <c r="Q3516">
        <v>0.18831059999999999</v>
      </c>
      <c r="R3516">
        <v>8.1141290000000005E-2</v>
      </c>
      <c r="S3516">
        <v>-3.1207280000000002</v>
      </c>
      <c r="T3516">
        <v>-0.39708209999999999</v>
      </c>
      <c r="U3516">
        <v>0.24349979999999999</v>
      </c>
      <c r="V3516">
        <v>4.4143839999999997E-2</v>
      </c>
      <c r="W3516">
        <v>0.2014764</v>
      </c>
      <c r="X3516">
        <v>0.97849819999999998</v>
      </c>
      <c r="Y3516">
        <v>3.9766349999999999E-2</v>
      </c>
      <c r="Z3516">
        <v>-1.5064480000000001E-3</v>
      </c>
      <c r="AA3516">
        <v>0.99920790000000004</v>
      </c>
      <c r="AB3516">
        <v>35</v>
      </c>
      <c r="AC3516">
        <v>-0.40969999999998602</v>
      </c>
      <c r="AD3516">
        <v>-9.4006000000000006E-2</v>
      </c>
      <c r="AE3516">
        <v>4.4800000000009201E-2</v>
      </c>
      <c r="AF3516">
        <v>2.7765643952828899E-2</v>
      </c>
      <c r="AG3516">
        <v>-9.4006000000000006E-2</v>
      </c>
      <c r="AH3516">
        <v>0.39077537416297897</v>
      </c>
      <c r="AI3516">
        <v>103.493447293358</v>
      </c>
      <c r="AJ3516">
        <v>85.935810534032399</v>
      </c>
      <c r="AK3516">
        <v>0.40288143674328197</v>
      </c>
      <c r="AL3516">
        <v>78.376692684854504</v>
      </c>
      <c r="AM3516">
        <v>87.416917152069402</v>
      </c>
      <c r="AN3516">
        <v>1.00000007288507</v>
      </c>
    </row>
    <row r="3517" spans="1:40" x14ac:dyDescent="0.25">
      <c r="A3517" t="str">
        <f>"20190303162621062"</f>
        <v>20190303162621062</v>
      </c>
      <c r="B3517" t="str">
        <f>"1551601581057275"</f>
        <v>1551601581057275</v>
      </c>
      <c r="C3517" t="s">
        <v>40</v>
      </c>
      <c r="D3517">
        <v>4.4574629999999997</v>
      </c>
      <c r="E3517">
        <v>0.46583910000000001</v>
      </c>
      <c r="F3517" t="s">
        <v>41</v>
      </c>
      <c r="G3517">
        <v>-278.26569999999998</v>
      </c>
      <c r="H3517" s="1">
        <v>-1.4643619999999999E-6</v>
      </c>
      <c r="I3517">
        <v>142.38999999999999</v>
      </c>
      <c r="J3517">
        <v>-266.87099999999998</v>
      </c>
      <c r="K3517">
        <v>1.1207229999999999</v>
      </c>
      <c r="L3517">
        <v>141.6711</v>
      </c>
      <c r="M3517">
        <v>-0.99917389999999995</v>
      </c>
      <c r="N3517">
        <v>-1.3458599999999999E-2</v>
      </c>
      <c r="O3517">
        <v>3.834837E-2</v>
      </c>
      <c r="P3517">
        <v>-0.97864620000000002</v>
      </c>
      <c r="Q3517">
        <v>0.18871260000000001</v>
      </c>
      <c r="R3517">
        <v>8.1484119999999993E-2</v>
      </c>
      <c r="S3517">
        <v>-3.1061100000000001</v>
      </c>
      <c r="T3517">
        <v>-0.29630050000000002</v>
      </c>
      <c r="U3517">
        <v>0.19377140000000001</v>
      </c>
      <c r="V3517">
        <v>4.409511E-2</v>
      </c>
      <c r="W3517">
        <v>0.20185510000000001</v>
      </c>
      <c r="X3517">
        <v>0.97842229999999997</v>
      </c>
      <c r="Y3517">
        <v>2.3943820000000001E-2</v>
      </c>
      <c r="Z3517">
        <v>-1.829656E-3</v>
      </c>
      <c r="AA3517">
        <v>0.99971160000000003</v>
      </c>
      <c r="AB3517">
        <v>35</v>
      </c>
      <c r="AC3517">
        <v>-11.3947</v>
      </c>
      <c r="AD3517">
        <v>-1.120724464362</v>
      </c>
      <c r="AE3517">
        <v>0.71889999999998999</v>
      </c>
      <c r="AF3517">
        <v>0.27867824112904199</v>
      </c>
      <c r="AG3517">
        <v>-1.120724464362</v>
      </c>
      <c r="AH3517">
        <v>11.3049609822387</v>
      </c>
      <c r="AI3517">
        <v>95.659846490362298</v>
      </c>
      <c r="AJ3517">
        <v>88.587889509635701</v>
      </c>
      <c r="AK3517">
        <v>11.3637945993861</v>
      </c>
      <c r="AL3517">
        <v>78.354539104229104</v>
      </c>
      <c r="AM3517">
        <v>87.419564850654993</v>
      </c>
      <c r="AN3517">
        <v>1.0000000286296</v>
      </c>
    </row>
    <row r="3518" spans="1:40" x14ac:dyDescent="0.25">
      <c r="A3518" t="str">
        <f>"20190303162621085"</f>
        <v>20190303162621085</v>
      </c>
      <c r="B3518" t="str">
        <f>"1551601581077771"</f>
        <v>1551601581077771</v>
      </c>
      <c r="C3518" t="s">
        <v>40</v>
      </c>
      <c r="D3518">
        <v>4.4785760000000003</v>
      </c>
      <c r="E3518">
        <v>0.4678968</v>
      </c>
      <c r="F3518" t="s">
        <v>53</v>
      </c>
      <c r="G3518">
        <v>0</v>
      </c>
      <c r="H3518">
        <v>0</v>
      </c>
      <c r="I3518">
        <v>0</v>
      </c>
      <c r="J3518">
        <v>-267.24540000000002</v>
      </c>
      <c r="K3518">
        <v>1.120781</v>
      </c>
      <c r="L3518">
        <v>141.6858</v>
      </c>
      <c r="M3518">
        <v>-0.99916199999999999</v>
      </c>
      <c r="N3518">
        <v>-1.342599E-2</v>
      </c>
      <c r="O3518">
        <v>3.8667149999999997E-2</v>
      </c>
      <c r="P3518">
        <v>-0.97859090000000004</v>
      </c>
      <c r="Q3518">
        <v>0.1885087</v>
      </c>
      <c r="R3518">
        <v>8.2609489999999994E-2</v>
      </c>
      <c r="S3518">
        <v>-3.052155</v>
      </c>
      <c r="T3518">
        <v>7.8798649999999998E-2</v>
      </c>
      <c r="U3518">
        <v>-2.2766109999999999E-2</v>
      </c>
      <c r="V3518">
        <v>4.48777E-2</v>
      </c>
      <c r="W3518">
        <v>0.2016249</v>
      </c>
      <c r="X3518">
        <v>0.97843409999999997</v>
      </c>
      <c r="Y3518">
        <v>-4.6085670000000002E-2</v>
      </c>
      <c r="Z3518">
        <v>1.8024440000000001E-3</v>
      </c>
      <c r="AA3518">
        <v>0.99893589999999999</v>
      </c>
      <c r="AB3518">
        <v>35</v>
      </c>
      <c r="AC3518">
        <v>-3.052155</v>
      </c>
      <c r="AD3518">
        <v>7.8798649999999998E-2</v>
      </c>
      <c r="AE3518">
        <v>-2.2766109999999999E-2</v>
      </c>
      <c r="AF3518">
        <v>-0.14068408233667201</v>
      </c>
      <c r="AG3518">
        <v>7.8798649999999998E-2</v>
      </c>
      <c r="AH3518">
        <v>3.0469608429730202</v>
      </c>
      <c r="AI3518">
        <v>88.520157424857601</v>
      </c>
      <c r="AJ3518">
        <v>92.643579586265005</v>
      </c>
      <c r="AK3518">
        <v>3.05122460937827</v>
      </c>
      <c r="AL3518">
        <v>78.368004523607198</v>
      </c>
      <c r="AM3518">
        <v>87.3738630587155</v>
      </c>
      <c r="AN3518">
        <v>0.999999948150053</v>
      </c>
    </row>
    <row r="3519" spans="1:40" x14ac:dyDescent="0.25">
      <c r="A3519" t="str">
        <f>"20190303162621107"</f>
        <v>20190303162621107</v>
      </c>
      <c r="B3519" t="str">
        <f>"1551601581097290"</f>
        <v>1551601581097290</v>
      </c>
      <c r="C3519" t="s">
        <v>40</v>
      </c>
      <c r="D3519">
        <v>4.5215180000000004</v>
      </c>
      <c r="E3519">
        <v>0.46850370000000002</v>
      </c>
      <c r="F3519" t="s">
        <v>53</v>
      </c>
      <c r="G3519">
        <v>0</v>
      </c>
      <c r="H3519">
        <v>0</v>
      </c>
      <c r="I3519">
        <v>0</v>
      </c>
      <c r="J3519">
        <v>-267.57130000000001</v>
      </c>
      <c r="K3519">
        <v>1.120833</v>
      </c>
      <c r="L3519">
        <v>141.6987</v>
      </c>
      <c r="M3519">
        <v>-0.99915410000000004</v>
      </c>
      <c r="N3519">
        <v>-1.339693E-2</v>
      </c>
      <c r="O3519">
        <v>3.8880669999999999E-2</v>
      </c>
      <c r="P3519">
        <v>-0.97870869999999999</v>
      </c>
      <c r="Q3519">
        <v>0.18727340000000001</v>
      </c>
      <c r="R3519">
        <v>8.4011970000000005E-2</v>
      </c>
      <c r="S3519">
        <v>-3.063904</v>
      </c>
      <c r="T3519">
        <v>1.031494E-2</v>
      </c>
      <c r="U3519">
        <v>-2.6092530000000002E-3</v>
      </c>
      <c r="V3519">
        <v>4.603583E-2</v>
      </c>
      <c r="W3519">
        <v>0.2003693</v>
      </c>
      <c r="X3519">
        <v>0.97863829999999996</v>
      </c>
      <c r="Y3519">
        <v>-3.973032E-2</v>
      </c>
      <c r="Z3519">
        <v>4.5260089999999998E-4</v>
      </c>
      <c r="AA3519">
        <v>0.99921040000000005</v>
      </c>
      <c r="AB3519">
        <v>35</v>
      </c>
      <c r="AC3519">
        <v>-3.063904</v>
      </c>
      <c r="AD3519">
        <v>1.031494E-2</v>
      </c>
      <c r="AE3519">
        <v>-2.6092530000000002E-3</v>
      </c>
      <c r="AF3519">
        <v>-0.121743225971002</v>
      </c>
      <c r="AG3519">
        <v>1.031494E-2</v>
      </c>
      <c r="AH3519">
        <v>3.0614506894592699</v>
      </c>
      <c r="AI3519">
        <v>89.807106626327098</v>
      </c>
      <c r="AJ3519">
        <v>92.277253605945702</v>
      </c>
      <c r="AK3519">
        <v>3.0638877484411302</v>
      </c>
      <c r="AL3519">
        <v>78.441444930464598</v>
      </c>
      <c r="AM3519">
        <v>87.306751857931204</v>
      </c>
      <c r="AN3519">
        <v>1.0000000381265799</v>
      </c>
    </row>
    <row r="3520" spans="1:40" x14ac:dyDescent="0.25">
      <c r="A3520" t="str">
        <f>"20190303162621129"</f>
        <v>20190303162621129</v>
      </c>
      <c r="B3520" t="str">
        <f>"1551601581116811"</f>
        <v>1551601581116811</v>
      </c>
      <c r="C3520" t="s">
        <v>40</v>
      </c>
      <c r="D3520">
        <v>4.5481210000000001</v>
      </c>
      <c r="E3520">
        <v>0.4694932</v>
      </c>
      <c r="F3520" t="s">
        <v>41</v>
      </c>
      <c r="G3520">
        <v>-358.33879999999999</v>
      </c>
      <c r="H3520" s="1">
        <v>-1.306971E-6</v>
      </c>
      <c r="I3520">
        <v>141.91640000000001</v>
      </c>
      <c r="J3520">
        <v>-267.92290000000003</v>
      </c>
      <c r="K3520">
        <v>1.1208880000000001</v>
      </c>
      <c r="L3520">
        <v>141.71260000000001</v>
      </c>
      <c r="M3520">
        <v>-0.99914849999999999</v>
      </c>
      <c r="N3520">
        <v>-1.336497E-2</v>
      </c>
      <c r="O3520">
        <v>3.9035880000000002E-2</v>
      </c>
      <c r="P3520">
        <v>-0.97879720000000003</v>
      </c>
      <c r="Q3520">
        <v>0.18656159999999999</v>
      </c>
      <c r="R3520">
        <v>8.4562709999999999E-2</v>
      </c>
      <c r="S3520">
        <v>-3.0718990000000002</v>
      </c>
      <c r="T3520">
        <v>-3.7933109999999999E-2</v>
      </c>
      <c r="U3520">
        <v>7.3699949999999998E-3</v>
      </c>
      <c r="V3520">
        <v>4.63989E-2</v>
      </c>
      <c r="W3520">
        <v>0.1996349</v>
      </c>
      <c r="X3520">
        <v>0.97877119999999995</v>
      </c>
      <c r="Y3520">
        <v>-3.6636090000000003E-2</v>
      </c>
      <c r="Z3520">
        <v>-4.3111279999999999E-4</v>
      </c>
      <c r="AA3520">
        <v>0.99932860000000001</v>
      </c>
      <c r="AB3520">
        <v>35</v>
      </c>
      <c r="AC3520">
        <v>-90.415899999999894</v>
      </c>
      <c r="AD3520">
        <v>-1.120889306971</v>
      </c>
      <c r="AE3520">
        <v>0.20380000000000101</v>
      </c>
      <c r="AF3520">
        <v>-3.3256234864359699</v>
      </c>
      <c r="AG3520">
        <v>-1.120889306971</v>
      </c>
      <c r="AH3520">
        <v>90.341045650080204</v>
      </c>
      <c r="AI3520">
        <v>90.710368886930098</v>
      </c>
      <c r="AJ3520">
        <v>92.108213258384197</v>
      </c>
      <c r="AK3520">
        <v>90.409184785407106</v>
      </c>
      <c r="AL3520">
        <v>78.484390280291294</v>
      </c>
      <c r="AM3520">
        <v>87.285910733237799</v>
      </c>
      <c r="AN3520">
        <v>1.00000000658433</v>
      </c>
    </row>
    <row r="3521" spans="1:40" x14ac:dyDescent="0.25">
      <c r="A3521" t="str">
        <f>"20190303162621149"</f>
        <v>20190303162621149</v>
      </c>
      <c r="B3521" t="str">
        <f>"1551601581137306"</f>
        <v>1551601581137306</v>
      </c>
      <c r="C3521" t="s">
        <v>40</v>
      </c>
      <c r="D3521">
        <v>4.5721119999999997</v>
      </c>
      <c r="E3521">
        <v>0.46914840000000002</v>
      </c>
      <c r="F3521" t="s">
        <v>41</v>
      </c>
      <c r="G3521">
        <v>-320.38490000000002</v>
      </c>
      <c r="H3521" s="1">
        <v>-4.5707759999999997E-6</v>
      </c>
      <c r="I3521">
        <v>142.01650000000001</v>
      </c>
      <c r="J3521">
        <v>-268.24149999999997</v>
      </c>
      <c r="K3521">
        <v>1.12094</v>
      </c>
      <c r="L3521">
        <v>141.7252</v>
      </c>
      <c r="M3521">
        <v>-0.99914590000000003</v>
      </c>
      <c r="N3521">
        <v>-1.333402E-2</v>
      </c>
      <c r="O3521">
        <v>3.911191E-2</v>
      </c>
      <c r="P3521">
        <v>-0.97885169999999999</v>
      </c>
      <c r="Q3521">
        <v>0.18648020000000001</v>
      </c>
      <c r="R3521">
        <v>8.4109459999999997E-2</v>
      </c>
      <c r="S3521">
        <v>-3.075958</v>
      </c>
      <c r="T3521">
        <v>-6.5720440000000005E-2</v>
      </c>
      <c r="U3521">
        <v>1.7822270000000001E-2</v>
      </c>
      <c r="V3521">
        <v>4.5841989999999999E-2</v>
      </c>
      <c r="W3521">
        <v>0.19953019999999999</v>
      </c>
      <c r="X3521">
        <v>0.97881879999999999</v>
      </c>
      <c r="Y3521">
        <v>-3.3311599999999997E-2</v>
      </c>
      <c r="Z3521">
        <v>-8.9170619999999999E-4</v>
      </c>
      <c r="AA3521">
        <v>0.99944460000000002</v>
      </c>
      <c r="AB3521">
        <v>35</v>
      </c>
      <c r="AC3521">
        <v>-52.1434</v>
      </c>
      <c r="AD3521">
        <v>-1.120944570776</v>
      </c>
      <c r="AE3521">
        <v>0.291300000000006</v>
      </c>
      <c r="AF3521">
        <v>-1.74772449577502</v>
      </c>
      <c r="AG3521">
        <v>-1.120944570776</v>
      </c>
      <c r="AH3521">
        <v>52.090816712662999</v>
      </c>
      <c r="AI3521">
        <v>91.232067071210295</v>
      </c>
      <c r="AJ3521">
        <v>91.921637903258301</v>
      </c>
      <c r="AK3521">
        <v>52.132180497617099</v>
      </c>
      <c r="AL3521">
        <v>78.490512427345294</v>
      </c>
      <c r="AM3521">
        <v>87.318569386983498</v>
      </c>
      <c r="AN3521">
        <v>1.0000000159963101</v>
      </c>
    </row>
    <row r="3522" spans="1:40" x14ac:dyDescent="0.25">
      <c r="A3522" t="str">
        <f>"20190303162621172"</f>
        <v>20190303162621172</v>
      </c>
      <c r="B3522" t="str">
        <f>"1551601581166586"</f>
        <v>1551601581166586</v>
      </c>
      <c r="C3522" t="s">
        <v>40</v>
      </c>
      <c r="D3522">
        <v>4.6455539999999997</v>
      </c>
      <c r="E3522">
        <v>0.46928219999999998</v>
      </c>
      <c r="F3522" t="s">
        <v>47</v>
      </c>
      <c r="G3522">
        <v>-307.90359999999998</v>
      </c>
      <c r="H3522" s="1">
        <v>-9.8730599999999993E-6</v>
      </c>
      <c r="I3522">
        <v>141.9075</v>
      </c>
      <c r="J3522">
        <v>-268.58659999999998</v>
      </c>
      <c r="K3522">
        <v>1.1209910000000001</v>
      </c>
      <c r="L3522">
        <v>141.73869999999999</v>
      </c>
      <c r="M3522">
        <v>-0.99914590000000003</v>
      </c>
      <c r="N3522">
        <v>-1.32976E-2</v>
      </c>
      <c r="O3522">
        <v>3.9125199999999902E-2</v>
      </c>
      <c r="P3522">
        <v>-0.97900679999999995</v>
      </c>
      <c r="Q3522">
        <v>0.18603810000000001</v>
      </c>
      <c r="R3522">
        <v>8.3281229999999998E-2</v>
      </c>
      <c r="S3522">
        <v>-3.0801090000000002</v>
      </c>
      <c r="T3522">
        <v>-8.7051390000000006E-2</v>
      </c>
      <c r="U3522">
        <v>1.416016E-2</v>
      </c>
      <c r="V3522">
        <v>4.4965709999999999E-2</v>
      </c>
      <c r="W3522">
        <v>0.19906109999999999</v>
      </c>
      <c r="X3522">
        <v>0.97895489999999996</v>
      </c>
      <c r="Y3522">
        <v>-3.4509890000000001E-2</v>
      </c>
      <c r="Z3522">
        <v>-1.302058E-3</v>
      </c>
      <c r="AA3522">
        <v>0.9994035</v>
      </c>
      <c r="AB3522">
        <v>35</v>
      </c>
      <c r="AC3522">
        <v>-39.317</v>
      </c>
      <c r="AD3522">
        <v>-1.1210008730600001</v>
      </c>
      <c r="AE3522">
        <v>0.168800000000004</v>
      </c>
      <c r="AF3522">
        <v>-1.3686380945777601</v>
      </c>
      <c r="AG3522">
        <v>-1.1210008730600001</v>
      </c>
      <c r="AH3522">
        <v>39.2615790256922</v>
      </c>
      <c r="AI3522">
        <v>91.634478743299397</v>
      </c>
      <c r="AJ3522">
        <v>91.996492444718598</v>
      </c>
      <c r="AK3522">
        <v>39.301417287192102</v>
      </c>
      <c r="AL3522">
        <v>78.517939515583905</v>
      </c>
      <c r="AM3522">
        <v>87.370118016980896</v>
      </c>
      <c r="AN3522">
        <v>0.99999996642151101</v>
      </c>
    </row>
    <row r="3523" spans="1:40" x14ac:dyDescent="0.25">
      <c r="A3523" t="str">
        <f>"20190303162621194"</f>
        <v>20190303162621194</v>
      </c>
      <c r="B3523" t="str">
        <f>"1551601581187082"</f>
        <v>1551601581187082</v>
      </c>
      <c r="C3523" t="s">
        <v>40</v>
      </c>
      <c r="D3523">
        <v>4.6612650000000002</v>
      </c>
      <c r="E3523">
        <v>0.4693657</v>
      </c>
      <c r="F3523" t="s">
        <v>47</v>
      </c>
      <c r="G3523">
        <v>-301.48250000000002</v>
      </c>
      <c r="H3523" s="1">
        <v>-8.917133E-6</v>
      </c>
      <c r="I3523">
        <v>141.87739999999999</v>
      </c>
      <c r="J3523">
        <v>-268.93110000000001</v>
      </c>
      <c r="K3523">
        <v>1.121048</v>
      </c>
      <c r="L3523">
        <v>141.75219999999999</v>
      </c>
      <c r="M3523">
        <v>-0.99914879999999995</v>
      </c>
      <c r="N3523">
        <v>-1.325893E-2</v>
      </c>
      <c r="O3523">
        <v>3.9064479999999999E-2</v>
      </c>
      <c r="P3523">
        <v>-0.97922299999999995</v>
      </c>
      <c r="Q3523">
        <v>0.1853725</v>
      </c>
      <c r="R3523">
        <v>8.2216510000000007E-2</v>
      </c>
      <c r="S3523">
        <v>-3.0831909999999998</v>
      </c>
      <c r="T3523">
        <v>-0.1050664</v>
      </c>
      <c r="U3523">
        <v>1.300049E-2</v>
      </c>
      <c r="V3523">
        <v>4.3921689999999999E-2</v>
      </c>
      <c r="W3523">
        <v>0.19836760000000001</v>
      </c>
      <c r="X3523">
        <v>0.97914310000000004</v>
      </c>
      <c r="Y3523">
        <v>-3.4817729999999998E-2</v>
      </c>
      <c r="Z3523">
        <v>-1.636539E-3</v>
      </c>
      <c r="AA3523">
        <v>0.99939230000000001</v>
      </c>
      <c r="AB3523">
        <v>35</v>
      </c>
      <c r="AC3523">
        <v>-32.551400000000001</v>
      </c>
      <c r="AD3523">
        <v>-1.121056917133</v>
      </c>
      <c r="AE3523">
        <v>0.125200000000006</v>
      </c>
      <c r="AF3523">
        <v>-1.14525243819055</v>
      </c>
      <c r="AG3523">
        <v>-1.121056917133</v>
      </c>
      <c r="AH3523">
        <v>32.492901400264103</v>
      </c>
      <c r="AI3523">
        <v>91.974786677184994</v>
      </c>
      <c r="AJ3523">
        <v>92.018624874673193</v>
      </c>
      <c r="AK3523">
        <v>32.532399437574803</v>
      </c>
      <c r="AL3523">
        <v>78.558483237448499</v>
      </c>
      <c r="AM3523">
        <v>87.431589312042803</v>
      </c>
      <c r="AN3523">
        <v>1.00000001492991</v>
      </c>
    </row>
    <row r="3524" spans="1:40" x14ac:dyDescent="0.25">
      <c r="A3524" t="str">
        <f>"20190303162621217"</f>
        <v>20190303162621217</v>
      </c>
      <c r="B3524" t="str">
        <f>"1551601581206602"</f>
        <v>1551601581206602</v>
      </c>
      <c r="C3524" t="s">
        <v>40</v>
      </c>
      <c r="D3524">
        <v>4.695157</v>
      </c>
      <c r="E3524">
        <v>0.46942250000000002</v>
      </c>
      <c r="F3524" t="s">
        <v>47</v>
      </c>
      <c r="G3524">
        <v>-298.9622</v>
      </c>
      <c r="H3524" s="1">
        <v>-8.7286380000000004E-6</v>
      </c>
      <c r="I3524">
        <v>141.85659999999999</v>
      </c>
      <c r="J3524">
        <v>-269.27769999999998</v>
      </c>
      <c r="K3524">
        <v>1.1211150000000001</v>
      </c>
      <c r="L3524">
        <v>141.76570000000001</v>
      </c>
      <c r="M3524">
        <v>-0.9991546</v>
      </c>
      <c r="N3524">
        <v>-1.3221E-2</v>
      </c>
      <c r="O3524">
        <v>3.8930770000000003E-2</v>
      </c>
      <c r="P3524">
        <v>-0.97930810000000001</v>
      </c>
      <c r="Q3524">
        <v>0.18593470000000001</v>
      </c>
      <c r="R3524">
        <v>7.9899680000000001E-2</v>
      </c>
      <c r="S3524">
        <v>-3.0845639999999999</v>
      </c>
      <c r="T3524">
        <v>-0.1151466</v>
      </c>
      <c r="U3524">
        <v>1.0726930000000001E-2</v>
      </c>
      <c r="V3524">
        <v>4.1701139999999998E-2</v>
      </c>
      <c r="W3524">
        <v>0.1988994</v>
      </c>
      <c r="X3524">
        <v>0.97913229999999996</v>
      </c>
      <c r="Y3524">
        <v>-3.5414269999999998E-2</v>
      </c>
      <c r="Z3524">
        <v>-1.8327599999999999E-3</v>
      </c>
      <c r="AA3524">
        <v>0.99937109999999996</v>
      </c>
      <c r="AB3524">
        <v>35</v>
      </c>
      <c r="AC3524">
        <v>-29.6845</v>
      </c>
      <c r="AD3524">
        <v>-1.12112372863799</v>
      </c>
      <c r="AE3524">
        <v>9.0899999999976402E-2</v>
      </c>
      <c r="AF3524">
        <v>-1.0633933639670801</v>
      </c>
      <c r="AG3524">
        <v>-1.12112372863799</v>
      </c>
      <c r="AH3524">
        <v>29.623276814103601</v>
      </c>
      <c r="AI3524">
        <v>92.165990199025799</v>
      </c>
      <c r="AJ3524">
        <v>92.055876583610598</v>
      </c>
      <c r="AK3524">
        <v>29.6635509180282</v>
      </c>
      <c r="AL3524">
        <v>78.527393776838906</v>
      </c>
      <c r="AM3524">
        <v>87.561252709256095</v>
      </c>
      <c r="AN3524">
        <v>1.0000000086504699</v>
      </c>
    </row>
    <row r="3525" spans="1:40" x14ac:dyDescent="0.25">
      <c r="A3525" t="str">
        <f>"20190303162621240"</f>
        <v>20190303162621240</v>
      </c>
      <c r="B3525" t="str">
        <f>"1551601581227098"</f>
        <v>1551601581227098</v>
      </c>
      <c r="C3525" t="s">
        <v>40</v>
      </c>
      <c r="D3525">
        <v>4.7028780000000001</v>
      </c>
      <c r="E3525">
        <v>0.4693946</v>
      </c>
      <c r="F3525" t="s">
        <v>47</v>
      </c>
      <c r="G3525">
        <v>-298.15140000000002</v>
      </c>
      <c r="H3525" s="1">
        <v>-8.7868209999999994E-6</v>
      </c>
      <c r="I3525">
        <v>141.80719999999999</v>
      </c>
      <c r="J3525">
        <v>-269.6241</v>
      </c>
      <c r="K3525">
        <v>1.1211869999999999</v>
      </c>
      <c r="L3525">
        <v>141.779</v>
      </c>
      <c r="M3525">
        <v>-0.99916269999999996</v>
      </c>
      <c r="N3525">
        <v>-1.31863E-2</v>
      </c>
      <c r="O3525">
        <v>3.872743E-2</v>
      </c>
      <c r="P3525">
        <v>-0.97933269999999994</v>
      </c>
      <c r="Q3525">
        <v>0.1865919</v>
      </c>
      <c r="R3525">
        <v>7.8044409999999995E-2</v>
      </c>
      <c r="S3525">
        <v>-3.085785</v>
      </c>
      <c r="T3525">
        <v>-0.1198164</v>
      </c>
      <c r="U3525">
        <v>4.4403079999999996E-3</v>
      </c>
      <c r="V3525">
        <v>4.0012529999999998E-2</v>
      </c>
      <c r="W3525">
        <v>0.19952829999999999</v>
      </c>
      <c r="X3525">
        <v>0.97907480000000002</v>
      </c>
      <c r="Y3525">
        <v>-3.7242579999999997E-2</v>
      </c>
      <c r="Z3525">
        <v>-1.9606480000000002E-3</v>
      </c>
      <c r="AA3525">
        <v>0.99930439999999998</v>
      </c>
      <c r="AB3525">
        <v>35</v>
      </c>
      <c r="AC3525">
        <v>-28.5273</v>
      </c>
      <c r="AD3525">
        <v>-1.1211957868210001</v>
      </c>
      <c r="AE3525">
        <v>2.8199999999998199E-2</v>
      </c>
      <c r="AF3525">
        <v>-1.07504573734387</v>
      </c>
      <c r="AG3525">
        <v>-1.1211957868210001</v>
      </c>
      <c r="AH3525">
        <v>28.4630211085768</v>
      </c>
      <c r="AI3525">
        <v>92.254184104053095</v>
      </c>
      <c r="AJ3525">
        <v>92.163028242391206</v>
      </c>
      <c r="AK3525">
        <v>28.505374474948599</v>
      </c>
      <c r="AL3525">
        <v>78.490623389439804</v>
      </c>
      <c r="AM3525">
        <v>87.659755863690904</v>
      </c>
      <c r="AN3525">
        <v>1.0000000045264601</v>
      </c>
    </row>
    <row r="3526" spans="1:40" x14ac:dyDescent="0.25">
      <c r="A3526" t="str">
        <f>"20190303162621263"</f>
        <v>20190303162621263</v>
      </c>
      <c r="B3526" t="str">
        <f>"1551601581257354"</f>
        <v>1551601581257354</v>
      </c>
      <c r="C3526" t="s">
        <v>40</v>
      </c>
      <c r="D3526">
        <v>4.8034270000000001</v>
      </c>
      <c r="E3526">
        <v>0.46905229999999998</v>
      </c>
      <c r="F3526" t="s">
        <v>47</v>
      </c>
      <c r="G3526">
        <v>-297.774</v>
      </c>
      <c r="H3526" s="1">
        <v>-8.808169E-6</v>
      </c>
      <c r="I3526">
        <v>141.76240000000001</v>
      </c>
      <c r="J3526">
        <v>-269.98860000000002</v>
      </c>
      <c r="K3526">
        <v>1.1212549999999999</v>
      </c>
      <c r="L3526">
        <v>141.7929</v>
      </c>
      <c r="M3526">
        <v>-0.99917420000000001</v>
      </c>
      <c r="N3526">
        <v>-1.3153369999999999E-2</v>
      </c>
      <c r="O3526">
        <v>3.8448250000000003E-2</v>
      </c>
      <c r="P3526">
        <v>-0.97919509999999998</v>
      </c>
      <c r="Q3526">
        <v>0.18766830000000001</v>
      </c>
      <c r="R3526">
        <v>7.7188350000000003E-2</v>
      </c>
      <c r="S3526">
        <v>-3.086884</v>
      </c>
      <c r="T3526">
        <v>-0.122949</v>
      </c>
      <c r="U3526">
        <v>-1.8157959999999999E-3</v>
      </c>
      <c r="V3526">
        <v>3.9404769999999999E-2</v>
      </c>
      <c r="W3526">
        <v>0.20057630000000001</v>
      </c>
      <c r="X3526">
        <v>0.97888529999999996</v>
      </c>
      <c r="Y3526">
        <v>-3.8984579999999998E-2</v>
      </c>
      <c r="Z3526">
        <v>-2.0573810000000001E-3</v>
      </c>
      <c r="AA3526">
        <v>0.99923770000000001</v>
      </c>
      <c r="AB3526">
        <v>34</v>
      </c>
      <c r="AC3526">
        <v>-27.7853999999999</v>
      </c>
      <c r="AD3526">
        <v>-1.1212638081689901</v>
      </c>
      <c r="AE3526">
        <v>-3.04999999999893E-2</v>
      </c>
      <c r="AF3526">
        <v>-1.0970831075160701</v>
      </c>
      <c r="AG3526">
        <v>-1.1212638081689901</v>
      </c>
      <c r="AH3526">
        <v>27.7185399295442</v>
      </c>
      <c r="AI3526">
        <v>92.314642046238902</v>
      </c>
      <c r="AJ3526">
        <v>92.266549383092794</v>
      </c>
      <c r="AK3526">
        <v>27.762893935936201</v>
      </c>
      <c r="AL3526">
        <v>78.429338605883302</v>
      </c>
      <c r="AM3526">
        <v>87.694818083999905</v>
      </c>
      <c r="AN3526">
        <v>1.0000000092882599</v>
      </c>
    </row>
    <row r="3527" spans="1:40" x14ac:dyDescent="0.25">
      <c r="A3527" t="str">
        <f>"20190303162621285"</f>
        <v>20190303162621285</v>
      </c>
      <c r="B3527" t="str">
        <f>"1551601581276874"</f>
        <v>1551601581276874</v>
      </c>
      <c r="C3527" t="s">
        <v>40</v>
      </c>
      <c r="D3527">
        <v>4.9157299999999999</v>
      </c>
      <c r="E3527">
        <v>0.46894970000000002</v>
      </c>
      <c r="F3527" t="s">
        <v>47</v>
      </c>
      <c r="G3527">
        <v>-298.7448</v>
      </c>
      <c r="H3527" s="1">
        <v>-8.7141229999999997E-6</v>
      </c>
      <c r="I3527">
        <v>141.72919999999999</v>
      </c>
      <c r="J3527">
        <v>-270.33390000000003</v>
      </c>
      <c r="K3527">
        <v>1.1213059999999999</v>
      </c>
      <c r="L3527">
        <v>141.8058</v>
      </c>
      <c r="M3527">
        <v>-0.99918629999999997</v>
      </c>
      <c r="N3527">
        <v>-1.3125059999999999E-2</v>
      </c>
      <c r="O3527">
        <v>3.8141090000000002E-2</v>
      </c>
      <c r="P3527">
        <v>-0.97910929999999996</v>
      </c>
      <c r="Q3527">
        <v>0.18818550000000001</v>
      </c>
      <c r="R3527">
        <v>7.7015929999999996E-2</v>
      </c>
      <c r="S3527">
        <v>-3.0873409999999999</v>
      </c>
      <c r="T3527">
        <v>-0.120382</v>
      </c>
      <c r="U3527">
        <v>-6.8359379999999997E-3</v>
      </c>
      <c r="V3527">
        <v>3.9512800000000001E-2</v>
      </c>
      <c r="W3527">
        <v>0.2010691</v>
      </c>
      <c r="X3527">
        <v>0.97877990000000004</v>
      </c>
      <c r="Y3527">
        <v>-4.0303169999999999E-2</v>
      </c>
      <c r="Z3527">
        <v>-2.0358849999999999E-3</v>
      </c>
      <c r="AA3527">
        <v>0.9991854</v>
      </c>
      <c r="AB3527">
        <v>34</v>
      </c>
      <c r="AC3527">
        <v>-28.410899999999899</v>
      </c>
      <c r="AD3527">
        <v>-1.121314714123</v>
      </c>
      <c r="AE3527">
        <v>-7.6600000000013296E-2</v>
      </c>
      <c r="AF3527">
        <v>-1.1584556299420099</v>
      </c>
      <c r="AG3527">
        <v>-1.121314714123</v>
      </c>
      <c r="AH3527">
        <v>28.343151854521601</v>
      </c>
      <c r="AI3527">
        <v>92.263672033854306</v>
      </c>
      <c r="AJ3527">
        <v>92.340519315823599</v>
      </c>
      <c r="AK3527">
        <v>28.38897009726</v>
      </c>
      <c r="AL3527">
        <v>78.40051675766</v>
      </c>
      <c r="AM3527">
        <v>87.688256523308098</v>
      </c>
      <c r="AN3527">
        <v>1.0000000684913199</v>
      </c>
    </row>
    <row r="3528" spans="1:40" x14ac:dyDescent="0.25">
      <c r="A3528" t="str">
        <f>"20190303162621308"</f>
        <v>20190303162621308</v>
      </c>
      <c r="B3528" t="str">
        <f>"1551601581296902"</f>
        <v>1551601581296902</v>
      </c>
      <c r="C3528" t="s">
        <v>40</v>
      </c>
      <c r="D3528">
        <v>4.803299</v>
      </c>
      <c r="E3528">
        <v>0.46886929999999999</v>
      </c>
      <c r="F3528" t="s">
        <v>47</v>
      </c>
      <c r="G3528">
        <v>-299.47910000000002</v>
      </c>
      <c r="H3528" s="1">
        <v>-8.6487459999999999E-6</v>
      </c>
      <c r="I3528">
        <v>141.7259</v>
      </c>
      <c r="J3528">
        <v>-270.67219999999998</v>
      </c>
      <c r="K3528">
        <v>1.1213409999999999</v>
      </c>
      <c r="L3528">
        <v>141.8184</v>
      </c>
      <c r="M3528">
        <v>-0.99919910000000001</v>
      </c>
      <c r="N3528">
        <v>-1.3099980000000001E-2</v>
      </c>
      <c r="O3528">
        <v>3.7809309999999999E-2</v>
      </c>
      <c r="P3528">
        <v>-0.97892170000000001</v>
      </c>
      <c r="Q3528">
        <v>0.189277</v>
      </c>
      <c r="R3528">
        <v>7.6725689999999999E-2</v>
      </c>
      <c r="S3528">
        <v>-3.087494</v>
      </c>
      <c r="T3528">
        <v>-0.11878610000000001</v>
      </c>
      <c r="U3528">
        <v>-8.4686280000000006E-3</v>
      </c>
      <c r="V3528">
        <v>3.953661E-2</v>
      </c>
      <c r="W3528">
        <v>0.2021367</v>
      </c>
      <c r="X3528">
        <v>0.97855899999999996</v>
      </c>
      <c r="Y3528">
        <v>-4.0501000000000002E-2</v>
      </c>
      <c r="Z3528">
        <v>-2.0028229999999999E-3</v>
      </c>
      <c r="AA3528">
        <v>0.99917750000000005</v>
      </c>
      <c r="AB3528">
        <v>34</v>
      </c>
      <c r="AC3528">
        <v>-28.806899999999999</v>
      </c>
      <c r="AD3528">
        <v>-1.121349648746</v>
      </c>
      <c r="AE3528">
        <v>-9.2500000000001095E-2</v>
      </c>
      <c r="AF3528">
        <v>-1.17990847405628</v>
      </c>
      <c r="AG3528">
        <v>-1.121349648746</v>
      </c>
      <c r="AH3528">
        <v>28.7392538908136</v>
      </c>
      <c r="AI3528">
        <v>92.232557285587703</v>
      </c>
      <c r="AJ3528">
        <v>92.350994596682298</v>
      </c>
      <c r="AK3528">
        <v>28.785314367617001</v>
      </c>
      <c r="AL3528">
        <v>78.338065307695601</v>
      </c>
      <c r="AM3528">
        <v>87.686343403652799</v>
      </c>
      <c r="AN3528">
        <v>1.00000005274908</v>
      </c>
    </row>
    <row r="3529" spans="1:40" x14ac:dyDescent="0.25">
      <c r="A3529" t="str">
        <f>"20190303162621329"</f>
        <v>20190303162621329</v>
      </c>
      <c r="B3529" t="str">
        <f>"1551601581317397"</f>
        <v>1551601581317397</v>
      </c>
      <c r="C3529" t="s">
        <v>40</v>
      </c>
      <c r="D3529">
        <v>4.8238949999999896</v>
      </c>
      <c r="E3529">
        <v>0.4688039</v>
      </c>
      <c r="F3529" t="s">
        <v>47</v>
      </c>
      <c r="G3529">
        <v>-300.45859999999999</v>
      </c>
      <c r="H3529" s="1">
        <v>-8.6947569999999992E-6</v>
      </c>
      <c r="I3529">
        <v>141.72290000000001</v>
      </c>
      <c r="J3529">
        <v>-270.99509999999998</v>
      </c>
      <c r="K3529">
        <v>1.121372</v>
      </c>
      <c r="L3529">
        <v>141.83029999999999</v>
      </c>
      <c r="M3529">
        <v>-0.99921219999999999</v>
      </c>
      <c r="N3529">
        <v>-1.3078569999999999E-2</v>
      </c>
      <c r="O3529">
        <v>3.7473149999999997E-2</v>
      </c>
      <c r="P3529">
        <v>-0.97879989999999994</v>
      </c>
      <c r="Q3529">
        <v>0.1898155</v>
      </c>
      <c r="R3529">
        <v>7.6949340000000005E-2</v>
      </c>
      <c r="S3529">
        <v>-3.08786</v>
      </c>
      <c r="T3529">
        <v>-0.116246699999999</v>
      </c>
      <c r="U3529">
        <v>-9.9029540000000003E-3</v>
      </c>
      <c r="V3529">
        <v>4.0080659999999997E-2</v>
      </c>
      <c r="W3529">
        <v>0.20265549999999999</v>
      </c>
      <c r="X3529">
        <v>0.97842949999999995</v>
      </c>
      <c r="Y3529">
        <v>-4.0630869999999999E-2</v>
      </c>
      <c r="Z3529">
        <v>-1.9502829999999999E-3</v>
      </c>
      <c r="AA3529">
        <v>0.99917230000000001</v>
      </c>
      <c r="AB3529">
        <v>34</v>
      </c>
      <c r="AC3529">
        <v>-29.4635</v>
      </c>
      <c r="AD3529">
        <v>-1.121380694757</v>
      </c>
      <c r="AE3529">
        <v>-0.10739999999998399</v>
      </c>
      <c r="AF3529">
        <v>-1.2097565919764499</v>
      </c>
      <c r="AG3529">
        <v>-1.121380694757</v>
      </c>
      <c r="AH3529">
        <v>29.396195684936</v>
      </c>
      <c r="AI3529">
        <v>92.182764852378497</v>
      </c>
      <c r="AJ3529">
        <v>92.356592571426702</v>
      </c>
      <c r="AK3529">
        <v>29.442440904609999</v>
      </c>
      <c r="AL3529">
        <v>78.307711419329493</v>
      </c>
      <c r="AM3529">
        <v>87.654231181640199</v>
      </c>
      <c r="AN3529">
        <v>0.99999999872826695</v>
      </c>
    </row>
    <row r="3530" spans="1:40" x14ac:dyDescent="0.25">
      <c r="A3530" t="str">
        <f>"20190303162621351"</f>
        <v>20190303162621351</v>
      </c>
      <c r="B3530" t="str">
        <f>"1551601581336917"</f>
        <v>1551601581336917</v>
      </c>
      <c r="C3530" t="s">
        <v>40</v>
      </c>
      <c r="D3530">
        <v>4.8602610000000004</v>
      </c>
      <c r="E3530">
        <v>0.46866219999999997</v>
      </c>
      <c r="F3530" t="s">
        <v>47</v>
      </c>
      <c r="G3530">
        <v>-300.95170000000002</v>
      </c>
      <c r="H3530" s="1">
        <v>-8.7845810000000002E-6</v>
      </c>
      <c r="I3530">
        <v>141.7319</v>
      </c>
      <c r="J3530">
        <v>-271.33909999999997</v>
      </c>
      <c r="K3530">
        <v>1.1213979999999999</v>
      </c>
      <c r="L3530">
        <v>141.84280000000001</v>
      </c>
      <c r="M3530">
        <v>-0.99922619999999895</v>
      </c>
      <c r="N3530">
        <v>-1.3058149999999999E-2</v>
      </c>
      <c r="O3530">
        <v>3.71019E-2</v>
      </c>
      <c r="P3530">
        <v>-0.97874349999999999</v>
      </c>
      <c r="Q3530">
        <v>0.18991810000000001</v>
      </c>
      <c r="R3530">
        <v>7.7410399999999893E-2</v>
      </c>
      <c r="S3530">
        <v>-3.0881959999999999</v>
      </c>
      <c r="T3530">
        <v>-0.1156021</v>
      </c>
      <c r="U3530">
        <v>-1.0147089999999999E-2</v>
      </c>
      <c r="V3530">
        <v>4.0896969999999998E-2</v>
      </c>
      <c r="W3530">
        <v>0.20274010000000001</v>
      </c>
      <c r="X3530">
        <v>0.97837819999999998</v>
      </c>
      <c r="Y3530">
        <v>-4.0339239999999998E-2</v>
      </c>
      <c r="Z3530">
        <v>-1.9219490000000001E-3</v>
      </c>
      <c r="AA3530">
        <v>0.99918419999999997</v>
      </c>
      <c r="AB3530">
        <v>34</v>
      </c>
      <c r="AC3530">
        <v>-29.6126</v>
      </c>
      <c r="AD3530">
        <v>-1.1214067845809901</v>
      </c>
      <c r="AE3530">
        <v>-0.110900000000015</v>
      </c>
      <c r="AF3530">
        <v>-1.2078688464518801</v>
      </c>
      <c r="AG3530">
        <v>-1.1214067845809901</v>
      </c>
      <c r="AH3530">
        <v>29.545722600047299</v>
      </c>
      <c r="AI3530">
        <v>92.171803437850599</v>
      </c>
      <c r="AJ3530">
        <v>92.341024874459507</v>
      </c>
      <c r="AK3530">
        <v>29.591658018530801</v>
      </c>
      <c r="AL3530">
        <v>78.302761530921401</v>
      </c>
      <c r="AM3530">
        <v>87.606385312631602</v>
      </c>
      <c r="AN3530">
        <v>1.00000000626921</v>
      </c>
    </row>
    <row r="3531" spans="1:40" x14ac:dyDescent="0.25">
      <c r="A3531" t="str">
        <f>"20190303162621374"</f>
        <v>20190303162621374</v>
      </c>
      <c r="B3531" t="str">
        <f>"1551601581367174"</f>
        <v>1551601581367174</v>
      </c>
      <c r="C3531" t="s">
        <v>40</v>
      </c>
      <c r="D3531">
        <v>4.8691890000000004</v>
      </c>
      <c r="E3531">
        <v>0.46840280000000001</v>
      </c>
      <c r="F3531" t="s">
        <v>47</v>
      </c>
      <c r="G3531">
        <v>-300.67110000000002</v>
      </c>
      <c r="H3531" s="1">
        <v>-8.7372059999999997E-6</v>
      </c>
      <c r="I3531">
        <v>141.74100000000001</v>
      </c>
      <c r="J3531">
        <v>-271.68299999999999</v>
      </c>
      <c r="K3531">
        <v>1.1214120000000001</v>
      </c>
      <c r="L3531">
        <v>141.8552</v>
      </c>
      <c r="M3531">
        <v>-0.99924040000000003</v>
      </c>
      <c r="N3531">
        <v>-1.30399E-2</v>
      </c>
      <c r="O3531">
        <v>3.6721429999999999E-2</v>
      </c>
      <c r="P3531">
        <v>-0.97857090000000002</v>
      </c>
      <c r="Q3531">
        <v>0.19042780000000001</v>
      </c>
      <c r="R3531">
        <v>7.8333089999999994E-2</v>
      </c>
      <c r="S3531">
        <v>-3.0889280000000001</v>
      </c>
      <c r="T3531">
        <v>-0.1180944</v>
      </c>
      <c r="U3531">
        <v>-1.0726930000000001E-2</v>
      </c>
      <c r="V3531">
        <v>4.2190440000000003E-2</v>
      </c>
      <c r="W3531">
        <v>0.2032331</v>
      </c>
      <c r="X3531">
        <v>0.97822100000000001</v>
      </c>
      <c r="Y3531">
        <v>-4.0143709999999999E-2</v>
      </c>
      <c r="Z3531">
        <v>-1.9533350000000001E-3</v>
      </c>
      <c r="AA3531">
        <v>0.99919199999999997</v>
      </c>
      <c r="AB3531">
        <v>34</v>
      </c>
      <c r="AC3531">
        <v>-28.988099999999999</v>
      </c>
      <c r="AD3531">
        <v>-1.1214207372059899</v>
      </c>
      <c r="AE3531">
        <v>-0.114199999999982</v>
      </c>
      <c r="AF3531">
        <v>-1.17693668296849</v>
      </c>
      <c r="AG3531">
        <v>-1.1214207372059899</v>
      </c>
      <c r="AH3531">
        <v>28.9210696416907</v>
      </c>
      <c r="AI3531">
        <v>92.218709260099104</v>
      </c>
      <c r="AJ3531">
        <v>92.330353534699796</v>
      </c>
      <c r="AK3531">
        <v>28.9667228668532</v>
      </c>
      <c r="AL3531">
        <v>78.2739143815011</v>
      </c>
      <c r="AM3531">
        <v>87.530377154921496</v>
      </c>
      <c r="AN3531">
        <v>1.0000000255020001</v>
      </c>
    </row>
    <row r="3532" spans="1:40" x14ac:dyDescent="0.25">
      <c r="A3532" t="str">
        <f>"20190303162621396"</f>
        <v>20190303162621396</v>
      </c>
      <c r="B3532" t="str">
        <f>"1551601581386695"</f>
        <v>1551601581386695</v>
      </c>
      <c r="C3532" t="s">
        <v>40</v>
      </c>
      <c r="D3532">
        <v>4.9719410000000002</v>
      </c>
      <c r="E3532">
        <v>0.46826600000000002</v>
      </c>
      <c r="F3532" t="s">
        <v>47</v>
      </c>
      <c r="G3532">
        <v>-299.7473</v>
      </c>
      <c r="H3532" s="1">
        <v>-8.6336440000000002E-6</v>
      </c>
      <c r="I3532">
        <v>141.75799999999899</v>
      </c>
      <c r="J3532">
        <v>-272.03730000000002</v>
      </c>
      <c r="K3532">
        <v>1.1214249999999999</v>
      </c>
      <c r="L3532">
        <v>141.86779999999999</v>
      </c>
      <c r="M3532">
        <v>-0.99925540000000002</v>
      </c>
      <c r="N3532">
        <v>-1.302329E-2</v>
      </c>
      <c r="O3532">
        <v>3.6321399999999997E-2</v>
      </c>
      <c r="P3532">
        <v>-0.97848239999999997</v>
      </c>
      <c r="Q3532">
        <v>0.1904827</v>
      </c>
      <c r="R3532">
        <v>7.9302789999999998E-2</v>
      </c>
      <c r="S3532">
        <v>-3.0905459999999998</v>
      </c>
      <c r="T3532">
        <v>-0.12349499999999999</v>
      </c>
      <c r="U3532">
        <v>-1.071167E-2</v>
      </c>
      <c r="V3532">
        <v>4.354893E-2</v>
      </c>
      <c r="W3532">
        <v>0.2032728</v>
      </c>
      <c r="X3532">
        <v>0.97815319999999994</v>
      </c>
      <c r="Y3532">
        <v>-3.9732690000000001E-2</v>
      </c>
      <c r="Z3532">
        <v>-2.0299720000000001E-3</v>
      </c>
      <c r="AA3532">
        <v>0.99920830000000005</v>
      </c>
      <c r="AB3532">
        <v>34</v>
      </c>
      <c r="AC3532">
        <v>-27.709999999999901</v>
      </c>
      <c r="AD3532">
        <v>-1.1214336336439901</v>
      </c>
      <c r="AE3532">
        <v>-0.109800000000006</v>
      </c>
      <c r="AF3532">
        <v>-1.1144535116287899</v>
      </c>
      <c r="AG3532">
        <v>-1.1214336336439901</v>
      </c>
      <c r="AH3532">
        <v>27.642450839308299</v>
      </c>
      <c r="AI3532">
        <v>92.321289372548193</v>
      </c>
      <c r="AJ3532">
        <v>92.3087287047708</v>
      </c>
      <c r="AK3532">
        <v>27.687627352805599</v>
      </c>
      <c r="AL3532">
        <v>78.271591081208399</v>
      </c>
      <c r="AM3532">
        <v>87.450784569260193</v>
      </c>
      <c r="AN3532">
        <v>1.0000000115971099</v>
      </c>
    </row>
    <row r="3533" spans="1:40" x14ac:dyDescent="0.25">
      <c r="A3533" t="str">
        <f>"20190303162621417"</f>
        <v>20190303162621417</v>
      </c>
      <c r="B3533" t="str">
        <f>"1551601581407190"</f>
        <v>1551601581407190</v>
      </c>
      <c r="C3533" t="s">
        <v>40</v>
      </c>
      <c r="D3533">
        <v>4.9744260000000002</v>
      </c>
      <c r="E3533">
        <v>0.46804960000000001</v>
      </c>
      <c r="F3533" t="s">
        <v>47</v>
      </c>
      <c r="G3533">
        <v>-299.77690000000001</v>
      </c>
      <c r="H3533" s="1">
        <v>-8.6363599999999998E-6</v>
      </c>
      <c r="I3533">
        <v>141.77809999999999</v>
      </c>
      <c r="J3533">
        <v>-272.3673</v>
      </c>
      <c r="K3533">
        <v>1.121434</v>
      </c>
      <c r="L3533">
        <v>141.8794</v>
      </c>
      <c r="M3533">
        <v>-0.99926939999999997</v>
      </c>
      <c r="N3533">
        <v>-1.3009730000000001E-2</v>
      </c>
      <c r="O3533">
        <v>3.5938779999999997E-2</v>
      </c>
      <c r="P3533">
        <v>-0.97857490000000003</v>
      </c>
      <c r="Q3533">
        <v>0.18974469999999999</v>
      </c>
      <c r="R3533">
        <v>7.9927590000000007E-2</v>
      </c>
      <c r="S3533">
        <v>-3.0910340000000001</v>
      </c>
      <c r="T3533">
        <v>-0.1249617</v>
      </c>
      <c r="U3533">
        <v>-9.9945069999999997E-3</v>
      </c>
      <c r="V3533">
        <v>4.4540410000000002E-2</v>
      </c>
      <c r="W3533">
        <v>0.20252519999999999</v>
      </c>
      <c r="X3533">
        <v>0.97826360000000001</v>
      </c>
      <c r="Y3533">
        <v>-3.9117180000000001E-2</v>
      </c>
      <c r="Z3533">
        <v>-2.0295550000000002E-3</v>
      </c>
      <c r="AA3533">
        <v>0.99923260000000003</v>
      </c>
      <c r="AB3533">
        <v>34</v>
      </c>
      <c r="AC3533">
        <v>-27.409600000000001</v>
      </c>
      <c r="AD3533">
        <v>-1.1214426363600001</v>
      </c>
      <c r="AE3533">
        <v>-0.10130000000000899</v>
      </c>
      <c r="AF3533">
        <v>-1.08456989904042</v>
      </c>
      <c r="AG3533">
        <v>-1.1214426363600001</v>
      </c>
      <c r="AH3533">
        <v>27.342479338859601</v>
      </c>
      <c r="AI3533">
        <v>92.346807393944204</v>
      </c>
      <c r="AJ3533">
        <v>92.271510082311707</v>
      </c>
      <c r="AK3533">
        <v>27.386951306206299</v>
      </c>
      <c r="AL3533">
        <v>78.315335020243296</v>
      </c>
      <c r="AM3533">
        <v>87.393119507635305</v>
      </c>
      <c r="AN3533">
        <v>0.99999998792148403</v>
      </c>
    </row>
    <row r="3534" spans="1:40" x14ac:dyDescent="0.25">
      <c r="A3534" t="str">
        <f>"20190303162621440"</f>
        <v>20190303162621440</v>
      </c>
      <c r="B3534" t="str">
        <f>"1551601581426710"</f>
        <v>1551601581426710</v>
      </c>
      <c r="C3534" t="s">
        <v>40</v>
      </c>
      <c r="D3534">
        <v>4.7736020000000003</v>
      </c>
      <c r="E3534">
        <v>0.46781800000000001</v>
      </c>
      <c r="F3534" t="s">
        <v>47</v>
      </c>
      <c r="G3534">
        <v>-299.49799999999999</v>
      </c>
      <c r="H3534" s="1">
        <v>-8.6634510000000003E-6</v>
      </c>
      <c r="I3534">
        <v>141.78790000000001</v>
      </c>
      <c r="J3534">
        <v>-272.69490000000002</v>
      </c>
      <c r="K3534">
        <v>1.121445</v>
      </c>
      <c r="L3534">
        <v>141.89080000000001</v>
      </c>
      <c r="M3534">
        <v>-0.99928360000000005</v>
      </c>
      <c r="N3534">
        <v>-1.299787E-2</v>
      </c>
      <c r="O3534">
        <v>3.5546349999999997E-2</v>
      </c>
      <c r="P3534">
        <v>-0.97857499999999997</v>
      </c>
      <c r="Q3534">
        <v>0.18979979999999999</v>
      </c>
      <c r="R3534">
        <v>7.9796140000000002E-2</v>
      </c>
      <c r="S3534">
        <v>-3.091278</v>
      </c>
      <c r="T3534">
        <v>-0.12777759999999999</v>
      </c>
      <c r="U3534">
        <v>-1.042175E-2</v>
      </c>
      <c r="V3534">
        <v>4.4787960000000002E-2</v>
      </c>
      <c r="W3534">
        <v>0.20256959999999999</v>
      </c>
      <c r="X3534">
        <v>0.97824310000000003</v>
      </c>
      <c r="Y3534">
        <v>-3.8860459999999999E-2</v>
      </c>
      <c r="Z3534">
        <v>-2.0619919999999999E-3</v>
      </c>
      <c r="AA3534">
        <v>0.99924250000000003</v>
      </c>
      <c r="AB3534">
        <v>34</v>
      </c>
      <c r="AC3534">
        <v>-26.803099999999901</v>
      </c>
      <c r="AD3534">
        <v>-1.1214536634509999</v>
      </c>
      <c r="AE3534">
        <v>-0.102900000000005</v>
      </c>
      <c r="AF3534">
        <v>-1.05382290919338</v>
      </c>
      <c r="AG3534">
        <v>-1.1214536634509999</v>
      </c>
      <c r="AH3534">
        <v>26.735696890739799</v>
      </c>
      <c r="AI3534">
        <v>92.400055196142205</v>
      </c>
      <c r="AJ3534">
        <v>92.2572205576176</v>
      </c>
      <c r="AK3534">
        <v>26.779949388987301</v>
      </c>
      <c r="AL3534">
        <v>78.312737189068699</v>
      </c>
      <c r="AM3534">
        <v>87.378596091384594</v>
      </c>
      <c r="AN3534">
        <v>0.99999998345136498</v>
      </c>
    </row>
    <row r="3535" spans="1:40" x14ac:dyDescent="0.25">
      <c r="A3535" t="str">
        <f>"20190303162621463"</f>
        <v>20190303162621463</v>
      </c>
      <c r="B3535" t="str">
        <f>"1551601581456966"</f>
        <v>1551601581456966</v>
      </c>
      <c r="C3535" t="s">
        <v>40</v>
      </c>
      <c r="D3535">
        <v>4.9707470000000002</v>
      </c>
      <c r="E3535">
        <v>0.46747040000000001</v>
      </c>
      <c r="F3535" t="s">
        <v>47</v>
      </c>
      <c r="G3535">
        <v>-299.75850000000003</v>
      </c>
      <c r="H3535" s="1">
        <v>-8.6392170000000001E-6</v>
      </c>
      <c r="I3535">
        <v>141.78280000000001</v>
      </c>
      <c r="J3535">
        <v>-273.0573</v>
      </c>
      <c r="K3535">
        <v>1.1214679999999999</v>
      </c>
      <c r="L3535">
        <v>141.9032</v>
      </c>
      <c r="M3535">
        <v>-0.99929970000000001</v>
      </c>
      <c r="N3535">
        <v>-1.298648E-2</v>
      </c>
      <c r="O3535">
        <v>3.5096299999999997E-2</v>
      </c>
      <c r="P3535">
        <v>-0.97853800000000002</v>
      </c>
      <c r="Q3535">
        <v>0.1903301</v>
      </c>
      <c r="R3535">
        <v>7.8981350000000006E-2</v>
      </c>
      <c r="S3535">
        <v>-3.0915219999999999</v>
      </c>
      <c r="T3535">
        <v>-0.12810559999999999</v>
      </c>
      <c r="U3535">
        <v>-1.2329100000000001E-2</v>
      </c>
      <c r="V3535">
        <v>4.4408620000000003E-2</v>
      </c>
      <c r="W3535">
        <v>0.20308880000000001</v>
      </c>
      <c r="X3535">
        <v>0.97815280000000004</v>
      </c>
      <c r="Y3535">
        <v>-3.9026350000000001E-2</v>
      </c>
      <c r="Z3535">
        <v>-2.059553E-3</v>
      </c>
      <c r="AA3535">
        <v>0.99923600000000001</v>
      </c>
      <c r="AB3535">
        <v>34</v>
      </c>
      <c r="AC3535">
        <v>-26.7012</v>
      </c>
      <c r="AD3535">
        <v>-1.1214766392169999</v>
      </c>
      <c r="AE3535">
        <v>-0.120399999999989</v>
      </c>
      <c r="AF3535">
        <v>-1.0556558085641199</v>
      </c>
      <c r="AG3535">
        <v>-1.1214766392169999</v>
      </c>
      <c r="AH3535">
        <v>26.633538801013099</v>
      </c>
      <c r="AI3535">
        <v>92.409278652233894</v>
      </c>
      <c r="AJ3535">
        <v>92.269806433161406</v>
      </c>
      <c r="AK3535">
        <v>26.678034187389699</v>
      </c>
      <c r="AL3535">
        <v>78.282358466377602</v>
      </c>
      <c r="AM3535">
        <v>87.400528359037096</v>
      </c>
      <c r="AN3535">
        <v>1.0000000431817899</v>
      </c>
    </row>
    <row r="3536" spans="1:40" x14ac:dyDescent="0.25">
      <c r="A3536" t="str">
        <f>"20190303162621486"</f>
        <v>20190303162621486</v>
      </c>
      <c r="B3536" t="str">
        <f>"1551601581477462"</f>
        <v>1551601581477462</v>
      </c>
      <c r="C3536" t="s">
        <v>40</v>
      </c>
      <c r="D3536">
        <v>4.9126110000000001</v>
      </c>
      <c r="E3536">
        <v>0.46727590000000002</v>
      </c>
      <c r="F3536" t="s">
        <v>47</v>
      </c>
      <c r="G3536">
        <v>-300.32859999999999</v>
      </c>
      <c r="H3536" s="1">
        <v>-8.6802980000000001E-6</v>
      </c>
      <c r="I3536">
        <v>141.75550000000001</v>
      </c>
      <c r="J3536">
        <v>-273.40429999999998</v>
      </c>
      <c r="K3536">
        <v>1.1214869999999999</v>
      </c>
      <c r="L3536">
        <v>141.91489999999999</v>
      </c>
      <c r="M3536">
        <v>-0.99931530000000002</v>
      </c>
      <c r="N3536">
        <v>-1.29769E-2</v>
      </c>
      <c r="O3536">
        <v>3.4652339999999997E-2</v>
      </c>
      <c r="P3536">
        <v>-0.97822549999999997</v>
      </c>
      <c r="Q3536">
        <v>0.19232740000000001</v>
      </c>
      <c r="R3536">
        <v>7.8008159999999993E-2</v>
      </c>
      <c r="S3536">
        <v>-3.091888</v>
      </c>
      <c r="T3536">
        <v>-0.127147699999999</v>
      </c>
      <c r="U3536">
        <v>-1.6738889999999999E-2</v>
      </c>
      <c r="V3536">
        <v>4.3874009999999998E-2</v>
      </c>
      <c r="W3536">
        <v>0.20507320000000001</v>
      </c>
      <c r="X3536">
        <v>0.97776280000000004</v>
      </c>
      <c r="Y3536">
        <v>-4.0007019999999997E-2</v>
      </c>
      <c r="Z3536">
        <v>-2.0565829999999998E-3</v>
      </c>
      <c r="AA3536">
        <v>0.99919729999999995</v>
      </c>
      <c r="AB3536">
        <v>34</v>
      </c>
      <c r="AC3536">
        <v>-26.924299999999999</v>
      </c>
      <c r="AD3536">
        <v>-1.1214956802980001</v>
      </c>
      <c r="AE3536">
        <v>-0.15939999999997601</v>
      </c>
      <c r="AF3536">
        <v>-1.0904807520712501</v>
      </c>
      <c r="AG3536">
        <v>-1.1214956802980001</v>
      </c>
      <c r="AH3536">
        <v>26.856008951868901</v>
      </c>
      <c r="AI3536">
        <v>92.389291812035793</v>
      </c>
      <c r="AJ3536">
        <v>92.325201818936506</v>
      </c>
      <c r="AK3536">
        <v>26.9015263071527</v>
      </c>
      <c r="AL3536">
        <v>78.166216095684803</v>
      </c>
      <c r="AM3536">
        <v>87.430756745573703</v>
      </c>
      <c r="AN3536">
        <v>1.0000000195877701</v>
      </c>
    </row>
    <row r="3537" spans="1:40" x14ac:dyDescent="0.25">
      <c r="A3537" t="str">
        <f>"20190303162621509"</f>
        <v>20190303162621509</v>
      </c>
      <c r="B3537" t="str">
        <f>"1551601581496982"</f>
        <v>1551601581496982</v>
      </c>
      <c r="C3537" t="s">
        <v>40</v>
      </c>
      <c r="D3537">
        <v>4.9184650000000003</v>
      </c>
      <c r="E3537">
        <v>0.46739009999999998</v>
      </c>
      <c r="F3537" t="s">
        <v>47</v>
      </c>
      <c r="G3537">
        <v>-302.00369999999998</v>
      </c>
      <c r="H3537" s="1">
        <v>-8.9663310000000007E-6</v>
      </c>
      <c r="I3537">
        <v>141.71350000000001</v>
      </c>
      <c r="J3537">
        <v>-273.7715</v>
      </c>
      <c r="K3537">
        <v>1.1215079999999999</v>
      </c>
      <c r="L3537">
        <v>141.92699999999999</v>
      </c>
      <c r="M3537">
        <v>-0.99933209999999995</v>
      </c>
      <c r="N3537">
        <v>-1.296808E-2</v>
      </c>
      <c r="O3537">
        <v>3.4165330000000001E-2</v>
      </c>
      <c r="P3537">
        <v>-0.97800370000000003</v>
      </c>
      <c r="Q3537">
        <v>0.19353870000000001</v>
      </c>
      <c r="R3537">
        <v>7.779266E-2</v>
      </c>
      <c r="S3537">
        <v>-3.092346</v>
      </c>
      <c r="T3537">
        <v>-0.1212635</v>
      </c>
      <c r="U3537">
        <v>-2.1774290000000002E-2</v>
      </c>
      <c r="V3537">
        <v>4.4135819999999999E-2</v>
      </c>
      <c r="W3537">
        <v>0.20627390000000001</v>
      </c>
      <c r="X3537">
        <v>0.97749839999999999</v>
      </c>
      <c r="Y3537">
        <v>-4.1150579999999999E-2</v>
      </c>
      <c r="Z3537">
        <v>-1.9695609999999999E-3</v>
      </c>
      <c r="AA3537">
        <v>0.99915100000000001</v>
      </c>
      <c r="AB3537">
        <v>34</v>
      </c>
      <c r="AC3537">
        <v>-28.232199999999899</v>
      </c>
      <c r="AD3537">
        <v>-1.1215169663309901</v>
      </c>
      <c r="AE3537">
        <v>-0.21350000000000999</v>
      </c>
      <c r="AF3537">
        <v>-1.17616289617709</v>
      </c>
      <c r="AG3537">
        <v>-1.1215169663309901</v>
      </c>
      <c r="AH3537">
        <v>28.163978431899199</v>
      </c>
      <c r="AI3537">
        <v>92.2783849524468</v>
      </c>
      <c r="AJ3537">
        <v>92.391353745122501</v>
      </c>
      <c r="AK3537">
        <v>28.210828427690601</v>
      </c>
      <c r="AL3537">
        <v>78.0959179759043</v>
      </c>
      <c r="AM3537">
        <v>87.414747853559504</v>
      </c>
      <c r="AN3537">
        <v>1.00000000721542</v>
      </c>
    </row>
    <row r="3538" spans="1:40" x14ac:dyDescent="0.25">
      <c r="A3538" t="str">
        <f>"20190303162621533"</f>
        <v>20190303162621533</v>
      </c>
      <c r="B3538" t="str">
        <f>"1551601581527238"</f>
        <v>1551601581527238</v>
      </c>
      <c r="C3538" t="s">
        <v>40</v>
      </c>
      <c r="D3538">
        <v>4.731884</v>
      </c>
      <c r="E3538">
        <v>0.48623509999999998</v>
      </c>
      <c r="F3538" t="s">
        <v>47</v>
      </c>
      <c r="G3538">
        <v>-303.12119999999999</v>
      </c>
      <c r="H3538" s="1">
        <v>-9.1286799999999998E-6</v>
      </c>
      <c r="I3538">
        <v>141.7139</v>
      </c>
      <c r="J3538">
        <v>-274.12950000000001</v>
      </c>
      <c r="K3538">
        <v>1.121513</v>
      </c>
      <c r="L3538">
        <v>141.93870000000001</v>
      </c>
      <c r="M3538">
        <v>-0.99934900000000004</v>
      </c>
      <c r="N3538">
        <v>-1.296041E-2</v>
      </c>
      <c r="O3538">
        <v>3.3671989999999999E-2</v>
      </c>
      <c r="P3538">
        <v>-0.97819160000000005</v>
      </c>
      <c r="Q3538">
        <v>0.1926467</v>
      </c>
      <c r="R3538">
        <v>7.7645489999999998E-2</v>
      </c>
      <c r="S3538">
        <v>-3.092651</v>
      </c>
      <c r="T3538">
        <v>-0.1181769</v>
      </c>
      <c r="U3538">
        <v>-2.2460939999999999E-2</v>
      </c>
      <c r="V3538">
        <v>4.4459819999999997E-2</v>
      </c>
      <c r="W3538">
        <v>0.20537839999999999</v>
      </c>
      <c r="X3538">
        <v>0.97767230000000005</v>
      </c>
      <c r="Y3538">
        <v>-4.088162E-2</v>
      </c>
      <c r="Z3538">
        <v>-1.89555E-3</v>
      </c>
      <c r="AA3538">
        <v>0.9991622</v>
      </c>
      <c r="AB3538">
        <v>34</v>
      </c>
      <c r="AC3538">
        <v>-28.991699999999899</v>
      </c>
      <c r="AD3538">
        <v>-1.1215221286799999</v>
      </c>
      <c r="AE3538">
        <v>-0.22480000000001599</v>
      </c>
      <c r="AF3538">
        <v>-1.19916822394675</v>
      </c>
      <c r="AG3538">
        <v>-1.1215221286799999</v>
      </c>
      <c r="AH3538">
        <v>28.924405110279899</v>
      </c>
      <c r="AI3538">
        <v>92.218584607234305</v>
      </c>
      <c r="AJ3538">
        <v>92.374048946191394</v>
      </c>
      <c r="AK3538">
        <v>28.970968697957399</v>
      </c>
      <c r="AL3538">
        <v>78.148349418597206</v>
      </c>
      <c r="AM3538">
        <v>87.396258187524793</v>
      </c>
      <c r="AN3538">
        <v>1.0000000444841399</v>
      </c>
    </row>
    <row r="3539" spans="1:40" x14ac:dyDescent="0.25">
      <c r="A3539" t="str">
        <f>"20190303162621554"</f>
        <v>20190303162621554</v>
      </c>
      <c r="B3539" t="str">
        <f>"1551601581546758"</f>
        <v>1551601581546758</v>
      </c>
      <c r="C3539" t="s">
        <v>40</v>
      </c>
      <c r="D3539">
        <v>4.7890790000000001</v>
      </c>
      <c r="E3539">
        <v>0.48659970000000002</v>
      </c>
      <c r="F3539" t="s">
        <v>47</v>
      </c>
      <c r="G3539">
        <v>-299.81959999999998</v>
      </c>
      <c r="H3539" s="1">
        <v>-8.9539820000000001E-6</v>
      </c>
      <c r="I3539">
        <v>142.99680000000001</v>
      </c>
      <c r="J3539">
        <v>-274.45299999999997</v>
      </c>
      <c r="K3539">
        <v>1.121524</v>
      </c>
      <c r="L3539">
        <v>141.94909999999999</v>
      </c>
      <c r="M3539">
        <v>-0.99936440000000004</v>
      </c>
      <c r="N3539">
        <v>-1.295428E-2</v>
      </c>
      <c r="O3539">
        <v>3.320977E-2</v>
      </c>
      <c r="P3539">
        <v>-0.97837200000000002</v>
      </c>
      <c r="Q3539">
        <v>0.1916948</v>
      </c>
      <c r="R3539">
        <v>7.7729060000000003E-2</v>
      </c>
      <c r="S3539">
        <v>-3.083313</v>
      </c>
      <c r="T3539">
        <v>-0.1346041</v>
      </c>
      <c r="U3539">
        <v>0.1269836</v>
      </c>
      <c r="V3539">
        <v>4.4985129999999998E-2</v>
      </c>
      <c r="W3539">
        <v>0.20442489999999999</v>
      </c>
      <c r="X3539">
        <v>0.9778481</v>
      </c>
      <c r="Y3539">
        <v>7.9479359999999992E-3</v>
      </c>
      <c r="Z3539">
        <v>-7.9314529999999998E-4</v>
      </c>
      <c r="AA3539">
        <v>0.99996810000000003</v>
      </c>
      <c r="AB3539">
        <v>34</v>
      </c>
      <c r="AC3539">
        <v>-25.366599999999998</v>
      </c>
      <c r="AD3539">
        <v>-1.121532953982</v>
      </c>
      <c r="AE3539">
        <v>1.0477000000000201</v>
      </c>
      <c r="AF3539">
        <v>0.204233756825453</v>
      </c>
      <c r="AG3539">
        <v>-1.121532953982</v>
      </c>
      <c r="AH3539">
        <v>25.337956346568099</v>
      </c>
      <c r="AI3539">
        <v>92.534344296646196</v>
      </c>
      <c r="AJ3539">
        <v>89.538183793117099</v>
      </c>
      <c r="AK3539">
        <v>25.363587668444801</v>
      </c>
      <c r="AL3539">
        <v>78.204165327982693</v>
      </c>
      <c r="AM3539">
        <v>87.366010022050105</v>
      </c>
      <c r="AN3539">
        <v>1.0000000541673599</v>
      </c>
    </row>
    <row r="3540" spans="1:40" x14ac:dyDescent="0.25">
      <c r="A3540" t="str">
        <f>"20190303162621577"</f>
        <v>20190303162621577</v>
      </c>
      <c r="B3540" t="str">
        <f>"1551601581567254"</f>
        <v>1551601581567254</v>
      </c>
      <c r="C3540" t="s">
        <v>40</v>
      </c>
      <c r="D3540">
        <v>4.8328519999999999</v>
      </c>
      <c r="E3540">
        <v>0.48752780000000001</v>
      </c>
      <c r="F3540" t="s">
        <v>47</v>
      </c>
      <c r="G3540">
        <v>-299.53469999999999</v>
      </c>
      <c r="H3540" s="1">
        <v>-8.9814220000000003E-6</v>
      </c>
      <c r="I3540">
        <v>143.0059</v>
      </c>
      <c r="J3540">
        <v>-274.78750000000002</v>
      </c>
      <c r="K3540">
        <v>1.1215360000000001</v>
      </c>
      <c r="L3540">
        <v>141.9598</v>
      </c>
      <c r="M3540">
        <v>-0.99938090000000002</v>
      </c>
      <c r="N3540">
        <v>-1.294878E-2</v>
      </c>
      <c r="O3540">
        <v>3.2716540000000002E-2</v>
      </c>
      <c r="P3540">
        <v>-0.97872309999999996</v>
      </c>
      <c r="Q3540">
        <v>0.1898994</v>
      </c>
      <c r="R3540">
        <v>7.7714699999999998E-2</v>
      </c>
      <c r="S3540">
        <v>-3.083008</v>
      </c>
      <c r="T3540">
        <v>-0.13785700000000001</v>
      </c>
      <c r="U3540">
        <v>0.12989809999999999</v>
      </c>
      <c r="V3540">
        <v>4.5437779999999997E-2</v>
      </c>
      <c r="W3540">
        <v>0.2026308</v>
      </c>
      <c r="X3540">
        <v>0.97820050000000003</v>
      </c>
      <c r="Y3540">
        <v>9.3877590000000007E-3</v>
      </c>
      <c r="Z3540">
        <v>-7.6711070000000001E-4</v>
      </c>
      <c r="AA3540">
        <v>0.9999557</v>
      </c>
      <c r="AB3540">
        <v>34</v>
      </c>
      <c r="AC3540">
        <v>-24.7471999999999</v>
      </c>
      <c r="AD3540">
        <v>-1.121544981422</v>
      </c>
      <c r="AE3540">
        <v>1.04609999999999</v>
      </c>
      <c r="AF3540">
        <v>0.235346826988551</v>
      </c>
      <c r="AG3540">
        <v>-1.121544981422</v>
      </c>
      <c r="AH3540">
        <v>24.717500567822601</v>
      </c>
      <c r="AI3540">
        <v>92.597869519539401</v>
      </c>
      <c r="AJ3540">
        <v>89.454476701514807</v>
      </c>
      <c r="AK3540">
        <v>24.744051519398301</v>
      </c>
      <c r="AL3540">
        <v>78.309156927290203</v>
      </c>
      <c r="AM3540">
        <v>87.340501203975606</v>
      </c>
      <c r="AN3540">
        <v>1.0000000255801</v>
      </c>
    </row>
    <row r="3541" spans="1:40" x14ac:dyDescent="0.25">
      <c r="A3541" t="str">
        <f>"20190303162621599"</f>
        <v>20190303162621599</v>
      </c>
      <c r="B3541" t="str">
        <f>"1551601581586773"</f>
        <v>1551601581586773</v>
      </c>
      <c r="C3541" t="s">
        <v>40</v>
      </c>
      <c r="D3541">
        <v>5.0194419999999997</v>
      </c>
      <c r="E3541">
        <v>0.48790679999999997</v>
      </c>
      <c r="F3541" t="s">
        <v>47</v>
      </c>
      <c r="G3541">
        <v>-298.91520000000003</v>
      </c>
      <c r="H3541" s="1">
        <v>-9.0421049999999997E-6</v>
      </c>
      <c r="I3541">
        <v>143.02959999999999</v>
      </c>
      <c r="J3541">
        <v>-275.13279999999997</v>
      </c>
      <c r="K3541">
        <v>1.1215489999999999</v>
      </c>
      <c r="L3541">
        <v>141.97049999999999</v>
      </c>
      <c r="M3541">
        <v>-0.99939789999999995</v>
      </c>
      <c r="N3541">
        <v>-1.294357E-2</v>
      </c>
      <c r="O3541">
        <v>3.2193880000000001E-2</v>
      </c>
      <c r="P3541">
        <v>-0.9789158</v>
      </c>
      <c r="Q3541">
        <v>0.18876080000000001</v>
      </c>
      <c r="R3541">
        <v>7.8061510000000001E-2</v>
      </c>
      <c r="S3541">
        <v>-3.0821839999999998</v>
      </c>
      <c r="T3541">
        <v>-0.14327129999999999</v>
      </c>
      <c r="U3541">
        <v>0.13667299999999999</v>
      </c>
      <c r="V3541">
        <v>4.6285859999999998E-2</v>
      </c>
      <c r="W3541">
        <v>0.2014918</v>
      </c>
      <c r="X3541">
        <v>0.97839600000000004</v>
      </c>
      <c r="Y3541">
        <v>1.211278E-2</v>
      </c>
      <c r="Z3541">
        <v>-7.1828569999999995E-4</v>
      </c>
      <c r="AA3541">
        <v>0.99992639999999999</v>
      </c>
      <c r="AB3541">
        <v>34</v>
      </c>
      <c r="AC3541">
        <v>-23.782399999999999</v>
      </c>
      <c r="AD3541">
        <v>-1.121558042105</v>
      </c>
      <c r="AE3541">
        <v>1.0590999999999999</v>
      </c>
      <c r="AF3541">
        <v>0.292190552928631</v>
      </c>
      <c r="AG3541">
        <v>-1.121558042105</v>
      </c>
      <c r="AH3541">
        <v>23.751451190270199</v>
      </c>
      <c r="AI3541">
        <v>92.703329238523807</v>
      </c>
      <c r="AJ3541">
        <v>89.295182391163706</v>
      </c>
      <c r="AK3541">
        <v>23.779711970602499</v>
      </c>
      <c r="AL3541">
        <v>78.375791344865604</v>
      </c>
      <c r="AM3541">
        <v>87.291476387766195</v>
      </c>
      <c r="AN3541">
        <v>1.0000000295595799</v>
      </c>
    </row>
    <row r="3542" spans="1:40" x14ac:dyDescent="0.25">
      <c r="A3542" t="str">
        <f>"20190303162621619"</f>
        <v>20190303162621619</v>
      </c>
      <c r="B3542" t="str">
        <f>"1551601581607270"</f>
        <v>1551601581607270</v>
      </c>
      <c r="C3542" t="s">
        <v>40</v>
      </c>
      <c r="D3542">
        <v>4.8327330000000002</v>
      </c>
      <c r="E3542">
        <v>0.48781809999999998</v>
      </c>
      <c r="F3542" t="s">
        <v>47</v>
      </c>
      <c r="G3542">
        <v>-300.07740000000001</v>
      </c>
      <c r="H3542" s="1">
        <v>-8.9918889999999993E-6</v>
      </c>
      <c r="I3542">
        <v>143.10599999999999</v>
      </c>
      <c r="J3542">
        <v>-275.46069999999997</v>
      </c>
      <c r="K3542">
        <v>1.1215440000000001</v>
      </c>
      <c r="L3542">
        <v>141.98050000000001</v>
      </c>
      <c r="M3542">
        <v>-0.99941409999999997</v>
      </c>
      <c r="N3542">
        <v>-1.2938959999999999E-2</v>
      </c>
      <c r="O3542">
        <v>3.1687659999999999E-2</v>
      </c>
      <c r="P3542">
        <v>-0.97913890000000003</v>
      </c>
      <c r="Q3542">
        <v>0.187889</v>
      </c>
      <c r="R3542">
        <v>7.7363520000000005E-2</v>
      </c>
      <c r="S3542">
        <v>-3.0801090000000002</v>
      </c>
      <c r="T3542">
        <v>-0.13848759999999999</v>
      </c>
      <c r="U3542">
        <v>0.140213</v>
      </c>
      <c r="V3542">
        <v>4.6073870000000003E-2</v>
      </c>
      <c r="W3542">
        <v>0.20061880000000001</v>
      </c>
      <c r="X3542">
        <v>0.97858540000000005</v>
      </c>
      <c r="Y3542">
        <v>1.379291E-2</v>
      </c>
      <c r="Z3542">
        <v>-6.1395669999999897E-4</v>
      </c>
      <c r="AA3542">
        <v>0.99990469999999998</v>
      </c>
      <c r="AB3542">
        <v>34</v>
      </c>
      <c r="AC3542">
        <v>-24.616700000000002</v>
      </c>
      <c r="AD3542">
        <v>-1.1215529918889999</v>
      </c>
      <c r="AE3542">
        <v>1.12549999999998</v>
      </c>
      <c r="AF3542">
        <v>0.344110997403267</v>
      </c>
      <c r="AG3542">
        <v>-1.1215529918889999</v>
      </c>
      <c r="AH3542">
        <v>24.5890685038719</v>
      </c>
      <c r="AI3542">
        <v>92.611301306417303</v>
      </c>
      <c r="AJ3542">
        <v>89.198228233752999</v>
      </c>
      <c r="AK3542">
        <v>24.617038477043799</v>
      </c>
      <c r="AL3542">
        <v>78.426853428538806</v>
      </c>
      <c r="AM3542">
        <v>87.304384177277399</v>
      </c>
      <c r="AN3542">
        <v>1.0000000447516799</v>
      </c>
    </row>
    <row r="3543" spans="1:40" x14ac:dyDescent="0.25">
      <c r="A3543" t="str">
        <f>"20190303162621642"</f>
        <v>20190303162621642</v>
      </c>
      <c r="B3543" t="str">
        <f>"1551601581626790"</f>
        <v>1551601581626790</v>
      </c>
      <c r="C3543" t="s">
        <v>40</v>
      </c>
      <c r="D3543">
        <v>5.0102449999999896</v>
      </c>
      <c r="E3543">
        <v>0.48785810000000002</v>
      </c>
      <c r="F3543" t="s">
        <v>47</v>
      </c>
      <c r="G3543">
        <v>-302.03969999999998</v>
      </c>
      <c r="H3543" s="1">
        <v>-9.3569339999999998E-6</v>
      </c>
      <c r="I3543">
        <v>143.1704</v>
      </c>
      <c r="J3543">
        <v>-275.79149999999998</v>
      </c>
      <c r="K3543">
        <v>1.1215469999999901</v>
      </c>
      <c r="L3543">
        <v>141.9905</v>
      </c>
      <c r="M3543">
        <v>-0.9994305</v>
      </c>
      <c r="N3543">
        <v>-1.2934889999999999E-2</v>
      </c>
      <c r="O3543">
        <v>3.117081E-2</v>
      </c>
      <c r="P3543">
        <v>-0.97941469999999997</v>
      </c>
      <c r="Q3543">
        <v>0.1868562</v>
      </c>
      <c r="R3543">
        <v>7.6368430000000001E-2</v>
      </c>
      <c r="S3543">
        <v>-3.0779109999999998</v>
      </c>
      <c r="T3543">
        <v>-0.12987850000000001</v>
      </c>
      <c r="U3543">
        <v>0.13778689999999999</v>
      </c>
      <c r="V3543">
        <v>4.5575520000000001E-2</v>
      </c>
      <c r="W3543">
        <v>0.19958529999999999</v>
      </c>
      <c r="X3543">
        <v>0.97882000000000002</v>
      </c>
      <c r="Y3543">
        <v>1.355517E-2</v>
      </c>
      <c r="Z3543">
        <v>-5.3719199999999905E-4</v>
      </c>
      <c r="AA3543">
        <v>0.99990800000000002</v>
      </c>
      <c r="AB3543">
        <v>34</v>
      </c>
      <c r="AC3543">
        <v>-26.248200000000001</v>
      </c>
      <c r="AD3543">
        <v>-1.1215563569339999</v>
      </c>
      <c r="AE3543">
        <v>1.1798999999999999</v>
      </c>
      <c r="AF3543">
        <v>0.36042383395177802</v>
      </c>
      <c r="AG3543">
        <v>-1.1215563569339999</v>
      </c>
      <c r="AH3543">
        <v>26.2244417257225</v>
      </c>
      <c r="AI3543">
        <v>92.448679489095696</v>
      </c>
      <c r="AJ3543">
        <v>89.212587073267898</v>
      </c>
      <c r="AK3543">
        <v>26.250888324543901</v>
      </c>
      <c r="AL3543">
        <v>78.487290512538806</v>
      </c>
      <c r="AM3543">
        <v>87.334136700571094</v>
      </c>
      <c r="AN3543">
        <v>1.0000000061996801</v>
      </c>
    </row>
    <row r="3544" spans="1:40" x14ac:dyDescent="0.25">
      <c r="A3544" t="str">
        <f>"20190303162621663"</f>
        <v>20190303162621663</v>
      </c>
      <c r="B3544" t="str">
        <f>"1551601581657046"</f>
        <v>1551601581657046</v>
      </c>
      <c r="C3544" t="s">
        <v>40</v>
      </c>
      <c r="D3544">
        <v>4.8500389999999998</v>
      </c>
      <c r="E3544">
        <v>0.48787459999999999</v>
      </c>
      <c r="F3544" t="s">
        <v>47</v>
      </c>
      <c r="G3544">
        <v>-303.64400000000001</v>
      </c>
      <c r="H3544" s="1">
        <v>-9.6503960000000007E-6</v>
      </c>
      <c r="I3544">
        <v>143.21520000000001</v>
      </c>
      <c r="J3544">
        <v>-276.12920000000003</v>
      </c>
      <c r="K3544">
        <v>1.1215469999999901</v>
      </c>
      <c r="L3544">
        <v>142.00040000000001</v>
      </c>
      <c r="M3544">
        <v>-0.99944690000000003</v>
      </c>
      <c r="N3544">
        <v>-1.2931160000000001E-2</v>
      </c>
      <c r="O3544">
        <v>3.063921E-2</v>
      </c>
      <c r="P3544">
        <v>-0.97958639999999997</v>
      </c>
      <c r="Q3544">
        <v>0.1860453</v>
      </c>
      <c r="R3544">
        <v>7.6144039999999996E-2</v>
      </c>
      <c r="S3544">
        <v>-3.0761409999999998</v>
      </c>
      <c r="T3544">
        <v>-0.1238693</v>
      </c>
      <c r="U3544">
        <v>0.13526920000000001</v>
      </c>
      <c r="V3544">
        <v>4.5866150000000001E-2</v>
      </c>
      <c r="W3544">
        <v>0.1987737</v>
      </c>
      <c r="X3544">
        <v>0.97897149999999999</v>
      </c>
      <c r="Y3544">
        <v>1.329558E-2</v>
      </c>
      <c r="Z3544">
        <v>-4.8278630000000002E-4</v>
      </c>
      <c r="AA3544">
        <v>0.99991149999999995</v>
      </c>
      <c r="AB3544">
        <v>34</v>
      </c>
      <c r="AC3544">
        <v>-27.514799999999902</v>
      </c>
      <c r="AD3544">
        <v>-1.1215566503959999</v>
      </c>
      <c r="AE3544">
        <v>1.2147999999999901</v>
      </c>
      <c r="AF3544">
        <v>0.370512951051858</v>
      </c>
      <c r="AG3544">
        <v>-1.1215566503959999</v>
      </c>
      <c r="AH3544">
        <v>27.493510937511299</v>
      </c>
      <c r="AI3544">
        <v>92.335788542300705</v>
      </c>
      <c r="AJ3544">
        <v>89.227907145203204</v>
      </c>
      <c r="AK3544">
        <v>27.5188719397797</v>
      </c>
      <c r="AL3544">
        <v>78.534741825775598</v>
      </c>
      <c r="AM3544">
        <v>87.317576121341403</v>
      </c>
      <c r="AN3544">
        <v>0.99999994266987902</v>
      </c>
    </row>
    <row r="3545" spans="1:40" x14ac:dyDescent="0.25">
      <c r="A3545" t="str">
        <f>"20190303162621710"</f>
        <v>20190303162621710</v>
      </c>
      <c r="B3545" t="str">
        <f>"1551601581697062"</f>
        <v>1551601581697062</v>
      </c>
      <c r="C3545" t="s">
        <v>40</v>
      </c>
      <c r="D3545">
        <v>4.9992739999999998</v>
      </c>
      <c r="E3545">
        <v>0.50847609999999999</v>
      </c>
      <c r="F3545" t="s">
        <v>47</v>
      </c>
      <c r="G3545">
        <v>-305.83170000000001</v>
      </c>
      <c r="H3545" s="1">
        <v>-9.9886439999999999E-6</v>
      </c>
      <c r="I3545">
        <v>143.2962</v>
      </c>
      <c r="J3545">
        <v>-276.83909999999997</v>
      </c>
      <c r="K3545">
        <v>1.1215280000000001</v>
      </c>
      <c r="L3545">
        <v>142.02080000000001</v>
      </c>
      <c r="M3545">
        <v>-0.99948079999999995</v>
      </c>
      <c r="N3545">
        <v>-1.292428E-2</v>
      </c>
      <c r="O3545">
        <v>2.9516009999999999E-2</v>
      </c>
      <c r="P3545">
        <v>-0.98034750000000004</v>
      </c>
      <c r="Q3545">
        <v>0.18162320000000001</v>
      </c>
      <c r="R3545">
        <v>7.7020779999999997E-2</v>
      </c>
      <c r="S3545">
        <v>-3.0741580000000002</v>
      </c>
      <c r="T3545">
        <v>-0.1160791</v>
      </c>
      <c r="U3545">
        <v>0.13410949999999999</v>
      </c>
      <c r="V3545">
        <v>4.7825060000000003E-2</v>
      </c>
      <c r="W3545">
        <v>0.19435740000000001</v>
      </c>
      <c r="X3545">
        <v>0.97976419999999997</v>
      </c>
      <c r="Y3545">
        <v>1.406956E-2</v>
      </c>
      <c r="Z3545">
        <v>-3.7554599999999999E-4</v>
      </c>
      <c r="AA3545">
        <v>0.99990089999999998</v>
      </c>
      <c r="AB3545">
        <v>34</v>
      </c>
      <c r="AC3545">
        <v>-28.992599999999999</v>
      </c>
      <c r="AD3545">
        <v>-1.121537988644</v>
      </c>
      <c r="AE3545">
        <v>1.2753999999999901</v>
      </c>
      <c r="AF3545">
        <v>0.41840202142129301</v>
      </c>
      <c r="AG3545">
        <v>-1.121537988644</v>
      </c>
      <c r="AH3545">
        <v>28.974339844870201</v>
      </c>
      <c r="AI3545">
        <v>92.216466025699503</v>
      </c>
      <c r="AJ3545">
        <v>89.172681621229501</v>
      </c>
      <c r="AK3545">
        <v>28.999056487367501</v>
      </c>
      <c r="AL3545">
        <v>78.792812421035094</v>
      </c>
      <c r="AM3545">
        <v>87.205449159444598</v>
      </c>
      <c r="AN3545">
        <v>0.99999996145020098</v>
      </c>
    </row>
    <row r="3546" spans="1:40" x14ac:dyDescent="0.25">
      <c r="A3546" t="str">
        <f>"20190303162621731"</f>
        <v>20190303162621731</v>
      </c>
      <c r="B3546" t="str">
        <f>"1551601581727318"</f>
        <v>1551601581727318</v>
      </c>
      <c r="C3546" t="s">
        <v>40</v>
      </c>
      <c r="D3546">
        <v>4.9405659999999996</v>
      </c>
      <c r="E3546">
        <v>0.52026899999999998</v>
      </c>
      <c r="F3546" t="s">
        <v>42</v>
      </c>
      <c r="G3546">
        <v>-277.67770000000002</v>
      </c>
      <c r="H3546">
        <v>1.020392</v>
      </c>
      <c r="I3546">
        <v>142.10140000000001</v>
      </c>
      <c r="J3546">
        <v>-277.14659999999998</v>
      </c>
      <c r="K3546">
        <v>1.1215090000000001</v>
      </c>
      <c r="L3546">
        <v>142.02930000000001</v>
      </c>
      <c r="M3546">
        <v>-0.99949500000000002</v>
      </c>
      <c r="N3546">
        <v>-1.292162E-2</v>
      </c>
      <c r="O3546">
        <v>2.902952E-2</v>
      </c>
      <c r="P3546">
        <v>-0.98090370000000005</v>
      </c>
      <c r="Q3546">
        <v>0.17836959999999999</v>
      </c>
      <c r="R3546">
        <v>7.7539780000000003E-2</v>
      </c>
      <c r="S3546">
        <v>-3.1061100000000001</v>
      </c>
      <c r="T3546">
        <v>-0.37463740000000001</v>
      </c>
      <c r="U3546">
        <v>0.2984619</v>
      </c>
      <c r="V3546">
        <v>4.8808740000000003E-2</v>
      </c>
      <c r="W3546">
        <v>0.19111020000000001</v>
      </c>
      <c r="X3546">
        <v>0.98035430000000001</v>
      </c>
      <c r="Y3546">
        <v>6.6347030000000001E-2</v>
      </c>
      <c r="Z3546">
        <v>1.30305E-3</v>
      </c>
      <c r="AA3546">
        <v>0.99779580000000001</v>
      </c>
      <c r="AB3546">
        <v>34</v>
      </c>
      <c r="AC3546">
        <v>-0.53110000000003699</v>
      </c>
      <c r="AD3546">
        <v>-0.101117</v>
      </c>
      <c r="AE3546">
        <v>7.2100000000006007E-2</v>
      </c>
      <c r="AF3546">
        <v>5.4703674509063903E-2</v>
      </c>
      <c r="AG3546">
        <v>-0.101117</v>
      </c>
      <c r="AH3546">
        <v>0.51465134639424603</v>
      </c>
      <c r="AI3546">
        <v>101.05496767997801</v>
      </c>
      <c r="AJ3546">
        <v>83.932659079265903</v>
      </c>
      <c r="AK3546">
        <v>0.52733589678610304</v>
      </c>
      <c r="AL3546">
        <v>78.982418463560904</v>
      </c>
      <c r="AM3546">
        <v>87.149777770899206</v>
      </c>
      <c r="AN3546">
        <v>0.99999997758645798</v>
      </c>
    </row>
    <row r="3547" spans="1:40" x14ac:dyDescent="0.25">
      <c r="A3547" t="str">
        <f>"20190303162621753"</f>
        <v>20190303162621753</v>
      </c>
      <c r="B3547" t="str">
        <f>"1551601581746838"</f>
        <v>1551601581746838</v>
      </c>
      <c r="C3547" t="s">
        <v>40</v>
      </c>
      <c r="D3547">
        <v>4.9866289999999998</v>
      </c>
      <c r="E3547">
        <v>0.52219150000000003</v>
      </c>
      <c r="F3547" t="s">
        <v>42</v>
      </c>
      <c r="G3547">
        <v>-277.95479999999998</v>
      </c>
      <c r="H3547">
        <v>0.96450199999999997</v>
      </c>
      <c r="I3547">
        <v>142.1309</v>
      </c>
      <c r="J3547">
        <v>-277.49160000000001</v>
      </c>
      <c r="K3547">
        <v>1.1215040000000001</v>
      </c>
      <c r="L3547">
        <v>142.03880000000001</v>
      </c>
      <c r="M3547">
        <v>-0.99951080000000003</v>
      </c>
      <c r="N3547">
        <v>-1.2918860000000001E-2</v>
      </c>
      <c r="O3547">
        <v>2.8484579999999999E-2</v>
      </c>
      <c r="P3547">
        <v>-0.98097350000000005</v>
      </c>
      <c r="Q3547">
        <v>0.17785190000000001</v>
      </c>
      <c r="R3547">
        <v>7.7843209999999996E-2</v>
      </c>
      <c r="S3547">
        <v>-3.1382140000000001</v>
      </c>
      <c r="T3547">
        <v>-0.6097648</v>
      </c>
      <c r="U3547">
        <v>0.39303589999999999</v>
      </c>
      <c r="V3547">
        <v>4.964561E-2</v>
      </c>
      <c r="W3547">
        <v>0.1905915</v>
      </c>
      <c r="X3547">
        <v>0.98041330000000004</v>
      </c>
      <c r="Y3547">
        <v>9.4551960000000004E-2</v>
      </c>
      <c r="Z3547">
        <v>4.5894200000000003E-3</v>
      </c>
      <c r="AA3547">
        <v>0.99550930000000004</v>
      </c>
      <c r="AB3547">
        <v>34</v>
      </c>
      <c r="AC3547">
        <v>-0.46319999999997202</v>
      </c>
      <c r="AD3547">
        <v>-0.157001999999999</v>
      </c>
      <c r="AE3547">
        <v>9.2099999999987803E-2</v>
      </c>
      <c r="AF3547">
        <v>7.1018609694424306E-2</v>
      </c>
      <c r="AG3547">
        <v>-0.157001999999999</v>
      </c>
      <c r="AH3547">
        <v>0.41929581161944002</v>
      </c>
      <c r="AI3547">
        <v>110.263335426295</v>
      </c>
      <c r="AJ3547">
        <v>80.386711609191295</v>
      </c>
      <c r="AK3547">
        <v>0.45332355836481097</v>
      </c>
      <c r="AL3547">
        <v>79.012694785090602</v>
      </c>
      <c r="AM3547">
        <v>87.101164956913706</v>
      </c>
      <c r="AN3547">
        <v>1.0000000226407</v>
      </c>
    </row>
    <row r="3548" spans="1:40" x14ac:dyDescent="0.25">
      <c r="A3548" t="str">
        <f>"20190303162621776"</f>
        <v>20190303162621776</v>
      </c>
      <c r="B3548" t="str">
        <f>"1551601581767333"</f>
        <v>1551601581767333</v>
      </c>
      <c r="C3548" t="s">
        <v>40</v>
      </c>
      <c r="D3548">
        <v>4.996111</v>
      </c>
      <c r="E3548">
        <v>0.52314559999999999</v>
      </c>
      <c r="F3548" t="s">
        <v>42</v>
      </c>
      <c r="G3548">
        <v>-278.25839999999999</v>
      </c>
      <c r="H3548">
        <v>0.96096749999999997</v>
      </c>
      <c r="I3548">
        <v>142.13890000000001</v>
      </c>
      <c r="J3548">
        <v>-277.83980000000003</v>
      </c>
      <c r="K3548">
        <v>1.1215120000000001</v>
      </c>
      <c r="L3548">
        <v>142.04810000000001</v>
      </c>
      <c r="M3548">
        <v>-0.99952640000000004</v>
      </c>
      <c r="N3548">
        <v>-1.291628E-2</v>
      </c>
      <c r="O3548">
        <v>2.7935339999999999E-2</v>
      </c>
      <c r="P3548">
        <v>-0.98062309999999997</v>
      </c>
      <c r="Q3548">
        <v>0.1794743</v>
      </c>
      <c r="R3548">
        <v>7.8533800000000001E-2</v>
      </c>
      <c r="S3548">
        <v>-3.1450200000000001</v>
      </c>
      <c r="T3548">
        <v>-0.65851990000000005</v>
      </c>
      <c r="U3548">
        <v>0.4099121</v>
      </c>
      <c r="V3548">
        <v>5.0883329999999997E-2</v>
      </c>
      <c r="W3548">
        <v>0.19220809999999999</v>
      </c>
      <c r="X3548">
        <v>0.98003419999999997</v>
      </c>
      <c r="Y3548">
        <v>9.9752489999999999E-2</v>
      </c>
      <c r="Z3548">
        <v>5.5395599999999998E-3</v>
      </c>
      <c r="AA3548">
        <v>0.99499680000000001</v>
      </c>
      <c r="AB3548">
        <v>34</v>
      </c>
      <c r="AC3548">
        <v>-0.418599999999969</v>
      </c>
      <c r="AD3548">
        <v>-0.16054450000000001</v>
      </c>
      <c r="AE3548">
        <v>9.0800000000001505E-2</v>
      </c>
      <c r="AF3548">
        <v>6.9330131724644903E-2</v>
      </c>
      <c r="AG3548">
        <v>-0.16054450000000001</v>
      </c>
      <c r="AH3548">
        <v>0.36911841218118102</v>
      </c>
      <c r="AI3548">
        <v>113.14503717890599</v>
      </c>
      <c r="AJ3548">
        <v>79.362287207977403</v>
      </c>
      <c r="AK3548">
        <v>0.408447800650662</v>
      </c>
      <c r="AL3548">
        <v>78.918326046281095</v>
      </c>
      <c r="AM3548">
        <v>87.027874514884601</v>
      </c>
      <c r="AN3548">
        <v>1.00000005007356</v>
      </c>
    </row>
    <row r="3549" spans="1:40" x14ac:dyDescent="0.25">
      <c r="A3549" t="str">
        <f>"20190303162621797"</f>
        <v>20190303162621797</v>
      </c>
      <c r="B3549" t="str">
        <f>"1551601581786854"</f>
        <v>1551601581786854</v>
      </c>
      <c r="C3549" t="s">
        <v>40</v>
      </c>
      <c r="D3549">
        <v>5.102589</v>
      </c>
      <c r="E3549">
        <v>0.52351400000000003</v>
      </c>
      <c r="F3549" t="s">
        <v>42</v>
      </c>
      <c r="G3549">
        <v>-278.56599999999997</v>
      </c>
      <c r="H3549">
        <v>0.96579789999999999</v>
      </c>
      <c r="I3549">
        <v>142.14510000000001</v>
      </c>
      <c r="J3549">
        <v>-278.17989999999998</v>
      </c>
      <c r="K3549">
        <v>1.1215120000000001</v>
      </c>
      <c r="L3549">
        <v>142.05699999999999</v>
      </c>
      <c r="M3549">
        <v>-0.99954109999999996</v>
      </c>
      <c r="N3549">
        <v>-1.291376E-2</v>
      </c>
      <c r="O3549">
        <v>2.7402099999999902E-2</v>
      </c>
      <c r="P3549">
        <v>-0.98043219999999998</v>
      </c>
      <c r="Q3549">
        <v>0.18050089999999999</v>
      </c>
      <c r="R3549">
        <v>7.8564209999999995E-2</v>
      </c>
      <c r="S3549">
        <v>-3.1491090000000002</v>
      </c>
      <c r="T3549">
        <v>-0.67518089999999997</v>
      </c>
      <c r="U3549">
        <v>0.42047119999999999</v>
      </c>
      <c r="V3549">
        <v>5.1442000000000002E-2</v>
      </c>
      <c r="W3549">
        <v>0.19322990000000001</v>
      </c>
      <c r="X3549">
        <v>0.97980400000000001</v>
      </c>
      <c r="Y3549">
        <v>0.10322580000000001</v>
      </c>
      <c r="Z3549">
        <v>6.139935E-3</v>
      </c>
      <c r="AA3549">
        <v>0.99463900000000005</v>
      </c>
      <c r="AB3549">
        <v>34</v>
      </c>
      <c r="AC3549">
        <v>-0.386099999999998</v>
      </c>
      <c r="AD3549">
        <v>-0.15571409999999999</v>
      </c>
      <c r="AE3549">
        <v>8.8099999999997097E-2</v>
      </c>
      <c r="AF3549">
        <v>6.7110675736274203E-2</v>
      </c>
      <c r="AG3549">
        <v>-0.15571409999999999</v>
      </c>
      <c r="AH3549">
        <v>0.33636657836954897</v>
      </c>
      <c r="AI3549">
        <v>114.417200330947</v>
      </c>
      <c r="AJ3549">
        <v>78.716708126362704</v>
      </c>
      <c r="AK3549">
        <v>0.37668713646822</v>
      </c>
      <c r="AL3549">
        <v>78.858661934674004</v>
      </c>
      <c r="AM3549">
        <v>86.994597096588095</v>
      </c>
      <c r="AN3549">
        <v>0.99999997601700397</v>
      </c>
    </row>
    <row r="3550" spans="1:40" x14ac:dyDescent="0.25">
      <c r="A3550" t="str">
        <f>"20190303162621822"</f>
        <v>20190303162621822</v>
      </c>
      <c r="B3550" t="str">
        <f>"1551601581817110"</f>
        <v>1551601581817110</v>
      </c>
      <c r="C3550" t="s">
        <v>40</v>
      </c>
      <c r="D3550">
        <v>4.9812770000000004</v>
      </c>
      <c r="E3550">
        <v>0.52419499999999997</v>
      </c>
      <c r="F3550" t="s">
        <v>42</v>
      </c>
      <c r="G3550">
        <v>-278.8732</v>
      </c>
      <c r="H3550">
        <v>0.96985010000000005</v>
      </c>
      <c r="I3550">
        <v>142.15029999999999</v>
      </c>
      <c r="J3550">
        <v>-278.54329999999999</v>
      </c>
      <c r="K3550">
        <v>1.1215090000000001</v>
      </c>
      <c r="L3550">
        <v>142.06639999999999</v>
      </c>
      <c r="M3550">
        <v>-0.99955629999999995</v>
      </c>
      <c r="N3550">
        <v>-1.291137E-2</v>
      </c>
      <c r="O3550">
        <v>2.6841340000000002E-2</v>
      </c>
      <c r="P3550">
        <v>-0.9805294</v>
      </c>
      <c r="Q3550">
        <v>0.1804017</v>
      </c>
      <c r="R3550">
        <v>7.7571009999999996E-2</v>
      </c>
      <c r="S3550">
        <v>-3.1529240000000001</v>
      </c>
      <c r="T3550">
        <v>-0.68987580000000004</v>
      </c>
      <c r="U3550">
        <v>0.42390440000000001</v>
      </c>
      <c r="V3550">
        <v>5.0999780000000002E-2</v>
      </c>
      <c r="W3550">
        <v>0.19312789999999999</v>
      </c>
      <c r="X3550">
        <v>0.97984729999999998</v>
      </c>
      <c r="Y3550">
        <v>0.10457139999999999</v>
      </c>
      <c r="Z3550">
        <v>6.5093879999999996E-3</v>
      </c>
      <c r="AA3550">
        <v>0.99449600000000005</v>
      </c>
      <c r="AB3550">
        <v>34</v>
      </c>
      <c r="AC3550">
        <v>-0.32990000000000902</v>
      </c>
      <c r="AD3550">
        <v>-0.15165890000000001</v>
      </c>
      <c r="AE3550">
        <v>8.3899999999999794E-2</v>
      </c>
      <c r="AF3550">
        <v>6.2590148154451297E-2</v>
      </c>
      <c r="AG3550">
        <v>-0.15165890000000001</v>
      </c>
      <c r="AH3550">
        <v>0.27704153614916799</v>
      </c>
      <c r="AI3550">
        <v>118.10067422663499</v>
      </c>
      <c r="AJ3550">
        <v>77.269272376539703</v>
      </c>
      <c r="AK3550">
        <v>0.32197820011158701</v>
      </c>
      <c r="AL3550">
        <v>78.864619105241601</v>
      </c>
      <c r="AM3550">
        <v>87.020517651995704</v>
      </c>
      <c r="AN3550">
        <v>1.0000000473178701</v>
      </c>
    </row>
    <row r="3551" spans="1:40" x14ac:dyDescent="0.25">
      <c r="A3551" t="str">
        <f>"20190303162621841"</f>
        <v>20190303162621841</v>
      </c>
      <c r="B3551" t="str">
        <f>"1551601581836630"</f>
        <v>1551601581836630</v>
      </c>
      <c r="C3551" t="s">
        <v>40</v>
      </c>
      <c r="D3551">
        <v>5.0085559999999996</v>
      </c>
      <c r="E3551">
        <v>0.52436769999999999</v>
      </c>
      <c r="F3551" t="s">
        <v>42</v>
      </c>
      <c r="G3551">
        <v>-279.4572</v>
      </c>
      <c r="H3551">
        <v>0.91667900000000002</v>
      </c>
      <c r="I3551">
        <v>142.1901</v>
      </c>
      <c r="J3551">
        <v>-278.83940000000001</v>
      </c>
      <c r="K3551">
        <v>1.1215040000000001</v>
      </c>
      <c r="L3551">
        <v>142.07380000000001</v>
      </c>
      <c r="M3551">
        <v>-0.99956829999999997</v>
      </c>
      <c r="N3551">
        <v>-1.2909520000000001E-2</v>
      </c>
      <c r="O3551">
        <v>2.639445E-2</v>
      </c>
      <c r="P3551">
        <v>-0.98077000000000003</v>
      </c>
      <c r="Q3551">
        <v>0.1796411</v>
      </c>
      <c r="R3551">
        <v>7.6284080000000004E-2</v>
      </c>
      <c r="S3551">
        <v>-3.1559140000000001</v>
      </c>
      <c r="T3551">
        <v>-0.70733809999999997</v>
      </c>
      <c r="U3551">
        <v>0.42704769999999997</v>
      </c>
      <c r="V3551">
        <v>5.0150180000000003E-2</v>
      </c>
      <c r="W3551">
        <v>0.1923657</v>
      </c>
      <c r="X3551">
        <v>0.98004100000000005</v>
      </c>
      <c r="Y3551">
        <v>0.1057317</v>
      </c>
      <c r="Z3551">
        <v>6.8676190000000002E-3</v>
      </c>
      <c r="AA3551">
        <v>0.994371</v>
      </c>
      <c r="AB3551">
        <v>34</v>
      </c>
      <c r="AC3551">
        <v>-0.61779999999998803</v>
      </c>
      <c r="AD3551">
        <v>-0.20482499999999901</v>
      </c>
      <c r="AE3551">
        <v>0.116299999999995</v>
      </c>
      <c r="AF3551">
        <v>9.0359396824293003E-2</v>
      </c>
      <c r="AG3551">
        <v>-0.20482499999999901</v>
      </c>
      <c r="AH3551">
        <v>0.561091227669541</v>
      </c>
      <c r="AI3551">
        <v>109.819367253696</v>
      </c>
      <c r="AJ3551">
        <v>80.851506317902206</v>
      </c>
      <c r="AK3551">
        <v>0.60410385447136705</v>
      </c>
      <c r="AL3551">
        <v>78.909123759696001</v>
      </c>
      <c r="AM3551">
        <v>87.070643399183794</v>
      </c>
      <c r="AN3551">
        <v>0.99999998238576104</v>
      </c>
    </row>
    <row r="3552" spans="1:40" x14ac:dyDescent="0.25">
      <c r="A3552" t="str">
        <f>"20190303162621867"</f>
        <v>20190303162621867</v>
      </c>
      <c r="B3552" t="str">
        <f>"1551601581857125"</f>
        <v>1551601581857125</v>
      </c>
      <c r="C3552" t="s">
        <v>40</v>
      </c>
      <c r="D3552">
        <v>5.0485170000000004</v>
      </c>
      <c r="E3552">
        <v>0.52470119999999998</v>
      </c>
      <c r="F3552" t="s">
        <v>42</v>
      </c>
      <c r="G3552">
        <v>-279.75990000000002</v>
      </c>
      <c r="H3552">
        <v>0.9122884</v>
      </c>
      <c r="I3552">
        <v>142.19799999999901</v>
      </c>
      <c r="J3552">
        <v>-279.2439</v>
      </c>
      <c r="K3552">
        <v>1.1214919999999999</v>
      </c>
      <c r="L3552">
        <v>142.0838</v>
      </c>
      <c r="M3552">
        <v>-0.99958400000000003</v>
      </c>
      <c r="N3552">
        <v>-1.290708E-2</v>
      </c>
      <c r="O3552">
        <v>2.5799260000000001E-2</v>
      </c>
      <c r="P3552">
        <v>-0.980908</v>
      </c>
      <c r="Q3552">
        <v>0.17948900000000001</v>
      </c>
      <c r="R3552">
        <v>7.4857339999999994E-2</v>
      </c>
      <c r="S3552">
        <v>-3.1571959999999999</v>
      </c>
      <c r="T3552">
        <v>-0.71767179999999997</v>
      </c>
      <c r="U3552">
        <v>0.42468260000000002</v>
      </c>
      <c r="V3552">
        <v>4.9311630000000002E-2</v>
      </c>
      <c r="W3552">
        <v>0.19220989999999999</v>
      </c>
      <c r="X3552">
        <v>0.98011409999999999</v>
      </c>
      <c r="Y3552">
        <v>0.10547380000000001</v>
      </c>
      <c r="Z3552">
        <v>7.0434779999999997E-3</v>
      </c>
      <c r="AA3552">
        <v>0.99439719999999998</v>
      </c>
      <c r="AB3552">
        <v>34</v>
      </c>
      <c r="AC3552">
        <v>-0.516000000000019</v>
      </c>
      <c r="AD3552">
        <v>-0.20920359999999999</v>
      </c>
      <c r="AE3552">
        <v>0.114199999999982</v>
      </c>
      <c r="AF3552">
        <v>8.7186299331137404E-2</v>
      </c>
      <c r="AG3552">
        <v>-0.20920359999999999</v>
      </c>
      <c r="AH3552">
        <v>0.44849520799169501</v>
      </c>
      <c r="AI3552">
        <v>114.60233879785901</v>
      </c>
      <c r="AJ3552">
        <v>78.999056791909098</v>
      </c>
      <c r="AK3552">
        <v>0.50250925228848498</v>
      </c>
      <c r="AL3552">
        <v>78.918220008224694</v>
      </c>
      <c r="AM3552">
        <v>87.119755802544503</v>
      </c>
      <c r="AN3552">
        <v>0.99999996576503702</v>
      </c>
    </row>
    <row r="3553" spans="1:40" x14ac:dyDescent="0.25">
      <c r="A3553" t="str">
        <f>"20190303162621887"</f>
        <v>20190303162621887</v>
      </c>
      <c r="B3553" t="str">
        <f>"1551601581876646"</f>
        <v>1551601581876646</v>
      </c>
      <c r="C3553" t="s">
        <v>40</v>
      </c>
      <c r="D3553">
        <v>5.0218629999999997</v>
      </c>
      <c r="E3553">
        <v>0.52873300000000001</v>
      </c>
      <c r="F3553" t="s">
        <v>42</v>
      </c>
      <c r="G3553">
        <v>-280.07350000000002</v>
      </c>
      <c r="H3553">
        <v>0.93111790000000005</v>
      </c>
      <c r="I3553">
        <v>142.1953</v>
      </c>
      <c r="J3553">
        <v>-279.54199999999997</v>
      </c>
      <c r="K3553">
        <v>1.121481</v>
      </c>
      <c r="L3553">
        <v>142.09100000000001</v>
      </c>
      <c r="M3553">
        <v>-0.99959469999999995</v>
      </c>
      <c r="N3553">
        <v>-1.2905399999999999E-2</v>
      </c>
      <c r="O3553">
        <v>2.537528E-2</v>
      </c>
      <c r="P3553">
        <v>-0.98102180000000005</v>
      </c>
      <c r="Q3553">
        <v>0.17945249999999999</v>
      </c>
      <c r="R3553">
        <v>7.3438500000000004E-2</v>
      </c>
      <c r="S3553">
        <v>-3.1586910000000001</v>
      </c>
      <c r="T3553">
        <v>-0.72495419999999999</v>
      </c>
      <c r="U3553">
        <v>0.42382809999999999</v>
      </c>
      <c r="V3553">
        <v>4.8312470000000003E-2</v>
      </c>
      <c r="W3553">
        <v>0.19217010000000001</v>
      </c>
      <c r="X3553">
        <v>0.98017169999999998</v>
      </c>
      <c r="Y3553">
        <v>0.1055176</v>
      </c>
      <c r="Z3553">
        <v>7.1957169999999999E-3</v>
      </c>
      <c r="AA3553">
        <v>0.99439140000000004</v>
      </c>
      <c r="AB3553">
        <v>34</v>
      </c>
      <c r="AC3553">
        <v>-0.53149999999999398</v>
      </c>
      <c r="AD3553">
        <v>-0.19036309999999901</v>
      </c>
      <c r="AE3553">
        <v>0.10429999999999399</v>
      </c>
      <c r="AF3553">
        <v>8.0797904441720594E-2</v>
      </c>
      <c r="AG3553">
        <v>-0.19036309999999901</v>
      </c>
      <c r="AH3553">
        <v>0.47526892224756501</v>
      </c>
      <c r="AI3553">
        <v>111.54768004629901</v>
      </c>
      <c r="AJ3553">
        <v>80.351698359783796</v>
      </c>
      <c r="AK3553">
        <v>0.51831164337504998</v>
      </c>
      <c r="AL3553">
        <v>78.920544103338401</v>
      </c>
      <c r="AM3553">
        <v>87.178186021026406</v>
      </c>
      <c r="AN3553">
        <v>1.0000000017862001</v>
      </c>
    </row>
    <row r="3554" spans="1:40" x14ac:dyDescent="0.25">
      <c r="A3554" t="str">
        <f>"20190303162621910"</f>
        <v>20190303162621910</v>
      </c>
      <c r="B3554" t="str">
        <f>"1551601581897142"</f>
        <v>1551601581897142</v>
      </c>
      <c r="C3554" t="s">
        <v>40</v>
      </c>
      <c r="D3554">
        <v>5.0436110000000003</v>
      </c>
      <c r="E3554">
        <v>0.52800480000000005</v>
      </c>
      <c r="F3554" t="s">
        <v>42</v>
      </c>
      <c r="G3554">
        <v>-280.35210000000001</v>
      </c>
      <c r="H3554">
        <v>0.87213030000000002</v>
      </c>
      <c r="I3554">
        <v>142.20570000000001</v>
      </c>
      <c r="J3554">
        <v>-279.88729999999998</v>
      </c>
      <c r="K3554">
        <v>1.121469</v>
      </c>
      <c r="L3554">
        <v>142.0993</v>
      </c>
      <c r="M3554">
        <v>-0.99960669999999996</v>
      </c>
      <c r="N3554">
        <v>-1.2903690000000001E-2</v>
      </c>
      <c r="O3554">
        <v>2.4902359999999998E-2</v>
      </c>
      <c r="P3554">
        <v>-0.98113209999999995</v>
      </c>
      <c r="Q3554">
        <v>0.17934639999999999</v>
      </c>
      <c r="R3554">
        <v>7.2214449999999999E-2</v>
      </c>
      <c r="S3554">
        <v>-3.2044980000000001</v>
      </c>
      <c r="T3554">
        <v>-0.98636880000000005</v>
      </c>
      <c r="U3554">
        <v>0.45281979999999999</v>
      </c>
      <c r="V3554">
        <v>4.7557929999999998E-2</v>
      </c>
      <c r="W3554">
        <v>0.1920606</v>
      </c>
      <c r="X3554">
        <v>0.98023000000000005</v>
      </c>
      <c r="Y3554">
        <v>0.1109911</v>
      </c>
      <c r="Z3554">
        <v>1.021436E-2</v>
      </c>
      <c r="AA3554">
        <v>0.99376889999999996</v>
      </c>
      <c r="AB3554">
        <v>34</v>
      </c>
      <c r="AC3554">
        <v>-0.46480000000002503</v>
      </c>
      <c r="AD3554">
        <v>-0.2493387</v>
      </c>
      <c r="AE3554">
        <v>0.106400000000007</v>
      </c>
      <c r="AF3554">
        <v>7.4437166656012105E-2</v>
      </c>
      <c r="AG3554">
        <v>-0.2493387</v>
      </c>
      <c r="AH3554">
        <v>0.366962645009067</v>
      </c>
      <c r="AI3554">
        <v>123.659818558244</v>
      </c>
      <c r="AJ3554">
        <v>78.533322293273002</v>
      </c>
      <c r="AK3554">
        <v>0.44985804642077398</v>
      </c>
      <c r="AL3554">
        <v>78.926936405070606</v>
      </c>
      <c r="AM3554">
        <v>87.222352250164604</v>
      </c>
      <c r="AN3554">
        <v>0.99999994183912</v>
      </c>
    </row>
    <row r="3555" spans="1:40" x14ac:dyDescent="0.25">
      <c r="A3555" t="str">
        <f>"20190303162621931"</f>
        <v>20190303162621931</v>
      </c>
      <c r="B3555" t="str">
        <f>"1551601581927398"</f>
        <v>1551601581927398</v>
      </c>
      <c r="C3555" t="s">
        <v>40</v>
      </c>
      <c r="D3555">
        <v>5.045115</v>
      </c>
      <c r="E3555">
        <v>0.5275801</v>
      </c>
      <c r="F3555" t="s">
        <v>42</v>
      </c>
      <c r="G3555">
        <v>-280.6583</v>
      </c>
      <c r="H3555">
        <v>0.87595419999999902</v>
      </c>
      <c r="I3555">
        <v>142.2056</v>
      </c>
      <c r="J3555">
        <v>-280.20089999999999</v>
      </c>
      <c r="K3555">
        <v>1.121453</v>
      </c>
      <c r="L3555">
        <v>142.10659999999999</v>
      </c>
      <c r="M3555">
        <v>-0.99961690000000003</v>
      </c>
      <c r="N3555">
        <v>-1.290228E-2</v>
      </c>
      <c r="O3555">
        <v>2.449088E-2</v>
      </c>
      <c r="P3555">
        <v>-0.98135729999999999</v>
      </c>
      <c r="Q3555">
        <v>0.17877109999999999</v>
      </c>
      <c r="R3555">
        <v>7.0561180000000001E-2</v>
      </c>
      <c r="S3555">
        <v>-3.212097</v>
      </c>
      <c r="T3555">
        <v>-1.02289599999999</v>
      </c>
      <c r="U3555">
        <v>0.44262699999999999</v>
      </c>
      <c r="V3555">
        <v>4.6311430000000001E-2</v>
      </c>
      <c r="W3555">
        <v>0.19148319999999999</v>
      </c>
      <c r="X3555">
        <v>0.98040269999999996</v>
      </c>
      <c r="Y3555">
        <v>0.1078392</v>
      </c>
      <c r="Z3555">
        <v>1.013268E-2</v>
      </c>
      <c r="AA3555">
        <v>0.99411669999999996</v>
      </c>
      <c r="AB3555">
        <v>34</v>
      </c>
      <c r="AC3555">
        <v>-0.45740000000000602</v>
      </c>
      <c r="AD3555">
        <v>-0.24549879999999999</v>
      </c>
      <c r="AE3555">
        <v>9.9000000000017893E-2</v>
      </c>
      <c r="AF3555">
        <v>6.8827111833470497E-2</v>
      </c>
      <c r="AG3555">
        <v>-0.24549879999999999</v>
      </c>
      <c r="AH3555">
        <v>0.36048721939828698</v>
      </c>
      <c r="AI3555">
        <v>123.779990533316</v>
      </c>
      <c r="AJ3555">
        <v>79.190722521946299</v>
      </c>
      <c r="AK3555">
        <v>0.44154033504798401</v>
      </c>
      <c r="AL3555">
        <v>78.960645385501493</v>
      </c>
      <c r="AM3555">
        <v>87.295520983175393</v>
      </c>
      <c r="AN3555">
        <v>1.00000000929908</v>
      </c>
    </row>
    <row r="3556" spans="1:40" x14ac:dyDescent="0.25">
      <c r="A3556" t="str">
        <f>"20190303162621953"</f>
        <v>20190303162621953</v>
      </c>
      <c r="B3556" t="str">
        <f>"1551601581946919"</f>
        <v>1551601581946919</v>
      </c>
      <c r="C3556" t="s">
        <v>40</v>
      </c>
      <c r="D3556">
        <v>5.049302</v>
      </c>
      <c r="E3556">
        <v>0.52760839999999998</v>
      </c>
      <c r="F3556" t="s">
        <v>42</v>
      </c>
      <c r="G3556">
        <v>-280.96260000000001</v>
      </c>
      <c r="H3556">
        <v>0.87558849999999999</v>
      </c>
      <c r="I3556">
        <v>142.2098</v>
      </c>
      <c r="J3556">
        <v>-280.54860000000002</v>
      </c>
      <c r="K3556">
        <v>1.1214249999999999</v>
      </c>
      <c r="L3556">
        <v>142.1146</v>
      </c>
      <c r="M3556">
        <v>-0.99962759999999995</v>
      </c>
      <c r="N3556">
        <v>-1.29008E-2</v>
      </c>
      <c r="O3556">
        <v>2.4051400000000001E-2</v>
      </c>
      <c r="P3556">
        <v>-0.98180339999999999</v>
      </c>
      <c r="Q3556">
        <v>0.1770832</v>
      </c>
      <c r="R3556">
        <v>6.8584729999999997E-2</v>
      </c>
      <c r="S3556">
        <v>-3.2148439999999998</v>
      </c>
      <c r="T3556">
        <v>-1.0377719999999999</v>
      </c>
      <c r="U3556">
        <v>0.43406679999999997</v>
      </c>
      <c r="V3556">
        <v>4.47655E-2</v>
      </c>
      <c r="W3556">
        <v>0.18979570000000001</v>
      </c>
      <c r="X3556">
        <v>0.98080250000000002</v>
      </c>
      <c r="Y3556">
        <v>0.105545899999999</v>
      </c>
      <c r="Z3556">
        <v>1.0010379999999999E-2</v>
      </c>
      <c r="AA3556">
        <v>0.99436400000000003</v>
      </c>
      <c r="AB3556">
        <v>34</v>
      </c>
      <c r="AC3556">
        <v>-0.41399999999998699</v>
      </c>
      <c r="AD3556">
        <v>-0.24583649999999899</v>
      </c>
      <c r="AE3556">
        <v>9.5200000000005502E-2</v>
      </c>
      <c r="AF3556">
        <v>6.3835794017225903E-2</v>
      </c>
      <c r="AG3556">
        <v>-0.24583649999999899</v>
      </c>
      <c r="AH3556">
        <v>0.311761449064204</v>
      </c>
      <c r="AI3556">
        <v>127.686534375603</v>
      </c>
      <c r="AJ3556">
        <v>78.428155522867002</v>
      </c>
      <c r="AK3556">
        <v>0.402126590084108</v>
      </c>
      <c r="AL3556">
        <v>79.059137727730999</v>
      </c>
      <c r="AM3556">
        <v>87.386736451511993</v>
      </c>
      <c r="AN3556">
        <v>0.99999995086749305</v>
      </c>
    </row>
    <row r="3557" spans="1:40" x14ac:dyDescent="0.25">
      <c r="A3557" t="str">
        <f>"20190303162621976"</f>
        <v>20190303162621976</v>
      </c>
      <c r="B3557" t="str">
        <f>"1551601581967414"</f>
        <v>1551601581967414</v>
      </c>
      <c r="C3557" t="s">
        <v>40</v>
      </c>
      <c r="D3557">
        <v>5.0264860000000002</v>
      </c>
      <c r="E3557">
        <v>0.52762810000000004</v>
      </c>
      <c r="F3557" t="s">
        <v>42</v>
      </c>
      <c r="G3557">
        <v>-281.27140000000003</v>
      </c>
      <c r="H3557">
        <v>0.88665780000000005</v>
      </c>
      <c r="I3557">
        <v>142.2115</v>
      </c>
      <c r="J3557">
        <v>-280.9006</v>
      </c>
      <c r="K3557">
        <v>1.121408</v>
      </c>
      <c r="L3557">
        <v>142.12260000000001</v>
      </c>
      <c r="M3557">
        <v>-0.99963769999999996</v>
      </c>
      <c r="N3557">
        <v>-1.289939E-2</v>
      </c>
      <c r="O3557">
        <v>2.3620769999999999E-2</v>
      </c>
      <c r="P3557">
        <v>-0.98210019999999998</v>
      </c>
      <c r="Q3557">
        <v>0.17611089999999999</v>
      </c>
      <c r="R3557">
        <v>6.6811960000000004E-2</v>
      </c>
      <c r="S3557">
        <v>-3.2138979999999999</v>
      </c>
      <c r="T3557">
        <v>-1.0439510000000001</v>
      </c>
      <c r="U3557">
        <v>0.43011470000000002</v>
      </c>
      <c r="V3557">
        <v>4.3416650000000001E-2</v>
      </c>
      <c r="W3557">
        <v>0.1888223</v>
      </c>
      <c r="X3557">
        <v>0.98105100000000001</v>
      </c>
      <c r="Y3557">
        <v>0.1047795</v>
      </c>
      <c r="Z3557">
        <v>1.00689E-2</v>
      </c>
      <c r="AA3557">
        <v>0.99444449999999995</v>
      </c>
      <c r="AB3557">
        <v>34</v>
      </c>
      <c r="AC3557">
        <v>-0.37080000000003099</v>
      </c>
      <c r="AD3557">
        <v>-0.23475019999999899</v>
      </c>
      <c r="AE3557">
        <v>8.8899999999995302E-2</v>
      </c>
      <c r="AF3557">
        <v>5.8096323771165498E-2</v>
      </c>
      <c r="AG3557">
        <v>-0.23475019999999899</v>
      </c>
      <c r="AH3557">
        <v>0.27033480700766599</v>
      </c>
      <c r="AI3557">
        <v>130.33075167899599</v>
      </c>
      <c r="AJ3557">
        <v>77.871318068055004</v>
      </c>
      <c r="AK3557">
        <v>0.36271717234731998</v>
      </c>
      <c r="AL3557">
        <v>79.115936666766899</v>
      </c>
      <c r="AM3557">
        <v>87.466014807430597</v>
      </c>
      <c r="AN3557">
        <v>0.99999996553775505</v>
      </c>
    </row>
    <row r="3558" spans="1:40" x14ac:dyDescent="0.25">
      <c r="A3558" t="str">
        <f>"20190303162621997"</f>
        <v>20190303162621997</v>
      </c>
      <c r="B3558" t="str">
        <f>"1551601581986934"</f>
        <v>1551601581986934</v>
      </c>
      <c r="C3558" t="s">
        <v>40</v>
      </c>
      <c r="D3558">
        <v>5.0138069999999999</v>
      </c>
      <c r="E3558">
        <v>0.52767500000000001</v>
      </c>
      <c r="F3558" t="s">
        <v>42</v>
      </c>
      <c r="G3558">
        <v>-281.58139999999997</v>
      </c>
      <c r="H3558">
        <v>0.90058490000000002</v>
      </c>
      <c r="I3558">
        <v>142.2132</v>
      </c>
      <c r="J3558">
        <v>-281.22070000000002</v>
      </c>
      <c r="K3558">
        <v>1.121405</v>
      </c>
      <c r="L3558">
        <v>142.12979999999999</v>
      </c>
      <c r="M3558">
        <v>-0.99964679999999995</v>
      </c>
      <c r="N3558">
        <v>-1.289829E-2</v>
      </c>
      <c r="O3558">
        <v>2.3238399999999999E-2</v>
      </c>
      <c r="P3558">
        <v>-0.98188010000000003</v>
      </c>
      <c r="Q3558">
        <v>0.17746809999999999</v>
      </c>
      <c r="R3558">
        <v>6.6457219999999997E-2</v>
      </c>
      <c r="S3558">
        <v>-3.2126769999999998</v>
      </c>
      <c r="T3558">
        <v>-1.042076</v>
      </c>
      <c r="U3558">
        <v>0.42518620000000001</v>
      </c>
      <c r="V3558">
        <v>4.3446079999999998E-2</v>
      </c>
      <c r="W3558">
        <v>0.19017439999999999</v>
      </c>
      <c r="X3558">
        <v>0.98078849999999995</v>
      </c>
      <c r="Y3558">
        <v>0.103757</v>
      </c>
      <c r="Z3558">
        <v>1.000501E-2</v>
      </c>
      <c r="AA3558">
        <v>0.9945524</v>
      </c>
      <c r="AB3558">
        <v>34</v>
      </c>
      <c r="AC3558">
        <v>-0.360699999999951</v>
      </c>
      <c r="AD3558">
        <v>-0.22082009999999999</v>
      </c>
      <c r="AE3558">
        <v>8.3400000000011604E-2</v>
      </c>
      <c r="AF3558">
        <v>5.53152988244884E-2</v>
      </c>
      <c r="AG3558">
        <v>-0.22082009999999999</v>
      </c>
      <c r="AH3558">
        <v>0.26740632958700999</v>
      </c>
      <c r="AI3558">
        <v>128.961239108108</v>
      </c>
      <c r="AJ3558">
        <v>78.3127160836424</v>
      </c>
      <c r="AK3558">
        <v>0.35118007339717999</v>
      </c>
      <c r="AL3558">
        <v>79.037037545030003</v>
      </c>
      <c r="AM3558">
        <v>87.463621612066902</v>
      </c>
      <c r="AN3558">
        <v>0.999999973007487</v>
      </c>
    </row>
    <row r="3559" spans="1:40" x14ac:dyDescent="0.25">
      <c r="A3559" t="str">
        <f>"20190303162622020"</f>
        <v>20190303162622020</v>
      </c>
      <c r="B3559" t="str">
        <f>"1551601582007431"</f>
        <v>1551601582007431</v>
      </c>
      <c r="C3559" t="s">
        <v>40</v>
      </c>
      <c r="D3559">
        <v>5.0046339999999896</v>
      </c>
      <c r="E3559">
        <v>0.52762200000000004</v>
      </c>
      <c r="F3559" t="s">
        <v>42</v>
      </c>
      <c r="G3559">
        <v>-281.88819999999998</v>
      </c>
      <c r="H3559">
        <v>0.90688740000000001</v>
      </c>
      <c r="I3559">
        <v>142.2176</v>
      </c>
      <c r="J3559">
        <v>-281.55309999999997</v>
      </c>
      <c r="K3559">
        <v>1.1214029999999999</v>
      </c>
      <c r="L3559">
        <v>142.1371</v>
      </c>
      <c r="M3559">
        <v>-0.99965590000000004</v>
      </c>
      <c r="N3559">
        <v>-1.2896700000000001E-2</v>
      </c>
      <c r="O3559">
        <v>2.2847280000000001E-2</v>
      </c>
      <c r="P3559">
        <v>-0.98144929999999997</v>
      </c>
      <c r="Q3559">
        <v>0.17981249999999999</v>
      </c>
      <c r="R3559">
        <v>6.6523499999999999E-2</v>
      </c>
      <c r="S3559">
        <v>-3.2134399999999999</v>
      </c>
      <c r="T3559">
        <v>-1.0326</v>
      </c>
      <c r="U3559">
        <v>0.42262270000000002</v>
      </c>
      <c r="V3559">
        <v>4.3907790000000002E-2</v>
      </c>
      <c r="W3559">
        <v>0.1925113</v>
      </c>
      <c r="X3559">
        <v>0.98031190000000001</v>
      </c>
      <c r="Y3559">
        <v>0.1034114</v>
      </c>
      <c r="Z3559">
        <v>9.9857929999999998E-3</v>
      </c>
      <c r="AA3559">
        <v>0.99458860000000004</v>
      </c>
      <c r="AB3559">
        <v>34</v>
      </c>
      <c r="AC3559">
        <v>-0.335100000000011</v>
      </c>
      <c r="AD3559">
        <v>-0.2145156</v>
      </c>
      <c r="AE3559">
        <v>8.0500000000000599E-2</v>
      </c>
      <c r="AF3559">
        <v>5.2486813325821599E-2</v>
      </c>
      <c r="AG3559">
        <v>-0.2145156</v>
      </c>
      <c r="AH3559">
        <v>0.24278689068167</v>
      </c>
      <c r="AI3559">
        <v>130.81405158075401</v>
      </c>
      <c r="AJ3559">
        <v>77.801255886630202</v>
      </c>
      <c r="AK3559">
        <v>0.32820311166004001</v>
      </c>
      <c r="AL3559">
        <v>78.900622324663701</v>
      </c>
      <c r="AM3559">
        <v>87.435458245962195</v>
      </c>
      <c r="AN3559">
        <v>0.99999995796599095</v>
      </c>
    </row>
    <row r="3560" spans="1:40" x14ac:dyDescent="0.25">
      <c r="A3560" t="str">
        <f>"20190303162622042"</f>
        <v>20190303162622042</v>
      </c>
      <c r="B3560" t="str">
        <f>"1551601582036710"</f>
        <v>1551601582036710</v>
      </c>
      <c r="C3560" t="s">
        <v>40</v>
      </c>
      <c r="D3560">
        <v>4.9944410000000001</v>
      </c>
      <c r="E3560">
        <v>0.5277463</v>
      </c>
      <c r="F3560" t="s">
        <v>42</v>
      </c>
      <c r="G3560">
        <v>-282.46550000000002</v>
      </c>
      <c r="H3560">
        <v>0.83199780000000001</v>
      </c>
      <c r="I3560">
        <v>142.25700000000001</v>
      </c>
      <c r="J3560">
        <v>-281.8974</v>
      </c>
      <c r="K3560">
        <v>1.121397</v>
      </c>
      <c r="L3560">
        <v>142.14439999999999</v>
      </c>
      <c r="M3560">
        <v>-0.99966500000000003</v>
      </c>
      <c r="N3560">
        <v>-1.2895200000000001E-2</v>
      </c>
      <c r="O3560">
        <v>2.2445590000000001E-2</v>
      </c>
      <c r="P3560">
        <v>-0.98131330000000005</v>
      </c>
      <c r="Q3560">
        <v>0.1807117</v>
      </c>
      <c r="R3560">
        <v>6.6087919999999994E-2</v>
      </c>
      <c r="S3560">
        <v>-3.2149960000000002</v>
      </c>
      <c r="T3560">
        <v>-1.0197590000000001</v>
      </c>
      <c r="U3560">
        <v>0.42213440000000002</v>
      </c>
      <c r="V3560">
        <v>4.3871519999999997E-2</v>
      </c>
      <c r="W3560">
        <v>0.19340589999999999</v>
      </c>
      <c r="X3560">
        <v>0.98013749999999999</v>
      </c>
      <c r="Y3560">
        <v>0.1036731</v>
      </c>
      <c r="Z3560">
        <v>1.003537E-2</v>
      </c>
      <c r="AA3560">
        <v>0.99456080000000002</v>
      </c>
      <c r="AB3560">
        <v>34</v>
      </c>
      <c r="AC3560">
        <v>-0.56810000000001504</v>
      </c>
      <c r="AD3560">
        <v>-0.28939919999999902</v>
      </c>
      <c r="AE3560">
        <v>0.11260000000001399</v>
      </c>
      <c r="AF3560">
        <v>7.9874852237111701E-2</v>
      </c>
      <c r="AG3560">
        <v>-0.28939919999999902</v>
      </c>
      <c r="AH3560">
        <v>0.45649881849382501</v>
      </c>
      <c r="AI3560">
        <v>121.98340858976201</v>
      </c>
      <c r="AJ3560">
        <v>80.075269587344096</v>
      </c>
      <c r="AK3560">
        <v>0.54637263865131303</v>
      </c>
      <c r="AL3560">
        <v>78.848384669642897</v>
      </c>
      <c r="AM3560">
        <v>87.437118523721495</v>
      </c>
      <c r="AN3560">
        <v>1.0000000356640799</v>
      </c>
    </row>
    <row r="3561" spans="1:40" x14ac:dyDescent="0.25">
      <c r="A3561" t="str">
        <f>"20190303162622065"</f>
        <v>20190303162622065</v>
      </c>
      <c r="B3561" t="str">
        <f>"1551601582057207"</f>
        <v>1551601582057207</v>
      </c>
      <c r="C3561" t="s">
        <v>40</v>
      </c>
      <c r="D3561">
        <v>4.9852679999999996</v>
      </c>
      <c r="E3561">
        <v>0.52778789999999998</v>
      </c>
      <c r="F3561" t="s">
        <v>42</v>
      </c>
      <c r="G3561">
        <v>-282.7749</v>
      </c>
      <c r="H3561">
        <v>0.84584190000000004</v>
      </c>
      <c r="I3561">
        <v>142.25989999999999</v>
      </c>
      <c r="J3561">
        <v>-282.2602</v>
      </c>
      <c r="K3561">
        <v>1.1214</v>
      </c>
      <c r="L3561">
        <v>142.15209999999999</v>
      </c>
      <c r="M3561">
        <v>-0.99967430000000002</v>
      </c>
      <c r="N3561">
        <v>-1.2893699999999999E-2</v>
      </c>
      <c r="O3561">
        <v>2.202308E-2</v>
      </c>
      <c r="P3561">
        <v>-0.98121559999999997</v>
      </c>
      <c r="Q3561">
        <v>0.18127289999999999</v>
      </c>
      <c r="R3561">
        <v>6.6000950000000003E-2</v>
      </c>
      <c r="S3561">
        <v>-3.2146300000000001</v>
      </c>
      <c r="T3561">
        <v>-1.0094080000000001</v>
      </c>
      <c r="U3561">
        <v>0.42207339999999999</v>
      </c>
      <c r="V3561">
        <v>4.4203079999999999E-2</v>
      </c>
      <c r="W3561">
        <v>0.19396389999999999</v>
      </c>
      <c r="X3561">
        <v>0.98001229999999995</v>
      </c>
      <c r="Y3561">
        <v>0.104128</v>
      </c>
      <c r="Z3561">
        <v>1.014433E-2</v>
      </c>
      <c r="AA3561">
        <v>0.99451210000000001</v>
      </c>
      <c r="AB3561">
        <v>34</v>
      </c>
      <c r="AC3561">
        <v>-0.51470000000000404</v>
      </c>
      <c r="AD3561">
        <v>-0.27555809999999897</v>
      </c>
      <c r="AE3561">
        <v>0.107799999999997</v>
      </c>
      <c r="AF3561">
        <v>7.5662117252929095E-2</v>
      </c>
      <c r="AG3561">
        <v>-0.27555809999999897</v>
      </c>
      <c r="AH3561">
        <v>0.40558326782953602</v>
      </c>
      <c r="AI3561">
        <v>123.738547168382</v>
      </c>
      <c r="AJ3561">
        <v>79.432859886048007</v>
      </c>
      <c r="AK3561">
        <v>0.496139909305924</v>
      </c>
      <c r="AL3561">
        <v>78.815796210085693</v>
      </c>
      <c r="AM3561">
        <v>87.417446166562897</v>
      </c>
      <c r="AN3561">
        <v>1.00000000746799</v>
      </c>
    </row>
    <row r="3562" spans="1:40" x14ac:dyDescent="0.25">
      <c r="A3562" t="str">
        <f>"20190303162622089"</f>
        <v>20190303162622089</v>
      </c>
      <c r="B3562" t="str">
        <f>"1551601582076727"</f>
        <v>1551601582076727</v>
      </c>
      <c r="C3562" t="s">
        <v>40</v>
      </c>
      <c r="D3562">
        <v>4.9719340000000001</v>
      </c>
      <c r="E3562">
        <v>0.52787379999999995</v>
      </c>
      <c r="F3562" t="s">
        <v>42</v>
      </c>
      <c r="G3562">
        <v>-283.08600000000001</v>
      </c>
      <c r="H3562">
        <v>0.86396620000000002</v>
      </c>
      <c r="I3562">
        <v>142.2604</v>
      </c>
      <c r="J3562">
        <v>-282.59519999999998</v>
      </c>
      <c r="K3562">
        <v>1.121397</v>
      </c>
      <c r="L3562">
        <v>142.15899999999999</v>
      </c>
      <c r="M3562">
        <v>-0.99968290000000004</v>
      </c>
      <c r="N3562">
        <v>-1.289236E-2</v>
      </c>
      <c r="O3562">
        <v>2.1632140000000001E-2</v>
      </c>
      <c r="P3562">
        <v>-0.98102299999999998</v>
      </c>
      <c r="Q3562">
        <v>0.18238399999999999</v>
      </c>
      <c r="R3562">
        <v>6.5804340000000003E-2</v>
      </c>
      <c r="S3562">
        <v>-3.2142330000000001</v>
      </c>
      <c r="T3562">
        <v>-1.0019549999999999</v>
      </c>
      <c r="U3562">
        <v>0.42068480000000003</v>
      </c>
      <c r="V3562">
        <v>4.4394999999999997E-2</v>
      </c>
      <c r="W3562">
        <v>0.1950711</v>
      </c>
      <c r="X3562">
        <v>0.97978379999999998</v>
      </c>
      <c r="Y3562">
        <v>0.1041494</v>
      </c>
      <c r="Z3562">
        <v>1.0197599999999999E-2</v>
      </c>
      <c r="AA3562">
        <v>0.99450939999999999</v>
      </c>
      <c r="AB3562">
        <v>34</v>
      </c>
      <c r="AC3562">
        <v>-0.49080000000003499</v>
      </c>
      <c r="AD3562">
        <v>-0.25743080000000002</v>
      </c>
      <c r="AE3562">
        <v>0.10140000000001199</v>
      </c>
      <c r="AF3562">
        <v>7.1810929583269095E-2</v>
      </c>
      <c r="AG3562">
        <v>-0.25743080000000002</v>
      </c>
      <c r="AH3562">
        <v>0.389981669936944</v>
      </c>
      <c r="AI3562">
        <v>122.991452908242</v>
      </c>
      <c r="AJ3562">
        <v>79.566474874555297</v>
      </c>
      <c r="AK3562">
        <v>0.472771751782042</v>
      </c>
      <c r="AL3562">
        <v>78.751122600351593</v>
      </c>
      <c r="AM3562">
        <v>87.405644494136496</v>
      </c>
      <c r="AN3562">
        <v>0.99999997241132399</v>
      </c>
    </row>
    <row r="3563" spans="1:40" x14ac:dyDescent="0.25">
      <c r="A3563" t="str">
        <f>"20190303162622111"</f>
        <v>20190303162622111</v>
      </c>
      <c r="B3563" t="str">
        <f>"1551601582106982"</f>
        <v>1551601582106982</v>
      </c>
      <c r="C3563" t="s">
        <v>40</v>
      </c>
      <c r="D3563">
        <v>4.9414220000000002</v>
      </c>
      <c r="E3563">
        <v>0.52071599999999996</v>
      </c>
      <c r="F3563" t="s">
        <v>42</v>
      </c>
      <c r="G3563">
        <v>-283.3938</v>
      </c>
      <c r="H3563">
        <v>0.874231599999999</v>
      </c>
      <c r="I3563">
        <v>142.26300000000001</v>
      </c>
      <c r="J3563">
        <v>-282.9477</v>
      </c>
      <c r="K3563">
        <v>1.1214</v>
      </c>
      <c r="L3563">
        <v>142.1662</v>
      </c>
      <c r="M3563">
        <v>-0.99969169999999996</v>
      </c>
      <c r="N3563">
        <v>-1.289093E-2</v>
      </c>
      <c r="O3563">
        <v>2.121963E-2</v>
      </c>
      <c r="P3563">
        <v>-0.98084110000000002</v>
      </c>
      <c r="Q3563">
        <v>0.18343670000000001</v>
      </c>
      <c r="R3563">
        <v>6.5589529999999993E-2</v>
      </c>
      <c r="S3563">
        <v>-3.2149350000000001</v>
      </c>
      <c r="T3563">
        <v>-0.99505259999999995</v>
      </c>
      <c r="U3563">
        <v>0.41824339999999999</v>
      </c>
      <c r="V3563">
        <v>4.4589860000000002E-2</v>
      </c>
      <c r="W3563">
        <v>0.1961195</v>
      </c>
      <c r="X3563">
        <v>0.97956569999999998</v>
      </c>
      <c r="Y3563">
        <v>0.1038414</v>
      </c>
      <c r="Z3563">
        <v>1.02056E-2</v>
      </c>
      <c r="AA3563">
        <v>0.99454149999999997</v>
      </c>
      <c r="AB3563">
        <v>34</v>
      </c>
      <c r="AC3563">
        <v>-0.446100000000001</v>
      </c>
      <c r="AD3563">
        <v>-0.24716840000000001</v>
      </c>
      <c r="AE3563">
        <v>9.6800000000001704E-2</v>
      </c>
      <c r="AF3563">
        <v>6.7516593935790903E-2</v>
      </c>
      <c r="AG3563">
        <v>-0.24716840000000001</v>
      </c>
      <c r="AH3563">
        <v>0.34647349929219001</v>
      </c>
      <c r="AI3563">
        <v>125.000186090437</v>
      </c>
      <c r="AJ3563">
        <v>78.973077795608305</v>
      </c>
      <c r="AK3563">
        <v>0.43092295613836401</v>
      </c>
      <c r="AL3563">
        <v>78.689871342417405</v>
      </c>
      <c r="AM3563">
        <v>87.393693559582701</v>
      </c>
      <c r="AN3563">
        <v>1.00000003725577</v>
      </c>
    </row>
    <row r="3564" spans="1:40" x14ac:dyDescent="0.25">
      <c r="A3564" t="str">
        <f>"20190303162622132"</f>
        <v>20190303162622132</v>
      </c>
      <c r="B3564" t="str">
        <f>"1551601582127478"</f>
        <v>1551601582127478</v>
      </c>
      <c r="C3564" t="s">
        <v>40</v>
      </c>
      <c r="D3564">
        <v>4.9507469999999998</v>
      </c>
      <c r="E3564">
        <v>0.48464810000000003</v>
      </c>
      <c r="F3564" t="s">
        <v>42</v>
      </c>
      <c r="G3564">
        <v>-283.71879999999999</v>
      </c>
      <c r="H3564">
        <v>0.92405159999999997</v>
      </c>
      <c r="I3564">
        <v>142.25389999999999</v>
      </c>
      <c r="J3564">
        <v>-283.262</v>
      </c>
      <c r="K3564">
        <v>1.121416</v>
      </c>
      <c r="L3564">
        <v>142.17240000000001</v>
      </c>
      <c r="M3564">
        <v>-0.99969960000000002</v>
      </c>
      <c r="N3564">
        <v>-1.2889660000000001E-2</v>
      </c>
      <c r="O3564">
        <v>2.0850730000000001E-2</v>
      </c>
      <c r="P3564">
        <v>-0.98046460000000002</v>
      </c>
      <c r="Q3564">
        <v>0.18574560000000001</v>
      </c>
      <c r="R3564">
        <v>6.4714729999999998E-2</v>
      </c>
      <c r="S3564">
        <v>-3.1869200000000002</v>
      </c>
      <c r="T3564">
        <v>-0.81560239999999995</v>
      </c>
      <c r="U3564">
        <v>0.3622437</v>
      </c>
      <c r="V3564">
        <v>4.408422E-2</v>
      </c>
      <c r="W3564">
        <v>0.1984204</v>
      </c>
      <c r="X3564">
        <v>0.97912509999999997</v>
      </c>
      <c r="Y3564">
        <v>8.978709E-2</v>
      </c>
      <c r="Z3564">
        <v>6.8928629999999999E-3</v>
      </c>
      <c r="AA3564">
        <v>0.99593710000000002</v>
      </c>
      <c r="AB3564">
        <v>34</v>
      </c>
      <c r="AC3564">
        <v>-0.45679999999998699</v>
      </c>
      <c r="AD3564">
        <v>-0.1973644</v>
      </c>
      <c r="AE3564">
        <v>8.1499999999976994E-2</v>
      </c>
      <c r="AF3564">
        <v>6.0933112611847702E-2</v>
      </c>
      <c r="AG3564">
        <v>-0.1973644</v>
      </c>
      <c r="AH3564">
        <v>0.38817344391727798</v>
      </c>
      <c r="AI3564">
        <v>116.670060571373</v>
      </c>
      <c r="AJ3564">
        <v>81.078855478638005</v>
      </c>
      <c r="AK3564">
        <v>0.43970919158294702</v>
      </c>
      <c r="AL3564">
        <v>78.555396696599104</v>
      </c>
      <c r="AM3564">
        <v>87.422050508086997</v>
      </c>
      <c r="AN3564">
        <v>1.00000001751958</v>
      </c>
    </row>
    <row r="3565" spans="1:40" x14ac:dyDescent="0.25">
      <c r="A3565" t="str">
        <f>"20190303162622154"</f>
        <v>20190303162622154</v>
      </c>
      <c r="B3565" t="str">
        <f>"1551601582146998"</f>
        <v>1551601582146998</v>
      </c>
      <c r="C3565" t="s">
        <v>40</v>
      </c>
      <c r="D3565">
        <v>5.09131</v>
      </c>
      <c r="E3565">
        <v>0.47813280000000002</v>
      </c>
      <c r="F3565" t="s">
        <v>47</v>
      </c>
      <c r="G3565">
        <v>-295.31400000000002</v>
      </c>
      <c r="H3565" s="1">
        <v>-9.2075370000000007E-6</v>
      </c>
      <c r="I3565">
        <v>142.45740000000001</v>
      </c>
      <c r="J3565">
        <v>-283.60820000000001</v>
      </c>
      <c r="K3565">
        <v>1.121435</v>
      </c>
      <c r="L3565">
        <v>142.17920000000001</v>
      </c>
      <c r="M3565">
        <v>-0.99970800000000004</v>
      </c>
      <c r="N3565">
        <v>-1.2888220000000001E-2</v>
      </c>
      <c r="O3565">
        <v>2.0443860000000001E-2</v>
      </c>
      <c r="P3565">
        <v>-0.97973290000000002</v>
      </c>
      <c r="Q3565">
        <v>0.1897105</v>
      </c>
      <c r="R3565">
        <v>6.4293420000000004E-2</v>
      </c>
      <c r="S3565">
        <v>-3.1097410000000001</v>
      </c>
      <c r="T3565">
        <v>-0.2893577</v>
      </c>
      <c r="U3565">
        <v>7.3532100000000003E-2</v>
      </c>
      <c r="V3565">
        <v>4.407498E-2</v>
      </c>
      <c r="W3565">
        <v>0.202374</v>
      </c>
      <c r="X3565">
        <v>0.97831599999999996</v>
      </c>
      <c r="Y3565">
        <v>3.2438639999999999E-3</v>
      </c>
      <c r="Z3565">
        <v>-1.4631679999999999E-3</v>
      </c>
      <c r="AA3565">
        <v>0.99999369999999999</v>
      </c>
      <c r="AB3565">
        <v>34</v>
      </c>
      <c r="AC3565">
        <v>-11.7058</v>
      </c>
      <c r="AD3565">
        <v>-1.1214442075369999</v>
      </c>
      <c r="AE3565">
        <v>0.278199999999998</v>
      </c>
      <c r="AF3565">
        <v>3.8457482225993801E-2</v>
      </c>
      <c r="AG3565">
        <v>-1.1214442075369999</v>
      </c>
      <c r="AH3565">
        <v>11.602611164582299</v>
      </c>
      <c r="AI3565">
        <v>95.520713804086995</v>
      </c>
      <c r="AJ3565">
        <v>89.810090735455105</v>
      </c>
      <c r="AK3565">
        <v>11.6567449112112</v>
      </c>
      <c r="AL3565">
        <v>78.324181679200095</v>
      </c>
      <c r="AM3565">
        <v>87.420461388518902</v>
      </c>
      <c r="AN3565">
        <v>1.0000000177969901</v>
      </c>
    </row>
    <row r="3566" spans="1:40" x14ac:dyDescent="0.25">
      <c r="A3566" t="str">
        <f>"20190303162622177"</f>
        <v>20190303162622177</v>
      </c>
      <c r="B3566" t="str">
        <f>"1551601582167494"</f>
        <v>1551601582167494</v>
      </c>
      <c r="C3566" t="s">
        <v>40</v>
      </c>
      <c r="D3566">
        <v>5.0187339999999896</v>
      </c>
      <c r="E3566">
        <v>0.47555819999999999</v>
      </c>
      <c r="F3566" t="s">
        <v>47</v>
      </c>
      <c r="G3566">
        <v>-303.22109999999998</v>
      </c>
      <c r="H3566" s="1">
        <v>-9.3206550000000006E-6</v>
      </c>
      <c r="I3566">
        <v>142.31100000000001</v>
      </c>
      <c r="J3566">
        <v>-283.94709999999998</v>
      </c>
      <c r="K3566">
        <v>1.1214470000000001</v>
      </c>
      <c r="L3566">
        <v>142.1857</v>
      </c>
      <c r="M3566">
        <v>-0.99971600000000005</v>
      </c>
      <c r="N3566">
        <v>-1.288684E-2</v>
      </c>
      <c r="O3566">
        <v>2.004593E-2</v>
      </c>
      <c r="P3566">
        <v>-0.97923039999999995</v>
      </c>
      <c r="Q3566">
        <v>0.19226770000000001</v>
      </c>
      <c r="R3566">
        <v>6.4354079999999994E-2</v>
      </c>
      <c r="S3566">
        <v>-3.0949710000000001</v>
      </c>
      <c r="T3566">
        <v>-0.17696709999999999</v>
      </c>
      <c r="U3566">
        <v>2.079773E-2</v>
      </c>
      <c r="V3566">
        <v>4.4534600000000001E-2</v>
      </c>
      <c r="W3566">
        <v>0.20492340000000001</v>
      </c>
      <c r="X3566">
        <v>0.97776430000000003</v>
      </c>
      <c r="Y3566">
        <v>-1.328257E-2</v>
      </c>
      <c r="Z3566">
        <v>-1.3520920000000001E-3</v>
      </c>
      <c r="AA3566">
        <v>0.99991090000000005</v>
      </c>
      <c r="AB3566">
        <v>34</v>
      </c>
      <c r="AC3566">
        <v>-19.274000000000001</v>
      </c>
      <c r="AD3566">
        <v>-1.1214563206549999</v>
      </c>
      <c r="AE3566">
        <v>0.12530000000000899</v>
      </c>
      <c r="AF3566">
        <v>-0.26024151776920101</v>
      </c>
      <c r="AG3566">
        <v>-1.1214563206549999</v>
      </c>
      <c r="AH3566">
        <v>19.207614046193001</v>
      </c>
      <c r="AI3566">
        <v>93.341173600440101</v>
      </c>
      <c r="AJ3566">
        <v>90.776245726770597</v>
      </c>
      <c r="AK3566">
        <v>19.242084795422201</v>
      </c>
      <c r="AL3566">
        <v>78.1749847455132</v>
      </c>
      <c r="AM3566">
        <v>87.392129883407904</v>
      </c>
      <c r="AN3566">
        <v>0.99999997840960397</v>
      </c>
    </row>
    <row r="3567" spans="1:40" x14ac:dyDescent="0.25">
      <c r="A3567" t="str">
        <f>"20190303162622198"</f>
        <v>20190303162622198</v>
      </c>
      <c r="B3567" t="str">
        <f>"1551601582187015"</f>
        <v>1551601582187015</v>
      </c>
      <c r="C3567" t="s">
        <v>40</v>
      </c>
      <c r="D3567">
        <v>4.9333280000000004</v>
      </c>
      <c r="E3567">
        <v>0.47491689999999998</v>
      </c>
      <c r="F3567" t="s">
        <v>47</v>
      </c>
      <c r="G3567">
        <v>-310.3143</v>
      </c>
      <c r="H3567" s="1">
        <v>-1.009179E-5</v>
      </c>
      <c r="I3567">
        <v>142.18260000000001</v>
      </c>
      <c r="J3567">
        <v>-284.26929999999999</v>
      </c>
      <c r="K3567">
        <v>1.121451</v>
      </c>
      <c r="L3567">
        <v>142.1917</v>
      </c>
      <c r="M3567">
        <v>-0.99972360000000005</v>
      </c>
      <c r="N3567">
        <v>-1.288537E-2</v>
      </c>
      <c r="O3567">
        <v>1.9663569999999998E-2</v>
      </c>
      <c r="P3567">
        <v>-0.97905920000000002</v>
      </c>
      <c r="Q3567">
        <v>0.19328919999999999</v>
      </c>
      <c r="R3567">
        <v>6.3895170000000001E-2</v>
      </c>
      <c r="S3567">
        <v>-3.0894469999999998</v>
      </c>
      <c r="T3567">
        <v>-0.1314013</v>
      </c>
      <c r="U3567">
        <v>-3.6621089999999999E-4</v>
      </c>
      <c r="V3567">
        <v>4.4452609999999997E-2</v>
      </c>
      <c r="W3567">
        <v>0.2059407</v>
      </c>
      <c r="X3567">
        <v>0.97755429999999999</v>
      </c>
      <c r="Y3567">
        <v>-1.9751810000000002E-2</v>
      </c>
      <c r="Z3567">
        <v>-1.1297939999999999E-3</v>
      </c>
      <c r="AA3567">
        <v>0.99980429999999998</v>
      </c>
      <c r="AB3567">
        <v>34</v>
      </c>
      <c r="AC3567">
        <v>-26.045000000000002</v>
      </c>
      <c r="AD3567">
        <v>-1.1214610917899901</v>
      </c>
      <c r="AE3567">
        <v>-9.0999999999894499E-3</v>
      </c>
      <c r="AF3567">
        <v>-0.52031376719449496</v>
      </c>
      <c r="AG3567">
        <v>-1.1214610917899901</v>
      </c>
      <c r="AH3567">
        <v>25.9915949785292</v>
      </c>
      <c r="AI3567">
        <v>92.470118170118994</v>
      </c>
      <c r="AJ3567">
        <v>91.146824640336405</v>
      </c>
      <c r="AK3567">
        <v>26.020980206837599</v>
      </c>
      <c r="AL3567">
        <v>78.115427826527096</v>
      </c>
      <c r="AM3567">
        <v>87.396366039681993</v>
      </c>
      <c r="AN3567">
        <v>1.0000000079503899</v>
      </c>
    </row>
    <row r="3568" spans="1:40" x14ac:dyDescent="0.25">
      <c r="A3568" t="str">
        <f>"20190303162622243"</f>
        <v>20190303162622243</v>
      </c>
      <c r="B3568" t="str">
        <f>"1551601582236790"</f>
        <v>1551601582236790</v>
      </c>
      <c r="C3568" t="s">
        <v>40</v>
      </c>
      <c r="D3568">
        <v>4.9384600000000001</v>
      </c>
      <c r="E3568">
        <v>0.47572449999999999</v>
      </c>
      <c r="F3568" t="s">
        <v>47</v>
      </c>
      <c r="G3568">
        <v>-315.37810000000002</v>
      </c>
      <c r="H3568" s="1">
        <v>-8.0806939999999905E-6</v>
      </c>
      <c r="I3568">
        <v>142.12719999999999</v>
      </c>
      <c r="J3568">
        <v>-284.9477</v>
      </c>
      <c r="K3568">
        <v>1.121461</v>
      </c>
      <c r="L3568">
        <v>142.20400000000001</v>
      </c>
      <c r="M3568">
        <v>-0.99973979999999996</v>
      </c>
      <c r="N3568">
        <v>-1.2882680000000001E-2</v>
      </c>
      <c r="O3568">
        <v>1.8828660000000001E-2</v>
      </c>
      <c r="P3568">
        <v>-0.97872689999999996</v>
      </c>
      <c r="Q3568">
        <v>0.19464529999999999</v>
      </c>
      <c r="R3568">
        <v>6.4863400000000002E-2</v>
      </c>
      <c r="S3568">
        <v>-3.0865480000000001</v>
      </c>
      <c r="T3568">
        <v>-0.1112689</v>
      </c>
      <c r="U3568">
        <v>-6.4086909999999898E-3</v>
      </c>
      <c r="V3568">
        <v>4.6238269999999998E-2</v>
      </c>
      <c r="W3568">
        <v>0.20729230000000001</v>
      </c>
      <c r="X3568">
        <v>0.97718570000000005</v>
      </c>
      <c r="Y3568">
        <v>-2.0882669999999999E-2</v>
      </c>
      <c r="Z3568">
        <v>-9.4684700000000001E-4</v>
      </c>
      <c r="AA3568">
        <v>0.99978149999999999</v>
      </c>
      <c r="AB3568">
        <v>34</v>
      </c>
      <c r="AC3568">
        <v>-30.430399999999999</v>
      </c>
      <c r="AD3568">
        <v>-1.121469080694</v>
      </c>
      <c r="AE3568">
        <v>-7.6800000000019894E-2</v>
      </c>
      <c r="AF3568">
        <v>-0.64891620349221701</v>
      </c>
      <c r="AG3568">
        <v>-1.121469080694</v>
      </c>
      <c r="AH3568">
        <v>30.382293850351999</v>
      </c>
      <c r="AI3568">
        <v>92.113456468156201</v>
      </c>
      <c r="AJ3568">
        <v>91.223558294653799</v>
      </c>
      <c r="AK3568">
        <v>30.40990898946</v>
      </c>
      <c r="AL3568">
        <v>78.036278677486706</v>
      </c>
      <c r="AM3568">
        <v>87.2909108586272</v>
      </c>
      <c r="AN3568">
        <v>0.999999983768186</v>
      </c>
    </row>
    <row r="3569" spans="1:40" x14ac:dyDescent="0.25">
      <c r="A3569" t="str">
        <f>"20190303162622267"</f>
        <v>20190303162622267</v>
      </c>
      <c r="B3569" t="str">
        <f>"1551601582257287"</f>
        <v>1551601582257287</v>
      </c>
      <c r="C3569" t="s">
        <v>40</v>
      </c>
      <c r="D3569">
        <v>4.9945649999999997</v>
      </c>
      <c r="E3569">
        <v>0.4760452</v>
      </c>
      <c r="F3569" t="s">
        <v>47</v>
      </c>
      <c r="G3569">
        <v>-317.3304</v>
      </c>
      <c r="H3569" s="1">
        <v>-7.2389719999999997E-6</v>
      </c>
      <c r="I3569">
        <v>142.2184</v>
      </c>
      <c r="J3569">
        <v>-285.2996</v>
      </c>
      <c r="K3569">
        <v>1.121472</v>
      </c>
      <c r="L3569">
        <v>142.21019999999999</v>
      </c>
      <c r="M3569">
        <v>-0.99974839999999998</v>
      </c>
      <c r="N3569">
        <v>-1.288133E-2</v>
      </c>
      <c r="O3569">
        <v>1.8370350000000001E-2</v>
      </c>
      <c r="P3569">
        <v>-0.97862939999999998</v>
      </c>
      <c r="Q3569">
        <v>0.1949719</v>
      </c>
      <c r="R3569">
        <v>6.5351510000000002E-2</v>
      </c>
      <c r="S3569">
        <v>-3.0863339999999999</v>
      </c>
      <c r="T3569">
        <v>-0.1068848</v>
      </c>
      <c r="U3569">
        <v>1.373291E-3</v>
      </c>
      <c r="V3569">
        <v>4.7170289999999997E-2</v>
      </c>
      <c r="W3569">
        <v>0.20761840000000001</v>
      </c>
      <c r="X3569">
        <v>0.97707189999999999</v>
      </c>
      <c r="Y3569">
        <v>-1.7907920000000001E-2</v>
      </c>
      <c r="Z3569">
        <v>-8.2475579999999999E-4</v>
      </c>
      <c r="AA3569">
        <v>0.99983929999999999</v>
      </c>
      <c r="AB3569">
        <v>34</v>
      </c>
      <c r="AC3569">
        <v>-32.030799999999999</v>
      </c>
      <c r="AD3569">
        <v>-1.1214792389720001</v>
      </c>
      <c r="AE3569">
        <v>8.2000000000164094E-3</v>
      </c>
      <c r="AF3569">
        <v>-0.57955667226929197</v>
      </c>
      <c r="AG3569">
        <v>-1.1214792389720001</v>
      </c>
      <c r="AH3569">
        <v>31.986333275979302</v>
      </c>
      <c r="AI3569">
        <v>92.007706993023504</v>
      </c>
      <c r="AJ3569">
        <v>91.038022018520806</v>
      </c>
      <c r="AK3569">
        <v>32.011234247711201</v>
      </c>
      <c r="AL3569">
        <v>78.017178796479598</v>
      </c>
      <c r="AM3569">
        <v>87.236066473097395</v>
      </c>
      <c r="AN3569">
        <v>0.99999996702342597</v>
      </c>
    </row>
    <row r="3570" spans="1:40" x14ac:dyDescent="0.25">
      <c r="A3570" t="str">
        <f>"20190303162622290"</f>
        <v>20190303162622290</v>
      </c>
      <c r="B3570" t="str">
        <f>"1551601582276807"</f>
        <v>1551601582276807</v>
      </c>
      <c r="C3570" t="s">
        <v>40</v>
      </c>
      <c r="D3570">
        <v>5.2134749999999999</v>
      </c>
      <c r="E3570">
        <v>0.47649439999999998</v>
      </c>
      <c r="F3570" t="s">
        <v>41</v>
      </c>
      <c r="G3570">
        <v>-320.50560000000002</v>
      </c>
      <c r="H3570" s="1">
        <v>-4.5734829999999997E-6</v>
      </c>
      <c r="I3570">
        <v>142.26339999999999</v>
      </c>
      <c r="J3570">
        <v>-285.65010000000001</v>
      </c>
      <c r="K3570">
        <v>1.121472</v>
      </c>
      <c r="L3570">
        <v>142.21610000000001</v>
      </c>
      <c r="M3570">
        <v>-0.99975720000000001</v>
      </c>
      <c r="N3570">
        <v>-1.288008E-2</v>
      </c>
      <c r="O3570">
        <v>1.7881459999999998E-2</v>
      </c>
      <c r="P3570">
        <v>-0.9786165</v>
      </c>
      <c r="Q3570">
        <v>0.1945125</v>
      </c>
      <c r="R3570">
        <v>6.689399E-2</v>
      </c>
      <c r="S3570">
        <v>-3.084778</v>
      </c>
      <c r="T3570">
        <v>-9.8264690000000002E-2</v>
      </c>
      <c r="U3570">
        <v>4.6691889999999998E-3</v>
      </c>
      <c r="V3570">
        <v>4.9182110000000001E-2</v>
      </c>
      <c r="W3570">
        <v>0.2071626</v>
      </c>
      <c r="X3570">
        <v>0.97706950000000004</v>
      </c>
      <c r="Y3570">
        <v>-1.6354690000000002E-2</v>
      </c>
      <c r="Z3570">
        <v>-7.0492739999999997E-4</v>
      </c>
      <c r="AA3570">
        <v>0.99986600000000003</v>
      </c>
      <c r="AB3570">
        <v>34</v>
      </c>
      <c r="AC3570">
        <v>-34.855499999999999</v>
      </c>
      <c r="AD3570">
        <v>-1.1214765734829999</v>
      </c>
      <c r="AE3570">
        <v>4.7299999999978498E-2</v>
      </c>
      <c r="AF3570">
        <v>-0.57543076307491703</v>
      </c>
      <c r="AG3570">
        <v>-1.1214765734829999</v>
      </c>
      <c r="AH3570">
        <v>34.8147307650108</v>
      </c>
      <c r="AI3570">
        <v>91.844762135000707</v>
      </c>
      <c r="AJ3570">
        <v>90.9469196397839</v>
      </c>
      <c r="AK3570">
        <v>34.8375416542004</v>
      </c>
      <c r="AL3570">
        <v>78.0438752141756</v>
      </c>
      <c r="AM3570">
        <v>87.118371856162199</v>
      </c>
      <c r="AN3570">
        <v>1.00000001530653</v>
      </c>
    </row>
    <row r="3571" spans="1:40" x14ac:dyDescent="0.25">
      <c r="A3571" t="str">
        <f>"20190303162622314"</f>
        <v>20190303162622314</v>
      </c>
      <c r="B3571" t="str">
        <f>"1551601582307062"</f>
        <v>1551601582307062</v>
      </c>
      <c r="C3571" t="s">
        <v>40</v>
      </c>
      <c r="D3571">
        <v>4.9460419999999896</v>
      </c>
      <c r="E3571">
        <v>0.47673339999999997</v>
      </c>
      <c r="F3571" t="s">
        <v>41</v>
      </c>
      <c r="G3571">
        <v>-322.67419999999998</v>
      </c>
      <c r="H3571" s="1">
        <v>-3.8536449999999996E-6</v>
      </c>
      <c r="I3571">
        <v>142.3655</v>
      </c>
      <c r="J3571">
        <v>-286.0154</v>
      </c>
      <c r="K3571">
        <v>1.1215029999999999</v>
      </c>
      <c r="L3571">
        <v>142.22200000000001</v>
      </c>
      <c r="M3571">
        <v>-0.99976710000000002</v>
      </c>
      <c r="N3571">
        <v>-1.287892E-2</v>
      </c>
      <c r="O3571">
        <v>1.732438E-2</v>
      </c>
      <c r="P3571">
        <v>-0.97866929999999996</v>
      </c>
      <c r="Q3571">
        <v>0.19359229999999999</v>
      </c>
      <c r="R3571">
        <v>6.8765209999999993E-2</v>
      </c>
      <c r="S3571">
        <v>-3.0832519999999999</v>
      </c>
      <c r="T3571">
        <v>-9.3393329999999997E-2</v>
      </c>
      <c r="U3571">
        <v>1.2451169999999999E-2</v>
      </c>
      <c r="V3571">
        <v>5.1583280000000002E-2</v>
      </c>
      <c r="W3571">
        <v>0.20624780000000001</v>
      </c>
      <c r="X3571">
        <v>0.97713919999999999</v>
      </c>
      <c r="Y3571">
        <v>-1.3276690000000001E-2</v>
      </c>
      <c r="Z3571">
        <v>-5.8806790000000004E-4</v>
      </c>
      <c r="AA3571">
        <v>0.99991169999999996</v>
      </c>
      <c r="AB3571">
        <v>34</v>
      </c>
      <c r="AC3571">
        <v>-36.6587999999999</v>
      </c>
      <c r="AD3571">
        <v>-1.1215068536449999</v>
      </c>
      <c r="AE3571">
        <v>0.143499999999988</v>
      </c>
      <c r="AF3571">
        <v>-0.49120538605311798</v>
      </c>
      <c r="AG3571">
        <v>-1.1215068536449999</v>
      </c>
      <c r="AH3571">
        <v>36.621508691821901</v>
      </c>
      <c r="AI3571">
        <v>91.753935351464506</v>
      </c>
      <c r="AJ3571">
        <v>90.768463913500995</v>
      </c>
      <c r="AK3571">
        <v>36.641969914556299</v>
      </c>
      <c r="AL3571">
        <v>78.097446207162605</v>
      </c>
      <c r="AM3571">
        <v>86.978154844888607</v>
      </c>
      <c r="AN3571">
        <v>1.0000000029785101</v>
      </c>
    </row>
    <row r="3572" spans="1:40" x14ac:dyDescent="0.25">
      <c r="A3572" t="str">
        <f>"20190303162622334"</f>
        <v>20190303162622334</v>
      </c>
      <c r="B3572" t="str">
        <f>"1551601582327559"</f>
        <v>1551601582327559</v>
      </c>
      <c r="C3572" t="s">
        <v>40</v>
      </c>
      <c r="D3572">
        <v>4.922256</v>
      </c>
      <c r="E3572">
        <v>0.47721930000000001</v>
      </c>
      <c r="F3572" t="s">
        <v>41</v>
      </c>
      <c r="G3572">
        <v>-325.08229999999998</v>
      </c>
      <c r="H3572" s="1">
        <v>-2.8519140000000001E-6</v>
      </c>
      <c r="I3572">
        <v>142.4725</v>
      </c>
      <c r="J3572">
        <v>-286.31810000000002</v>
      </c>
      <c r="K3572">
        <v>1.1215440000000001</v>
      </c>
      <c r="L3572">
        <v>142.22669999999999</v>
      </c>
      <c r="M3572">
        <v>-0.99977579999999999</v>
      </c>
      <c r="N3572">
        <v>-1.287808E-2</v>
      </c>
      <c r="O3572">
        <v>1.6815710000000001E-2</v>
      </c>
      <c r="P3572">
        <v>-0.97851560000000004</v>
      </c>
      <c r="Q3572">
        <v>0.19410630000000001</v>
      </c>
      <c r="R3572">
        <v>6.9499599999999995E-2</v>
      </c>
      <c r="S3572">
        <v>-3.081512</v>
      </c>
      <c r="T3572">
        <v>-8.8461999999999999E-2</v>
      </c>
      <c r="U3572">
        <v>1.9760130000000001E-2</v>
      </c>
      <c r="V3572">
        <v>5.2801189999999998E-2</v>
      </c>
      <c r="W3572">
        <v>0.20676420000000001</v>
      </c>
      <c r="X3572">
        <v>0.97696499999999997</v>
      </c>
      <c r="Y3572">
        <v>-1.039701E-2</v>
      </c>
      <c r="Z3572">
        <v>-4.8223260000000002E-4</v>
      </c>
      <c r="AA3572">
        <v>0.9999458</v>
      </c>
      <c r="AB3572">
        <v>34</v>
      </c>
      <c r="AC3572">
        <v>-38.764199999999903</v>
      </c>
      <c r="AD3572">
        <v>-1.1215468519139999</v>
      </c>
      <c r="AE3572">
        <v>0.24580000000000199</v>
      </c>
      <c r="AF3572">
        <v>-0.40579660425522501</v>
      </c>
      <c r="AG3572">
        <v>-1.1215468519139999</v>
      </c>
      <c r="AH3572">
        <v>38.730432077595601</v>
      </c>
      <c r="AI3572">
        <v>91.658603353312003</v>
      </c>
      <c r="AJ3572">
        <v>90.600292348531298</v>
      </c>
      <c r="AK3572">
        <v>38.748792331404502</v>
      </c>
      <c r="AL3572">
        <v>78.067206899761899</v>
      </c>
      <c r="AM3572">
        <v>86.906393896373302</v>
      </c>
      <c r="AN3572">
        <v>1.0000000056460201</v>
      </c>
    </row>
    <row r="3573" spans="1:40" x14ac:dyDescent="0.25">
      <c r="A3573" t="str">
        <f>"20190303162622355"</f>
        <v>20190303162622355</v>
      </c>
      <c r="B3573" t="str">
        <f>"1551601582347079"</f>
        <v>1551601582347079</v>
      </c>
      <c r="C3573" t="s">
        <v>40</v>
      </c>
      <c r="D3573">
        <v>5.2030900000000004</v>
      </c>
      <c r="E3573">
        <v>0.47739890000000001</v>
      </c>
      <c r="F3573" t="s">
        <v>41</v>
      </c>
      <c r="G3573">
        <v>-323.24369999999999</v>
      </c>
      <c r="H3573" s="1">
        <v>-3.656337E-6</v>
      </c>
      <c r="I3573">
        <v>142.53139999999999</v>
      </c>
      <c r="J3573">
        <v>-286.64879999999999</v>
      </c>
      <c r="K3573">
        <v>1.12159599999999</v>
      </c>
      <c r="L3573">
        <v>142.23169999999999</v>
      </c>
      <c r="M3573">
        <v>-0.9997857</v>
      </c>
      <c r="N3573">
        <v>-1.2877120000000001E-2</v>
      </c>
      <c r="O3573">
        <v>1.6209499999999901E-2</v>
      </c>
      <c r="P3573">
        <v>-0.97813950000000005</v>
      </c>
      <c r="Q3573">
        <v>0.1959661</v>
      </c>
      <c r="R3573">
        <v>6.9572430000000005E-2</v>
      </c>
      <c r="S3573">
        <v>-3.0826419999999999</v>
      </c>
      <c r="T3573">
        <v>-9.3629599999999993E-2</v>
      </c>
      <c r="U3573">
        <v>2.5436400000000001E-2</v>
      </c>
      <c r="V3573">
        <v>5.3450579999999998E-2</v>
      </c>
      <c r="W3573">
        <v>0.20862439999999999</v>
      </c>
      <c r="X3573">
        <v>0.97653409999999996</v>
      </c>
      <c r="Y3573">
        <v>-7.9524629999999999E-3</v>
      </c>
      <c r="Z3573">
        <v>-4.5543139999999998E-4</v>
      </c>
      <c r="AA3573">
        <v>0.99996830000000003</v>
      </c>
      <c r="AB3573">
        <v>34</v>
      </c>
      <c r="AC3573">
        <v>-36.594900000000003</v>
      </c>
      <c r="AD3573">
        <v>-1.1215996563370001</v>
      </c>
      <c r="AE3573">
        <v>0.29970000000000102</v>
      </c>
      <c r="AF3573">
        <v>-0.29329810078869201</v>
      </c>
      <c r="AG3573">
        <v>-1.1215996563370001</v>
      </c>
      <c r="AH3573">
        <v>36.5606081896766</v>
      </c>
      <c r="AI3573">
        <v>91.757101849710097</v>
      </c>
      <c r="AJ3573">
        <v>90.459630833917998</v>
      </c>
      <c r="AK3573">
        <v>36.578984140679303</v>
      </c>
      <c r="AL3573">
        <v>77.958248965768306</v>
      </c>
      <c r="AM3573">
        <v>86.867042527240798</v>
      </c>
      <c r="AN3573">
        <v>0.99999997662025297</v>
      </c>
    </row>
    <row r="3574" spans="1:40" x14ac:dyDescent="0.25">
      <c r="A3574" t="str">
        <f>"20190303162622377"</f>
        <v>20190303162622377</v>
      </c>
      <c r="B3574" t="str">
        <f>"1551601582367574"</f>
        <v>1551601582367574</v>
      </c>
      <c r="C3574" t="s">
        <v>40</v>
      </c>
      <c r="D3574">
        <v>4.9791740000000004</v>
      </c>
      <c r="E3574">
        <v>0.47734710000000002</v>
      </c>
      <c r="F3574" t="s">
        <v>41</v>
      </c>
      <c r="G3574">
        <v>-325.90809999999999</v>
      </c>
      <c r="H3574" s="1">
        <v>-2.5242459999999999E-6</v>
      </c>
      <c r="I3574">
        <v>142.57239999999999</v>
      </c>
      <c r="J3574">
        <v>-286.97800000000001</v>
      </c>
      <c r="K3574">
        <v>1.121642</v>
      </c>
      <c r="L3574">
        <v>142.2364</v>
      </c>
      <c r="M3574">
        <v>-0.99979629999999997</v>
      </c>
      <c r="N3574">
        <v>-1.287632E-2</v>
      </c>
      <c r="O3574">
        <v>1.555234E-2</v>
      </c>
      <c r="P3574">
        <v>-0.97785710000000003</v>
      </c>
      <c r="Q3574">
        <v>0.1973367</v>
      </c>
      <c r="R3574">
        <v>6.9670449999999995E-2</v>
      </c>
      <c r="S3574">
        <v>-3.0827939999999998</v>
      </c>
      <c r="T3574">
        <v>-8.8072300000000006E-2</v>
      </c>
      <c r="U3574">
        <v>2.676392E-2</v>
      </c>
      <c r="V3574">
        <v>5.4172129999999999E-2</v>
      </c>
      <c r="W3574">
        <v>0.20999660000000001</v>
      </c>
      <c r="X3574">
        <v>0.97620019999999996</v>
      </c>
      <c r="Y3574">
        <v>-6.8667399999999996E-3</v>
      </c>
      <c r="Z3574">
        <v>-3.8623729999999999E-4</v>
      </c>
      <c r="AA3574">
        <v>0.99997630000000004</v>
      </c>
      <c r="AB3574">
        <v>34</v>
      </c>
      <c r="AC3574">
        <v>-38.930099999999896</v>
      </c>
      <c r="AD3574">
        <v>-1.121644524246</v>
      </c>
      <c r="AE3574">
        <v>0.33599999999998398</v>
      </c>
      <c r="AF3574">
        <v>-0.269321346491814</v>
      </c>
      <c r="AG3574">
        <v>-1.121644524246</v>
      </c>
      <c r="AH3574">
        <v>38.898329071125197</v>
      </c>
      <c r="AI3574">
        <v>91.651643066195305</v>
      </c>
      <c r="AJ3574">
        <v>90.396693901402799</v>
      </c>
      <c r="AK3574">
        <v>38.915429137451298</v>
      </c>
      <c r="AL3574">
        <v>77.877847140111001</v>
      </c>
      <c r="AM3574">
        <v>86.823751675825093</v>
      </c>
      <c r="AN3574">
        <v>1.0000000110801599</v>
      </c>
    </row>
    <row r="3575" spans="1:40" x14ac:dyDescent="0.25">
      <c r="A3575" t="str">
        <f>"20190303162622400"</f>
        <v>20190303162622400</v>
      </c>
      <c r="B3575" t="str">
        <f>"1551601582396855"</f>
        <v>1551601582396855</v>
      </c>
      <c r="C3575" t="s">
        <v>40</v>
      </c>
      <c r="D3575">
        <v>5.1508570000000002</v>
      </c>
      <c r="E3575">
        <v>0.47723209999999999</v>
      </c>
      <c r="F3575" t="s">
        <v>41</v>
      </c>
      <c r="G3575">
        <v>-329.517</v>
      </c>
      <c r="H3575" s="1">
        <v>-9.8440380000000007E-7</v>
      </c>
      <c r="I3575">
        <v>142.60380000000001</v>
      </c>
      <c r="J3575">
        <v>-287.31060000000002</v>
      </c>
      <c r="K3575">
        <v>1.121685</v>
      </c>
      <c r="L3575">
        <v>142.24080000000001</v>
      </c>
      <c r="M3575">
        <v>-0.99980709999999995</v>
      </c>
      <c r="N3575">
        <v>-1.2875620000000001E-2</v>
      </c>
      <c r="O3575">
        <v>1.483812E-2</v>
      </c>
      <c r="P3575">
        <v>-0.9777576</v>
      </c>
      <c r="Q3575">
        <v>0.1980837</v>
      </c>
      <c r="R3575">
        <v>6.8943400000000002E-2</v>
      </c>
      <c r="S3575">
        <v>-3.0824280000000002</v>
      </c>
      <c r="T3575">
        <v>-8.1275819999999999E-2</v>
      </c>
      <c r="U3575">
        <v>2.6626589999999999E-2</v>
      </c>
      <c r="V3575">
        <v>5.412314E-2</v>
      </c>
      <c r="W3575">
        <v>0.21074670000000001</v>
      </c>
      <c r="X3575">
        <v>0.9760413</v>
      </c>
      <c r="Y3575">
        <v>-6.1973219999999999E-3</v>
      </c>
      <c r="Z3575">
        <v>-3.2170359999999999E-4</v>
      </c>
      <c r="AA3575">
        <v>0.99998069999999895</v>
      </c>
      <c r="AB3575">
        <v>34</v>
      </c>
      <c r="AC3575">
        <v>-42.206399999999903</v>
      </c>
      <c r="AD3575">
        <v>-1.1216859844038001</v>
      </c>
      <c r="AE3575">
        <v>0.36299999999999899</v>
      </c>
      <c r="AF3575">
        <v>-0.26316959492904801</v>
      </c>
      <c r="AG3575">
        <v>-1.1216859844038001</v>
      </c>
      <c r="AH3575">
        <v>42.177351932766499</v>
      </c>
      <c r="AI3575">
        <v>91.5233644279933</v>
      </c>
      <c r="AJ3575">
        <v>90.357497820931201</v>
      </c>
      <c r="AK3575">
        <v>42.193085378338203</v>
      </c>
      <c r="AL3575">
        <v>77.833886297938406</v>
      </c>
      <c r="AM3575">
        <v>86.826102637552296</v>
      </c>
      <c r="AN3575">
        <v>1.0000000525750099</v>
      </c>
    </row>
    <row r="3576" spans="1:40" x14ac:dyDescent="0.25">
      <c r="A3576" t="str">
        <f>"20190303162622421"</f>
        <v>20190303162622421</v>
      </c>
      <c r="B3576" t="str">
        <f>"1551601582417350"</f>
        <v>1551601582417350</v>
      </c>
      <c r="C3576" t="s">
        <v>40</v>
      </c>
      <c r="D3576">
        <v>4.9473580000000004</v>
      </c>
      <c r="E3576">
        <v>0.4771744</v>
      </c>
      <c r="F3576" t="s">
        <v>41</v>
      </c>
      <c r="G3576">
        <v>-332.50729999999999</v>
      </c>
      <c r="H3576" s="1">
        <v>-4.275203E-6</v>
      </c>
      <c r="I3576">
        <v>142.58580000000001</v>
      </c>
      <c r="J3576">
        <v>-287.63440000000003</v>
      </c>
      <c r="K3576">
        <v>1.121715</v>
      </c>
      <c r="L3576">
        <v>142.2448</v>
      </c>
      <c r="M3576">
        <v>-0.99981770000000003</v>
      </c>
      <c r="N3576">
        <v>-1.2874770000000001E-2</v>
      </c>
      <c r="O3576">
        <v>1.410553E-2</v>
      </c>
      <c r="P3576">
        <v>-0.97809009999999996</v>
      </c>
      <c r="Q3576">
        <v>0.1969544</v>
      </c>
      <c r="R3576">
        <v>6.7445610000000003E-2</v>
      </c>
      <c r="S3576">
        <v>-3.0820919999999998</v>
      </c>
      <c r="T3576">
        <v>-7.6491359999999994E-2</v>
      </c>
      <c r="U3576">
        <v>2.3529049999999999E-2</v>
      </c>
      <c r="V3576">
        <v>5.3321670000000002E-2</v>
      </c>
      <c r="W3576">
        <v>0.20962320000000001</v>
      </c>
      <c r="X3576">
        <v>0.97632719999999995</v>
      </c>
      <c r="Y3576">
        <v>-6.4691189999999997E-3</v>
      </c>
      <c r="Z3576">
        <v>-2.9031279999999998E-4</v>
      </c>
      <c r="AA3576">
        <v>0.99997899999999995</v>
      </c>
      <c r="AB3576">
        <v>34</v>
      </c>
      <c r="AC3576">
        <v>-44.872899999999902</v>
      </c>
      <c r="AD3576">
        <v>-1.1217192752030001</v>
      </c>
      <c r="AE3576">
        <v>0.34100000000000802</v>
      </c>
      <c r="AF3576">
        <v>-0.29186001525281502</v>
      </c>
      <c r="AG3576">
        <v>-1.1217192752030001</v>
      </c>
      <c r="AH3576">
        <v>44.845223843452601</v>
      </c>
      <c r="AI3576">
        <v>91.432817499182704</v>
      </c>
      <c r="AJ3576">
        <v>90.372884993254203</v>
      </c>
      <c r="AK3576">
        <v>44.860199932348003</v>
      </c>
      <c r="AL3576">
        <v>77.899727588715194</v>
      </c>
      <c r="AM3576">
        <v>86.873922458165396</v>
      </c>
      <c r="AN3576">
        <v>0.99999994396483205</v>
      </c>
    </row>
    <row r="3577" spans="1:40" x14ac:dyDescent="0.25">
      <c r="A3577" t="str">
        <f>"20190303162622445"</f>
        <v>20190303162622445</v>
      </c>
      <c r="B3577" t="str">
        <f>"1551601582436870"</f>
        <v>1551601582436870</v>
      </c>
      <c r="C3577" t="s">
        <v>40</v>
      </c>
      <c r="D3577">
        <v>4.8780299999999999</v>
      </c>
      <c r="E3577">
        <v>0.47712520000000003</v>
      </c>
      <c r="F3577" t="s">
        <v>41</v>
      </c>
      <c r="G3577">
        <v>-331.33980000000003</v>
      </c>
      <c r="H3577" s="1">
        <v>-4.7105610000000002E-6</v>
      </c>
      <c r="I3577">
        <v>142.5127</v>
      </c>
      <c r="J3577">
        <v>-287.99829999999997</v>
      </c>
      <c r="K3577">
        <v>1.1217490000000001</v>
      </c>
      <c r="L3577">
        <v>142.249</v>
      </c>
      <c r="M3577">
        <v>-0.99982939999999998</v>
      </c>
      <c r="N3577">
        <v>-1.287369E-2</v>
      </c>
      <c r="O3577">
        <v>1.325084E-2</v>
      </c>
      <c r="P3577">
        <v>-0.97828320000000002</v>
      </c>
      <c r="Q3577">
        <v>0.19656589999999999</v>
      </c>
      <c r="R3577">
        <v>6.5756159999999994E-2</v>
      </c>
      <c r="S3577">
        <v>-3.0818789999999998</v>
      </c>
      <c r="T3577">
        <v>-7.9097990000000007E-2</v>
      </c>
      <c r="U3577">
        <v>1.8890379999999998E-2</v>
      </c>
      <c r="V3577">
        <v>5.2451409999999997E-2</v>
      </c>
      <c r="W3577">
        <v>0.20923810000000001</v>
      </c>
      <c r="X3577">
        <v>0.97645700000000002</v>
      </c>
      <c r="Y3577">
        <v>-7.118236E-3</v>
      </c>
      <c r="Z3577">
        <v>-3.0659870000000002E-4</v>
      </c>
      <c r="AA3577">
        <v>0.99997460000000005</v>
      </c>
      <c r="AB3577">
        <v>34</v>
      </c>
      <c r="AC3577">
        <v>-43.341500000000003</v>
      </c>
      <c r="AD3577">
        <v>-1.12175371056099</v>
      </c>
      <c r="AE3577">
        <v>0.26369999999999999</v>
      </c>
      <c r="AF3577">
        <v>-0.310474024539662</v>
      </c>
      <c r="AG3577">
        <v>-1.12175371056099</v>
      </c>
      <c r="AH3577">
        <v>43.312176456873701</v>
      </c>
      <c r="AI3577">
        <v>91.483549053154704</v>
      </c>
      <c r="AJ3577">
        <v>90.410705441976305</v>
      </c>
      <c r="AK3577">
        <v>43.327812718142603</v>
      </c>
      <c r="AL3577">
        <v>77.922293330183095</v>
      </c>
      <c r="AM3577">
        <v>86.925252255330605</v>
      </c>
      <c r="AN3577">
        <v>1.0000000028757901</v>
      </c>
    </row>
    <row r="3578" spans="1:40" x14ac:dyDescent="0.25">
      <c r="A3578" t="str">
        <f>"20190303162622479"</f>
        <v>20190303162622479</v>
      </c>
      <c r="B3578" t="str">
        <f>"1551601582467126"</f>
        <v>1551601582467126</v>
      </c>
      <c r="C3578" t="s">
        <v>40</v>
      </c>
      <c r="D3578">
        <v>4.8926920000000003</v>
      </c>
      <c r="E3578">
        <v>0.47692879999999899</v>
      </c>
      <c r="F3578" t="s">
        <v>41</v>
      </c>
      <c r="G3578">
        <v>-331.21429999999998</v>
      </c>
      <c r="H3578" s="1">
        <v>-4.7455340000000002E-6</v>
      </c>
      <c r="I3578">
        <v>142.43819999999999</v>
      </c>
      <c r="J3578">
        <v>-288.50830000000002</v>
      </c>
      <c r="K3578">
        <v>1.1217859999999999</v>
      </c>
      <c r="L3578">
        <v>142.2544</v>
      </c>
      <c r="M3578">
        <v>-0.99984479999999998</v>
      </c>
      <c r="N3578">
        <v>-1.2872049999999999E-2</v>
      </c>
      <c r="O3578">
        <v>1.2021179999999999E-2</v>
      </c>
      <c r="P3578">
        <v>-0.97841849999999997</v>
      </c>
      <c r="Q3578">
        <v>0.1968657</v>
      </c>
      <c r="R3578">
        <v>6.2778749999999994E-2</v>
      </c>
      <c r="S3578">
        <v>-3.0817570000000001</v>
      </c>
      <c r="T3578">
        <v>-7.9992770000000005E-2</v>
      </c>
      <c r="U3578">
        <v>1.3488770000000001E-2</v>
      </c>
      <c r="V3578">
        <v>5.0661869999999998E-2</v>
      </c>
      <c r="W3578">
        <v>0.20953740000000001</v>
      </c>
      <c r="X3578">
        <v>0.97648729999999995</v>
      </c>
      <c r="Y3578">
        <v>-7.6405619999999896E-3</v>
      </c>
      <c r="Z3578">
        <v>-3.0557190000000001E-4</v>
      </c>
      <c r="AA3578">
        <v>0.99997069999999999</v>
      </c>
      <c r="AB3578">
        <v>34</v>
      </c>
      <c r="AC3578">
        <v>-42.705999999999896</v>
      </c>
      <c r="AD3578">
        <v>-1.1217907455339999</v>
      </c>
      <c r="AE3578">
        <v>0.18379999999999</v>
      </c>
      <c r="AF3578">
        <v>-0.32940509392185902</v>
      </c>
      <c r="AG3578">
        <v>-1.1217907455339999</v>
      </c>
      <c r="AH3578">
        <v>42.675677900027402</v>
      </c>
      <c r="AI3578">
        <v>91.505709277662604</v>
      </c>
      <c r="AJ3578">
        <v>90.4422459758445</v>
      </c>
      <c r="AK3578">
        <v>42.691690133087498</v>
      </c>
      <c r="AL3578">
        <v>77.904755875405399</v>
      </c>
      <c r="AM3578">
        <v>87.030057527055305</v>
      </c>
      <c r="AN3578">
        <v>0.99999999706597298</v>
      </c>
    </row>
    <row r="3579" spans="1:40" x14ac:dyDescent="0.25">
      <c r="A3579" t="str">
        <f>"20190303162622501"</f>
        <v>20190303162622501</v>
      </c>
      <c r="B3579" t="str">
        <f>"1551601582497382"</f>
        <v>1551601582497382</v>
      </c>
      <c r="C3579" t="s">
        <v>40</v>
      </c>
      <c r="D3579">
        <v>4.8236420000000004</v>
      </c>
      <c r="E3579">
        <v>0.47666619999999998</v>
      </c>
      <c r="F3579" t="s">
        <v>41</v>
      </c>
      <c r="G3579">
        <v>-332.2758</v>
      </c>
      <c r="H3579" s="1">
        <v>-4.3129930000000001E-6</v>
      </c>
      <c r="I3579">
        <v>142.2978</v>
      </c>
      <c r="J3579">
        <v>-288.834</v>
      </c>
      <c r="K3579">
        <v>1.121801</v>
      </c>
      <c r="L3579">
        <v>142.25749999999999</v>
      </c>
      <c r="M3579">
        <v>-0.99985420000000003</v>
      </c>
      <c r="N3579">
        <v>-1.2870950000000001E-2</v>
      </c>
      <c r="O3579">
        <v>1.1226079999999999E-2</v>
      </c>
      <c r="P3579">
        <v>-0.97848100000000005</v>
      </c>
      <c r="Q3579">
        <v>0.19711390000000001</v>
      </c>
      <c r="R3579">
        <v>6.1002220000000003E-2</v>
      </c>
      <c r="S3579">
        <v>-3.0818479999999999</v>
      </c>
      <c r="T3579">
        <v>-7.8989859999999995E-2</v>
      </c>
      <c r="U3579">
        <v>3.0517579999999999E-3</v>
      </c>
      <c r="V3579">
        <v>4.9657260000000002E-2</v>
      </c>
      <c r="W3579">
        <v>0.20978450000000001</v>
      </c>
      <c r="X3579">
        <v>0.97648579999999996</v>
      </c>
      <c r="Y3579">
        <v>-1.023087E-2</v>
      </c>
      <c r="Z3579">
        <v>-3.4014279999999999E-4</v>
      </c>
      <c r="AA3579">
        <v>0.99994760000000005</v>
      </c>
      <c r="AB3579">
        <v>34</v>
      </c>
      <c r="AC3579">
        <v>-43.441800000000001</v>
      </c>
      <c r="AD3579">
        <v>-1.1218053129929999</v>
      </c>
      <c r="AE3579">
        <v>4.0300000000002001E-2</v>
      </c>
      <c r="AF3579">
        <v>-0.44712587621095901</v>
      </c>
      <c r="AG3579">
        <v>-1.1218053129929999</v>
      </c>
      <c r="AH3579">
        <v>43.410566809903699</v>
      </c>
      <c r="AI3579">
        <v>91.480215670699394</v>
      </c>
      <c r="AJ3579">
        <v>90.5901217518512</v>
      </c>
      <c r="AK3579">
        <v>43.427360954432203</v>
      </c>
      <c r="AL3579">
        <v>77.890275672683501</v>
      </c>
      <c r="AM3579">
        <v>87.088843822251604</v>
      </c>
      <c r="AN3579">
        <v>0.99999994875629705</v>
      </c>
    </row>
    <row r="3580" spans="1:40" x14ac:dyDescent="0.25">
      <c r="A3580" t="str">
        <f>"20190303162622524"</f>
        <v>20190303162622524</v>
      </c>
      <c r="B3580" t="str">
        <f>"1551601582516902"</f>
        <v>1551601582516902</v>
      </c>
      <c r="C3580" t="s">
        <v>40</v>
      </c>
      <c r="D3580">
        <v>4.8095549999999996</v>
      </c>
      <c r="E3580">
        <v>0.47651169999999998</v>
      </c>
      <c r="F3580" t="s">
        <v>41</v>
      </c>
      <c r="G3580">
        <v>-333.3236</v>
      </c>
      <c r="H3580" s="1">
        <v>-3.8180319999999997E-6</v>
      </c>
      <c r="I3580">
        <v>142.178</v>
      </c>
      <c r="J3580">
        <v>-289.1859</v>
      </c>
      <c r="K3580">
        <v>1.121807</v>
      </c>
      <c r="L3580">
        <v>142.26060000000001</v>
      </c>
      <c r="M3580">
        <v>-0.99986339999999996</v>
      </c>
      <c r="N3580">
        <v>-1.2869709999999999E-2</v>
      </c>
      <c r="O3580">
        <v>1.0366E-2</v>
      </c>
      <c r="P3580">
        <v>-0.97860349999999996</v>
      </c>
      <c r="Q3580">
        <v>0.19690550000000001</v>
      </c>
      <c r="R3580">
        <v>5.9694909999999997E-2</v>
      </c>
      <c r="S3580">
        <v>-3.0819399999999999</v>
      </c>
      <c r="T3580">
        <v>-7.771111E-2</v>
      </c>
      <c r="U3580">
        <v>-5.5084230000000001E-3</v>
      </c>
      <c r="V3580">
        <v>4.9187269999999998E-2</v>
      </c>
      <c r="W3580">
        <v>0.2095756</v>
      </c>
      <c r="X3580">
        <v>0.97655449999999999</v>
      </c>
      <c r="Y3580">
        <v>-1.2147450000000001E-2</v>
      </c>
      <c r="Z3580">
        <v>-3.5924379999999998E-4</v>
      </c>
      <c r="AA3580">
        <v>0.99992610000000004</v>
      </c>
      <c r="AB3580">
        <v>34</v>
      </c>
      <c r="AC3580">
        <v>-44.137700000000002</v>
      </c>
      <c r="AD3580">
        <v>-1.1218108180319999</v>
      </c>
      <c r="AE3580">
        <v>-8.2600000000013496E-2</v>
      </c>
      <c r="AF3580">
        <v>-0.53981616709938895</v>
      </c>
      <c r="AG3580">
        <v>-1.1218108180319999</v>
      </c>
      <c r="AH3580">
        <v>44.105980322954103</v>
      </c>
      <c r="AI3580">
        <v>91.456862759780805</v>
      </c>
      <c r="AJ3580">
        <v>90.701212027392202</v>
      </c>
      <c r="AK3580">
        <v>44.123546562516097</v>
      </c>
      <c r="AL3580">
        <v>77.902517580702806</v>
      </c>
      <c r="AM3580">
        <v>87.116552773476499</v>
      </c>
      <c r="AN3580">
        <v>1.00000000555783</v>
      </c>
    </row>
    <row r="3581" spans="1:40" x14ac:dyDescent="0.25">
      <c r="A3581" t="str">
        <f>"20190303162622548"</f>
        <v>20190303162622548</v>
      </c>
      <c r="B3581" t="str">
        <f>"1551601582538375"</f>
        <v>1551601582538375</v>
      </c>
      <c r="C3581" t="s">
        <v>40</v>
      </c>
      <c r="D3581">
        <v>4.7383730000000002</v>
      </c>
      <c r="E3581">
        <v>0.47662209999999999</v>
      </c>
      <c r="F3581" t="s">
        <v>41</v>
      </c>
      <c r="G3581">
        <v>-333.3784</v>
      </c>
      <c r="H3581" s="1">
        <v>-3.7706840000000001E-6</v>
      </c>
      <c r="I3581">
        <v>142.09739999999999</v>
      </c>
      <c r="J3581">
        <v>-289.53930000000003</v>
      </c>
      <c r="K3581">
        <v>1.121802</v>
      </c>
      <c r="L3581">
        <v>142.26329999999999</v>
      </c>
      <c r="M3581">
        <v>-0.99987210000000004</v>
      </c>
      <c r="N3581">
        <v>-1.286841E-2</v>
      </c>
      <c r="O3581">
        <v>9.5030440000000004E-3</v>
      </c>
      <c r="P3581">
        <v>-0.97890739999999998</v>
      </c>
      <c r="Q3581">
        <v>0.19575419999999999</v>
      </c>
      <c r="R3581">
        <v>5.8485450000000001E-2</v>
      </c>
      <c r="S3581">
        <v>-3.0820310000000002</v>
      </c>
      <c r="T3581">
        <v>-7.8236219999999995E-2</v>
      </c>
      <c r="U3581">
        <v>-1.138306E-2</v>
      </c>
      <c r="V3581">
        <v>4.8818849999999997E-2</v>
      </c>
      <c r="W3581">
        <v>0.20842669999999999</v>
      </c>
      <c r="X3581">
        <v>0.97681890000000005</v>
      </c>
      <c r="Y3581">
        <v>-1.318979E-2</v>
      </c>
      <c r="Z3581">
        <v>-3.7117669999999999E-4</v>
      </c>
      <c r="AA3581">
        <v>0.99991289999999999</v>
      </c>
      <c r="AB3581">
        <v>34</v>
      </c>
      <c r="AC3581">
        <v>-43.839099999999902</v>
      </c>
      <c r="AD3581">
        <v>-1.1218057706839999</v>
      </c>
      <c r="AE3581">
        <v>-0.165899999999993</v>
      </c>
      <c r="AF3581">
        <v>-0.58215068726397701</v>
      </c>
      <c r="AG3581">
        <v>-1.1218057706839999</v>
      </c>
      <c r="AH3581">
        <v>43.806858889289799</v>
      </c>
      <c r="AI3581">
        <v>91.466779917851497</v>
      </c>
      <c r="AJ3581">
        <v>90.761360549660495</v>
      </c>
      <c r="AK3581">
        <v>43.825086803747098</v>
      </c>
      <c r="AL3581">
        <v>77.969832045486598</v>
      </c>
      <c r="AM3581">
        <v>87.138887536230996</v>
      </c>
      <c r="AN3581">
        <v>1.0000000663927</v>
      </c>
    </row>
    <row r="3582" spans="1:40" x14ac:dyDescent="0.25">
      <c r="A3582" t="str">
        <f>"20190303162622567"</f>
        <v>20190303162622567</v>
      </c>
      <c r="B3582" t="str">
        <f>"1551601582556918"</f>
        <v>1551601582556918</v>
      </c>
      <c r="C3582" t="s">
        <v>40</v>
      </c>
      <c r="D3582">
        <v>4.7618809999999998</v>
      </c>
      <c r="E3582">
        <v>0.47677219999999998</v>
      </c>
      <c r="F3582" t="s">
        <v>41</v>
      </c>
      <c r="G3582">
        <v>-330.26400000000001</v>
      </c>
      <c r="H3582" s="1">
        <v>-5.0456359999999997E-6</v>
      </c>
      <c r="I3582">
        <v>142.0728</v>
      </c>
      <c r="J3582">
        <v>-289.84530000000001</v>
      </c>
      <c r="K3582">
        <v>1.1218030000000001</v>
      </c>
      <c r="L3582">
        <v>142.2654</v>
      </c>
      <c r="M3582">
        <v>-0.99987899999999996</v>
      </c>
      <c r="N3582">
        <v>-1.286724E-2</v>
      </c>
      <c r="O3582">
        <v>8.7579549999999996E-3</v>
      </c>
      <c r="P3582">
        <v>-0.97905529999999996</v>
      </c>
      <c r="Q3582">
        <v>0.19508729999999999</v>
      </c>
      <c r="R3582">
        <v>5.8241359999999999E-2</v>
      </c>
      <c r="S3582">
        <v>-3.0824579999999999</v>
      </c>
      <c r="T3582">
        <v>-8.4909680000000001E-2</v>
      </c>
      <c r="U3582">
        <v>-1.441956E-2</v>
      </c>
      <c r="V3582">
        <v>4.9302600000000002E-2</v>
      </c>
      <c r="W3582">
        <v>0.2077611</v>
      </c>
      <c r="X3582">
        <v>0.97693629999999998</v>
      </c>
      <c r="Y3582">
        <v>-1.342788E-2</v>
      </c>
      <c r="Z3582">
        <v>-3.9983999999999999E-4</v>
      </c>
      <c r="AA3582">
        <v>0.99990979999999996</v>
      </c>
      <c r="AB3582">
        <v>34</v>
      </c>
      <c r="AC3582">
        <v>-40.418700000000001</v>
      </c>
      <c r="AD3582">
        <v>-1.121808045636</v>
      </c>
      <c r="AE3582">
        <v>-0.192599999999998</v>
      </c>
      <c r="AF3582">
        <v>-0.54618629572879696</v>
      </c>
      <c r="AG3582">
        <v>-1.121808045636</v>
      </c>
      <c r="AH3582">
        <v>40.3843544406907</v>
      </c>
      <c r="AI3582">
        <v>91.591023791597806</v>
      </c>
      <c r="AJ3582">
        <v>90.7748610107042</v>
      </c>
      <c r="AK3582">
        <v>40.403624297236398</v>
      </c>
      <c r="AL3582">
        <v>78.008820561530499</v>
      </c>
      <c r="AM3582">
        <v>87.110930982943799</v>
      </c>
      <c r="AN3582">
        <v>0.99999997764882897</v>
      </c>
    </row>
    <row r="3583" spans="1:40" x14ac:dyDescent="0.25">
      <c r="A3583" t="str">
        <f>"20190303162622590"</f>
        <v>20190303162622590</v>
      </c>
      <c r="B3583" t="str">
        <f>"1551601582577415"</f>
        <v>1551601582577415</v>
      </c>
      <c r="C3583" t="s">
        <v>40</v>
      </c>
      <c r="D3583">
        <v>4.7855749999999997</v>
      </c>
      <c r="E3583">
        <v>0.47682760000000002</v>
      </c>
      <c r="F3583" t="s">
        <v>41</v>
      </c>
      <c r="G3583">
        <v>-328.49990000000003</v>
      </c>
      <c r="H3583" s="1">
        <v>-1.2848050000000001E-6</v>
      </c>
      <c r="I3583">
        <v>142.09299999999999</v>
      </c>
      <c r="J3583">
        <v>-290.1739</v>
      </c>
      <c r="K3583">
        <v>1.121812</v>
      </c>
      <c r="L3583">
        <v>142.26750000000001</v>
      </c>
      <c r="M3583">
        <v>-0.99988560000000004</v>
      </c>
      <c r="N3583">
        <v>-1.28661E-2</v>
      </c>
      <c r="O3583">
        <v>7.9593559999999904E-3</v>
      </c>
      <c r="P3583">
        <v>-0.97913649999999997</v>
      </c>
      <c r="Q3583">
        <v>0.19477920000000001</v>
      </c>
      <c r="R3583">
        <v>5.7905329999999998E-2</v>
      </c>
      <c r="S3583">
        <v>-3.0828250000000001</v>
      </c>
      <c r="T3583">
        <v>-8.9467409999999997E-2</v>
      </c>
      <c r="U3583">
        <v>-1.3748170000000001E-2</v>
      </c>
      <c r="V3583">
        <v>4.9747199999999998E-2</v>
      </c>
      <c r="W3583">
        <v>0.20745369999999999</v>
      </c>
      <c r="X3583">
        <v>0.97697909999999999</v>
      </c>
      <c r="Y3583">
        <v>-1.241077E-2</v>
      </c>
      <c r="Z3583">
        <v>-3.8845820000000001E-4</v>
      </c>
      <c r="AA3583">
        <v>0.99992289999999995</v>
      </c>
      <c r="AB3583">
        <v>34</v>
      </c>
      <c r="AC3583">
        <v>-38.326000000000001</v>
      </c>
      <c r="AD3583">
        <v>-1.121813284805</v>
      </c>
      <c r="AE3583">
        <v>-0.174500000000023</v>
      </c>
      <c r="AF3583">
        <v>-0.47915947444191098</v>
      </c>
      <c r="AG3583">
        <v>-1.121813284805</v>
      </c>
      <c r="AH3583">
        <v>38.2905919668057</v>
      </c>
      <c r="AI3583">
        <v>91.678003792744505</v>
      </c>
      <c r="AJ3583">
        <v>90.716948505796907</v>
      </c>
      <c r="AK3583">
        <v>38.310018167788897</v>
      </c>
      <c r="AL3583">
        <v>78.026825744364302</v>
      </c>
      <c r="AM3583">
        <v>87.085050215046707</v>
      </c>
      <c r="AN3583">
        <v>0.99999999169416898</v>
      </c>
    </row>
    <row r="3584" spans="1:40" x14ac:dyDescent="0.25">
      <c r="A3584" t="str">
        <f>"20190303162622612"</f>
        <v>20190303162622612</v>
      </c>
      <c r="B3584" t="str">
        <f>"1551601582607670"</f>
        <v>1551601582607670</v>
      </c>
      <c r="C3584" t="s">
        <v>40</v>
      </c>
      <c r="D3584">
        <v>4.7662440000000004</v>
      </c>
      <c r="E3584">
        <v>0.47685850000000002</v>
      </c>
      <c r="F3584" t="s">
        <v>41</v>
      </c>
      <c r="G3584">
        <v>-326.76190000000003</v>
      </c>
      <c r="H3584" s="1">
        <v>-2.0337239999999999E-6</v>
      </c>
      <c r="I3584">
        <v>142.1054</v>
      </c>
      <c r="J3584">
        <v>-290.52</v>
      </c>
      <c r="K3584">
        <v>1.1218159999999999</v>
      </c>
      <c r="L3584">
        <v>142.26939999999999</v>
      </c>
      <c r="M3584">
        <v>-0.999892</v>
      </c>
      <c r="N3584">
        <v>-1.286488E-2</v>
      </c>
      <c r="O3584">
        <v>7.1194650000000002E-3</v>
      </c>
      <c r="P3584">
        <v>-0.97905249999999999</v>
      </c>
      <c r="Q3584">
        <v>0.19531119999999999</v>
      </c>
      <c r="R3584">
        <v>5.753018E-2</v>
      </c>
      <c r="S3584">
        <v>-3.0835270000000001</v>
      </c>
      <c r="T3584">
        <v>-9.4543340000000003E-2</v>
      </c>
      <c r="U3584">
        <v>-1.365662E-2</v>
      </c>
      <c r="V3584">
        <v>5.0193019999999998E-2</v>
      </c>
      <c r="W3584">
        <v>0.20798359999999999</v>
      </c>
      <c r="X3584">
        <v>0.97684369999999998</v>
      </c>
      <c r="Y3584">
        <v>-1.1539900000000001E-2</v>
      </c>
      <c r="Z3584">
        <v>-3.777799E-4</v>
      </c>
      <c r="AA3584">
        <v>0.99993339999999997</v>
      </c>
      <c r="AB3584">
        <v>34</v>
      </c>
      <c r="AC3584">
        <v>-36.241900000000001</v>
      </c>
      <c r="AD3584">
        <v>-1.121818033724</v>
      </c>
      <c r="AE3584">
        <v>-0.16399999999998699</v>
      </c>
      <c r="AF3584">
        <v>-0.421636137421455</v>
      </c>
      <c r="AG3584">
        <v>-1.121818033724</v>
      </c>
      <c r="AH3584">
        <v>36.205125270102897</v>
      </c>
      <c r="AI3584">
        <v>91.774625176304795</v>
      </c>
      <c r="AJ3584">
        <v>90.667222636078705</v>
      </c>
      <c r="AK3584">
        <v>36.224954776466099</v>
      </c>
      <c r="AL3584">
        <v>77.995788629265306</v>
      </c>
      <c r="AM3584">
        <v>87.058565999282195</v>
      </c>
      <c r="AN3584">
        <v>1.00000006567768</v>
      </c>
    </row>
    <row r="3585" spans="1:40" x14ac:dyDescent="0.25">
      <c r="A3585" t="str">
        <f>"20190303162622636"</f>
        <v>20190303162622636</v>
      </c>
      <c r="B3585" t="str">
        <f>"1551601582627191"</f>
        <v>1551601582627191</v>
      </c>
      <c r="C3585" t="s">
        <v>40</v>
      </c>
      <c r="D3585">
        <v>4.7271679999999998</v>
      </c>
      <c r="E3585">
        <v>0.47692000000000001</v>
      </c>
      <c r="F3585" t="s">
        <v>41</v>
      </c>
      <c r="G3585">
        <v>-326.40769999999998</v>
      </c>
      <c r="H3585" s="1">
        <v>-2.1842319999999998E-6</v>
      </c>
      <c r="I3585">
        <v>142.09989999999999</v>
      </c>
      <c r="J3585">
        <v>-290.87939999999998</v>
      </c>
      <c r="K3585">
        <v>1.121823</v>
      </c>
      <c r="L3585">
        <v>142.27099999999999</v>
      </c>
      <c r="M3585">
        <v>-0.99989790000000001</v>
      </c>
      <c r="N3585">
        <v>-1.286356E-2</v>
      </c>
      <c r="O3585">
        <v>6.2477590000000003E-3</v>
      </c>
      <c r="P3585">
        <v>-0.97897679999999998</v>
      </c>
      <c r="Q3585">
        <v>0.19595199999999999</v>
      </c>
      <c r="R3585">
        <v>5.6635440000000002E-2</v>
      </c>
      <c r="S3585">
        <v>-3.0842589999999999</v>
      </c>
      <c r="T3585">
        <v>-9.6411590000000005E-2</v>
      </c>
      <c r="U3585">
        <v>-1.4556879999999999E-2</v>
      </c>
      <c r="V3585">
        <v>5.0150710000000001E-2</v>
      </c>
      <c r="W3585">
        <v>0.20862159999999999</v>
      </c>
      <c r="X3585">
        <v>0.97670970000000001</v>
      </c>
      <c r="Y3585">
        <v>-1.0959180000000001E-2</v>
      </c>
      <c r="Z3585">
        <v>-3.5665099999999998E-4</v>
      </c>
      <c r="AA3585">
        <v>0.99993989999999999</v>
      </c>
      <c r="AB3585">
        <v>34</v>
      </c>
      <c r="AC3585">
        <v>-35.528300000000002</v>
      </c>
      <c r="AD3585">
        <v>-1.121825184232</v>
      </c>
      <c r="AE3585">
        <v>-0.17110000000002401</v>
      </c>
      <c r="AF3585">
        <v>-0.39269573399051599</v>
      </c>
      <c r="AG3585">
        <v>-1.121825184232</v>
      </c>
      <c r="AH3585">
        <v>35.491153007357603</v>
      </c>
      <c r="AI3585">
        <v>91.810325095455099</v>
      </c>
      <c r="AJ3585">
        <v>90.633929533629001</v>
      </c>
      <c r="AK3585">
        <v>35.511049596923201</v>
      </c>
      <c r="AL3585">
        <v>77.958412701126306</v>
      </c>
      <c r="AM3585">
        <v>87.060638615884599</v>
      </c>
      <c r="AN3585">
        <v>0.99999995188707602</v>
      </c>
    </row>
    <row r="3586" spans="1:40" x14ac:dyDescent="0.25">
      <c r="A3586" t="str">
        <f>"20190303162622657"</f>
        <v>20190303162622657</v>
      </c>
      <c r="B3586" t="str">
        <f>"1551601582646710"</f>
        <v>1551601582646710</v>
      </c>
      <c r="C3586" t="s">
        <v>40</v>
      </c>
      <c r="D3586">
        <v>4.8014109999999999</v>
      </c>
      <c r="E3586">
        <v>0.4771764</v>
      </c>
      <c r="F3586" t="s">
        <v>41</v>
      </c>
      <c r="G3586">
        <v>-326.6782</v>
      </c>
      <c r="H3586" s="1">
        <v>-2.060417E-6</v>
      </c>
      <c r="I3586">
        <v>142.07079999999999</v>
      </c>
      <c r="J3586">
        <v>-291.18380000000002</v>
      </c>
      <c r="K3586">
        <v>1.121828</v>
      </c>
      <c r="L3586">
        <v>142.27209999999999</v>
      </c>
      <c r="M3586">
        <v>-0.99990219999999996</v>
      </c>
      <c r="N3586">
        <v>-1.286233E-2</v>
      </c>
      <c r="O3586">
        <v>5.5066949999999998E-3</v>
      </c>
      <c r="P3586">
        <v>-0.97902599999999995</v>
      </c>
      <c r="Q3586">
        <v>0.19606390000000001</v>
      </c>
      <c r="R3586">
        <v>5.5385240000000002E-2</v>
      </c>
      <c r="S3586">
        <v>-3.084778</v>
      </c>
      <c r="T3586">
        <v>-9.6667649999999994E-2</v>
      </c>
      <c r="U3586">
        <v>-1.724243E-2</v>
      </c>
      <c r="V3586">
        <v>4.9624889999999998E-2</v>
      </c>
      <c r="W3586">
        <v>0.20873169999999999</v>
      </c>
      <c r="X3586">
        <v>0.9767131</v>
      </c>
      <c r="Y3586">
        <v>-1.1087799999999899E-2</v>
      </c>
      <c r="Z3586">
        <v>-3.4671929999999999E-4</v>
      </c>
      <c r="AA3586">
        <v>0.99993849999999995</v>
      </c>
      <c r="AB3586">
        <v>34</v>
      </c>
      <c r="AC3586">
        <v>-35.494399999999899</v>
      </c>
      <c r="AD3586">
        <v>-1.121830060417</v>
      </c>
      <c r="AE3586">
        <v>-0.201300000000003</v>
      </c>
      <c r="AF3586">
        <v>-0.39637399905303</v>
      </c>
      <c r="AG3586">
        <v>-1.121830060417</v>
      </c>
      <c r="AH3586">
        <v>35.457334948627597</v>
      </c>
      <c r="AI3586">
        <v>91.8120561439829</v>
      </c>
      <c r="AJ3586">
        <v>90.640477106607307</v>
      </c>
      <c r="AK3586">
        <v>35.477291563629102</v>
      </c>
      <c r="AL3586">
        <v>77.951963214835104</v>
      </c>
      <c r="AM3586">
        <v>87.091414130581001</v>
      </c>
      <c r="AN3586">
        <v>1.0000000160019999</v>
      </c>
    </row>
    <row r="3587" spans="1:40" x14ac:dyDescent="0.25">
      <c r="A3587" t="str">
        <f>"20190303162622679"</f>
        <v>20190303162622679</v>
      </c>
      <c r="B3587" t="str">
        <f>"1551601582676966"</f>
        <v>1551601582676966</v>
      </c>
      <c r="C3587" t="s">
        <v>40</v>
      </c>
      <c r="D3587">
        <v>4.8252839999999999</v>
      </c>
      <c r="E3587">
        <v>0.47765350000000001</v>
      </c>
      <c r="F3587" t="s">
        <v>41</v>
      </c>
      <c r="G3587">
        <v>-326.56349999999998</v>
      </c>
      <c r="H3587" s="1">
        <v>-2.1060440000000002E-6</v>
      </c>
      <c r="I3587">
        <v>142.0573</v>
      </c>
      <c r="J3587">
        <v>-291.52300000000002</v>
      </c>
      <c r="K3587">
        <v>1.1218330000000001</v>
      </c>
      <c r="L3587">
        <v>142.2731</v>
      </c>
      <c r="M3587">
        <v>-0.99990639999999997</v>
      </c>
      <c r="N3587">
        <v>-1.286117E-2</v>
      </c>
      <c r="O3587">
        <v>4.6720570000000003E-3</v>
      </c>
      <c r="P3587">
        <v>-0.97919369999999994</v>
      </c>
      <c r="Q3587">
        <v>0.19570570000000001</v>
      </c>
      <c r="R3587">
        <v>5.3658600000000001E-2</v>
      </c>
      <c r="S3587">
        <v>-3.0849609999999998</v>
      </c>
      <c r="T3587">
        <v>-9.7819089999999997E-2</v>
      </c>
      <c r="U3587">
        <v>-1.8722530000000001E-2</v>
      </c>
      <c r="V3587">
        <v>4.8712720000000001E-2</v>
      </c>
      <c r="W3587">
        <v>0.20837349999999999</v>
      </c>
      <c r="X3587">
        <v>0.97683549999999997</v>
      </c>
      <c r="Y3587">
        <v>-1.0732739999999999E-2</v>
      </c>
      <c r="Z3587">
        <v>-3.27184E-4</v>
      </c>
      <c r="AA3587">
        <v>0.99994240000000001</v>
      </c>
      <c r="AB3587">
        <v>34</v>
      </c>
      <c r="AC3587">
        <v>-35.040500000000002</v>
      </c>
      <c r="AD3587">
        <v>-1.1218351060439999</v>
      </c>
      <c r="AE3587">
        <v>-0.21580000000000099</v>
      </c>
      <c r="AF3587">
        <v>-0.37913380354820903</v>
      </c>
      <c r="AG3587">
        <v>-1.1218351060439999</v>
      </c>
      <c r="AH3587">
        <v>35.003232763330097</v>
      </c>
      <c r="AI3587">
        <v>91.835563505677499</v>
      </c>
      <c r="AJ3587">
        <v>90.620568892086894</v>
      </c>
      <c r="AK3587">
        <v>35.023257420320199</v>
      </c>
      <c r="AL3587">
        <v>77.972948034544103</v>
      </c>
      <c r="AM3587">
        <v>87.145145600733201</v>
      </c>
      <c r="AN3587">
        <v>1.00000001932614</v>
      </c>
    </row>
    <row r="3588" spans="1:40" x14ac:dyDescent="0.25">
      <c r="A3588" t="str">
        <f>"20190303162622703"</f>
        <v>20190303162622703</v>
      </c>
      <c r="B3588" t="str">
        <f>"1551601582697462"</f>
        <v>1551601582697462</v>
      </c>
      <c r="C3588" t="s">
        <v>40</v>
      </c>
      <c r="D3588">
        <v>4.8174900000000003</v>
      </c>
      <c r="E3588">
        <v>0.47788589999999997</v>
      </c>
      <c r="F3588" t="s">
        <v>41</v>
      </c>
      <c r="G3588">
        <v>-325.52910000000003</v>
      </c>
      <c r="H3588" s="1">
        <v>-2.54826E-6</v>
      </c>
      <c r="I3588">
        <v>142.0515</v>
      </c>
      <c r="J3588">
        <v>-291.86669999999998</v>
      </c>
      <c r="K3588">
        <v>1.1218440000000001</v>
      </c>
      <c r="L3588">
        <v>142.27379999999999</v>
      </c>
      <c r="M3588">
        <v>-0.99991010000000002</v>
      </c>
      <c r="N3588">
        <v>-1.2860089999999999E-2</v>
      </c>
      <c r="O3588">
        <v>3.8131549999999999E-3</v>
      </c>
      <c r="P3588">
        <v>-0.97922969999999998</v>
      </c>
      <c r="Q3588">
        <v>0.19590940000000001</v>
      </c>
      <c r="R3588">
        <v>5.2240170000000002E-2</v>
      </c>
      <c r="S3588">
        <v>-3.085175</v>
      </c>
      <c r="T3588">
        <v>-0.1017779</v>
      </c>
      <c r="U3588">
        <v>-2.0095829999999999E-2</v>
      </c>
      <c r="V3588">
        <v>4.813046E-2</v>
      </c>
      <c r="W3588">
        <v>0.20857539999999999</v>
      </c>
      <c r="X3588">
        <v>0.97682119999999995</v>
      </c>
      <c r="Y3588">
        <v>-1.0318310000000001E-2</v>
      </c>
      <c r="Z3588">
        <v>-3.1325199999999997E-4</v>
      </c>
      <c r="AA3588">
        <v>0.99994669999999997</v>
      </c>
      <c r="AB3588">
        <v>34</v>
      </c>
      <c r="AC3588">
        <v>-33.662399999999998</v>
      </c>
      <c r="AD3588">
        <v>-1.12184654826</v>
      </c>
      <c r="AE3588">
        <v>-0.22229999999998901</v>
      </c>
      <c r="AF3588">
        <v>-0.35027991861709601</v>
      </c>
      <c r="AG3588">
        <v>-1.12184654826</v>
      </c>
      <c r="AH3588">
        <v>33.6239647078716</v>
      </c>
      <c r="AI3588">
        <v>91.910832181878007</v>
      </c>
      <c r="AJ3588">
        <v>90.596861053877902</v>
      </c>
      <c r="AK3588">
        <v>33.644497891563603</v>
      </c>
      <c r="AL3588">
        <v>77.961119256981604</v>
      </c>
      <c r="AM3588">
        <v>87.1791728183195</v>
      </c>
      <c r="AN3588">
        <v>0.99999994771720402</v>
      </c>
    </row>
    <row r="3589" spans="1:40" x14ac:dyDescent="0.25">
      <c r="A3589" t="str">
        <f>"20190303162622725"</f>
        <v>20190303162622725</v>
      </c>
      <c r="B3589" t="str">
        <f>"1551601582716894"</f>
        <v>1551601582716894</v>
      </c>
      <c r="C3589" t="s">
        <v>40</v>
      </c>
      <c r="D3589">
        <v>4.8216659999999996</v>
      </c>
      <c r="E3589">
        <v>0.47815180000000002</v>
      </c>
      <c r="F3589" t="s">
        <v>41</v>
      </c>
      <c r="G3589">
        <v>-325.7002</v>
      </c>
      <c r="H3589" s="1">
        <v>-2.4669929999999999E-6</v>
      </c>
      <c r="I3589">
        <v>142.02199999999999</v>
      </c>
      <c r="J3589">
        <v>-292.20800000000003</v>
      </c>
      <c r="K3589">
        <v>1.121858</v>
      </c>
      <c r="L3589">
        <v>142.27420000000001</v>
      </c>
      <c r="M3589">
        <v>-0.99991300000000005</v>
      </c>
      <c r="N3589">
        <v>-1.285904E-2</v>
      </c>
      <c r="O3589">
        <v>2.9481450000000001E-3</v>
      </c>
      <c r="P3589">
        <v>-0.97924389999999994</v>
      </c>
      <c r="Q3589">
        <v>0.19626569999999999</v>
      </c>
      <c r="R3589">
        <v>5.0607409999999999E-2</v>
      </c>
      <c r="S3589">
        <v>-3.0853269999999999</v>
      </c>
      <c r="T3589">
        <v>-0.1023028</v>
      </c>
      <c r="U3589">
        <v>-2.2949219999999999E-2</v>
      </c>
      <c r="V3589">
        <v>4.7338959999999999E-2</v>
      </c>
      <c r="W3589">
        <v>0.20893030000000001</v>
      </c>
      <c r="X3589">
        <v>0.97678410000000004</v>
      </c>
      <c r="Y3589">
        <v>-1.037773E-2</v>
      </c>
      <c r="Z3589">
        <v>-2.98576E-4</v>
      </c>
      <c r="AA3589">
        <v>0.99994609999999995</v>
      </c>
      <c r="AB3589">
        <v>34</v>
      </c>
      <c r="AC3589">
        <v>-33.492199999999997</v>
      </c>
      <c r="AD3589">
        <v>-1.1218604669929999</v>
      </c>
      <c r="AE3589">
        <v>-0.25219999999998699</v>
      </c>
      <c r="AF3589">
        <v>-0.35055363109368598</v>
      </c>
      <c r="AG3589">
        <v>-1.1218604669929999</v>
      </c>
      <c r="AH3589">
        <v>33.453778049331</v>
      </c>
      <c r="AI3589">
        <v>91.920568323945801</v>
      </c>
      <c r="AJ3589">
        <v>90.600365926563896</v>
      </c>
      <c r="AK3589">
        <v>33.474418957310903</v>
      </c>
      <c r="AL3589">
        <v>77.940327690675801</v>
      </c>
      <c r="AM3589">
        <v>87.225382699608502</v>
      </c>
      <c r="AN3589">
        <v>1.00000001270239</v>
      </c>
    </row>
    <row r="3590" spans="1:40" x14ac:dyDescent="0.25">
      <c r="A3590" t="str">
        <f>"20190303162622747"</f>
        <v>20190303162622747</v>
      </c>
      <c r="B3590" t="str">
        <f>"1551601582737391"</f>
        <v>1551601582737391</v>
      </c>
      <c r="C3590" t="s">
        <v>40</v>
      </c>
      <c r="D3590">
        <v>4.8817649999999997</v>
      </c>
      <c r="E3590">
        <v>0.49034539999999999</v>
      </c>
      <c r="F3590" t="s">
        <v>41</v>
      </c>
      <c r="G3590">
        <v>-326.01850000000002</v>
      </c>
      <c r="H3590" s="1">
        <v>-2.3209609999999999E-6</v>
      </c>
      <c r="I3590">
        <v>141.9863</v>
      </c>
      <c r="J3590">
        <v>-292.53919999999999</v>
      </c>
      <c r="K3590">
        <v>1.121874</v>
      </c>
      <c r="L3590">
        <v>142.27420000000001</v>
      </c>
      <c r="M3590">
        <v>-0.9999152</v>
      </c>
      <c r="N3590">
        <v>-1.285801E-2</v>
      </c>
      <c r="O3590">
        <v>2.0919910000000001E-3</v>
      </c>
      <c r="P3590">
        <v>-0.97911360000000003</v>
      </c>
      <c r="Q3590">
        <v>0.1971369</v>
      </c>
      <c r="R3590">
        <v>4.9737919999999998E-2</v>
      </c>
      <c r="S3590">
        <v>-3.08548</v>
      </c>
      <c r="T3590">
        <v>-0.102379</v>
      </c>
      <c r="U3590">
        <v>-2.626038E-2</v>
      </c>
      <c r="V3590">
        <v>4.7300740000000001E-2</v>
      </c>
      <c r="W3590">
        <v>0.2097994</v>
      </c>
      <c r="X3590">
        <v>0.97659960000000001</v>
      </c>
      <c r="Y3590">
        <v>-1.059419E-2</v>
      </c>
      <c r="Z3590">
        <v>-2.8635009999999997E-4</v>
      </c>
      <c r="AA3590">
        <v>0.9999439</v>
      </c>
      <c r="AB3590">
        <v>34</v>
      </c>
      <c r="AC3590">
        <v>-33.479300000000002</v>
      </c>
      <c r="AD3590">
        <v>-1.1218763209610001</v>
      </c>
      <c r="AE3590">
        <v>-0.28790000000000698</v>
      </c>
      <c r="AF3590">
        <v>-0.35754209988505198</v>
      </c>
      <c r="AG3590">
        <v>-1.1218763209610001</v>
      </c>
      <c r="AH3590">
        <v>33.441076519248803</v>
      </c>
      <c r="AI3590">
        <v>91.921320047972998</v>
      </c>
      <c r="AJ3590">
        <v>90.612566188602798</v>
      </c>
      <c r="AK3590">
        <v>33.461799736400501</v>
      </c>
      <c r="AL3590">
        <v>77.889402715802703</v>
      </c>
      <c r="AM3590">
        <v>87.227096399670401</v>
      </c>
      <c r="AN3590">
        <v>0.99999996348253295</v>
      </c>
    </row>
    <row r="3591" spans="1:40" x14ac:dyDescent="0.25">
      <c r="A3591" t="str">
        <f>"20190303162622768"</f>
        <v>20190303162622768</v>
      </c>
      <c r="B3591" t="str">
        <f>"1551601582756911"</f>
        <v>1551601582756911</v>
      </c>
      <c r="C3591" t="s">
        <v>40</v>
      </c>
      <c r="D3591">
        <v>4.8293499999999998</v>
      </c>
      <c r="E3591">
        <v>0.48935499999999998</v>
      </c>
      <c r="F3591" t="s">
        <v>47</v>
      </c>
      <c r="G3591">
        <v>-316.39389999999997</v>
      </c>
      <c r="H3591" s="1">
        <v>-7.8062529999999999E-6</v>
      </c>
      <c r="I3591">
        <v>142.79409999999999</v>
      </c>
      <c r="J3591">
        <v>-292.8603</v>
      </c>
      <c r="K3591">
        <v>1.1218900000000001</v>
      </c>
      <c r="L3591">
        <v>142.274</v>
      </c>
      <c r="M3591">
        <v>-0.99991660000000004</v>
      </c>
      <c r="N3591">
        <v>-1.285705E-2</v>
      </c>
      <c r="O3591">
        <v>1.2434989999999999E-3</v>
      </c>
      <c r="P3591">
        <v>-0.97898430000000003</v>
      </c>
      <c r="Q3591">
        <v>0.19812489999999999</v>
      </c>
      <c r="R3591">
        <v>4.8335419999999997E-2</v>
      </c>
      <c r="S3591">
        <v>-3.0898439999999998</v>
      </c>
      <c r="T3591">
        <v>-0.1453149</v>
      </c>
      <c r="U3591">
        <v>6.7337040000000001E-2</v>
      </c>
      <c r="V3591">
        <v>4.6720459999999998E-2</v>
      </c>
      <c r="W3591">
        <v>0.21078450000000001</v>
      </c>
      <c r="X3591">
        <v>0.97641549999999999</v>
      </c>
      <c r="Y3591">
        <v>2.0516380000000001E-2</v>
      </c>
      <c r="Z3591">
        <v>5.7165949999999895E-4</v>
      </c>
      <c r="AA3591">
        <v>0.99978940000000005</v>
      </c>
      <c r="AB3591">
        <v>34</v>
      </c>
      <c r="AC3591">
        <v>-23.5335999999999</v>
      </c>
      <c r="AD3591">
        <v>-1.1218978062530001</v>
      </c>
      <c r="AE3591">
        <v>0.52009999999998502</v>
      </c>
      <c r="AF3591">
        <v>0.489720757917886</v>
      </c>
      <c r="AG3591">
        <v>-1.1218978062530001</v>
      </c>
      <c r="AH3591">
        <v>23.480891134534399</v>
      </c>
      <c r="AI3591">
        <v>92.7348714387862</v>
      </c>
      <c r="AJ3591">
        <v>88.805204405385098</v>
      </c>
      <c r="AK3591">
        <v>23.5127780064429</v>
      </c>
      <c r="AL3591">
        <v>77.831670936146097</v>
      </c>
      <c r="AM3591">
        <v>87.260546307145006</v>
      </c>
      <c r="AN3591">
        <v>1.0000000677315499</v>
      </c>
    </row>
    <row r="3592" spans="1:40" x14ac:dyDescent="0.25">
      <c r="A3592" t="str">
        <f>"20190303162622791"</f>
        <v>20190303162622791</v>
      </c>
      <c r="B3592" t="str">
        <f>"1551601582777407"</f>
        <v>1551601582777407</v>
      </c>
      <c r="C3592" t="s">
        <v>40</v>
      </c>
      <c r="D3592">
        <v>4.856484</v>
      </c>
      <c r="E3592">
        <v>0.4891046</v>
      </c>
      <c r="F3592" t="s">
        <v>47</v>
      </c>
      <c r="G3592">
        <v>-319.1703</v>
      </c>
      <c r="H3592" s="1">
        <v>-6.5618459999999996E-6</v>
      </c>
      <c r="I3592">
        <v>142.744</v>
      </c>
      <c r="J3592">
        <v>-293.18920000000003</v>
      </c>
      <c r="K3592">
        <v>1.1219140000000001</v>
      </c>
      <c r="L3592">
        <v>142.27350000000001</v>
      </c>
      <c r="M3592">
        <v>-0.99991730000000001</v>
      </c>
      <c r="N3592">
        <v>-1.285611E-2</v>
      </c>
      <c r="O3592">
        <v>3.5469240000000001E-4</v>
      </c>
      <c r="P3592">
        <v>-0.97888269999999999</v>
      </c>
      <c r="Q3592">
        <v>0.1988258</v>
      </c>
      <c r="R3592">
        <v>4.7507130000000002E-2</v>
      </c>
      <c r="S3592">
        <v>-3.0883479999999999</v>
      </c>
      <c r="T3592">
        <v>-0.13169159999999999</v>
      </c>
      <c r="U3592">
        <v>5.5175780000000001E-2</v>
      </c>
      <c r="V3592">
        <v>4.675348E-2</v>
      </c>
      <c r="W3592">
        <v>0.21148459999999999</v>
      </c>
      <c r="X3592">
        <v>0.97626250000000003</v>
      </c>
      <c r="Y3592">
        <v>1.748775E-2</v>
      </c>
      <c r="Z3592">
        <v>4.7458640000000001E-4</v>
      </c>
      <c r="AA3592">
        <v>0.99984689999999998</v>
      </c>
      <c r="AB3592">
        <v>34</v>
      </c>
      <c r="AC3592">
        <v>-25.981099999999898</v>
      </c>
      <c r="AD3592">
        <v>-1.12192056184599</v>
      </c>
      <c r="AE3592">
        <v>0.47049999999998698</v>
      </c>
      <c r="AF3592">
        <v>0.460425635536716</v>
      </c>
      <c r="AG3592">
        <v>-1.12192056184599</v>
      </c>
      <c r="AH3592">
        <v>25.9329239725433</v>
      </c>
      <c r="AI3592">
        <v>92.476818439133496</v>
      </c>
      <c r="AJ3592">
        <v>88.982849972791399</v>
      </c>
      <c r="AK3592">
        <v>25.961264285058601</v>
      </c>
      <c r="AL3592">
        <v>77.790632781690107</v>
      </c>
      <c r="AM3592">
        <v>87.258184157257404</v>
      </c>
      <c r="AN3592">
        <v>1.0000000464177501</v>
      </c>
    </row>
    <row r="3593" spans="1:40" x14ac:dyDescent="0.25">
      <c r="A3593" t="str">
        <f>"20190303162622813"</f>
        <v>20190303162622813</v>
      </c>
      <c r="B3593" t="str">
        <f>"1551601582807296"</f>
        <v>1551601582807296</v>
      </c>
      <c r="C3593" t="s">
        <v>40</v>
      </c>
      <c r="D3593">
        <v>4.9048020000000001</v>
      </c>
      <c r="E3593">
        <v>0.4893692</v>
      </c>
      <c r="F3593" t="s">
        <v>41</v>
      </c>
      <c r="G3593">
        <v>-320.7097</v>
      </c>
      <c r="H3593" s="1">
        <v>-4.5853750000000001E-6</v>
      </c>
      <c r="I3593">
        <v>142.72190000000001</v>
      </c>
      <c r="J3593">
        <v>-293.52760000000001</v>
      </c>
      <c r="K3593">
        <v>1.121929</v>
      </c>
      <c r="L3593">
        <v>142.27260000000001</v>
      </c>
      <c r="M3593">
        <v>-0.99991730000000001</v>
      </c>
      <c r="N3593">
        <v>-1.2855170000000001E-2</v>
      </c>
      <c r="O3593">
        <v>-5.7577089999999995E-4</v>
      </c>
      <c r="P3593">
        <v>-0.97870699999999999</v>
      </c>
      <c r="Q3593">
        <v>0.19986499999999999</v>
      </c>
      <c r="R3593">
        <v>4.6761669999999998E-2</v>
      </c>
      <c r="S3593">
        <v>-3.08786</v>
      </c>
      <c r="T3593">
        <v>-0.12588199999999999</v>
      </c>
      <c r="U3593">
        <v>5.0323489999999999E-2</v>
      </c>
      <c r="V3593">
        <v>4.6909439999999997E-2</v>
      </c>
      <c r="W3593">
        <v>0.21252180000000001</v>
      </c>
      <c r="X3593">
        <v>0.9760297</v>
      </c>
      <c r="Y3593">
        <v>1.685215E-2</v>
      </c>
      <c r="Z3593">
        <v>4.677894E-4</v>
      </c>
      <c r="AA3593">
        <v>0.99985789999999997</v>
      </c>
      <c r="AB3593">
        <v>34</v>
      </c>
      <c r="AC3593">
        <v>-27.182099999999899</v>
      </c>
      <c r="AD3593">
        <v>-1.1219335853749901</v>
      </c>
      <c r="AE3593">
        <v>0.44929999999999298</v>
      </c>
      <c r="AF3593">
        <v>0.46416134903592698</v>
      </c>
      <c r="AG3593">
        <v>-1.1219335853749901</v>
      </c>
      <c r="AH3593">
        <v>27.135621091539299</v>
      </c>
      <c r="AI3593">
        <v>92.367223575852606</v>
      </c>
      <c r="AJ3593">
        <v>89.020037428864896</v>
      </c>
      <c r="AK3593">
        <v>27.162770711978599</v>
      </c>
      <c r="AL3593">
        <v>77.729822674028</v>
      </c>
      <c r="AM3593">
        <v>87.248396909011106</v>
      </c>
      <c r="AN3593">
        <v>0.99999999315922095</v>
      </c>
    </row>
    <row r="3594" spans="1:40" x14ac:dyDescent="0.25">
      <c r="A3594" t="str">
        <f>"20190303162622836"</f>
        <v>20190303162622836</v>
      </c>
      <c r="B3594" t="str">
        <f>"1551601582826817"</f>
        <v>1551601582826817</v>
      </c>
      <c r="C3594" t="s">
        <v>40</v>
      </c>
      <c r="D3594">
        <v>6.1198680000000003</v>
      </c>
      <c r="E3594">
        <v>0.48930839999999998</v>
      </c>
      <c r="F3594" t="s">
        <v>41</v>
      </c>
      <c r="G3594">
        <v>-321.48970000000003</v>
      </c>
      <c r="H3594" s="1">
        <v>-4.3218309999999997E-6</v>
      </c>
      <c r="I3594">
        <v>142.73259999999999</v>
      </c>
      <c r="J3594">
        <v>-293.88319999999999</v>
      </c>
      <c r="K3594">
        <v>1.1219410000000001</v>
      </c>
      <c r="L3594">
        <v>142.2714</v>
      </c>
      <c r="M3594">
        <v>-0.99991629999999998</v>
      </c>
      <c r="N3594">
        <v>-1.285413E-2</v>
      </c>
      <c r="O3594">
        <v>-1.5676450000000001E-3</v>
      </c>
      <c r="P3594">
        <v>-0.97872440000000005</v>
      </c>
      <c r="Q3594">
        <v>0.2000962</v>
      </c>
      <c r="R3594">
        <v>4.5392839999999997E-2</v>
      </c>
      <c r="S3594">
        <v>-3.0881349999999999</v>
      </c>
      <c r="T3594">
        <v>-0.1239064</v>
      </c>
      <c r="U3594">
        <v>5.0811769999999999E-2</v>
      </c>
      <c r="V3594">
        <v>4.6504719999999999E-2</v>
      </c>
      <c r="W3594">
        <v>0.21275250000000001</v>
      </c>
      <c r="X3594">
        <v>0.97599880000000006</v>
      </c>
      <c r="Y3594">
        <v>1.7999480000000002E-2</v>
      </c>
      <c r="Z3594">
        <v>5.1941349999999999E-4</v>
      </c>
      <c r="AA3594">
        <v>0.99983789999999995</v>
      </c>
      <c r="AB3594">
        <v>34</v>
      </c>
      <c r="AC3594">
        <v>-27.6065</v>
      </c>
      <c r="AD3594">
        <v>-1.121945321831</v>
      </c>
      <c r="AE3594">
        <v>0.46119999999999101</v>
      </c>
      <c r="AF3594">
        <v>0.50364857015240405</v>
      </c>
      <c r="AG3594">
        <v>-1.121945321831</v>
      </c>
      <c r="AH3594">
        <v>27.560235574014101</v>
      </c>
      <c r="AI3594">
        <v>92.330769035687496</v>
      </c>
      <c r="AJ3594">
        <v>88.953066795203995</v>
      </c>
      <c r="AK3594">
        <v>27.587660431478199</v>
      </c>
      <c r="AL3594">
        <v>77.716295096362501</v>
      </c>
      <c r="AM3594">
        <v>87.272014631668</v>
      </c>
      <c r="AN3594">
        <v>0.999999986419984</v>
      </c>
    </row>
    <row r="3595" spans="1:40" x14ac:dyDescent="0.25">
      <c r="A3595" t="str">
        <f>"20190303162622859"</f>
        <v>20190303162622859</v>
      </c>
      <c r="B3595" t="str">
        <f>"1551601582847313"</f>
        <v>1551601582847313</v>
      </c>
      <c r="C3595" t="s">
        <v>40</v>
      </c>
      <c r="D3595">
        <v>4.9729809999999999</v>
      </c>
      <c r="E3595">
        <v>0.48530830000000003</v>
      </c>
      <c r="F3595" t="s">
        <v>41</v>
      </c>
      <c r="G3595">
        <v>-321.2903</v>
      </c>
      <c r="H3595" s="1">
        <v>-4.3829019999999996E-6</v>
      </c>
      <c r="I3595">
        <v>142.6944</v>
      </c>
      <c r="J3595">
        <v>-294.20209999999997</v>
      </c>
      <c r="K3595">
        <v>1.1219410000000001</v>
      </c>
      <c r="L3595">
        <v>142.27000000000001</v>
      </c>
      <c r="M3595">
        <v>-0.99991450000000004</v>
      </c>
      <c r="N3595">
        <v>-1.2853140000000001E-2</v>
      </c>
      <c r="O3595">
        <v>-2.46634E-3</v>
      </c>
      <c r="P3595">
        <v>-0.97892840000000003</v>
      </c>
      <c r="Q3595">
        <v>0.1994089</v>
      </c>
      <c r="R3595">
        <v>4.3993909999999997E-2</v>
      </c>
      <c r="S3595">
        <v>-3.0888979999999999</v>
      </c>
      <c r="T3595">
        <v>-0.12644820000000001</v>
      </c>
      <c r="U3595">
        <v>4.7683719999999999E-2</v>
      </c>
      <c r="V3595">
        <v>4.5983240000000002E-2</v>
      </c>
      <c r="W3595">
        <v>0.2120657</v>
      </c>
      <c r="X3595">
        <v>0.97617299999999996</v>
      </c>
      <c r="Y3595">
        <v>1.7880839999999999E-2</v>
      </c>
      <c r="Z3595">
        <v>5.5002499999999999E-4</v>
      </c>
      <c r="AA3595">
        <v>0.99983999999999995</v>
      </c>
      <c r="AB3595">
        <v>34</v>
      </c>
      <c r="AC3595">
        <v>-27.088200000000001</v>
      </c>
      <c r="AD3595">
        <v>-1.1219453829019901</v>
      </c>
      <c r="AE3595">
        <v>0.42439999999999101</v>
      </c>
      <c r="AF3595">
        <v>0.490371917692839</v>
      </c>
      <c r="AG3595">
        <v>-1.1219453829019901</v>
      </c>
      <c r="AH3595">
        <v>27.0406946810246</v>
      </c>
      <c r="AI3595">
        <v>92.375506143817105</v>
      </c>
      <c r="AJ3595">
        <v>88.961078394137104</v>
      </c>
      <c r="AK3595">
        <v>27.068402148857398</v>
      </c>
      <c r="AL3595">
        <v>77.7565652106301</v>
      </c>
      <c r="AM3595">
        <v>87.303040071924499</v>
      </c>
      <c r="AN3595">
        <v>1.00000002270319</v>
      </c>
    </row>
    <row r="3596" spans="1:40" x14ac:dyDescent="0.25">
      <c r="A3596" t="str">
        <f>"20190303162622880"</f>
        <v>20190303162622880</v>
      </c>
      <c r="B3596" t="str">
        <f>"1551601582866833"</f>
        <v>1551601582866833</v>
      </c>
      <c r="C3596" t="s">
        <v>40</v>
      </c>
      <c r="D3596">
        <v>5.0191109999999997</v>
      </c>
      <c r="E3596">
        <v>0.48234500000000002</v>
      </c>
      <c r="F3596" t="s">
        <v>41</v>
      </c>
      <c r="G3596">
        <v>-319.96780000000001</v>
      </c>
      <c r="H3596" s="1">
        <v>-4.7753470000000001E-6</v>
      </c>
      <c r="I3596">
        <v>142.36949999999999</v>
      </c>
      <c r="J3596">
        <v>-294.5249</v>
      </c>
      <c r="K3596">
        <v>1.1219429999999999</v>
      </c>
      <c r="L3596">
        <v>142.26820000000001</v>
      </c>
      <c r="M3596">
        <v>-0.99991169999999996</v>
      </c>
      <c r="N3596">
        <v>-1.28521E-2</v>
      </c>
      <c r="O3596">
        <v>-3.3807239999999999E-3</v>
      </c>
      <c r="P3596">
        <v>-0.97915810000000003</v>
      </c>
      <c r="Q3596">
        <v>0.1981714</v>
      </c>
      <c r="R3596">
        <v>4.446953E-2</v>
      </c>
      <c r="S3596">
        <v>-3.0914609999999998</v>
      </c>
      <c r="T3596">
        <v>-0.13461589999999901</v>
      </c>
      <c r="U3596">
        <v>1.1947630000000001E-2</v>
      </c>
      <c r="V3596">
        <v>4.7354420000000001E-2</v>
      </c>
      <c r="W3596">
        <v>0.2108334</v>
      </c>
      <c r="X3596">
        <v>0.97637430000000003</v>
      </c>
      <c r="Y3596">
        <v>7.2351749999999999E-3</v>
      </c>
      <c r="Z3596">
        <v>3.0767970000000001E-4</v>
      </c>
      <c r="AA3596">
        <v>0.99997380000000002</v>
      </c>
      <c r="AB3596">
        <v>34</v>
      </c>
      <c r="AC3596">
        <v>-25.442900000000002</v>
      </c>
      <c r="AD3596">
        <v>-1.121947775347</v>
      </c>
      <c r="AE3596">
        <v>0.10129999999998</v>
      </c>
      <c r="AF3596">
        <v>0.18695840951892201</v>
      </c>
      <c r="AG3596">
        <v>-1.121947775347</v>
      </c>
      <c r="AH3596">
        <v>25.393035639908401</v>
      </c>
      <c r="AI3596">
        <v>92.529801995370704</v>
      </c>
      <c r="AJ3596">
        <v>89.578162516215798</v>
      </c>
      <c r="AK3596">
        <v>25.418496794011201</v>
      </c>
      <c r="AL3596">
        <v>77.828803537894601</v>
      </c>
      <c r="AM3596">
        <v>87.223314870773294</v>
      </c>
      <c r="AN3596">
        <v>0.99999996867479202</v>
      </c>
    </row>
    <row r="3597" spans="1:40" x14ac:dyDescent="0.25">
      <c r="A3597" t="str">
        <f>"20190303162622916"</f>
        <v>20190303162622916</v>
      </c>
      <c r="B3597" t="str">
        <f>"1551601582907419"</f>
        <v>1551601582907419</v>
      </c>
      <c r="C3597" t="s">
        <v>40</v>
      </c>
      <c r="D3597">
        <v>4.9807059999999996</v>
      </c>
      <c r="E3597">
        <v>0.47940880000000002</v>
      </c>
      <c r="F3597" t="s">
        <v>47</v>
      </c>
      <c r="G3597">
        <v>-318.59460000000001</v>
      </c>
      <c r="H3597" s="1">
        <v>-6.6688210000000004E-6</v>
      </c>
      <c r="I3597">
        <v>142.18219999999999</v>
      </c>
      <c r="J3597">
        <v>-295.06119999999999</v>
      </c>
      <c r="K3597">
        <v>1.1219349999999999</v>
      </c>
      <c r="L3597">
        <v>142.2646</v>
      </c>
      <c r="M3597">
        <v>-0.9999055</v>
      </c>
      <c r="N3597">
        <v>-1.285028E-2</v>
      </c>
      <c r="O3597">
        <v>-4.9060179999999998E-3</v>
      </c>
      <c r="P3597">
        <v>-0.97954799999999997</v>
      </c>
      <c r="Q3597">
        <v>0.19631109999999999</v>
      </c>
      <c r="R3597">
        <v>4.4137339999999997E-2</v>
      </c>
      <c r="S3597">
        <v>-3.0935359999999998</v>
      </c>
      <c r="T3597">
        <v>-0.14419749999999901</v>
      </c>
      <c r="U3597">
        <v>-1.1047360000000001E-2</v>
      </c>
      <c r="V3597">
        <v>4.8518989999999998E-2</v>
      </c>
      <c r="W3597">
        <v>0.20897879999999999</v>
      </c>
      <c r="X3597">
        <v>0.97671580000000002</v>
      </c>
      <c r="Y3597">
        <v>1.3307080000000001E-3</v>
      </c>
      <c r="Z3597">
        <v>2.050873E-4</v>
      </c>
      <c r="AA3597">
        <v>0.99999910000000003</v>
      </c>
      <c r="AB3597">
        <v>34</v>
      </c>
      <c r="AC3597">
        <v>-23.5334</v>
      </c>
      <c r="AD3597">
        <v>-1.121941668821</v>
      </c>
      <c r="AE3597">
        <v>-8.2400000000006898E-2</v>
      </c>
      <c r="AF3597">
        <v>3.2990815224304797E-2</v>
      </c>
      <c r="AG3597">
        <v>-1.121941668821</v>
      </c>
      <c r="AH3597">
        <v>23.4801547598829</v>
      </c>
      <c r="AI3597">
        <v>92.735655026802505</v>
      </c>
      <c r="AJ3597">
        <v>89.919496559945998</v>
      </c>
      <c r="AK3597">
        <v>23.506967244844201</v>
      </c>
      <c r="AL3597">
        <v>77.937485872634596</v>
      </c>
      <c r="AM3597">
        <v>87.156132745867893</v>
      </c>
      <c r="AN3597">
        <v>0.99999999260484995</v>
      </c>
    </row>
    <row r="3598" spans="1:40" x14ac:dyDescent="0.25">
      <c r="A3598" t="str">
        <f>"20190303162622936"</f>
        <v>20190303162622936</v>
      </c>
      <c r="B3598" t="str">
        <f>"1551601582926939"</f>
        <v>1551601582926939</v>
      </c>
      <c r="C3598" t="s">
        <v>40</v>
      </c>
      <c r="D3598">
        <v>4.9860670000000002</v>
      </c>
      <c r="E3598">
        <v>0.47868050000000001</v>
      </c>
      <c r="F3598" t="s">
        <v>47</v>
      </c>
      <c r="G3598">
        <v>-316.23700000000002</v>
      </c>
      <c r="H3598" s="1">
        <v>-7.671103E-6</v>
      </c>
      <c r="I3598">
        <v>142.01849999999999</v>
      </c>
      <c r="J3598">
        <v>-295.37880000000001</v>
      </c>
      <c r="K3598">
        <v>1.1219440000000001</v>
      </c>
      <c r="L3598">
        <v>142.2621</v>
      </c>
      <c r="M3598">
        <v>-0.99990060000000003</v>
      </c>
      <c r="N3598">
        <v>-1.2849030000000001E-2</v>
      </c>
      <c r="O3598">
        <v>-5.8094929999999998E-3</v>
      </c>
      <c r="P3598">
        <v>-0.97970679999999999</v>
      </c>
      <c r="Q3598">
        <v>0.1959089</v>
      </c>
      <c r="R3598">
        <v>4.2363169999999999E-2</v>
      </c>
      <c r="S3598">
        <v>-3.097137</v>
      </c>
      <c r="T3598">
        <v>-0.1640935</v>
      </c>
      <c r="U3598">
        <v>-3.5995480000000003E-2</v>
      </c>
      <c r="V3598">
        <v>4.7630690000000003E-2</v>
      </c>
      <c r="W3598">
        <v>0.20857500000000001</v>
      </c>
      <c r="X3598">
        <v>0.97684590000000004</v>
      </c>
      <c r="Y3598">
        <v>-5.8061719999999897E-3</v>
      </c>
      <c r="Z3598" s="1">
        <v>4.192584E-5</v>
      </c>
      <c r="AA3598">
        <v>0.99998310000000001</v>
      </c>
      <c r="AB3598">
        <v>34</v>
      </c>
      <c r="AC3598">
        <v>-20.8582</v>
      </c>
      <c r="AD3598">
        <v>-1.121951671103</v>
      </c>
      <c r="AE3598">
        <v>-0.243600000000014</v>
      </c>
      <c r="AF3598">
        <v>-0.122057220027568</v>
      </c>
      <c r="AG3598">
        <v>-1.121951671103</v>
      </c>
      <c r="AH3598">
        <v>20.799093291037501</v>
      </c>
      <c r="AI3598">
        <v>93.087622612044498</v>
      </c>
      <c r="AJ3598">
        <v>90.336230199619294</v>
      </c>
      <c r="AK3598">
        <v>20.8296892738834</v>
      </c>
      <c r="AL3598">
        <v>77.961144096919099</v>
      </c>
      <c r="AM3598">
        <v>87.208487209154598</v>
      </c>
      <c r="AN3598">
        <v>1.0000000628008401</v>
      </c>
    </row>
    <row r="3599" spans="1:40" x14ac:dyDescent="0.25">
      <c r="A3599" t="str">
        <f>"20190303162622960"</f>
        <v>20190303162622960</v>
      </c>
      <c r="B3599" t="str">
        <f>"1551601582947435"</f>
        <v>1551601582947435</v>
      </c>
      <c r="C3599" t="s">
        <v>40</v>
      </c>
      <c r="D3599">
        <v>5.052009</v>
      </c>
      <c r="E3599">
        <v>0.47805609999999998</v>
      </c>
      <c r="F3599" t="s">
        <v>47</v>
      </c>
      <c r="G3599">
        <v>-315.774</v>
      </c>
      <c r="H3599" s="1">
        <v>-7.8612179999999994E-6</v>
      </c>
      <c r="I3599">
        <v>141.96100000000001</v>
      </c>
      <c r="J3599">
        <v>-295.70979999999997</v>
      </c>
      <c r="K3599">
        <v>1.1219490000000001</v>
      </c>
      <c r="L3599">
        <v>142.25919999999999</v>
      </c>
      <c r="M3599">
        <v>-0.99989470000000003</v>
      </c>
      <c r="N3599">
        <v>-1.2847870000000001E-2</v>
      </c>
      <c r="O3599">
        <v>-6.7500320000000004E-3</v>
      </c>
      <c r="P3599">
        <v>-0.97971830000000004</v>
      </c>
      <c r="Q3599">
        <v>0.1963791</v>
      </c>
      <c r="R3599">
        <v>3.9840590000000002E-2</v>
      </c>
      <c r="S3599">
        <v>-3.098236</v>
      </c>
      <c r="T3599">
        <v>-0.1704357</v>
      </c>
      <c r="U3599">
        <v>-4.5745849999999998E-2</v>
      </c>
      <c r="V3599">
        <v>4.6027690000000003E-2</v>
      </c>
      <c r="W3599">
        <v>0.2090408</v>
      </c>
      <c r="X3599">
        <v>0.97682310000000006</v>
      </c>
      <c r="Y3599">
        <v>-8.0043919999999904E-3</v>
      </c>
      <c r="Z3599" s="1">
        <v>1.28845699999999E-5</v>
      </c>
      <c r="AA3599">
        <v>0.99996799999999997</v>
      </c>
      <c r="AB3599">
        <v>34</v>
      </c>
      <c r="AC3599">
        <v>-20.0642</v>
      </c>
      <c r="AD3599">
        <v>-1.121956861218</v>
      </c>
      <c r="AE3599">
        <v>-0.29819999999997998</v>
      </c>
      <c r="AF3599">
        <v>-0.16224084427778801</v>
      </c>
      <c r="AG3599">
        <v>-1.121956861218</v>
      </c>
      <c r="AH3599">
        <v>20.003222363565602</v>
      </c>
      <c r="AI3599">
        <v>93.210182848998201</v>
      </c>
      <c r="AJ3599">
        <v>90.464700718929606</v>
      </c>
      <c r="AK3599">
        <v>20.035319169312899</v>
      </c>
      <c r="AL3599">
        <v>77.933853228970193</v>
      </c>
      <c r="AM3599">
        <v>87.3022308637848</v>
      </c>
      <c r="AN3599">
        <v>0.999999986502493</v>
      </c>
    </row>
    <row r="3600" spans="1:40" x14ac:dyDescent="0.25">
      <c r="A3600" t="str">
        <f>"20190303162622980"</f>
        <v>20190303162622980</v>
      </c>
      <c r="B3600" t="str">
        <f>"1551601582966956"</f>
        <v>1551601582966956</v>
      </c>
      <c r="C3600" t="s">
        <v>40</v>
      </c>
      <c r="D3600">
        <v>5.2418259999999997</v>
      </c>
      <c r="E3600">
        <v>0.47759639999999998</v>
      </c>
      <c r="F3600" t="s">
        <v>47</v>
      </c>
      <c r="G3600">
        <v>-315.4547</v>
      </c>
      <c r="H3600" s="1">
        <v>-7.9823240000000005E-6</v>
      </c>
      <c r="I3600">
        <v>141.88339999999999</v>
      </c>
      <c r="J3600">
        <v>-296.0299</v>
      </c>
      <c r="K3600">
        <v>1.1219460000000001</v>
      </c>
      <c r="L3600">
        <v>142.2561</v>
      </c>
      <c r="M3600">
        <v>-0.9998882</v>
      </c>
      <c r="N3600">
        <v>-1.284678E-2</v>
      </c>
      <c r="O3600">
        <v>-7.6587419999999996E-3</v>
      </c>
      <c r="P3600">
        <v>-0.97984119999999997</v>
      </c>
      <c r="Q3600">
        <v>0.19598750000000001</v>
      </c>
      <c r="R3600">
        <v>3.8734249999999998E-2</v>
      </c>
      <c r="S3600">
        <v>-3.0998230000000002</v>
      </c>
      <c r="T3600">
        <v>-0.17613970000000001</v>
      </c>
      <c r="U3600">
        <v>-5.9005740000000001E-2</v>
      </c>
      <c r="V3600">
        <v>4.5812640000000002E-2</v>
      </c>
      <c r="W3600">
        <v>0.2086491</v>
      </c>
      <c r="X3600">
        <v>0.97691700000000004</v>
      </c>
      <c r="Y3600">
        <v>-1.1358139999999999E-2</v>
      </c>
      <c r="Z3600" s="1">
        <v>-5.8987909999999999E-5</v>
      </c>
      <c r="AA3600">
        <v>0.99993549999999998</v>
      </c>
      <c r="AB3600">
        <v>33</v>
      </c>
      <c r="AC3600">
        <v>-19.424800000000001</v>
      </c>
      <c r="AD3600">
        <v>-1.1219539823239999</v>
      </c>
      <c r="AE3600">
        <v>-0.37270000000000802</v>
      </c>
      <c r="AF3600">
        <v>-0.22316304923768401</v>
      </c>
      <c r="AG3600">
        <v>-1.1219539823239999</v>
      </c>
      <c r="AH3600">
        <v>19.362513651404299</v>
      </c>
      <c r="AI3600">
        <v>93.316055623556494</v>
      </c>
      <c r="AJ3600">
        <v>90.660334446891696</v>
      </c>
      <c r="AK3600">
        <v>19.3962758638305</v>
      </c>
      <c r="AL3600">
        <v>77.9568026274479</v>
      </c>
      <c r="AM3600">
        <v>87.315074574748294</v>
      </c>
      <c r="AN3600">
        <v>1.0000000349017799</v>
      </c>
    </row>
    <row r="3601" spans="1:40" x14ac:dyDescent="0.25">
      <c r="A3601" t="str">
        <f>"20190303162623003"</f>
        <v>20190303162623003</v>
      </c>
      <c r="B3601" t="str">
        <f>"1551601582997211"</f>
        <v>1551601582997211</v>
      </c>
      <c r="C3601" t="s">
        <v>40</v>
      </c>
      <c r="D3601">
        <v>5.0609279999999996</v>
      </c>
      <c r="E3601">
        <v>0.47637380000000001</v>
      </c>
      <c r="F3601" t="s">
        <v>47</v>
      </c>
      <c r="G3601">
        <v>-315.68040000000002</v>
      </c>
      <c r="H3601" s="1">
        <v>-7.8689679999999995E-6</v>
      </c>
      <c r="I3601">
        <v>141.8331</v>
      </c>
      <c r="J3601">
        <v>-296.36259999999999</v>
      </c>
      <c r="K3601">
        <v>1.1219399999999999</v>
      </c>
      <c r="L3601">
        <v>142.2525</v>
      </c>
      <c r="M3601">
        <v>-0.99988049999999995</v>
      </c>
      <c r="N3601">
        <v>-1.2845779999999999E-2</v>
      </c>
      <c r="O3601">
        <v>-8.6020100000000002E-3</v>
      </c>
      <c r="P3601">
        <v>-0.98017759999999998</v>
      </c>
      <c r="Q3601">
        <v>0.1944274</v>
      </c>
      <c r="R3601">
        <v>3.8078519999999998E-2</v>
      </c>
      <c r="S3601">
        <v>-3.0997620000000001</v>
      </c>
      <c r="T3601">
        <v>-0.17698229999999901</v>
      </c>
      <c r="U3601">
        <v>-6.6726679999999997E-2</v>
      </c>
      <c r="V3601">
        <v>4.6086729999999999E-2</v>
      </c>
      <c r="W3601">
        <v>0.20709259999999999</v>
      </c>
      <c r="X3601">
        <v>0.97723519999999997</v>
      </c>
      <c r="Y3601">
        <v>-1.290255E-2</v>
      </c>
      <c r="Z3601" s="1">
        <v>-7.0725379999999997E-5</v>
      </c>
      <c r="AA3601">
        <v>0.99991669999999999</v>
      </c>
      <c r="AB3601">
        <v>33</v>
      </c>
      <c r="AC3601">
        <v>-19.317799999999998</v>
      </c>
      <c r="AD3601">
        <v>-1.121947868968</v>
      </c>
      <c r="AE3601">
        <v>-0.419399999999996</v>
      </c>
      <c r="AF3601">
        <v>-0.25234806574409002</v>
      </c>
      <c r="AG3601">
        <v>-1.121947868968</v>
      </c>
      <c r="AH3601">
        <v>19.2557719783449</v>
      </c>
      <c r="AI3601">
        <v>93.3343135180872</v>
      </c>
      <c r="AJ3601">
        <v>90.750821702946496</v>
      </c>
      <c r="AK3601">
        <v>19.290080379536601</v>
      </c>
      <c r="AL3601">
        <v>78.047974441999997</v>
      </c>
      <c r="AM3601">
        <v>87.299912960889202</v>
      </c>
      <c r="AN3601">
        <v>0.99999998388794598</v>
      </c>
    </row>
    <row r="3602" spans="1:40" x14ac:dyDescent="0.25">
      <c r="A3602" t="str">
        <f>"20190303162623025"</f>
        <v>20190303162623025</v>
      </c>
      <c r="B3602" t="str">
        <f>"1551601583017707"</f>
        <v>1551601583017707</v>
      </c>
      <c r="C3602" t="s">
        <v>40</v>
      </c>
      <c r="D3602">
        <v>5.1641979999999998</v>
      </c>
      <c r="E3602">
        <v>0.4755991</v>
      </c>
      <c r="F3602" t="s">
        <v>47</v>
      </c>
      <c r="G3602">
        <v>-315.9753</v>
      </c>
      <c r="H3602" s="1">
        <v>-7.7171730000000007E-6</v>
      </c>
      <c r="I3602">
        <v>141.7534</v>
      </c>
      <c r="J3602">
        <v>-296.71289999999999</v>
      </c>
      <c r="K3602">
        <v>1.121928</v>
      </c>
      <c r="L3602">
        <v>142.24850000000001</v>
      </c>
      <c r="M3602">
        <v>-0.99987159999999997</v>
      </c>
      <c r="N3602">
        <v>-1.2844599999999999E-2</v>
      </c>
      <c r="O3602">
        <v>-9.5910119999999995E-3</v>
      </c>
      <c r="P3602">
        <v>-0.98065500000000005</v>
      </c>
      <c r="Q3602">
        <v>0.19202449999999999</v>
      </c>
      <c r="R3602">
        <v>3.7979329999999999E-2</v>
      </c>
      <c r="S3602">
        <v>-3.0988769999999999</v>
      </c>
      <c r="T3602">
        <v>-0.17727209999999999</v>
      </c>
      <c r="U3602">
        <v>-7.8872680000000001E-2</v>
      </c>
      <c r="V3602">
        <v>4.6966710000000002E-2</v>
      </c>
      <c r="W3602">
        <v>0.20469560000000001</v>
      </c>
      <c r="X3602">
        <v>0.97769819999999996</v>
      </c>
      <c r="Y3602">
        <v>-1.5831649999999999E-2</v>
      </c>
      <c r="Z3602">
        <v>-1.2919010000000001E-4</v>
      </c>
      <c r="AA3602">
        <v>0.99987470000000001</v>
      </c>
      <c r="AB3602">
        <v>33</v>
      </c>
      <c r="AC3602">
        <v>-19.2624</v>
      </c>
      <c r="AD3602">
        <v>-1.121935717173</v>
      </c>
      <c r="AE3602">
        <v>-0.49510000000000698</v>
      </c>
      <c r="AF3602">
        <v>-0.30926760377667201</v>
      </c>
      <c r="AG3602">
        <v>-1.121935717173</v>
      </c>
      <c r="AH3602">
        <v>19.2011665378472</v>
      </c>
      <c r="AI3602">
        <v>93.343591993392295</v>
      </c>
      <c r="AJ3602">
        <v>90.922766662129007</v>
      </c>
      <c r="AK3602">
        <v>19.236402538373898</v>
      </c>
      <c r="AL3602">
        <v>78.188319238314406</v>
      </c>
      <c r="AM3602">
        <v>87.249737024218803</v>
      </c>
      <c r="AN3602">
        <v>0.99999996539541103</v>
      </c>
    </row>
    <row r="3603" spans="1:40" x14ac:dyDescent="0.25">
      <c r="A3603" t="str">
        <f>"20190303162623047"</f>
        <v>20190303162623047</v>
      </c>
      <c r="B3603" t="str">
        <f>"1551601583037227"</f>
        <v>1551601583037227</v>
      </c>
      <c r="C3603" t="s">
        <v>40</v>
      </c>
      <c r="D3603">
        <v>5.1066039999999999</v>
      </c>
      <c r="E3603">
        <v>0.47507509999999997</v>
      </c>
      <c r="F3603" t="s">
        <v>47</v>
      </c>
      <c r="G3603">
        <v>-315.79050000000001</v>
      </c>
      <c r="H3603" s="1">
        <v>-7.7900050000000003E-6</v>
      </c>
      <c r="I3603">
        <v>141.71889999999999</v>
      </c>
      <c r="J3603">
        <v>-297.03519999999997</v>
      </c>
      <c r="K3603">
        <v>1.121918</v>
      </c>
      <c r="L3603">
        <v>142.24440000000001</v>
      </c>
      <c r="M3603">
        <v>-0.99986249999999999</v>
      </c>
      <c r="N3603">
        <v>-1.2843490000000001E-2</v>
      </c>
      <c r="O3603">
        <v>-1.0494379999999999E-2</v>
      </c>
      <c r="P3603">
        <v>-0.98101450000000001</v>
      </c>
      <c r="Q3603">
        <v>0.19021489999999999</v>
      </c>
      <c r="R3603">
        <v>3.7801929999999997E-2</v>
      </c>
      <c r="S3603">
        <v>-3.0982059999999998</v>
      </c>
      <c r="T3603">
        <v>-0.18220220000000001</v>
      </c>
      <c r="U3603">
        <v>-8.5998539999999998E-2</v>
      </c>
      <c r="V3603">
        <v>4.7684509999999999E-2</v>
      </c>
      <c r="W3603">
        <v>0.2028904</v>
      </c>
      <c r="X3603">
        <v>0.97803969999999996</v>
      </c>
      <c r="Y3603">
        <v>-1.7228920000000002E-2</v>
      </c>
      <c r="Z3603">
        <v>-1.3505320000000001E-4</v>
      </c>
      <c r="AA3603">
        <v>0.99985159999999995</v>
      </c>
      <c r="AB3603">
        <v>33</v>
      </c>
      <c r="AC3603">
        <v>-18.755299999999998</v>
      </c>
      <c r="AD3603">
        <v>-1.1219257900049999</v>
      </c>
      <c r="AE3603">
        <v>-0.52550000000002195</v>
      </c>
      <c r="AF3603">
        <v>-0.32745875091251497</v>
      </c>
      <c r="AG3603">
        <v>-1.1219257900049999</v>
      </c>
      <c r="AH3603">
        <v>18.692945241023601</v>
      </c>
      <c r="AI3603">
        <v>93.4341708510036</v>
      </c>
      <c r="AJ3603">
        <v>91.003591746688201</v>
      </c>
      <c r="AK3603">
        <v>18.729446027465201</v>
      </c>
      <c r="AL3603">
        <v>78.293967019817302</v>
      </c>
      <c r="AM3603">
        <v>87.208743734550097</v>
      </c>
      <c r="AN3603">
        <v>0.99999999084109403</v>
      </c>
    </row>
    <row r="3604" spans="1:40" x14ac:dyDescent="0.25">
      <c r="A3604" t="str">
        <f>"20190303162623069"</f>
        <v>20190303162623069</v>
      </c>
      <c r="B3604" t="str">
        <f>"1551601583056747"</f>
        <v>1551601583056747</v>
      </c>
      <c r="C3604" t="s">
        <v>40</v>
      </c>
      <c r="D3604">
        <v>5.2543610000000003</v>
      </c>
      <c r="E3604">
        <v>0.47489049999999999</v>
      </c>
      <c r="F3604" t="s">
        <v>47</v>
      </c>
      <c r="G3604">
        <v>-315.01760000000002</v>
      </c>
      <c r="H3604" s="1">
        <v>-8.1322559999999997E-6</v>
      </c>
      <c r="I3604">
        <v>141.71700000000001</v>
      </c>
      <c r="J3604">
        <v>-297.36540000000002</v>
      </c>
      <c r="K3604">
        <v>1.121912</v>
      </c>
      <c r="L3604">
        <v>142.24</v>
      </c>
      <c r="M3604">
        <v>-0.99985250000000003</v>
      </c>
      <c r="N3604">
        <v>-1.2842309999999999E-2</v>
      </c>
      <c r="O3604">
        <v>-1.141141E-2</v>
      </c>
      <c r="P3604">
        <v>-0.98093839999999999</v>
      </c>
      <c r="Q3604">
        <v>0.1905183</v>
      </c>
      <c r="R3604">
        <v>3.8247379999999997E-2</v>
      </c>
      <c r="S3604">
        <v>-3.09903</v>
      </c>
      <c r="T3604">
        <v>-0.1933492</v>
      </c>
      <c r="U3604">
        <v>-9.0896610000000003E-2</v>
      </c>
      <c r="V3604">
        <v>4.9031239999999997E-2</v>
      </c>
      <c r="W3604">
        <v>0.20319300000000001</v>
      </c>
      <c r="X3604">
        <v>0.97791030000000001</v>
      </c>
      <c r="Y3604">
        <v>-1.7880779999999999E-2</v>
      </c>
      <c r="Z3604">
        <v>-1.074543E-4</v>
      </c>
      <c r="AA3604">
        <v>0.99984010000000001</v>
      </c>
      <c r="AB3604">
        <v>33</v>
      </c>
      <c r="AC3604">
        <v>-17.652199999999901</v>
      </c>
      <c r="AD3604">
        <v>-1.121920132256</v>
      </c>
      <c r="AE3604">
        <v>-0.52299999999999602</v>
      </c>
      <c r="AF3604">
        <v>-0.32022046102217999</v>
      </c>
      <c r="AG3604">
        <v>-1.121920132256</v>
      </c>
      <c r="AH3604">
        <v>17.5860428100432</v>
      </c>
      <c r="AI3604">
        <v>93.649694472001201</v>
      </c>
      <c r="AJ3604">
        <v>91.0431712120415</v>
      </c>
      <c r="AK3604">
        <v>17.6247027675218</v>
      </c>
      <c r="AL3604">
        <v>78.276260675079897</v>
      </c>
      <c r="AM3604">
        <v>87.129662529758605</v>
      </c>
      <c r="AN3604">
        <v>1.0000000062955099</v>
      </c>
    </row>
    <row r="3605" spans="1:40" x14ac:dyDescent="0.25">
      <c r="A3605" t="str">
        <f>"20190303162623092"</f>
        <v>20190303162623092</v>
      </c>
      <c r="B3605" t="str">
        <f>"1551601583087003"</f>
        <v>1551601583087003</v>
      </c>
      <c r="C3605" t="s">
        <v>40</v>
      </c>
      <c r="D3605">
        <v>5.1360659999999996</v>
      </c>
      <c r="E3605">
        <v>0.51348660000000002</v>
      </c>
      <c r="F3605" t="s">
        <v>47</v>
      </c>
      <c r="G3605">
        <v>-314.77690000000001</v>
      </c>
      <c r="H3605" s="1">
        <v>-8.2294579999999998E-6</v>
      </c>
      <c r="I3605">
        <v>141.72669999999999</v>
      </c>
      <c r="J3605">
        <v>-297.70639999999997</v>
      </c>
      <c r="K3605">
        <v>1.1218980000000001</v>
      </c>
      <c r="L3605">
        <v>142.23509999999999</v>
      </c>
      <c r="M3605">
        <v>-0.99984130000000004</v>
      </c>
      <c r="N3605">
        <v>-1.284104E-2</v>
      </c>
      <c r="O3605">
        <v>-1.2347469999999999E-2</v>
      </c>
      <c r="P3605">
        <v>-0.98073460000000001</v>
      </c>
      <c r="Q3605">
        <v>0.19149969999999999</v>
      </c>
      <c r="R3605">
        <v>3.8568169999999999E-2</v>
      </c>
      <c r="S3605">
        <v>-3.1006770000000001</v>
      </c>
      <c r="T3605">
        <v>-0.19979430000000001</v>
      </c>
      <c r="U3605">
        <v>-9.1400149999999999E-2</v>
      </c>
      <c r="V3605">
        <v>5.0269670000000002E-2</v>
      </c>
      <c r="W3605">
        <v>0.20417099999999999</v>
      </c>
      <c r="X3605">
        <v>0.9776437</v>
      </c>
      <c r="Y3605">
        <v>-1.7093210000000001E-2</v>
      </c>
      <c r="Z3605" s="1">
        <v>-2.376354E-5</v>
      </c>
      <c r="AA3605">
        <v>0.99985389999999996</v>
      </c>
      <c r="AB3605">
        <v>33</v>
      </c>
      <c r="AC3605">
        <v>-17.070499999999999</v>
      </c>
      <c r="AD3605">
        <v>-1.121906229458</v>
      </c>
      <c r="AE3605">
        <v>-0.50839999999999397</v>
      </c>
      <c r="AF3605">
        <v>-0.29628772500735301</v>
      </c>
      <c r="AG3605">
        <v>-1.121906229458</v>
      </c>
      <c r="AH3605">
        <v>17.002103091717601</v>
      </c>
      <c r="AI3605">
        <v>93.774693168590403</v>
      </c>
      <c r="AJ3605">
        <v>90.998365786590398</v>
      </c>
      <c r="AK3605">
        <v>17.0416539556781</v>
      </c>
      <c r="AL3605">
        <v>78.219025757429705</v>
      </c>
      <c r="AM3605">
        <v>87.0564884137289</v>
      </c>
      <c r="AN3605">
        <v>1.00000002055629</v>
      </c>
    </row>
    <row r="3606" spans="1:40" x14ac:dyDescent="0.25">
      <c r="A3606" t="str">
        <f>"20190303162623116"</f>
        <v>20190303162623116</v>
      </c>
      <c r="B3606" t="str">
        <f>"1551601583107032"</f>
        <v>1551601583107032</v>
      </c>
      <c r="C3606" t="s">
        <v>40</v>
      </c>
      <c r="D3606">
        <v>5.1666740000000004</v>
      </c>
      <c r="E3606">
        <v>0.52936569999999905</v>
      </c>
      <c r="F3606" t="s">
        <v>42</v>
      </c>
      <c r="G3606">
        <v>-298.49590000000001</v>
      </c>
      <c r="H3606">
        <v>0.98727949999999998</v>
      </c>
      <c r="I3606">
        <v>142.28880000000001</v>
      </c>
      <c r="J3606">
        <v>-298.0573</v>
      </c>
      <c r="K3606">
        <v>1.121888</v>
      </c>
      <c r="L3606">
        <v>142.22980000000001</v>
      </c>
      <c r="M3606">
        <v>-0.99982919999999997</v>
      </c>
      <c r="N3606">
        <v>-1.2839710000000001E-2</v>
      </c>
      <c r="O3606">
        <v>-1.329721E-2</v>
      </c>
      <c r="P3606">
        <v>-0.98083010000000004</v>
      </c>
      <c r="Q3606">
        <v>0.19092429999999999</v>
      </c>
      <c r="R3606">
        <v>3.8993140000000003E-2</v>
      </c>
      <c r="S3606">
        <v>-3.1556090000000001</v>
      </c>
      <c r="T3606">
        <v>-0.53813849999999996</v>
      </c>
      <c r="U3606">
        <v>0.21337890000000001</v>
      </c>
      <c r="V3606">
        <v>5.1633329999999998E-2</v>
      </c>
      <c r="W3606">
        <v>0.20359630000000001</v>
      </c>
      <c r="X3606">
        <v>0.97769240000000002</v>
      </c>
      <c r="Y3606">
        <v>7.9335619999999996E-2</v>
      </c>
      <c r="Z3606">
        <v>9.3022290000000004E-3</v>
      </c>
      <c r="AA3606">
        <v>0.99680449999999998</v>
      </c>
      <c r="AB3606">
        <v>33</v>
      </c>
      <c r="AC3606">
        <v>-0.43860000000000798</v>
      </c>
      <c r="AD3606">
        <v>-0.13460849999999999</v>
      </c>
      <c r="AE3606">
        <v>5.8999999999997499E-2</v>
      </c>
      <c r="AF3606">
        <v>5.9337702231213103E-2</v>
      </c>
      <c r="AG3606">
        <v>-0.13460849999999999</v>
      </c>
      <c r="AH3606">
        <v>0.40070480415489901</v>
      </c>
      <c r="AI3606">
        <v>108.381935519663</v>
      </c>
      <c r="AJ3606">
        <v>81.576664991532795</v>
      </c>
      <c r="AK3606">
        <v>0.42685448486708699</v>
      </c>
      <c r="AL3606">
        <v>78.252659186445001</v>
      </c>
      <c r="AM3606">
        <v>86.976936571520497</v>
      </c>
      <c r="AN3606">
        <v>0.99999994157916705</v>
      </c>
    </row>
    <row r="3607" spans="1:40" x14ac:dyDescent="0.25">
      <c r="A3607" t="str">
        <f>"20190303162623140"</f>
        <v>20190303162623140</v>
      </c>
      <c r="B3607" t="str">
        <f>"1551601583127527"</f>
        <v>1551601583127527</v>
      </c>
      <c r="C3607" t="s">
        <v>40</v>
      </c>
      <c r="D3607">
        <v>5.1210319999999996</v>
      </c>
      <c r="E3607">
        <v>0.52865299999999904</v>
      </c>
      <c r="F3607" t="s">
        <v>42</v>
      </c>
      <c r="G3607">
        <v>-298.75970000000001</v>
      </c>
      <c r="H3607">
        <v>0.91540909999999998</v>
      </c>
      <c r="I3607">
        <v>142.3031</v>
      </c>
      <c r="J3607">
        <v>-298.40629999999999</v>
      </c>
      <c r="K3607">
        <v>1.1218760000000001</v>
      </c>
      <c r="L3607">
        <v>142.2242</v>
      </c>
      <c r="M3607">
        <v>-0.99981640000000005</v>
      </c>
      <c r="N3607">
        <v>-1.2838540000000001E-2</v>
      </c>
      <c r="O3607">
        <v>-1.422583E-2</v>
      </c>
      <c r="P3607">
        <v>-0.98099879999999995</v>
      </c>
      <c r="Q3607">
        <v>0.19022720000000001</v>
      </c>
      <c r="R3607">
        <v>3.8144959999999999E-2</v>
      </c>
      <c r="S3607">
        <v>-3.2301030000000002</v>
      </c>
      <c r="T3607">
        <v>-0.94952809999999999</v>
      </c>
      <c r="U3607">
        <v>0.33621220000000002</v>
      </c>
      <c r="V3607">
        <v>5.1705309999999997E-2</v>
      </c>
      <c r="W3607">
        <v>0.2028983</v>
      </c>
      <c r="X3607">
        <v>0.97783370000000003</v>
      </c>
      <c r="Y3607">
        <v>0.11220769999999999</v>
      </c>
      <c r="Z3607">
        <v>2.075449E-2</v>
      </c>
      <c r="AA3607">
        <v>0.99346800000000002</v>
      </c>
      <c r="AB3607">
        <v>33</v>
      </c>
      <c r="AC3607">
        <v>-0.35340000000002098</v>
      </c>
      <c r="AD3607">
        <v>-0.20646689999999901</v>
      </c>
      <c r="AE3607">
        <v>7.8900000000004397E-2</v>
      </c>
      <c r="AF3607">
        <v>6.3330028377007699E-2</v>
      </c>
      <c r="AG3607">
        <v>-0.20646689999999901</v>
      </c>
      <c r="AH3607">
        <v>0.26581889342079701</v>
      </c>
      <c r="AI3607">
        <v>127.07369917694299</v>
      </c>
      <c r="AJ3607">
        <v>76.599380887518095</v>
      </c>
      <c r="AK3607">
        <v>0.34248935368752698</v>
      </c>
      <c r="AL3607">
        <v>78.293504307975098</v>
      </c>
      <c r="AM3607">
        <v>86.973166707170904</v>
      </c>
      <c r="AN3607">
        <v>0.99999995204038705</v>
      </c>
    </row>
    <row r="3608" spans="1:40" x14ac:dyDescent="0.25">
      <c r="A3608" t="str">
        <f>"20190303162623159"</f>
        <v>20190303162623159</v>
      </c>
      <c r="B3608" t="str">
        <f>"1551601583147048"</f>
        <v>1551601583147048</v>
      </c>
      <c r="C3608" t="s">
        <v>40</v>
      </c>
      <c r="D3608">
        <v>5.1316680000000003</v>
      </c>
      <c r="E3608">
        <v>0.52740350000000003</v>
      </c>
      <c r="F3608" t="s">
        <v>42</v>
      </c>
      <c r="G3608">
        <v>-299.32670000000002</v>
      </c>
      <c r="H3608">
        <v>0.84223680000000001</v>
      </c>
      <c r="I3608">
        <v>142.31739999999999</v>
      </c>
      <c r="J3608">
        <v>-298.70650000000001</v>
      </c>
      <c r="K3608">
        <v>1.121858</v>
      </c>
      <c r="L3608">
        <v>142.2191</v>
      </c>
      <c r="M3608">
        <v>-0.99980500000000005</v>
      </c>
      <c r="N3608">
        <v>-1.283724E-2</v>
      </c>
      <c r="O3608">
        <v>-1.500963E-2</v>
      </c>
      <c r="P3608">
        <v>-0.98094890000000001</v>
      </c>
      <c r="Q3608">
        <v>0.19079769999999999</v>
      </c>
      <c r="R3608">
        <v>3.6547620000000003E-2</v>
      </c>
      <c r="S3608">
        <v>-3.2360229999999999</v>
      </c>
      <c r="T3608">
        <v>-0.98327600000000004</v>
      </c>
      <c r="U3608">
        <v>0.3274841</v>
      </c>
      <c r="V3608">
        <v>5.0880370000000001E-2</v>
      </c>
      <c r="W3608">
        <v>0.20346330000000001</v>
      </c>
      <c r="X3608">
        <v>0.97775959999999995</v>
      </c>
      <c r="Y3608">
        <v>0.109862</v>
      </c>
      <c r="Z3608">
        <v>2.126867E-2</v>
      </c>
      <c r="AA3608">
        <v>0.99371929999999997</v>
      </c>
      <c r="AB3608">
        <v>33</v>
      </c>
      <c r="AC3608">
        <v>-0.62020000000001096</v>
      </c>
      <c r="AD3608">
        <v>-0.27962120000000001</v>
      </c>
      <c r="AE3608">
        <v>9.8299999999994697E-2</v>
      </c>
      <c r="AF3608">
        <v>8.9793489594553397E-2</v>
      </c>
      <c r="AG3608">
        <v>-0.27962120000000001</v>
      </c>
      <c r="AH3608">
        <v>0.51628105202939001</v>
      </c>
      <c r="AI3608">
        <v>118.084210771361</v>
      </c>
      <c r="AJ3608">
        <v>80.133602694553204</v>
      </c>
      <c r="AK3608">
        <v>0.59396718002561399</v>
      </c>
      <c r="AL3608">
        <v>78.2604429074959</v>
      </c>
      <c r="AM3608">
        <v>87.021145768898293</v>
      </c>
      <c r="AN3608">
        <v>0.99999998094519305</v>
      </c>
    </row>
    <row r="3609" spans="1:40" x14ac:dyDescent="0.25">
      <c r="A3609" t="str">
        <f>"20190303162623181"</f>
        <v>20190303162623181</v>
      </c>
      <c r="B3609" t="str">
        <f>"1551601583177303"</f>
        <v>1551601583177303</v>
      </c>
      <c r="C3609" t="s">
        <v>40</v>
      </c>
      <c r="D3609">
        <v>5.1450899999999997</v>
      </c>
      <c r="E3609">
        <v>0.52601919999999902</v>
      </c>
      <c r="F3609" t="s">
        <v>42</v>
      </c>
      <c r="G3609">
        <v>-299.62389999999999</v>
      </c>
      <c r="H3609">
        <v>0.84019880000000002</v>
      </c>
      <c r="I3609">
        <v>142.30799999999999</v>
      </c>
      <c r="J3609">
        <v>-299.0308</v>
      </c>
      <c r="K3609">
        <v>1.1218600000000001</v>
      </c>
      <c r="L3609">
        <v>142.2133</v>
      </c>
      <c r="M3609">
        <v>-0.99979220000000002</v>
      </c>
      <c r="N3609">
        <v>-1.283597E-2</v>
      </c>
      <c r="O3609">
        <v>-1.5842289999999998E-2</v>
      </c>
      <c r="P3609">
        <v>-0.98089959999999998</v>
      </c>
      <c r="Q3609">
        <v>0.1914207</v>
      </c>
      <c r="R3609">
        <v>3.4561139999999997E-2</v>
      </c>
      <c r="S3609">
        <v>-3.2400820000000001</v>
      </c>
      <c r="T3609">
        <v>-0.99481200000000003</v>
      </c>
      <c r="U3609">
        <v>0.31291200000000002</v>
      </c>
      <c r="V3609">
        <v>4.9714510000000003E-2</v>
      </c>
      <c r="W3609">
        <v>0.20408090000000001</v>
      </c>
      <c r="X3609">
        <v>0.97769090000000003</v>
      </c>
      <c r="Y3609">
        <v>0.10615960000000001</v>
      </c>
      <c r="Z3609">
        <v>2.1141009999999998E-2</v>
      </c>
      <c r="AA3609">
        <v>0.99412440000000002</v>
      </c>
      <c r="AB3609">
        <v>33</v>
      </c>
      <c r="AC3609">
        <v>-0.59309999999999197</v>
      </c>
      <c r="AD3609">
        <v>-0.281661199999999</v>
      </c>
      <c r="AE3609">
        <v>9.4699999999988904E-2</v>
      </c>
      <c r="AF3609">
        <v>8.5321119707331305E-2</v>
      </c>
      <c r="AG3609">
        <v>-0.281661199999999</v>
      </c>
      <c r="AH3609">
        <v>0.48488845021662802</v>
      </c>
      <c r="AI3609">
        <v>119.773412945299</v>
      </c>
      <c r="AJ3609">
        <v>80.020376736115793</v>
      </c>
      <c r="AK3609">
        <v>0.56721207163373699</v>
      </c>
      <c r="AL3609">
        <v>78.224299146503498</v>
      </c>
      <c r="AM3609">
        <v>87.089079558322595</v>
      </c>
      <c r="AN3609">
        <v>1.00000002109607</v>
      </c>
    </row>
    <row r="3610" spans="1:40" x14ac:dyDescent="0.25">
      <c r="A3610" t="str">
        <f>"20190303162623203"</f>
        <v>20190303162623203</v>
      </c>
      <c r="B3610" t="str">
        <f>"1551601583196823"</f>
        <v>1551601583196823</v>
      </c>
      <c r="C3610" t="s">
        <v>40</v>
      </c>
      <c r="D3610">
        <v>5.1881009999999996</v>
      </c>
      <c r="E3610">
        <v>0.52571199999999996</v>
      </c>
      <c r="F3610" t="s">
        <v>42</v>
      </c>
      <c r="G3610">
        <v>-299.9239</v>
      </c>
      <c r="H3610">
        <v>0.84560809999999997</v>
      </c>
      <c r="I3610">
        <v>142.29470000000001</v>
      </c>
      <c r="J3610">
        <v>-299.3698</v>
      </c>
      <c r="K3610">
        <v>1.121848</v>
      </c>
      <c r="L3610">
        <v>142.20699999999999</v>
      </c>
      <c r="M3610">
        <v>-0.99977839999999996</v>
      </c>
      <c r="N3610">
        <v>-1.283465E-2</v>
      </c>
      <c r="O3610">
        <v>-1.6693610000000001E-2</v>
      </c>
      <c r="P3610">
        <v>-0.98068520000000003</v>
      </c>
      <c r="Q3610">
        <v>0.19282949999999999</v>
      </c>
      <c r="R3610">
        <v>3.277066E-2</v>
      </c>
      <c r="S3610">
        <v>-3.2437740000000002</v>
      </c>
      <c r="T3610">
        <v>-1.003285</v>
      </c>
      <c r="U3610">
        <v>0.2954254</v>
      </c>
      <c r="V3610">
        <v>4.876014E-2</v>
      </c>
      <c r="W3610">
        <v>0.20548159999999999</v>
      </c>
      <c r="X3610">
        <v>0.97744549999999997</v>
      </c>
      <c r="Y3610">
        <v>0.1016792</v>
      </c>
      <c r="Z3610">
        <v>2.083231E-2</v>
      </c>
      <c r="AA3610">
        <v>0.99459909999999996</v>
      </c>
      <c r="AB3610">
        <v>33</v>
      </c>
      <c r="AC3610">
        <v>-0.55410000000000503</v>
      </c>
      <c r="AD3610">
        <v>-0.27623989999999998</v>
      </c>
      <c r="AE3610">
        <v>8.7700000000012296E-2</v>
      </c>
      <c r="AF3610">
        <v>7.8021013422317098E-2</v>
      </c>
      <c r="AG3610">
        <v>-0.27623989999999998</v>
      </c>
      <c r="AH3610">
        <v>0.444727310894518</v>
      </c>
      <c r="AI3610">
        <v>121.458332212236</v>
      </c>
      <c r="AJ3610">
        <v>80.049538522189195</v>
      </c>
      <c r="AK3610">
        <v>0.52931856376186603</v>
      </c>
      <c r="AL3610">
        <v>78.142306766106103</v>
      </c>
      <c r="AM3610">
        <v>87.144151535137595</v>
      </c>
      <c r="AN3610">
        <v>0.99999997233081395</v>
      </c>
    </row>
    <row r="3611" spans="1:40" x14ac:dyDescent="0.25">
      <c r="A3611" t="str">
        <f>"20190303162623227"</f>
        <v>20190303162623227</v>
      </c>
      <c r="B3611" t="str">
        <f>"1551601583217319"</f>
        <v>1551601583217319</v>
      </c>
      <c r="C3611" t="s">
        <v>40</v>
      </c>
      <c r="D3611">
        <v>5.1640430000000004</v>
      </c>
      <c r="E3611">
        <v>0.52537460000000002</v>
      </c>
      <c r="F3611" t="s">
        <v>42</v>
      </c>
      <c r="G3611">
        <v>-300.22620000000001</v>
      </c>
      <c r="H3611">
        <v>0.85664249999999997</v>
      </c>
      <c r="I3611">
        <v>142.2826</v>
      </c>
      <c r="J3611">
        <v>-299.70780000000002</v>
      </c>
      <c r="K3611">
        <v>1.1218330000000001</v>
      </c>
      <c r="L3611">
        <v>142.20050000000001</v>
      </c>
      <c r="M3611">
        <v>-0.99976430000000005</v>
      </c>
      <c r="N3611">
        <v>-1.2833290000000001E-2</v>
      </c>
      <c r="O3611">
        <v>-1.7517089999999999E-2</v>
      </c>
      <c r="P3611">
        <v>-0.98060210000000003</v>
      </c>
      <c r="Q3611">
        <v>0.19352030000000001</v>
      </c>
      <c r="R3611">
        <v>3.113693E-2</v>
      </c>
      <c r="S3611">
        <v>-3.2472530000000002</v>
      </c>
      <c r="T3611">
        <v>-1.0056309999999999</v>
      </c>
      <c r="U3611">
        <v>0.28579710000000003</v>
      </c>
      <c r="V3611">
        <v>4.7940459999999997E-2</v>
      </c>
      <c r="W3611">
        <v>0.20616660000000001</v>
      </c>
      <c r="X3611">
        <v>0.97734180000000004</v>
      </c>
      <c r="Y3611">
        <v>9.9529619999999999E-2</v>
      </c>
      <c r="Z3611">
        <v>2.0759059999999999E-2</v>
      </c>
      <c r="AA3611">
        <v>0.99481799999999998</v>
      </c>
      <c r="AB3611">
        <v>33</v>
      </c>
      <c r="AC3611">
        <v>-0.51839999999998498</v>
      </c>
      <c r="AD3611">
        <v>-0.2651905</v>
      </c>
      <c r="AE3611">
        <v>8.2099999999996898E-2</v>
      </c>
      <c r="AF3611">
        <v>7.2628060039276895E-2</v>
      </c>
      <c r="AG3611">
        <v>-0.2651905</v>
      </c>
      <c r="AH3611">
        <v>0.411764378220836</v>
      </c>
      <c r="AI3611">
        <v>122.384677185412</v>
      </c>
      <c r="AJ3611">
        <v>79.996910933554801</v>
      </c>
      <c r="AK3611">
        <v>0.495126993373327</v>
      </c>
      <c r="AL3611">
        <v>78.102200463006795</v>
      </c>
      <c r="AM3611">
        <v>87.191784697869096</v>
      </c>
      <c r="AN3611">
        <v>0.99999997434390497</v>
      </c>
    </row>
    <row r="3612" spans="1:40" x14ac:dyDescent="0.25">
      <c r="A3612" t="str">
        <f>"20190303162623248"</f>
        <v>20190303162623248</v>
      </c>
      <c r="B3612" t="str">
        <f>"1551601583236839"</f>
        <v>1551601583236839</v>
      </c>
      <c r="C3612" t="s">
        <v>40</v>
      </c>
      <c r="D3612">
        <v>5.1754360000000004</v>
      </c>
      <c r="E3612">
        <v>0.52510400000000002</v>
      </c>
      <c r="F3612" t="s">
        <v>42</v>
      </c>
      <c r="G3612">
        <v>-300.52809999999999</v>
      </c>
      <c r="H3612">
        <v>0.86723589999999995</v>
      </c>
      <c r="I3612">
        <v>142.2705</v>
      </c>
      <c r="J3612">
        <v>-300.02440000000001</v>
      </c>
      <c r="K3612">
        <v>1.1218140000000001</v>
      </c>
      <c r="L3612">
        <v>142.19409999999999</v>
      </c>
      <c r="M3612">
        <v>-0.99975099999999995</v>
      </c>
      <c r="N3612">
        <v>-1.2832E-2</v>
      </c>
      <c r="O3612">
        <v>-1.8259790000000001E-2</v>
      </c>
      <c r="P3612">
        <v>-0.98055429999999999</v>
      </c>
      <c r="Q3612">
        <v>0.19385069999999999</v>
      </c>
      <c r="R3612">
        <v>3.058456E-2</v>
      </c>
      <c r="S3612">
        <v>-3.249603</v>
      </c>
      <c r="T3612">
        <v>-1.0086079999999999</v>
      </c>
      <c r="U3612">
        <v>0.27696229999999999</v>
      </c>
      <c r="V3612">
        <v>4.8126059999999998E-2</v>
      </c>
      <c r="W3612">
        <v>0.20649229999999999</v>
      </c>
      <c r="X3612">
        <v>0.97726389999999996</v>
      </c>
      <c r="Y3612">
        <v>9.755933E-2</v>
      </c>
      <c r="Z3612">
        <v>2.070903E-2</v>
      </c>
      <c r="AA3612">
        <v>0.99501430000000002</v>
      </c>
      <c r="AB3612">
        <v>33</v>
      </c>
      <c r="AC3612">
        <v>-0.50369999999998005</v>
      </c>
      <c r="AD3612">
        <v>-0.25457809999999897</v>
      </c>
      <c r="AE3612">
        <v>7.6400000000006602E-2</v>
      </c>
      <c r="AF3612">
        <v>6.8484770131560693E-2</v>
      </c>
      <c r="AG3612">
        <v>-0.25457809999999897</v>
      </c>
      <c r="AH3612">
        <v>0.401872862982664</v>
      </c>
      <c r="AI3612">
        <v>121.983805249707</v>
      </c>
      <c r="AJ3612">
        <v>80.328900958701396</v>
      </c>
      <c r="AK3612">
        <v>0.48062664381145698</v>
      </c>
      <c r="AL3612">
        <v>78.0831286687946</v>
      </c>
      <c r="AM3612">
        <v>87.180705931430396</v>
      </c>
      <c r="AN3612">
        <v>0.99999995892681004</v>
      </c>
    </row>
    <row r="3613" spans="1:40" x14ac:dyDescent="0.25">
      <c r="A3613" t="str">
        <f>"20190303162623270"</f>
        <v>20190303162623270</v>
      </c>
      <c r="B3613" t="str">
        <f>"1551601583267097"</f>
        <v>1551601583267097</v>
      </c>
      <c r="C3613" t="s">
        <v>40</v>
      </c>
      <c r="D3613">
        <v>5.178839</v>
      </c>
      <c r="E3613">
        <v>0.52294890000000005</v>
      </c>
      <c r="F3613" t="s">
        <v>42</v>
      </c>
      <c r="G3613">
        <v>-300.82799999999997</v>
      </c>
      <c r="H3613">
        <v>0.87254290000000001</v>
      </c>
      <c r="I3613">
        <v>142.262</v>
      </c>
      <c r="J3613">
        <v>-300.35550000000001</v>
      </c>
      <c r="K3613">
        <v>1.1217779999999999</v>
      </c>
      <c r="L3613">
        <v>142.18729999999999</v>
      </c>
      <c r="M3613">
        <v>-0.99973710000000005</v>
      </c>
      <c r="N3613">
        <v>-1.2830569999999999E-2</v>
      </c>
      <c r="O3613">
        <v>-1.8999510000000001E-2</v>
      </c>
      <c r="P3613">
        <v>-0.98078189999999998</v>
      </c>
      <c r="Q3613">
        <v>0.1928001</v>
      </c>
      <c r="R3613">
        <v>2.9916649999999999E-2</v>
      </c>
      <c r="S3613">
        <v>-3.2502749999999998</v>
      </c>
      <c r="T3613">
        <v>-1.0082869999999999</v>
      </c>
      <c r="U3613">
        <v>0.27348329999999998</v>
      </c>
      <c r="V3613">
        <v>4.8204339999999998E-2</v>
      </c>
      <c r="W3613">
        <v>0.2054396</v>
      </c>
      <c r="X3613">
        <v>0.97748199999999996</v>
      </c>
      <c r="Y3613">
        <v>9.7210710000000006E-2</v>
      </c>
      <c r="Z3613">
        <v>2.0859200000000001E-2</v>
      </c>
      <c r="AA3613">
        <v>0.99504519999999996</v>
      </c>
      <c r="AB3613">
        <v>33</v>
      </c>
      <c r="AC3613">
        <v>-0.472499999999968</v>
      </c>
      <c r="AD3613">
        <v>-0.24923509999999999</v>
      </c>
      <c r="AE3613">
        <v>7.4700000000007094E-2</v>
      </c>
      <c r="AF3613">
        <v>6.5802332105174693E-2</v>
      </c>
      <c r="AG3613">
        <v>-0.24923509999999999</v>
      </c>
      <c r="AH3613">
        <v>0.37043886078974197</v>
      </c>
      <c r="AI3613">
        <v>123.52209665354501</v>
      </c>
      <c r="AJ3613">
        <v>79.927418350897199</v>
      </c>
      <c r="AK3613">
        <v>0.45130148633224298</v>
      </c>
      <c r="AL3613">
        <v>78.144766870824895</v>
      </c>
      <c r="AM3613">
        <v>87.176756647658607</v>
      </c>
      <c r="AN3613">
        <v>1.00000007398349</v>
      </c>
    </row>
    <row r="3614" spans="1:40" x14ac:dyDescent="0.25">
      <c r="A3614" t="str">
        <f>"20190303162623294"</f>
        <v>20190303162623294</v>
      </c>
      <c r="B3614" t="str">
        <f>"1551601583287591"</f>
        <v>1551601583287591</v>
      </c>
      <c r="C3614" t="s">
        <v>40</v>
      </c>
      <c r="D3614">
        <v>5.1681280000000003</v>
      </c>
      <c r="E3614">
        <v>0.52382189999999995</v>
      </c>
      <c r="F3614" t="s">
        <v>42</v>
      </c>
      <c r="G3614">
        <v>-301.1139</v>
      </c>
      <c r="H3614">
        <v>0.84355069999999999</v>
      </c>
      <c r="I3614">
        <v>142.24549999999999</v>
      </c>
      <c r="J3614">
        <v>-300.7124</v>
      </c>
      <c r="K3614">
        <v>1.121723</v>
      </c>
      <c r="L3614">
        <v>142.1797</v>
      </c>
      <c r="M3614">
        <v>-0.99972280000000002</v>
      </c>
      <c r="N3614">
        <v>-1.282899E-2</v>
      </c>
      <c r="O3614">
        <v>-1.9746799999999998E-2</v>
      </c>
      <c r="P3614">
        <v>-0.98117739999999998</v>
      </c>
      <c r="Q3614">
        <v>0.1907413</v>
      </c>
      <c r="R3614">
        <v>3.0146200000000001E-2</v>
      </c>
      <c r="S3614">
        <v>-3.2882389999999999</v>
      </c>
      <c r="T3614">
        <v>-1.206434</v>
      </c>
      <c r="U3614">
        <v>0.25166319999999998</v>
      </c>
      <c r="V3614">
        <v>4.9197440000000002E-2</v>
      </c>
      <c r="W3614">
        <v>0.20338059999999999</v>
      </c>
      <c r="X3614">
        <v>0.97786300000000004</v>
      </c>
      <c r="Y3614">
        <v>8.8820440000000001E-2</v>
      </c>
      <c r="Z3614">
        <v>2.311042E-2</v>
      </c>
      <c r="AA3614">
        <v>0.99577950000000004</v>
      </c>
      <c r="AB3614">
        <v>33</v>
      </c>
      <c r="AC3614">
        <v>-0.40149999999999803</v>
      </c>
      <c r="AD3614">
        <v>-0.27817229999999998</v>
      </c>
      <c r="AE3614">
        <v>6.5799999999995806E-2</v>
      </c>
      <c r="AF3614">
        <v>5.0233785802375301E-2</v>
      </c>
      <c r="AG3614">
        <v>-0.27817229999999998</v>
      </c>
      <c r="AH3614">
        <v>0.272662814610096</v>
      </c>
      <c r="AI3614">
        <v>135.09497754129899</v>
      </c>
      <c r="AJ3614">
        <v>79.561218808682796</v>
      </c>
      <c r="AK3614">
        <v>0.39274453808350801</v>
      </c>
      <c r="AL3614">
        <v>78.265283299582606</v>
      </c>
      <c r="AM3614">
        <v>87.119810294217203</v>
      </c>
      <c r="AN3614">
        <v>1.00000005166395</v>
      </c>
    </row>
    <row r="3615" spans="1:40" x14ac:dyDescent="0.25">
      <c r="A3615" t="str">
        <f>"20190303162623318"</f>
        <v>20190303162623318</v>
      </c>
      <c r="B3615" t="str">
        <f>"1551601583307111"</f>
        <v>1551601583307111</v>
      </c>
      <c r="C3615" t="s">
        <v>40</v>
      </c>
      <c r="D3615">
        <v>5.1795519999999904</v>
      </c>
      <c r="E3615">
        <v>0.52420659999999997</v>
      </c>
      <c r="F3615" t="s">
        <v>42</v>
      </c>
      <c r="G3615">
        <v>-301.41750000000002</v>
      </c>
      <c r="H3615">
        <v>0.85916039999999905</v>
      </c>
      <c r="I3615">
        <v>142.23500000000001</v>
      </c>
      <c r="J3615">
        <v>-301.06299999999999</v>
      </c>
      <c r="K3615">
        <v>1.121669</v>
      </c>
      <c r="L3615">
        <v>142.172</v>
      </c>
      <c r="M3615">
        <v>-0.99970919999999996</v>
      </c>
      <c r="N3615">
        <v>-1.282726E-2</v>
      </c>
      <c r="O3615">
        <v>-2.0421749999999999E-2</v>
      </c>
      <c r="P3615">
        <v>-0.98153109999999999</v>
      </c>
      <c r="Q3615">
        <v>0.1888281</v>
      </c>
      <c r="R3615">
        <v>3.0673840000000001E-2</v>
      </c>
      <c r="S3615">
        <v>-3.2876889999999999</v>
      </c>
      <c r="T3615">
        <v>-1.2242770000000001</v>
      </c>
      <c r="U3615">
        <v>0.25683590000000001</v>
      </c>
      <c r="V3615">
        <v>5.0419829999999999E-2</v>
      </c>
      <c r="W3615">
        <v>0.20146610000000001</v>
      </c>
      <c r="X3615">
        <v>0.97819690000000004</v>
      </c>
      <c r="Y3615">
        <v>9.0684589999999995E-2</v>
      </c>
      <c r="Z3615">
        <v>2.4011540000000001E-2</v>
      </c>
      <c r="AA3615">
        <v>0.99559019999999998</v>
      </c>
      <c r="AB3615">
        <v>33</v>
      </c>
      <c r="AC3615">
        <v>-0.35450000000003001</v>
      </c>
      <c r="AD3615">
        <v>-0.26250859999999998</v>
      </c>
      <c r="AE3615">
        <v>6.3000000000016598E-2</v>
      </c>
      <c r="AF3615">
        <v>4.5853288403315498E-2</v>
      </c>
      <c r="AG3615">
        <v>-0.26250859999999998</v>
      </c>
      <c r="AH3615">
        <v>0.23057527673207801</v>
      </c>
      <c r="AI3615">
        <v>138.15386877614799</v>
      </c>
      <c r="AJ3615">
        <v>78.752625980338806</v>
      </c>
      <c r="AK3615">
        <v>0.352389340604156</v>
      </c>
      <c r="AL3615">
        <v>78.377293878479705</v>
      </c>
      <c r="AM3615">
        <v>87.049378070579905</v>
      </c>
      <c r="AN3615">
        <v>0.99999996193802299</v>
      </c>
    </row>
    <row r="3616" spans="1:40" x14ac:dyDescent="0.25">
      <c r="A3616" t="str">
        <f>"20190303162623340"</f>
        <v>20190303162623340</v>
      </c>
      <c r="B3616" t="str">
        <f>"1551601583337367"</f>
        <v>1551601583337367</v>
      </c>
      <c r="C3616" t="s">
        <v>40</v>
      </c>
      <c r="D3616">
        <v>5.1451669999999998</v>
      </c>
      <c r="E3616">
        <v>0.52466380000000001</v>
      </c>
      <c r="F3616" t="s">
        <v>42</v>
      </c>
      <c r="G3616">
        <v>-301.72140000000002</v>
      </c>
      <c r="H3616">
        <v>0.87545720000000005</v>
      </c>
      <c r="I3616">
        <v>142.2242</v>
      </c>
      <c r="J3616">
        <v>-301.38619999999997</v>
      </c>
      <c r="K3616">
        <v>1.121618</v>
      </c>
      <c r="L3616">
        <v>142.16480000000001</v>
      </c>
      <c r="M3616">
        <v>-0.99969790000000003</v>
      </c>
      <c r="N3616">
        <v>-1.282578E-2</v>
      </c>
      <c r="O3616">
        <v>-2.0976620000000001E-2</v>
      </c>
      <c r="P3616">
        <v>-0.98192710000000005</v>
      </c>
      <c r="Q3616">
        <v>0.18667520000000001</v>
      </c>
      <c r="R3616">
        <v>3.1175339999999999E-2</v>
      </c>
      <c r="S3616">
        <v>-3.284637</v>
      </c>
      <c r="T3616">
        <v>-1.2282649999999999</v>
      </c>
      <c r="U3616">
        <v>0.25906370000000001</v>
      </c>
      <c r="V3616">
        <v>5.1500740000000003E-2</v>
      </c>
      <c r="W3616">
        <v>0.1993115</v>
      </c>
      <c r="X3616">
        <v>0.9785819</v>
      </c>
      <c r="Y3616">
        <v>9.1806310000000002E-2</v>
      </c>
      <c r="Z3616">
        <v>2.4507640000000001E-2</v>
      </c>
      <c r="AA3616">
        <v>0.9954752</v>
      </c>
      <c r="AB3616">
        <v>33</v>
      </c>
      <c r="AC3616">
        <v>-0.33520000000004302</v>
      </c>
      <c r="AD3616">
        <v>-0.24616080000000001</v>
      </c>
      <c r="AE3616">
        <v>5.93999999999823E-2</v>
      </c>
      <c r="AF3616">
        <v>4.3614002436761098E-2</v>
      </c>
      <c r="AG3616">
        <v>-0.24616080000000001</v>
      </c>
      <c r="AH3616">
        <v>0.21924264601100801</v>
      </c>
      <c r="AI3616">
        <v>137.75741029363201</v>
      </c>
      <c r="AJ3616">
        <v>78.749012376211795</v>
      </c>
      <c r="AK3616">
        <v>0.33251264411312498</v>
      </c>
      <c r="AL3616">
        <v>78.503299299751305</v>
      </c>
      <c r="AM3616">
        <v>86.9874209719802</v>
      </c>
      <c r="AN3616">
        <v>0.99999996763020305</v>
      </c>
    </row>
    <row r="3617" spans="1:40" x14ac:dyDescent="0.25">
      <c r="A3617" t="str">
        <f>"20190303162623359"</f>
        <v>20190303162623359</v>
      </c>
      <c r="B3617" t="str">
        <f>"1551601583356887"</f>
        <v>1551601583356887</v>
      </c>
      <c r="C3617" t="s">
        <v>40</v>
      </c>
      <c r="D3617">
        <v>5.1195919999999999</v>
      </c>
      <c r="E3617">
        <v>0.52480099999999996</v>
      </c>
      <c r="F3617" t="s">
        <v>42</v>
      </c>
      <c r="G3617">
        <v>-302.28210000000001</v>
      </c>
      <c r="H3617">
        <v>0.7877982</v>
      </c>
      <c r="I3617">
        <v>142.2372</v>
      </c>
      <c r="J3617">
        <v>-301.6859</v>
      </c>
      <c r="K3617">
        <v>1.121567</v>
      </c>
      <c r="L3617">
        <v>142.15799999999999</v>
      </c>
      <c r="M3617">
        <v>-0.99968820000000003</v>
      </c>
      <c r="N3617">
        <v>-1.282439E-2</v>
      </c>
      <c r="O3617">
        <v>-2.1429900000000002E-2</v>
      </c>
      <c r="P3617">
        <v>-0.98186649999999998</v>
      </c>
      <c r="Q3617">
        <v>0.18693489999999999</v>
      </c>
      <c r="R3617">
        <v>3.1522769999999999E-2</v>
      </c>
      <c r="S3617">
        <v>-3.279083</v>
      </c>
      <c r="T3617">
        <v>-1.2217549999999999</v>
      </c>
      <c r="U3617">
        <v>0.26438899999999999</v>
      </c>
      <c r="V3617">
        <v>5.2316319999999999E-2</v>
      </c>
      <c r="W3617">
        <v>0.19956380000000001</v>
      </c>
      <c r="X3617">
        <v>0.97848729999999995</v>
      </c>
      <c r="Y3617">
        <v>9.387885E-2</v>
      </c>
      <c r="Z3617">
        <v>2.4968460000000001E-2</v>
      </c>
      <c r="AA3617">
        <v>0.99527049999999995</v>
      </c>
      <c r="AB3617">
        <v>33</v>
      </c>
      <c r="AC3617">
        <v>-0.59620000000001006</v>
      </c>
      <c r="AD3617">
        <v>-0.33376879999999998</v>
      </c>
      <c r="AE3617">
        <v>7.9200000000014301E-2</v>
      </c>
      <c r="AF3617">
        <v>7.0306859633528396E-2</v>
      </c>
      <c r="AG3617">
        <v>-0.33376879999999998</v>
      </c>
      <c r="AH3617">
        <v>0.45441792824979299</v>
      </c>
      <c r="AI3617">
        <v>125.97443568062</v>
      </c>
      <c r="AJ3617">
        <v>81.205018117980501</v>
      </c>
      <c r="AK3617">
        <v>0.56819039052046805</v>
      </c>
      <c r="AL3617">
        <v>78.488548195998703</v>
      </c>
      <c r="AM3617">
        <v>86.939507612293099</v>
      </c>
      <c r="AN3617">
        <v>1.0000000519350301</v>
      </c>
    </row>
    <row r="3618" spans="1:40" x14ac:dyDescent="0.25">
      <c r="A3618" t="str">
        <f>"20190303162623382"</f>
        <v>20190303162623382</v>
      </c>
      <c r="B3618" t="str">
        <f>"1551601583377384"</f>
        <v>1551601583377384</v>
      </c>
      <c r="C3618" t="s">
        <v>40</v>
      </c>
      <c r="D3618">
        <v>5.1197309999999998</v>
      </c>
      <c r="E3618">
        <v>0.524447</v>
      </c>
      <c r="F3618" t="s">
        <v>42</v>
      </c>
      <c r="G3618">
        <v>-302.58049999999997</v>
      </c>
      <c r="H3618">
        <v>0.79053949999999995</v>
      </c>
      <c r="I3618">
        <v>142.23159999999999</v>
      </c>
      <c r="J3618">
        <v>-302.01499999999999</v>
      </c>
      <c r="K3618">
        <v>1.1215120000000001</v>
      </c>
      <c r="L3618">
        <v>142.15039999999999</v>
      </c>
      <c r="M3618">
        <v>-0.99967859999999997</v>
      </c>
      <c r="N3618">
        <v>-1.282286E-2</v>
      </c>
      <c r="O3618">
        <v>-2.186977E-2</v>
      </c>
      <c r="P3618">
        <v>-0.98181169999999995</v>
      </c>
      <c r="Q3618">
        <v>0.1870869</v>
      </c>
      <c r="R3618">
        <v>3.2312889999999997E-2</v>
      </c>
      <c r="S3618">
        <v>-3.277679</v>
      </c>
      <c r="T3618">
        <v>-1.2127429999999999</v>
      </c>
      <c r="U3618">
        <v>0.26867679999999999</v>
      </c>
      <c r="V3618">
        <v>5.3562859999999997E-2</v>
      </c>
      <c r="W3618">
        <v>0.1997073</v>
      </c>
      <c r="X3618">
        <v>0.97839050000000005</v>
      </c>
      <c r="Y3618">
        <v>9.5604430000000004E-2</v>
      </c>
      <c r="Z3618">
        <v>2.52783E-2</v>
      </c>
      <c r="AA3618">
        <v>0.99509840000000005</v>
      </c>
      <c r="AB3618">
        <v>33</v>
      </c>
      <c r="AC3618">
        <v>-0.56549999999998501</v>
      </c>
      <c r="AD3618">
        <v>-0.3309725</v>
      </c>
      <c r="AE3618">
        <v>8.1199999999995498E-2</v>
      </c>
      <c r="AF3618">
        <v>7.0041283936263396E-2</v>
      </c>
      <c r="AG3618">
        <v>-0.3309725</v>
      </c>
      <c r="AH3618">
        <v>0.42196605023376499</v>
      </c>
      <c r="AI3618">
        <v>127.73166790810799</v>
      </c>
      <c r="AJ3618">
        <v>80.5755179688894</v>
      </c>
      <c r="AK3618">
        <v>0.54083631975078605</v>
      </c>
      <c r="AL3618">
        <v>78.480156483511294</v>
      </c>
      <c r="AM3618">
        <v>86.866419546984702</v>
      </c>
      <c r="AN3618">
        <v>0.99999997806745899</v>
      </c>
    </row>
    <row r="3619" spans="1:40" x14ac:dyDescent="0.25">
      <c r="A3619" t="str">
        <f>"20190303162623404"</f>
        <v>20190303162623404</v>
      </c>
      <c r="B3619" t="str">
        <f>"1551601583396904"</f>
        <v>1551601583396904</v>
      </c>
      <c r="C3619" t="s">
        <v>40</v>
      </c>
      <c r="D3619">
        <v>5.0682179999999999</v>
      </c>
      <c r="E3619">
        <v>0.52458419999999994</v>
      </c>
      <c r="F3619" t="s">
        <v>42</v>
      </c>
      <c r="G3619">
        <v>-302.88189999999997</v>
      </c>
      <c r="H3619">
        <v>0.80117769999999899</v>
      </c>
      <c r="I3619">
        <v>142.2218</v>
      </c>
      <c r="J3619">
        <v>-302.36110000000002</v>
      </c>
      <c r="K3619">
        <v>1.1214500000000001</v>
      </c>
      <c r="L3619">
        <v>142.14240000000001</v>
      </c>
      <c r="M3619">
        <v>-0.9996699</v>
      </c>
      <c r="N3619">
        <v>-1.2821269999999999E-2</v>
      </c>
      <c r="O3619">
        <v>-2.226626E-2</v>
      </c>
      <c r="P3619">
        <v>-0.98209709999999995</v>
      </c>
      <c r="Q3619">
        <v>0.18546370000000001</v>
      </c>
      <c r="R3619">
        <v>3.2996339999999999E-2</v>
      </c>
      <c r="S3619">
        <v>-3.2774960000000002</v>
      </c>
      <c r="T3619">
        <v>-1.211109</v>
      </c>
      <c r="U3619">
        <v>0.26963809999999999</v>
      </c>
      <c r="V3619">
        <v>5.4669910000000002E-2</v>
      </c>
      <c r="W3619">
        <v>0.1980797</v>
      </c>
      <c r="X3619">
        <v>0.97866010000000003</v>
      </c>
      <c r="Y3619">
        <v>9.6245150000000002E-2</v>
      </c>
      <c r="Z3619">
        <v>2.5503129999999999E-2</v>
      </c>
      <c r="AA3619">
        <v>0.99503090000000005</v>
      </c>
      <c r="AB3619">
        <v>33</v>
      </c>
      <c r="AC3619">
        <v>-0.52079999999995097</v>
      </c>
      <c r="AD3619">
        <v>-0.32027230000000001</v>
      </c>
      <c r="AE3619">
        <v>7.9399999999992504E-2</v>
      </c>
      <c r="AF3619">
        <v>6.6426934421227601E-2</v>
      </c>
      <c r="AG3619">
        <v>-0.32027230000000001</v>
      </c>
      <c r="AH3619">
        <v>0.37887508638363498</v>
      </c>
      <c r="AI3619">
        <v>129.78157431740601</v>
      </c>
      <c r="AJ3619">
        <v>80.055590870943703</v>
      </c>
      <c r="AK3619">
        <v>0.50053293083082895</v>
      </c>
      <c r="AL3619">
        <v>78.575312224785705</v>
      </c>
      <c r="AM3619">
        <v>86.802666258512403</v>
      </c>
      <c r="AN3619">
        <v>0.99999997897175297</v>
      </c>
    </row>
    <row r="3620" spans="1:40" x14ac:dyDescent="0.25">
      <c r="A3620" t="str">
        <f>"20190303162623427"</f>
        <v>20190303162623427</v>
      </c>
      <c r="B3620" t="str">
        <f>"1551601583417399"</f>
        <v>1551601583417399</v>
      </c>
      <c r="C3620" t="s">
        <v>40</v>
      </c>
      <c r="D3620">
        <v>5.0746190000000002</v>
      </c>
      <c r="E3620">
        <v>0.52462469999999894</v>
      </c>
      <c r="F3620" t="s">
        <v>42</v>
      </c>
      <c r="G3620">
        <v>-303.18529999999998</v>
      </c>
      <c r="H3620">
        <v>0.81714900000000001</v>
      </c>
      <c r="I3620">
        <v>142.21119999999999</v>
      </c>
      <c r="J3620">
        <v>-302.69049999999999</v>
      </c>
      <c r="K3620">
        <v>1.121389</v>
      </c>
      <c r="L3620">
        <v>142.13470000000001</v>
      </c>
      <c r="M3620">
        <v>-0.99966290000000002</v>
      </c>
      <c r="N3620">
        <v>-1.281972E-2</v>
      </c>
      <c r="O3620">
        <v>-2.257938E-2</v>
      </c>
      <c r="P3620">
        <v>-0.98249580000000003</v>
      </c>
      <c r="Q3620">
        <v>0.1832474</v>
      </c>
      <c r="R3620">
        <v>3.3502980000000002E-2</v>
      </c>
      <c r="S3620">
        <v>-3.2738040000000002</v>
      </c>
      <c r="T3620">
        <v>-1.2087380000000001</v>
      </c>
      <c r="U3620">
        <v>0.27243040000000002</v>
      </c>
      <c r="V3620">
        <v>5.5519329999999999E-2</v>
      </c>
      <c r="W3620">
        <v>0.19586049999999999</v>
      </c>
      <c r="X3620">
        <v>0.97905889999999995</v>
      </c>
      <c r="Y3620">
        <v>9.7406419999999994E-2</v>
      </c>
      <c r="Z3620">
        <v>2.5805379999999999E-2</v>
      </c>
      <c r="AA3620">
        <v>0.99491010000000002</v>
      </c>
      <c r="AB3620">
        <v>33</v>
      </c>
      <c r="AC3620">
        <v>-0.49479999999999702</v>
      </c>
      <c r="AD3620">
        <v>-0.30423999999999901</v>
      </c>
      <c r="AE3620">
        <v>7.6499999999981499E-2</v>
      </c>
      <c r="AF3620">
        <v>6.4016091354586302E-2</v>
      </c>
      <c r="AG3620">
        <v>-0.30423999999999901</v>
      </c>
      <c r="AH3620">
        <v>0.36001336960644198</v>
      </c>
      <c r="AI3620">
        <v>129.76141626041701</v>
      </c>
      <c r="AJ3620">
        <v>79.917286240544101</v>
      </c>
      <c r="AK3620">
        <v>0.47567810948970801</v>
      </c>
      <c r="AL3620">
        <v>78.705004365163305</v>
      </c>
      <c r="AM3620">
        <v>86.754413700459494</v>
      </c>
      <c r="AN3620">
        <v>1.00000003056655</v>
      </c>
    </row>
    <row r="3621" spans="1:40" x14ac:dyDescent="0.25">
      <c r="A3621" t="str">
        <f>"20190303162623448"</f>
        <v>20190303162623448</v>
      </c>
      <c r="B3621" t="str">
        <f>"1551601583436920"</f>
        <v>1551601583436920</v>
      </c>
      <c r="C3621" t="s">
        <v>40</v>
      </c>
      <c r="D3621">
        <v>4.9659230000000001</v>
      </c>
      <c r="E3621">
        <v>0.52433629999999998</v>
      </c>
      <c r="F3621" t="s">
        <v>42</v>
      </c>
      <c r="G3621">
        <v>-303.48579999999998</v>
      </c>
      <c r="H3621">
        <v>0.82621149999999999</v>
      </c>
      <c r="I3621">
        <v>142.20079999999999</v>
      </c>
      <c r="J3621">
        <v>-303.01089999999999</v>
      </c>
      <c r="K3621">
        <v>1.12134</v>
      </c>
      <c r="L3621">
        <v>142.12710000000001</v>
      </c>
      <c r="M3621">
        <v>-0.99965720000000002</v>
      </c>
      <c r="N3621">
        <v>-1.281814E-2</v>
      </c>
      <c r="O3621">
        <v>-2.283058E-2</v>
      </c>
      <c r="P3621">
        <v>-0.98248729999999995</v>
      </c>
      <c r="Q3621">
        <v>0.1834085</v>
      </c>
      <c r="R3621">
        <v>3.2866329999999999E-2</v>
      </c>
      <c r="S3621">
        <v>-3.2706300000000001</v>
      </c>
      <c r="T3621">
        <v>-1.2138279999999999</v>
      </c>
      <c r="U3621">
        <v>0.27131650000000002</v>
      </c>
      <c r="V3621">
        <v>5.5151930000000002E-2</v>
      </c>
      <c r="W3621">
        <v>0.1960133</v>
      </c>
      <c r="X3621">
        <v>0.97904899999999995</v>
      </c>
      <c r="Y3621">
        <v>9.7310389999999997E-2</v>
      </c>
      <c r="Z3621">
        <v>2.5998710000000001E-2</v>
      </c>
      <c r="AA3621">
        <v>0.99491450000000003</v>
      </c>
      <c r="AB3621">
        <v>33</v>
      </c>
      <c r="AC3621">
        <v>-0.474899999999991</v>
      </c>
      <c r="AD3621">
        <v>-0.29512849999999902</v>
      </c>
      <c r="AE3621">
        <v>7.3699999999973898E-2</v>
      </c>
      <c r="AF3621">
        <v>6.1377201861191999E-2</v>
      </c>
      <c r="AG3621">
        <v>-0.29512849999999902</v>
      </c>
      <c r="AH3621">
        <v>0.34353768619610697</v>
      </c>
      <c r="AI3621">
        <v>130.22103073761099</v>
      </c>
      <c r="AJ3621">
        <v>79.870287826605804</v>
      </c>
      <c r="AK3621">
        <v>0.457040626484708</v>
      </c>
      <c r="AL3621">
        <v>78.696075557840203</v>
      </c>
      <c r="AM3621">
        <v>86.775813421269007</v>
      </c>
      <c r="AN3621">
        <v>0.99999994678030601</v>
      </c>
    </row>
    <row r="3622" spans="1:40" x14ac:dyDescent="0.25">
      <c r="A3622" t="str">
        <f>"20190303162623471"</f>
        <v>20190303162623471</v>
      </c>
      <c r="B3622" t="str">
        <f>"1551601583467175"</f>
        <v>1551601583467175</v>
      </c>
      <c r="C3622" t="s">
        <v>40</v>
      </c>
      <c r="D3622">
        <v>5.2604189999999997</v>
      </c>
      <c r="E3622">
        <v>0.49126779999999998</v>
      </c>
      <c r="F3622" t="s">
        <v>42</v>
      </c>
      <c r="G3622">
        <v>-303.78820000000002</v>
      </c>
      <c r="H3622">
        <v>0.8400898</v>
      </c>
      <c r="I3622">
        <v>142.1909</v>
      </c>
      <c r="J3622">
        <v>-303.34109999999998</v>
      </c>
      <c r="K3622">
        <v>1.121302</v>
      </c>
      <c r="L3622">
        <v>142.11920000000001</v>
      </c>
      <c r="M3622">
        <v>-0.99965219999999999</v>
      </c>
      <c r="N3622">
        <v>-1.281673E-2</v>
      </c>
      <c r="O3622">
        <v>-2.3049670000000001E-2</v>
      </c>
      <c r="P3622">
        <v>-0.98240830000000001</v>
      </c>
      <c r="Q3622">
        <v>0.18401500000000001</v>
      </c>
      <c r="R3622">
        <v>3.1822950000000003E-2</v>
      </c>
      <c r="S3622">
        <v>-3.2650760000000001</v>
      </c>
      <c r="T3622">
        <v>-1.181365</v>
      </c>
      <c r="U3622">
        <v>0.26684570000000002</v>
      </c>
      <c r="V3622">
        <v>5.4342309999999998E-2</v>
      </c>
      <c r="W3622">
        <v>0.19661129999999999</v>
      </c>
      <c r="X3622">
        <v>0.97897440000000002</v>
      </c>
      <c r="Y3622">
        <v>9.672567E-2</v>
      </c>
      <c r="Z3622">
        <v>2.5361600000000002E-2</v>
      </c>
      <c r="AA3622">
        <v>0.99498790000000004</v>
      </c>
      <c r="AB3622">
        <v>33</v>
      </c>
      <c r="AC3622">
        <v>-0.44710000000003403</v>
      </c>
      <c r="AD3622">
        <v>-0.28121219999999902</v>
      </c>
      <c r="AE3622">
        <v>7.16999999999927E-2</v>
      </c>
      <c r="AF3622">
        <v>5.9167402676039399E-2</v>
      </c>
      <c r="AG3622">
        <v>-0.28121219999999902</v>
      </c>
      <c r="AH3622">
        <v>0.321378119003697</v>
      </c>
      <c r="AI3622">
        <v>130.71387453283501</v>
      </c>
      <c r="AJ3622">
        <v>79.568358037740794</v>
      </c>
      <c r="AK3622">
        <v>0.43112060765245602</v>
      </c>
      <c r="AL3622">
        <v>78.661133156681004</v>
      </c>
      <c r="AM3622">
        <v>86.822804609014398</v>
      </c>
      <c r="AN3622">
        <v>0.99999998289959302</v>
      </c>
    </row>
    <row r="3623" spans="1:40" x14ac:dyDescent="0.25">
      <c r="A3623" t="str">
        <f>"20190303162623494"</f>
        <v>20190303162623494</v>
      </c>
      <c r="B3623" t="str">
        <f>"1551601583487673"</f>
        <v>1551601583487673</v>
      </c>
      <c r="C3623" t="s">
        <v>40</v>
      </c>
      <c r="D3623">
        <v>4.9575310000000004</v>
      </c>
      <c r="E3623">
        <v>0.4919248</v>
      </c>
      <c r="F3623" t="s">
        <v>41</v>
      </c>
      <c r="G3623">
        <v>-360.78320000000002</v>
      </c>
      <c r="H3623" s="1">
        <v>-4.5079149999999999E-6</v>
      </c>
      <c r="I3623">
        <v>142.42609999999999</v>
      </c>
      <c r="J3623">
        <v>-303.68459999999999</v>
      </c>
      <c r="K3623">
        <v>1.121273</v>
      </c>
      <c r="L3623">
        <v>142.11109999999999</v>
      </c>
      <c r="M3623">
        <v>-0.99964770000000003</v>
      </c>
      <c r="N3623">
        <v>-1.281535E-2</v>
      </c>
      <c r="O3623">
        <v>-2.3249249999999999E-2</v>
      </c>
      <c r="P3623">
        <v>-0.98255179999999998</v>
      </c>
      <c r="Q3623">
        <v>0.1833523</v>
      </c>
      <c r="R3623">
        <v>3.120935E-2</v>
      </c>
      <c r="S3623">
        <v>-3.0643919999999998</v>
      </c>
      <c r="T3623">
        <v>-5.9818980000000001E-2</v>
      </c>
      <c r="U3623">
        <v>1.6372680000000001E-2</v>
      </c>
      <c r="V3623">
        <v>5.3944800000000001E-2</v>
      </c>
      <c r="W3623">
        <v>0.1959446</v>
      </c>
      <c r="X3623">
        <v>0.97912999999999994</v>
      </c>
      <c r="Y3623">
        <v>2.8582650000000001E-2</v>
      </c>
      <c r="Z3623">
        <v>6.1794149999999995E-4</v>
      </c>
      <c r="AA3623">
        <v>0.99959120000000001</v>
      </c>
      <c r="AB3623">
        <v>33</v>
      </c>
      <c r="AC3623">
        <v>-57.098599999999998</v>
      </c>
      <c r="AD3623">
        <v>-1.1212775079149999</v>
      </c>
      <c r="AE3623">
        <v>0.314999999999997</v>
      </c>
      <c r="AF3623">
        <v>1.6418901521129701</v>
      </c>
      <c r="AG3623">
        <v>-1.1212775079149999</v>
      </c>
      <c r="AH3623">
        <v>57.053838354027</v>
      </c>
      <c r="AI3623">
        <v>91.125421628998296</v>
      </c>
      <c r="AJ3623">
        <v>88.351602236954307</v>
      </c>
      <c r="AK3623">
        <v>57.088471143032102</v>
      </c>
      <c r="AL3623">
        <v>78.700089567159594</v>
      </c>
      <c r="AM3623">
        <v>86.846498676563499</v>
      </c>
      <c r="AN3623">
        <v>0.99999994230809797</v>
      </c>
    </row>
    <row r="3624" spans="1:40" x14ac:dyDescent="0.25">
      <c r="A3624" t="str">
        <f>"20190303162623519"</f>
        <v>20190303162623519</v>
      </c>
      <c r="B3624" t="str">
        <f>"1551601583507191"</f>
        <v>1551601583507191</v>
      </c>
      <c r="C3624" t="s">
        <v>40</v>
      </c>
      <c r="D3624">
        <v>5.1427930000000002</v>
      </c>
      <c r="E3624">
        <v>0.48996810000000002</v>
      </c>
      <c r="F3624" t="s">
        <v>41</v>
      </c>
      <c r="G3624">
        <v>-360.19940000000003</v>
      </c>
      <c r="H3624" s="1">
        <v>-4.7126889999999997E-6</v>
      </c>
      <c r="I3624">
        <v>142.4605</v>
      </c>
      <c r="J3624">
        <v>-304.04680000000002</v>
      </c>
      <c r="K3624">
        <v>1.1212439999999999</v>
      </c>
      <c r="L3624">
        <v>142.10239999999999</v>
      </c>
      <c r="M3624">
        <v>-0.99964310000000001</v>
      </c>
      <c r="N3624">
        <v>-1.281385E-2</v>
      </c>
      <c r="O3624">
        <v>-2.3439000000000002E-2</v>
      </c>
      <c r="P3624">
        <v>-0.98287539999999995</v>
      </c>
      <c r="Q3624">
        <v>0.18158160000000001</v>
      </c>
      <c r="R3624">
        <v>3.1365789999999998E-2</v>
      </c>
      <c r="S3624">
        <v>-3.0640260000000001</v>
      </c>
      <c r="T3624">
        <v>-6.0791610000000003E-2</v>
      </c>
      <c r="U3624">
        <v>1.895142E-2</v>
      </c>
      <c r="V3624">
        <v>5.4306800000000002E-2</v>
      </c>
      <c r="W3624">
        <v>0.1941735</v>
      </c>
      <c r="X3624">
        <v>0.97946279999999997</v>
      </c>
      <c r="Y3624">
        <v>2.9613629999999998E-2</v>
      </c>
      <c r="Z3624">
        <v>6.4812289999999998E-4</v>
      </c>
      <c r="AA3624">
        <v>0.99956120000000004</v>
      </c>
      <c r="AB3624">
        <v>33</v>
      </c>
      <c r="AC3624">
        <v>-56.1526</v>
      </c>
      <c r="AD3624">
        <v>-1.1212487126890001</v>
      </c>
      <c r="AE3624">
        <v>0.35810000000000702</v>
      </c>
      <c r="AF3624">
        <v>1.6736032546363899</v>
      </c>
      <c r="AG3624">
        <v>-1.1212487126890001</v>
      </c>
      <c r="AH3624">
        <v>56.106406765198898</v>
      </c>
      <c r="AI3624">
        <v>91.144356270846899</v>
      </c>
      <c r="AJ3624">
        <v>88.2914254631185</v>
      </c>
      <c r="AK3624">
        <v>56.142559851075497</v>
      </c>
      <c r="AL3624">
        <v>78.803553920271696</v>
      </c>
      <c r="AM3624">
        <v>86.826456507837705</v>
      </c>
      <c r="AN3624">
        <v>0.99999997660616402</v>
      </c>
    </row>
    <row r="3625" spans="1:40" x14ac:dyDescent="0.25">
      <c r="A3625" t="str">
        <f>"20190303162623562"</f>
        <v>20190303162623562</v>
      </c>
      <c r="B3625" t="str">
        <f>"1551601583556968"</f>
        <v>1551601583556968</v>
      </c>
      <c r="C3625" t="s">
        <v>40</v>
      </c>
      <c r="D3625">
        <v>5.1373290000000003</v>
      </c>
      <c r="E3625">
        <v>0.48846869999999998</v>
      </c>
      <c r="F3625" t="s">
        <v>41</v>
      </c>
      <c r="G3625">
        <v>-355.91919999999999</v>
      </c>
      <c r="H3625" s="1">
        <v>-2.4104529999999998E-6</v>
      </c>
      <c r="I3625">
        <v>142.16249999999999</v>
      </c>
      <c r="J3625">
        <v>-304.68979999999999</v>
      </c>
      <c r="K3625">
        <v>1.1212230000000001</v>
      </c>
      <c r="L3625">
        <v>142.08680000000001</v>
      </c>
      <c r="M3625">
        <v>-0.99963590000000002</v>
      </c>
      <c r="N3625">
        <v>-1.281119E-2</v>
      </c>
      <c r="O3625">
        <v>-2.3750159999999999E-2</v>
      </c>
      <c r="P3625">
        <v>-0.98308079999999998</v>
      </c>
      <c r="Q3625">
        <v>0.18078459999999999</v>
      </c>
      <c r="R3625">
        <v>2.9481790000000001E-2</v>
      </c>
      <c r="S3625">
        <v>-3.0643919999999998</v>
      </c>
      <c r="T3625">
        <v>-6.6238279999999997E-2</v>
      </c>
      <c r="U3625">
        <v>3.5552980000000001E-3</v>
      </c>
      <c r="V3625">
        <v>5.2743140000000001E-2</v>
      </c>
      <c r="W3625">
        <v>0.19337360000000001</v>
      </c>
      <c r="X3625">
        <v>0.97970650000000004</v>
      </c>
      <c r="Y3625">
        <v>2.4901779999999998E-2</v>
      </c>
      <c r="Z3625">
        <v>6.3763769999999995E-4</v>
      </c>
      <c r="AA3625">
        <v>0.99968970000000001</v>
      </c>
      <c r="AB3625">
        <v>33</v>
      </c>
      <c r="AC3625">
        <v>-51.229399999999998</v>
      </c>
      <c r="AD3625">
        <v>-1.1212254104529999</v>
      </c>
      <c r="AE3625">
        <v>7.5699999999983406E-2</v>
      </c>
      <c r="AF3625">
        <v>1.2918660513976199</v>
      </c>
      <c r="AG3625">
        <v>-1.1212254104529999</v>
      </c>
      <c r="AH3625">
        <v>51.188629103782503</v>
      </c>
      <c r="AI3625">
        <v>91.254395267383103</v>
      </c>
      <c r="AJ3625">
        <v>88.554312451557706</v>
      </c>
      <c r="AK3625">
        <v>51.217202323442201</v>
      </c>
      <c r="AL3625">
        <v>78.850270609166799</v>
      </c>
      <c r="AM3625">
        <v>86.918419042518593</v>
      </c>
      <c r="AN3625">
        <v>1.0000000070681301</v>
      </c>
    </row>
    <row r="3626" spans="1:40" x14ac:dyDescent="0.25">
      <c r="A3626" t="str">
        <f>"20190303162623585"</f>
        <v>20190303162623585</v>
      </c>
      <c r="B3626" t="str">
        <f>"1551601583577464"</f>
        <v>1551601583577464</v>
      </c>
      <c r="C3626" t="s">
        <v>40</v>
      </c>
      <c r="D3626">
        <v>5.1463219999999996</v>
      </c>
      <c r="E3626">
        <v>0.48822409999999999</v>
      </c>
      <c r="F3626" t="s">
        <v>41</v>
      </c>
      <c r="G3626">
        <v>-364.54880000000003</v>
      </c>
      <c r="H3626" s="1">
        <v>-2.9069219999999998E-6</v>
      </c>
      <c r="I3626">
        <v>141.81890000000001</v>
      </c>
      <c r="J3626">
        <v>-305.02</v>
      </c>
      <c r="K3626">
        <v>1.1212219999999999</v>
      </c>
      <c r="L3626">
        <v>142.0787</v>
      </c>
      <c r="M3626">
        <v>-0.99963219999999997</v>
      </c>
      <c r="N3626">
        <v>-1.2809890000000001E-2</v>
      </c>
      <c r="O3626">
        <v>-2.3911330000000001E-2</v>
      </c>
      <c r="P3626">
        <v>-0.98293269999999999</v>
      </c>
      <c r="Q3626">
        <v>0.18201030000000001</v>
      </c>
      <c r="R3626">
        <v>2.675491E-2</v>
      </c>
      <c r="S3626">
        <v>-3.0625610000000001</v>
      </c>
      <c r="T3626">
        <v>-5.7365300000000001E-2</v>
      </c>
      <c r="U3626">
        <v>-1.370239E-2</v>
      </c>
      <c r="V3626">
        <v>5.0174669999999998E-2</v>
      </c>
      <c r="W3626">
        <v>0.19459499999999999</v>
      </c>
      <c r="X3626">
        <v>0.97959949999999996</v>
      </c>
      <c r="Y3626">
        <v>1.9434050000000001E-2</v>
      </c>
      <c r="Z3626">
        <v>4.4796959999999998E-4</v>
      </c>
      <c r="AA3626">
        <v>0.99981109999999895</v>
      </c>
      <c r="AB3626">
        <v>33</v>
      </c>
      <c r="AC3626">
        <v>-59.528799999999997</v>
      </c>
      <c r="AD3626">
        <v>-1.1212249069219999</v>
      </c>
      <c r="AE3626">
        <v>-0.25979999999998399</v>
      </c>
      <c r="AF3626">
        <v>1.1633908911122399</v>
      </c>
      <c r="AG3626">
        <v>-1.1212249069219999</v>
      </c>
      <c r="AH3626">
        <v>59.496883059675199</v>
      </c>
      <c r="AI3626">
        <v>91.079410802346104</v>
      </c>
      <c r="AJ3626">
        <v>88.879791831328902</v>
      </c>
      <c r="AK3626">
        <v>59.518818179413501</v>
      </c>
      <c r="AL3626">
        <v>78.778933789182702</v>
      </c>
      <c r="AM3626">
        <v>87.067896806590397</v>
      </c>
      <c r="AN3626">
        <v>0.99999994596742803</v>
      </c>
    </row>
    <row r="3627" spans="1:40" x14ac:dyDescent="0.25">
      <c r="A3627" t="str">
        <f>"20190303162623606"</f>
        <v>20190303162623606</v>
      </c>
      <c r="B3627" t="str">
        <f>"1551601583596984"</f>
        <v>1551601583596984</v>
      </c>
      <c r="C3627" t="s">
        <v>40</v>
      </c>
      <c r="D3627">
        <v>5.2116769999999999</v>
      </c>
      <c r="E3627">
        <v>0.4880255</v>
      </c>
      <c r="F3627" t="s">
        <v>41</v>
      </c>
      <c r="G3627">
        <v>-368.61040000000003</v>
      </c>
      <c r="H3627" s="1">
        <v>-1.1106429999999999E-6</v>
      </c>
      <c r="I3627">
        <v>141.6164</v>
      </c>
      <c r="J3627">
        <v>-305.35039999999998</v>
      </c>
      <c r="K3627">
        <v>1.121213</v>
      </c>
      <c r="L3627">
        <v>142.07050000000001</v>
      </c>
      <c r="M3627">
        <v>-0.99962819999999997</v>
      </c>
      <c r="N3627">
        <v>-1.280855E-2</v>
      </c>
      <c r="O3627">
        <v>-2.4078220000000001E-2</v>
      </c>
      <c r="P3627">
        <v>-0.98283659999999995</v>
      </c>
      <c r="Q3627">
        <v>0.18277969999999999</v>
      </c>
      <c r="R3627">
        <v>2.498274E-2</v>
      </c>
      <c r="S3627">
        <v>-3.0627140000000002</v>
      </c>
      <c r="T3627">
        <v>-5.4001689999999998E-2</v>
      </c>
      <c r="U3627">
        <v>-2.2262569999999999E-2</v>
      </c>
      <c r="V3627">
        <v>4.8567319999999997E-2</v>
      </c>
      <c r="W3627">
        <v>0.19536100000000001</v>
      </c>
      <c r="X3627">
        <v>0.97952810000000001</v>
      </c>
      <c r="Y3627">
        <v>1.6808159999999999E-2</v>
      </c>
      <c r="Z3627">
        <v>3.718611E-4</v>
      </c>
      <c r="AA3627">
        <v>0.99985869999999999</v>
      </c>
      <c r="AB3627">
        <v>33</v>
      </c>
      <c r="AC3627">
        <v>-63.26</v>
      </c>
      <c r="AD3627">
        <v>-1.121214110643</v>
      </c>
      <c r="AE3627">
        <v>-0.45410000000001099</v>
      </c>
      <c r="AF3627">
        <v>1.0690087639689401</v>
      </c>
      <c r="AG3627">
        <v>-1.121214110643</v>
      </c>
      <c r="AH3627">
        <v>63.2327286227274</v>
      </c>
      <c r="AI3627">
        <v>91.015691257066507</v>
      </c>
      <c r="AJ3627">
        <v>89.031453212642802</v>
      </c>
      <c r="AK3627">
        <v>63.251702505899701</v>
      </c>
      <c r="AL3627">
        <v>78.7341870465998</v>
      </c>
      <c r="AM3627">
        <v>87.161464307230801</v>
      </c>
      <c r="AN3627">
        <v>1.00000000179129</v>
      </c>
    </row>
    <row r="3628" spans="1:40" x14ac:dyDescent="0.25">
      <c r="A3628" t="str">
        <f>"20190303162623627"</f>
        <v>20190303162623627</v>
      </c>
      <c r="B3628" t="str">
        <f>"1551601583617479"</f>
        <v>1551601583617479</v>
      </c>
      <c r="C3628" t="s">
        <v>40</v>
      </c>
      <c r="D3628">
        <v>5.2795459999999999</v>
      </c>
      <c r="E3628">
        <v>0.48804189999999997</v>
      </c>
      <c r="F3628" t="s">
        <v>41</v>
      </c>
      <c r="G3628">
        <v>-374.54969999999997</v>
      </c>
      <c r="H3628" s="1">
        <v>-2.8011039999999999E-6</v>
      </c>
      <c r="I3628">
        <v>141.42259999999999</v>
      </c>
      <c r="J3628">
        <v>-305.65890000000002</v>
      </c>
      <c r="K3628">
        <v>1.121202</v>
      </c>
      <c r="L3628">
        <v>142.06290000000001</v>
      </c>
      <c r="M3628">
        <v>-0.99962419999999996</v>
      </c>
      <c r="N3628">
        <v>-1.2807280000000001E-2</v>
      </c>
      <c r="O3628">
        <v>-2.4237379999999999E-2</v>
      </c>
      <c r="P3628">
        <v>-0.98298410000000003</v>
      </c>
      <c r="Q3628">
        <v>0.18212049999999999</v>
      </c>
      <c r="R3628">
        <v>2.3972250000000001E-2</v>
      </c>
      <c r="S3628">
        <v>-3.0623469999999999</v>
      </c>
      <c r="T3628">
        <v>-4.961836E-2</v>
      </c>
      <c r="U3628">
        <v>-2.867126E-2</v>
      </c>
      <c r="V3628">
        <v>4.7719980000000002E-2</v>
      </c>
      <c r="W3628">
        <v>0.1947016</v>
      </c>
      <c r="X3628">
        <v>0.97970100000000004</v>
      </c>
      <c r="Y3628">
        <v>1.4875319999999999E-2</v>
      </c>
      <c r="Z3628">
        <v>2.9796219999999999E-4</v>
      </c>
      <c r="AA3628">
        <v>0.99988929999999998</v>
      </c>
      <c r="AB3628">
        <v>33</v>
      </c>
      <c r="AC3628">
        <v>-68.890799999999899</v>
      </c>
      <c r="AD3628">
        <v>-1.1212048011039999</v>
      </c>
      <c r="AE3628">
        <v>-0.64030000000002396</v>
      </c>
      <c r="AF3628">
        <v>1.02948490531851</v>
      </c>
      <c r="AG3628">
        <v>-1.1212048011039999</v>
      </c>
      <c r="AH3628">
        <v>68.867839138794693</v>
      </c>
      <c r="AI3628">
        <v>90.932618976334297</v>
      </c>
      <c r="AJ3628">
        <v>89.143566172630997</v>
      </c>
      <c r="AK3628">
        <v>68.884658720379804</v>
      </c>
      <c r="AL3628">
        <v>78.772707339783906</v>
      </c>
      <c r="AM3628">
        <v>87.211399978286195</v>
      </c>
      <c r="AN3628">
        <v>0.99999997946737995</v>
      </c>
    </row>
    <row r="3629" spans="1:40" x14ac:dyDescent="0.25">
      <c r="A3629" t="str">
        <f>"20190303162623649"</f>
        <v>20190303162623649</v>
      </c>
      <c r="B3629" t="str">
        <f>"1551601583637000"</f>
        <v>1551601583637000</v>
      </c>
      <c r="C3629" t="s">
        <v>40</v>
      </c>
      <c r="D3629">
        <v>5.1488849999999999</v>
      </c>
      <c r="E3629">
        <v>0.48803940000000001</v>
      </c>
      <c r="F3629" t="s">
        <v>41</v>
      </c>
      <c r="G3629">
        <v>-373.50139999999999</v>
      </c>
      <c r="H3629" s="1">
        <v>-3.2351440000000001E-6</v>
      </c>
      <c r="I3629">
        <v>141.36359999999999</v>
      </c>
      <c r="J3629">
        <v>-305.98169999999999</v>
      </c>
      <c r="K3629">
        <v>1.1211949999999999</v>
      </c>
      <c r="L3629">
        <v>142.0548</v>
      </c>
      <c r="M3629">
        <v>-0.99962019999999996</v>
      </c>
      <c r="N3629">
        <v>-1.280367E-2</v>
      </c>
      <c r="O3629">
        <v>-2.440585E-2</v>
      </c>
      <c r="P3629">
        <v>-0.98304020000000003</v>
      </c>
      <c r="Q3629">
        <v>0.18188979999999999</v>
      </c>
      <c r="R3629">
        <v>2.3420259999999998E-2</v>
      </c>
      <c r="S3629">
        <v>-3.0620729999999998</v>
      </c>
      <c r="T3629">
        <v>-5.0605650000000002E-2</v>
      </c>
      <c r="U3629">
        <v>-3.1555180000000002E-2</v>
      </c>
      <c r="V3629">
        <v>4.7336929999999999E-2</v>
      </c>
      <c r="W3629">
        <v>0.19446769999999999</v>
      </c>
      <c r="X3629">
        <v>0.97976609999999997</v>
      </c>
      <c r="Y3629">
        <v>1.410142E-2</v>
      </c>
      <c r="Z3629">
        <v>2.9755260000000001E-4</v>
      </c>
      <c r="AA3629">
        <v>0.99990049999999997</v>
      </c>
      <c r="AB3629">
        <v>33</v>
      </c>
      <c r="AC3629">
        <v>-67.5197</v>
      </c>
      <c r="AD3629">
        <v>-1.121198235144</v>
      </c>
      <c r="AE3629">
        <v>-0.69120000000000903</v>
      </c>
      <c r="AF3629">
        <v>0.95675278595362301</v>
      </c>
      <c r="AG3629">
        <v>-1.121198235144</v>
      </c>
      <c r="AH3629">
        <v>67.497845432846304</v>
      </c>
      <c r="AI3629">
        <v>90.951549909686406</v>
      </c>
      <c r="AJ3629">
        <v>89.1879114739735</v>
      </c>
      <c r="AK3629">
        <v>67.513936335043695</v>
      </c>
      <c r="AL3629">
        <v>78.786370673145299</v>
      </c>
      <c r="AM3629">
        <v>87.233932778905796</v>
      </c>
      <c r="AN3629">
        <v>1.0000000409971599</v>
      </c>
    </row>
    <row r="3630" spans="1:40" x14ac:dyDescent="0.25">
      <c r="A3630" t="str">
        <f>"20190303162623672"</f>
        <v>20190303162623672</v>
      </c>
      <c r="B3630" t="str">
        <f>"1551601583657496"</f>
        <v>1551601583657496</v>
      </c>
      <c r="C3630" t="s">
        <v>40</v>
      </c>
      <c r="D3630">
        <v>5.1975619999999996</v>
      </c>
      <c r="E3630">
        <v>0.48801250000000002</v>
      </c>
      <c r="F3630" t="s">
        <v>41</v>
      </c>
      <c r="G3630">
        <v>-373.52690000000001</v>
      </c>
      <c r="H3630" s="1">
        <v>-3.2150889999999998E-6</v>
      </c>
      <c r="I3630">
        <v>141.32939999999999</v>
      </c>
      <c r="J3630">
        <v>-306.32440000000003</v>
      </c>
      <c r="K3630">
        <v>1.121194</v>
      </c>
      <c r="L3630">
        <v>142.0462</v>
      </c>
      <c r="M3630">
        <v>-0.9996159</v>
      </c>
      <c r="N3630">
        <v>-1.2794969999999999E-2</v>
      </c>
      <c r="O3630">
        <v>-2.458552E-2</v>
      </c>
      <c r="P3630">
        <v>-0.98291569999999995</v>
      </c>
      <c r="Q3630">
        <v>0.18254129999999999</v>
      </c>
      <c r="R3630">
        <v>2.357486E-2</v>
      </c>
      <c r="S3630">
        <v>-3.0619510000000001</v>
      </c>
      <c r="T3630">
        <v>-5.0826070000000001E-2</v>
      </c>
      <c r="U3630">
        <v>-3.2882689999999999E-2</v>
      </c>
      <c r="V3630">
        <v>4.7666090000000001E-2</v>
      </c>
      <c r="W3630">
        <v>0.19510849999999999</v>
      </c>
      <c r="X3630">
        <v>0.97962269999999896</v>
      </c>
      <c r="Y3630">
        <v>1.384729E-2</v>
      </c>
      <c r="Z3630">
        <v>2.9693379999999999E-4</v>
      </c>
      <c r="AA3630">
        <v>0.99990409999999996</v>
      </c>
      <c r="AB3630">
        <v>33</v>
      </c>
      <c r="AC3630">
        <v>-67.202499999999901</v>
      </c>
      <c r="AD3630">
        <v>-1.1211972150889999</v>
      </c>
      <c r="AE3630">
        <v>-0.71680000000000599</v>
      </c>
      <c r="AF3630">
        <v>0.93549991324901205</v>
      </c>
      <c r="AG3630">
        <v>-1.1211972150889999</v>
      </c>
      <c r="AH3630">
        <v>67.181109928574998</v>
      </c>
      <c r="AI3630">
        <v>90.956037785674994</v>
      </c>
      <c r="AJ3630">
        <v>89.202205311251404</v>
      </c>
      <c r="AK3630">
        <v>67.196977420997797</v>
      </c>
      <c r="AL3630">
        <v>78.748938170052796</v>
      </c>
      <c r="AM3630">
        <v>87.214321884501501</v>
      </c>
      <c r="AN3630">
        <v>1.00000000863171</v>
      </c>
    </row>
    <row r="3631" spans="1:40" x14ac:dyDescent="0.25">
      <c r="A3631" t="str">
        <f>"20190303162623695"</f>
        <v>20190303162623695</v>
      </c>
      <c r="B3631" t="str">
        <f>"1551601583686775"</f>
        <v>1551601583686775</v>
      </c>
      <c r="C3631" t="s">
        <v>40</v>
      </c>
      <c r="D3631">
        <v>5.1911040000000002</v>
      </c>
      <c r="E3631">
        <v>0.4878769</v>
      </c>
      <c r="F3631" t="s">
        <v>41</v>
      </c>
      <c r="G3631">
        <v>-377.15379999999999</v>
      </c>
      <c r="H3631" s="1">
        <v>-1.6539379999999999E-6</v>
      </c>
      <c r="I3631">
        <v>141.3098</v>
      </c>
      <c r="J3631">
        <v>-306.66879999999998</v>
      </c>
      <c r="K3631">
        <v>1.1211949999999999</v>
      </c>
      <c r="L3631">
        <v>142.03749999999999</v>
      </c>
      <c r="M3631">
        <v>-0.99961149999999999</v>
      </c>
      <c r="N3631">
        <v>-1.278397E-2</v>
      </c>
      <c r="O3631">
        <v>-2.4770279999999999E-2</v>
      </c>
      <c r="P3631">
        <v>-0.98273670000000002</v>
      </c>
      <c r="Q3631">
        <v>0.18340049999999999</v>
      </c>
      <c r="R3631">
        <v>2.4355959999999999E-2</v>
      </c>
      <c r="S3631">
        <v>-3.06189</v>
      </c>
      <c r="T3631">
        <v>-4.8468230000000001E-2</v>
      </c>
      <c r="U3631">
        <v>-3.1829830000000003E-2</v>
      </c>
      <c r="V3631">
        <v>4.8624960000000002E-2</v>
      </c>
      <c r="W3631">
        <v>0.1959544</v>
      </c>
      <c r="X3631">
        <v>0.97940669999999996</v>
      </c>
      <c r="Y3631">
        <v>1.4375870000000001E-2</v>
      </c>
      <c r="Z3631">
        <v>2.8100439999999998E-4</v>
      </c>
      <c r="AA3631">
        <v>0.99989660000000002</v>
      </c>
      <c r="AB3631">
        <v>33</v>
      </c>
      <c r="AC3631">
        <v>-70.484999999999999</v>
      </c>
      <c r="AD3631">
        <v>-1.1211966539380001</v>
      </c>
      <c r="AE3631">
        <v>-0.72769999999999802</v>
      </c>
      <c r="AF3631">
        <v>1.01834141786488</v>
      </c>
      <c r="AG3631">
        <v>-1.1211966539380001</v>
      </c>
      <c r="AH3631">
        <v>70.463568906094196</v>
      </c>
      <c r="AI3631">
        <v>90.911502365934695</v>
      </c>
      <c r="AJ3631">
        <v>89.172017474481294</v>
      </c>
      <c r="AK3631">
        <v>70.4798456593374</v>
      </c>
      <c r="AL3631">
        <v>78.699517614978504</v>
      </c>
      <c r="AM3631">
        <v>87.157749351406295</v>
      </c>
      <c r="AN3631">
        <v>0.99999999880962498</v>
      </c>
    </row>
    <row r="3632" spans="1:40" x14ac:dyDescent="0.25">
      <c r="A3632" t="str">
        <f>"20190303162623730"</f>
        <v>20190303162623730</v>
      </c>
      <c r="B3632" t="str">
        <f>"1551601583717031"</f>
        <v>1551601583717031</v>
      </c>
      <c r="C3632" t="s">
        <v>40</v>
      </c>
      <c r="D3632">
        <v>5.3727330000000002</v>
      </c>
      <c r="E3632">
        <v>0.4879616</v>
      </c>
      <c r="F3632" t="s">
        <v>41</v>
      </c>
      <c r="G3632">
        <v>-382.36290000000002</v>
      </c>
      <c r="H3632" s="1">
        <v>-3.7059859999999998E-6</v>
      </c>
      <c r="I3632">
        <v>141.29769999999999</v>
      </c>
      <c r="J3632">
        <v>-307.17970000000003</v>
      </c>
      <c r="K3632">
        <v>1.121192</v>
      </c>
      <c r="L3632">
        <v>142.02449999999999</v>
      </c>
      <c r="M3632">
        <v>-0.99960479999999996</v>
      </c>
      <c r="N3632">
        <v>-1.274496E-2</v>
      </c>
      <c r="O3632">
        <v>-2.505742E-2</v>
      </c>
      <c r="P3632">
        <v>-0.98267179999999998</v>
      </c>
      <c r="Q3632">
        <v>0.18350939999999999</v>
      </c>
      <c r="R3632">
        <v>2.6091940000000001E-2</v>
      </c>
      <c r="S3632">
        <v>-3.0619200000000002</v>
      </c>
      <c r="T3632">
        <v>-4.5353890000000001E-2</v>
      </c>
      <c r="U3632">
        <v>-2.992249E-2</v>
      </c>
      <c r="V3632">
        <v>5.0641209999999999E-2</v>
      </c>
      <c r="W3632">
        <v>0.19602359999999999</v>
      </c>
      <c r="X3632">
        <v>0.97929069999999996</v>
      </c>
      <c r="Y3632">
        <v>1.528616E-2</v>
      </c>
      <c r="Z3632">
        <v>2.6232239999999997E-4</v>
      </c>
      <c r="AA3632">
        <v>0.99988310000000002</v>
      </c>
      <c r="AB3632">
        <v>33</v>
      </c>
      <c r="AC3632">
        <v>-75.183199999999999</v>
      </c>
      <c r="AD3632">
        <v>-1.121195705986</v>
      </c>
      <c r="AE3632">
        <v>-0.726799999999997</v>
      </c>
      <c r="AF3632">
        <v>1.15722089025922</v>
      </c>
      <c r="AG3632">
        <v>-1.121195705986</v>
      </c>
      <c r="AH3632">
        <v>75.161089128879993</v>
      </c>
      <c r="AI3632">
        <v>90.854530014034793</v>
      </c>
      <c r="AJ3632">
        <v>89.117912801677605</v>
      </c>
      <c r="AK3632">
        <v>75.178358315670906</v>
      </c>
      <c r="AL3632">
        <v>78.6954746835723</v>
      </c>
      <c r="AM3632">
        <v>87.039749916757003</v>
      </c>
      <c r="AN3632">
        <v>1.0000000295068501</v>
      </c>
    </row>
    <row r="3633" spans="1:40" x14ac:dyDescent="0.25">
      <c r="A3633" t="str">
        <f>"20190303162623750"</f>
        <v>20190303162623750</v>
      </c>
      <c r="B3633" t="str">
        <f>"1551601583737527"</f>
        <v>1551601583737527</v>
      </c>
      <c r="C3633" t="s">
        <v>40</v>
      </c>
      <c r="D3633">
        <v>5.2608730000000001</v>
      </c>
      <c r="E3633">
        <v>0.48802050000000002</v>
      </c>
      <c r="F3633" t="s">
        <v>41</v>
      </c>
      <c r="G3633">
        <v>-386.20679999999999</v>
      </c>
      <c r="H3633" s="1">
        <v>-2.0862489999999999E-6</v>
      </c>
      <c r="I3633">
        <v>141.4076</v>
      </c>
      <c r="J3633">
        <v>-307.47859999999997</v>
      </c>
      <c r="K3633">
        <v>1.121184</v>
      </c>
      <c r="L3633">
        <v>142.01679999999999</v>
      </c>
      <c r="M3633">
        <v>-0.99960110000000002</v>
      </c>
      <c r="N3633">
        <v>-1.2706449999999999E-2</v>
      </c>
      <c r="O3633">
        <v>-2.5227490000000002E-2</v>
      </c>
      <c r="P3633">
        <v>-0.98279450000000002</v>
      </c>
      <c r="Q3633">
        <v>0.1827848</v>
      </c>
      <c r="R3633">
        <v>2.6546199999999999E-2</v>
      </c>
      <c r="S3633">
        <v>-3.0616460000000001</v>
      </c>
      <c r="T3633">
        <v>-4.3437000000000003E-2</v>
      </c>
      <c r="U3633">
        <v>-2.3895260000000001E-2</v>
      </c>
      <c r="V3633">
        <v>5.12665E-2</v>
      </c>
      <c r="W3633">
        <v>0.19526279999999999</v>
      </c>
      <c r="X3633">
        <v>0.97941009999999995</v>
      </c>
      <c r="Y3633">
        <v>1.742341E-2</v>
      </c>
      <c r="Z3633">
        <v>2.7156240000000001E-4</v>
      </c>
      <c r="AA3633">
        <v>0.99984819999999996</v>
      </c>
      <c r="AB3633">
        <v>33</v>
      </c>
      <c r="AC3633">
        <v>-78.728200000000001</v>
      </c>
      <c r="AD3633">
        <v>-1.121186086249</v>
      </c>
      <c r="AE3633">
        <v>-0.60919999999998697</v>
      </c>
      <c r="AF3633">
        <v>1.3769896565023501</v>
      </c>
      <c r="AG3633">
        <v>-1.121186086249</v>
      </c>
      <c r="AH3633">
        <v>78.702548544978995</v>
      </c>
      <c r="AI3633">
        <v>90.816048003654501</v>
      </c>
      <c r="AJ3633">
        <v>88.997648128073706</v>
      </c>
      <c r="AK3633">
        <v>78.722578122346107</v>
      </c>
      <c r="AL3633">
        <v>78.739923724788397</v>
      </c>
      <c r="AM3633">
        <v>87.003629250780307</v>
      </c>
      <c r="AN3633">
        <v>0.99999997953404896</v>
      </c>
    </row>
    <row r="3634" spans="1:40" x14ac:dyDescent="0.25">
      <c r="A3634" t="str">
        <f>"20190303162623774"</f>
        <v>20190303162623774</v>
      </c>
      <c r="B3634" t="str">
        <f>"1551601583766810"</f>
        <v>1551601583766810</v>
      </c>
      <c r="C3634" t="s">
        <v>40</v>
      </c>
      <c r="D3634">
        <v>4.9129480000000001</v>
      </c>
      <c r="E3634">
        <v>0.488149</v>
      </c>
      <c r="F3634" t="s">
        <v>41</v>
      </c>
      <c r="G3634">
        <v>-383.48239999999998</v>
      </c>
      <c r="H3634" s="1">
        <v>-3.27483E-6</v>
      </c>
      <c r="I3634">
        <v>141.48220000000001</v>
      </c>
      <c r="J3634">
        <v>-307.8254</v>
      </c>
      <c r="K3634">
        <v>1.1211660000000001</v>
      </c>
      <c r="L3634">
        <v>142.0078</v>
      </c>
      <c r="M3634">
        <v>-0.99959690000000001</v>
      </c>
      <c r="N3634">
        <v>-1.264063E-2</v>
      </c>
      <c r="O3634">
        <v>-2.5424180000000001E-2</v>
      </c>
      <c r="P3634">
        <v>-0.98290999999999995</v>
      </c>
      <c r="Q3634">
        <v>0.18233389999999999</v>
      </c>
      <c r="R3634">
        <v>2.5345719999999999E-2</v>
      </c>
      <c r="S3634">
        <v>-3.0615230000000002</v>
      </c>
      <c r="T3634">
        <v>-4.5162800000000003E-2</v>
      </c>
      <c r="U3634">
        <v>-2.1530150000000001E-2</v>
      </c>
      <c r="V3634">
        <v>5.0264330000000003E-2</v>
      </c>
      <c r="W3634">
        <v>0.1947488</v>
      </c>
      <c r="X3634">
        <v>0.9795644</v>
      </c>
      <c r="Y3634">
        <v>1.8391770000000002E-2</v>
      </c>
      <c r="Z3634">
        <v>3.0547579999999999E-4</v>
      </c>
      <c r="AA3634">
        <v>0.99983080000000002</v>
      </c>
      <c r="AB3634">
        <v>33</v>
      </c>
      <c r="AC3634">
        <v>-75.656999999999897</v>
      </c>
      <c r="AD3634">
        <v>-1.12116927483</v>
      </c>
      <c r="AE3634">
        <v>-0.52559999999999696</v>
      </c>
      <c r="AF3634">
        <v>1.39793369387605</v>
      </c>
      <c r="AG3634">
        <v>-1.12116927483</v>
      </c>
      <c r="AH3634">
        <v>75.629296390533398</v>
      </c>
      <c r="AI3634">
        <v>90.849176137613597</v>
      </c>
      <c r="AJ3634">
        <v>88.941064050825901</v>
      </c>
      <c r="AK3634">
        <v>75.650523538720194</v>
      </c>
      <c r="AL3634">
        <v>78.7699505015797</v>
      </c>
      <c r="AM3634">
        <v>87.062561363467097</v>
      </c>
      <c r="AN3634">
        <v>1.0000000058595699</v>
      </c>
    </row>
    <row r="3635" spans="1:40" x14ac:dyDescent="0.25">
      <c r="A3635" t="str">
        <f>"20190303162623796"</f>
        <v>20190303162623796</v>
      </c>
      <c r="B3635" t="str">
        <f>"1551601583787304"</f>
        <v>1551601583787304</v>
      </c>
      <c r="C3635" t="s">
        <v>40</v>
      </c>
      <c r="D3635">
        <v>5.1488709999999998</v>
      </c>
      <c r="E3635">
        <v>0.48817729999999998</v>
      </c>
      <c r="F3635" t="s">
        <v>41</v>
      </c>
      <c r="G3635">
        <v>-383.38920000000002</v>
      </c>
      <c r="H3635" s="1">
        <v>-3.3007E-6</v>
      </c>
      <c r="I3635">
        <v>141.42920000000001</v>
      </c>
      <c r="J3635">
        <v>-308.15750000000003</v>
      </c>
      <c r="K3635">
        <v>1.1211450000000001</v>
      </c>
      <c r="L3635">
        <v>141.9992</v>
      </c>
      <c r="M3635">
        <v>-0.99959350000000002</v>
      </c>
      <c r="N3635">
        <v>-1.25407E-2</v>
      </c>
      <c r="O3635">
        <v>-2.5610899999999999E-2</v>
      </c>
      <c r="P3635">
        <v>-0.98281969999999996</v>
      </c>
      <c r="Q3635">
        <v>0.18309239999999999</v>
      </c>
      <c r="R3635">
        <v>2.330161E-2</v>
      </c>
      <c r="S3635">
        <v>-3.061188</v>
      </c>
      <c r="T3635">
        <v>-4.5420049999999997E-2</v>
      </c>
      <c r="U3635">
        <v>-2.34375E-2</v>
      </c>
      <c r="V3635">
        <v>4.8402830000000001E-2</v>
      </c>
      <c r="W3635">
        <v>0.19540730000000001</v>
      </c>
      <c r="X3635">
        <v>0.97952700000000004</v>
      </c>
      <c r="Y3635">
        <v>1.795484E-2</v>
      </c>
      <c r="Z3635">
        <v>3.0450710000000001E-4</v>
      </c>
      <c r="AA3635">
        <v>0.99983880000000003</v>
      </c>
      <c r="AB3635">
        <v>33</v>
      </c>
      <c r="AC3635">
        <v>-75.231699999999904</v>
      </c>
      <c r="AD3635">
        <v>-1.1211483006999901</v>
      </c>
      <c r="AE3635">
        <v>-0.56999999999999296</v>
      </c>
      <c r="AF3635">
        <v>1.35678842100063</v>
      </c>
      <c r="AG3635">
        <v>-1.1211483006999901</v>
      </c>
      <c r="AH3635">
        <v>75.204917393912197</v>
      </c>
      <c r="AI3635">
        <v>90.853958233645002</v>
      </c>
      <c r="AJ3635">
        <v>88.966426394325296</v>
      </c>
      <c r="AK3635">
        <v>75.225510623435994</v>
      </c>
      <c r="AL3635">
        <v>78.731482045126995</v>
      </c>
      <c r="AM3635">
        <v>87.171059173692498</v>
      </c>
      <c r="AN3635">
        <v>0.999999995287149</v>
      </c>
    </row>
    <row r="3636" spans="1:40" x14ac:dyDescent="0.25">
      <c r="A3636" t="str">
        <f>"20190303162623820"</f>
        <v>20190303162623820</v>
      </c>
      <c r="B3636" t="str">
        <f>"1551601583806824"</f>
        <v>1551601583806824</v>
      </c>
      <c r="C3636" t="s">
        <v>40</v>
      </c>
      <c r="D3636">
        <v>5.150188</v>
      </c>
      <c r="E3636">
        <v>0.48824840000000003</v>
      </c>
      <c r="F3636" t="s">
        <v>41</v>
      </c>
      <c r="G3636">
        <v>-388.76589999999999</v>
      </c>
      <c r="H3636" s="1">
        <v>-9.368503E-7</v>
      </c>
      <c r="I3636">
        <v>141.2139</v>
      </c>
      <c r="J3636">
        <v>-308.50209999999998</v>
      </c>
      <c r="K3636">
        <v>1.121119</v>
      </c>
      <c r="L3636">
        <v>141.99010000000001</v>
      </c>
      <c r="M3636">
        <v>-0.99959019999999998</v>
      </c>
      <c r="N3636">
        <v>-1.2398360000000001E-2</v>
      </c>
      <c r="O3636">
        <v>-2.5802640000000002E-2</v>
      </c>
      <c r="P3636">
        <v>-0.98254799999999998</v>
      </c>
      <c r="Q3636">
        <v>0.1847596</v>
      </c>
      <c r="R3636">
        <v>2.1525740000000002E-2</v>
      </c>
      <c r="S3636">
        <v>-3.0610659999999998</v>
      </c>
      <c r="T3636">
        <v>-4.2575000000000002E-2</v>
      </c>
      <c r="U3636">
        <v>-2.9815669999999999E-2</v>
      </c>
      <c r="V3636">
        <v>4.6808799999999998E-2</v>
      </c>
      <c r="W3636">
        <v>0.1969321</v>
      </c>
      <c r="X3636">
        <v>0.97929909999999998</v>
      </c>
      <c r="Y3636">
        <v>1.6063839999999999E-2</v>
      </c>
      <c r="Z3636">
        <v>2.501626E-4</v>
      </c>
      <c r="AA3636">
        <v>0.99987099999999995</v>
      </c>
      <c r="AB3636">
        <v>33</v>
      </c>
      <c r="AC3636">
        <v>-80.263800000000003</v>
      </c>
      <c r="AD3636">
        <v>-1.1211199368503</v>
      </c>
      <c r="AE3636">
        <v>-0.77620000000001699</v>
      </c>
      <c r="AF3636">
        <v>1.2949829053912101</v>
      </c>
      <c r="AG3636">
        <v>-1.1211199368503</v>
      </c>
      <c r="AH3636">
        <v>80.241448215688607</v>
      </c>
      <c r="AI3636">
        <v>90.800370642221196</v>
      </c>
      <c r="AJ3636">
        <v>89.075407834181902</v>
      </c>
      <c r="AK3636">
        <v>80.259727774202503</v>
      </c>
      <c r="AL3636">
        <v>78.642386598225002</v>
      </c>
      <c r="AM3636">
        <v>87.263443802753102</v>
      </c>
      <c r="AN3636">
        <v>1.0000000215143201</v>
      </c>
    </row>
    <row r="3637" spans="1:40" x14ac:dyDescent="0.25">
      <c r="A3637" t="str">
        <f>"20190303162623840"</f>
        <v>20190303162623840</v>
      </c>
      <c r="B3637" t="str">
        <f>"1551601583827320"</f>
        <v>1551601583827320</v>
      </c>
      <c r="C3637" t="s">
        <v>40</v>
      </c>
      <c r="D3637">
        <v>5.0297839999999896</v>
      </c>
      <c r="E3637">
        <v>0.48836099999999999</v>
      </c>
      <c r="F3637" t="s">
        <v>47</v>
      </c>
      <c r="G3637">
        <v>-403.2808</v>
      </c>
      <c r="H3637" s="1">
        <v>-7.345046E-6</v>
      </c>
      <c r="I3637">
        <v>140.89160000000001</v>
      </c>
      <c r="J3637">
        <v>-308.81049999999999</v>
      </c>
      <c r="K3637">
        <v>1.1210929999999999</v>
      </c>
      <c r="L3637">
        <v>141.982</v>
      </c>
      <c r="M3637">
        <v>-0.99958780000000003</v>
      </c>
      <c r="N3637">
        <v>-1.224622E-2</v>
      </c>
      <c r="O3637">
        <v>-2.5973599999999999E-2</v>
      </c>
      <c r="P3637">
        <v>-0.98245000000000005</v>
      </c>
      <c r="Q3637">
        <v>0.1854227</v>
      </c>
      <c r="R3637">
        <v>2.0271000000000001E-2</v>
      </c>
      <c r="S3637">
        <v>-3.060883</v>
      </c>
      <c r="T3637">
        <v>-3.6206839999999997E-2</v>
      </c>
      <c r="U3637">
        <v>-3.5476679999999997E-2</v>
      </c>
      <c r="V3637">
        <v>4.571944E-2</v>
      </c>
      <c r="W3637">
        <v>0.19744490000000001</v>
      </c>
      <c r="X3637">
        <v>0.97924730000000004</v>
      </c>
      <c r="Y3637">
        <v>1.4386100000000001E-2</v>
      </c>
      <c r="Z3637">
        <v>1.622416E-4</v>
      </c>
      <c r="AA3637">
        <v>0.99989649999999997</v>
      </c>
      <c r="AB3637">
        <v>33</v>
      </c>
      <c r="AC3637">
        <v>-94.470299999999995</v>
      </c>
      <c r="AD3637">
        <v>-1.121100345046</v>
      </c>
      <c r="AE3637">
        <v>-1.0903999999999801</v>
      </c>
      <c r="AF3637">
        <v>1.3636932461359299</v>
      </c>
      <c r="AG3637">
        <v>-1.121100345046</v>
      </c>
      <c r="AH3637">
        <v>94.453447231215094</v>
      </c>
      <c r="AI3637">
        <v>90.6799604575519</v>
      </c>
      <c r="AJ3637">
        <v>89.172836549925094</v>
      </c>
      <c r="AK3637">
        <v>94.469943469408094</v>
      </c>
      <c r="AL3637">
        <v>78.612416811705103</v>
      </c>
      <c r="AM3637">
        <v>87.326895783844904</v>
      </c>
      <c r="AN3637">
        <v>1.0000000151435999</v>
      </c>
    </row>
    <row r="3638" spans="1:40" x14ac:dyDescent="0.25">
      <c r="A3638" t="str">
        <f>"20190303162623863"</f>
        <v>20190303162623863</v>
      </c>
      <c r="B3638" t="str">
        <f>"1551601583857576"</f>
        <v>1551601583857576</v>
      </c>
      <c r="C3638" t="s">
        <v>40</v>
      </c>
      <c r="D3638">
        <v>4.8928289999999999</v>
      </c>
      <c r="E3638">
        <v>0.48849690000000001</v>
      </c>
      <c r="F3638" t="s">
        <v>47</v>
      </c>
      <c r="G3638">
        <v>-411.66379999999998</v>
      </c>
      <c r="H3638" s="1">
        <v>-1.0900029999999999E-5</v>
      </c>
      <c r="I3638">
        <v>140.67760000000001</v>
      </c>
      <c r="J3638">
        <v>-309.1465</v>
      </c>
      <c r="K3638">
        <v>1.121078</v>
      </c>
      <c r="L3638">
        <v>141.97309999999999</v>
      </c>
      <c r="M3638">
        <v>-0.9995849</v>
      </c>
      <c r="N3638">
        <v>-1.2072039999999999E-2</v>
      </c>
      <c r="O3638">
        <v>-2.615818E-2</v>
      </c>
      <c r="P3638">
        <v>-0.98240150000000004</v>
      </c>
      <c r="Q3638">
        <v>0.18569040000000001</v>
      </c>
      <c r="R3638">
        <v>2.0157669999999999E-2</v>
      </c>
      <c r="S3638">
        <v>-3.0606990000000001</v>
      </c>
      <c r="T3638">
        <v>-3.3361670000000003E-2</v>
      </c>
      <c r="U3638">
        <v>-3.8818360000000003E-2</v>
      </c>
      <c r="V3638">
        <v>4.5784980000000003E-2</v>
      </c>
      <c r="W3638">
        <v>0.1975412</v>
      </c>
      <c r="X3638">
        <v>0.97922480000000001</v>
      </c>
      <c r="Y3638">
        <v>1.3478789999999999E-2</v>
      </c>
      <c r="Z3638">
        <v>1.2407E-4</v>
      </c>
      <c r="AA3638">
        <v>0.99990919999999905</v>
      </c>
      <c r="AB3638">
        <v>33</v>
      </c>
      <c r="AC3638">
        <v>-102.517299999999</v>
      </c>
      <c r="AD3638">
        <v>-1.1210889000299999</v>
      </c>
      <c r="AE3638">
        <v>-1.2954999999999699</v>
      </c>
      <c r="AF3638">
        <v>1.3866390363691701</v>
      </c>
      <c r="AG3638">
        <v>-1.1210889000299999</v>
      </c>
      <c r="AH3638">
        <v>102.503849302563</v>
      </c>
      <c r="AI3638">
        <v>90.626564036926098</v>
      </c>
      <c r="AJ3638">
        <v>89.224968435298095</v>
      </c>
      <c r="AK3638">
        <v>102.519357830516</v>
      </c>
      <c r="AL3638">
        <v>78.606788191624204</v>
      </c>
      <c r="AM3638">
        <v>87.323007970529005</v>
      </c>
      <c r="AN3638">
        <v>0.99999999951303997</v>
      </c>
    </row>
    <row r="3639" spans="1:40" x14ac:dyDescent="0.25">
      <c r="A3639" t="str">
        <f>"20190303162623885"</f>
        <v>20190303162623885</v>
      </c>
      <c r="B3639" t="str">
        <f>"1551601583878072"</f>
        <v>1551601583878072</v>
      </c>
      <c r="C3639" t="s">
        <v>40</v>
      </c>
      <c r="D3639">
        <v>4.8191240000000004</v>
      </c>
      <c r="E3639">
        <v>0.4885446</v>
      </c>
      <c r="F3639" t="s">
        <v>47</v>
      </c>
      <c r="G3639">
        <v>-419.13909999999998</v>
      </c>
      <c r="H3639" s="1">
        <v>-1.022285E-5</v>
      </c>
      <c r="I3639">
        <v>140.6191</v>
      </c>
      <c r="J3639">
        <v>-309.48140000000001</v>
      </c>
      <c r="K3639">
        <v>1.1210500000000001</v>
      </c>
      <c r="L3639">
        <v>141.96420000000001</v>
      </c>
      <c r="M3639">
        <v>-0.99958219999999998</v>
      </c>
      <c r="N3639">
        <v>-1.189116E-2</v>
      </c>
      <c r="O3639">
        <v>-2.6341779999999999E-2</v>
      </c>
      <c r="P3639">
        <v>-0.98227640000000005</v>
      </c>
      <c r="Q3639">
        <v>0.18629180000000001</v>
      </c>
      <c r="R3639">
        <v>2.06929E-2</v>
      </c>
      <c r="S3639">
        <v>-3.0604550000000001</v>
      </c>
      <c r="T3639">
        <v>-3.119338E-2</v>
      </c>
      <c r="U3639">
        <v>-3.7673949999999998E-2</v>
      </c>
      <c r="V3639">
        <v>4.6495429999999997E-2</v>
      </c>
      <c r="W3639">
        <v>0.19796420000000001</v>
      </c>
      <c r="X3639">
        <v>0.97910589999999997</v>
      </c>
      <c r="Y3639">
        <v>1.403531E-2</v>
      </c>
      <c r="Z3639">
        <v>1.1014089999999999E-4</v>
      </c>
      <c r="AA3639">
        <v>0.9999015</v>
      </c>
      <c r="AB3639">
        <v>33</v>
      </c>
      <c r="AC3639">
        <v>-109.657699999999</v>
      </c>
      <c r="AD3639">
        <v>-1.12106022285</v>
      </c>
      <c r="AE3639">
        <v>-1.3451</v>
      </c>
      <c r="AF3639">
        <v>1.54398892573689</v>
      </c>
      <c r="AG3639">
        <v>-1.12106022285</v>
      </c>
      <c r="AH3639">
        <v>109.6436199849</v>
      </c>
      <c r="AI3639">
        <v>90.585746933618793</v>
      </c>
      <c r="AJ3639">
        <v>89.193220706244205</v>
      </c>
      <c r="AK3639">
        <v>109.660221052208</v>
      </c>
      <c r="AL3639">
        <v>78.582063898620305</v>
      </c>
      <c r="AM3639">
        <v>87.281201033233998</v>
      </c>
      <c r="AN3639">
        <v>1.0000000064536601</v>
      </c>
    </row>
    <row r="3640" spans="1:40" x14ac:dyDescent="0.25">
      <c r="A3640" t="str">
        <f>"20190303162623909"</f>
        <v>20190303162623909</v>
      </c>
      <c r="B3640" t="str">
        <f>"1551601583897592"</f>
        <v>1551601583897592</v>
      </c>
      <c r="C3640" t="s">
        <v>40</v>
      </c>
      <c r="D3640">
        <v>4.7596590000000001</v>
      </c>
      <c r="E3640">
        <v>0.48863519999999999</v>
      </c>
      <c r="F3640" t="s">
        <v>47</v>
      </c>
      <c r="G3640">
        <v>-429.04489999999998</v>
      </c>
      <c r="H3640" s="1">
        <v>-1.1467610000000001E-5</v>
      </c>
      <c r="I3640">
        <v>140.5615</v>
      </c>
      <c r="J3640">
        <v>-309.82400000000001</v>
      </c>
      <c r="K3640">
        <v>1.1210260000000001</v>
      </c>
      <c r="L3640">
        <v>141.95500000000001</v>
      </c>
      <c r="M3640">
        <v>-0.99957969999999896</v>
      </c>
      <c r="N3640">
        <v>-1.170708E-2</v>
      </c>
      <c r="O3640">
        <v>-2.6529899999999999E-2</v>
      </c>
      <c r="P3640">
        <v>-0.98212060000000001</v>
      </c>
      <c r="Q3640">
        <v>0.18693219999999999</v>
      </c>
      <c r="R3640">
        <v>2.226351E-2</v>
      </c>
      <c r="S3640">
        <v>-3.0603639999999999</v>
      </c>
      <c r="T3640">
        <v>-2.8694870000000001E-2</v>
      </c>
      <c r="U3640">
        <v>-3.5903930000000001E-2</v>
      </c>
      <c r="V3640">
        <v>4.8244799999999997E-2</v>
      </c>
      <c r="W3640">
        <v>0.19842270000000001</v>
      </c>
      <c r="X3640">
        <v>0.97892840000000003</v>
      </c>
      <c r="Y3640">
        <v>1.4801379999999999E-2</v>
      </c>
      <c r="Z3640" s="1">
        <v>9.4115699999999997E-5</v>
      </c>
      <c r="AA3640">
        <v>0.99989039999999996</v>
      </c>
      <c r="AB3640">
        <v>33</v>
      </c>
      <c r="AC3640">
        <v>-119.22089999999901</v>
      </c>
      <c r="AD3640">
        <v>-1.1210374676099999</v>
      </c>
      <c r="AE3640">
        <v>-1.39350000000001</v>
      </c>
      <c r="AF3640">
        <v>1.7699686619666299</v>
      </c>
      <c r="AG3640">
        <v>-1.1210374676099999</v>
      </c>
      <c r="AH3640">
        <v>119.205364532182</v>
      </c>
      <c r="AI3640">
        <v>90.5387487709731</v>
      </c>
      <c r="AJ3640">
        <v>89.149331215024603</v>
      </c>
      <c r="AK3640">
        <v>119.223774673169</v>
      </c>
      <c r="AL3640">
        <v>78.555261697123498</v>
      </c>
      <c r="AM3640">
        <v>87.178558998066606</v>
      </c>
      <c r="AN3640">
        <v>0.999999970464444</v>
      </c>
    </row>
    <row r="3641" spans="1:40" x14ac:dyDescent="0.25">
      <c r="A3641" t="str">
        <f>"20190303162623932"</f>
        <v>20190303162623932</v>
      </c>
      <c r="B3641" t="str">
        <f>"1551601583926872"</f>
        <v>1551601583926872</v>
      </c>
      <c r="C3641" t="s">
        <v>40</v>
      </c>
      <c r="D3641">
        <v>4.9626989999999997</v>
      </c>
      <c r="E3641">
        <v>0.48879610000000001</v>
      </c>
      <c r="F3641" t="s">
        <v>41</v>
      </c>
      <c r="G3641">
        <v>-441.90640000000002</v>
      </c>
      <c r="H3641" s="1">
        <v>-2.7067560000000001E-6</v>
      </c>
      <c r="I3641">
        <v>140.6146</v>
      </c>
      <c r="J3641">
        <v>-310.1755</v>
      </c>
      <c r="K3641">
        <v>1.1210100000000001</v>
      </c>
      <c r="L3641">
        <v>141.94540000000001</v>
      </c>
      <c r="M3641">
        <v>-0.99957660000000004</v>
      </c>
      <c r="N3641">
        <v>-1.1525799999999999E-2</v>
      </c>
      <c r="O3641">
        <v>-2.6723179999999999E-2</v>
      </c>
      <c r="P3641">
        <v>-0.98187150000000001</v>
      </c>
      <c r="Q3641">
        <v>0.18805859999999999</v>
      </c>
      <c r="R3641">
        <v>2.3716850000000001E-2</v>
      </c>
      <c r="S3641">
        <v>-3.0602109999999998</v>
      </c>
      <c r="T3641">
        <v>-2.5973079999999999E-2</v>
      </c>
      <c r="U3641">
        <v>-3.1051639999999998E-2</v>
      </c>
      <c r="V3641">
        <v>4.9879119999999999E-2</v>
      </c>
      <c r="W3641">
        <v>0.19936899999999999</v>
      </c>
      <c r="X3641">
        <v>0.97865420000000003</v>
      </c>
      <c r="Y3641">
        <v>1.6579300000000002E-2</v>
      </c>
      <c r="Z3641" s="1">
        <v>8.4631409999999998E-5</v>
      </c>
      <c r="AA3641">
        <v>0.99986260000000005</v>
      </c>
      <c r="AB3641">
        <v>33</v>
      </c>
      <c r="AC3641">
        <v>-131.73089999999999</v>
      </c>
      <c r="AD3641">
        <v>-1.1210127067560001</v>
      </c>
      <c r="AE3641">
        <v>-1.33080000000001</v>
      </c>
      <c r="AF3641">
        <v>2.1900185283857398</v>
      </c>
      <c r="AG3641">
        <v>-1.1210127067560001</v>
      </c>
      <c r="AH3641">
        <v>131.709877367947</v>
      </c>
      <c r="AI3641">
        <v>90.487578234891799</v>
      </c>
      <c r="AJ3641">
        <v>89.047396754457907</v>
      </c>
      <c r="AK3641">
        <v>131.73285333174499</v>
      </c>
      <c r="AL3641">
        <v>78.499937509020896</v>
      </c>
      <c r="AM3641">
        <v>87.0823276039511</v>
      </c>
      <c r="AN3641">
        <v>0.99999998397530698</v>
      </c>
    </row>
    <row r="3642" spans="1:40" x14ac:dyDescent="0.25">
      <c r="A3642" t="str">
        <f>"20190303162623956"</f>
        <v>20190303162623956</v>
      </c>
      <c r="B3642" t="str">
        <f>"1551601583947367"</f>
        <v>1551601583947367</v>
      </c>
      <c r="C3642" t="s">
        <v>40</v>
      </c>
      <c r="D3642">
        <v>4.7357189999999996</v>
      </c>
      <c r="E3642">
        <v>0.4889889</v>
      </c>
      <c r="F3642" t="s">
        <v>41</v>
      </c>
      <c r="G3642">
        <v>-469.767</v>
      </c>
      <c r="H3642" s="1">
        <v>5.1897589999999996E-7</v>
      </c>
      <c r="I3642">
        <v>140.5735</v>
      </c>
      <c r="J3642">
        <v>-310.5224</v>
      </c>
      <c r="K3642">
        <v>1.1209979999999999</v>
      </c>
      <c r="L3642">
        <v>141.93600000000001</v>
      </c>
      <c r="M3642">
        <v>-0.99957320000000005</v>
      </c>
      <c r="N3642">
        <v>-1.136026E-2</v>
      </c>
      <c r="O3642">
        <v>-2.6914770000000001E-2</v>
      </c>
      <c r="P3642">
        <v>-0.98157269999999996</v>
      </c>
      <c r="Q3642">
        <v>0.18951670000000001</v>
      </c>
      <c r="R3642">
        <v>2.4464059999999999E-2</v>
      </c>
      <c r="S3642">
        <v>-3.0601500000000001</v>
      </c>
      <c r="T3642">
        <v>-2.1495219999999999E-2</v>
      </c>
      <c r="U3642">
        <v>-2.630615E-2</v>
      </c>
      <c r="V3642">
        <v>5.0804790000000002E-2</v>
      </c>
      <c r="W3642">
        <v>0.2006617</v>
      </c>
      <c r="X3642">
        <v>0.97834239999999995</v>
      </c>
      <c r="Y3642">
        <v>1.8321150000000001E-2</v>
      </c>
      <c r="Z3642" s="1">
        <v>5.164465E-5</v>
      </c>
      <c r="AA3642">
        <v>0.99983219999999995</v>
      </c>
      <c r="AB3642">
        <v>33</v>
      </c>
      <c r="AC3642">
        <v>-159.24459999999999</v>
      </c>
      <c r="AD3642">
        <v>-1.1209974810240999</v>
      </c>
      <c r="AE3642">
        <v>-1.36250000000001</v>
      </c>
      <c r="AF3642">
        <v>2.9241570468583502</v>
      </c>
      <c r="AG3642">
        <v>-1.1209974810240999</v>
      </c>
      <c r="AH3642">
        <v>159.21568784846099</v>
      </c>
      <c r="AI3642">
        <v>90.4033304438382</v>
      </c>
      <c r="AJ3642">
        <v>88.947823385835306</v>
      </c>
      <c r="AK3642">
        <v>159.24648375033499</v>
      </c>
      <c r="AL3642">
        <v>78.424344458102595</v>
      </c>
      <c r="AM3642">
        <v>87.0273314393785</v>
      </c>
      <c r="AN3642">
        <v>1.00000004808579</v>
      </c>
    </row>
    <row r="3643" spans="1:40" x14ac:dyDescent="0.25">
      <c r="A3643" t="str">
        <f>"20190303162623978"</f>
        <v>20190303162623978</v>
      </c>
      <c r="B3643" t="str">
        <f>"1551601583967863"</f>
        <v>1551601583967863</v>
      </c>
      <c r="C3643" t="s">
        <v>40</v>
      </c>
      <c r="D3643">
        <v>4.9179659999999998</v>
      </c>
      <c r="E3643">
        <v>0.48924450000000003</v>
      </c>
      <c r="F3643" t="s">
        <v>59</v>
      </c>
      <c r="G3643">
        <v>-501.09039999999999</v>
      </c>
      <c r="H3643">
        <v>7.9987089999999997E-2</v>
      </c>
      <c r="I3643">
        <v>140.51159999999999</v>
      </c>
      <c r="J3643">
        <v>-310.86200000000002</v>
      </c>
      <c r="K3643">
        <v>1.120989</v>
      </c>
      <c r="L3643">
        <v>141.92670000000001</v>
      </c>
      <c r="M3643">
        <v>-0.99956990000000001</v>
      </c>
      <c r="N3643">
        <v>-1.121367E-2</v>
      </c>
      <c r="O3643">
        <v>-2.7102899999999999E-2</v>
      </c>
      <c r="P3643">
        <v>-0.98134440000000001</v>
      </c>
      <c r="Q3643">
        <v>0.1905443</v>
      </c>
      <c r="R3643">
        <v>2.5619409999999999E-2</v>
      </c>
      <c r="S3643">
        <v>-3.0601500000000001</v>
      </c>
      <c r="T3643">
        <v>-1.6716599999999901E-2</v>
      </c>
      <c r="U3643">
        <v>-2.2872920000000001E-2</v>
      </c>
      <c r="V3643">
        <v>5.2137049999999997E-2</v>
      </c>
      <c r="W3643">
        <v>0.20154359999999999</v>
      </c>
      <c r="X3643">
        <v>0.97809089999999999</v>
      </c>
      <c r="Y3643">
        <v>1.9631010000000001E-2</v>
      </c>
      <c r="Z3643" s="1">
        <v>7.7606529999999998E-6</v>
      </c>
      <c r="AA3643">
        <v>0.99980729999999995</v>
      </c>
      <c r="AB3643">
        <v>33</v>
      </c>
      <c r="AC3643">
        <v>-190.22839999999999</v>
      </c>
      <c r="AD3643">
        <v>-1.0410019100000001</v>
      </c>
      <c r="AE3643">
        <v>-1.41510000000002</v>
      </c>
      <c r="AF3643">
        <v>3.74137258835361</v>
      </c>
      <c r="AG3643">
        <v>-1.0410019100000001</v>
      </c>
      <c r="AH3643">
        <v>190.19117101779901</v>
      </c>
      <c r="AI3643">
        <v>90.313541807147601</v>
      </c>
      <c r="AJ3643">
        <v>88.873043301655997</v>
      </c>
      <c r="AK3643">
        <v>190.230815292746</v>
      </c>
      <c r="AL3643">
        <v>78.372760342780197</v>
      </c>
      <c r="AM3643">
        <v>86.948741253467901</v>
      </c>
      <c r="AN3643">
        <v>0.99999995167323497</v>
      </c>
    </row>
    <row r="3644" spans="1:40" x14ac:dyDescent="0.25">
      <c r="A3644" t="str">
        <f>"20190303162624131"</f>
        <v>20190303162624131</v>
      </c>
      <c r="B3644" t="str">
        <f>"1551601584127291"</f>
        <v>1551601584127291</v>
      </c>
      <c r="C3644" t="s">
        <v>40</v>
      </c>
      <c r="D3644">
        <v>4.300249</v>
      </c>
      <c r="E3644">
        <v>0.50872079999999997</v>
      </c>
      <c r="F3644" t="s">
        <v>52</v>
      </c>
      <c r="G3644">
        <v>-578.79909999999995</v>
      </c>
      <c r="H3644">
        <v>-0.1</v>
      </c>
      <c r="I3644">
        <v>140.39689999999999</v>
      </c>
      <c r="J3644">
        <v>-313.1456</v>
      </c>
      <c r="K3644">
        <v>1.120965</v>
      </c>
      <c r="L3644">
        <v>141.8623</v>
      </c>
      <c r="M3644">
        <v>-0.99954229999999999</v>
      </c>
      <c r="N3644">
        <v>-1.053074E-2</v>
      </c>
      <c r="O3644">
        <v>-2.8366389999999998E-2</v>
      </c>
      <c r="P3644">
        <v>-0.98005799999999998</v>
      </c>
      <c r="Q3644">
        <v>0.19742280000000001</v>
      </c>
      <c r="R3644">
        <v>2.2601489999999998E-2</v>
      </c>
      <c r="S3644">
        <v>-3.0601500000000001</v>
      </c>
      <c r="T3644">
        <v>-1.39451E-2</v>
      </c>
      <c r="U3644">
        <v>-1.747131E-2</v>
      </c>
      <c r="V3644">
        <v>5.0318059999999998E-2</v>
      </c>
      <c r="W3644">
        <v>0.20774010000000001</v>
      </c>
      <c r="X3644">
        <v>0.97688900000000001</v>
      </c>
      <c r="Y3644">
        <v>2.26593E-2</v>
      </c>
      <c r="Z3644" s="1">
        <v>1.4297109999999999E-6</v>
      </c>
      <c r="AA3644">
        <v>0.99974320000000005</v>
      </c>
      <c r="AB3644">
        <v>34</v>
      </c>
      <c r="AC3644">
        <v>-265.65349999999899</v>
      </c>
      <c r="AD3644">
        <v>-1.2209649999999901</v>
      </c>
      <c r="AE3644">
        <v>-1.46540000000001</v>
      </c>
      <c r="AF3644">
        <v>6.0711088192618003</v>
      </c>
      <c r="AG3644">
        <v>-1.2209649999999901</v>
      </c>
      <c r="AH3644">
        <v>265.58254777096801</v>
      </c>
      <c r="AI3644">
        <v>90.263335744579507</v>
      </c>
      <c r="AJ3644">
        <v>88.690469899235794</v>
      </c>
      <c r="AK3644">
        <v>265.654736073621</v>
      </c>
      <c r="AL3644">
        <v>78.010050727971205</v>
      </c>
      <c r="AM3644">
        <v>87.051387762184206</v>
      </c>
      <c r="AN3644">
        <v>0.99999998731558604</v>
      </c>
    </row>
    <row r="3645" spans="1:40" x14ac:dyDescent="0.25">
      <c r="A3645" t="str">
        <f>"20190303162624176"</f>
        <v>20190303162624176</v>
      </c>
      <c r="B3645" t="str">
        <f>"1551601584167308"</f>
        <v>1551601584167308</v>
      </c>
      <c r="C3645" t="s">
        <v>40</v>
      </c>
      <c r="D3645">
        <v>4.1943330000000003</v>
      </c>
      <c r="E3645">
        <v>0.50493639999999995</v>
      </c>
      <c r="F3645" t="s">
        <v>42</v>
      </c>
      <c r="G3645">
        <v>-313.93119999999999</v>
      </c>
      <c r="H3645">
        <v>0.92054829999999999</v>
      </c>
      <c r="I3645">
        <v>141.8903</v>
      </c>
      <c r="J3645">
        <v>-313.82369999999997</v>
      </c>
      <c r="K3645">
        <v>1.1209420000000001</v>
      </c>
      <c r="L3645">
        <v>141.8426</v>
      </c>
      <c r="M3645">
        <v>-0.99953380000000003</v>
      </c>
      <c r="N3645">
        <v>-1.030322E-2</v>
      </c>
      <c r="O3645">
        <v>-2.8742609999999998E-2</v>
      </c>
      <c r="P3645">
        <v>-0.97979400000000005</v>
      </c>
      <c r="Q3645">
        <v>0.1984177</v>
      </c>
      <c r="R3645">
        <v>2.518695E-2</v>
      </c>
      <c r="S3645">
        <v>-3.224091</v>
      </c>
      <c r="T3645">
        <v>-0.82252169999999902</v>
      </c>
      <c r="U3645">
        <v>0.1130829</v>
      </c>
      <c r="V3645">
        <v>5.3262839999999999E-2</v>
      </c>
      <c r="W3645">
        <v>0.2085101</v>
      </c>
      <c r="X3645">
        <v>0.97656880000000001</v>
      </c>
      <c r="Y3645">
        <v>6.0888390000000001E-2</v>
      </c>
      <c r="Z3645">
        <v>1.4884700000000001E-2</v>
      </c>
      <c r="AA3645">
        <v>0.99803359999999997</v>
      </c>
      <c r="AB3645">
        <v>34</v>
      </c>
      <c r="AC3645">
        <v>-0.107500000000015</v>
      </c>
      <c r="AD3645">
        <v>-0.20039370000000001</v>
      </c>
      <c r="AE3645">
        <v>4.7699999999991798E-2</v>
      </c>
      <c r="AF3645">
        <v>1.30068893636032E-2</v>
      </c>
      <c r="AG3645">
        <v>-0.20039370000000001</v>
      </c>
      <c r="AH3645">
        <v>2.7177889118513699E-2</v>
      </c>
      <c r="AI3645">
        <v>171.44939779424999</v>
      </c>
      <c r="AJ3645">
        <v>64.424992362201607</v>
      </c>
      <c r="AK3645">
        <v>0.202646124629969</v>
      </c>
      <c r="AL3645">
        <v>77.964945500867103</v>
      </c>
      <c r="AM3645">
        <v>86.878135643669097</v>
      </c>
      <c r="AN3645">
        <v>1.00000000653015</v>
      </c>
    </row>
    <row r="3646" spans="1:40" x14ac:dyDescent="0.25">
      <c r="A3646" t="str">
        <f>"20190303162624196"</f>
        <v>20190303162624196</v>
      </c>
      <c r="B3646" t="str">
        <f>"1551601584186828"</f>
        <v>1551601584186828</v>
      </c>
      <c r="C3646" t="s">
        <v>40</v>
      </c>
      <c r="D3646">
        <v>4.7752230000000004</v>
      </c>
      <c r="E3646">
        <v>0.50463219999999998</v>
      </c>
      <c r="F3646" t="s">
        <v>42</v>
      </c>
      <c r="G3646">
        <v>-314.57440000000003</v>
      </c>
      <c r="H3646">
        <v>1.0030380000000001</v>
      </c>
      <c r="I3646">
        <v>141.86529999999999</v>
      </c>
      <c r="J3646">
        <v>-314.1413</v>
      </c>
      <c r="K3646">
        <v>1.1209340000000001</v>
      </c>
      <c r="L3646">
        <v>141.83330000000001</v>
      </c>
      <c r="M3646">
        <v>-0.99952980000000002</v>
      </c>
      <c r="N3646">
        <v>-1.0202960000000001E-2</v>
      </c>
      <c r="O3646">
        <v>-2.8918639999999999E-2</v>
      </c>
      <c r="P3646">
        <v>-0.97977970000000003</v>
      </c>
      <c r="Q3646">
        <v>0.19844110000000001</v>
      </c>
      <c r="R3646">
        <v>2.5557110000000001E-2</v>
      </c>
      <c r="S3646">
        <v>-3.1600039999999998</v>
      </c>
      <c r="T3646">
        <v>-0.49636819999999998</v>
      </c>
      <c r="U3646">
        <v>9.4406130000000005E-2</v>
      </c>
      <c r="V3646">
        <v>5.3804669999999999E-2</v>
      </c>
      <c r="W3646">
        <v>0.20843600000000001</v>
      </c>
      <c r="X3646">
        <v>0.9765549</v>
      </c>
      <c r="Y3646">
        <v>5.7693559999999998E-2</v>
      </c>
      <c r="Z3646">
        <v>9.0194290000000007E-3</v>
      </c>
      <c r="AA3646">
        <v>0.9982936</v>
      </c>
      <c r="AB3646">
        <v>34</v>
      </c>
      <c r="AC3646">
        <v>-0.43310000000002402</v>
      </c>
      <c r="AD3646">
        <v>-0.117896</v>
      </c>
      <c r="AE3646">
        <v>3.1999999999982202E-2</v>
      </c>
      <c r="AF3646">
        <v>4.1456645393152698E-2</v>
      </c>
      <c r="AG3646">
        <v>-0.117896</v>
      </c>
      <c r="AH3646">
        <v>0.40234152255446398</v>
      </c>
      <c r="AI3646">
        <v>106.250424481324</v>
      </c>
      <c r="AJ3646">
        <v>84.117092732259096</v>
      </c>
      <c r="AK3646">
        <v>0.42130371590421301</v>
      </c>
      <c r="AL3646">
        <v>77.969286304242701</v>
      </c>
      <c r="AM3646">
        <v>86.846396653569201</v>
      </c>
      <c r="AN3646">
        <v>0.99999999066190903</v>
      </c>
    </row>
    <row r="3647" spans="1:40" x14ac:dyDescent="0.25">
      <c r="A3647" t="str">
        <f>"20190303162624218"</f>
        <v>20190303162624218</v>
      </c>
      <c r="B3647" t="str">
        <f>"1551601584207324"</f>
        <v>1551601584207324</v>
      </c>
      <c r="C3647" t="s">
        <v>40</v>
      </c>
      <c r="D3647">
        <v>4.828633</v>
      </c>
      <c r="E3647">
        <v>0.50363059999999904</v>
      </c>
      <c r="F3647" t="s">
        <v>42</v>
      </c>
      <c r="G3647">
        <v>-314.88</v>
      </c>
      <c r="H3647">
        <v>1.0099119999999999</v>
      </c>
      <c r="I3647">
        <v>141.8554</v>
      </c>
      <c r="J3647">
        <v>-314.46480000000003</v>
      </c>
      <c r="K3647">
        <v>1.1209249999999999</v>
      </c>
      <c r="L3647">
        <v>141.82380000000001</v>
      </c>
      <c r="M3647">
        <v>-0.99952540000000001</v>
      </c>
      <c r="N3647">
        <v>-1.010907E-2</v>
      </c>
      <c r="O3647">
        <v>-2.9097810000000002E-2</v>
      </c>
      <c r="P3647">
        <v>-0.97964039999999997</v>
      </c>
      <c r="Q3647">
        <v>0.19920860000000001</v>
      </c>
      <c r="R3647">
        <v>2.4911550000000001E-2</v>
      </c>
      <c r="S3647">
        <v>-3.155548</v>
      </c>
      <c r="T3647">
        <v>-0.47433809999999899</v>
      </c>
      <c r="U3647">
        <v>9.3627929999999998E-2</v>
      </c>
      <c r="V3647">
        <v>5.3330250000000003E-2</v>
      </c>
      <c r="W3647">
        <v>0.20910980000000001</v>
      </c>
      <c r="X3647">
        <v>0.97643690000000005</v>
      </c>
      <c r="Y3647">
        <v>5.7755059999999997E-2</v>
      </c>
      <c r="Z3647">
        <v>8.6654030000000003E-3</v>
      </c>
      <c r="AA3647">
        <v>0.99829319999999999</v>
      </c>
      <c r="AB3647">
        <v>34</v>
      </c>
      <c r="AC3647">
        <v>-0.41519999999996998</v>
      </c>
      <c r="AD3647">
        <v>-0.111012999999999</v>
      </c>
      <c r="AE3647">
        <v>3.1599999999997401E-2</v>
      </c>
      <c r="AF3647">
        <v>4.0770809772830902E-2</v>
      </c>
      <c r="AG3647">
        <v>-0.111012999999999</v>
      </c>
      <c r="AH3647">
        <v>0.38662478755396501</v>
      </c>
      <c r="AI3647">
        <v>105.93671221250401</v>
      </c>
      <c r="AJ3647">
        <v>83.980226624759297</v>
      </c>
      <c r="AK3647">
        <v>0.40430789189636201</v>
      </c>
      <c r="AL3647">
        <v>77.9298109064801</v>
      </c>
      <c r="AM3647">
        <v>86.8737710041719</v>
      </c>
      <c r="AN3647">
        <v>1.0000000218513501</v>
      </c>
    </row>
    <row r="3648" spans="1:40" x14ac:dyDescent="0.25">
      <c r="A3648" t="str">
        <f>"20190303162624245"</f>
        <v>20190303162624245</v>
      </c>
      <c r="B3648" t="str">
        <f>"1551601584237580"</f>
        <v>1551601584237580</v>
      </c>
      <c r="C3648" t="s">
        <v>40</v>
      </c>
      <c r="D3648">
        <v>4.8244999999999996</v>
      </c>
      <c r="E3648">
        <v>0.50352589999999997</v>
      </c>
      <c r="F3648" t="s">
        <v>42</v>
      </c>
      <c r="G3648">
        <v>-315.1857</v>
      </c>
      <c r="H3648">
        <v>1.016108</v>
      </c>
      <c r="I3648">
        <v>141.84350000000001</v>
      </c>
      <c r="J3648">
        <v>-314.87310000000002</v>
      </c>
      <c r="K3648">
        <v>1.1209150000000001</v>
      </c>
      <c r="L3648">
        <v>141.8117</v>
      </c>
      <c r="M3648">
        <v>-0.99952010000000002</v>
      </c>
      <c r="N3648">
        <v>-1.000416E-2</v>
      </c>
      <c r="O3648">
        <v>-2.9323539999999999E-2</v>
      </c>
      <c r="P3648">
        <v>-0.97957859999999997</v>
      </c>
      <c r="Q3648">
        <v>0.19963139999999999</v>
      </c>
      <c r="R3648">
        <v>2.3943869999999999E-2</v>
      </c>
      <c r="S3648">
        <v>-3.153473</v>
      </c>
      <c r="T3648">
        <v>-0.45864470000000002</v>
      </c>
      <c r="U3648">
        <v>8.4533689999999995E-2</v>
      </c>
      <c r="V3648">
        <v>5.2581419999999997E-2</v>
      </c>
      <c r="W3648">
        <v>0.2094297</v>
      </c>
      <c r="X3648">
        <v>0.97640890000000002</v>
      </c>
      <c r="Y3648">
        <v>5.521156E-2</v>
      </c>
      <c r="Z3648">
        <v>8.2209239999999992E-3</v>
      </c>
      <c r="AA3648">
        <v>0.99844089999999996</v>
      </c>
      <c r="AB3648">
        <v>34</v>
      </c>
      <c r="AC3648">
        <v>-0.31259999999997401</v>
      </c>
      <c r="AD3648">
        <v>-0.104806999999999</v>
      </c>
      <c r="AE3648">
        <v>3.1800000000003999E-2</v>
      </c>
      <c r="AF3648">
        <v>3.6853113785711301E-2</v>
      </c>
      <c r="AG3648">
        <v>-0.104806999999999</v>
      </c>
      <c r="AH3648">
        <v>0.28034264861108199</v>
      </c>
      <c r="AI3648">
        <v>110.337939778945</v>
      </c>
      <c r="AJ3648">
        <v>82.510988484202301</v>
      </c>
      <c r="AK3648">
        <v>0.30155374292981202</v>
      </c>
      <c r="AL3648">
        <v>77.9110663516974</v>
      </c>
      <c r="AM3648">
        <v>86.917494082442204</v>
      </c>
      <c r="AN3648">
        <v>0.99999997248525696</v>
      </c>
    </row>
    <row r="3649" spans="1:40" x14ac:dyDescent="0.25">
      <c r="A3649" t="str">
        <f>"20190303162624264"</f>
        <v>20190303162624264</v>
      </c>
      <c r="B3649" t="str">
        <f>"1551601584257100"</f>
        <v>1551601584257100</v>
      </c>
      <c r="C3649" t="s">
        <v>40</v>
      </c>
      <c r="D3649">
        <v>4.8413110000000001</v>
      </c>
      <c r="E3649">
        <v>0.50349840000000001</v>
      </c>
      <c r="F3649" t="s">
        <v>42</v>
      </c>
      <c r="G3649">
        <v>-315.78140000000002</v>
      </c>
      <c r="H3649">
        <v>0.99342390000000003</v>
      </c>
      <c r="I3649">
        <v>141.8355</v>
      </c>
      <c r="J3649">
        <v>-315.17770000000002</v>
      </c>
      <c r="K3649">
        <v>1.1209039999999999</v>
      </c>
      <c r="L3649">
        <v>141.80260000000001</v>
      </c>
      <c r="M3649">
        <v>-0.99951570000000001</v>
      </c>
      <c r="N3649">
        <v>-9.9343509999999993E-3</v>
      </c>
      <c r="O3649">
        <v>-2.949164E-2</v>
      </c>
      <c r="P3649">
        <v>-0.9795315</v>
      </c>
      <c r="Q3649">
        <v>0.1999426</v>
      </c>
      <c r="R3649">
        <v>2.326027E-2</v>
      </c>
      <c r="S3649">
        <v>-3.150665</v>
      </c>
      <c r="T3649">
        <v>-0.44226880000000002</v>
      </c>
      <c r="U3649">
        <v>8.1542970000000006E-2</v>
      </c>
      <c r="V3649">
        <v>5.2061030000000001E-2</v>
      </c>
      <c r="W3649">
        <v>0.2096722</v>
      </c>
      <c r="X3649">
        <v>0.97638480000000005</v>
      </c>
      <c r="Y3649">
        <v>5.4522510000000003E-2</v>
      </c>
      <c r="Z3649">
        <v>7.9070269999999901E-3</v>
      </c>
      <c r="AA3649">
        <v>0.99848119999999996</v>
      </c>
      <c r="AB3649">
        <v>34</v>
      </c>
      <c r="AC3649">
        <v>-0.60370000000000301</v>
      </c>
      <c r="AD3649">
        <v>-0.12748010000000001</v>
      </c>
      <c r="AE3649">
        <v>3.2899999999983699E-2</v>
      </c>
      <c r="AF3649">
        <v>4.8532967430356601E-2</v>
      </c>
      <c r="AG3649">
        <v>-0.12748010000000001</v>
      </c>
      <c r="AH3649">
        <v>0.57682241577028304</v>
      </c>
      <c r="AI3649">
        <v>102.41976467761</v>
      </c>
      <c r="AJ3649">
        <v>85.190547408578894</v>
      </c>
      <c r="AK3649">
        <v>0.59273157850638603</v>
      </c>
      <c r="AL3649">
        <v>77.8968573432456</v>
      </c>
      <c r="AM3649">
        <v>86.947868000573806</v>
      </c>
      <c r="AN3649">
        <v>1.00000002998427</v>
      </c>
    </row>
    <row r="3650" spans="1:40" x14ac:dyDescent="0.25">
      <c r="A3650" t="str">
        <f>"20190303162624287"</f>
        <v>20190303162624287</v>
      </c>
      <c r="B3650" t="str">
        <f>"1551601584277595"</f>
        <v>1551601584277595</v>
      </c>
      <c r="C3650" t="s">
        <v>40</v>
      </c>
      <c r="D3650">
        <v>4.8496810000000004</v>
      </c>
      <c r="E3650">
        <v>0.50353420000000004</v>
      </c>
      <c r="F3650" t="s">
        <v>42</v>
      </c>
      <c r="G3650">
        <v>-316.08670000000001</v>
      </c>
      <c r="H3650">
        <v>0.99616459999999996</v>
      </c>
      <c r="I3650">
        <v>141.82570000000001</v>
      </c>
      <c r="J3650">
        <v>-315.52260000000001</v>
      </c>
      <c r="K3650">
        <v>1.1208929999999999</v>
      </c>
      <c r="L3650">
        <v>141.79220000000001</v>
      </c>
      <c r="M3650">
        <v>-0.99951080000000003</v>
      </c>
      <c r="N3650">
        <v>-9.864388E-3</v>
      </c>
      <c r="O3650">
        <v>-2.968227E-2</v>
      </c>
      <c r="P3650">
        <v>-0.9796395</v>
      </c>
      <c r="Q3650">
        <v>0.1994399</v>
      </c>
      <c r="R3650">
        <v>2.3025400000000001E-2</v>
      </c>
      <c r="S3650">
        <v>-3.148987</v>
      </c>
      <c r="T3650">
        <v>-0.43216919999999998</v>
      </c>
      <c r="U3650">
        <v>7.9650879999999993E-2</v>
      </c>
      <c r="V3650">
        <v>5.2015850000000002E-2</v>
      </c>
      <c r="W3650">
        <v>0.20910239999999999</v>
      </c>
      <c r="X3650">
        <v>0.97650939999999997</v>
      </c>
      <c r="Y3650">
        <v>5.4165289999999998E-2</v>
      </c>
      <c r="Z3650">
        <v>7.7298660000000002E-3</v>
      </c>
      <c r="AA3650">
        <v>0.99850209999999995</v>
      </c>
      <c r="AB3650">
        <v>34</v>
      </c>
      <c r="AC3650">
        <v>-0.56409999999999605</v>
      </c>
      <c r="AD3650">
        <v>-0.1247284</v>
      </c>
      <c r="AE3650">
        <v>3.3500000000003603E-2</v>
      </c>
      <c r="AF3650">
        <v>4.7896402214098903E-2</v>
      </c>
      <c r="AG3650">
        <v>-0.1247284</v>
      </c>
      <c r="AH3650">
        <v>0.53670959674135299</v>
      </c>
      <c r="AI3650">
        <v>103.032986563533</v>
      </c>
      <c r="AJ3650">
        <v>84.900386910914605</v>
      </c>
      <c r="AK3650">
        <v>0.55308989354885196</v>
      </c>
      <c r="AL3650">
        <v>77.930244645194094</v>
      </c>
      <c r="AM3650">
        <v>86.950900095898902</v>
      </c>
      <c r="AN3650">
        <v>1.0000000353126699</v>
      </c>
    </row>
    <row r="3651" spans="1:40" x14ac:dyDescent="0.25">
      <c r="A3651" t="str">
        <f>"20190303162624308"</f>
        <v>20190303162624308</v>
      </c>
      <c r="B3651" t="str">
        <f>"1551601584297116"</f>
        <v>1551601584297116</v>
      </c>
      <c r="C3651" t="s">
        <v>40</v>
      </c>
      <c r="D3651">
        <v>4.8491140000000001</v>
      </c>
      <c r="E3651">
        <v>0.50325050000000005</v>
      </c>
      <c r="F3651" t="s">
        <v>42</v>
      </c>
      <c r="G3651">
        <v>-316.39429999999999</v>
      </c>
      <c r="H3651">
        <v>1.002813</v>
      </c>
      <c r="I3651">
        <v>141.81450000000001</v>
      </c>
      <c r="J3651">
        <v>-315.8451</v>
      </c>
      <c r="K3651">
        <v>1.120889</v>
      </c>
      <c r="L3651">
        <v>141.7825</v>
      </c>
      <c r="M3651">
        <v>-0.99950609999999995</v>
      </c>
      <c r="N3651">
        <v>-9.8072049999999994E-3</v>
      </c>
      <c r="O3651">
        <v>-2.9860319999999999E-2</v>
      </c>
      <c r="P3651">
        <v>-0.97987650000000004</v>
      </c>
      <c r="Q3651">
        <v>0.19824639999999999</v>
      </c>
      <c r="R3651">
        <v>2.325106E-2</v>
      </c>
      <c r="S3651">
        <v>-3.1473080000000002</v>
      </c>
      <c r="T3651">
        <v>-0.42641040000000002</v>
      </c>
      <c r="U3651">
        <v>7.9376219999999997E-2</v>
      </c>
      <c r="V3651">
        <v>5.2423190000000001E-2</v>
      </c>
      <c r="W3651">
        <v>0.2078554</v>
      </c>
      <c r="X3651">
        <v>0.97675380000000001</v>
      </c>
      <c r="Y3651">
        <v>5.428678E-2</v>
      </c>
      <c r="Z3651">
        <v>7.6626709999999898E-3</v>
      </c>
      <c r="AA3651">
        <v>0.99849600000000005</v>
      </c>
      <c r="AB3651">
        <v>34</v>
      </c>
      <c r="AC3651">
        <v>-0.54919999999998403</v>
      </c>
      <c r="AD3651">
        <v>-0.118076</v>
      </c>
      <c r="AE3651">
        <v>3.2000000000010603E-2</v>
      </c>
      <c r="AF3651">
        <v>4.6254973931271502E-2</v>
      </c>
      <c r="AG3651">
        <v>-0.118076</v>
      </c>
      <c r="AH3651">
        <v>0.52386652341491802</v>
      </c>
      <c r="AI3651">
        <v>102.654193381658</v>
      </c>
      <c r="AJ3651">
        <v>84.954135028332203</v>
      </c>
      <c r="AK3651">
        <v>0.53899684483697596</v>
      </c>
      <c r="AL3651">
        <v>78.003297527283195</v>
      </c>
      <c r="AM3651">
        <v>86.927835378215207</v>
      </c>
      <c r="AN3651">
        <v>1.00000002198668</v>
      </c>
    </row>
    <row r="3652" spans="1:40" x14ac:dyDescent="0.25">
      <c r="A3652" t="str">
        <f>"20190303162624333"</f>
        <v>20190303162624333</v>
      </c>
      <c r="B3652" t="str">
        <f>"1551601584327371"</f>
        <v>1551601584327371</v>
      </c>
      <c r="C3652" t="s">
        <v>40</v>
      </c>
      <c r="D3652">
        <v>4.8915290000000002</v>
      </c>
      <c r="E3652">
        <v>0.50260779999999905</v>
      </c>
      <c r="F3652" t="s">
        <v>42</v>
      </c>
      <c r="G3652">
        <v>-316.7004</v>
      </c>
      <c r="H3652">
        <v>1.005698</v>
      </c>
      <c r="I3652">
        <v>141.8039</v>
      </c>
      <c r="J3652">
        <v>-316.20280000000002</v>
      </c>
      <c r="K3652">
        <v>1.120873</v>
      </c>
      <c r="L3652">
        <v>141.77160000000001</v>
      </c>
      <c r="M3652">
        <v>-0.99950059999999996</v>
      </c>
      <c r="N3652">
        <v>-9.7521250000000004E-3</v>
      </c>
      <c r="O3652">
        <v>-3.0057939999999998E-2</v>
      </c>
      <c r="P3652">
        <v>-0.98009729999999995</v>
      </c>
      <c r="Q3652">
        <v>0.19711429999999999</v>
      </c>
      <c r="R3652">
        <v>2.3565300000000001E-2</v>
      </c>
      <c r="S3652">
        <v>-3.1454770000000001</v>
      </c>
      <c r="T3652">
        <v>-0.42364980000000002</v>
      </c>
      <c r="U3652">
        <v>7.8247070000000002E-2</v>
      </c>
      <c r="V3652">
        <v>5.2937430000000001E-2</v>
      </c>
      <c r="W3652">
        <v>0.20667140000000001</v>
      </c>
      <c r="X3652">
        <v>0.97697719999999999</v>
      </c>
      <c r="Y3652">
        <v>5.4149389999999999E-2</v>
      </c>
      <c r="Z3652">
        <v>7.6325749999999999E-3</v>
      </c>
      <c r="AA3652">
        <v>0.99850369999999999</v>
      </c>
      <c r="AB3652">
        <v>34</v>
      </c>
      <c r="AC3652">
        <v>-0.49759999999997701</v>
      </c>
      <c r="AD3652">
        <v>-0.115175</v>
      </c>
      <c r="AE3652">
        <v>3.2299999999992203E-2</v>
      </c>
      <c r="AF3652">
        <v>4.4850213566497599E-2</v>
      </c>
      <c r="AG3652">
        <v>-0.115175</v>
      </c>
      <c r="AH3652">
        <v>0.47126263969270499</v>
      </c>
      <c r="AI3652">
        <v>103.674230896634</v>
      </c>
      <c r="AJ3652">
        <v>84.563516643368899</v>
      </c>
      <c r="AK3652">
        <v>0.48720149615133301</v>
      </c>
      <c r="AL3652">
        <v>78.072640584716694</v>
      </c>
      <c r="AM3652">
        <v>86.898465855059101</v>
      </c>
      <c r="AN3652">
        <v>0.99999994419640004</v>
      </c>
    </row>
    <row r="3653" spans="1:40" x14ac:dyDescent="0.25">
      <c r="A3653" t="str">
        <f>"20190303162624354"</f>
        <v>20190303162624354</v>
      </c>
      <c r="B3653" t="str">
        <f>"1551601584346892"</f>
        <v>1551601584346892</v>
      </c>
      <c r="C3653" t="s">
        <v>40</v>
      </c>
      <c r="D3653">
        <v>4.9650319999999999</v>
      </c>
      <c r="E3653">
        <v>0.50242019999999998</v>
      </c>
      <c r="F3653" t="s">
        <v>42</v>
      </c>
      <c r="G3653">
        <v>-317.00900000000001</v>
      </c>
      <c r="H3653">
        <v>1.012772</v>
      </c>
      <c r="I3653">
        <v>141.7912</v>
      </c>
      <c r="J3653">
        <v>-316.54039999999998</v>
      </c>
      <c r="K3653">
        <v>1.1208549999999999</v>
      </c>
      <c r="L3653">
        <v>141.76130000000001</v>
      </c>
      <c r="M3653">
        <v>-0.99949540000000003</v>
      </c>
      <c r="N3653">
        <v>-9.7105179999999996E-3</v>
      </c>
      <c r="O3653">
        <v>-3.0244529999999999E-2</v>
      </c>
      <c r="P3653">
        <v>-0.98033400000000004</v>
      </c>
      <c r="Q3653">
        <v>0.19592319999999999</v>
      </c>
      <c r="R3653">
        <v>2.365343E-2</v>
      </c>
      <c r="S3653">
        <v>-3.1438899999999999</v>
      </c>
      <c r="T3653">
        <v>-0.42164049999999997</v>
      </c>
      <c r="U3653">
        <v>7.5042719999999993E-2</v>
      </c>
      <c r="V3653">
        <v>5.3215699999999901E-2</v>
      </c>
      <c r="W3653">
        <v>0.20544280000000001</v>
      </c>
      <c r="X3653">
        <v>0.97722129999999996</v>
      </c>
      <c r="Y3653">
        <v>5.3343870000000002E-2</v>
      </c>
      <c r="Z3653">
        <v>7.5659530000000003E-3</v>
      </c>
      <c r="AA3653">
        <v>0.99854759999999998</v>
      </c>
      <c r="AB3653">
        <v>34</v>
      </c>
      <c r="AC3653">
        <v>-0.46860000000003699</v>
      </c>
      <c r="AD3653">
        <v>-0.108082999999999</v>
      </c>
      <c r="AE3653">
        <v>2.98999999999978E-2</v>
      </c>
      <c r="AF3653">
        <v>4.1842582785420697E-2</v>
      </c>
      <c r="AG3653">
        <v>-0.108082999999999</v>
      </c>
      <c r="AH3653">
        <v>0.44395850882361598</v>
      </c>
      <c r="AI3653">
        <v>103.624535892693</v>
      </c>
      <c r="AJ3653">
        <v>84.6158427971489</v>
      </c>
      <c r="AK3653">
        <v>0.45883754661104598</v>
      </c>
      <c r="AL3653">
        <v>78.144579383925503</v>
      </c>
      <c r="AM3653">
        <v>86.882971724702003</v>
      </c>
      <c r="AN3653">
        <v>1.0000000619860001</v>
      </c>
    </row>
    <row r="3654" spans="1:40" x14ac:dyDescent="0.25">
      <c r="A3654" t="str">
        <f>"20190303162624376"</f>
        <v>20190303162624376</v>
      </c>
      <c r="B3654" t="str">
        <f>"1551601584367387"</f>
        <v>1551601584367387</v>
      </c>
      <c r="C3654" t="s">
        <v>40</v>
      </c>
      <c r="D3654">
        <v>4.9086790000000002</v>
      </c>
      <c r="E3654">
        <v>0.50212709999999905</v>
      </c>
      <c r="F3654" t="s">
        <v>42</v>
      </c>
      <c r="G3654">
        <v>-317.31639999999999</v>
      </c>
      <c r="H3654">
        <v>1.016483</v>
      </c>
      <c r="I3654">
        <v>141.77959999999999</v>
      </c>
      <c r="J3654">
        <v>-316.88139999999999</v>
      </c>
      <c r="K3654">
        <v>1.120852</v>
      </c>
      <c r="L3654">
        <v>141.7508</v>
      </c>
      <c r="M3654">
        <v>-0.99949010000000005</v>
      </c>
      <c r="N3654">
        <v>-9.6792340000000001E-3</v>
      </c>
      <c r="O3654">
        <v>-3.043297E-2</v>
      </c>
      <c r="P3654">
        <v>-0.98056049999999995</v>
      </c>
      <c r="Q3654">
        <v>0.19486709999999999</v>
      </c>
      <c r="R3654">
        <v>2.2977060000000001E-2</v>
      </c>
      <c r="S3654">
        <v>-3.1428829999999999</v>
      </c>
      <c r="T3654">
        <v>-0.42273579999999999</v>
      </c>
      <c r="U3654">
        <v>7.3852539999999994E-2</v>
      </c>
      <c r="V3654">
        <v>5.273129E-2</v>
      </c>
      <c r="W3654">
        <v>0.20435819999999999</v>
      </c>
      <c r="X3654">
        <v>0.97747490000000004</v>
      </c>
      <c r="Y3654">
        <v>5.3157799999999998E-2</v>
      </c>
      <c r="Z3654">
        <v>7.598123E-3</v>
      </c>
      <c r="AA3654">
        <v>0.99855720000000003</v>
      </c>
      <c r="AB3654">
        <v>34</v>
      </c>
      <c r="AC3654">
        <v>-0.435000000000002</v>
      </c>
      <c r="AD3654">
        <v>-0.104368999999999</v>
      </c>
      <c r="AE3654">
        <v>2.8799999999989698E-2</v>
      </c>
      <c r="AF3654">
        <v>3.9747507692975803E-2</v>
      </c>
      <c r="AG3654">
        <v>-0.104368999999999</v>
      </c>
      <c r="AH3654">
        <v>0.41040007967480902</v>
      </c>
      <c r="AI3654">
        <v>104.20468913827</v>
      </c>
      <c r="AJ3654">
        <v>84.468120831462699</v>
      </c>
      <c r="AK3654">
        <v>0.42532455598741598</v>
      </c>
      <c r="AL3654">
        <v>78.208068982883802</v>
      </c>
      <c r="AM3654">
        <v>86.912089905777904</v>
      </c>
      <c r="AN3654">
        <v>1.00000002149115</v>
      </c>
    </row>
    <row r="3655" spans="1:40" x14ac:dyDescent="0.25">
      <c r="A3655" t="str">
        <f>"20190303162624398"</f>
        <v>20190303162624398</v>
      </c>
      <c r="B3655" t="str">
        <f>"1551601584386908"</f>
        <v>1551601584386908</v>
      </c>
      <c r="C3655" t="s">
        <v>40</v>
      </c>
      <c r="D3655">
        <v>4.9986069999999998</v>
      </c>
      <c r="E3655">
        <v>0.50177510000000003</v>
      </c>
      <c r="F3655" t="s">
        <v>42</v>
      </c>
      <c r="G3655">
        <v>-317.62450000000001</v>
      </c>
      <c r="H3655">
        <v>1.020905</v>
      </c>
      <c r="I3655">
        <v>141.76759999999999</v>
      </c>
      <c r="J3655">
        <v>-317.21280000000002</v>
      </c>
      <c r="K3655">
        <v>1.1208469999999999</v>
      </c>
      <c r="L3655">
        <v>141.7405</v>
      </c>
      <c r="M3655">
        <v>-0.99948459999999995</v>
      </c>
      <c r="N3655">
        <v>-9.6560569999999991E-3</v>
      </c>
      <c r="O3655">
        <v>-3.0615489999999999E-2</v>
      </c>
      <c r="P3655">
        <v>-0.98070290000000004</v>
      </c>
      <c r="Q3655">
        <v>0.1942633</v>
      </c>
      <c r="R3655">
        <v>2.199682E-2</v>
      </c>
      <c r="S3655">
        <v>-3.1418460000000001</v>
      </c>
      <c r="T3655">
        <v>-0.42272379999999998</v>
      </c>
      <c r="U3655">
        <v>7.0281979999999994E-2</v>
      </c>
      <c r="V3655">
        <v>5.1934609999999999E-2</v>
      </c>
      <c r="W3655">
        <v>0.2037331</v>
      </c>
      <c r="X3655">
        <v>0.97764799999999996</v>
      </c>
      <c r="Y3655">
        <v>5.2220809999999999E-2</v>
      </c>
      <c r="Z3655">
        <v>7.5559569999999899E-3</v>
      </c>
      <c r="AA3655">
        <v>0.99860700000000002</v>
      </c>
      <c r="AB3655">
        <v>34</v>
      </c>
      <c r="AC3655">
        <v>-0.41169999999999601</v>
      </c>
      <c r="AD3655">
        <v>-9.9941999999999906E-2</v>
      </c>
      <c r="AE3655">
        <v>2.7099999999990101E-2</v>
      </c>
      <c r="AF3655">
        <v>3.7492395769294799E-2</v>
      </c>
      <c r="AG3655">
        <v>-9.9941999999999906E-2</v>
      </c>
      <c r="AH3655">
        <v>0.387916109220446</v>
      </c>
      <c r="AI3655">
        <v>104.383165521107</v>
      </c>
      <c r="AJ3655">
        <v>84.479465217496198</v>
      </c>
      <c r="AK3655">
        <v>0.40233442668661901</v>
      </c>
      <c r="AL3655">
        <v>78.244653972896302</v>
      </c>
      <c r="AM3655">
        <v>86.959192196874298</v>
      </c>
      <c r="AN3655">
        <v>0.99999999582773103</v>
      </c>
    </row>
    <row r="3656" spans="1:40" x14ac:dyDescent="0.25">
      <c r="A3656" t="str">
        <f>"20190303162624419"</f>
        <v>20190303162624419</v>
      </c>
      <c r="B3656" t="str">
        <f>"1551601584417640"</f>
        <v>1551601584417640</v>
      </c>
      <c r="C3656" t="s">
        <v>40</v>
      </c>
      <c r="D3656">
        <v>5.0641879999999997</v>
      </c>
      <c r="E3656">
        <v>0.50196640000000003</v>
      </c>
      <c r="F3656" t="s">
        <v>42</v>
      </c>
      <c r="G3656">
        <v>-317.93239999999997</v>
      </c>
      <c r="H3656">
        <v>1.0242100000000001</v>
      </c>
      <c r="I3656">
        <v>141.75559999999999</v>
      </c>
      <c r="J3656">
        <v>-317.54219999999998</v>
      </c>
      <c r="K3656">
        <v>1.120844</v>
      </c>
      <c r="L3656">
        <v>141.7302</v>
      </c>
      <c r="M3656">
        <v>-0.99947929999999996</v>
      </c>
      <c r="N3656">
        <v>-9.6379289999999999E-3</v>
      </c>
      <c r="O3656">
        <v>-3.0797439999999999E-2</v>
      </c>
      <c r="P3656">
        <v>-0.98083319999999996</v>
      </c>
      <c r="Q3656">
        <v>0.19367580000000001</v>
      </c>
      <c r="R3656">
        <v>2.136033E-2</v>
      </c>
      <c r="S3656">
        <v>-3.1411129999999998</v>
      </c>
      <c r="T3656">
        <v>-0.421875</v>
      </c>
      <c r="U3656">
        <v>6.5460210000000005E-2</v>
      </c>
      <c r="V3656">
        <v>5.1480999999999902E-2</v>
      </c>
      <c r="W3656">
        <v>0.203129</v>
      </c>
      <c r="X3656">
        <v>0.97779769999999999</v>
      </c>
      <c r="Y3656">
        <v>5.088956E-2</v>
      </c>
      <c r="Z3656">
        <v>7.4698840000000004E-3</v>
      </c>
      <c r="AA3656">
        <v>0.99867640000000002</v>
      </c>
      <c r="AB3656">
        <v>34</v>
      </c>
      <c r="AC3656">
        <v>-0.390199999999993</v>
      </c>
      <c r="AD3656">
        <v>-9.6633999999999803E-2</v>
      </c>
      <c r="AE3656">
        <v>2.53999999999905E-2</v>
      </c>
      <c r="AF3656">
        <v>3.5252682201374397E-2</v>
      </c>
      <c r="AG3656">
        <v>-9.6633999999999803E-2</v>
      </c>
      <c r="AH3656">
        <v>0.36682924822695301</v>
      </c>
      <c r="AI3656">
        <v>104.693421997036</v>
      </c>
      <c r="AJ3656">
        <v>84.510671771850895</v>
      </c>
      <c r="AK3656">
        <v>0.38097844940776199</v>
      </c>
      <c r="AL3656">
        <v>78.280005786723805</v>
      </c>
      <c r="AM3656">
        <v>86.986162821621093</v>
      </c>
      <c r="AN3656">
        <v>1.0000000130636399</v>
      </c>
    </row>
    <row r="3657" spans="1:40" x14ac:dyDescent="0.25">
      <c r="A3657" t="str">
        <f>"20190303162624443"</f>
        <v>20190303162624443</v>
      </c>
      <c r="B3657" t="str">
        <f>"1551601584437160"</f>
        <v>1551601584437160</v>
      </c>
      <c r="C3657" t="s">
        <v>40</v>
      </c>
      <c r="D3657">
        <v>5.061369</v>
      </c>
      <c r="E3657">
        <v>0.51851769999999997</v>
      </c>
      <c r="F3657" t="s">
        <v>42</v>
      </c>
      <c r="G3657">
        <v>-318.52850000000001</v>
      </c>
      <c r="H3657">
        <v>0.98701499999999998</v>
      </c>
      <c r="I3657">
        <v>141.75110000000001</v>
      </c>
      <c r="J3657">
        <v>-317.90870000000001</v>
      </c>
      <c r="K3657">
        <v>1.120833</v>
      </c>
      <c r="L3657">
        <v>141.71870000000001</v>
      </c>
      <c r="M3657">
        <v>-0.9994731</v>
      </c>
      <c r="N3657">
        <v>-9.6222159999999994E-3</v>
      </c>
      <c r="O3657">
        <v>-3.0999539999999999E-2</v>
      </c>
      <c r="P3657">
        <v>-0.98096249999999996</v>
      </c>
      <c r="Q3657">
        <v>0.19309419999999999</v>
      </c>
      <c r="R3657">
        <v>2.067712E-2</v>
      </c>
      <c r="S3657">
        <v>-3.1413570000000002</v>
      </c>
      <c r="T3657">
        <v>-0.42629800000000001</v>
      </c>
      <c r="U3657">
        <v>6.5704349999999995E-2</v>
      </c>
      <c r="V3657">
        <v>5.1000219999999999E-2</v>
      </c>
      <c r="W3657">
        <v>0.2025332</v>
      </c>
      <c r="X3657">
        <v>0.97794650000000005</v>
      </c>
      <c r="Y3657">
        <v>5.1148100000000002E-2</v>
      </c>
      <c r="Z3657">
        <v>7.591614E-3</v>
      </c>
      <c r="AA3657">
        <v>0.99866220000000006</v>
      </c>
      <c r="AB3657">
        <v>34</v>
      </c>
      <c r="AC3657">
        <v>-0.61979999999999702</v>
      </c>
      <c r="AD3657">
        <v>-0.13381799999999999</v>
      </c>
      <c r="AE3657">
        <v>3.2399999999995502E-2</v>
      </c>
      <c r="AF3657">
        <v>4.9306663505027902E-2</v>
      </c>
      <c r="AG3657">
        <v>-0.13381799999999999</v>
      </c>
      <c r="AH3657">
        <v>0.59102222918656</v>
      </c>
      <c r="AI3657">
        <v>102.714956400281</v>
      </c>
      <c r="AJ3657">
        <v>85.231081416434606</v>
      </c>
      <c r="AK3657">
        <v>0.607984933680637</v>
      </c>
      <c r="AL3657">
        <v>78.314867549720802</v>
      </c>
      <c r="AM3657">
        <v>87.014711293766197</v>
      </c>
      <c r="AN3657">
        <v>1.00000003820226</v>
      </c>
    </row>
    <row r="3658" spans="1:40" x14ac:dyDescent="0.25">
      <c r="A3658" t="str">
        <f>"20190303162624465"</f>
        <v>20190303162624465</v>
      </c>
      <c r="B3658" t="str">
        <f>"1551601584457656"</f>
        <v>1551601584457656</v>
      </c>
      <c r="C3658" t="s">
        <v>40</v>
      </c>
      <c r="D3658">
        <v>5.0750590000000004</v>
      </c>
      <c r="E3658">
        <v>0.51924320000000002</v>
      </c>
      <c r="F3658" t="s">
        <v>42</v>
      </c>
      <c r="G3658">
        <v>-318.7722</v>
      </c>
      <c r="H3658">
        <v>0.84199080000000004</v>
      </c>
      <c r="I3658">
        <v>141.76859999999999</v>
      </c>
      <c r="J3658">
        <v>-318.24930000000001</v>
      </c>
      <c r="K3658">
        <v>1.1208279999999999</v>
      </c>
      <c r="L3658">
        <v>141.708</v>
      </c>
      <c r="M3658">
        <v>-0.99946740000000001</v>
      </c>
      <c r="N3658">
        <v>-9.6109660000000003E-3</v>
      </c>
      <c r="O3658">
        <v>-3.118748E-2</v>
      </c>
      <c r="P3658">
        <v>-0.98098629999999998</v>
      </c>
      <c r="Q3658">
        <v>0.19296489999999999</v>
      </c>
      <c r="R3658">
        <v>2.075227E-2</v>
      </c>
      <c r="S3658">
        <v>-3.2615660000000002</v>
      </c>
      <c r="T3658">
        <v>-1.053132</v>
      </c>
      <c r="U3658">
        <v>0.1869507</v>
      </c>
      <c r="V3658">
        <v>5.126004E-2</v>
      </c>
      <c r="W3658">
        <v>0.20239309999999999</v>
      </c>
      <c r="X3658">
        <v>0.97796190000000005</v>
      </c>
      <c r="Y3658">
        <v>8.2531919999999995E-2</v>
      </c>
      <c r="Z3658">
        <v>2.2912990000000001E-2</v>
      </c>
      <c r="AA3658">
        <v>0.99632500000000002</v>
      </c>
      <c r="AB3658">
        <v>34</v>
      </c>
      <c r="AC3658">
        <v>-0.52289999999999204</v>
      </c>
      <c r="AD3658">
        <v>-0.27883720000000001</v>
      </c>
      <c r="AE3658">
        <v>6.0599999999993701E-2</v>
      </c>
      <c r="AF3658">
        <v>6.0034273662190003E-2</v>
      </c>
      <c r="AG3658">
        <v>-0.27883720000000001</v>
      </c>
      <c r="AH3658">
        <v>0.406653300011733</v>
      </c>
      <c r="AI3658">
        <v>124.150441021068</v>
      </c>
      <c r="AJ3658">
        <v>81.602076793783596</v>
      </c>
      <c r="AK3658">
        <v>0.49671038294807102</v>
      </c>
      <c r="AL3658">
        <v>78.323064210445395</v>
      </c>
      <c r="AM3658">
        <v>86.999577658858499</v>
      </c>
      <c r="AN3658">
        <v>1.0000000182400099</v>
      </c>
    </row>
    <row r="3659" spans="1:40" x14ac:dyDescent="0.25">
      <c r="A3659" t="str">
        <f>"20190303162624487"</f>
        <v>20190303162624487</v>
      </c>
      <c r="B3659" t="str">
        <f>"1551601584477177"</f>
        <v>1551601584477177</v>
      </c>
      <c r="C3659" t="s">
        <v>40</v>
      </c>
      <c r="D3659">
        <v>5.1312720000000001</v>
      </c>
      <c r="E3659">
        <v>0.51959259999999996</v>
      </c>
      <c r="F3659" t="s">
        <v>42</v>
      </c>
      <c r="G3659">
        <v>-319.07769999999999</v>
      </c>
      <c r="H3659">
        <v>0.83599780000000001</v>
      </c>
      <c r="I3659">
        <v>141.75659999999999</v>
      </c>
      <c r="J3659">
        <v>-318.58449999999999</v>
      </c>
      <c r="K3659">
        <v>1.1208279999999999</v>
      </c>
      <c r="L3659">
        <v>141.69730000000001</v>
      </c>
      <c r="M3659">
        <v>-0.99946179999999996</v>
      </c>
      <c r="N3659">
        <v>-9.6026879999999998E-3</v>
      </c>
      <c r="O3659">
        <v>-3.13721E-2</v>
      </c>
      <c r="P3659">
        <v>-0.98097040000000002</v>
      </c>
      <c r="Q3659">
        <v>0.1930317</v>
      </c>
      <c r="R3659">
        <v>2.0883390000000002E-2</v>
      </c>
      <c r="S3659">
        <v>-3.2756349999999999</v>
      </c>
      <c r="T3659">
        <v>-1.1263000000000001</v>
      </c>
      <c r="U3659">
        <v>0.19183349999999999</v>
      </c>
      <c r="V3659">
        <v>5.1571310000000002E-2</v>
      </c>
      <c r="W3659">
        <v>0.20245150000000001</v>
      </c>
      <c r="X3659">
        <v>0.97793339999999995</v>
      </c>
      <c r="Y3659">
        <v>8.3151080000000002E-2</v>
      </c>
      <c r="Z3659">
        <v>2.4481949999999999E-2</v>
      </c>
      <c r="AA3659">
        <v>0.99623620000000002</v>
      </c>
      <c r="AB3659">
        <v>34</v>
      </c>
      <c r="AC3659">
        <v>-0.49320000000000103</v>
      </c>
      <c r="AD3659">
        <v>-0.28483019999999998</v>
      </c>
      <c r="AE3659">
        <v>5.9299999999979001E-2</v>
      </c>
      <c r="AF3659">
        <v>5.6250687027685299E-2</v>
      </c>
      <c r="AG3659">
        <v>-0.28483019999999998</v>
      </c>
      <c r="AH3659">
        <v>0.36958741622584201</v>
      </c>
      <c r="AI3659">
        <v>127.30365939625401</v>
      </c>
      <c r="AJ3659">
        <v>81.346075814070304</v>
      </c>
      <c r="AK3659">
        <v>0.46998642624614201</v>
      </c>
      <c r="AL3659">
        <v>78.319646859815407</v>
      </c>
      <c r="AM3659">
        <v>86.981303765704595</v>
      </c>
      <c r="AN3659">
        <v>0.99999997235146199</v>
      </c>
    </row>
    <row r="3660" spans="1:40" x14ac:dyDescent="0.25">
      <c r="A3660" t="str">
        <f>"20190303162624510"</f>
        <v>20190303162624510</v>
      </c>
      <c r="B3660" t="str">
        <f>"1551601584496697"</f>
        <v>1551601584496697</v>
      </c>
      <c r="C3660" t="s">
        <v>40</v>
      </c>
      <c r="D3660">
        <v>5.1121379999999998</v>
      </c>
      <c r="E3660">
        <v>0.51964259999999995</v>
      </c>
      <c r="F3660" t="s">
        <v>42</v>
      </c>
      <c r="G3660">
        <v>-319.38740000000001</v>
      </c>
      <c r="H3660">
        <v>0.83955820000000003</v>
      </c>
      <c r="I3660">
        <v>141.74520000000001</v>
      </c>
      <c r="J3660">
        <v>-318.92340000000002</v>
      </c>
      <c r="K3660">
        <v>1.1208320000000001</v>
      </c>
      <c r="L3660">
        <v>141.6865</v>
      </c>
      <c r="M3660">
        <v>-0.99945589999999995</v>
      </c>
      <c r="N3660">
        <v>-9.5965970000000001E-3</v>
      </c>
      <c r="O3660">
        <v>-3.1558750000000003E-2</v>
      </c>
      <c r="P3660">
        <v>-0.9810314</v>
      </c>
      <c r="Q3660">
        <v>0.19272590000000001</v>
      </c>
      <c r="R3660">
        <v>2.0842570000000001E-2</v>
      </c>
      <c r="S3660">
        <v>-3.2801819999999999</v>
      </c>
      <c r="T3660">
        <v>-1.1491260000000001</v>
      </c>
      <c r="U3660">
        <v>0.1944275</v>
      </c>
      <c r="V3660">
        <v>5.1715219999999999E-2</v>
      </c>
      <c r="W3660">
        <v>0.20214099999999999</v>
      </c>
      <c r="X3660">
        <v>0.97799009999999997</v>
      </c>
      <c r="Y3660">
        <v>8.3750989999999997E-2</v>
      </c>
      <c r="Z3660">
        <v>2.5082520000000001E-2</v>
      </c>
      <c r="AA3660">
        <v>0.99617100000000003</v>
      </c>
      <c r="AB3660">
        <v>34</v>
      </c>
      <c r="AC3660">
        <v>-0.46399999999999803</v>
      </c>
      <c r="AD3660">
        <v>-0.28127379999999902</v>
      </c>
      <c r="AE3660">
        <v>5.8700000000015899E-2</v>
      </c>
      <c r="AF3660">
        <v>5.3841269425674097E-2</v>
      </c>
      <c r="AG3660">
        <v>-0.28127379999999902</v>
      </c>
      <c r="AH3660">
        <v>0.339224758040924</v>
      </c>
      <c r="AI3660">
        <v>129.314586811868</v>
      </c>
      <c r="AJ3660">
        <v>80.981325085256003</v>
      </c>
      <c r="AK3660">
        <v>0.44394511972509798</v>
      </c>
      <c r="AL3660">
        <v>78.337813613042698</v>
      </c>
      <c r="AM3660">
        <v>86.973070896827096</v>
      </c>
      <c r="AN3660">
        <v>1.00000004177932</v>
      </c>
    </row>
    <row r="3661" spans="1:40" x14ac:dyDescent="0.25">
      <c r="A3661" t="str">
        <f>"20190303162624533"</f>
        <v>20190303162624533</v>
      </c>
      <c r="B3661" t="str">
        <f>"1551601584526953"</f>
        <v>1551601584526953</v>
      </c>
      <c r="C3661" t="s">
        <v>40</v>
      </c>
      <c r="D3661">
        <v>5.1686639999999997</v>
      </c>
      <c r="E3661">
        <v>0.52009179999999999</v>
      </c>
      <c r="F3661" t="s">
        <v>42</v>
      </c>
      <c r="G3661">
        <v>-319.69909999999999</v>
      </c>
      <c r="H3661">
        <v>0.84730450000000002</v>
      </c>
      <c r="I3661">
        <v>141.73259999999999</v>
      </c>
      <c r="J3661">
        <v>-319.29129999999998</v>
      </c>
      <c r="K3661">
        <v>1.120833</v>
      </c>
      <c r="L3661">
        <v>141.6747</v>
      </c>
      <c r="M3661">
        <v>-0.99944940000000004</v>
      </c>
      <c r="N3661">
        <v>-9.5950129999999995E-3</v>
      </c>
      <c r="O3661">
        <v>-3.1761520000000001E-2</v>
      </c>
      <c r="P3661">
        <v>-0.98099809999999998</v>
      </c>
      <c r="Q3661">
        <v>0.19285530000000001</v>
      </c>
      <c r="R3661">
        <v>2.1207030000000002E-2</v>
      </c>
      <c r="S3661">
        <v>-3.2812190000000001</v>
      </c>
      <c r="T3661">
        <v>-1.15699</v>
      </c>
      <c r="U3661">
        <v>0.1941986</v>
      </c>
      <c r="V3661">
        <v>5.2276980000000001E-2</v>
      </c>
      <c r="W3661">
        <v>0.202268</v>
      </c>
      <c r="X3661">
        <v>0.97793390000000002</v>
      </c>
      <c r="Y3661">
        <v>8.3765190000000003E-2</v>
      </c>
      <c r="Z3661">
        <v>2.5306439999999999E-2</v>
      </c>
      <c r="AA3661">
        <v>0.9961641</v>
      </c>
      <c r="AB3661">
        <v>35</v>
      </c>
      <c r="AC3661">
        <v>-0.40780000000000799</v>
      </c>
      <c r="AD3661">
        <v>-0.27352849999999901</v>
      </c>
      <c r="AE3661">
        <v>5.7899999999989397E-2</v>
      </c>
      <c r="AF3661">
        <v>4.9148862176719703E-2</v>
      </c>
      <c r="AG3661">
        <v>-0.27352849999999901</v>
      </c>
      <c r="AH3661">
        <v>0.28157800332836103</v>
      </c>
      <c r="AI3661">
        <v>133.739620942953</v>
      </c>
      <c r="AJ3661">
        <v>80.098887554664998</v>
      </c>
      <c r="AK3661">
        <v>0.39562560954000803</v>
      </c>
      <c r="AL3661">
        <v>78.330382715362504</v>
      </c>
      <c r="AM3661">
        <v>86.9400773179281</v>
      </c>
      <c r="AN3661">
        <v>0.99999996961556403</v>
      </c>
    </row>
    <row r="3662" spans="1:40" x14ac:dyDescent="0.25">
      <c r="A3662" t="str">
        <f>"20190303162624559"</f>
        <v>20190303162624559</v>
      </c>
      <c r="B3662" t="str">
        <f>"1551601584547450"</f>
        <v>1551601584547450</v>
      </c>
      <c r="C3662" t="s">
        <v>40</v>
      </c>
      <c r="D3662">
        <v>5.1708970000000001</v>
      </c>
      <c r="E3662">
        <v>0.51990069999999999</v>
      </c>
      <c r="F3662" t="s">
        <v>42</v>
      </c>
      <c r="G3662">
        <v>-320.01530000000002</v>
      </c>
      <c r="H3662">
        <v>0.86574649999999997</v>
      </c>
      <c r="I3662">
        <v>141.71879999999999</v>
      </c>
      <c r="J3662">
        <v>-319.67559999999997</v>
      </c>
      <c r="K3662">
        <v>1.120822</v>
      </c>
      <c r="L3662">
        <v>141.66229999999999</v>
      </c>
      <c r="M3662">
        <v>-0.99944259999999996</v>
      </c>
      <c r="N3662">
        <v>-9.6002859999999995E-3</v>
      </c>
      <c r="O3662">
        <v>-3.1973500000000002E-2</v>
      </c>
      <c r="P3662">
        <v>-0.98121780000000003</v>
      </c>
      <c r="Q3662">
        <v>0.19168660000000001</v>
      </c>
      <c r="R3662">
        <v>2.1629639999999999E-2</v>
      </c>
      <c r="S3662">
        <v>-3.281158</v>
      </c>
      <c r="T3662">
        <v>-1.15612</v>
      </c>
      <c r="U3662">
        <v>0.19804379999999999</v>
      </c>
      <c r="V3662">
        <v>5.2914530000000001E-2</v>
      </c>
      <c r="W3662">
        <v>0.20110690000000001</v>
      </c>
      <c r="X3662">
        <v>0.97813910000000004</v>
      </c>
      <c r="Y3662">
        <v>8.5059079999999995E-2</v>
      </c>
      <c r="Z3662">
        <v>2.5586299999999999E-2</v>
      </c>
      <c r="AA3662">
        <v>0.99604729999999997</v>
      </c>
      <c r="AB3662">
        <v>35</v>
      </c>
      <c r="AC3662">
        <v>-0.33970000000005002</v>
      </c>
      <c r="AD3662">
        <v>-0.25507550000000001</v>
      </c>
      <c r="AE3662">
        <v>5.6499999999999703E-2</v>
      </c>
      <c r="AF3662">
        <v>4.3478514751810297E-2</v>
      </c>
      <c r="AG3662">
        <v>-0.25507550000000001</v>
      </c>
      <c r="AH3662">
        <v>0.218073600931315</v>
      </c>
      <c r="AI3662">
        <v>138.91925398568</v>
      </c>
      <c r="AJ3662">
        <v>78.724481335383601</v>
      </c>
      <c r="AK3662">
        <v>0.338393243680224</v>
      </c>
      <c r="AL3662">
        <v>78.398305195378001</v>
      </c>
      <c r="AM3662">
        <v>86.903480369296105</v>
      </c>
      <c r="AN3662">
        <v>1.00000001583077</v>
      </c>
    </row>
    <row r="3663" spans="1:40" x14ac:dyDescent="0.25">
      <c r="A3663" t="str">
        <f>"20190303162624599"</f>
        <v>20190303162624599</v>
      </c>
      <c r="B3663" t="str">
        <f>"1551601584587465"</f>
        <v>1551601584587465</v>
      </c>
      <c r="C3663" t="s">
        <v>40</v>
      </c>
      <c r="D3663">
        <v>5.1376910000000002</v>
      </c>
      <c r="E3663">
        <v>0.52040390000000003</v>
      </c>
      <c r="F3663" t="s">
        <v>42</v>
      </c>
      <c r="G3663">
        <v>-320.33300000000003</v>
      </c>
      <c r="H3663">
        <v>0.887285199999999</v>
      </c>
      <c r="I3663">
        <v>141.702</v>
      </c>
      <c r="J3663">
        <v>-320.30020000000002</v>
      </c>
      <c r="K3663">
        <v>1.120822</v>
      </c>
      <c r="L3663">
        <v>141.64189999999999</v>
      </c>
      <c r="M3663">
        <v>-0.99943150000000003</v>
      </c>
      <c r="N3663">
        <v>-9.6153320000000007E-3</v>
      </c>
      <c r="O3663">
        <v>-3.2317140000000001E-2</v>
      </c>
      <c r="P3663">
        <v>-0.98155689999999995</v>
      </c>
      <c r="Q3663">
        <v>0.18982570000000001</v>
      </c>
      <c r="R3663">
        <v>2.26336E-2</v>
      </c>
      <c r="S3663">
        <v>-3.2807309999999998</v>
      </c>
      <c r="T3663">
        <v>-1.1654469999999999</v>
      </c>
      <c r="U3663">
        <v>0.19712830000000001</v>
      </c>
      <c r="V3663">
        <v>5.4266090000000003E-2</v>
      </c>
      <c r="W3663">
        <v>0.19926430000000001</v>
      </c>
      <c r="X3663">
        <v>0.97844209999999998</v>
      </c>
      <c r="Y3663">
        <v>8.5002830000000001E-2</v>
      </c>
      <c r="Z3663">
        <v>2.5888979999999999E-2</v>
      </c>
      <c r="AA3663">
        <v>0.99604429999999999</v>
      </c>
      <c r="AB3663">
        <v>35</v>
      </c>
      <c r="AC3663">
        <v>-3.2799999999951902E-2</v>
      </c>
      <c r="AD3663">
        <v>-0.23353679999999999</v>
      </c>
      <c r="AE3663">
        <v>6.0100000000005503E-2</v>
      </c>
      <c r="AF3663">
        <v>4.8383436776191398E-3</v>
      </c>
      <c r="AG3663">
        <v>-0.23353679999999999</v>
      </c>
      <c r="AH3663">
        <v>2.4410321792917799E-3</v>
      </c>
      <c r="AI3663">
        <v>178.670684422227</v>
      </c>
      <c r="AJ3663">
        <v>26.771773210863</v>
      </c>
      <c r="AK3663">
        <v>0.23359966858256201</v>
      </c>
      <c r="AL3663">
        <v>78.506059469737096</v>
      </c>
      <c r="AM3663">
        <v>86.825529267067694</v>
      </c>
      <c r="AN3663">
        <v>1.00000000641539</v>
      </c>
    </row>
    <row r="3664" spans="1:40" x14ac:dyDescent="0.25">
      <c r="A3664" t="str">
        <f>"20190303162624621"</f>
        <v>20190303162624621</v>
      </c>
      <c r="B3664" t="str">
        <f>"1551601584617720"</f>
        <v>1551601584617720</v>
      </c>
      <c r="C3664" t="s">
        <v>40</v>
      </c>
      <c r="D3664">
        <v>5.1959619999999997</v>
      </c>
      <c r="E3664">
        <v>0.52115649999999902</v>
      </c>
      <c r="F3664" t="s">
        <v>42</v>
      </c>
      <c r="G3664">
        <v>-321.22669999999999</v>
      </c>
      <c r="H3664">
        <v>0.79107669999999997</v>
      </c>
      <c r="I3664">
        <v>141.69909999999999</v>
      </c>
      <c r="J3664">
        <v>-320.65440000000001</v>
      </c>
      <c r="K3664">
        <v>1.1208149999999999</v>
      </c>
      <c r="L3664">
        <v>141.63030000000001</v>
      </c>
      <c r="M3664">
        <v>-0.99942509999999996</v>
      </c>
      <c r="N3664">
        <v>-9.6244350000000006E-3</v>
      </c>
      <c r="O3664">
        <v>-3.251209E-2</v>
      </c>
      <c r="P3664">
        <v>-0.9817823</v>
      </c>
      <c r="Q3664">
        <v>0.18869050000000001</v>
      </c>
      <c r="R3664">
        <v>2.2356830000000001E-2</v>
      </c>
      <c r="S3664">
        <v>-3.2773129999999999</v>
      </c>
      <c r="T3664">
        <v>-1.1663829999999999</v>
      </c>
      <c r="U3664">
        <v>0.20091249999999999</v>
      </c>
      <c r="V3664">
        <v>5.4188479999999997E-2</v>
      </c>
      <c r="W3664">
        <v>0.19814039999999999</v>
      </c>
      <c r="X3664">
        <v>0.97867459999999995</v>
      </c>
      <c r="Y3664">
        <v>8.6287489999999994E-2</v>
      </c>
      <c r="Z3664">
        <v>2.6226630000000001E-2</v>
      </c>
      <c r="AA3664">
        <v>0.99592499999999995</v>
      </c>
      <c r="AB3664">
        <v>35</v>
      </c>
      <c r="AC3664">
        <v>-0.57229999999998404</v>
      </c>
      <c r="AD3664">
        <v>-0.32973829999999898</v>
      </c>
      <c r="AE3664">
        <v>6.8799999999981695E-2</v>
      </c>
      <c r="AF3664">
        <v>6.5829452057801205E-2</v>
      </c>
      <c r="AG3664">
        <v>-0.32973829999999898</v>
      </c>
      <c r="AH3664">
        <v>0.42928379497054397</v>
      </c>
      <c r="AI3664">
        <v>127.207135461989</v>
      </c>
      <c r="AJ3664">
        <v>81.2817688602712</v>
      </c>
      <c r="AK3664">
        <v>0.54529390228521002</v>
      </c>
      <c r="AL3664">
        <v>78.571764185457695</v>
      </c>
      <c r="AM3664">
        <v>86.830811585228204</v>
      </c>
      <c r="AN3664">
        <v>0.99999999108101501</v>
      </c>
    </row>
    <row r="3665" spans="1:40" x14ac:dyDescent="0.25">
      <c r="A3665" t="str">
        <f>"20190303162624645"</f>
        <v>20190303162624645</v>
      </c>
      <c r="B3665" t="str">
        <f>"1551601584637241"</f>
        <v>1551601584637241</v>
      </c>
      <c r="C3665" t="s">
        <v>40</v>
      </c>
      <c r="D3665">
        <v>5.1704309999999998</v>
      </c>
      <c r="E3665">
        <v>0.52150879999999999</v>
      </c>
      <c r="F3665" t="s">
        <v>42</v>
      </c>
      <c r="G3665">
        <v>-321.54320000000001</v>
      </c>
      <c r="H3665">
        <v>0.80524280000000004</v>
      </c>
      <c r="I3665">
        <v>141.68629999999999</v>
      </c>
      <c r="J3665">
        <v>-321.01859999999999</v>
      </c>
      <c r="K3665">
        <v>1.120798</v>
      </c>
      <c r="L3665">
        <v>141.6182</v>
      </c>
      <c r="M3665">
        <v>-0.99941840000000004</v>
      </c>
      <c r="N3665">
        <v>-9.6341759999999995E-3</v>
      </c>
      <c r="O3665">
        <v>-3.2712289999999998E-2</v>
      </c>
      <c r="P3665">
        <v>-0.98203070000000003</v>
      </c>
      <c r="Q3665">
        <v>0.1875098</v>
      </c>
      <c r="R3665">
        <v>2.1348209999999999E-2</v>
      </c>
      <c r="S3665">
        <v>-3.2744140000000002</v>
      </c>
      <c r="T3665">
        <v>-1.162695</v>
      </c>
      <c r="U3665">
        <v>0.20585629999999999</v>
      </c>
      <c r="V3665">
        <v>5.3385050000000003E-2</v>
      </c>
      <c r="W3665">
        <v>0.1969718</v>
      </c>
      <c r="X3665">
        <v>0.97895460000000001</v>
      </c>
      <c r="Y3665">
        <v>8.7955400000000003E-2</v>
      </c>
      <c r="Z3665">
        <v>2.6531949999999999E-2</v>
      </c>
      <c r="AA3665">
        <v>0.99577099999999996</v>
      </c>
      <c r="AB3665">
        <v>35</v>
      </c>
      <c r="AC3665">
        <v>-0.52460000000002005</v>
      </c>
      <c r="AD3665">
        <v>-0.31555519999999898</v>
      </c>
      <c r="AE3665">
        <v>6.8099999999986893E-2</v>
      </c>
      <c r="AF3665">
        <v>6.2858559672852102E-2</v>
      </c>
      <c r="AG3665">
        <v>-0.31555519999999898</v>
      </c>
      <c r="AH3665">
        <v>0.38507282338919302</v>
      </c>
      <c r="AI3665">
        <v>128.96469515292199</v>
      </c>
      <c r="AJ3665">
        <v>80.728916028763294</v>
      </c>
      <c r="AK3665">
        <v>0.50180410728102898</v>
      </c>
      <c r="AL3665">
        <v>78.640066048692304</v>
      </c>
      <c r="AM3665">
        <v>86.878597423712094</v>
      </c>
      <c r="AN3665">
        <v>0.99999998120995104</v>
      </c>
    </row>
    <row r="3666" spans="1:40" x14ac:dyDescent="0.25">
      <c r="A3666" t="str">
        <f>"20190303162624666"</f>
        <v>20190303162624666</v>
      </c>
      <c r="B3666" t="str">
        <f>"1551601584656761"</f>
        <v>1551601584656761</v>
      </c>
      <c r="C3666" t="s">
        <v>40</v>
      </c>
      <c r="D3666">
        <v>5.1604070000000002</v>
      </c>
      <c r="E3666">
        <v>0.52177949999999995</v>
      </c>
      <c r="F3666" t="s">
        <v>42</v>
      </c>
      <c r="G3666">
        <v>-321.86090000000002</v>
      </c>
      <c r="H3666">
        <v>0.82168220000000003</v>
      </c>
      <c r="I3666">
        <v>141.67179999999999</v>
      </c>
      <c r="J3666">
        <v>-321.36250000000001</v>
      </c>
      <c r="K3666">
        <v>1.1207959999999999</v>
      </c>
      <c r="L3666">
        <v>141.60679999999999</v>
      </c>
      <c r="M3666">
        <v>-0.99941219999999997</v>
      </c>
      <c r="N3666">
        <v>-9.6434039999999995E-3</v>
      </c>
      <c r="O3666">
        <v>-3.289972E-2</v>
      </c>
      <c r="P3666">
        <v>-0.98201130000000003</v>
      </c>
      <c r="Q3666">
        <v>0.1876333</v>
      </c>
      <c r="R3666">
        <v>2.116266E-2</v>
      </c>
      <c r="S3666">
        <v>-3.2723080000000002</v>
      </c>
      <c r="T3666">
        <v>-1.1621629999999901</v>
      </c>
      <c r="U3666">
        <v>0.20677190000000001</v>
      </c>
      <c r="V3666">
        <v>5.338304E-2</v>
      </c>
      <c r="W3666">
        <v>0.19710359999999999</v>
      </c>
      <c r="X3666">
        <v>0.97892820000000003</v>
      </c>
      <c r="Y3666">
        <v>8.8417330000000002E-2</v>
      </c>
      <c r="Z3666">
        <v>2.6681079999999999E-2</v>
      </c>
      <c r="AA3666">
        <v>0.99572609999999995</v>
      </c>
      <c r="AB3666">
        <v>35</v>
      </c>
      <c r="AC3666">
        <v>-0.49840000000000301</v>
      </c>
      <c r="AD3666">
        <v>-0.29911379999999899</v>
      </c>
      <c r="AE3666">
        <v>6.4999999999997699E-2</v>
      </c>
      <c r="AF3666">
        <v>6.0083853288824998E-2</v>
      </c>
      <c r="AG3666">
        <v>-0.29911379999999899</v>
      </c>
      <c r="AH3666">
        <v>0.366274133039314</v>
      </c>
      <c r="AI3666">
        <v>128.864244692878</v>
      </c>
      <c r="AJ3666">
        <v>80.684132055028797</v>
      </c>
      <c r="AK3666">
        <v>0.47669264239148301</v>
      </c>
      <c r="AL3666">
        <v>78.632363672435403</v>
      </c>
      <c r="AM3666">
        <v>86.878630706008806</v>
      </c>
      <c r="AN3666">
        <v>0.99999999942392004</v>
      </c>
    </row>
    <row r="3667" spans="1:40" x14ac:dyDescent="0.25">
      <c r="A3667" t="str">
        <f>"20190303162624687"</f>
        <v>20190303162624687</v>
      </c>
      <c r="B3667" t="str">
        <f>"1551601584677258"</f>
        <v>1551601584677258</v>
      </c>
      <c r="C3667" t="s">
        <v>40</v>
      </c>
      <c r="D3667">
        <v>5.1682969999999999</v>
      </c>
      <c r="E3667">
        <v>0.52198619999999996</v>
      </c>
      <c r="F3667" t="s">
        <v>42</v>
      </c>
      <c r="G3667">
        <v>-322.17669999999998</v>
      </c>
      <c r="H3667">
        <v>0.83269479999999996</v>
      </c>
      <c r="I3667">
        <v>141.65880000000001</v>
      </c>
      <c r="J3667">
        <v>-321.6909</v>
      </c>
      <c r="K3667">
        <v>1.120797</v>
      </c>
      <c r="L3667">
        <v>141.5958</v>
      </c>
      <c r="M3667">
        <v>-0.99940629999999997</v>
      </c>
      <c r="N3667">
        <v>-9.6520879999999996E-3</v>
      </c>
      <c r="O3667">
        <v>-3.3073539999999998E-2</v>
      </c>
      <c r="P3667">
        <v>-0.982047</v>
      </c>
      <c r="Q3667">
        <v>0.18731439999999999</v>
      </c>
      <c r="R3667">
        <v>2.2301069999999999E-2</v>
      </c>
      <c r="S3667">
        <v>-3.2716980000000002</v>
      </c>
      <c r="T3667">
        <v>-1.157735</v>
      </c>
      <c r="U3667">
        <v>0.20825199999999999</v>
      </c>
      <c r="V3667">
        <v>5.4693829999999999E-2</v>
      </c>
      <c r="W3667">
        <v>0.19679369999999999</v>
      </c>
      <c r="X3667">
        <v>0.97891819999999896</v>
      </c>
      <c r="Y3667">
        <v>8.9053579999999993E-2</v>
      </c>
      <c r="Z3667">
        <v>2.6760340000000001E-2</v>
      </c>
      <c r="AA3667">
        <v>0.99566730000000003</v>
      </c>
      <c r="AB3667">
        <v>35</v>
      </c>
      <c r="AC3667">
        <v>-0.48579999999998302</v>
      </c>
      <c r="AD3667">
        <v>-0.28810219999999997</v>
      </c>
      <c r="AE3667">
        <v>6.3000000000016598E-2</v>
      </c>
      <c r="AF3667">
        <v>5.87221422055633E-2</v>
      </c>
      <c r="AG3667">
        <v>-0.28810219999999997</v>
      </c>
      <c r="AH3667">
        <v>0.35920567268841203</v>
      </c>
      <c r="AI3667">
        <v>128.363245692851</v>
      </c>
      <c r="AJ3667">
        <v>80.715541422273105</v>
      </c>
      <c r="AK3667">
        <v>0.46419810740844802</v>
      </c>
      <c r="AL3667">
        <v>78.650474462288699</v>
      </c>
      <c r="AM3667">
        <v>86.802111838743699</v>
      </c>
      <c r="AN3667">
        <v>1.0000000088454899</v>
      </c>
    </row>
    <row r="3668" spans="1:40" x14ac:dyDescent="0.25">
      <c r="A3668" t="str">
        <f>"20190303162624711"</f>
        <v>20190303162624711</v>
      </c>
      <c r="B3668" t="str">
        <f>"1551601584707513"</f>
        <v>1551601584707513</v>
      </c>
      <c r="C3668" t="s">
        <v>40</v>
      </c>
      <c r="D3668">
        <v>5.1682189999999997</v>
      </c>
      <c r="E3668">
        <v>0.5221827</v>
      </c>
      <c r="F3668" t="s">
        <v>42</v>
      </c>
      <c r="G3668">
        <v>-322.49090000000001</v>
      </c>
      <c r="H3668">
        <v>0.83816979999999996</v>
      </c>
      <c r="I3668">
        <v>141.64760000000001</v>
      </c>
      <c r="J3668">
        <v>-322.0455</v>
      </c>
      <c r="K3668">
        <v>1.12079</v>
      </c>
      <c r="L3668">
        <v>141.5839</v>
      </c>
      <c r="M3668">
        <v>-0.99940050000000002</v>
      </c>
      <c r="N3668">
        <v>-9.6612220000000006E-3</v>
      </c>
      <c r="O3668">
        <v>-3.3247060000000002E-2</v>
      </c>
      <c r="P3668">
        <v>-0.98223099999999997</v>
      </c>
      <c r="Q3668">
        <v>0.18617939999999999</v>
      </c>
      <c r="R3668">
        <v>2.365946E-2</v>
      </c>
      <c r="S3668">
        <v>-3.2704770000000001</v>
      </c>
      <c r="T3668">
        <v>-1.155475</v>
      </c>
      <c r="U3668">
        <v>0.21051030000000001</v>
      </c>
      <c r="V3668">
        <v>5.6231879999999998E-2</v>
      </c>
      <c r="W3668">
        <v>0.19566829999999999</v>
      </c>
      <c r="X3668">
        <v>0.9790567</v>
      </c>
      <c r="Y3668">
        <v>8.9895489999999995E-2</v>
      </c>
      <c r="Z3668">
        <v>2.6926479999999999E-2</v>
      </c>
      <c r="AA3668">
        <v>0.99558720000000001</v>
      </c>
      <c r="AB3668">
        <v>35</v>
      </c>
      <c r="AC3668">
        <v>-0.44540000000000601</v>
      </c>
      <c r="AD3668">
        <v>-0.28262019999999899</v>
      </c>
      <c r="AE3668">
        <v>6.37000000000114E-2</v>
      </c>
      <c r="AF3668">
        <v>5.6271324781217803E-2</v>
      </c>
      <c r="AG3668">
        <v>-0.28262019999999899</v>
      </c>
      <c r="AH3668">
        <v>0.31768870227378498</v>
      </c>
      <c r="AI3668">
        <v>131.21765490352701</v>
      </c>
      <c r="AJ3668">
        <v>79.955536895927494</v>
      </c>
      <c r="AK3668">
        <v>0.42891345396603597</v>
      </c>
      <c r="AL3668">
        <v>78.716234286611893</v>
      </c>
      <c r="AM3668">
        <v>86.712842370993997</v>
      </c>
      <c r="AN3668">
        <v>1.0000000648840499</v>
      </c>
    </row>
    <row r="3669" spans="1:40" x14ac:dyDescent="0.25">
      <c r="A3669" t="str">
        <f>"20190303162624733"</f>
        <v>20190303162624733</v>
      </c>
      <c r="B3669" t="str">
        <f>"1551601584727033"</f>
        <v>1551601584727033</v>
      </c>
      <c r="C3669" t="s">
        <v>40</v>
      </c>
      <c r="D3669">
        <v>5.1909859999999997</v>
      </c>
      <c r="E3669">
        <v>0.52224589999999904</v>
      </c>
      <c r="F3669" t="s">
        <v>42</v>
      </c>
      <c r="G3669">
        <v>-322.80840000000001</v>
      </c>
      <c r="H3669">
        <v>0.85108229999999996</v>
      </c>
      <c r="I3669">
        <v>141.63460000000001</v>
      </c>
      <c r="J3669">
        <v>-322.4117</v>
      </c>
      <c r="K3669">
        <v>1.120771</v>
      </c>
      <c r="L3669">
        <v>141.57149999999999</v>
      </c>
      <c r="M3669">
        <v>-0.99939540000000004</v>
      </c>
      <c r="N3669">
        <v>-9.6703350000000004E-3</v>
      </c>
      <c r="O3669">
        <v>-3.3400199999999998E-2</v>
      </c>
      <c r="P3669">
        <v>-0.98237339999999995</v>
      </c>
      <c r="Q3669">
        <v>0.18542210000000001</v>
      </c>
      <c r="R3669">
        <v>2.369657E-2</v>
      </c>
      <c r="S3669">
        <v>-3.268097</v>
      </c>
      <c r="T3669">
        <v>-1.1554610000000001</v>
      </c>
      <c r="U3669">
        <v>0.2171631</v>
      </c>
      <c r="V3669">
        <v>5.6432219999999998E-2</v>
      </c>
      <c r="W3669">
        <v>0.19491910000000001</v>
      </c>
      <c r="X3669">
        <v>0.97919449999999997</v>
      </c>
      <c r="Y3669">
        <v>9.1965469999999994E-2</v>
      </c>
      <c r="Z3669">
        <v>2.7359399999999999E-2</v>
      </c>
      <c r="AA3669">
        <v>0.9953862</v>
      </c>
      <c r="AB3669">
        <v>35</v>
      </c>
      <c r="AC3669">
        <v>-0.39670000000000899</v>
      </c>
      <c r="AD3669">
        <v>-0.269688699999999</v>
      </c>
      <c r="AE3669">
        <v>6.3100000000019904E-2</v>
      </c>
      <c r="AF3669">
        <v>5.2603480851108303E-2</v>
      </c>
      <c r="AG3669">
        <v>-0.269688699999999</v>
      </c>
      <c r="AH3669">
        <v>0.27183665295187798</v>
      </c>
      <c r="AI3669">
        <v>134.24623816078599</v>
      </c>
      <c r="AJ3669">
        <v>79.047982173915997</v>
      </c>
      <c r="AK3669">
        <v>0.38651557147600502</v>
      </c>
      <c r="AL3669">
        <v>78.760001863957598</v>
      </c>
      <c r="AM3669">
        <v>86.701620090804397</v>
      </c>
      <c r="AN3669">
        <v>0.99999995991459301</v>
      </c>
    </row>
    <row r="3670" spans="1:40" x14ac:dyDescent="0.25">
      <c r="A3670" t="str">
        <f>"20190303162624758"</f>
        <v>20190303162624758</v>
      </c>
      <c r="B3670" t="str">
        <f>"1551601584747528"</f>
        <v>1551601584747528</v>
      </c>
      <c r="C3670" t="s">
        <v>40</v>
      </c>
      <c r="D3670">
        <v>5.1865620000000003</v>
      </c>
      <c r="E3670">
        <v>0.52233649999999998</v>
      </c>
      <c r="F3670" t="s">
        <v>42</v>
      </c>
      <c r="G3670">
        <v>-323.1275</v>
      </c>
      <c r="H3670">
        <v>0.86752320000000005</v>
      </c>
      <c r="I3670">
        <v>141.62029999999999</v>
      </c>
      <c r="J3670">
        <v>-322.7835</v>
      </c>
      <c r="K3670">
        <v>1.120744</v>
      </c>
      <c r="L3670">
        <v>141.559</v>
      </c>
      <c r="M3670">
        <v>-0.99939129999999998</v>
      </c>
      <c r="N3670">
        <v>-9.6831060000000004E-3</v>
      </c>
      <c r="O3670">
        <v>-3.3517230000000002E-2</v>
      </c>
      <c r="P3670">
        <v>-0.98229829999999996</v>
      </c>
      <c r="Q3670">
        <v>0.18581690000000001</v>
      </c>
      <c r="R3670">
        <v>2.3713540000000002E-2</v>
      </c>
      <c r="S3670">
        <v>-3.266632</v>
      </c>
      <c r="T3670">
        <v>-1.1558619999999999</v>
      </c>
      <c r="U3670">
        <v>0.22103880000000001</v>
      </c>
      <c r="V3670">
        <v>5.6573989999999998E-2</v>
      </c>
      <c r="W3670">
        <v>0.19532169999999999</v>
      </c>
      <c r="X3670">
        <v>0.97910609999999998</v>
      </c>
      <c r="Y3670">
        <v>9.3192819999999996E-2</v>
      </c>
      <c r="Z3670">
        <v>2.7634820000000001E-2</v>
      </c>
      <c r="AA3670">
        <v>0.9952645</v>
      </c>
      <c r="AB3670">
        <v>35</v>
      </c>
      <c r="AC3670">
        <v>-0.34399999999999398</v>
      </c>
      <c r="AD3670">
        <v>-0.25322079999999902</v>
      </c>
      <c r="AE3670">
        <v>6.1299999999988503E-2</v>
      </c>
      <c r="AF3670">
        <v>4.7729562626032097E-2</v>
      </c>
      <c r="AG3670">
        <v>-0.25322079999999902</v>
      </c>
      <c r="AH3670">
        <v>0.22407369384926001</v>
      </c>
      <c r="AI3670">
        <v>137.862881984523</v>
      </c>
      <c r="AJ3670">
        <v>77.975236941497002</v>
      </c>
      <c r="AK3670">
        <v>0.34147899639123303</v>
      </c>
      <c r="AL3670">
        <v>78.736482626790902</v>
      </c>
      <c r="AM3670">
        <v>86.693054324723406</v>
      </c>
      <c r="AN3670">
        <v>0.99999996894630905</v>
      </c>
    </row>
    <row r="3671" spans="1:40" x14ac:dyDescent="0.25">
      <c r="A3671" t="str">
        <f>"20190303162624779"</f>
        <v>20190303162624779</v>
      </c>
      <c r="B3671" t="str">
        <f>"1551601584767049"</f>
        <v>1551601584767049</v>
      </c>
      <c r="C3671" t="s">
        <v>40</v>
      </c>
      <c r="D3671">
        <v>5.1576779999999998</v>
      </c>
      <c r="E3671">
        <v>0.52241340000000003</v>
      </c>
      <c r="F3671" t="s">
        <v>42</v>
      </c>
      <c r="G3671">
        <v>-323.44810000000001</v>
      </c>
      <c r="H3671">
        <v>0.88677019999999995</v>
      </c>
      <c r="I3671">
        <v>141.6046</v>
      </c>
      <c r="J3671">
        <v>-323.12110000000001</v>
      </c>
      <c r="K3671">
        <v>1.120725</v>
      </c>
      <c r="L3671">
        <v>141.54759999999999</v>
      </c>
      <c r="M3671">
        <v>-0.99938879999999997</v>
      </c>
      <c r="N3671">
        <v>-9.6988630000000003E-3</v>
      </c>
      <c r="O3671">
        <v>-3.3588130000000001E-2</v>
      </c>
      <c r="P3671">
        <v>-0.98227819999999999</v>
      </c>
      <c r="Q3671">
        <v>0.18596470000000001</v>
      </c>
      <c r="R3671">
        <v>2.3384459999999999E-2</v>
      </c>
      <c r="S3671">
        <v>-3.2662049999999998</v>
      </c>
      <c r="T3671">
        <v>-1.1498949999999999</v>
      </c>
      <c r="U3671">
        <v>0.2232056</v>
      </c>
      <c r="V3671">
        <v>5.632757E-2</v>
      </c>
      <c r="W3671">
        <v>0.19548119999999999</v>
      </c>
      <c r="X3671">
        <v>0.97908850000000003</v>
      </c>
      <c r="Y3671">
        <v>9.3953800000000004E-2</v>
      </c>
      <c r="Z3671">
        <v>2.7661109999999999E-2</v>
      </c>
      <c r="AA3671">
        <v>0.99519219999999997</v>
      </c>
      <c r="AB3671">
        <v>35</v>
      </c>
      <c r="AC3671">
        <v>-0.32699999999999801</v>
      </c>
      <c r="AD3671">
        <v>-0.23395479999999999</v>
      </c>
      <c r="AE3671">
        <v>5.7000000000016302E-2</v>
      </c>
      <c r="AF3671">
        <v>4.5398397334379503E-2</v>
      </c>
      <c r="AG3671">
        <v>-0.23395479999999999</v>
      </c>
      <c r="AH3671">
        <v>0.21706572652310499</v>
      </c>
      <c r="AI3671">
        <v>136.53254876900101</v>
      </c>
      <c r="AJ3671">
        <v>78.187100683641802</v>
      </c>
      <c r="AK3671">
        <v>0.322356002820753</v>
      </c>
      <c r="AL3671">
        <v>78.727164595924194</v>
      </c>
      <c r="AM3671">
        <v>86.707367610595895</v>
      </c>
      <c r="AN3671">
        <v>0.99999999276389695</v>
      </c>
    </row>
    <row r="3672" spans="1:40" x14ac:dyDescent="0.25">
      <c r="A3672" t="str">
        <f>"20190303162624799"</f>
        <v>20190303162624799</v>
      </c>
      <c r="B3672" t="str">
        <f>"1551601584787544"</f>
        <v>1551601584787544</v>
      </c>
      <c r="C3672" t="s">
        <v>40</v>
      </c>
      <c r="D3672">
        <v>5.1795479999999996</v>
      </c>
      <c r="E3672">
        <v>0.52248549999999905</v>
      </c>
      <c r="F3672" t="s">
        <v>42</v>
      </c>
      <c r="G3672">
        <v>-324.04140000000001</v>
      </c>
      <c r="H3672">
        <v>0.79785109999999904</v>
      </c>
      <c r="I3672">
        <v>141.6112</v>
      </c>
      <c r="J3672">
        <v>-323.43810000000002</v>
      </c>
      <c r="K3672">
        <v>1.1207129999999901</v>
      </c>
      <c r="L3672">
        <v>141.5369</v>
      </c>
      <c r="M3672">
        <v>-0.99938720000000003</v>
      </c>
      <c r="N3672">
        <v>-9.7184890000000003E-3</v>
      </c>
      <c r="O3672">
        <v>-3.3624729999999999E-2</v>
      </c>
      <c r="P3672">
        <v>-0.98200829999999995</v>
      </c>
      <c r="Q3672">
        <v>0.18745290000000001</v>
      </c>
      <c r="R3672">
        <v>2.282797E-2</v>
      </c>
      <c r="S3672">
        <v>-3.265717</v>
      </c>
      <c r="T3672">
        <v>-1.14581</v>
      </c>
      <c r="U3672">
        <v>0.22514339999999999</v>
      </c>
      <c r="V3672">
        <v>5.581096E-2</v>
      </c>
      <c r="W3672">
        <v>0.19698209999999999</v>
      </c>
      <c r="X3672">
        <v>0.97881719999999905</v>
      </c>
      <c r="Y3672">
        <v>9.4597559999999997E-2</v>
      </c>
      <c r="Z3672">
        <v>2.7697329999999999E-2</v>
      </c>
      <c r="AA3672">
        <v>0.99513019999999996</v>
      </c>
      <c r="AB3672">
        <v>35</v>
      </c>
      <c r="AC3672">
        <v>-0.60329999999998996</v>
      </c>
      <c r="AD3672">
        <v>-0.32286189999999898</v>
      </c>
      <c r="AE3672">
        <v>7.4299999999993802E-2</v>
      </c>
      <c r="AF3672">
        <v>7.3741116742717397E-2</v>
      </c>
      <c r="AG3672">
        <v>-0.32286189999999898</v>
      </c>
      <c r="AH3672">
        <v>0.46833508543080798</v>
      </c>
      <c r="AI3672">
        <v>124.254568317769</v>
      </c>
      <c r="AJ3672">
        <v>81.052026994880706</v>
      </c>
      <c r="AK3672">
        <v>0.57359856259892705</v>
      </c>
      <c r="AL3672">
        <v>78.639463876325095</v>
      </c>
      <c r="AM3672">
        <v>86.736598236594702</v>
      </c>
      <c r="AN3672">
        <v>0.99999996099618405</v>
      </c>
    </row>
    <row r="3673" spans="1:40" x14ac:dyDescent="0.25">
      <c r="A3673" t="str">
        <f>"20190303162624824"</f>
        <v>20190303162624824</v>
      </c>
      <c r="B3673" t="str">
        <f>"1551601584817802"</f>
        <v>1551601584817802</v>
      </c>
      <c r="C3673" t="s">
        <v>40</v>
      </c>
      <c r="D3673">
        <v>5.1795359999999997</v>
      </c>
      <c r="E3673">
        <v>0.52255339999999995</v>
      </c>
      <c r="F3673" t="s">
        <v>42</v>
      </c>
      <c r="G3673">
        <v>-324.35680000000002</v>
      </c>
      <c r="H3673">
        <v>0.80098279999999999</v>
      </c>
      <c r="I3673">
        <v>141.6003</v>
      </c>
      <c r="J3673">
        <v>-323.82049999999998</v>
      </c>
      <c r="K3673">
        <v>1.1207039999999999</v>
      </c>
      <c r="L3673">
        <v>141.524</v>
      </c>
      <c r="M3673">
        <v>-0.99938680000000002</v>
      </c>
      <c r="N3673">
        <v>-9.7466889999999994E-3</v>
      </c>
      <c r="O3673">
        <v>-3.363E-2</v>
      </c>
      <c r="P3673">
        <v>-0.98137960000000002</v>
      </c>
      <c r="Q3673">
        <v>0.1908263</v>
      </c>
      <c r="R3673">
        <v>2.1894919999999998E-2</v>
      </c>
      <c r="S3673">
        <v>-3.266785</v>
      </c>
      <c r="T3673">
        <v>-1.136941</v>
      </c>
      <c r="U3673">
        <v>0.2241821</v>
      </c>
      <c r="V3673">
        <v>5.4876319999999999E-2</v>
      </c>
      <c r="W3673">
        <v>0.200373</v>
      </c>
      <c r="X3673">
        <v>0.97818159999999998</v>
      </c>
      <c r="Y3673">
        <v>9.4418940000000007E-2</v>
      </c>
      <c r="Z3673">
        <v>2.7458590000000001E-2</v>
      </c>
      <c r="AA3673">
        <v>0.99515379999999998</v>
      </c>
      <c r="AB3673">
        <v>35</v>
      </c>
      <c r="AC3673">
        <v>-0.53630000000003897</v>
      </c>
      <c r="AD3673">
        <v>-0.31972119999999998</v>
      </c>
      <c r="AE3673">
        <v>7.6300000000003296E-2</v>
      </c>
      <c r="AF3673">
        <v>6.9932122581055106E-2</v>
      </c>
      <c r="AG3673">
        <v>-0.31972119999999998</v>
      </c>
      <c r="AH3673">
        <v>0.39561521542127798</v>
      </c>
      <c r="AI3673">
        <v>128.51362129569301</v>
      </c>
      <c r="AJ3673">
        <v>79.975493534608404</v>
      </c>
      <c r="AK3673">
        <v>0.51344283632256005</v>
      </c>
      <c r="AL3673">
        <v>78.441228055413703</v>
      </c>
      <c r="AM3673">
        <v>86.789053035231206</v>
      </c>
      <c r="AN3673">
        <v>0.99999999610215096</v>
      </c>
    </row>
    <row r="3674" spans="1:40" x14ac:dyDescent="0.25">
      <c r="A3674" t="str">
        <f>"20190303162624845"</f>
        <v>20190303162624845</v>
      </c>
      <c r="B3674" t="str">
        <f>"1551601584837320"</f>
        <v>1551601584837320</v>
      </c>
      <c r="C3674" t="s">
        <v>40</v>
      </c>
      <c r="D3674">
        <v>5.1790209999999997</v>
      </c>
      <c r="E3674">
        <v>0.522646099999999</v>
      </c>
      <c r="F3674" t="s">
        <v>42</v>
      </c>
      <c r="G3674">
        <v>-324.68079999999998</v>
      </c>
      <c r="H3674">
        <v>0.82569349999999997</v>
      </c>
      <c r="I3674">
        <v>141.58240000000001</v>
      </c>
      <c r="J3674">
        <v>-324.16219999999998</v>
      </c>
      <c r="K3674">
        <v>1.120687</v>
      </c>
      <c r="L3674">
        <v>141.51249999999999</v>
      </c>
      <c r="M3674">
        <v>-0.99938800000000005</v>
      </c>
      <c r="N3674">
        <v>-9.7778859999999995E-3</v>
      </c>
      <c r="O3674">
        <v>-3.3586739999999997E-2</v>
      </c>
      <c r="P3674">
        <v>-0.98072749999999997</v>
      </c>
      <c r="Q3674">
        <v>0.19428670000000001</v>
      </c>
      <c r="R3674">
        <v>2.065171E-2</v>
      </c>
      <c r="S3674">
        <v>-3.2700200000000001</v>
      </c>
      <c r="T3674">
        <v>-1.121345</v>
      </c>
      <c r="U3674">
        <v>0.22190860000000001</v>
      </c>
      <c r="V3674">
        <v>5.3584899999999998E-2</v>
      </c>
      <c r="W3674">
        <v>0.2038536</v>
      </c>
      <c r="X3674">
        <v>0.97753380000000001</v>
      </c>
      <c r="Y3674">
        <v>9.3867980000000004E-2</v>
      </c>
      <c r="Z3674">
        <v>2.6971140000000001E-2</v>
      </c>
      <c r="AA3674">
        <v>0.99521919999999997</v>
      </c>
      <c r="AB3674">
        <v>35</v>
      </c>
      <c r="AC3674">
        <v>-0.51859999999999196</v>
      </c>
      <c r="AD3674">
        <v>-0.29499350000000002</v>
      </c>
      <c r="AE3674">
        <v>6.9900000000018198E-2</v>
      </c>
      <c r="AF3674">
        <v>6.6231683146466699E-2</v>
      </c>
      <c r="AG3674">
        <v>-0.29499350000000002</v>
      </c>
      <c r="AH3674">
        <v>0.39153386212789898</v>
      </c>
      <c r="AI3674">
        <v>126.607794737399</v>
      </c>
      <c r="AJ3674">
        <v>80.398764092281297</v>
      </c>
      <c r="AK3674">
        <v>0.49467824501129298</v>
      </c>
      <c r="AL3674">
        <v>78.237601657151103</v>
      </c>
      <c r="AM3674">
        <v>86.862390838481602</v>
      </c>
      <c r="AN3674">
        <v>0.99999998094170495</v>
      </c>
    </row>
    <row r="3675" spans="1:40" x14ac:dyDescent="0.25">
      <c r="A3675" t="str">
        <f>"20190303162624868"</f>
        <v>20190303162624868</v>
      </c>
      <c r="B3675" t="str">
        <f>"1551601584856842"</f>
        <v>1551601584856842</v>
      </c>
      <c r="C3675" t="s">
        <v>40</v>
      </c>
      <c r="D3675">
        <v>5.089798</v>
      </c>
      <c r="E3675">
        <v>0.52022369999999996</v>
      </c>
      <c r="F3675" t="s">
        <v>42</v>
      </c>
      <c r="G3675">
        <v>-325.00009999999997</v>
      </c>
      <c r="H3675">
        <v>0.83744959999999902</v>
      </c>
      <c r="I3675">
        <v>141.56899999999999</v>
      </c>
      <c r="J3675">
        <v>-324.51889999999997</v>
      </c>
      <c r="K3675">
        <v>1.1206640000000001</v>
      </c>
      <c r="L3675">
        <v>141.50059999999999</v>
      </c>
      <c r="M3675">
        <v>-0.99939129999999998</v>
      </c>
      <c r="N3675">
        <v>-9.8188990000000007E-3</v>
      </c>
      <c r="O3675">
        <v>-3.3476020000000002E-2</v>
      </c>
      <c r="P3675">
        <v>-0.98021530000000001</v>
      </c>
      <c r="Q3675">
        <v>0.1970093</v>
      </c>
      <c r="R3675">
        <v>1.9122960000000001E-2</v>
      </c>
      <c r="S3675">
        <v>-3.2735599999999998</v>
      </c>
      <c r="T3675">
        <v>-1.106587</v>
      </c>
      <c r="U3675">
        <v>0.2198029</v>
      </c>
      <c r="V3675">
        <v>5.1953979999999997E-2</v>
      </c>
      <c r="W3675">
        <v>0.20660609999999999</v>
      </c>
      <c r="X3675">
        <v>0.97704389999999997</v>
      </c>
      <c r="Y3675">
        <v>9.3286750000000002E-2</v>
      </c>
      <c r="Z3675">
        <v>2.6476599999999999E-2</v>
      </c>
      <c r="AA3675">
        <v>0.99528720000000004</v>
      </c>
      <c r="AB3675">
        <v>35</v>
      </c>
      <c r="AC3675">
        <v>-0.48120000000000102</v>
      </c>
      <c r="AD3675">
        <v>-0.28321439999999998</v>
      </c>
      <c r="AE3675">
        <v>6.8399999999996894E-2</v>
      </c>
      <c r="AF3675">
        <v>6.3059742796892901E-2</v>
      </c>
      <c r="AG3675">
        <v>-0.28321439999999998</v>
      </c>
      <c r="AH3675">
        <v>0.35731678369417702</v>
      </c>
      <c r="AI3675">
        <v>127.97389357019</v>
      </c>
      <c r="AJ3675">
        <v>79.991423083945193</v>
      </c>
      <c r="AK3675">
        <v>0.46028492419209399</v>
      </c>
      <c r="AL3675">
        <v>78.076465684171396</v>
      </c>
      <c r="AM3675">
        <v>86.956182923107903</v>
      </c>
      <c r="AN3675">
        <v>1.0000000395611199</v>
      </c>
    </row>
    <row r="3676" spans="1:40" x14ac:dyDescent="0.25">
      <c r="A3676" t="str">
        <f>"20190303162624889"</f>
        <v>20190303162624889</v>
      </c>
      <c r="B3676" t="str">
        <f>"1551601584877336"</f>
        <v>1551601584877336</v>
      </c>
      <c r="C3676" t="s">
        <v>40</v>
      </c>
      <c r="D3676">
        <v>5.1696419999999996</v>
      </c>
      <c r="E3676">
        <v>0.5198566</v>
      </c>
      <c r="F3676" t="s">
        <v>42</v>
      </c>
      <c r="G3676">
        <v>-325.34750000000003</v>
      </c>
      <c r="H3676">
        <v>0.91695979999999999</v>
      </c>
      <c r="I3676">
        <v>141.5523</v>
      </c>
      <c r="J3676">
        <v>-324.84300000000002</v>
      </c>
      <c r="K3676">
        <v>1.120622</v>
      </c>
      <c r="L3676">
        <v>141.48990000000001</v>
      </c>
      <c r="M3676">
        <v>-0.99939650000000002</v>
      </c>
      <c r="N3676">
        <v>-9.8640429999999994E-3</v>
      </c>
      <c r="O3676">
        <v>-3.3306309999999999E-2</v>
      </c>
      <c r="P3676">
        <v>-0.97973750000000004</v>
      </c>
      <c r="Q3676">
        <v>0.19957230000000001</v>
      </c>
      <c r="R3676">
        <v>1.6888340000000002E-2</v>
      </c>
      <c r="S3676">
        <v>-3.2155149999999999</v>
      </c>
      <c r="T3676">
        <v>-0.79061289999999995</v>
      </c>
      <c r="U3676">
        <v>0.1996155</v>
      </c>
      <c r="V3676">
        <v>4.956667E-2</v>
      </c>
      <c r="W3676">
        <v>0.2092031</v>
      </c>
      <c r="X3676">
        <v>0.97661520000000002</v>
      </c>
      <c r="Y3676">
        <v>9.1431680000000001E-2</v>
      </c>
      <c r="Z3676">
        <v>1.9262410000000001E-2</v>
      </c>
      <c r="AA3676">
        <v>0.99562499999999998</v>
      </c>
      <c r="AB3676">
        <v>35</v>
      </c>
      <c r="AC3676">
        <v>-0.50450000000000705</v>
      </c>
      <c r="AD3676">
        <v>-0.20366219999999999</v>
      </c>
      <c r="AE3676">
        <v>6.2399999999996597E-2</v>
      </c>
      <c r="AF3676">
        <v>6.8219282312728696E-2</v>
      </c>
      <c r="AG3676">
        <v>-0.20366219999999999</v>
      </c>
      <c r="AH3676">
        <v>0.43269013027408398</v>
      </c>
      <c r="AI3676">
        <v>114.935840789685</v>
      </c>
      <c r="AJ3676">
        <v>81.040320889996195</v>
      </c>
      <c r="AK3676">
        <v>0.48306615595041202</v>
      </c>
      <c r="AL3676">
        <v>77.924344282605603</v>
      </c>
      <c r="AM3676">
        <v>87.094529910605303</v>
      </c>
      <c r="AN3676">
        <v>1.0000000203477599</v>
      </c>
    </row>
    <row r="3677" spans="1:40" x14ac:dyDescent="0.25">
      <c r="A3677" t="str">
        <f>"20190303162624912"</f>
        <v>20190303162624912</v>
      </c>
      <c r="B3677" t="str">
        <f>"1551601584907593"</f>
        <v>1551601584907593</v>
      </c>
      <c r="C3677" t="s">
        <v>40</v>
      </c>
      <c r="D3677">
        <v>5.154649</v>
      </c>
      <c r="E3677">
        <v>0.51787090000000002</v>
      </c>
      <c r="F3677" t="s">
        <v>42</v>
      </c>
      <c r="G3677">
        <v>-325.71859999999998</v>
      </c>
      <c r="H3677">
        <v>1.030843</v>
      </c>
      <c r="I3677">
        <v>141.5453</v>
      </c>
      <c r="J3677">
        <v>-325.21350000000001</v>
      </c>
      <c r="K3677">
        <v>1.120563</v>
      </c>
      <c r="L3677">
        <v>141.4778</v>
      </c>
      <c r="M3677">
        <v>-0.99940530000000005</v>
      </c>
      <c r="N3677">
        <v>-9.9214820000000006E-3</v>
      </c>
      <c r="O3677">
        <v>-3.3024119999999997E-2</v>
      </c>
      <c r="P3677">
        <v>-0.97941</v>
      </c>
      <c r="Q3677">
        <v>0.2013093</v>
      </c>
      <c r="R3677">
        <v>1.519948E-2</v>
      </c>
      <c r="S3677">
        <v>-3.123901</v>
      </c>
      <c r="T3677">
        <v>-0.32039000000000001</v>
      </c>
      <c r="U3677">
        <v>0.19686890000000001</v>
      </c>
      <c r="V3677">
        <v>4.763158E-2</v>
      </c>
      <c r="W3677">
        <v>0.2109849</v>
      </c>
      <c r="X3677">
        <v>0.97632810000000003</v>
      </c>
      <c r="Y3677">
        <v>9.5134850000000007E-2</v>
      </c>
      <c r="Z3677">
        <v>8.3834719999999995E-3</v>
      </c>
      <c r="AA3677">
        <v>0.99542909999999996</v>
      </c>
      <c r="AB3677">
        <v>35</v>
      </c>
      <c r="AC3677">
        <v>-0.50509999999997002</v>
      </c>
      <c r="AD3677">
        <v>-8.9719999999999994E-2</v>
      </c>
      <c r="AE3677">
        <v>6.7499999999995397E-2</v>
      </c>
      <c r="AF3677">
        <v>8.1614579314794697E-2</v>
      </c>
      <c r="AG3677">
        <v>-8.9719999999999994E-2</v>
      </c>
      <c r="AH3677">
        <v>0.48748410879478299</v>
      </c>
      <c r="AI3677">
        <v>100.28834347735</v>
      </c>
      <c r="AJ3677">
        <v>80.495687835198098</v>
      </c>
      <c r="AK3677">
        <v>0.50234587117261598</v>
      </c>
      <c r="AL3677">
        <v>77.8199235806958</v>
      </c>
      <c r="AM3677">
        <v>87.206956955804898</v>
      </c>
      <c r="AN3677">
        <v>0.99999997714545796</v>
      </c>
    </row>
    <row r="3678" spans="1:40" x14ac:dyDescent="0.25">
      <c r="A3678" t="str">
        <f>"20190303162624935"</f>
        <v>20190303162624935</v>
      </c>
      <c r="B3678" t="str">
        <f>"1551601584928089"</f>
        <v>1551601584928089</v>
      </c>
      <c r="C3678" t="s">
        <v>40</v>
      </c>
      <c r="D3678">
        <v>5.1902369999999998</v>
      </c>
      <c r="E3678">
        <v>0.5184706</v>
      </c>
      <c r="F3678" t="s">
        <v>41</v>
      </c>
      <c r="G3678">
        <v>-341.8854</v>
      </c>
      <c r="H3678" s="1">
        <v>-4.1354859999999997E-6</v>
      </c>
      <c r="I3678">
        <v>142.44110000000001</v>
      </c>
      <c r="J3678">
        <v>-325.58699999999999</v>
      </c>
      <c r="K3678">
        <v>1.120485</v>
      </c>
      <c r="L3678">
        <v>141.4657</v>
      </c>
      <c r="M3678">
        <v>-0.99941720000000001</v>
      </c>
      <c r="N3678">
        <v>-9.9799060000000002E-3</v>
      </c>
      <c r="O3678">
        <v>-3.2644949999999999E-2</v>
      </c>
      <c r="P3678">
        <v>-0.97919020000000001</v>
      </c>
      <c r="Q3678">
        <v>0.20239589999999999</v>
      </c>
      <c r="R3678">
        <v>1.491637E-2</v>
      </c>
      <c r="S3678">
        <v>-3.10318</v>
      </c>
      <c r="T3678">
        <v>-0.20857490000000001</v>
      </c>
      <c r="U3678">
        <v>0.17932129999999999</v>
      </c>
      <c r="V3678">
        <v>4.701404E-2</v>
      </c>
      <c r="W3678">
        <v>0.21211730000000001</v>
      </c>
      <c r="X3678">
        <v>0.97611270000000006</v>
      </c>
      <c r="Y3678">
        <v>8.9965690000000001E-2</v>
      </c>
      <c r="Z3678">
        <v>5.3323379999999998E-3</v>
      </c>
      <c r="AA3678">
        <v>0.9959306</v>
      </c>
      <c r="AB3678">
        <v>35</v>
      </c>
      <c r="AC3678">
        <v>-16.298400000000001</v>
      </c>
      <c r="AD3678">
        <v>-1.120489135486</v>
      </c>
      <c r="AE3678">
        <v>0.97540000000000704</v>
      </c>
      <c r="AF3678">
        <v>1.4999032546364</v>
      </c>
      <c r="AG3678">
        <v>-1.120489135486</v>
      </c>
      <c r="AH3678">
        <v>16.1816616451048</v>
      </c>
      <c r="AI3678">
        <v>93.944234039479795</v>
      </c>
      <c r="AJ3678">
        <v>84.704297357828906</v>
      </c>
      <c r="AK3678">
        <v>16.2896095494234</v>
      </c>
      <c r="AL3678">
        <v>77.753540088081493</v>
      </c>
      <c r="AM3678">
        <v>87.242504898445901</v>
      </c>
      <c r="AN3678">
        <v>1.0000000360088499</v>
      </c>
    </row>
    <row r="3679" spans="1:40" x14ac:dyDescent="0.25">
      <c r="A3679" t="str">
        <f>"20190303162624983"</f>
        <v>20190303162624983</v>
      </c>
      <c r="B3679" t="str">
        <f>"1551601584977865"</f>
        <v>1551601584977865</v>
      </c>
      <c r="C3679" t="s">
        <v>40</v>
      </c>
      <c r="D3679">
        <v>5.1735660000000001</v>
      </c>
      <c r="E3679">
        <v>0.51808279999999995</v>
      </c>
      <c r="F3679" t="s">
        <v>41</v>
      </c>
      <c r="G3679">
        <v>-342.70510000000002</v>
      </c>
      <c r="H3679" s="1">
        <v>-3.8633540000000001E-6</v>
      </c>
      <c r="I3679">
        <v>142.4795</v>
      </c>
      <c r="J3679">
        <v>-326.33920000000001</v>
      </c>
      <c r="K3679">
        <v>1.1203529999999999</v>
      </c>
      <c r="L3679">
        <v>141.44229999999999</v>
      </c>
      <c r="M3679">
        <v>-0.99944869999999997</v>
      </c>
      <c r="N3679">
        <v>-1.009882E-2</v>
      </c>
      <c r="O3679">
        <v>-3.1628980000000001E-2</v>
      </c>
      <c r="P3679">
        <v>-0.97931959999999996</v>
      </c>
      <c r="Q3679">
        <v>0.20152719999999999</v>
      </c>
      <c r="R3679">
        <v>1.7898230000000001E-2</v>
      </c>
      <c r="S3679">
        <v>-3.1029049999999998</v>
      </c>
      <c r="T3679">
        <v>-0.20310590000000001</v>
      </c>
      <c r="U3679">
        <v>0.18377689999999999</v>
      </c>
      <c r="V3679">
        <v>4.9076170000000002E-2</v>
      </c>
      <c r="W3679">
        <v>0.21134749999999999</v>
      </c>
      <c r="X3679">
        <v>0.9761782</v>
      </c>
      <c r="Y3679">
        <v>9.0398419999999993E-2</v>
      </c>
      <c r="Z3679">
        <v>5.1579950000000003E-3</v>
      </c>
      <c r="AA3679">
        <v>0.99589229999999995</v>
      </c>
      <c r="AB3679">
        <v>35</v>
      </c>
      <c r="AC3679">
        <v>-16.3659</v>
      </c>
      <c r="AD3679">
        <v>-1.120356863354</v>
      </c>
      <c r="AE3679">
        <v>1.0372000000000099</v>
      </c>
      <c r="AF3679">
        <v>1.54712278874544</v>
      </c>
      <c r="AG3679">
        <v>-1.120356863354</v>
      </c>
      <c r="AH3679">
        <v>16.249059856519299</v>
      </c>
      <c r="AI3679">
        <v>93.926543850759003</v>
      </c>
      <c r="AJ3679">
        <v>84.561089220773397</v>
      </c>
      <c r="AK3679">
        <v>16.360951520173501</v>
      </c>
      <c r="AL3679">
        <v>77.798669831271198</v>
      </c>
      <c r="AM3679">
        <v>87.121947554587194</v>
      </c>
      <c r="AN3679">
        <v>1.0000000571866701</v>
      </c>
    </row>
    <row r="3680" spans="1:40" x14ac:dyDescent="0.25">
      <c r="A3680" t="str">
        <f>"20190303162625004"</f>
        <v>20190303162625004</v>
      </c>
      <c r="B3680" t="str">
        <f>"1551601584997385"</f>
        <v>1551601584997385</v>
      </c>
      <c r="C3680" t="s">
        <v>40</v>
      </c>
      <c r="D3680">
        <v>5.1949230000000002</v>
      </c>
      <c r="E3680">
        <v>0.51888540000000005</v>
      </c>
      <c r="F3680" t="s">
        <v>41</v>
      </c>
      <c r="G3680">
        <v>-344.41520000000003</v>
      </c>
      <c r="H3680" s="1">
        <v>-3.15763E-6</v>
      </c>
      <c r="I3680">
        <v>142.54570000000001</v>
      </c>
      <c r="J3680">
        <v>-326.66980000000001</v>
      </c>
      <c r="K3680">
        <v>1.120317</v>
      </c>
      <c r="L3680">
        <v>141.4324</v>
      </c>
      <c r="M3680">
        <v>-0.99946440000000003</v>
      </c>
      <c r="N3680">
        <v>-1.0149139999999999E-2</v>
      </c>
      <c r="O3680">
        <v>-3.1112000000000001E-2</v>
      </c>
      <c r="P3680">
        <v>-0.97924829999999996</v>
      </c>
      <c r="Q3680">
        <v>0.2017033</v>
      </c>
      <c r="R3680">
        <v>1.9707619999999999E-2</v>
      </c>
      <c r="S3680">
        <v>-3.0994570000000001</v>
      </c>
      <c r="T3680">
        <v>-0.19210669999999999</v>
      </c>
      <c r="U3680">
        <v>0.18920899999999999</v>
      </c>
      <c r="V3680">
        <v>5.0397299999999999E-2</v>
      </c>
      <c r="W3680">
        <v>0.21156559999999999</v>
      </c>
      <c r="X3680">
        <v>0.97606360000000003</v>
      </c>
      <c r="Y3680">
        <v>9.1712829999999995E-2</v>
      </c>
      <c r="Z3680">
        <v>4.9129719999999998E-3</v>
      </c>
      <c r="AA3680">
        <v>0.99577340000000003</v>
      </c>
      <c r="AB3680">
        <v>35</v>
      </c>
      <c r="AC3680">
        <v>-17.7454</v>
      </c>
      <c r="AD3680">
        <v>-1.1203201576299999</v>
      </c>
      <c r="AE3680">
        <v>1.1133</v>
      </c>
      <c r="AF3680">
        <v>1.6583006101082101</v>
      </c>
      <c r="AG3680">
        <v>-1.1203201576299999</v>
      </c>
      <c r="AH3680">
        <v>17.632167560651499</v>
      </c>
      <c r="AI3680">
        <v>93.619665773580394</v>
      </c>
      <c r="AJ3680">
        <v>84.627151751953605</v>
      </c>
      <c r="AK3680">
        <v>17.745377174238101</v>
      </c>
      <c r="AL3680">
        <v>77.785884065585094</v>
      </c>
      <c r="AM3680">
        <v>87.044259590419202</v>
      </c>
      <c r="AN3680">
        <v>1.0000000210978</v>
      </c>
    </row>
    <row r="3681" spans="1:40" x14ac:dyDescent="0.25">
      <c r="A3681" t="str">
        <f>"20190303162625024"</f>
        <v>20190303162625024</v>
      </c>
      <c r="B3681" t="str">
        <f>"1551601585016905"</f>
        <v>1551601585016905</v>
      </c>
      <c r="C3681" t="s">
        <v>40</v>
      </c>
      <c r="D3681">
        <v>5.1359360000000001</v>
      </c>
      <c r="E3681">
        <v>0.51942200000000005</v>
      </c>
      <c r="F3681" t="s">
        <v>41</v>
      </c>
      <c r="G3681">
        <v>-344.351</v>
      </c>
      <c r="H3681" s="1">
        <v>-3.1932970000000001E-6</v>
      </c>
      <c r="I3681">
        <v>142.57640000000001</v>
      </c>
      <c r="J3681">
        <v>-326.98719999999997</v>
      </c>
      <c r="K3681">
        <v>1.1203019999999999</v>
      </c>
      <c r="L3681">
        <v>141.4229</v>
      </c>
      <c r="M3681">
        <v>-0.99948009999999998</v>
      </c>
      <c r="N3681">
        <v>-1.0197680000000001E-2</v>
      </c>
      <c r="O3681">
        <v>-3.059276E-2</v>
      </c>
      <c r="P3681">
        <v>-0.97905279999999995</v>
      </c>
      <c r="Q3681">
        <v>0.2024406</v>
      </c>
      <c r="R3681">
        <v>2.1768630000000001E-2</v>
      </c>
      <c r="S3681">
        <v>-3.100006</v>
      </c>
      <c r="T3681">
        <v>-0.1964236</v>
      </c>
      <c r="U3681">
        <v>0.20059199999999999</v>
      </c>
      <c r="V3681">
        <v>5.1958749999999998E-2</v>
      </c>
      <c r="W3681">
        <v>0.212342</v>
      </c>
      <c r="X3681">
        <v>0.97581309999999999</v>
      </c>
      <c r="Y3681">
        <v>9.480914E-2</v>
      </c>
      <c r="Z3681">
        <v>5.1053909999999999E-3</v>
      </c>
      <c r="AA3681">
        <v>0.99548239999999999</v>
      </c>
      <c r="AB3681">
        <v>35</v>
      </c>
      <c r="AC3681">
        <v>-17.363800000000001</v>
      </c>
      <c r="AD3681">
        <v>-1.1203051932969901</v>
      </c>
      <c r="AE3681">
        <v>1.1535</v>
      </c>
      <c r="AF3681">
        <v>1.67724280483651</v>
      </c>
      <c r="AG3681">
        <v>-1.1203051932969901</v>
      </c>
      <c r="AH3681">
        <v>17.2488933284707</v>
      </c>
      <c r="AI3681">
        <v>93.698710667584393</v>
      </c>
      <c r="AJ3681">
        <v>84.446150164469799</v>
      </c>
      <c r="AK3681">
        <v>17.366420132239799</v>
      </c>
      <c r="AL3681">
        <v>77.740365427985907</v>
      </c>
      <c r="AM3681">
        <v>86.952071684657</v>
      </c>
      <c r="AN3681">
        <v>1.00000002139858</v>
      </c>
    </row>
    <row r="3682" spans="1:40" x14ac:dyDescent="0.25">
      <c r="A3682" t="str">
        <f>"20190303162625046"</f>
        <v>20190303162625046</v>
      </c>
      <c r="B3682" t="str">
        <f>"1551601585037401"</f>
        <v>1551601585037401</v>
      </c>
      <c r="C3682" t="s">
        <v>40</v>
      </c>
      <c r="D3682">
        <v>5.1639059999999999</v>
      </c>
      <c r="E3682">
        <v>0.51975079999999996</v>
      </c>
      <c r="F3682" t="s">
        <v>41</v>
      </c>
      <c r="G3682">
        <v>-344.476</v>
      </c>
      <c r="H3682" s="1">
        <v>-3.149427E-6</v>
      </c>
      <c r="I3682">
        <v>142.613</v>
      </c>
      <c r="J3682">
        <v>-327.33800000000002</v>
      </c>
      <c r="K3682">
        <v>1.1202890000000001</v>
      </c>
      <c r="L3682">
        <v>141.4128</v>
      </c>
      <c r="M3682">
        <v>-0.99949739999999998</v>
      </c>
      <c r="N3682">
        <v>-1.025175E-2</v>
      </c>
      <c r="O3682">
        <v>-3.000506E-2</v>
      </c>
      <c r="P3682">
        <v>-0.9788367</v>
      </c>
      <c r="Q3682">
        <v>0.20325460000000001</v>
      </c>
      <c r="R3682">
        <v>2.380941E-2</v>
      </c>
      <c r="S3682">
        <v>-3.1005549999999999</v>
      </c>
      <c r="T3682">
        <v>-0.19861760000000001</v>
      </c>
      <c r="U3682">
        <v>0.21099850000000001</v>
      </c>
      <c r="V3682">
        <v>5.3429829999999998E-2</v>
      </c>
      <c r="W3682">
        <v>0.21320210000000001</v>
      </c>
      <c r="X3682">
        <v>0.97554609999999997</v>
      </c>
      <c r="Y3682">
        <v>9.7527349999999999E-2</v>
      </c>
      <c r="Z3682">
        <v>5.2292700000000003E-3</v>
      </c>
      <c r="AA3682">
        <v>0.99521910000000002</v>
      </c>
      <c r="AB3682">
        <v>35</v>
      </c>
      <c r="AC3682">
        <v>-17.138000000000002</v>
      </c>
      <c r="AD3682">
        <v>-1.120292149427</v>
      </c>
      <c r="AE3682">
        <v>1.2001999999999899</v>
      </c>
      <c r="AF3682">
        <v>1.70665606763995</v>
      </c>
      <c r="AG3682">
        <v>-1.120292149427</v>
      </c>
      <c r="AH3682">
        <v>17.0218876798215</v>
      </c>
      <c r="AI3682">
        <v>93.7467485516935</v>
      </c>
      <c r="AJ3682">
        <v>84.274519172103993</v>
      </c>
      <c r="AK3682">
        <v>17.143873238499499</v>
      </c>
      <c r="AL3682">
        <v>77.689930664465393</v>
      </c>
      <c r="AM3682">
        <v>86.865090947622804</v>
      </c>
      <c r="AN3682">
        <v>1.00000003770172</v>
      </c>
    </row>
    <row r="3683" spans="1:40" x14ac:dyDescent="0.25">
      <c r="A3683" t="str">
        <f>"20190303162625068"</f>
        <v>20190303162625068</v>
      </c>
      <c r="B3683" t="str">
        <f>"1551601585056921"</f>
        <v>1551601585056921</v>
      </c>
      <c r="C3683" t="s">
        <v>40</v>
      </c>
      <c r="D3683">
        <v>5.3378709999999998</v>
      </c>
      <c r="E3683">
        <v>0.51971889999999998</v>
      </c>
      <c r="F3683" t="s">
        <v>41</v>
      </c>
      <c r="G3683">
        <v>-344.74250000000001</v>
      </c>
      <c r="H3683" s="1">
        <v>-3.04397E-6</v>
      </c>
      <c r="I3683">
        <v>142.6463</v>
      </c>
      <c r="J3683">
        <v>-327.68459999999999</v>
      </c>
      <c r="K3683">
        <v>1.120282</v>
      </c>
      <c r="L3683">
        <v>141.40289999999999</v>
      </c>
      <c r="M3683">
        <v>-0.99951400000000001</v>
      </c>
      <c r="N3683">
        <v>-1.030618E-2</v>
      </c>
      <c r="O3683">
        <v>-2.9419810000000001E-2</v>
      </c>
      <c r="P3683">
        <v>-0.97861589999999998</v>
      </c>
      <c r="Q3683">
        <v>0.2040873</v>
      </c>
      <c r="R3683">
        <v>2.568231E-2</v>
      </c>
      <c r="S3683">
        <v>-3.1009519999999999</v>
      </c>
      <c r="T3683">
        <v>-0.19960259999999999</v>
      </c>
      <c r="U3683">
        <v>0.2198029</v>
      </c>
      <c r="V3683">
        <v>5.4733200000000003E-2</v>
      </c>
      <c r="W3683">
        <v>0.21408160000000001</v>
      </c>
      <c r="X3683">
        <v>0.97528119999999996</v>
      </c>
      <c r="Y3683">
        <v>9.9740800000000004E-2</v>
      </c>
      <c r="Z3683">
        <v>5.3051269999999998E-3</v>
      </c>
      <c r="AA3683">
        <v>0.99499930000000003</v>
      </c>
      <c r="AB3683">
        <v>35</v>
      </c>
      <c r="AC3683">
        <v>-17.0579</v>
      </c>
      <c r="AD3683">
        <v>-1.1202850439700001</v>
      </c>
      <c r="AE3683">
        <v>1.2434000000000001</v>
      </c>
      <c r="AF3683">
        <v>1.73727484676572</v>
      </c>
      <c r="AG3683">
        <v>-1.1202850439700001</v>
      </c>
      <c r="AH3683">
        <v>16.941247212078601</v>
      </c>
      <c r="AI3683">
        <v>93.763647470444496</v>
      </c>
      <c r="AJ3683">
        <v>84.144953546886796</v>
      </c>
      <c r="AK3683">
        <v>17.0668983583341</v>
      </c>
      <c r="AL3683">
        <v>77.638348080110504</v>
      </c>
      <c r="AM3683">
        <v>86.7879055741423</v>
      </c>
      <c r="AN3683">
        <v>1.00000003685711</v>
      </c>
    </row>
    <row r="3684" spans="1:40" x14ac:dyDescent="0.25">
      <c r="A3684" t="str">
        <f>"20190303162625090"</f>
        <v>20190303162625090</v>
      </c>
      <c r="B3684" t="str">
        <f>"1551601585077417"</f>
        <v>1551601585077417</v>
      </c>
      <c r="C3684" t="s">
        <v>40</v>
      </c>
      <c r="D3684">
        <v>5.1125579999999999</v>
      </c>
      <c r="E3684">
        <v>0.51943669999999997</v>
      </c>
      <c r="F3684" t="s">
        <v>41</v>
      </c>
      <c r="G3684">
        <v>-345.27359999999999</v>
      </c>
      <c r="H3684" s="1">
        <v>-2.8252749999999998E-6</v>
      </c>
      <c r="I3684">
        <v>142.6806</v>
      </c>
      <c r="J3684">
        <v>-328.02769999999998</v>
      </c>
      <c r="K3684">
        <v>1.1202799999999999</v>
      </c>
      <c r="L3684">
        <v>141.39330000000001</v>
      </c>
      <c r="M3684">
        <v>-0.99953040000000004</v>
      </c>
      <c r="N3684">
        <v>-1.0358310000000001E-2</v>
      </c>
      <c r="O3684">
        <v>-2.8842199999999998E-2</v>
      </c>
      <c r="P3684">
        <v>-0.97844589999999998</v>
      </c>
      <c r="Q3684">
        <v>0.20467369999999999</v>
      </c>
      <c r="R3684">
        <v>2.7437690000000001E-2</v>
      </c>
      <c r="S3684">
        <v>-3.1008610000000001</v>
      </c>
      <c r="T3684">
        <v>-0.19750239999999999</v>
      </c>
      <c r="U3684">
        <v>0.2252808</v>
      </c>
      <c r="V3684">
        <v>5.592652E-2</v>
      </c>
      <c r="W3684">
        <v>0.2147136</v>
      </c>
      <c r="X3684">
        <v>0.97507449999999996</v>
      </c>
      <c r="Y3684">
        <v>0.1009203</v>
      </c>
      <c r="Z3684">
        <v>5.2654629999999997E-3</v>
      </c>
      <c r="AA3684">
        <v>0.9948806</v>
      </c>
      <c r="AB3684">
        <v>36</v>
      </c>
      <c r="AC3684">
        <v>-17.245899999999999</v>
      </c>
      <c r="AD3684">
        <v>-1.1202828252749999</v>
      </c>
      <c r="AE3684">
        <v>1.2872999999999799</v>
      </c>
      <c r="AF3684">
        <v>1.77674490931842</v>
      </c>
      <c r="AG3684">
        <v>-1.1202828252749999</v>
      </c>
      <c r="AH3684">
        <v>17.129711909740202</v>
      </c>
      <c r="AI3684">
        <v>93.721903324283403</v>
      </c>
      <c r="AJ3684">
        <v>84.078286114209803</v>
      </c>
      <c r="AK3684">
        <v>17.2580093345696</v>
      </c>
      <c r="AL3684">
        <v>77.601274518752504</v>
      </c>
      <c r="AM3684">
        <v>86.717331177194396</v>
      </c>
      <c r="AN3684">
        <v>0.99999999310725995</v>
      </c>
    </row>
    <row r="3685" spans="1:40" x14ac:dyDescent="0.25">
      <c r="A3685" t="str">
        <f>"20190303162625113"</f>
        <v>20190303162625113</v>
      </c>
      <c r="B3685" t="str">
        <f>"1551601585107673"</f>
        <v>1551601585107673</v>
      </c>
      <c r="C3685" t="s">
        <v>40</v>
      </c>
      <c r="D3685">
        <v>5.0944949999999896</v>
      </c>
      <c r="E3685">
        <v>0.51812060000000004</v>
      </c>
      <c r="F3685" t="s">
        <v>41</v>
      </c>
      <c r="G3685">
        <v>-345.9117</v>
      </c>
      <c r="H3685" s="1">
        <v>-2.559929E-6</v>
      </c>
      <c r="I3685">
        <v>142.7122</v>
      </c>
      <c r="J3685">
        <v>-328.3956</v>
      </c>
      <c r="K3685">
        <v>1.1202650000000001</v>
      </c>
      <c r="L3685">
        <v>141.38329999999999</v>
      </c>
      <c r="M3685">
        <v>-0.99954739999999997</v>
      </c>
      <c r="N3685">
        <v>-1.041012E-2</v>
      </c>
      <c r="O3685">
        <v>-2.8226939999999999E-2</v>
      </c>
      <c r="P3685">
        <v>-0.97839160000000003</v>
      </c>
      <c r="Q3685">
        <v>0.20479140000000001</v>
      </c>
      <c r="R3685">
        <v>2.8468199999999999E-2</v>
      </c>
      <c r="S3685">
        <v>-3.100311</v>
      </c>
      <c r="T3685">
        <v>-0.1942101</v>
      </c>
      <c r="U3685">
        <v>0.228653</v>
      </c>
      <c r="V3685">
        <v>5.6360630000000002E-2</v>
      </c>
      <c r="W3685">
        <v>0.2148785</v>
      </c>
      <c r="X3685">
        <v>0.97501320000000002</v>
      </c>
      <c r="Y3685">
        <v>0.10140540000000001</v>
      </c>
      <c r="Z3685">
        <v>5.1690640000000001E-3</v>
      </c>
      <c r="AA3685">
        <v>0.99483169999999999</v>
      </c>
      <c r="AB3685">
        <v>36</v>
      </c>
      <c r="AC3685">
        <v>-17.516099999999899</v>
      </c>
      <c r="AD3685">
        <v>-1.120267559929</v>
      </c>
      <c r="AE3685">
        <v>1.3289</v>
      </c>
      <c r="AF3685">
        <v>1.81543966667959</v>
      </c>
      <c r="AG3685">
        <v>-1.120267559929</v>
      </c>
      <c r="AH3685">
        <v>17.400837454774798</v>
      </c>
      <c r="AI3685">
        <v>93.663792637578496</v>
      </c>
      <c r="AJ3685">
        <v>84.043845712002195</v>
      </c>
      <c r="AK3685">
        <v>17.531114189254399</v>
      </c>
      <c r="AL3685">
        <v>77.591600925498696</v>
      </c>
      <c r="AM3685">
        <v>86.691699463262395</v>
      </c>
      <c r="AN3685">
        <v>1.00000001527524</v>
      </c>
    </row>
    <row r="3686" spans="1:40" x14ac:dyDescent="0.25">
      <c r="A3686" t="str">
        <f>"20190303162625136"</f>
        <v>20190303162625136</v>
      </c>
      <c r="B3686" t="str">
        <f>"1551601585127193"</f>
        <v>1551601585127193</v>
      </c>
      <c r="C3686" t="s">
        <v>40</v>
      </c>
      <c r="D3686">
        <v>5.1854339999999999</v>
      </c>
      <c r="E3686">
        <v>0.51712689999999994</v>
      </c>
      <c r="F3686" t="s">
        <v>41</v>
      </c>
      <c r="G3686">
        <v>-347.48809999999997</v>
      </c>
      <c r="H3686" s="1">
        <v>-1.8930459999999999E-6</v>
      </c>
      <c r="I3686">
        <v>142.7475</v>
      </c>
      <c r="J3686">
        <v>-328.76369999999997</v>
      </c>
      <c r="K3686">
        <v>1.1202589999999999</v>
      </c>
      <c r="L3686">
        <v>141.3734</v>
      </c>
      <c r="M3686">
        <v>-0.99956389999999995</v>
      </c>
      <c r="N3686">
        <v>-1.04571E-2</v>
      </c>
      <c r="O3686">
        <v>-2.7615379999999998E-2</v>
      </c>
      <c r="P3686">
        <v>-0.97834339999999997</v>
      </c>
      <c r="Q3686">
        <v>0.20489679999999999</v>
      </c>
      <c r="R3686">
        <v>2.9353959999999998E-2</v>
      </c>
      <c r="S3686">
        <v>-3.0978089999999998</v>
      </c>
      <c r="T3686">
        <v>-0.18176700000000001</v>
      </c>
      <c r="U3686">
        <v>0.2213745</v>
      </c>
      <c r="V3686">
        <v>5.6652639999999997E-2</v>
      </c>
      <c r="W3686">
        <v>0.21502750000000001</v>
      </c>
      <c r="X3686">
        <v>0.97496340000000004</v>
      </c>
      <c r="Y3686">
        <v>9.8568420000000004E-2</v>
      </c>
      <c r="Z3686">
        <v>4.7311890000000002E-3</v>
      </c>
      <c r="AA3686">
        <v>0.99511899999999998</v>
      </c>
      <c r="AB3686">
        <v>36</v>
      </c>
      <c r="AC3686">
        <v>-18.724399999999999</v>
      </c>
      <c r="AD3686">
        <v>-1.1202608930460001</v>
      </c>
      <c r="AE3686">
        <v>1.3740999999999901</v>
      </c>
      <c r="AF3686">
        <v>1.8839780215244599</v>
      </c>
      <c r="AG3686">
        <v>-1.1202608930460001</v>
      </c>
      <c r="AH3686">
        <v>18.613041265842</v>
      </c>
      <c r="AI3686">
        <v>93.426831934984506</v>
      </c>
      <c r="AJ3686">
        <v>84.220310138004393</v>
      </c>
      <c r="AK3686">
        <v>18.741655818470601</v>
      </c>
      <c r="AL3686">
        <v>77.5828591918429</v>
      </c>
      <c r="AM3686">
        <v>86.674427722415004</v>
      </c>
      <c r="AN3686">
        <v>0.99999998935738899</v>
      </c>
    </row>
    <row r="3687" spans="1:40" x14ac:dyDescent="0.25">
      <c r="A3687" t="str">
        <f>"20190303162625161"</f>
        <v>20190303162625161</v>
      </c>
      <c r="B3687" t="str">
        <f>"1551601585147689"</f>
        <v>1551601585147689</v>
      </c>
      <c r="C3687" t="s">
        <v>40</v>
      </c>
      <c r="D3687">
        <v>4.9572120000000002</v>
      </c>
      <c r="E3687">
        <v>0.51625719999999997</v>
      </c>
      <c r="F3687" t="s">
        <v>41</v>
      </c>
      <c r="G3687">
        <v>-348.79570000000001</v>
      </c>
      <c r="H3687" s="1">
        <v>-1.338308E-6</v>
      </c>
      <c r="I3687">
        <v>142.77080000000001</v>
      </c>
      <c r="J3687">
        <v>-329.15730000000002</v>
      </c>
      <c r="K3687">
        <v>1.1202570000000001</v>
      </c>
      <c r="L3687">
        <v>141.36320000000001</v>
      </c>
      <c r="M3687">
        <v>-0.99958130000000001</v>
      </c>
      <c r="N3687">
        <v>-1.0502050000000001E-2</v>
      </c>
      <c r="O3687">
        <v>-2.6963069999999999E-2</v>
      </c>
      <c r="P3687">
        <v>-0.97823749999999998</v>
      </c>
      <c r="Q3687">
        <v>0.20538989999999999</v>
      </c>
      <c r="R3687">
        <v>2.9436690000000001E-2</v>
      </c>
      <c r="S3687">
        <v>-3.0961910000000001</v>
      </c>
      <c r="T3687">
        <v>-0.1731509</v>
      </c>
      <c r="U3687">
        <v>0.21600340000000001</v>
      </c>
      <c r="V3687">
        <v>5.6100030000000002E-2</v>
      </c>
      <c r="W3687">
        <v>0.21556339999999999</v>
      </c>
      <c r="X3687">
        <v>0.97487699999999999</v>
      </c>
      <c r="Y3687">
        <v>9.6263260000000003E-2</v>
      </c>
      <c r="Z3687">
        <v>4.415403E-3</v>
      </c>
      <c r="AA3687">
        <v>0.99534610000000001</v>
      </c>
      <c r="AB3687">
        <v>36</v>
      </c>
      <c r="AC3687">
        <v>-19.638399999999901</v>
      </c>
      <c r="AD3687">
        <v>-1.120258338308</v>
      </c>
      <c r="AE3687">
        <v>1.4076</v>
      </c>
      <c r="AF3687">
        <v>1.9303794755246</v>
      </c>
      <c r="AG3687">
        <v>-1.120258338308</v>
      </c>
      <c r="AH3687">
        <v>19.530076963009702</v>
      </c>
      <c r="AI3687">
        <v>93.267041676709795</v>
      </c>
      <c r="AJ3687">
        <v>84.355141964962698</v>
      </c>
      <c r="AK3687">
        <v>19.657193335905198</v>
      </c>
      <c r="AL3687">
        <v>77.551416899879698</v>
      </c>
      <c r="AM3687">
        <v>86.706503566959597</v>
      </c>
      <c r="AN3687">
        <v>0.99999997895727999</v>
      </c>
    </row>
    <row r="3688" spans="1:40" x14ac:dyDescent="0.25">
      <c r="A3688" t="str">
        <f>"20190303162625182"</f>
        <v>20190303162625182</v>
      </c>
      <c r="B3688" t="str">
        <f>"1551601585167209"</f>
        <v>1551601585167209</v>
      </c>
      <c r="C3688" t="s">
        <v>40</v>
      </c>
      <c r="D3688">
        <v>4.7396729999999998</v>
      </c>
      <c r="E3688">
        <v>0.51542969999999999</v>
      </c>
      <c r="F3688" t="s">
        <v>41</v>
      </c>
      <c r="G3688">
        <v>-350.60399999999998</v>
      </c>
      <c r="H3688" s="1">
        <v>-4.6377560000000004E-6</v>
      </c>
      <c r="I3688">
        <v>142.8143</v>
      </c>
      <c r="J3688">
        <v>-329.50360000000001</v>
      </c>
      <c r="K3688">
        <v>1.1202529999999999</v>
      </c>
      <c r="L3688">
        <v>141.3544</v>
      </c>
      <c r="M3688">
        <v>-0.99959629999999999</v>
      </c>
      <c r="N3688">
        <v>-1.053744E-2</v>
      </c>
      <c r="O3688">
        <v>-2.6389550000000001E-2</v>
      </c>
      <c r="P3688">
        <v>-0.9780548</v>
      </c>
      <c r="Q3688">
        <v>0.2061991</v>
      </c>
      <c r="R3688">
        <v>2.9847019999999998E-2</v>
      </c>
      <c r="S3688">
        <v>-3.0943909999999999</v>
      </c>
      <c r="T3688">
        <v>-0.161635</v>
      </c>
      <c r="U3688">
        <v>0.20938109999999999</v>
      </c>
      <c r="V3688">
        <v>5.5948770000000002E-2</v>
      </c>
      <c r="W3688">
        <v>0.21640480000000001</v>
      </c>
      <c r="X3688">
        <v>0.97469930000000005</v>
      </c>
      <c r="Y3688">
        <v>9.3641920000000003E-2</v>
      </c>
      <c r="Z3688">
        <v>4.034139E-3</v>
      </c>
      <c r="AA3688">
        <v>0.99559779999999998</v>
      </c>
      <c r="AB3688">
        <v>36</v>
      </c>
      <c r="AC3688">
        <v>-21.1004</v>
      </c>
      <c r="AD3688">
        <v>-1.1202576377560001</v>
      </c>
      <c r="AE3688">
        <v>1.4599</v>
      </c>
      <c r="AF3688">
        <v>2.0106120469998898</v>
      </c>
      <c r="AG3688">
        <v>-1.1202576377560001</v>
      </c>
      <c r="AH3688">
        <v>20.9956232448327</v>
      </c>
      <c r="AI3688">
        <v>93.040335994604206</v>
      </c>
      <c r="AJ3688">
        <v>84.529842841178805</v>
      </c>
      <c r="AK3688">
        <v>21.121404626999801</v>
      </c>
      <c r="AL3688">
        <v>77.502043289992699</v>
      </c>
      <c r="AM3688">
        <v>86.714766685368005</v>
      </c>
      <c r="AN3688">
        <v>1.0000000138740199</v>
      </c>
    </row>
    <row r="3689" spans="1:40" x14ac:dyDescent="0.25">
      <c r="A3689" t="str">
        <f>"20190303162625205"</f>
        <v>20190303162625205</v>
      </c>
      <c r="B3689" t="str">
        <f>"1551601585197465"</f>
        <v>1551601585197465</v>
      </c>
      <c r="C3689" t="s">
        <v>40</v>
      </c>
      <c r="D3689">
        <v>4.8131279999999999</v>
      </c>
      <c r="E3689">
        <v>0.51453459999999995</v>
      </c>
      <c r="F3689" t="s">
        <v>41</v>
      </c>
      <c r="G3689">
        <v>-352.59879999999998</v>
      </c>
      <c r="H3689" s="1">
        <v>-3.9699760000000003E-6</v>
      </c>
      <c r="I3689">
        <v>142.8767</v>
      </c>
      <c r="J3689">
        <v>-329.86790000000002</v>
      </c>
      <c r="K3689">
        <v>1.1202479999999999</v>
      </c>
      <c r="L3689">
        <v>141.34540000000001</v>
      </c>
      <c r="M3689">
        <v>-0.99961169999999999</v>
      </c>
      <c r="N3689">
        <v>-1.057234E-2</v>
      </c>
      <c r="O3689">
        <v>-2.5786239999999998E-2</v>
      </c>
      <c r="P3689">
        <v>-0.97804840000000004</v>
      </c>
      <c r="Q3689">
        <v>0.20618629999999999</v>
      </c>
      <c r="R3689">
        <v>3.015077E-2</v>
      </c>
      <c r="S3689">
        <v>-3.092743</v>
      </c>
      <c r="T3689">
        <v>-0.15001689999999901</v>
      </c>
      <c r="U3689">
        <v>0.20387269999999999</v>
      </c>
      <c r="V3689">
        <v>5.5664909999999998E-2</v>
      </c>
      <c r="W3689">
        <v>0.2164257</v>
      </c>
      <c r="X3689">
        <v>0.97471090000000005</v>
      </c>
      <c r="Y3689">
        <v>9.1338050000000004E-2</v>
      </c>
      <c r="Z3689">
        <v>3.671929E-3</v>
      </c>
      <c r="AA3689">
        <v>0.99581319999999995</v>
      </c>
      <c r="AB3689">
        <v>36</v>
      </c>
      <c r="AC3689">
        <v>-22.730899999999899</v>
      </c>
      <c r="AD3689">
        <v>-1.1202519699760001</v>
      </c>
      <c r="AE3689">
        <v>1.5312999999999799</v>
      </c>
      <c r="AF3689">
        <v>2.1118616911100498</v>
      </c>
      <c r="AG3689">
        <v>-1.1202519699760001</v>
      </c>
      <c r="AH3689">
        <v>22.629137842256799</v>
      </c>
      <c r="AI3689">
        <v>92.821863041267093</v>
      </c>
      <c r="AJ3689">
        <v>84.668320981452695</v>
      </c>
      <c r="AK3689">
        <v>22.755061058201399</v>
      </c>
      <c r="AL3689">
        <v>77.500816592481797</v>
      </c>
      <c r="AM3689">
        <v>86.731437130133301</v>
      </c>
      <c r="AN3689">
        <v>1.0000000022022999</v>
      </c>
    </row>
    <row r="3690" spans="1:40" x14ac:dyDescent="0.25">
      <c r="A3690" t="str">
        <f>"20190303162625226"</f>
        <v>20190303162625226</v>
      </c>
      <c r="B3690" t="str">
        <f>"1551601585216986"</f>
        <v>1551601585216986</v>
      </c>
      <c r="C3690" t="s">
        <v>40</v>
      </c>
      <c r="D3690">
        <v>4.7274909999999997</v>
      </c>
      <c r="E3690">
        <v>0.51421149999999904</v>
      </c>
      <c r="F3690" t="s">
        <v>41</v>
      </c>
      <c r="G3690">
        <v>-354.45620000000002</v>
      </c>
      <c r="H3690" s="1">
        <v>-3.2387929999999998E-6</v>
      </c>
      <c r="I3690">
        <v>142.9169</v>
      </c>
      <c r="J3690">
        <v>-330.21010000000001</v>
      </c>
      <c r="K3690">
        <v>1.120244</v>
      </c>
      <c r="L3690">
        <v>141.33709999999999</v>
      </c>
      <c r="M3690">
        <v>-0.99962580000000001</v>
      </c>
      <c r="N3690">
        <v>-1.060613E-2</v>
      </c>
      <c r="O3690">
        <v>-2.5219169999999999E-2</v>
      </c>
      <c r="P3690">
        <v>-0.97815160000000001</v>
      </c>
      <c r="Q3690">
        <v>0.20558009999999999</v>
      </c>
      <c r="R3690">
        <v>3.0927159999999999E-2</v>
      </c>
      <c r="S3690">
        <v>-3.0909420000000001</v>
      </c>
      <c r="T3690">
        <v>-0.14082410000000001</v>
      </c>
      <c r="U3690">
        <v>0.19757079999999999</v>
      </c>
      <c r="V3690">
        <v>5.5889990000000001E-2</v>
      </c>
      <c r="W3690">
        <v>0.21585299999999999</v>
      </c>
      <c r="X3690">
        <v>0.97482500000000005</v>
      </c>
      <c r="Y3690">
        <v>8.8809460000000007E-2</v>
      </c>
      <c r="Z3690">
        <v>3.3720320000000001E-3</v>
      </c>
      <c r="AA3690">
        <v>0.99604289999999995</v>
      </c>
      <c r="AB3690">
        <v>36</v>
      </c>
      <c r="AC3690">
        <v>-24.246099999999998</v>
      </c>
      <c r="AD3690">
        <v>-1.120247238793</v>
      </c>
      <c r="AE3690">
        <v>1.5798000000000001</v>
      </c>
      <c r="AF3690">
        <v>2.1861511977558101</v>
      </c>
      <c r="AG3690">
        <v>-1.120247238793</v>
      </c>
      <c r="AH3690">
        <v>24.1472141006332</v>
      </c>
      <c r="AI3690">
        <v>92.645380484605695</v>
      </c>
      <c r="AJ3690">
        <v>84.826869562499795</v>
      </c>
      <c r="AK3690">
        <v>24.271838821096502</v>
      </c>
      <c r="AL3690">
        <v>77.534424190700506</v>
      </c>
      <c r="AM3690">
        <v>86.718632866089806</v>
      </c>
      <c r="AN3690">
        <v>0.99999999460809996</v>
      </c>
    </row>
    <row r="3691" spans="1:40" x14ac:dyDescent="0.25">
      <c r="A3691" t="str">
        <f>"20190303162625247"</f>
        <v>20190303162625247</v>
      </c>
      <c r="B3691" t="str">
        <f>"1551601585237481"</f>
        <v>1551601585237481</v>
      </c>
      <c r="C3691" t="s">
        <v>40</v>
      </c>
      <c r="D3691">
        <v>4.6532299999999998</v>
      </c>
      <c r="E3691">
        <v>0.51393059999999902</v>
      </c>
      <c r="F3691" t="s">
        <v>41</v>
      </c>
      <c r="G3691">
        <v>-354.95960000000002</v>
      </c>
      <c r="H3691" s="1">
        <v>-3.0226149999999999E-6</v>
      </c>
      <c r="I3691">
        <v>142.916</v>
      </c>
      <c r="J3691">
        <v>-330.54059999999998</v>
      </c>
      <c r="K3691">
        <v>1.1202399999999999</v>
      </c>
      <c r="L3691">
        <v>141.32929999999999</v>
      </c>
      <c r="M3691">
        <v>-0.9996391</v>
      </c>
      <c r="N3691">
        <v>-1.0640180000000001E-2</v>
      </c>
      <c r="O3691">
        <v>-2.4671430000000001E-2</v>
      </c>
      <c r="P3691">
        <v>-0.97834829999999995</v>
      </c>
      <c r="Q3691">
        <v>0.20458290000000001</v>
      </c>
      <c r="R3691">
        <v>3.1315959999999997E-2</v>
      </c>
      <c r="S3691">
        <v>-3.090179</v>
      </c>
      <c r="T3691">
        <v>-0.1398723</v>
      </c>
      <c r="U3691">
        <v>0.1971588</v>
      </c>
      <c r="V3691">
        <v>5.5748209999999999E-2</v>
      </c>
      <c r="W3691">
        <v>0.21489150000000001</v>
      </c>
      <c r="X3691">
        <v>0.97504559999999996</v>
      </c>
      <c r="Y3691">
        <v>8.8149790000000006E-2</v>
      </c>
      <c r="Z3691">
        <v>3.3147210000000001E-3</v>
      </c>
      <c r="AA3691">
        <v>0.99610169999999998</v>
      </c>
      <c r="AB3691">
        <v>36</v>
      </c>
      <c r="AC3691">
        <v>-24.419</v>
      </c>
      <c r="AD3691">
        <v>-1.120243022615</v>
      </c>
      <c r="AE3691">
        <v>1.5867</v>
      </c>
      <c r="AF3691">
        <v>2.1841252886877398</v>
      </c>
      <c r="AG3691">
        <v>-1.120243022615</v>
      </c>
      <c r="AH3691">
        <v>24.321446377706199</v>
      </c>
      <c r="AI3691">
        <v>92.626618142059897</v>
      </c>
      <c r="AJ3691">
        <v>84.868463904768404</v>
      </c>
      <c r="AK3691">
        <v>24.445001566987901</v>
      </c>
      <c r="AL3691">
        <v>77.590838965183295</v>
      </c>
      <c r="AM3691">
        <v>86.727677723198795</v>
      </c>
      <c r="AN3691">
        <v>1.0000000708848999</v>
      </c>
    </row>
    <row r="3692" spans="1:40" x14ac:dyDescent="0.25">
      <c r="A3692" t="str">
        <f>"20190303162625268"</f>
        <v>20190303162625268</v>
      </c>
      <c r="B3692" t="str">
        <f>"1551601585257002"</f>
        <v>1551601585257002</v>
      </c>
      <c r="C3692" t="s">
        <v>40</v>
      </c>
      <c r="D3692">
        <v>4.6295869999999999</v>
      </c>
      <c r="E3692">
        <v>0.5138047</v>
      </c>
      <c r="F3692" t="s">
        <v>41</v>
      </c>
      <c r="G3692">
        <v>-355.40179999999998</v>
      </c>
      <c r="H3692" s="1">
        <v>-2.8309720000000002E-6</v>
      </c>
      <c r="I3692">
        <v>142.90870000000001</v>
      </c>
      <c r="J3692">
        <v>-330.87880000000001</v>
      </c>
      <c r="K3692">
        <v>1.1202369999999999</v>
      </c>
      <c r="L3692">
        <v>141.32140000000001</v>
      </c>
      <c r="M3692">
        <v>-0.99965230000000005</v>
      </c>
      <c r="N3692">
        <v>-1.068095E-2</v>
      </c>
      <c r="O3692">
        <v>-2.4111440000000001E-2</v>
      </c>
      <c r="P3692">
        <v>-0.97845269999999995</v>
      </c>
      <c r="Q3692">
        <v>0.20406279999999999</v>
      </c>
      <c r="R3692">
        <v>3.1446729999999999E-2</v>
      </c>
      <c r="S3692">
        <v>-3.0892330000000001</v>
      </c>
      <c r="T3692">
        <v>-0.13920089999999999</v>
      </c>
      <c r="U3692">
        <v>0.1962738</v>
      </c>
      <c r="V3692">
        <v>5.5334500000000002E-2</v>
      </c>
      <c r="W3692">
        <v>0.21441270000000001</v>
      </c>
      <c r="X3692">
        <v>0.97517450000000006</v>
      </c>
      <c r="Y3692">
        <v>8.7329329999999997E-2</v>
      </c>
      <c r="Z3692">
        <v>3.259507E-3</v>
      </c>
      <c r="AA3692">
        <v>0.99617420000000001</v>
      </c>
      <c r="AB3692">
        <v>36</v>
      </c>
      <c r="AC3692">
        <v>-24.5229999999999</v>
      </c>
      <c r="AD3692">
        <v>-1.1202398309720001</v>
      </c>
      <c r="AE3692">
        <v>1.5872999999999899</v>
      </c>
      <c r="AF3692">
        <v>2.17364004248244</v>
      </c>
      <c r="AG3692">
        <v>-1.1202398309720001</v>
      </c>
      <c r="AH3692">
        <v>24.426834968952999</v>
      </c>
      <c r="AI3692">
        <v>92.615483199785601</v>
      </c>
      <c r="AJ3692">
        <v>84.914886396174097</v>
      </c>
      <c r="AK3692">
        <v>24.548928997282999</v>
      </c>
      <c r="AL3692">
        <v>77.618926119552597</v>
      </c>
      <c r="AM3692">
        <v>86.7523380051054</v>
      </c>
      <c r="AN3692">
        <v>1.00000000913089</v>
      </c>
    </row>
    <row r="3693" spans="1:40" x14ac:dyDescent="0.25">
      <c r="A3693" t="str">
        <f>"20190303162625293"</f>
        <v>20190303162625293</v>
      </c>
      <c r="B3693" t="str">
        <f>"1551601585287258"</f>
        <v>1551601585287258</v>
      </c>
      <c r="C3693" t="s">
        <v>40</v>
      </c>
      <c r="D3693">
        <v>4.625432</v>
      </c>
      <c r="E3693">
        <v>0.51379779999999997</v>
      </c>
      <c r="F3693" t="s">
        <v>41</v>
      </c>
      <c r="G3693">
        <v>-355.99869999999999</v>
      </c>
      <c r="H3693" s="1">
        <v>-2.577136E-6</v>
      </c>
      <c r="I3693">
        <v>142.9171</v>
      </c>
      <c r="J3693">
        <v>-331.25920000000002</v>
      </c>
      <c r="K3693">
        <v>1.120242</v>
      </c>
      <c r="L3693">
        <v>141.31290000000001</v>
      </c>
      <c r="M3693">
        <v>-0.99966659999999996</v>
      </c>
      <c r="N3693">
        <v>-1.0741270000000001E-2</v>
      </c>
      <c r="O3693">
        <v>-2.3481910000000002E-2</v>
      </c>
      <c r="P3693">
        <v>-0.97856310000000002</v>
      </c>
      <c r="Q3693">
        <v>0.203482</v>
      </c>
      <c r="R3693">
        <v>3.1769749999999999E-2</v>
      </c>
      <c r="S3693">
        <v>-3.0884399999999999</v>
      </c>
      <c r="T3693">
        <v>-0.1377312</v>
      </c>
      <c r="U3693">
        <v>0.1961975</v>
      </c>
      <c r="V3693">
        <v>5.5045049999999998E-2</v>
      </c>
      <c r="W3693">
        <v>0.21389240000000001</v>
      </c>
      <c r="X3693">
        <v>0.97530510000000004</v>
      </c>
      <c r="Y3693">
        <v>8.6697150000000001E-2</v>
      </c>
      <c r="Z3693">
        <v>3.1905330000000002E-3</v>
      </c>
      <c r="AA3693">
        <v>0.99622960000000005</v>
      </c>
      <c r="AB3693">
        <v>36</v>
      </c>
      <c r="AC3693">
        <v>-24.7394999999999</v>
      </c>
      <c r="AD3693">
        <v>-1.1202445771359999</v>
      </c>
      <c r="AE3693">
        <v>1.6041999999999901</v>
      </c>
      <c r="AF3693">
        <v>2.1802700510717701</v>
      </c>
      <c r="AG3693">
        <v>-1.1202445771359999</v>
      </c>
      <c r="AH3693">
        <v>24.644685246545599</v>
      </c>
      <c r="AI3693">
        <v>92.592523868561003</v>
      </c>
      <c r="AJ3693">
        <v>84.944309826011505</v>
      </c>
      <c r="AK3693">
        <v>24.766288303044199</v>
      </c>
      <c r="AL3693">
        <v>77.649444747630099</v>
      </c>
      <c r="AM3693">
        <v>86.769721862794796</v>
      </c>
      <c r="AN3693">
        <v>0.99999997719663603</v>
      </c>
    </row>
    <row r="3694" spans="1:40" x14ac:dyDescent="0.25">
      <c r="A3694" t="str">
        <f>"20190303162625315"</f>
        <v>20190303162625315</v>
      </c>
      <c r="B3694" t="str">
        <f>"1551601585307754"</f>
        <v>1551601585307754</v>
      </c>
      <c r="C3694" t="s">
        <v>40</v>
      </c>
      <c r="D3694">
        <v>4.5928699999999996</v>
      </c>
      <c r="E3694">
        <v>0.51385899999999995</v>
      </c>
      <c r="F3694" t="s">
        <v>41</v>
      </c>
      <c r="G3694">
        <v>-356.94349999999997</v>
      </c>
      <c r="H3694" s="1">
        <v>-2.1817490000000001E-6</v>
      </c>
      <c r="I3694">
        <v>142.9545</v>
      </c>
      <c r="J3694">
        <v>-331.61590000000001</v>
      </c>
      <c r="K3694">
        <v>1.12025</v>
      </c>
      <c r="L3694">
        <v>141.30500000000001</v>
      </c>
      <c r="M3694">
        <v>-0.9996796</v>
      </c>
      <c r="N3694">
        <v>-1.0818670000000001E-2</v>
      </c>
      <c r="O3694">
        <v>-2.289157E-2</v>
      </c>
      <c r="P3694">
        <v>-0.97875319999999999</v>
      </c>
      <c r="Q3694">
        <v>0.20249</v>
      </c>
      <c r="R3694">
        <v>3.22565E-2</v>
      </c>
      <c r="S3694">
        <v>-3.0873409999999999</v>
      </c>
      <c r="T3694">
        <v>-0.13465729999999901</v>
      </c>
      <c r="U3694">
        <v>0.19734189999999999</v>
      </c>
      <c r="V3694">
        <v>5.4959149999999998E-2</v>
      </c>
      <c r="W3694">
        <v>0.21297749999999999</v>
      </c>
      <c r="X3694">
        <v>0.97551019999999999</v>
      </c>
      <c r="Y3694">
        <v>8.6504499999999998E-2</v>
      </c>
      <c r="Z3694">
        <v>3.1021410000000001E-3</v>
      </c>
      <c r="AA3694">
        <v>0.99624659999999998</v>
      </c>
      <c r="AB3694">
        <v>36</v>
      </c>
      <c r="AC3694">
        <v>-25.327599999999901</v>
      </c>
      <c r="AD3694">
        <v>-1.1202521817490001</v>
      </c>
      <c r="AE3694">
        <v>1.64949999999998</v>
      </c>
      <c r="AF3694">
        <v>2.2245564586078999</v>
      </c>
      <c r="AG3694">
        <v>-1.1202521817490001</v>
      </c>
      <c r="AH3694">
        <v>25.2340426004112</v>
      </c>
      <c r="AI3694">
        <v>92.532139673724103</v>
      </c>
      <c r="AJ3694">
        <v>84.962002560374003</v>
      </c>
      <c r="AK3694">
        <v>25.356666230946299</v>
      </c>
      <c r="AL3694">
        <v>77.703101793731307</v>
      </c>
      <c r="AM3694">
        <v>86.775428864332895</v>
      </c>
      <c r="AN3694">
        <v>1.0000000369894999</v>
      </c>
    </row>
    <row r="3695" spans="1:40" x14ac:dyDescent="0.25">
      <c r="A3695" t="str">
        <f>"20190303162625337"</f>
        <v>20190303162625337</v>
      </c>
      <c r="B3695" t="str">
        <f>"1551601585327274"</f>
        <v>1551601585327274</v>
      </c>
      <c r="C3695" t="s">
        <v>40</v>
      </c>
      <c r="D3695">
        <v>4.5783809999999896</v>
      </c>
      <c r="E3695">
        <v>0.51394309999999999</v>
      </c>
      <c r="F3695" t="s">
        <v>41</v>
      </c>
      <c r="G3695">
        <v>-357.20510000000002</v>
      </c>
      <c r="H3695" s="1">
        <v>-2.0699849999999999E-6</v>
      </c>
      <c r="I3695">
        <v>142.9562</v>
      </c>
      <c r="J3695">
        <v>-331.97059999999999</v>
      </c>
      <c r="K3695">
        <v>1.1202570000000001</v>
      </c>
      <c r="L3695">
        <v>141.29750000000001</v>
      </c>
      <c r="M3695">
        <v>-0.99969169999999996</v>
      </c>
      <c r="N3695">
        <v>-1.092777E-2</v>
      </c>
      <c r="O3695">
        <v>-2.2302900000000001E-2</v>
      </c>
      <c r="P3695">
        <v>-0.97902199999999995</v>
      </c>
      <c r="Q3695">
        <v>0.20110349999999999</v>
      </c>
      <c r="R3695">
        <v>3.2769039999999999E-2</v>
      </c>
      <c r="S3695">
        <v>-3.0865170000000002</v>
      </c>
      <c r="T3695">
        <v>-0.13512249999999901</v>
      </c>
      <c r="U3695">
        <v>0.19917299999999999</v>
      </c>
      <c r="V3695">
        <v>5.4902430000000002E-2</v>
      </c>
      <c r="W3695">
        <v>0.21170030000000001</v>
      </c>
      <c r="X3695">
        <v>0.97579130000000003</v>
      </c>
      <c r="Y3695">
        <v>8.6522749999999995E-2</v>
      </c>
      <c r="Z3695">
        <v>3.096236E-3</v>
      </c>
      <c r="AA3695">
        <v>0.99624509999999999</v>
      </c>
      <c r="AB3695">
        <v>36</v>
      </c>
      <c r="AC3695">
        <v>-25.234500000000001</v>
      </c>
      <c r="AD3695">
        <v>-1.1202590699849999</v>
      </c>
      <c r="AE3695">
        <v>1.6586999999999801</v>
      </c>
      <c r="AF3695">
        <v>2.2167733367553701</v>
      </c>
      <c r="AG3695">
        <v>-1.1202590699849999</v>
      </c>
      <c r="AH3695">
        <v>25.141889347702399</v>
      </c>
      <c r="AI3695">
        <v>92.541421244011005</v>
      </c>
      <c r="AJ3695">
        <v>84.961231837610498</v>
      </c>
      <c r="AK3695">
        <v>25.264276446843699</v>
      </c>
      <c r="AL3695">
        <v>77.777986918845997</v>
      </c>
      <c r="AM3695">
        <v>86.779675741275099</v>
      </c>
      <c r="AN3695">
        <v>0.99999997749784197</v>
      </c>
    </row>
    <row r="3696" spans="1:40" x14ac:dyDescent="0.25">
      <c r="A3696" t="str">
        <f>"20190303162625359"</f>
        <v>20190303162625359</v>
      </c>
      <c r="B3696" t="str">
        <f>"1551601585347769"</f>
        <v>1551601585347769</v>
      </c>
      <c r="C3696" t="s">
        <v>40</v>
      </c>
      <c r="D3696">
        <v>4.5684079999999998</v>
      </c>
      <c r="E3696">
        <v>0.51398929999999998</v>
      </c>
      <c r="F3696" t="s">
        <v>41</v>
      </c>
      <c r="G3696">
        <v>-357.12520000000001</v>
      </c>
      <c r="H3696" s="1">
        <v>-2.0994729999999999E-6</v>
      </c>
      <c r="I3696">
        <v>142.93819999999999</v>
      </c>
      <c r="J3696">
        <v>-332.32240000000002</v>
      </c>
      <c r="K3696">
        <v>1.120276</v>
      </c>
      <c r="L3696">
        <v>141.2902</v>
      </c>
      <c r="M3696">
        <v>-0.9997028</v>
      </c>
      <c r="N3696">
        <v>-1.1075059999999999E-2</v>
      </c>
      <c r="O3696">
        <v>-2.172048E-2</v>
      </c>
      <c r="P3696">
        <v>-0.97926979999999997</v>
      </c>
      <c r="Q3696">
        <v>0.19970879999999999</v>
      </c>
      <c r="R3696">
        <v>3.3872949999999999E-2</v>
      </c>
      <c r="S3696">
        <v>-3.085785</v>
      </c>
      <c r="T3696">
        <v>-0.1374252</v>
      </c>
      <c r="U3696">
        <v>0.2012787</v>
      </c>
      <c r="V3696">
        <v>5.5442900000000003E-2</v>
      </c>
      <c r="W3696">
        <v>0.21045069999999999</v>
      </c>
      <c r="X3696">
        <v>0.97603110000000004</v>
      </c>
      <c r="Y3696">
        <v>8.6630789999999999E-2</v>
      </c>
      <c r="Z3696">
        <v>3.1323280000000002E-3</v>
      </c>
      <c r="AA3696">
        <v>0.99623550000000005</v>
      </c>
      <c r="AB3696">
        <v>36</v>
      </c>
      <c r="AC3696">
        <v>-24.802799999999898</v>
      </c>
      <c r="AD3696">
        <v>-1.1202780994729999</v>
      </c>
      <c r="AE3696">
        <v>1.6479999999999899</v>
      </c>
      <c r="AF3696">
        <v>2.1819410903723901</v>
      </c>
      <c r="AG3696">
        <v>-1.1202780994729999</v>
      </c>
      <c r="AH3696">
        <v>24.710959219641701</v>
      </c>
      <c r="AI3696">
        <v>92.585695936656606</v>
      </c>
      <c r="AJ3696">
        <v>84.953954444065502</v>
      </c>
      <c r="AK3696">
        <v>24.8323860210172</v>
      </c>
      <c r="AL3696">
        <v>77.851235026996306</v>
      </c>
      <c r="AM3696">
        <v>86.748839218208801</v>
      </c>
      <c r="AN3696">
        <v>1.00000006022905</v>
      </c>
    </row>
    <row r="3697" spans="1:40" x14ac:dyDescent="0.25">
      <c r="A3697" t="str">
        <f>"20190303162625383"</f>
        <v>20190303162625383</v>
      </c>
      <c r="B3697" t="str">
        <f>"1551601585377049"</f>
        <v>1551601585377049</v>
      </c>
      <c r="C3697" t="s">
        <v>40</v>
      </c>
      <c r="D3697">
        <v>4.5859719999999999</v>
      </c>
      <c r="E3697">
        <v>0.51401779999999997</v>
      </c>
      <c r="F3697" t="s">
        <v>41</v>
      </c>
      <c r="G3697">
        <v>-357.08109999999999</v>
      </c>
      <c r="H3697" s="1">
        <v>-2.117758E-6</v>
      </c>
      <c r="I3697">
        <v>142.9358</v>
      </c>
      <c r="J3697">
        <v>-332.72660000000002</v>
      </c>
      <c r="K3697">
        <v>1.1203019999999999</v>
      </c>
      <c r="L3697">
        <v>141.28219999999999</v>
      </c>
      <c r="M3697">
        <v>-0.99971429999999994</v>
      </c>
      <c r="N3697">
        <v>-1.1293910000000001E-2</v>
      </c>
      <c r="O3697">
        <v>-2.106179E-2</v>
      </c>
      <c r="P3697">
        <v>-0.9795471</v>
      </c>
      <c r="Q3697">
        <v>0.19811500000000001</v>
      </c>
      <c r="R3697">
        <v>3.5181150000000001E-2</v>
      </c>
      <c r="S3697">
        <v>-3.0849000000000002</v>
      </c>
      <c r="T3697">
        <v>-0.13958499999999999</v>
      </c>
      <c r="U3697">
        <v>0.2050476</v>
      </c>
      <c r="V3697">
        <v>5.6111710000000002E-2</v>
      </c>
      <c r="W3697">
        <v>0.20907249999999999</v>
      </c>
      <c r="X3697">
        <v>0.97628899999999996</v>
      </c>
      <c r="Y3697">
        <v>8.7200659999999999E-2</v>
      </c>
      <c r="Z3697">
        <v>3.1770140000000001E-3</v>
      </c>
      <c r="AA3697">
        <v>0.99618569999999995</v>
      </c>
      <c r="AB3697">
        <v>36</v>
      </c>
      <c r="AC3697">
        <v>-24.354499999999899</v>
      </c>
      <c r="AD3697">
        <v>-1.120304117758</v>
      </c>
      <c r="AE3697">
        <v>1.65360000000001</v>
      </c>
      <c r="AF3697">
        <v>2.16166220529507</v>
      </c>
      <c r="AG3697">
        <v>-1.120304117758</v>
      </c>
      <c r="AH3697">
        <v>24.263161902948202</v>
      </c>
      <c r="AI3697">
        <v>92.633227957752894</v>
      </c>
      <c r="AJ3697">
        <v>84.908826053277707</v>
      </c>
      <c r="AK3697">
        <v>24.385013642291501</v>
      </c>
      <c r="AL3697">
        <v>77.931996358314805</v>
      </c>
      <c r="AM3697">
        <v>86.710573253347704</v>
      </c>
      <c r="AN3697">
        <v>1.00000002288818</v>
      </c>
    </row>
    <row r="3698" spans="1:40" x14ac:dyDescent="0.25">
      <c r="A3698" t="str">
        <f>"20190303162625405"</f>
        <v>20190303162625405</v>
      </c>
      <c r="B3698" t="str">
        <f>"1551601585397545"</f>
        <v>1551601585397545</v>
      </c>
      <c r="C3698" t="s">
        <v>40</v>
      </c>
      <c r="D3698">
        <v>4.5301629999999999</v>
      </c>
      <c r="E3698">
        <v>0.51408959999999904</v>
      </c>
      <c r="F3698" t="s">
        <v>41</v>
      </c>
      <c r="G3698">
        <v>-357.37779999999998</v>
      </c>
      <c r="H3698" s="1">
        <v>-1.9959159999999998E-6</v>
      </c>
      <c r="I3698">
        <v>142.9563</v>
      </c>
      <c r="J3698">
        <v>-333.07380000000001</v>
      </c>
      <c r="K3698">
        <v>1.1203320000000001</v>
      </c>
      <c r="L3698">
        <v>141.27539999999999</v>
      </c>
      <c r="M3698">
        <v>-0.99972369999999999</v>
      </c>
      <c r="N3698">
        <v>-1.149935E-2</v>
      </c>
      <c r="O3698">
        <v>-2.049612E-2</v>
      </c>
      <c r="P3698">
        <v>-0.9797555</v>
      </c>
      <c r="Q3698">
        <v>0.19696150000000001</v>
      </c>
      <c r="R3698">
        <v>3.5852769999999999E-2</v>
      </c>
      <c r="S3698">
        <v>-3.083466</v>
      </c>
      <c r="T3698">
        <v>-0.14013200000000001</v>
      </c>
      <c r="U3698">
        <v>0.2094116</v>
      </c>
      <c r="V3698">
        <v>5.6231209999999997E-2</v>
      </c>
      <c r="W3698">
        <v>0.20812259999999999</v>
      </c>
      <c r="X3698">
        <v>0.97648509999999999</v>
      </c>
      <c r="Y3698">
        <v>8.8069149999999999E-2</v>
      </c>
      <c r="Z3698">
        <v>3.1998959999999998E-3</v>
      </c>
      <c r="AA3698">
        <v>0.99610920000000003</v>
      </c>
      <c r="AB3698">
        <v>36</v>
      </c>
      <c r="AC3698">
        <v>-24.303999999999899</v>
      </c>
      <c r="AD3698">
        <v>-1.1203339959159999</v>
      </c>
      <c r="AE3698">
        <v>1.6809000000000001</v>
      </c>
      <c r="AF3698">
        <v>2.1741197341785199</v>
      </c>
      <c r="AG3698">
        <v>-1.1203339959159999</v>
      </c>
      <c r="AH3698">
        <v>24.213233745091401</v>
      </c>
      <c r="AI3698">
        <v>92.638557091607794</v>
      </c>
      <c r="AJ3698">
        <v>84.869139468664997</v>
      </c>
      <c r="AK3698">
        <v>24.336446603302299</v>
      </c>
      <c r="AL3698">
        <v>77.987646250336397</v>
      </c>
      <c r="AM3698">
        <v>86.704243793264794</v>
      </c>
      <c r="AN3698">
        <v>1.00000005806541</v>
      </c>
    </row>
    <row r="3699" spans="1:40" x14ac:dyDescent="0.25">
      <c r="A3699" t="str">
        <f>"20190303162625426"</f>
        <v>20190303162625426</v>
      </c>
      <c r="B3699" t="str">
        <f>"1551601585417066"</f>
        <v>1551601585417066</v>
      </c>
      <c r="C3699" t="s">
        <v>40</v>
      </c>
      <c r="D3699">
        <v>4.7435530000000004</v>
      </c>
      <c r="E3699">
        <v>0.51390550000000002</v>
      </c>
      <c r="F3699" t="s">
        <v>41</v>
      </c>
      <c r="G3699">
        <v>-357.55579999999998</v>
      </c>
      <c r="H3699" s="1">
        <v>-1.920666E-6</v>
      </c>
      <c r="I3699">
        <v>142.96039999999999</v>
      </c>
      <c r="J3699">
        <v>-333.39359999999999</v>
      </c>
      <c r="K3699">
        <v>1.1203719999999999</v>
      </c>
      <c r="L3699">
        <v>141.26939999999999</v>
      </c>
      <c r="M3699">
        <v>-0.99973210000000001</v>
      </c>
      <c r="N3699">
        <v>-1.1702779999999999E-2</v>
      </c>
      <c r="O3699">
        <v>-1.9972340000000002E-2</v>
      </c>
      <c r="P3699">
        <v>-0.97996090000000002</v>
      </c>
      <c r="Q3699">
        <v>0.19585350000000001</v>
      </c>
      <c r="R3699">
        <v>3.6308790000000001E-2</v>
      </c>
      <c r="S3699">
        <v>-3.0825809999999998</v>
      </c>
      <c r="T3699">
        <v>-0.14106369999999999</v>
      </c>
      <c r="U3699">
        <v>0.21217349999999999</v>
      </c>
      <c r="V3699">
        <v>5.6174469999999997E-2</v>
      </c>
      <c r="W3699">
        <v>0.20721680000000001</v>
      </c>
      <c r="X3699">
        <v>0.97668089999999996</v>
      </c>
      <c r="Y3699">
        <v>8.845285E-2</v>
      </c>
      <c r="Z3699">
        <v>3.2181409999999999E-3</v>
      </c>
      <c r="AA3699">
        <v>0.99607520000000005</v>
      </c>
      <c r="AB3699">
        <v>36</v>
      </c>
      <c r="AC3699">
        <v>-24.162199999999899</v>
      </c>
      <c r="AD3699">
        <v>-1.1203739206659999</v>
      </c>
      <c r="AE3699">
        <v>1.6910000000000001</v>
      </c>
      <c r="AF3699">
        <v>2.1686313608376699</v>
      </c>
      <c r="AG3699">
        <v>-1.1203739206659999</v>
      </c>
      <c r="AH3699">
        <v>24.072099754372299</v>
      </c>
      <c r="AI3699">
        <v>92.654028694106998</v>
      </c>
      <c r="AJ3699">
        <v>84.852177210711204</v>
      </c>
      <c r="AK3699">
        <v>24.195540628094399</v>
      </c>
      <c r="AL3699">
        <v>78.040700436246993</v>
      </c>
      <c r="AM3699">
        <v>86.708220649800595</v>
      </c>
      <c r="AN3699">
        <v>0.99999997685341502</v>
      </c>
    </row>
    <row r="3700" spans="1:40" x14ac:dyDescent="0.25">
      <c r="A3700" t="str">
        <f>"20190303162625448"</f>
        <v>20190303162625448</v>
      </c>
      <c r="B3700" t="str">
        <f>"1551601585437562"</f>
        <v>1551601585437562</v>
      </c>
      <c r="C3700" t="s">
        <v>40</v>
      </c>
      <c r="D3700">
        <v>4.5414560000000002</v>
      </c>
      <c r="E3700">
        <v>0.47435719999999998</v>
      </c>
      <c r="F3700" t="s">
        <v>41</v>
      </c>
      <c r="G3700">
        <v>-357.65069999999997</v>
      </c>
      <c r="H3700" s="1">
        <v>-1.8763079999999999E-6</v>
      </c>
      <c r="I3700">
        <v>142.94669999999999</v>
      </c>
      <c r="J3700">
        <v>-333.74270000000001</v>
      </c>
      <c r="K3700">
        <v>1.120414</v>
      </c>
      <c r="L3700">
        <v>141.26300000000001</v>
      </c>
      <c r="M3700">
        <v>-0.99974070000000004</v>
      </c>
      <c r="N3700">
        <v>-1.193807E-2</v>
      </c>
      <c r="O3700">
        <v>-1.9397620000000001E-2</v>
      </c>
      <c r="P3700">
        <v>-0.98015770000000002</v>
      </c>
      <c r="Q3700">
        <v>0.1947834</v>
      </c>
      <c r="R3700">
        <v>3.6745409999999999E-2</v>
      </c>
      <c r="S3700">
        <v>-3.081909</v>
      </c>
      <c r="T3700">
        <v>-0.142345899999999</v>
      </c>
      <c r="U3700">
        <v>0.21311949999999999</v>
      </c>
      <c r="V3700">
        <v>5.6046899999999997E-2</v>
      </c>
      <c r="W3700">
        <v>0.20638029999999999</v>
      </c>
      <c r="X3700">
        <v>0.97686539999999999</v>
      </c>
      <c r="Y3700">
        <v>8.8197620000000004E-2</v>
      </c>
      <c r="Z3700">
        <v>3.2240709999999998E-3</v>
      </c>
      <c r="AA3700">
        <v>0.99609780000000003</v>
      </c>
      <c r="AB3700">
        <v>36</v>
      </c>
      <c r="AC3700">
        <v>-23.907999999999902</v>
      </c>
      <c r="AD3700">
        <v>-1.1204158763079901</v>
      </c>
      <c r="AE3700">
        <v>1.68369999999998</v>
      </c>
      <c r="AF3700">
        <v>2.1424923331952899</v>
      </c>
      <c r="AG3700">
        <v>-1.1204158763079901</v>
      </c>
      <c r="AH3700">
        <v>23.8187862614468</v>
      </c>
      <c r="AI3700">
        <v>92.682346980306704</v>
      </c>
      <c r="AJ3700">
        <v>84.860095100361903</v>
      </c>
      <c r="AK3700">
        <v>23.941181760768899</v>
      </c>
      <c r="AL3700">
        <v>78.089688121913198</v>
      </c>
      <c r="AM3700">
        <v>86.716298717336301</v>
      </c>
      <c r="AN3700">
        <v>1.0000000464724199</v>
      </c>
    </row>
    <row r="3701" spans="1:40" x14ac:dyDescent="0.25">
      <c r="A3701" t="str">
        <f>"20190303162625469"</f>
        <v>20190303162625469</v>
      </c>
      <c r="B3701" t="str">
        <f>"1551601585457081"</f>
        <v>1551601585457081</v>
      </c>
      <c r="C3701" t="s">
        <v>40</v>
      </c>
      <c r="D3701">
        <v>4.5567440000000001</v>
      </c>
      <c r="E3701">
        <v>0.466972</v>
      </c>
      <c r="F3701" t="s">
        <v>41</v>
      </c>
      <c r="G3701">
        <v>-364.51650000000001</v>
      </c>
      <c r="H3701" s="1">
        <v>-2.5058140000000002E-6</v>
      </c>
      <c r="I3701">
        <v>140.2593</v>
      </c>
      <c r="J3701">
        <v>-334.09160000000003</v>
      </c>
      <c r="K3701">
        <v>1.120452</v>
      </c>
      <c r="L3701">
        <v>141.2568</v>
      </c>
      <c r="M3701">
        <v>-0.99974890000000005</v>
      </c>
      <c r="N3701">
        <v>-1.217389E-2</v>
      </c>
      <c r="O3701">
        <v>-1.882234E-2</v>
      </c>
      <c r="P3701">
        <v>-0.98030609999999996</v>
      </c>
      <c r="Q3701">
        <v>0.19396769999999999</v>
      </c>
      <c r="R3701">
        <v>3.710745E-2</v>
      </c>
      <c r="S3701">
        <v>-3.0868530000000001</v>
      </c>
      <c r="T3701">
        <v>-0.1123869</v>
      </c>
      <c r="U3701">
        <v>-0.1006775</v>
      </c>
      <c r="V3701">
        <v>5.5844459999999999E-2</v>
      </c>
      <c r="W3701">
        <v>0.20579800000000001</v>
      </c>
      <c r="X3701">
        <v>0.97699979999999997</v>
      </c>
      <c r="Y3701">
        <v>-1.3771449999999999E-2</v>
      </c>
      <c r="Z3701">
        <v>1.212948E-4</v>
      </c>
      <c r="AA3701">
        <v>0.99990520000000005</v>
      </c>
      <c r="AB3701">
        <v>36</v>
      </c>
      <c r="AC3701">
        <v>-30.424899999999901</v>
      </c>
      <c r="AD3701">
        <v>-1.1204545058140001</v>
      </c>
      <c r="AE3701">
        <v>-0.99750000000000205</v>
      </c>
      <c r="AF3701">
        <v>-0.42403863537384101</v>
      </c>
      <c r="AG3701">
        <v>-1.1204545058140001</v>
      </c>
      <c r="AH3701">
        <v>30.397105027962098</v>
      </c>
      <c r="AI3701">
        <v>92.1107939681267</v>
      </c>
      <c r="AJ3701">
        <v>90.799222436805394</v>
      </c>
      <c r="AK3701">
        <v>30.420703823956</v>
      </c>
      <c r="AL3701">
        <v>78.123782987498302</v>
      </c>
      <c r="AM3701">
        <v>86.728582663083799</v>
      </c>
      <c r="AN3701">
        <v>1.0000000148583601</v>
      </c>
    </row>
    <row r="3702" spans="1:40" x14ac:dyDescent="0.25">
      <c r="A3702" t="str">
        <f>"20190303162625492"</f>
        <v>20190303162625492</v>
      </c>
      <c r="B3702" t="str">
        <f>"1551601585487337"</f>
        <v>1551601585487337</v>
      </c>
      <c r="C3702" t="s">
        <v>40</v>
      </c>
      <c r="D3702">
        <v>4.5101319999999996</v>
      </c>
      <c r="E3702">
        <v>0.46553739999999999</v>
      </c>
      <c r="F3702" t="s">
        <v>41</v>
      </c>
      <c r="G3702">
        <v>-365.30680000000001</v>
      </c>
      <c r="H3702" s="1">
        <v>-2.0052459999999999E-6</v>
      </c>
      <c r="I3702">
        <v>139.6523</v>
      </c>
      <c r="J3702">
        <v>-334.45150000000001</v>
      </c>
      <c r="K3702">
        <v>1.1204769999999999</v>
      </c>
      <c r="L3702">
        <v>141.25069999999999</v>
      </c>
      <c r="M3702">
        <v>-0.99975700000000001</v>
      </c>
      <c r="N3702">
        <v>-1.240377E-2</v>
      </c>
      <c r="O3702">
        <v>-1.823104E-2</v>
      </c>
      <c r="P3702">
        <v>-0.98029790000000006</v>
      </c>
      <c r="Q3702">
        <v>0.193907</v>
      </c>
      <c r="R3702">
        <v>3.7636639999999999E-2</v>
      </c>
      <c r="S3702">
        <v>-3.0882260000000001</v>
      </c>
      <c r="T3702">
        <v>-0.11085059999999999</v>
      </c>
      <c r="U3702">
        <v>-0.15873719999999999</v>
      </c>
      <c r="V3702">
        <v>5.5792609999999999E-2</v>
      </c>
      <c r="W3702">
        <v>0.2059627</v>
      </c>
      <c r="X3702">
        <v>0.97696810000000001</v>
      </c>
      <c r="Y3702">
        <v>-3.3092450000000002E-2</v>
      </c>
      <c r="Z3702">
        <v>-3.7113629999999999E-4</v>
      </c>
      <c r="AA3702">
        <v>0.99945220000000001</v>
      </c>
      <c r="AB3702">
        <v>36</v>
      </c>
      <c r="AC3702">
        <v>-30.8553</v>
      </c>
      <c r="AD3702">
        <v>-1.1204790052460001</v>
      </c>
      <c r="AE3702">
        <v>-1.5983999999999901</v>
      </c>
      <c r="AF3702">
        <v>-1.0342067351272899</v>
      </c>
      <c r="AG3702">
        <v>-1.1204790052460001</v>
      </c>
      <c r="AH3702">
        <v>30.838755414424899</v>
      </c>
      <c r="AI3702">
        <v>92.079671069816598</v>
      </c>
      <c r="AJ3702">
        <v>91.920748133146105</v>
      </c>
      <c r="AK3702">
        <v>30.876429396594801</v>
      </c>
      <c r="AL3702">
        <v>78.114140317687401</v>
      </c>
      <c r="AM3702">
        <v>86.731507672990404</v>
      </c>
      <c r="AN3702">
        <v>1.00000005876975</v>
      </c>
    </row>
    <row r="3703" spans="1:40" x14ac:dyDescent="0.25">
      <c r="A3703" t="str">
        <f>"20190303162625515"</f>
        <v>20190303162625515</v>
      </c>
      <c r="B3703" t="str">
        <f>"1551601585506858"</f>
        <v>1551601585506858</v>
      </c>
      <c r="C3703" t="s">
        <v>40</v>
      </c>
      <c r="D3703">
        <v>4.5236070000000002</v>
      </c>
      <c r="E3703">
        <v>0.46523789999999998</v>
      </c>
      <c r="F3703" t="s">
        <v>41</v>
      </c>
      <c r="G3703">
        <v>-365.21210000000002</v>
      </c>
      <c r="H3703" s="1">
        <v>-2.0429220000000001E-6</v>
      </c>
      <c r="I3703">
        <v>139.5788</v>
      </c>
      <c r="J3703">
        <v>-334.8272</v>
      </c>
      <c r="K3703">
        <v>1.120506</v>
      </c>
      <c r="L3703">
        <v>141.24440000000001</v>
      </c>
      <c r="M3703">
        <v>-0.99976520000000002</v>
      </c>
      <c r="N3703">
        <v>-1.262307E-2</v>
      </c>
      <c r="O3703">
        <v>-1.7617620000000001E-2</v>
      </c>
      <c r="P3703">
        <v>-0.98041210000000001</v>
      </c>
      <c r="Q3703">
        <v>0.19327949999999999</v>
      </c>
      <c r="R3703">
        <v>3.7886690000000001E-2</v>
      </c>
      <c r="S3703">
        <v>-3.0890200000000001</v>
      </c>
      <c r="T3703">
        <v>-0.1125201</v>
      </c>
      <c r="U3703">
        <v>-0.1678772</v>
      </c>
      <c r="V3703">
        <v>5.5442529999999997E-2</v>
      </c>
      <c r="W3703">
        <v>0.20555200000000001</v>
      </c>
      <c r="X3703">
        <v>0.97707440000000001</v>
      </c>
      <c r="Y3703">
        <v>-3.663719E-2</v>
      </c>
      <c r="Z3703">
        <v>-4.7934779999999998E-4</v>
      </c>
      <c r="AA3703">
        <v>0.99932849999999995</v>
      </c>
      <c r="AB3703">
        <v>36</v>
      </c>
      <c r="AC3703">
        <v>-30.384899999999998</v>
      </c>
      <c r="AD3703">
        <v>-1.120508042922</v>
      </c>
      <c r="AE3703">
        <v>-1.66560000000001</v>
      </c>
      <c r="AF3703">
        <v>-1.12845920558473</v>
      </c>
      <c r="AG3703">
        <v>-1.120508042922</v>
      </c>
      <c r="AH3703">
        <v>30.3683547856422</v>
      </c>
      <c r="AI3703">
        <v>92.111640685667197</v>
      </c>
      <c r="AJ3703">
        <v>92.128077600807302</v>
      </c>
      <c r="AK3703">
        <v>30.409964334730098</v>
      </c>
      <c r="AL3703">
        <v>78.138184784432994</v>
      </c>
      <c r="AM3703">
        <v>86.752324933114593</v>
      </c>
      <c r="AN3703">
        <v>0.99999994098607803</v>
      </c>
    </row>
    <row r="3704" spans="1:40" x14ac:dyDescent="0.25">
      <c r="A3704" t="str">
        <f>"20190303162625540"</f>
        <v>20190303162625540</v>
      </c>
      <c r="B3704" t="str">
        <f>"1551601585527354"</f>
        <v>1551601585527354</v>
      </c>
      <c r="C3704" t="s">
        <v>40</v>
      </c>
      <c r="D3704">
        <v>4.5510020000000004</v>
      </c>
      <c r="E3704">
        <v>0.46511160000000001</v>
      </c>
      <c r="F3704" t="s">
        <v>41</v>
      </c>
      <c r="G3704">
        <v>-365.05250000000001</v>
      </c>
      <c r="H3704" s="1">
        <v>-2.109465E-6</v>
      </c>
      <c r="I3704">
        <v>139.5899</v>
      </c>
      <c r="J3704">
        <v>-335.20100000000002</v>
      </c>
      <c r="K3704">
        <v>1.120525</v>
      </c>
      <c r="L3704">
        <v>141.23840000000001</v>
      </c>
      <c r="M3704">
        <v>-0.99977329999999998</v>
      </c>
      <c r="N3704">
        <v>-1.281856E-2</v>
      </c>
      <c r="O3704">
        <v>-1.701076E-2</v>
      </c>
      <c r="P3704">
        <v>-0.9804273</v>
      </c>
      <c r="Q3704">
        <v>0.19319269999999999</v>
      </c>
      <c r="R3704">
        <v>3.7934849999999999E-2</v>
      </c>
      <c r="S3704">
        <v>-3.0890200000000001</v>
      </c>
      <c r="T3704">
        <v>-0.11451600000000001</v>
      </c>
      <c r="U3704">
        <v>-0.1690826</v>
      </c>
      <c r="V3704">
        <v>5.489695E-2</v>
      </c>
      <c r="W3704">
        <v>0.20565800000000001</v>
      </c>
      <c r="X3704">
        <v>0.97708300000000003</v>
      </c>
      <c r="Y3704">
        <v>-3.7630499999999997E-2</v>
      </c>
      <c r="Z3704">
        <v>-5.2628879999999905E-4</v>
      </c>
      <c r="AA3704">
        <v>0.99929159999999995</v>
      </c>
      <c r="AB3704">
        <v>36</v>
      </c>
      <c r="AC3704">
        <v>-29.851500000000001</v>
      </c>
      <c r="AD3704">
        <v>-1.120527109465</v>
      </c>
      <c r="AE3704">
        <v>-1.6485000000000101</v>
      </c>
      <c r="AF3704">
        <v>-1.13882336272295</v>
      </c>
      <c r="AG3704">
        <v>-1.120527109465</v>
      </c>
      <c r="AH3704">
        <v>29.833317032667601</v>
      </c>
      <c r="AI3704">
        <v>92.149430791295501</v>
      </c>
      <c r="AJ3704">
        <v>92.186082982626999</v>
      </c>
      <c r="AK3704">
        <v>29.876065752139802</v>
      </c>
      <c r="AL3704">
        <v>78.131980015817504</v>
      </c>
      <c r="AM3704">
        <v>86.784244389011207</v>
      </c>
      <c r="AN3704">
        <v>1.00000003848615</v>
      </c>
    </row>
    <row r="3705" spans="1:40" x14ac:dyDescent="0.25">
      <c r="A3705" t="str">
        <f>"20190303162625563"</f>
        <v>20190303162625563</v>
      </c>
      <c r="B3705" t="str">
        <f>"1551601585557610"</f>
        <v>1551601585557610</v>
      </c>
      <c r="C3705" t="s">
        <v>40</v>
      </c>
      <c r="D3705">
        <v>4.5848699999999996</v>
      </c>
      <c r="E3705">
        <v>0.4667808</v>
      </c>
      <c r="F3705" t="s">
        <v>41</v>
      </c>
      <c r="G3705">
        <v>-365.94450000000001</v>
      </c>
      <c r="H3705" s="1">
        <v>-1.735189E-6</v>
      </c>
      <c r="I3705">
        <v>139.54239999999999</v>
      </c>
      <c r="J3705">
        <v>-335.58030000000002</v>
      </c>
      <c r="K3705">
        <v>1.12053799999999</v>
      </c>
      <c r="L3705">
        <v>141.23269999999999</v>
      </c>
      <c r="M3705">
        <v>-0.99978129999999998</v>
      </c>
      <c r="N3705">
        <v>-1.2993370000000001E-2</v>
      </c>
      <c r="O3705">
        <v>-1.6395219999999999E-2</v>
      </c>
      <c r="P3705">
        <v>-0.98059949999999996</v>
      </c>
      <c r="Q3705">
        <v>0.1921062</v>
      </c>
      <c r="R3705">
        <v>3.898741E-2</v>
      </c>
      <c r="S3705">
        <v>-3.088654</v>
      </c>
      <c r="T3705">
        <v>-0.1125741</v>
      </c>
      <c r="U3705">
        <v>-0.17037959999999999</v>
      </c>
      <c r="V3705">
        <v>5.5347889999999997E-2</v>
      </c>
      <c r="W3705">
        <v>0.20474419999999999</v>
      </c>
      <c r="X3705">
        <v>0.97724940000000005</v>
      </c>
      <c r="Y3705">
        <v>-3.8669969999999998E-2</v>
      </c>
      <c r="Z3705">
        <v>-5.7152139999999999E-4</v>
      </c>
      <c r="AA3705">
        <v>0.99925189999999997</v>
      </c>
      <c r="AB3705">
        <v>36</v>
      </c>
      <c r="AC3705">
        <v>-30.364199999999901</v>
      </c>
      <c r="AD3705">
        <v>-1.1205397351890001</v>
      </c>
      <c r="AE3705">
        <v>-1.6902999999999999</v>
      </c>
      <c r="AF3705">
        <v>-1.1905866715003399</v>
      </c>
      <c r="AG3705">
        <v>-1.1205397351890001</v>
      </c>
      <c r="AH3705">
        <v>30.3466331789039</v>
      </c>
      <c r="AI3705">
        <v>92.113043514709602</v>
      </c>
      <c r="AJ3705">
        <v>92.246727789600698</v>
      </c>
      <c r="AK3705">
        <v>30.390644139528199</v>
      </c>
      <c r="AL3705">
        <v>78.185474623556004</v>
      </c>
      <c r="AM3705">
        <v>86.758436200039597</v>
      </c>
      <c r="AN3705">
        <v>0.99999998308072602</v>
      </c>
    </row>
    <row r="3706" spans="1:40" x14ac:dyDescent="0.25">
      <c r="A3706" t="str">
        <f>"20190303162625586"</f>
        <v>20190303162625586</v>
      </c>
      <c r="B3706" t="str">
        <f>"1551601585577130"</f>
        <v>1551601585577130</v>
      </c>
      <c r="C3706" t="s">
        <v>40</v>
      </c>
      <c r="D3706">
        <v>4.5552669999999997</v>
      </c>
      <c r="E3706">
        <v>0.46820349999999999</v>
      </c>
      <c r="F3706" t="s">
        <v>41</v>
      </c>
      <c r="G3706">
        <v>-364.70839999999998</v>
      </c>
      <c r="H3706" s="1">
        <v>-2.2941089999999998E-6</v>
      </c>
      <c r="I3706">
        <v>139.7731</v>
      </c>
      <c r="J3706">
        <v>-335.95460000000003</v>
      </c>
      <c r="K3706">
        <v>1.1205400000000001</v>
      </c>
      <c r="L3706">
        <v>141.22710000000001</v>
      </c>
      <c r="M3706">
        <v>-0.99978900000000004</v>
      </c>
      <c r="N3706">
        <v>-1.314564E-2</v>
      </c>
      <c r="O3706">
        <v>-1.5786250000000002E-2</v>
      </c>
      <c r="P3706">
        <v>-0.98091669999999997</v>
      </c>
      <c r="Q3706">
        <v>0.19030259999999999</v>
      </c>
      <c r="R3706">
        <v>3.9839840000000001E-2</v>
      </c>
      <c r="S3706">
        <v>-3.0888059999999999</v>
      </c>
      <c r="T3706">
        <v>-0.11882470000000001</v>
      </c>
      <c r="U3706">
        <v>-0.15476989999999999</v>
      </c>
      <c r="V3706">
        <v>5.560561E-2</v>
      </c>
      <c r="W3706">
        <v>0.20309350000000001</v>
      </c>
      <c r="X3706">
        <v>0.97757919999999998</v>
      </c>
      <c r="Y3706">
        <v>-3.4240979999999997E-2</v>
      </c>
      <c r="Z3706">
        <v>-4.840531E-4</v>
      </c>
      <c r="AA3706">
        <v>0.99941349999999995</v>
      </c>
      <c r="AB3706">
        <v>35</v>
      </c>
      <c r="AC3706">
        <v>-28.753799999999899</v>
      </c>
      <c r="AD3706">
        <v>-1.120542294109</v>
      </c>
      <c r="AE3706">
        <v>-1.454</v>
      </c>
      <c r="AF3706">
        <v>-0.998352587558061</v>
      </c>
      <c r="AG3706">
        <v>-1.120542294109</v>
      </c>
      <c r="AH3706">
        <v>28.7296517037793</v>
      </c>
      <c r="AI3706">
        <v>92.232228531445003</v>
      </c>
      <c r="AJ3706">
        <v>91.990221892309293</v>
      </c>
      <c r="AK3706">
        <v>28.7688235759205</v>
      </c>
      <c r="AL3706">
        <v>78.282083204165204</v>
      </c>
      <c r="AM3706">
        <v>86.744471011753802</v>
      </c>
      <c r="AN3706">
        <v>1.0000000229391799</v>
      </c>
    </row>
    <row r="3707" spans="1:40" x14ac:dyDescent="0.25">
      <c r="A3707" t="str">
        <f>"20190303162625760"</f>
        <v>20190303162625760</v>
      </c>
      <c r="B3707" t="str">
        <f>"1551601585757689"</f>
        <v>1551601585757689</v>
      </c>
      <c r="C3707" t="s">
        <v>40</v>
      </c>
      <c r="D3707">
        <v>4.5728229999999996</v>
      </c>
      <c r="E3707">
        <v>0.50623839999999998</v>
      </c>
      <c r="F3707" t="s">
        <v>41</v>
      </c>
      <c r="G3707">
        <v>-364.01429999999999</v>
      </c>
      <c r="H3707" s="1">
        <v>-2.6384789999999999E-6</v>
      </c>
      <c r="I3707">
        <v>139.94810000000001</v>
      </c>
      <c r="J3707">
        <v>-338.6936</v>
      </c>
      <c r="K3707">
        <v>1.1205499999999999</v>
      </c>
      <c r="L3707">
        <v>141.19390000000001</v>
      </c>
      <c r="M3707">
        <v>-0.99984260000000003</v>
      </c>
      <c r="N3707">
        <v>-1.363608E-2</v>
      </c>
      <c r="O3707">
        <v>-1.135269E-2</v>
      </c>
      <c r="P3707">
        <v>-0.98092570000000001</v>
      </c>
      <c r="Q3707">
        <v>0.18803449999999999</v>
      </c>
      <c r="R3707">
        <v>4.9275590000000001E-2</v>
      </c>
      <c r="S3707">
        <v>-3.0880130000000001</v>
      </c>
      <c r="T3707">
        <v>-0.12331780000000001</v>
      </c>
      <c r="U3707">
        <v>-0.14074710000000001</v>
      </c>
      <c r="V3707">
        <v>6.0681239999999997E-2</v>
      </c>
      <c r="W3707">
        <v>0.20130310000000001</v>
      </c>
      <c r="X3707">
        <v>0.97764759999999995</v>
      </c>
      <c r="Y3707">
        <v>-3.4153799999999998E-2</v>
      </c>
      <c r="Z3707">
        <v>-6.1624260000000001E-4</v>
      </c>
      <c r="AA3707">
        <v>0.99941639999999998</v>
      </c>
      <c r="AB3707">
        <v>35</v>
      </c>
      <c r="AC3707">
        <v>-25.320699999999899</v>
      </c>
      <c r="AD3707">
        <v>-1.1205526384790001</v>
      </c>
      <c r="AE3707">
        <v>-1.2458</v>
      </c>
      <c r="AF3707">
        <v>-0.95636644599167897</v>
      </c>
      <c r="AG3707">
        <v>-1.1205526384790001</v>
      </c>
      <c r="AH3707">
        <v>25.283814848721502</v>
      </c>
      <c r="AI3707">
        <v>92.535818330091004</v>
      </c>
      <c r="AJ3707">
        <v>92.166194095631099</v>
      </c>
      <c r="AK3707">
        <v>25.3266967506434</v>
      </c>
      <c r="AL3707">
        <v>78.3868287673087</v>
      </c>
      <c r="AM3707">
        <v>86.448286212828194</v>
      </c>
      <c r="AN3707">
        <v>0.99999999037165299</v>
      </c>
    </row>
    <row r="3708" spans="1:40" x14ac:dyDescent="0.25">
      <c r="A3708" t="str">
        <f>"20190303162625783"</f>
        <v>20190303162625783</v>
      </c>
      <c r="B3708" t="str">
        <f>"1551601585777209"</f>
        <v>1551601585777209</v>
      </c>
      <c r="C3708" t="s">
        <v>40</v>
      </c>
      <c r="D3708">
        <v>4.8041559999999999</v>
      </c>
      <c r="E3708">
        <v>0.50844199999999995</v>
      </c>
      <c r="F3708" t="s">
        <v>41</v>
      </c>
      <c r="G3708">
        <v>-340.84120000000001</v>
      </c>
      <c r="H3708" s="1">
        <v>-4.2894970000000003E-6</v>
      </c>
      <c r="I3708">
        <v>141.30619999999999</v>
      </c>
      <c r="J3708">
        <v>-339.04790000000003</v>
      </c>
      <c r="K3708">
        <v>1.120568</v>
      </c>
      <c r="L3708">
        <v>141.19040000000001</v>
      </c>
      <c r="M3708">
        <v>-0.99984850000000003</v>
      </c>
      <c r="N3708">
        <v>-1.364484E-2</v>
      </c>
      <c r="O3708">
        <v>-1.08085E-2</v>
      </c>
      <c r="P3708">
        <v>-0.98064150000000005</v>
      </c>
      <c r="Q3708">
        <v>0.18944900000000001</v>
      </c>
      <c r="R3708">
        <v>4.9512399999999998E-2</v>
      </c>
      <c r="S3708">
        <v>-3.3883359999999998</v>
      </c>
      <c r="T3708">
        <v>-1.767927</v>
      </c>
      <c r="U3708">
        <v>0.1773682</v>
      </c>
      <c r="V3708">
        <v>6.0377920000000002E-2</v>
      </c>
      <c r="W3708">
        <v>0.20272470000000001</v>
      </c>
      <c r="X3708">
        <v>0.97737260000000004</v>
      </c>
      <c r="Y3708">
        <v>5.458586E-2</v>
      </c>
      <c r="Z3708">
        <v>1.8931409999999999E-2</v>
      </c>
      <c r="AA3708">
        <v>0.99832960000000004</v>
      </c>
      <c r="AB3708">
        <v>35</v>
      </c>
      <c r="AC3708">
        <v>-1.7932999999999799</v>
      </c>
      <c r="AD3708">
        <v>-1.1205722894970001</v>
      </c>
      <c r="AE3708">
        <v>0.115799999999978</v>
      </c>
      <c r="AF3708">
        <v>9.7331794182737505E-2</v>
      </c>
      <c r="AG3708">
        <v>-1.1205722894970001</v>
      </c>
      <c r="AH3708">
        <v>1.2902482317152699</v>
      </c>
      <c r="AI3708">
        <v>130.89364047269001</v>
      </c>
      <c r="AJ3708">
        <v>85.685978497459203</v>
      </c>
      <c r="AK3708">
        <v>1.7116939661025099</v>
      </c>
      <c r="AL3708">
        <v>78.303662501854603</v>
      </c>
      <c r="AM3708">
        <v>86.465002800176606</v>
      </c>
      <c r="AN3708">
        <v>0.99999999822218799</v>
      </c>
    </row>
    <row r="3709" spans="1:40" x14ac:dyDescent="0.25">
      <c r="A3709" t="str">
        <f>"20190303162625805"</f>
        <v>20190303162625805</v>
      </c>
      <c r="B3709" t="str">
        <f>"1551601585797705"</f>
        <v>1551601585797705</v>
      </c>
      <c r="C3709" t="s">
        <v>40</v>
      </c>
      <c r="D3709">
        <v>4.7516059999999998</v>
      </c>
      <c r="E3709">
        <v>0.5218081</v>
      </c>
      <c r="F3709" t="s">
        <v>41</v>
      </c>
      <c r="G3709">
        <v>-341.2312</v>
      </c>
      <c r="H3709" s="1">
        <v>-4.1587550000000001E-6</v>
      </c>
      <c r="I3709">
        <v>141.31720000000001</v>
      </c>
      <c r="J3709">
        <v>-339.40609999999998</v>
      </c>
      <c r="K3709">
        <v>1.120593</v>
      </c>
      <c r="L3709">
        <v>141.18709999999999</v>
      </c>
      <c r="M3709">
        <v>-0.99985400000000002</v>
      </c>
      <c r="N3709">
        <v>-1.3650280000000001E-2</v>
      </c>
      <c r="O3709">
        <v>-1.027087E-2</v>
      </c>
      <c r="P3709">
        <v>-0.98034809999999994</v>
      </c>
      <c r="Q3709">
        <v>0.19097929999999999</v>
      </c>
      <c r="R3709">
        <v>4.9440650000000003E-2</v>
      </c>
      <c r="S3709">
        <v>-3.3849490000000002</v>
      </c>
      <c r="T3709">
        <v>-1.7373639999999999</v>
      </c>
      <c r="U3709">
        <v>0.19671630000000001</v>
      </c>
      <c r="V3709">
        <v>5.9771879999999999E-2</v>
      </c>
      <c r="W3709">
        <v>0.20425879999999999</v>
      </c>
      <c r="X3709">
        <v>0.97709040000000003</v>
      </c>
      <c r="Y3709">
        <v>5.9488699999999901E-2</v>
      </c>
      <c r="Z3709">
        <v>1.962421E-2</v>
      </c>
      <c r="AA3709">
        <v>0.99803609999999998</v>
      </c>
      <c r="AB3709">
        <v>35</v>
      </c>
      <c r="AC3709">
        <v>-1.8251000000000199</v>
      </c>
      <c r="AD3709">
        <v>-1.1205971587550001</v>
      </c>
      <c r="AE3709">
        <v>0.130100000000027</v>
      </c>
      <c r="AF3709">
        <v>0.108241117568249</v>
      </c>
      <c r="AG3709">
        <v>-1.1205971587550001</v>
      </c>
      <c r="AH3709">
        <v>1.32622588861224</v>
      </c>
      <c r="AI3709">
        <v>130.10246622364099</v>
      </c>
      <c r="AJ3709">
        <v>85.334095238375198</v>
      </c>
      <c r="AK3709">
        <v>1.73963480057382</v>
      </c>
      <c r="AL3709">
        <v>78.213886555384306</v>
      </c>
      <c r="AM3709">
        <v>86.499388277213299</v>
      </c>
      <c r="AN3709">
        <v>0.99999999239416704</v>
      </c>
    </row>
    <row r="3710" spans="1:40" x14ac:dyDescent="0.25">
      <c r="A3710" t="str">
        <f>"20190303162625828"</f>
        <v>20190303162625828</v>
      </c>
      <c r="B3710" t="str">
        <f>"1551601585817226"</f>
        <v>1551601585817226</v>
      </c>
      <c r="C3710" t="s">
        <v>40</v>
      </c>
      <c r="D3710">
        <v>4.7753199999999998</v>
      </c>
      <c r="E3710">
        <v>0.52160260000000003</v>
      </c>
      <c r="F3710" t="s">
        <v>42</v>
      </c>
      <c r="G3710">
        <v>-340.2423</v>
      </c>
      <c r="H3710">
        <v>0.84510019999999997</v>
      </c>
      <c r="I3710">
        <v>141.26660000000001</v>
      </c>
      <c r="J3710">
        <v>-339.76920000000001</v>
      </c>
      <c r="K3710">
        <v>1.120619</v>
      </c>
      <c r="L3710">
        <v>141.184</v>
      </c>
      <c r="M3710">
        <v>-0.99985930000000001</v>
      </c>
      <c r="N3710">
        <v>-1.365337E-2</v>
      </c>
      <c r="O3710">
        <v>-9.7418399999999999E-3</v>
      </c>
      <c r="P3710">
        <v>-0.97986479999999998</v>
      </c>
      <c r="Q3710">
        <v>0.19345180000000001</v>
      </c>
      <c r="R3710">
        <v>4.9411539999999997E-2</v>
      </c>
      <c r="S3710">
        <v>-3.2534179999999999</v>
      </c>
      <c r="T3710">
        <v>-1.071814</v>
      </c>
      <c r="U3710">
        <v>0.30751040000000002</v>
      </c>
      <c r="V3710">
        <v>5.9215909999999997E-2</v>
      </c>
      <c r="W3710">
        <v>0.2067311</v>
      </c>
      <c r="X3710">
        <v>0.97660420000000003</v>
      </c>
      <c r="Y3710">
        <v>9.7964159999999995E-2</v>
      </c>
      <c r="Z3710">
        <v>1.9368110000000001E-2</v>
      </c>
      <c r="AA3710">
        <v>0.99500140000000004</v>
      </c>
      <c r="AB3710">
        <v>35</v>
      </c>
      <c r="AC3710">
        <v>-0.47309999999998797</v>
      </c>
      <c r="AD3710">
        <v>-0.27551879999999901</v>
      </c>
      <c r="AE3710">
        <v>8.2600000000013496E-2</v>
      </c>
      <c r="AF3710">
        <v>6.5611303326970696E-2</v>
      </c>
      <c r="AG3710">
        <v>-0.27551879999999901</v>
      </c>
      <c r="AH3710">
        <v>0.35532711107209702</v>
      </c>
      <c r="AI3710">
        <v>127.325689829244</v>
      </c>
      <c r="AJ3710">
        <v>79.538149229255296</v>
      </c>
      <c r="AK3710">
        <v>0.45439279059041598</v>
      </c>
      <c r="AL3710">
        <v>78.069145414382106</v>
      </c>
      <c r="AM3710">
        <v>86.530147095842906</v>
      </c>
      <c r="AN3710">
        <v>1.00000001758098</v>
      </c>
    </row>
    <row r="3711" spans="1:40" x14ac:dyDescent="0.25">
      <c r="A3711" t="str">
        <f>"20190303162625849"</f>
        <v>20190303162625849</v>
      </c>
      <c r="B3711" t="str">
        <f>"1551601585837722"</f>
        <v>1551601585837722</v>
      </c>
      <c r="C3711" t="s">
        <v>40</v>
      </c>
      <c r="D3711">
        <v>4.7700690000000003</v>
      </c>
      <c r="E3711">
        <v>0.52137489999999997</v>
      </c>
      <c r="F3711" t="s">
        <v>42</v>
      </c>
      <c r="G3711">
        <v>-340.56380000000001</v>
      </c>
      <c r="H3711">
        <v>0.86383929999999998</v>
      </c>
      <c r="I3711">
        <v>141.25880000000001</v>
      </c>
      <c r="J3711">
        <v>-340.08569999999997</v>
      </c>
      <c r="K3711">
        <v>1.1206480000000001</v>
      </c>
      <c r="L3711">
        <v>141.1814</v>
      </c>
      <c r="M3711">
        <v>-0.99986359999999996</v>
      </c>
      <c r="N3711">
        <v>-1.3654629999999999E-2</v>
      </c>
      <c r="O3711">
        <v>-9.2969479999999993E-3</v>
      </c>
      <c r="P3711">
        <v>-0.97929790000000005</v>
      </c>
      <c r="Q3711">
        <v>0.1963105</v>
      </c>
      <c r="R3711">
        <v>4.937983E-2</v>
      </c>
      <c r="S3711">
        <v>-3.2538149999999999</v>
      </c>
      <c r="T3711">
        <v>-1.0513650000000001</v>
      </c>
      <c r="U3711">
        <v>0.30541990000000002</v>
      </c>
      <c r="V3711">
        <v>5.8739779999999998E-2</v>
      </c>
      <c r="W3711">
        <v>0.20958540000000001</v>
      </c>
      <c r="X3711">
        <v>0.97602440000000001</v>
      </c>
      <c r="Y3711">
        <v>9.7152939999999993E-2</v>
      </c>
      <c r="Z3711">
        <v>1.8757090000000001E-2</v>
      </c>
      <c r="AA3711">
        <v>0.99509270000000005</v>
      </c>
      <c r="AB3711">
        <v>35</v>
      </c>
      <c r="AC3711">
        <v>-0.47810000000003999</v>
      </c>
      <c r="AD3711">
        <v>-0.256808699999999</v>
      </c>
      <c r="AE3711">
        <v>7.7400000000011404E-2</v>
      </c>
      <c r="AF3711">
        <v>6.3881356025524902E-2</v>
      </c>
      <c r="AG3711">
        <v>-0.256808699999999</v>
      </c>
      <c r="AH3711">
        <v>0.37260094387811399</v>
      </c>
      <c r="AI3711">
        <v>124.189084956526</v>
      </c>
      <c r="AJ3711">
        <v>80.271389442345495</v>
      </c>
      <c r="AK3711">
        <v>0.45701531639783299</v>
      </c>
      <c r="AL3711">
        <v>77.901943451096997</v>
      </c>
      <c r="AM3711">
        <v>86.555939576030795</v>
      </c>
      <c r="AN3711">
        <v>1.0000000155214801</v>
      </c>
    </row>
    <row r="3712" spans="1:40" x14ac:dyDescent="0.25">
      <c r="A3712" t="str">
        <f>"20190303162625871"</f>
        <v>20190303162625871</v>
      </c>
      <c r="B3712" t="str">
        <f>"1551601585867002"</f>
        <v>1551601585867002</v>
      </c>
      <c r="C3712" t="s">
        <v>40</v>
      </c>
      <c r="D3712">
        <v>4.7931780000000002</v>
      </c>
      <c r="E3712">
        <v>0.52155119999999999</v>
      </c>
      <c r="F3712" t="s">
        <v>42</v>
      </c>
      <c r="G3712">
        <v>-340.87939999999998</v>
      </c>
      <c r="H3712">
        <v>0.86835669999999898</v>
      </c>
      <c r="I3712">
        <v>141.25540000000001</v>
      </c>
      <c r="J3712">
        <v>-340.43979999999999</v>
      </c>
      <c r="K3712">
        <v>1.1206830000000001</v>
      </c>
      <c r="L3712">
        <v>141.17859999999999</v>
      </c>
      <c r="M3712">
        <v>-0.99986799999999998</v>
      </c>
      <c r="N3712">
        <v>-1.3654619999999999E-2</v>
      </c>
      <c r="O3712">
        <v>-8.8169249999999998E-3</v>
      </c>
      <c r="P3712">
        <v>-0.97873840000000001</v>
      </c>
      <c r="Q3712">
        <v>0.19915540000000001</v>
      </c>
      <c r="R3712">
        <v>4.9073609999999997E-2</v>
      </c>
      <c r="S3712">
        <v>-3.255585</v>
      </c>
      <c r="T3712">
        <v>-1.0347630000000001</v>
      </c>
      <c r="U3712">
        <v>0.30273440000000001</v>
      </c>
      <c r="V3712">
        <v>5.7953449999999997E-2</v>
      </c>
      <c r="W3712">
        <v>0.21242630000000001</v>
      </c>
      <c r="X3712">
        <v>0.97545709999999997</v>
      </c>
      <c r="Y3712">
        <v>9.6061190000000005E-2</v>
      </c>
      <c r="Z3712">
        <v>1.8155089999999999E-2</v>
      </c>
      <c r="AA3712">
        <v>0.99520989999999998</v>
      </c>
      <c r="AB3712">
        <v>35</v>
      </c>
      <c r="AC3712">
        <v>-0.439599999999984</v>
      </c>
      <c r="AD3712">
        <v>-0.2523263</v>
      </c>
      <c r="AE3712">
        <v>7.6800000000019894E-2</v>
      </c>
      <c r="AF3712">
        <v>6.1129687076434402E-2</v>
      </c>
      <c r="AG3712">
        <v>-0.2523263</v>
      </c>
      <c r="AH3712">
        <v>0.33257806511024302</v>
      </c>
      <c r="AI3712">
        <v>126.730215861441</v>
      </c>
      <c r="AJ3712">
        <v>79.584969351180703</v>
      </c>
      <c r="AK3712">
        <v>0.42191654353227998</v>
      </c>
      <c r="AL3712">
        <v>77.735422919365107</v>
      </c>
      <c r="AM3712">
        <v>86.599963718723302</v>
      </c>
      <c r="AN3712">
        <v>1.0000000446195001</v>
      </c>
    </row>
    <row r="3713" spans="1:40" x14ac:dyDescent="0.25">
      <c r="A3713" t="str">
        <f>"20190303162625894"</f>
        <v>20190303162625894</v>
      </c>
      <c r="B3713" t="str">
        <f>"1551601585887498"</f>
        <v>1551601585887498</v>
      </c>
      <c r="C3713" t="s">
        <v>40</v>
      </c>
      <c r="D3713">
        <v>4.7713199999999896</v>
      </c>
      <c r="E3713">
        <v>0.52179940000000002</v>
      </c>
      <c r="F3713" t="s">
        <v>42</v>
      </c>
      <c r="G3713">
        <v>-341.19810000000001</v>
      </c>
      <c r="H3713">
        <v>0.8809266</v>
      </c>
      <c r="I3713">
        <v>141.2492</v>
      </c>
      <c r="J3713">
        <v>-340.80079999999998</v>
      </c>
      <c r="K3713">
        <v>1.1207039999999999</v>
      </c>
      <c r="L3713">
        <v>141.17590000000001</v>
      </c>
      <c r="M3713">
        <v>-0.99987210000000004</v>
      </c>
      <c r="N3713">
        <v>-1.365358E-2</v>
      </c>
      <c r="O3713">
        <v>-8.3466789999999992E-3</v>
      </c>
      <c r="P3713">
        <v>-0.97844850000000005</v>
      </c>
      <c r="Q3713">
        <v>0.2006057</v>
      </c>
      <c r="R3713">
        <v>4.8956399999999997E-2</v>
      </c>
      <c r="S3713">
        <v>-3.259735</v>
      </c>
      <c r="T3713">
        <v>-1.0307299999999999</v>
      </c>
      <c r="U3713">
        <v>0.3027649</v>
      </c>
      <c r="V3713">
        <v>5.7366939999999998E-2</v>
      </c>
      <c r="W3713">
        <v>0.2138748</v>
      </c>
      <c r="X3713">
        <v>0.97517520000000002</v>
      </c>
      <c r="Y3713">
        <v>9.5583319999999999E-2</v>
      </c>
      <c r="Z3713">
        <v>1.7852679999999999E-2</v>
      </c>
      <c r="AA3713">
        <v>0.99526130000000002</v>
      </c>
      <c r="AB3713">
        <v>35</v>
      </c>
      <c r="AC3713">
        <v>-0.39730000000002902</v>
      </c>
      <c r="AD3713">
        <v>-0.2397774</v>
      </c>
      <c r="AE3713">
        <v>7.3299999999988999E-2</v>
      </c>
      <c r="AF3713">
        <v>5.6656886372390199E-2</v>
      </c>
      <c r="AG3713">
        <v>-0.2397774</v>
      </c>
      <c r="AH3713">
        <v>0.29334537148450202</v>
      </c>
      <c r="AI3713">
        <v>128.74904521284199</v>
      </c>
      <c r="AJ3713">
        <v>79.068462661037898</v>
      </c>
      <c r="AK3713">
        <v>0.38308577537616101</v>
      </c>
      <c r="AL3713">
        <v>77.650477745154106</v>
      </c>
      <c r="AM3713">
        <v>86.633323108474798</v>
      </c>
      <c r="AN3713">
        <v>1.0000000332875201</v>
      </c>
    </row>
    <row r="3714" spans="1:40" x14ac:dyDescent="0.25">
      <c r="A3714" t="str">
        <f>"20190303162625915"</f>
        <v>20190303162625915</v>
      </c>
      <c r="B3714" t="str">
        <f>"1551601585907018"</f>
        <v>1551601585907018</v>
      </c>
      <c r="C3714" t="s">
        <v>40</v>
      </c>
      <c r="D3714">
        <v>4.8723769999999904</v>
      </c>
      <c r="E3714">
        <v>0.52210590000000001</v>
      </c>
      <c r="F3714" t="s">
        <v>42</v>
      </c>
      <c r="G3714">
        <v>-341.5172</v>
      </c>
      <c r="H3714">
        <v>0.89534879999999994</v>
      </c>
      <c r="I3714">
        <v>141.24299999999999</v>
      </c>
      <c r="J3714">
        <v>-341.1379</v>
      </c>
      <c r="K3714">
        <v>1.1207199999999999</v>
      </c>
      <c r="L3714">
        <v>141.17349999999999</v>
      </c>
      <c r="M3714">
        <v>-0.99987550000000003</v>
      </c>
      <c r="N3714">
        <v>-1.3652040000000001E-2</v>
      </c>
      <c r="O3714">
        <v>-7.9219249999999998E-3</v>
      </c>
      <c r="P3714">
        <v>-0.97835559999999999</v>
      </c>
      <c r="Q3714">
        <v>0.2009235</v>
      </c>
      <c r="R3714">
        <v>4.949862E-2</v>
      </c>
      <c r="S3714">
        <v>-3.2612299999999999</v>
      </c>
      <c r="T3714">
        <v>-1.025914</v>
      </c>
      <c r="U3714">
        <v>0.30415340000000002</v>
      </c>
      <c r="V3714">
        <v>5.7485630000000003E-2</v>
      </c>
      <c r="W3714">
        <v>0.21419189999999999</v>
      </c>
      <c r="X3714">
        <v>0.97509860000000004</v>
      </c>
      <c r="Y3714">
        <v>9.5607709999999999E-2</v>
      </c>
      <c r="Z3714">
        <v>1.764688E-2</v>
      </c>
      <c r="AA3714">
        <v>0.99526269999999994</v>
      </c>
      <c r="AB3714">
        <v>35</v>
      </c>
      <c r="AC3714">
        <v>-0.37930000000000003</v>
      </c>
      <c r="AD3714">
        <v>-0.22537119999999999</v>
      </c>
      <c r="AE3714">
        <v>6.9500000000005002E-2</v>
      </c>
      <c r="AF3714">
        <v>5.4042999681830302E-2</v>
      </c>
      <c r="AG3714">
        <v>-0.22537119999999999</v>
      </c>
      <c r="AH3714">
        <v>0.28230751207375199</v>
      </c>
      <c r="AI3714">
        <v>128.099299905842</v>
      </c>
      <c r="AJ3714">
        <v>79.162804605978295</v>
      </c>
      <c r="AK3714">
        <v>0.36525382267311302</v>
      </c>
      <c r="AL3714">
        <v>77.631878115123499</v>
      </c>
      <c r="AM3714">
        <v>86.626109247845804</v>
      </c>
      <c r="AN3714">
        <v>1.0000000237020299</v>
      </c>
    </row>
    <row r="3715" spans="1:40" x14ac:dyDescent="0.25">
      <c r="A3715" t="str">
        <f>"20190303162625938"</f>
        <v>20190303162625938</v>
      </c>
      <c r="B3715" t="str">
        <f>"1551601585927514"</f>
        <v>1551601585927514</v>
      </c>
      <c r="C3715" t="s">
        <v>40</v>
      </c>
      <c r="D3715">
        <v>4.8654000000000002</v>
      </c>
      <c r="E3715">
        <v>0.52269520000000003</v>
      </c>
      <c r="F3715" t="s">
        <v>42</v>
      </c>
      <c r="G3715">
        <v>-341.83350000000002</v>
      </c>
      <c r="H3715">
        <v>0.90270470000000003</v>
      </c>
      <c r="I3715">
        <v>141.2397</v>
      </c>
      <c r="J3715">
        <v>-341.48329999999999</v>
      </c>
      <c r="K3715">
        <v>1.1207290000000001</v>
      </c>
      <c r="L3715">
        <v>141.1712</v>
      </c>
      <c r="M3715">
        <v>-0.99987879999999996</v>
      </c>
      <c r="N3715">
        <v>-1.3649939999999999E-2</v>
      </c>
      <c r="O3715">
        <v>-7.4964200000000002E-3</v>
      </c>
      <c r="P3715">
        <v>-0.97846869999999997</v>
      </c>
      <c r="Q3715">
        <v>0.20018040000000001</v>
      </c>
      <c r="R3715">
        <v>5.027094E-2</v>
      </c>
      <c r="S3715">
        <v>-3.2606199999999999</v>
      </c>
      <c r="T3715">
        <v>-1.0218860000000001</v>
      </c>
      <c r="U3715">
        <v>0.30891420000000003</v>
      </c>
      <c r="V3715">
        <v>5.7835659999999997E-2</v>
      </c>
      <c r="W3715">
        <v>0.21345040000000001</v>
      </c>
      <c r="X3715">
        <v>0.97524049999999995</v>
      </c>
      <c r="Y3715">
        <v>9.664652E-2</v>
      </c>
      <c r="Z3715">
        <v>1.762625E-2</v>
      </c>
      <c r="AA3715">
        <v>0.99516269999999996</v>
      </c>
      <c r="AB3715">
        <v>35</v>
      </c>
      <c r="AC3715">
        <v>-0.35020000000002899</v>
      </c>
      <c r="AD3715">
        <v>-0.2180243</v>
      </c>
      <c r="AE3715">
        <v>6.85000000000002E-2</v>
      </c>
      <c r="AF3715">
        <v>5.1789831226292403E-2</v>
      </c>
      <c r="AG3715">
        <v>-0.2180243</v>
      </c>
      <c r="AH3715">
        <v>0.25462295411150299</v>
      </c>
      <c r="AI3715">
        <v>129.99942319066599</v>
      </c>
      <c r="AJ3715">
        <v>78.502980670228894</v>
      </c>
      <c r="AK3715">
        <v>0.33918966783999499</v>
      </c>
      <c r="AL3715">
        <v>77.675368890660394</v>
      </c>
      <c r="AM3715">
        <v>86.606106254738606</v>
      </c>
      <c r="AN3715">
        <v>1.0000000348340199</v>
      </c>
    </row>
    <row r="3716" spans="1:40" x14ac:dyDescent="0.25">
      <c r="A3716" t="str">
        <f>"20190303162625962"</f>
        <v>20190303162625962</v>
      </c>
      <c r="B3716" t="str">
        <f>"1551601585957769"</f>
        <v>1551601585957769</v>
      </c>
      <c r="C3716" t="s">
        <v>40</v>
      </c>
      <c r="D3716">
        <v>4.858517</v>
      </c>
      <c r="E3716">
        <v>0.52367640000000004</v>
      </c>
      <c r="F3716" t="s">
        <v>42</v>
      </c>
      <c r="G3716">
        <v>-342.1497</v>
      </c>
      <c r="H3716">
        <v>0.91028679999999995</v>
      </c>
      <c r="I3716">
        <v>141.2364</v>
      </c>
      <c r="J3716">
        <v>-341.84739999999999</v>
      </c>
      <c r="K3716">
        <v>1.1207419999999999</v>
      </c>
      <c r="L3716">
        <v>141.16899999999899</v>
      </c>
      <c r="M3716">
        <v>-0.99988200000000005</v>
      </c>
      <c r="N3716">
        <v>-1.364748E-2</v>
      </c>
      <c r="O3716">
        <v>-7.0570379999999999E-3</v>
      </c>
      <c r="P3716">
        <v>-0.97850539999999997</v>
      </c>
      <c r="Q3716">
        <v>0.19983409999999999</v>
      </c>
      <c r="R3716">
        <v>5.0929160000000001E-2</v>
      </c>
      <c r="S3716">
        <v>-3.260345</v>
      </c>
      <c r="T3716">
        <v>-1.0294430000000001</v>
      </c>
      <c r="U3716">
        <v>0.31726070000000001</v>
      </c>
      <c r="V3716">
        <v>5.8059220000000002E-2</v>
      </c>
      <c r="W3716">
        <v>0.2131033</v>
      </c>
      <c r="X3716">
        <v>0.97530309999999998</v>
      </c>
      <c r="Y3716">
        <v>9.8590250000000004E-2</v>
      </c>
      <c r="Z3716">
        <v>1.7929420000000001E-2</v>
      </c>
      <c r="AA3716">
        <v>0.99496660000000003</v>
      </c>
      <c r="AB3716">
        <v>35</v>
      </c>
      <c r="AC3716">
        <v>-0.30230000000000201</v>
      </c>
      <c r="AD3716">
        <v>-0.21045519999999901</v>
      </c>
      <c r="AE3716">
        <v>6.7400000000020499E-2</v>
      </c>
      <c r="AF3716">
        <v>4.7568696114709097E-2</v>
      </c>
      <c r="AG3716">
        <v>-0.21045519999999901</v>
      </c>
      <c r="AH3716">
        <v>0.206481320534839</v>
      </c>
      <c r="AI3716">
        <v>134.80537203369099</v>
      </c>
      <c r="AJ3716">
        <v>77.026682680527799</v>
      </c>
      <c r="AK3716">
        <v>0.29864478530003602</v>
      </c>
      <c r="AL3716">
        <v>77.695724332785701</v>
      </c>
      <c r="AM3716">
        <v>86.593236383971302</v>
      </c>
      <c r="AN3716">
        <v>1.0000000131837501</v>
      </c>
    </row>
    <row r="3717" spans="1:40" x14ac:dyDescent="0.25">
      <c r="A3717" t="str">
        <f>"20190303162625986"</f>
        <v>20190303162625986</v>
      </c>
      <c r="B3717" t="str">
        <f>"1551601585977289"</f>
        <v>1551601585977289</v>
      </c>
      <c r="C3717" t="s">
        <v>40</v>
      </c>
      <c r="D3717">
        <v>4.8705939999999996</v>
      </c>
      <c r="E3717">
        <v>0.52413489999999996</v>
      </c>
      <c r="F3717" t="s">
        <v>42</v>
      </c>
      <c r="G3717">
        <v>-342.74450000000002</v>
      </c>
      <c r="H3717">
        <v>0.83449039999999997</v>
      </c>
      <c r="I3717">
        <v>141.25960000000001</v>
      </c>
      <c r="J3717">
        <v>-342.22340000000003</v>
      </c>
      <c r="K3717">
        <v>1.120754</v>
      </c>
      <c r="L3717">
        <v>141.16679999999999</v>
      </c>
      <c r="M3717">
        <v>-0.99988520000000003</v>
      </c>
      <c r="N3717">
        <v>-1.364482E-2</v>
      </c>
      <c r="O3717">
        <v>-6.6067699999999997E-3</v>
      </c>
      <c r="P3717">
        <v>-0.97853349999999995</v>
      </c>
      <c r="Q3717">
        <v>0.1995894</v>
      </c>
      <c r="R3717">
        <v>5.134478E-2</v>
      </c>
      <c r="S3717">
        <v>-3.2612920000000001</v>
      </c>
      <c r="T3717">
        <v>-1.0405180000000001</v>
      </c>
      <c r="U3717">
        <v>0.32852170000000003</v>
      </c>
      <c r="V3717">
        <v>5.8030760000000001E-2</v>
      </c>
      <c r="W3717">
        <v>0.2128573</v>
      </c>
      <c r="X3717">
        <v>0.97535850000000002</v>
      </c>
      <c r="Y3717">
        <v>0.1012931</v>
      </c>
      <c r="Z3717">
        <v>1.8404759999999999E-2</v>
      </c>
      <c r="AA3717">
        <v>0.99468639999999997</v>
      </c>
      <c r="AB3717">
        <v>35</v>
      </c>
      <c r="AC3717">
        <v>-0.52109999999998902</v>
      </c>
      <c r="AD3717">
        <v>-0.28626359999999901</v>
      </c>
      <c r="AE3717">
        <v>9.2800000000011096E-2</v>
      </c>
      <c r="AF3717">
        <v>7.4460998030642295E-2</v>
      </c>
      <c r="AG3717">
        <v>-0.28626359999999901</v>
      </c>
      <c r="AH3717">
        <v>0.40268792990242303</v>
      </c>
      <c r="AI3717">
        <v>124.954776436465</v>
      </c>
      <c r="AJ3717">
        <v>79.523771637977504</v>
      </c>
      <c r="AK3717">
        <v>0.49964873441426599</v>
      </c>
      <c r="AL3717">
        <v>77.710149924284593</v>
      </c>
      <c r="AM3717">
        <v>86.595095365464701</v>
      </c>
      <c r="AN3717">
        <v>1.0000000013958501</v>
      </c>
    </row>
    <row r="3718" spans="1:40" x14ac:dyDescent="0.25">
      <c r="A3718" t="str">
        <f>"20190303162626009"</f>
        <v>20190303162626009</v>
      </c>
      <c r="B3718" t="str">
        <f>"1551601585997786"</f>
        <v>1551601585997786</v>
      </c>
      <c r="C3718" t="s">
        <v>40</v>
      </c>
      <c r="D3718">
        <v>4.8917169999999999</v>
      </c>
      <c r="E3718">
        <v>0.52453660000000002</v>
      </c>
      <c r="F3718" t="s">
        <v>42</v>
      </c>
      <c r="G3718">
        <v>-343.06349999999998</v>
      </c>
      <c r="H3718">
        <v>0.85114859999999903</v>
      </c>
      <c r="I3718">
        <v>141.2527</v>
      </c>
      <c r="J3718">
        <v>-342.58409999999998</v>
      </c>
      <c r="K3718">
        <v>1.12076</v>
      </c>
      <c r="L3718">
        <v>141.16489999999999</v>
      </c>
      <c r="M3718">
        <v>-0.99988790000000005</v>
      </c>
      <c r="N3718">
        <v>-1.36422E-2</v>
      </c>
      <c r="O3718">
        <v>-6.1766169999999997E-3</v>
      </c>
      <c r="P3718">
        <v>-0.97862199999999999</v>
      </c>
      <c r="Q3718">
        <v>0.19907169999999999</v>
      </c>
      <c r="R3718">
        <v>5.1667959999999999E-2</v>
      </c>
      <c r="S3718">
        <v>-3.2618100000000001</v>
      </c>
      <c r="T3718">
        <v>-1.0468519999999999</v>
      </c>
      <c r="U3718">
        <v>0.33316040000000002</v>
      </c>
      <c r="V3718">
        <v>5.7930769999999999E-2</v>
      </c>
      <c r="W3718">
        <v>0.21233959999999999</v>
      </c>
      <c r="X3718">
        <v>0.97547729999999999</v>
      </c>
      <c r="Y3718">
        <v>0.10216219999999999</v>
      </c>
      <c r="Z3718">
        <v>1.8517309999999999E-2</v>
      </c>
      <c r="AA3718">
        <v>0.99459540000000002</v>
      </c>
      <c r="AB3718">
        <v>35</v>
      </c>
      <c r="AC3718">
        <v>-0.47939999999999799</v>
      </c>
      <c r="AD3718">
        <v>-0.2696114</v>
      </c>
      <c r="AE3718">
        <v>8.7800000000015602E-2</v>
      </c>
      <c r="AF3718">
        <v>6.9493234662237197E-2</v>
      </c>
      <c r="AG3718">
        <v>-0.2696114</v>
      </c>
      <c r="AH3718">
        <v>0.36664666932380502</v>
      </c>
      <c r="AI3718">
        <v>125.84739881230701</v>
      </c>
      <c r="AJ3718">
        <v>79.2676198969491</v>
      </c>
      <c r="AK3718">
        <v>0.46037962248564002</v>
      </c>
      <c r="AL3718">
        <v>77.740506145975402</v>
      </c>
      <c r="AM3718">
        <v>86.601361413182403</v>
      </c>
      <c r="AN3718">
        <v>1.0000000213281199</v>
      </c>
    </row>
    <row r="3719" spans="1:40" x14ac:dyDescent="0.25">
      <c r="A3719" t="str">
        <f>"20190303162626027"</f>
        <v>20190303162626027</v>
      </c>
      <c r="B3719" t="str">
        <f>"1551601586017306"</f>
        <v>1551601586017306</v>
      </c>
      <c r="C3719" t="s">
        <v>40</v>
      </c>
      <c r="D3719">
        <v>4.8707929999999999</v>
      </c>
      <c r="E3719">
        <v>0.52491259999999995</v>
      </c>
      <c r="F3719" t="s">
        <v>42</v>
      </c>
      <c r="G3719">
        <v>-343.38060000000002</v>
      </c>
      <c r="H3719">
        <v>0.86354140000000001</v>
      </c>
      <c r="I3719">
        <v>141.24709999999999</v>
      </c>
      <c r="J3719">
        <v>-342.88099999999997</v>
      </c>
      <c r="K3719">
        <v>1.120757</v>
      </c>
      <c r="L3719">
        <v>141.1634</v>
      </c>
      <c r="M3719">
        <v>-0.9998901</v>
      </c>
      <c r="N3719">
        <v>-1.3639979999999999E-2</v>
      </c>
      <c r="O3719">
        <v>-5.8226129999999999E-3</v>
      </c>
      <c r="P3719">
        <v>-0.97874269999999997</v>
      </c>
      <c r="Q3719">
        <v>0.1984369</v>
      </c>
      <c r="R3719">
        <v>5.1824469999999997E-2</v>
      </c>
      <c r="S3719">
        <v>-3.262146</v>
      </c>
      <c r="T3719">
        <v>-1.053423</v>
      </c>
      <c r="U3719">
        <v>0.33549499999999999</v>
      </c>
      <c r="V3719">
        <v>5.7739619999999998E-2</v>
      </c>
      <c r="W3719">
        <v>0.211705</v>
      </c>
      <c r="X3719">
        <v>0.97562649999999995</v>
      </c>
      <c r="Y3719">
        <v>0.10244010000000001</v>
      </c>
      <c r="Z3719">
        <v>1.8561049999999999E-2</v>
      </c>
      <c r="AA3719">
        <v>0.99456599999999995</v>
      </c>
      <c r="AB3719">
        <v>35</v>
      </c>
      <c r="AC3719">
        <v>-0.49960000000004301</v>
      </c>
      <c r="AD3719">
        <v>-0.25721559999999999</v>
      </c>
      <c r="AE3719">
        <v>8.3699999999993197E-2</v>
      </c>
      <c r="AF3719">
        <v>6.8855130791776395E-2</v>
      </c>
      <c r="AG3719">
        <v>-0.25721559999999999</v>
      </c>
      <c r="AH3719">
        <v>0.39679877377138301</v>
      </c>
      <c r="AI3719">
        <v>122.565650158342</v>
      </c>
      <c r="AJ3719">
        <v>80.155687594929006</v>
      </c>
      <c r="AK3719">
        <v>0.47785998031451199</v>
      </c>
      <c r="AL3719">
        <v>77.777711279476605</v>
      </c>
      <c r="AM3719">
        <v>86.613066327427404</v>
      </c>
      <c r="AN3719">
        <v>0.999999969122496</v>
      </c>
    </row>
    <row r="3720" spans="1:40" x14ac:dyDescent="0.25">
      <c r="A3720" t="str">
        <f>"20190303162626050"</f>
        <v>20190303162626050</v>
      </c>
      <c r="B3720" t="str">
        <f>"1551601586047433"</f>
        <v>1551601586047433</v>
      </c>
      <c r="C3720" t="s">
        <v>40</v>
      </c>
      <c r="D3720">
        <v>4.948277</v>
      </c>
      <c r="E3720">
        <v>0.52535330000000002</v>
      </c>
      <c r="F3720" t="s">
        <v>42</v>
      </c>
      <c r="G3720">
        <v>-343.69029999999998</v>
      </c>
      <c r="H3720">
        <v>0.85806130000000003</v>
      </c>
      <c r="I3720">
        <v>141.2475</v>
      </c>
      <c r="J3720">
        <v>-343.23149999999998</v>
      </c>
      <c r="K3720">
        <v>1.1207609999999999</v>
      </c>
      <c r="L3720">
        <v>141.1618</v>
      </c>
      <c r="M3720">
        <v>-0.99989249999999996</v>
      </c>
      <c r="N3720">
        <v>-1.363733E-2</v>
      </c>
      <c r="O3720">
        <v>-5.4038769999999996E-3</v>
      </c>
      <c r="P3720">
        <v>-0.97890109999999997</v>
      </c>
      <c r="Q3720">
        <v>0.19753960000000001</v>
      </c>
      <c r="R3720">
        <v>5.2259800000000002E-2</v>
      </c>
      <c r="S3720">
        <v>-3.2619319999999998</v>
      </c>
      <c r="T3720">
        <v>-1.0587409999999999</v>
      </c>
      <c r="U3720">
        <v>0.33781430000000001</v>
      </c>
      <c r="V3720">
        <v>5.7763630000000003E-2</v>
      </c>
      <c r="W3720">
        <v>0.2108082</v>
      </c>
      <c r="X3720">
        <v>0.97581929999999995</v>
      </c>
      <c r="Y3720">
        <v>0.1026818</v>
      </c>
      <c r="Z3720">
        <v>1.856095E-2</v>
      </c>
      <c r="AA3720">
        <v>0.99454100000000001</v>
      </c>
      <c r="AB3720">
        <v>35</v>
      </c>
      <c r="AC3720">
        <v>-0.45879999999999599</v>
      </c>
      <c r="AD3720">
        <v>-0.26269969999999998</v>
      </c>
      <c r="AE3720">
        <v>8.5700000000002705E-2</v>
      </c>
      <c r="AF3720">
        <v>6.69643405929677E-2</v>
      </c>
      <c r="AG3720">
        <v>-0.26269969999999998</v>
      </c>
      <c r="AH3720">
        <v>0.34806504218047701</v>
      </c>
      <c r="AI3720">
        <v>126.54404014332199</v>
      </c>
      <c r="AJ3720">
        <v>79.109908310384</v>
      </c>
      <c r="AK3720">
        <v>0.44118548126523599</v>
      </c>
      <c r="AL3720">
        <v>77.830281225298705</v>
      </c>
      <c r="AM3720">
        <v>86.612329112086698</v>
      </c>
      <c r="AN3720">
        <v>1.0000000201952499</v>
      </c>
    </row>
    <row r="3721" spans="1:40" x14ac:dyDescent="0.25">
      <c r="A3721" t="str">
        <f>"20190303162626073"</f>
        <v>20190303162626073</v>
      </c>
      <c r="B3721" t="str">
        <f>"1551601586066954"</f>
        <v>1551601586066954</v>
      </c>
      <c r="C3721" t="s">
        <v>40</v>
      </c>
      <c r="D3721">
        <v>4.9710219999999996</v>
      </c>
      <c r="E3721">
        <v>0.52544429999999998</v>
      </c>
      <c r="F3721" t="s">
        <v>42</v>
      </c>
      <c r="G3721">
        <v>-344.00599999999997</v>
      </c>
      <c r="H3721">
        <v>0.86792279999999999</v>
      </c>
      <c r="I3721">
        <v>141.24359999999999</v>
      </c>
      <c r="J3721">
        <v>-343.59219999999999</v>
      </c>
      <c r="K3721">
        <v>1.120763</v>
      </c>
      <c r="L3721">
        <v>141.16030000000001</v>
      </c>
      <c r="M3721">
        <v>-0.99989470000000003</v>
      </c>
      <c r="N3721">
        <v>-1.363149E-2</v>
      </c>
      <c r="O3721">
        <v>-4.9714059999999899E-3</v>
      </c>
      <c r="P3721">
        <v>-0.97893859999999999</v>
      </c>
      <c r="Q3721">
        <v>0.19709109999999999</v>
      </c>
      <c r="R3721">
        <v>5.3239540000000002E-2</v>
      </c>
      <c r="S3721">
        <v>-3.2612000000000001</v>
      </c>
      <c r="T3721">
        <v>-1.06467</v>
      </c>
      <c r="U3721">
        <v>0.34259030000000001</v>
      </c>
      <c r="V3721">
        <v>5.831857E-2</v>
      </c>
      <c r="W3721">
        <v>0.21035470000000001</v>
      </c>
      <c r="X3721">
        <v>0.97588410000000003</v>
      </c>
      <c r="Y3721">
        <v>0.1036226</v>
      </c>
      <c r="Z3721">
        <v>1.868326E-2</v>
      </c>
      <c r="AA3721">
        <v>0.99444120000000003</v>
      </c>
      <c r="AB3721">
        <v>35</v>
      </c>
      <c r="AC3721">
        <v>-0.41379999999998002</v>
      </c>
      <c r="AD3721">
        <v>-0.25284019999999902</v>
      </c>
      <c r="AE3721">
        <v>8.3299999999979904E-2</v>
      </c>
      <c r="AF3721">
        <v>6.2817171731823898E-2</v>
      </c>
      <c r="AG3721">
        <v>-0.25284019999999902</v>
      </c>
      <c r="AH3721">
        <v>0.304223581389924</v>
      </c>
      <c r="AI3721">
        <v>129.14317354424199</v>
      </c>
      <c r="AJ3721">
        <v>78.333323383235694</v>
      </c>
      <c r="AK3721">
        <v>0.400532334867158</v>
      </c>
      <c r="AL3721">
        <v>77.856860206877101</v>
      </c>
      <c r="AM3721">
        <v>86.580086928948404</v>
      </c>
      <c r="AN3721">
        <v>0.99999996602587105</v>
      </c>
    </row>
    <row r="3722" spans="1:40" x14ac:dyDescent="0.25">
      <c r="A3722" t="str">
        <f>"20190303162626095"</f>
        <v>20190303162626095</v>
      </c>
      <c r="B3722" t="str">
        <f>"1551601586087450"</f>
        <v>1551601586087450</v>
      </c>
      <c r="C3722" t="s">
        <v>40</v>
      </c>
      <c r="D3722">
        <v>4.9856600000000002</v>
      </c>
      <c r="E3722">
        <v>0.52549029999999997</v>
      </c>
      <c r="F3722" t="s">
        <v>42</v>
      </c>
      <c r="G3722">
        <v>-344.3229</v>
      </c>
      <c r="H3722">
        <v>0.88145390000000001</v>
      </c>
      <c r="I3722">
        <v>141.23849999999999</v>
      </c>
      <c r="J3722">
        <v>-343.93650000000002</v>
      </c>
      <c r="K3722">
        <v>1.120765</v>
      </c>
      <c r="L3722">
        <v>141.1591</v>
      </c>
      <c r="M3722">
        <v>-0.99989680000000003</v>
      </c>
      <c r="N3722">
        <v>-1.3621400000000001E-2</v>
      </c>
      <c r="O3722">
        <v>-4.5582039999999997E-3</v>
      </c>
      <c r="P3722">
        <v>-0.97891150000000005</v>
      </c>
      <c r="Q3722">
        <v>0.19706270000000001</v>
      </c>
      <c r="R3722">
        <v>5.383947E-2</v>
      </c>
      <c r="S3722">
        <v>-3.2606510000000002</v>
      </c>
      <c r="T3722">
        <v>-1.067787</v>
      </c>
      <c r="U3722">
        <v>0.34748839999999998</v>
      </c>
      <c r="V3722">
        <v>5.8513240000000001E-2</v>
      </c>
      <c r="W3722">
        <v>0.21031639999999999</v>
      </c>
      <c r="X3722">
        <v>0.97588070000000005</v>
      </c>
      <c r="Y3722">
        <v>0.1046381</v>
      </c>
      <c r="Z3722">
        <v>1.8777350000000002E-2</v>
      </c>
      <c r="AA3722">
        <v>0.99433309999999997</v>
      </c>
      <c r="AB3722">
        <v>35</v>
      </c>
      <c r="AC3722">
        <v>-0.38639999999997998</v>
      </c>
      <c r="AD3722">
        <v>-0.2393111</v>
      </c>
      <c r="AE3722">
        <v>7.9399999999992504E-2</v>
      </c>
      <c r="AF3722">
        <v>5.9326391697787403E-2</v>
      </c>
      <c r="AG3722">
        <v>-0.2393111</v>
      </c>
      <c r="AH3722">
        <v>0.28218123125095301</v>
      </c>
      <c r="AI3722">
        <v>129.690365988932</v>
      </c>
      <c r="AJ3722">
        <v>78.126932787887</v>
      </c>
      <c r="AK3722">
        <v>0.374720790196372</v>
      </c>
      <c r="AL3722">
        <v>77.859104824655205</v>
      </c>
      <c r="AM3722">
        <v>86.568686410231294</v>
      </c>
      <c r="AN3722">
        <v>0.99999996399837299</v>
      </c>
    </row>
    <row r="3723" spans="1:40" x14ac:dyDescent="0.25">
      <c r="A3723" t="str">
        <f>"20190303162626116"</f>
        <v>20190303162626116</v>
      </c>
      <c r="B3723" t="str">
        <f>"1551601586106970"</f>
        <v>1551601586106970</v>
      </c>
      <c r="C3723" t="s">
        <v>40</v>
      </c>
      <c r="D3723">
        <v>5.0808109999999997</v>
      </c>
      <c r="E3723">
        <v>0.52544919999999995</v>
      </c>
      <c r="F3723" t="s">
        <v>42</v>
      </c>
      <c r="G3723">
        <v>-344.63780000000003</v>
      </c>
      <c r="H3723">
        <v>0.89033779999999996</v>
      </c>
      <c r="I3723">
        <v>141.23490000000001</v>
      </c>
      <c r="J3723">
        <v>-344.27140000000003</v>
      </c>
      <c r="K3723">
        <v>1.120768</v>
      </c>
      <c r="L3723">
        <v>141.15790000000001</v>
      </c>
      <c r="M3723">
        <v>-0.99989890000000003</v>
      </c>
      <c r="N3723">
        <v>-1.360978E-2</v>
      </c>
      <c r="O3723">
        <v>-4.1567829999999998E-3</v>
      </c>
      <c r="P3723">
        <v>-0.97887849999999998</v>
      </c>
      <c r="Q3723">
        <v>0.1971444</v>
      </c>
      <c r="R3723">
        <v>5.4141950000000001E-2</v>
      </c>
      <c r="S3723">
        <v>-3.2610779999999999</v>
      </c>
      <c r="T3723">
        <v>-1.0714189999999999</v>
      </c>
      <c r="U3723">
        <v>0.35037230000000003</v>
      </c>
      <c r="V3723">
        <v>5.8422269999999998E-2</v>
      </c>
      <c r="W3723">
        <v>0.21038680000000001</v>
      </c>
      <c r="X3723">
        <v>0.97587100000000004</v>
      </c>
      <c r="Y3723">
        <v>0.1050553</v>
      </c>
      <c r="Z3723">
        <v>1.8779089999999998E-2</v>
      </c>
      <c r="AA3723">
        <v>0.99428899999999998</v>
      </c>
      <c r="AB3723">
        <v>35</v>
      </c>
      <c r="AC3723">
        <v>-0.36639999999999801</v>
      </c>
      <c r="AD3723">
        <v>-0.230430199999999</v>
      </c>
      <c r="AE3723">
        <v>7.6999999999998098E-2</v>
      </c>
      <c r="AF3723">
        <v>5.69502921385662E-2</v>
      </c>
      <c r="AG3723">
        <v>-0.230430199999999</v>
      </c>
      <c r="AH3723">
        <v>0.26550569991332201</v>
      </c>
      <c r="AI3723">
        <v>130.31759613122199</v>
      </c>
      <c r="AJ3723">
        <v>77.893645181122906</v>
      </c>
      <c r="AK3723">
        <v>0.35613858192165998</v>
      </c>
      <c r="AL3723">
        <v>77.8549791823215</v>
      </c>
      <c r="AM3723">
        <v>86.573974352978894</v>
      </c>
      <c r="AN3723">
        <v>0.99999998794359601</v>
      </c>
    </row>
    <row r="3724" spans="1:40" x14ac:dyDescent="0.25">
      <c r="A3724" t="str">
        <f>"20190303162626140"</f>
        <v>20190303162626140</v>
      </c>
      <c r="B3724" t="str">
        <f>"1551601586127373"</f>
        <v>1551601586127373</v>
      </c>
      <c r="C3724" t="s">
        <v>40</v>
      </c>
      <c r="D3724">
        <v>5.0475459999999996</v>
      </c>
      <c r="E3724">
        <v>0.52460549999999995</v>
      </c>
      <c r="F3724" t="s">
        <v>42</v>
      </c>
      <c r="G3724">
        <v>-344.95170000000002</v>
      </c>
      <c r="H3724">
        <v>0.89711240000000003</v>
      </c>
      <c r="I3724">
        <v>141.2313</v>
      </c>
      <c r="J3724">
        <v>-344.61680000000001</v>
      </c>
      <c r="K3724">
        <v>1.12077</v>
      </c>
      <c r="L3724">
        <v>141.15700000000001</v>
      </c>
      <c r="M3724">
        <v>-0.99990060000000003</v>
      </c>
      <c r="N3724">
        <v>-1.359337E-2</v>
      </c>
      <c r="O3724">
        <v>-3.7426930000000001E-3</v>
      </c>
      <c r="P3724">
        <v>-0.97875570000000001</v>
      </c>
      <c r="Q3724">
        <v>0.19785949999999999</v>
      </c>
      <c r="R3724">
        <v>5.3747839999999998E-2</v>
      </c>
      <c r="S3724">
        <v>-3.2612299999999999</v>
      </c>
      <c r="T3724">
        <v>-1.0722100000000001</v>
      </c>
      <c r="U3724">
        <v>0.35128779999999998</v>
      </c>
      <c r="V3724">
        <v>5.762287E-2</v>
      </c>
      <c r="W3724">
        <v>0.21108560000000001</v>
      </c>
      <c r="X3724">
        <v>0.97576759999999996</v>
      </c>
      <c r="Y3724">
        <v>0.1049339</v>
      </c>
      <c r="Z3724">
        <v>1.8642869999999999E-2</v>
      </c>
      <c r="AA3724">
        <v>0.99430439999999998</v>
      </c>
      <c r="AB3724">
        <v>35</v>
      </c>
      <c r="AC3724">
        <v>-0.33490000000000397</v>
      </c>
      <c r="AD3724">
        <v>-0.22365760000000001</v>
      </c>
      <c r="AE3724">
        <v>7.4299999999993802E-2</v>
      </c>
      <c r="AF3724">
        <v>5.3016706349151899E-2</v>
      </c>
      <c r="AG3724">
        <v>-0.22365760000000001</v>
      </c>
      <c r="AH3724">
        <v>0.23480762862683</v>
      </c>
      <c r="AI3724">
        <v>132.895934336002</v>
      </c>
      <c r="AJ3724">
        <v>77.2766591677306</v>
      </c>
      <c r="AK3724">
        <v>0.32858502043037102</v>
      </c>
      <c r="AL3724">
        <v>77.814020839325195</v>
      </c>
      <c r="AM3724">
        <v>86.620386484888897</v>
      </c>
      <c r="AN3724">
        <v>0.99999996744207698</v>
      </c>
    </row>
    <row r="3725" spans="1:40" x14ac:dyDescent="0.25">
      <c r="A3725" t="str">
        <f>"20190303162626163"</f>
        <v>20190303162626163</v>
      </c>
      <c r="B3725" t="str">
        <f>"1551601586157629"</f>
        <v>1551601586157629</v>
      </c>
      <c r="C3725" t="s">
        <v>40</v>
      </c>
      <c r="D3725">
        <v>5.1021210000000004</v>
      </c>
      <c r="E3725">
        <v>0.4833266</v>
      </c>
      <c r="F3725" t="s">
        <v>42</v>
      </c>
      <c r="G3725">
        <v>-345.54340000000002</v>
      </c>
      <c r="H3725">
        <v>0.82163410000000003</v>
      </c>
      <c r="I3725">
        <v>141.25479999999999</v>
      </c>
      <c r="J3725">
        <v>-344.98869999999999</v>
      </c>
      <c r="K3725">
        <v>1.1207659999999999</v>
      </c>
      <c r="L3725">
        <v>141.15600000000001</v>
      </c>
      <c r="M3725">
        <v>-0.99990270000000003</v>
      </c>
      <c r="N3725">
        <v>-1.356633E-2</v>
      </c>
      <c r="O3725">
        <v>-3.2964639999999998E-3</v>
      </c>
      <c r="P3725">
        <v>-0.97862859999999996</v>
      </c>
      <c r="Q3725">
        <v>0.19864200000000001</v>
      </c>
      <c r="R3725">
        <v>5.3173529999999997E-2</v>
      </c>
      <c r="S3725">
        <v>-3.2589109999999999</v>
      </c>
      <c r="T3725">
        <v>-1.0521049999999901</v>
      </c>
      <c r="U3725">
        <v>0.34381099999999998</v>
      </c>
      <c r="V3725">
        <v>5.6612049999999997E-2</v>
      </c>
      <c r="W3725">
        <v>0.211841</v>
      </c>
      <c r="X3725">
        <v>0.97566310000000001</v>
      </c>
      <c r="Y3725">
        <v>0.1026512</v>
      </c>
      <c r="Z3725">
        <v>1.7825580000000001E-2</v>
      </c>
      <c r="AA3725">
        <v>0.99455769999999999</v>
      </c>
      <c r="AB3725">
        <v>35</v>
      </c>
      <c r="AC3725">
        <v>-0.55470000000002495</v>
      </c>
      <c r="AD3725">
        <v>-0.29913189999999901</v>
      </c>
      <c r="AE3725">
        <v>9.8799999999982901E-2</v>
      </c>
      <c r="AF3725">
        <v>7.8501221574337796E-2</v>
      </c>
      <c r="AG3725">
        <v>-0.29913189999999901</v>
      </c>
      <c r="AH3725">
        <v>0.43247151695946201</v>
      </c>
      <c r="AI3725">
        <v>124.237601895084</v>
      </c>
      <c r="AJ3725">
        <v>79.711821560726193</v>
      </c>
      <c r="AK3725">
        <v>0.53167090231410197</v>
      </c>
      <c r="AL3725">
        <v>77.769738711612703</v>
      </c>
      <c r="AM3725">
        <v>86.679182962626896</v>
      </c>
      <c r="AN3725">
        <v>1.0000000090939001</v>
      </c>
    </row>
    <row r="3726" spans="1:40" x14ac:dyDescent="0.25">
      <c r="A3726" t="str">
        <f>"20190303162626185"</f>
        <v>20190303162626185</v>
      </c>
      <c r="B3726" t="str">
        <f>"1551601586177149"</f>
        <v>1551601586177149</v>
      </c>
      <c r="C3726" t="s">
        <v>40</v>
      </c>
      <c r="D3726">
        <v>5.2792120000000002</v>
      </c>
      <c r="E3726">
        <v>0.48063620000000001</v>
      </c>
      <c r="F3726" t="s">
        <v>41</v>
      </c>
      <c r="G3726">
        <v>-369.7355</v>
      </c>
      <c r="H3726" s="1">
        <v>-5.5043949999999998E-7</v>
      </c>
      <c r="I3726">
        <v>141.32499999999999</v>
      </c>
      <c r="J3726">
        <v>-345.33530000000002</v>
      </c>
      <c r="K3726">
        <v>1.1207640000000001</v>
      </c>
      <c r="L3726">
        <v>141.15530000000001</v>
      </c>
      <c r="M3726">
        <v>-0.99990420000000002</v>
      </c>
      <c r="N3726">
        <v>-1.353759E-2</v>
      </c>
      <c r="O3726">
        <v>-2.8813329999999998E-3</v>
      </c>
      <c r="P3726">
        <v>-0.97853979999999996</v>
      </c>
      <c r="Q3726">
        <v>0.19929559999999999</v>
      </c>
      <c r="R3726">
        <v>5.235426E-2</v>
      </c>
      <c r="S3726">
        <v>-3.0928040000000001</v>
      </c>
      <c r="T3726">
        <v>-0.140071</v>
      </c>
      <c r="U3726">
        <v>2.113342E-2</v>
      </c>
      <c r="V3726">
        <v>5.538701E-2</v>
      </c>
      <c r="W3726">
        <v>0.2124673</v>
      </c>
      <c r="X3726">
        <v>0.97559720000000005</v>
      </c>
      <c r="Y3726">
        <v>9.7000679999999992E-3</v>
      </c>
      <c r="Z3726">
        <v>3.7667700000000001E-4</v>
      </c>
      <c r="AA3726">
        <v>0.99995290000000003</v>
      </c>
      <c r="AB3726">
        <v>35</v>
      </c>
      <c r="AC3726">
        <v>-24.400199999999899</v>
      </c>
      <c r="AD3726">
        <v>-1.1207645504395001</v>
      </c>
      <c r="AE3726">
        <v>0.16969999999997701</v>
      </c>
      <c r="AF3726">
        <v>0.23950555564873799</v>
      </c>
      <c r="AG3726">
        <v>-1.1207645504395001</v>
      </c>
      <c r="AH3726">
        <v>24.348242167162301</v>
      </c>
      <c r="AI3726">
        <v>92.635372295921798</v>
      </c>
      <c r="AJ3726">
        <v>89.436418660593802</v>
      </c>
      <c r="AK3726">
        <v>24.375199952400202</v>
      </c>
      <c r="AL3726">
        <v>77.733018179516804</v>
      </c>
      <c r="AM3726">
        <v>86.750668161735106</v>
      </c>
      <c r="AN3726">
        <v>0.99999998554693503</v>
      </c>
    </row>
    <row r="3727" spans="1:40" x14ac:dyDescent="0.25">
      <c r="A3727" t="str">
        <f>"20190303162626207"</f>
        <v>20190303162626207</v>
      </c>
      <c r="B3727" t="str">
        <f>"1551601586197644"</f>
        <v>1551601586197644</v>
      </c>
      <c r="C3727" t="s">
        <v>40</v>
      </c>
      <c r="D3727">
        <v>5.2836660000000002</v>
      </c>
      <c r="E3727">
        <v>0.4807015</v>
      </c>
      <c r="F3727" t="s">
        <v>41</v>
      </c>
      <c r="G3727">
        <v>-382.14389999999997</v>
      </c>
      <c r="H3727" s="1">
        <v>-3.7548079999999998E-6</v>
      </c>
      <c r="I3727">
        <v>141.12790000000001</v>
      </c>
      <c r="J3727">
        <v>-345.67779999999999</v>
      </c>
      <c r="K3727">
        <v>1.120763</v>
      </c>
      <c r="L3727">
        <v>141.15479999999999</v>
      </c>
      <c r="M3727">
        <v>-0.99990579999999996</v>
      </c>
      <c r="N3727">
        <v>-1.350957E-2</v>
      </c>
      <c r="O3727">
        <v>-2.4721719999999999E-3</v>
      </c>
      <c r="P3727">
        <v>-0.97848970000000002</v>
      </c>
      <c r="Q3727">
        <v>0.19965069999999999</v>
      </c>
      <c r="R3727">
        <v>5.1938039999999998E-2</v>
      </c>
      <c r="S3727">
        <v>-3.0850520000000001</v>
      </c>
      <c r="T3727">
        <v>-9.3935489999999996E-2</v>
      </c>
      <c r="U3727">
        <v>-2.2888180000000002E-3</v>
      </c>
      <c r="V3727">
        <v>5.4570529999999999E-2</v>
      </c>
      <c r="W3727">
        <v>0.21279490000000001</v>
      </c>
      <c r="X3727">
        <v>0.97557179999999999</v>
      </c>
      <c r="Y3727">
        <v>1.728982E-3</v>
      </c>
      <c r="Z3727" s="1">
        <v>7.9861169999999998E-5</v>
      </c>
      <c r="AA3727">
        <v>0.99999850000000001</v>
      </c>
      <c r="AB3727">
        <v>35</v>
      </c>
      <c r="AC3727">
        <v>-36.466099999999898</v>
      </c>
      <c r="AD3727">
        <v>-1.120766754808</v>
      </c>
      <c r="AE3727">
        <v>-2.6899999999983399E-2</v>
      </c>
      <c r="AF3727">
        <v>6.31990726524259E-2</v>
      </c>
      <c r="AG3727">
        <v>-1.120766754808</v>
      </c>
      <c r="AH3727">
        <v>36.431641434327901</v>
      </c>
      <c r="AI3727">
        <v>91.762063405093599</v>
      </c>
      <c r="AJ3727">
        <v>89.900607374323002</v>
      </c>
      <c r="AK3727">
        <v>36.448931532226098</v>
      </c>
      <c r="AL3727">
        <v>77.713808675664595</v>
      </c>
      <c r="AM3727">
        <v>86.798384174660399</v>
      </c>
      <c r="AN3727">
        <v>0.99999997458286505</v>
      </c>
    </row>
    <row r="3728" spans="1:40" x14ac:dyDescent="0.25">
      <c r="A3728" t="str">
        <f>"20190303162626228"</f>
        <v>20190303162626228</v>
      </c>
      <c r="B3728" t="str">
        <f>"1551601586217165"</f>
        <v>1551601586217165</v>
      </c>
      <c r="C3728" t="s">
        <v>40</v>
      </c>
      <c r="D3728">
        <v>5.2839</v>
      </c>
      <c r="E3728">
        <v>0.48059930000000001</v>
      </c>
      <c r="F3728" t="s">
        <v>41</v>
      </c>
      <c r="G3728">
        <v>-392.0206</v>
      </c>
      <c r="H3728" s="1">
        <v>-3.802974E-6</v>
      </c>
      <c r="I3728">
        <v>141.11019999999999</v>
      </c>
      <c r="J3728">
        <v>-346.00490000000002</v>
      </c>
      <c r="K3728">
        <v>1.120768</v>
      </c>
      <c r="L3728">
        <v>141.15440000000001</v>
      </c>
      <c r="M3728">
        <v>-0.99990699999999999</v>
      </c>
      <c r="N3728">
        <v>-1.3484360000000001E-2</v>
      </c>
      <c r="O3728">
        <v>-2.0808020000000001E-3</v>
      </c>
      <c r="P3728">
        <v>-0.97843519999999995</v>
      </c>
      <c r="Q3728">
        <v>0.19991999999999999</v>
      </c>
      <c r="R3728">
        <v>5.1928729999999999E-2</v>
      </c>
      <c r="S3728">
        <v>-3.081299</v>
      </c>
      <c r="T3728">
        <v>-7.4519039999999995E-2</v>
      </c>
      <c r="U3728">
        <v>-2.960205E-3</v>
      </c>
      <c r="V3728">
        <v>5.4178080000000003E-2</v>
      </c>
      <c r="W3728">
        <v>0.21303949999999999</v>
      </c>
      <c r="X3728">
        <v>0.97554030000000003</v>
      </c>
      <c r="Y3728">
        <v>1.1196629999999999E-3</v>
      </c>
      <c r="Z3728" s="1">
        <v>4.3345759999999998E-5</v>
      </c>
      <c r="AA3728">
        <v>0.99999930000000004</v>
      </c>
      <c r="AB3728">
        <v>35</v>
      </c>
      <c r="AC3728">
        <v>-46.015699999999903</v>
      </c>
      <c r="AD3728">
        <v>-1.1207718029739999</v>
      </c>
      <c r="AE3728">
        <v>-4.4200000000017697E-2</v>
      </c>
      <c r="AF3728">
        <v>5.1527786745138603E-2</v>
      </c>
      <c r="AG3728">
        <v>-1.1207718029739999</v>
      </c>
      <c r="AH3728">
        <v>45.988410712879698</v>
      </c>
      <c r="AI3728">
        <v>91.396063575995399</v>
      </c>
      <c r="AJ3728">
        <v>89.935802881053604</v>
      </c>
      <c r="AK3728">
        <v>46.002094565831001</v>
      </c>
      <c r="AL3728">
        <v>77.699465365163704</v>
      </c>
      <c r="AM3728">
        <v>86.821259136968905</v>
      </c>
      <c r="AN3728">
        <v>0.99999998491841302</v>
      </c>
    </row>
    <row r="3729" spans="1:40" x14ac:dyDescent="0.25">
      <c r="A3729" t="str">
        <f>"20190303162626251"</f>
        <v>20190303162626251</v>
      </c>
      <c r="B3729" t="str">
        <f>"1551601586237661"</f>
        <v>1551601586237661</v>
      </c>
      <c r="C3729" t="s">
        <v>40</v>
      </c>
      <c r="D3729">
        <v>5.2145849999999996</v>
      </c>
      <c r="E3729">
        <v>0.48078149999999997</v>
      </c>
      <c r="F3729" t="s">
        <v>41</v>
      </c>
      <c r="G3729">
        <v>-398.46660000000003</v>
      </c>
      <c r="H3729" s="1">
        <v>-1.0302549999999999E-6</v>
      </c>
      <c r="I3729">
        <v>141.0823</v>
      </c>
      <c r="J3729">
        <v>-346.35969999999998</v>
      </c>
      <c r="K3729">
        <v>1.12077</v>
      </c>
      <c r="L3729">
        <v>141.1541</v>
      </c>
      <c r="M3729">
        <v>-0.99990809999999997</v>
      </c>
      <c r="N3729">
        <v>-1.3458980000000001E-2</v>
      </c>
      <c r="O3729">
        <v>-1.655232E-3</v>
      </c>
      <c r="P3729">
        <v>-0.97839960000000004</v>
      </c>
      <c r="Q3729">
        <v>0.2002196</v>
      </c>
      <c r="R3729">
        <v>5.1443549999999998E-2</v>
      </c>
      <c r="S3729">
        <v>-3.079834</v>
      </c>
      <c r="T3729">
        <v>-6.5796380000000002E-2</v>
      </c>
      <c r="U3729">
        <v>-4.226685E-3</v>
      </c>
      <c r="V3729">
        <v>5.3275889999999999E-2</v>
      </c>
      <c r="W3729">
        <v>0.21331530000000001</v>
      </c>
      <c r="X3729">
        <v>0.97552969999999894</v>
      </c>
      <c r="Y3729">
        <v>2.8285229999999999E-4</v>
      </c>
      <c r="Z3729" s="1">
        <v>1.8004769999999999E-5</v>
      </c>
      <c r="AA3729">
        <v>0.99999990000000005</v>
      </c>
      <c r="AB3729">
        <v>35</v>
      </c>
      <c r="AC3729">
        <v>-52.106900000000003</v>
      </c>
      <c r="AD3729">
        <v>-1.120771030255</v>
      </c>
      <c r="AE3729">
        <v>-7.1799999999996006E-2</v>
      </c>
      <c r="AF3729">
        <v>1.4450230261043501E-2</v>
      </c>
      <c r="AG3729">
        <v>-1.120771030255</v>
      </c>
      <c r="AH3729">
        <v>52.082851889691497</v>
      </c>
      <c r="AI3729">
        <v>91.232757726554397</v>
      </c>
      <c r="AJ3729">
        <v>89.984103459091301</v>
      </c>
      <c r="AK3729">
        <v>52.094911435522697</v>
      </c>
      <c r="AL3729">
        <v>77.683291177457704</v>
      </c>
      <c r="AM3729">
        <v>86.874052744427303</v>
      </c>
      <c r="AN3729">
        <v>0.99999996662573498</v>
      </c>
    </row>
    <row r="3730" spans="1:40" x14ac:dyDescent="0.25">
      <c r="A3730" t="str">
        <f>"20190303162626274"</f>
        <v>20190303162626274</v>
      </c>
      <c r="B3730" t="str">
        <f>"1551601586266941"</f>
        <v>1551601586266941</v>
      </c>
      <c r="C3730" t="s">
        <v>40</v>
      </c>
      <c r="D3730">
        <v>5.2793760000000001</v>
      </c>
      <c r="E3730">
        <v>0.48089730000000003</v>
      </c>
      <c r="F3730" t="s">
        <v>47</v>
      </c>
      <c r="G3730">
        <v>-403.69349999999997</v>
      </c>
      <c r="H3730" s="1">
        <v>-7.6068690000000002E-6</v>
      </c>
      <c r="I3730">
        <v>141.08340000000001</v>
      </c>
      <c r="J3730">
        <v>-346.71870000000001</v>
      </c>
      <c r="K3730">
        <v>1.1207689999999999</v>
      </c>
      <c r="L3730">
        <v>141.154</v>
      </c>
      <c r="M3730">
        <v>-0.9999091</v>
      </c>
      <c r="N3730">
        <v>-1.343195E-2</v>
      </c>
      <c r="O3730">
        <v>-1.223336E-3</v>
      </c>
      <c r="P3730">
        <v>-0.9785199</v>
      </c>
      <c r="Q3730">
        <v>0.19977339999999999</v>
      </c>
      <c r="R3730">
        <v>5.0890249999999998E-2</v>
      </c>
      <c r="S3730">
        <v>-3.0787049999999998</v>
      </c>
      <c r="T3730">
        <v>-6.0183529999999999E-2</v>
      </c>
      <c r="U3730">
        <v>-3.799438E-3</v>
      </c>
      <c r="V3730">
        <v>5.2298669999999998E-2</v>
      </c>
      <c r="W3730">
        <v>0.21284610000000001</v>
      </c>
      <c r="X3730">
        <v>0.97568509999999997</v>
      </c>
      <c r="Y3730" s="1">
        <v>-1.0675710000000001E-5</v>
      </c>
      <c r="Z3730" s="1">
        <v>7.3037799999999997E-6</v>
      </c>
      <c r="AA3730">
        <v>1</v>
      </c>
      <c r="AB3730">
        <v>35</v>
      </c>
      <c r="AC3730">
        <v>-56.974799999999902</v>
      </c>
      <c r="AD3730">
        <v>-1.1207766068689999</v>
      </c>
      <c r="AE3730">
        <v>-7.0599999999984606E-2</v>
      </c>
      <c r="AF3730">
        <v>-8.9399320914435E-4</v>
      </c>
      <c r="AG3730">
        <v>-1.1207766068689999</v>
      </c>
      <c r="AH3730">
        <v>56.952804985277901</v>
      </c>
      <c r="AI3730">
        <v>91.127380500140404</v>
      </c>
      <c r="AJ3730">
        <v>90.000899376910496</v>
      </c>
      <c r="AK3730">
        <v>56.963831829440899</v>
      </c>
      <c r="AL3730">
        <v>77.710806841437702</v>
      </c>
      <c r="AM3730">
        <v>86.931768060331393</v>
      </c>
      <c r="AN3730">
        <v>1.0000000137654901</v>
      </c>
    </row>
    <row r="3731" spans="1:40" x14ac:dyDescent="0.25">
      <c r="A3731" t="str">
        <f>"20190303162626297"</f>
        <v>20190303162626297</v>
      </c>
      <c r="B3731" t="str">
        <f>"1551601586287437"</f>
        <v>1551601586287437</v>
      </c>
      <c r="C3731" t="s">
        <v>40</v>
      </c>
      <c r="D3731">
        <v>5.0811729999999997</v>
      </c>
      <c r="E3731">
        <v>0.48082520000000001</v>
      </c>
      <c r="F3731" t="s">
        <v>47</v>
      </c>
      <c r="G3731">
        <v>-405.25909999999999</v>
      </c>
      <c r="H3731" s="1">
        <v>-8.3518440000000006E-6</v>
      </c>
      <c r="I3731">
        <v>141.0753</v>
      </c>
      <c r="J3731">
        <v>-347.06760000000003</v>
      </c>
      <c r="K3731">
        <v>1.1207689999999999</v>
      </c>
      <c r="L3731">
        <v>141.154</v>
      </c>
      <c r="M3731">
        <v>-0.99990990000000002</v>
      </c>
      <c r="N3731">
        <v>-1.3403150000000001E-2</v>
      </c>
      <c r="O3731">
        <v>-8.0345340000000001E-4</v>
      </c>
      <c r="P3731">
        <v>-0.97848290000000004</v>
      </c>
      <c r="Q3731">
        <v>0.20005200000000001</v>
      </c>
      <c r="R3731">
        <v>5.0504540000000001E-2</v>
      </c>
      <c r="S3731">
        <v>-3.0780940000000001</v>
      </c>
      <c r="T3731">
        <v>-5.8931230000000001E-2</v>
      </c>
      <c r="U3731">
        <v>-4.1351319999999997E-3</v>
      </c>
      <c r="V3731">
        <v>5.1501909999999998E-2</v>
      </c>
      <c r="W3731">
        <v>0.21309729999999999</v>
      </c>
      <c r="X3731">
        <v>0.97567269999999995</v>
      </c>
      <c r="Y3731">
        <v>-5.3972510000000005E-4</v>
      </c>
      <c r="Z3731" s="1">
        <v>-4.1718819999999997E-6</v>
      </c>
      <c r="AA3731">
        <v>0.99999990000000005</v>
      </c>
      <c r="AB3731">
        <v>35</v>
      </c>
      <c r="AC3731">
        <v>-58.191499999999898</v>
      </c>
      <c r="AD3731">
        <v>-1.1207773518440001</v>
      </c>
      <c r="AE3731">
        <v>-7.8699999999997702E-2</v>
      </c>
      <c r="AF3731">
        <v>-3.1929773790195702E-2</v>
      </c>
      <c r="AG3731">
        <v>-1.1207773518440001</v>
      </c>
      <c r="AH3731">
        <v>58.1699661328947</v>
      </c>
      <c r="AI3731">
        <v>91.103797408867706</v>
      </c>
      <c r="AJ3731">
        <v>90.031449925397396</v>
      </c>
      <c r="AK3731">
        <v>58.180771061279202</v>
      </c>
      <c r="AL3731">
        <v>77.696076796568406</v>
      </c>
      <c r="AM3731">
        <v>86.9783863556097</v>
      </c>
      <c r="AN3731">
        <v>1.00000006176311</v>
      </c>
    </row>
    <row r="3732" spans="1:40" x14ac:dyDescent="0.25">
      <c r="A3732" t="str">
        <f>"20190303162626317"</f>
        <v>20190303162626317</v>
      </c>
      <c r="B3732" t="str">
        <f>"1551601586306957"</f>
        <v>1551601586306957</v>
      </c>
      <c r="C3732" t="s">
        <v>40</v>
      </c>
      <c r="D3732">
        <v>5.0337139999999998</v>
      </c>
      <c r="E3732">
        <v>0.48084149999999998</v>
      </c>
      <c r="F3732" t="s">
        <v>47</v>
      </c>
      <c r="G3732">
        <v>-407.70979999999997</v>
      </c>
      <c r="H3732" s="1">
        <v>-9.8673309999999993E-6</v>
      </c>
      <c r="I3732">
        <v>141.0506</v>
      </c>
      <c r="J3732">
        <v>-347.3877</v>
      </c>
      <c r="K3732">
        <v>1.120771</v>
      </c>
      <c r="L3732">
        <v>141.1542</v>
      </c>
      <c r="M3732">
        <v>-0.99991050000000004</v>
      </c>
      <c r="N3732">
        <v>-1.3377170000000001E-2</v>
      </c>
      <c r="O3732">
        <v>-4.1981339999999997E-4</v>
      </c>
      <c r="P3732">
        <v>-0.9782592</v>
      </c>
      <c r="Q3732">
        <v>0.20105680000000001</v>
      </c>
      <c r="R3732">
        <v>5.084553E-2</v>
      </c>
      <c r="S3732">
        <v>-3.0778810000000001</v>
      </c>
      <c r="T3732">
        <v>-5.6884879999999999E-2</v>
      </c>
      <c r="U3732">
        <v>-5.2490230000000002E-3</v>
      </c>
      <c r="V3732">
        <v>5.1468260000000002E-2</v>
      </c>
      <c r="W3732">
        <v>0.21407409999999999</v>
      </c>
      <c r="X3732">
        <v>0.97546060000000001</v>
      </c>
      <c r="Y3732">
        <v>-1.2851760000000001E-3</v>
      </c>
      <c r="Z3732" s="1">
        <v>-1.8330629999999999E-5</v>
      </c>
      <c r="AA3732">
        <v>0.99999919999999998</v>
      </c>
      <c r="AB3732">
        <v>35</v>
      </c>
      <c r="AC3732">
        <v>-60.322099999999899</v>
      </c>
      <c r="AD3732">
        <v>-1.120780867331</v>
      </c>
      <c r="AE3732">
        <v>-0.1036</v>
      </c>
      <c r="AF3732">
        <v>-7.8246688722102206E-2</v>
      </c>
      <c r="AG3732">
        <v>-1.120780867331</v>
      </c>
      <c r="AH3732">
        <v>60.301321375571497</v>
      </c>
      <c r="AI3732">
        <v>91.064795347164605</v>
      </c>
      <c r="AJ3732">
        <v>90.074346671120594</v>
      </c>
      <c r="AK3732">
        <v>60.311786840855802</v>
      </c>
      <c r="AL3732">
        <v>77.638788063238493</v>
      </c>
      <c r="AM3732">
        <v>86.979701581164406</v>
      </c>
      <c r="AN3732">
        <v>1.0000000421152899</v>
      </c>
    </row>
    <row r="3733" spans="1:40" x14ac:dyDescent="0.25">
      <c r="A3733" t="str">
        <f>"20190303162626340"</f>
        <v>20190303162626340</v>
      </c>
      <c r="B3733" t="str">
        <f>"1551601586337721"</f>
        <v>1551601586337721</v>
      </c>
      <c r="C3733" t="s">
        <v>40</v>
      </c>
      <c r="D3733">
        <v>5.0682400000000003</v>
      </c>
      <c r="E3733">
        <v>0.4810123</v>
      </c>
      <c r="F3733" t="s">
        <v>47</v>
      </c>
      <c r="G3733">
        <v>-412.25229999999999</v>
      </c>
      <c r="H3733" s="1">
        <v>-1.098826E-5</v>
      </c>
      <c r="I3733">
        <v>141.07599999999999</v>
      </c>
      <c r="J3733">
        <v>-347.73860000000002</v>
      </c>
      <c r="K3733">
        <v>1.120768</v>
      </c>
      <c r="L3733">
        <v>141.15450000000001</v>
      </c>
      <c r="M3733">
        <v>-0.99991099999999999</v>
      </c>
      <c r="N3733">
        <v>-1.335077E-2</v>
      </c>
      <c r="O3733" s="1">
        <v>-5.880429E-7</v>
      </c>
      <c r="P3733">
        <v>-0.9782265</v>
      </c>
      <c r="Q3733">
        <v>0.2009677</v>
      </c>
      <c r="R3733">
        <v>5.1817879999999997E-2</v>
      </c>
      <c r="S3733">
        <v>-3.0777890000000001</v>
      </c>
      <c r="T3733">
        <v>-5.3180459999999999E-2</v>
      </c>
      <c r="U3733">
        <v>-3.7078860000000001E-3</v>
      </c>
      <c r="V3733">
        <v>5.2030199999999999E-2</v>
      </c>
      <c r="W3733">
        <v>0.2139585</v>
      </c>
      <c r="X3733">
        <v>0.97545610000000005</v>
      </c>
      <c r="Y3733">
        <v>-1.2038159999999999E-3</v>
      </c>
      <c r="Z3733" s="1">
        <v>-1.8434509999999998E-5</v>
      </c>
      <c r="AA3733">
        <v>0.99999930000000004</v>
      </c>
      <c r="AB3733">
        <v>35</v>
      </c>
      <c r="AC3733">
        <v>-64.513699999999901</v>
      </c>
      <c r="AD3733">
        <v>-1.1207789882600001</v>
      </c>
      <c r="AE3733">
        <v>-7.8500000000019499E-2</v>
      </c>
      <c r="AF3733">
        <v>-7.8438386213072503E-2</v>
      </c>
      <c r="AG3733">
        <v>-1.1207789882600001</v>
      </c>
      <c r="AH3733">
        <v>64.494234960789598</v>
      </c>
      <c r="AI3733">
        <v>90.995583485179395</v>
      </c>
      <c r="AJ3733">
        <v>90.069683534794706</v>
      </c>
      <c r="AK3733">
        <v>64.504020349885906</v>
      </c>
      <c r="AL3733">
        <v>77.645567932505202</v>
      </c>
      <c r="AM3733">
        <v>86.946773401252997</v>
      </c>
      <c r="AN3733">
        <v>0.99999999223074998</v>
      </c>
    </row>
    <row r="3734" spans="1:40" x14ac:dyDescent="0.25">
      <c r="A3734" t="str">
        <f>"20190303162626364"</f>
        <v>20190303162626364</v>
      </c>
      <c r="B3734" t="str">
        <f>"1551601586357243"</f>
        <v>1551601586357243</v>
      </c>
      <c r="C3734" t="s">
        <v>40</v>
      </c>
      <c r="D3734">
        <v>5.2778960000000001</v>
      </c>
      <c r="E3734">
        <v>0.48109760000000001</v>
      </c>
      <c r="F3734" t="s">
        <v>47</v>
      </c>
      <c r="G3734">
        <v>-412.27800000000002</v>
      </c>
      <c r="H3734" s="1">
        <v>-1.102131E-5</v>
      </c>
      <c r="I3734">
        <v>141.17660000000001</v>
      </c>
      <c r="J3734">
        <v>-348.09809999999999</v>
      </c>
      <c r="K3734">
        <v>1.1207640000000001</v>
      </c>
      <c r="L3734">
        <v>141.155</v>
      </c>
      <c r="M3734">
        <v>-0.9999112</v>
      </c>
      <c r="N3734">
        <v>-1.33262E-2</v>
      </c>
      <c r="O3734">
        <v>4.2922650000000001E-4</v>
      </c>
      <c r="P3734">
        <v>-0.97813150000000004</v>
      </c>
      <c r="Q3734">
        <v>0.20125170000000001</v>
      </c>
      <c r="R3734">
        <v>5.2504380000000003E-2</v>
      </c>
      <c r="S3734">
        <v>-3.0776979999999998</v>
      </c>
      <c r="T3734">
        <v>-5.3446769999999998E-2</v>
      </c>
      <c r="U3734">
        <v>1.052856E-3</v>
      </c>
      <c r="V3734">
        <v>5.2296349999999998E-2</v>
      </c>
      <c r="W3734">
        <v>0.21421709999999999</v>
      </c>
      <c r="X3734">
        <v>0.9753851</v>
      </c>
      <c r="Y3734" s="1">
        <v>-8.7145720000000003E-5</v>
      </c>
      <c r="Z3734" s="1">
        <v>-3.0705839999999999E-6</v>
      </c>
      <c r="AA3734">
        <v>1</v>
      </c>
      <c r="AB3734">
        <v>35</v>
      </c>
      <c r="AC3734">
        <v>-64.179900000000004</v>
      </c>
      <c r="AD3734">
        <v>-1.1207750213099901</v>
      </c>
      <c r="AE3734">
        <v>2.1600000000006499E-2</v>
      </c>
      <c r="AF3734">
        <v>-5.94834576302477E-3</v>
      </c>
      <c r="AG3734">
        <v>-1.1207750213099901</v>
      </c>
      <c r="AH3734">
        <v>64.160337207863193</v>
      </c>
      <c r="AI3734">
        <v>91.000760759073003</v>
      </c>
      <c r="AJ3734">
        <v>90.005311928227897</v>
      </c>
      <c r="AK3734">
        <v>64.170125780287506</v>
      </c>
      <c r="AL3734">
        <v>77.630399449341795</v>
      </c>
      <c r="AM3734">
        <v>86.9309620557366</v>
      </c>
      <c r="AN3734">
        <v>0.999999983728871</v>
      </c>
    </row>
    <row r="3735" spans="1:40" x14ac:dyDescent="0.25">
      <c r="A3735" t="str">
        <f>"20190303162626431"</f>
        <v>20190303162626431</v>
      </c>
      <c r="B3735" t="str">
        <f>"1551601586427513"</f>
        <v>1551601586427513</v>
      </c>
      <c r="C3735" t="s">
        <v>40</v>
      </c>
      <c r="D3735">
        <v>5.0031780000000001</v>
      </c>
      <c r="E3735">
        <v>0.48131099999999999</v>
      </c>
      <c r="F3735" t="s">
        <v>47</v>
      </c>
      <c r="G3735">
        <v>-413.37090000000001</v>
      </c>
      <c r="H3735" s="1">
        <v>-1.095E-5</v>
      </c>
      <c r="I3735">
        <v>141.24690000000001</v>
      </c>
      <c r="J3735">
        <v>-349.1377</v>
      </c>
      <c r="K3735">
        <v>1.120779</v>
      </c>
      <c r="L3735">
        <v>141.15719999999999</v>
      </c>
      <c r="M3735">
        <v>-0.99991079999999999</v>
      </c>
      <c r="N3735">
        <v>-1.3267259999999999E-2</v>
      </c>
      <c r="O3735">
        <v>1.676002E-3</v>
      </c>
      <c r="P3735">
        <v>-0.9775355</v>
      </c>
      <c r="Q3735">
        <v>0.2032581</v>
      </c>
      <c r="R3735">
        <v>5.5774049999999999E-2</v>
      </c>
      <c r="S3735">
        <v>-3.077728</v>
      </c>
      <c r="T3735">
        <v>-5.2846549999999999E-2</v>
      </c>
      <c r="U3735">
        <v>4.333496E-3</v>
      </c>
      <c r="V3735">
        <v>5.4347609999999998E-2</v>
      </c>
      <c r="W3735">
        <v>0.2161575</v>
      </c>
      <c r="X3735">
        <v>0.97484479999999996</v>
      </c>
      <c r="Y3735">
        <v>-2.6805010000000002E-4</v>
      </c>
      <c r="Z3735" s="1">
        <v>-1.061889E-5</v>
      </c>
      <c r="AA3735">
        <v>0.99999990000000005</v>
      </c>
      <c r="AB3735">
        <v>35</v>
      </c>
      <c r="AC3735">
        <v>-64.233199999999997</v>
      </c>
      <c r="AD3735">
        <v>-1.12078995</v>
      </c>
      <c r="AE3735">
        <v>8.9700000000021804E-2</v>
      </c>
      <c r="AF3735">
        <v>-1.7959082310802201E-2</v>
      </c>
      <c r="AG3735">
        <v>-1.12078995</v>
      </c>
      <c r="AH3735">
        <v>64.213709692461805</v>
      </c>
      <c r="AI3735">
        <v>90.999942407610504</v>
      </c>
      <c r="AJ3735">
        <v>90.016024297590604</v>
      </c>
      <c r="AK3735">
        <v>64.223492626206607</v>
      </c>
      <c r="AL3735">
        <v>77.516556568358197</v>
      </c>
      <c r="AM3735">
        <v>86.809062706849801</v>
      </c>
      <c r="AN3735">
        <v>1.00000005580299</v>
      </c>
    </row>
    <row r="3736" spans="1:40" x14ac:dyDescent="0.25">
      <c r="A3736" t="str">
        <f>"20190303162626452"</f>
        <v>20190303162626452</v>
      </c>
      <c r="B3736" t="str">
        <f>"1551601586447033"</f>
        <v>1551601586447033</v>
      </c>
      <c r="C3736" t="s">
        <v>40</v>
      </c>
      <c r="D3736">
        <v>4.9264679999999998</v>
      </c>
      <c r="E3736">
        <v>0.48137239999999998</v>
      </c>
      <c r="F3736" t="s">
        <v>47</v>
      </c>
      <c r="G3736">
        <v>-424.77710000000002</v>
      </c>
      <c r="H3736" s="1">
        <v>-1.1219730000000001E-5</v>
      </c>
      <c r="I3736">
        <v>141.50980000000001</v>
      </c>
      <c r="J3736">
        <v>-349.476</v>
      </c>
      <c r="K3736">
        <v>1.120779</v>
      </c>
      <c r="L3736">
        <v>141.15819999999999</v>
      </c>
      <c r="M3736">
        <v>-0.99990999999999997</v>
      </c>
      <c r="N3736">
        <v>-1.3252109999999999E-2</v>
      </c>
      <c r="O3736">
        <v>2.0819749999999998E-3</v>
      </c>
      <c r="P3736">
        <v>-0.97742209999999996</v>
      </c>
      <c r="Q3736">
        <v>0.20323269999999999</v>
      </c>
      <c r="R3736">
        <v>5.7814839999999999E-2</v>
      </c>
      <c r="S3736">
        <v>-3.0776370000000002</v>
      </c>
      <c r="T3736">
        <v>-4.5603039999999997E-2</v>
      </c>
      <c r="U3736">
        <v>1.434326E-2</v>
      </c>
      <c r="V3736">
        <v>5.5991409999999998E-2</v>
      </c>
      <c r="W3736">
        <v>0.21611469999999999</v>
      </c>
      <c r="X3736">
        <v>0.97476119999999999</v>
      </c>
      <c r="Y3736">
        <v>2.5777489999999998E-3</v>
      </c>
      <c r="Z3736" s="1">
        <v>3.2923409999999998E-5</v>
      </c>
      <c r="AA3736">
        <v>0.99999669999999896</v>
      </c>
      <c r="AB3736">
        <v>35</v>
      </c>
      <c r="AC3736">
        <v>-75.301100000000005</v>
      </c>
      <c r="AD3736">
        <v>-1.1207902197299999</v>
      </c>
      <c r="AE3736">
        <v>0.35160000000001901</v>
      </c>
      <c r="AF3736">
        <v>0.19476731181582199</v>
      </c>
      <c r="AG3736">
        <v>-1.1207902197299999</v>
      </c>
      <c r="AH3736">
        <v>75.284990819091107</v>
      </c>
      <c r="AI3736">
        <v>90.852913578817393</v>
      </c>
      <c r="AJ3736">
        <v>89.851772312958204</v>
      </c>
      <c r="AK3736">
        <v>75.293585036528995</v>
      </c>
      <c r="AL3736">
        <v>77.519067477527202</v>
      </c>
      <c r="AM3736">
        <v>86.712476736682206</v>
      </c>
      <c r="AN3736">
        <v>0.99999999928765904</v>
      </c>
    </row>
    <row r="3737" spans="1:40" x14ac:dyDescent="0.25">
      <c r="A3737" t="str">
        <f>"20190303162626476"</f>
        <v>20190303162626476</v>
      </c>
      <c r="B3737" t="str">
        <f>"1551601586467529"</f>
        <v>1551601586467529</v>
      </c>
      <c r="C3737" t="s">
        <v>40</v>
      </c>
      <c r="D3737">
        <v>4.8954380000000004</v>
      </c>
      <c r="E3737">
        <v>0.48142580000000001</v>
      </c>
      <c r="F3737" t="s">
        <v>47</v>
      </c>
      <c r="G3737">
        <v>-425.70830000000001</v>
      </c>
      <c r="H3737" s="1">
        <v>-1.1418060000000001E-5</v>
      </c>
      <c r="I3737">
        <v>141.67760000000001</v>
      </c>
      <c r="J3737">
        <v>-349.83620000000002</v>
      </c>
      <c r="K3737">
        <v>1.120779</v>
      </c>
      <c r="L3737">
        <v>141.15950000000001</v>
      </c>
      <c r="M3737">
        <v>-0.9999093</v>
      </c>
      <c r="N3737">
        <v>-1.323796E-2</v>
      </c>
      <c r="O3737">
        <v>2.5136329999999999E-3</v>
      </c>
      <c r="P3737">
        <v>-0.97731659999999998</v>
      </c>
      <c r="Q3737">
        <v>0.20329800000000001</v>
      </c>
      <c r="R3737">
        <v>5.934975E-2</v>
      </c>
      <c r="S3737">
        <v>-3.0774539999999999</v>
      </c>
      <c r="T3737">
        <v>-4.5245649999999998E-2</v>
      </c>
      <c r="U3737">
        <v>2.0965580000000001E-2</v>
      </c>
      <c r="V3737">
        <v>5.7104349999999998E-2</v>
      </c>
      <c r="W3737">
        <v>0.216164</v>
      </c>
      <c r="X3737">
        <v>0.97468569999999999</v>
      </c>
      <c r="Y3737">
        <v>4.2977830000000003E-3</v>
      </c>
      <c r="Z3737" s="1">
        <v>5.6365739999999997E-5</v>
      </c>
      <c r="AA3737">
        <v>0.99999079999999996</v>
      </c>
      <c r="AB3737">
        <v>35</v>
      </c>
      <c r="AC3737">
        <v>-75.872099999999904</v>
      </c>
      <c r="AD3737">
        <v>-1.1207904180599999</v>
      </c>
      <c r="AE3737">
        <v>0.518100000000004</v>
      </c>
      <c r="AF3737">
        <v>0.32729563439204201</v>
      </c>
      <c r="AG3737">
        <v>-1.1207904180599999</v>
      </c>
      <c r="AH3737">
        <v>75.856610412896302</v>
      </c>
      <c r="AI3737">
        <v>90.846482467693704</v>
      </c>
      <c r="AJ3737">
        <v>89.752789611419104</v>
      </c>
      <c r="AK3737">
        <v>75.865595871432006</v>
      </c>
      <c r="AL3737">
        <v>77.516174391104599</v>
      </c>
      <c r="AM3737">
        <v>86.647019217468497</v>
      </c>
      <c r="AN3737">
        <v>0.99999999773470605</v>
      </c>
    </row>
    <row r="3738" spans="1:40" x14ac:dyDescent="0.25">
      <c r="A3738" t="str">
        <f>"20190303162626497"</f>
        <v>20190303162626497</v>
      </c>
      <c r="B3738" t="str">
        <f>"1551601586487050"</f>
        <v>1551601586487050</v>
      </c>
      <c r="C3738" t="s">
        <v>40</v>
      </c>
      <c r="D3738">
        <v>4.912693</v>
      </c>
      <c r="E3738">
        <v>0.48145759999999999</v>
      </c>
      <c r="F3738" t="s">
        <v>47</v>
      </c>
      <c r="G3738">
        <v>-428.39280000000002</v>
      </c>
      <c r="H3738" s="1">
        <v>-1.1862339999999999E-5</v>
      </c>
      <c r="I3738">
        <v>141.83019999999999</v>
      </c>
      <c r="J3738">
        <v>-350.1669</v>
      </c>
      <c r="K3738">
        <v>1.120776</v>
      </c>
      <c r="L3738">
        <v>141.16069999999999</v>
      </c>
      <c r="M3738">
        <v>-0.99990840000000003</v>
      </c>
      <c r="N3738">
        <v>-1.32265E-2</v>
      </c>
      <c r="O3738">
        <v>2.9099920000000001E-3</v>
      </c>
      <c r="P3738">
        <v>-0.97724259999999996</v>
      </c>
      <c r="Q3738">
        <v>0.20351230000000001</v>
      </c>
      <c r="R3738">
        <v>5.9835069999999997E-2</v>
      </c>
      <c r="S3738">
        <v>-3.0771790000000001</v>
      </c>
      <c r="T3738">
        <v>-4.3902990000000003E-2</v>
      </c>
      <c r="U3738">
        <v>2.6275630000000001E-2</v>
      </c>
      <c r="V3738">
        <v>5.7202490000000002E-2</v>
      </c>
      <c r="W3738">
        <v>0.21636659999999999</v>
      </c>
      <c r="X3738">
        <v>0.97463500000000003</v>
      </c>
      <c r="Y3738">
        <v>5.6272819999999999E-3</v>
      </c>
      <c r="Z3738" s="1">
        <v>7.4336159999999999E-5</v>
      </c>
      <c r="AA3738">
        <v>0.99998410000000004</v>
      </c>
      <c r="AB3738">
        <v>35</v>
      </c>
      <c r="AC3738">
        <v>-78.225899999999996</v>
      </c>
      <c r="AD3738">
        <v>-1.1207878623400001</v>
      </c>
      <c r="AE3738">
        <v>0.66949999999999898</v>
      </c>
      <c r="AF3738">
        <v>0.44174985669502398</v>
      </c>
      <c r="AG3738">
        <v>-1.1207878623400001</v>
      </c>
      <c r="AH3738">
        <v>78.211463102196902</v>
      </c>
      <c r="AI3738">
        <v>90.820992121114699</v>
      </c>
      <c r="AJ3738">
        <v>89.676388444312195</v>
      </c>
      <c r="AK3738">
        <v>78.220740657159197</v>
      </c>
      <c r="AL3738">
        <v>77.504285012540706</v>
      </c>
      <c r="AM3738">
        <v>86.641095619205998</v>
      </c>
      <c r="AN3738">
        <v>1.0000000068413799</v>
      </c>
    </row>
    <row r="3739" spans="1:40" x14ac:dyDescent="0.25">
      <c r="A3739" t="str">
        <f>"20190303162626520"</f>
        <v>20190303162626520</v>
      </c>
      <c r="B3739" t="str">
        <f>"1551601586507546"</f>
        <v>1551601586507546</v>
      </c>
      <c r="C3739" t="s">
        <v>40</v>
      </c>
      <c r="D3739">
        <v>5.0750209999999996</v>
      </c>
      <c r="E3739">
        <v>0.48154459999999999</v>
      </c>
      <c r="F3739" t="s">
        <v>47</v>
      </c>
      <c r="G3739">
        <v>-430.9359</v>
      </c>
      <c r="H3739" s="1">
        <v>-1.16808E-5</v>
      </c>
      <c r="I3739">
        <v>141.90170000000001</v>
      </c>
      <c r="J3739">
        <v>-350.51209999999998</v>
      </c>
      <c r="K3739">
        <v>1.12077</v>
      </c>
      <c r="L3739">
        <v>141.16220000000001</v>
      </c>
      <c r="M3739">
        <v>-0.99990710000000005</v>
      </c>
      <c r="N3739">
        <v>-1.3215889999999999E-2</v>
      </c>
      <c r="O3739">
        <v>3.3236329999999999E-3</v>
      </c>
      <c r="P3739">
        <v>-0.97726139999999995</v>
      </c>
      <c r="Q3739">
        <v>0.20342969999999999</v>
      </c>
      <c r="R3739">
        <v>5.9804660000000003E-2</v>
      </c>
      <c r="S3739">
        <v>-3.0770569999999999</v>
      </c>
      <c r="T3739">
        <v>-4.269862E-2</v>
      </c>
      <c r="U3739">
        <v>2.8228759999999999E-2</v>
      </c>
      <c r="V3739">
        <v>5.6767449999999997E-2</v>
      </c>
      <c r="W3739">
        <v>0.21627440000000001</v>
      </c>
      <c r="X3739">
        <v>0.97468089999999996</v>
      </c>
      <c r="Y3739">
        <v>5.848631E-3</v>
      </c>
      <c r="Z3739" s="1">
        <v>7.7038999999999897E-5</v>
      </c>
      <c r="AA3739">
        <v>0.99998290000000001</v>
      </c>
      <c r="AB3739">
        <v>34</v>
      </c>
      <c r="AC3739">
        <v>-80.4238</v>
      </c>
      <c r="AD3739">
        <v>-1.1207816808</v>
      </c>
      <c r="AE3739">
        <v>0.73949999999999205</v>
      </c>
      <c r="AF3739">
        <v>0.47208168601122602</v>
      </c>
      <c r="AG3739">
        <v>-1.1207816808</v>
      </c>
      <c r="AH3739">
        <v>80.410198569846401</v>
      </c>
      <c r="AI3739">
        <v>90.798540442555904</v>
      </c>
      <c r="AJ3739">
        <v>89.663625038646103</v>
      </c>
      <c r="AK3739">
        <v>80.4193947175457</v>
      </c>
      <c r="AL3739">
        <v>77.509695814356107</v>
      </c>
      <c r="AM3739">
        <v>86.666739770982701</v>
      </c>
      <c r="AN3739">
        <v>1.0000000081498299</v>
      </c>
    </row>
    <row r="3740" spans="1:40" x14ac:dyDescent="0.25">
      <c r="A3740" t="str">
        <f>"20190303162626543"</f>
        <v>20190303162626543</v>
      </c>
      <c r="B3740" t="str">
        <f>"1551601586537801"</f>
        <v>1551601586537801</v>
      </c>
      <c r="C3740" t="s">
        <v>40</v>
      </c>
      <c r="D3740">
        <v>4.8109339999999996</v>
      </c>
      <c r="E3740">
        <v>0.50813129999999995</v>
      </c>
      <c r="F3740" t="s">
        <v>47</v>
      </c>
      <c r="G3740">
        <v>-432.3689</v>
      </c>
      <c r="H3740" s="1">
        <v>-1.1138410000000001E-5</v>
      </c>
      <c r="I3740">
        <v>141.9246</v>
      </c>
      <c r="J3740">
        <v>-350.86810000000003</v>
      </c>
      <c r="K3740">
        <v>1.120771</v>
      </c>
      <c r="L3740">
        <v>141.16390000000001</v>
      </c>
      <c r="M3740">
        <v>-0.99990579999999996</v>
      </c>
      <c r="N3740">
        <v>-1.320637E-2</v>
      </c>
      <c r="O3740">
        <v>3.7504359999999998E-3</v>
      </c>
      <c r="P3740">
        <v>-0.97728090000000001</v>
      </c>
      <c r="Q3740">
        <v>0.20338400000000001</v>
      </c>
      <c r="R3740">
        <v>5.964183E-2</v>
      </c>
      <c r="S3740">
        <v>-3.0767820000000001</v>
      </c>
      <c r="T3740">
        <v>-4.2127249999999998E-2</v>
      </c>
      <c r="U3740">
        <v>2.8656009999999999E-2</v>
      </c>
      <c r="V3740">
        <v>5.6187000000000001E-2</v>
      </c>
      <c r="W3740">
        <v>0.21622089999999999</v>
      </c>
      <c r="X3740">
        <v>0.97472639999999999</v>
      </c>
      <c r="Y3740">
        <v>5.5615359999999997E-3</v>
      </c>
      <c r="Z3740" s="1">
        <v>7.2985140000000003E-5</v>
      </c>
      <c r="AA3740">
        <v>0.99998450000000005</v>
      </c>
      <c r="AB3740">
        <v>34</v>
      </c>
      <c r="AC3740">
        <v>-81.500799999999899</v>
      </c>
      <c r="AD3740">
        <v>-1.1207821384100001</v>
      </c>
      <c r="AE3740">
        <v>0.76069999999998505</v>
      </c>
      <c r="AF3740">
        <v>0.454918445889679</v>
      </c>
      <c r="AG3740">
        <v>-1.1207821384100001</v>
      </c>
      <c r="AH3740">
        <v>81.487670978818699</v>
      </c>
      <c r="AI3740">
        <v>90.787984687618604</v>
      </c>
      <c r="AJ3740">
        <v>89.6801401257013</v>
      </c>
      <c r="AK3740">
        <v>81.496647936871597</v>
      </c>
      <c r="AL3740">
        <v>77.5128353953817</v>
      </c>
      <c r="AM3740">
        <v>86.700900512578698</v>
      </c>
      <c r="AN3740">
        <v>1.00000000571138</v>
      </c>
    </row>
    <row r="3741" spans="1:40" x14ac:dyDescent="0.25">
      <c r="A3741" t="str">
        <f>"20190303162626566"</f>
        <v>20190303162626566</v>
      </c>
      <c r="B3741" t="str">
        <f>"1551601586557322"</f>
        <v>1551601586557322</v>
      </c>
      <c r="C3741" t="s">
        <v>40</v>
      </c>
      <c r="D3741">
        <v>4.8200260000000004</v>
      </c>
      <c r="E3741">
        <v>0.51275289999999996</v>
      </c>
      <c r="F3741" t="s">
        <v>41</v>
      </c>
      <c r="G3741">
        <v>-458.77190000000002</v>
      </c>
      <c r="H3741">
        <v>3.1072530000000003E-4</v>
      </c>
      <c r="I3741">
        <v>149.6164</v>
      </c>
      <c r="J3741">
        <v>-351.2176</v>
      </c>
      <c r="K3741">
        <v>1.1207720000000001</v>
      </c>
      <c r="L3741">
        <v>141.16560000000001</v>
      </c>
      <c r="M3741">
        <v>-0.99990429999999997</v>
      </c>
      <c r="N3741">
        <v>-1.319798E-2</v>
      </c>
      <c r="O3741">
        <v>4.1693650000000004E-3</v>
      </c>
      <c r="P3741">
        <v>-0.97733270000000005</v>
      </c>
      <c r="Q3741">
        <v>0.20310130000000001</v>
      </c>
      <c r="R3741">
        <v>5.9756509999999999E-2</v>
      </c>
      <c r="S3741">
        <v>-3.0617070000000002</v>
      </c>
      <c r="T3741">
        <v>-3.1792399999999998E-2</v>
      </c>
      <c r="U3741">
        <v>0.23983760000000001</v>
      </c>
      <c r="V3741">
        <v>5.5891419999999997E-2</v>
      </c>
      <c r="W3741">
        <v>0.21593119999999999</v>
      </c>
      <c r="X3741">
        <v>0.9748076</v>
      </c>
      <c r="Y3741">
        <v>7.3928699999999903E-2</v>
      </c>
      <c r="Z3741">
        <v>8.8361099999999997E-4</v>
      </c>
      <c r="AA3741">
        <v>0.99726309999999996</v>
      </c>
      <c r="AB3741">
        <v>34</v>
      </c>
      <c r="AC3741">
        <v>-107.5543</v>
      </c>
      <c r="AD3741">
        <v>-1.12046127469999</v>
      </c>
      <c r="AE3741">
        <v>8.4507999999999797</v>
      </c>
      <c r="AF3741">
        <v>8.0013913401846803</v>
      </c>
      <c r="AG3741">
        <v>-1.12046127469999</v>
      </c>
      <c r="AH3741">
        <v>107.57699914477099</v>
      </c>
      <c r="AI3741">
        <v>90.595095224652397</v>
      </c>
      <c r="AJ3741">
        <v>85.746271425020794</v>
      </c>
      <c r="AK3741">
        <v>107.879972385244</v>
      </c>
      <c r="AL3741">
        <v>77.5298354565561</v>
      </c>
      <c r="AM3741">
        <v>86.718490647740595</v>
      </c>
      <c r="AN3741">
        <v>0.99999999549040797</v>
      </c>
    </row>
    <row r="3742" spans="1:40" x14ac:dyDescent="0.25">
      <c r="A3742" t="str">
        <f>"20190303162626616"</f>
        <v>20190303162626616</v>
      </c>
      <c r="B3742" t="str">
        <f>"1551601586608073"</f>
        <v>1551601586608073</v>
      </c>
      <c r="C3742" t="s">
        <v>40</v>
      </c>
      <c r="D3742">
        <v>4.7040989999999896</v>
      </c>
      <c r="E3742">
        <v>0.51309970000000005</v>
      </c>
      <c r="F3742" t="s">
        <v>41</v>
      </c>
      <c r="G3742">
        <v>-443.77699999999999</v>
      </c>
      <c r="H3742" s="1">
        <v>-3.7415300000000001E-6</v>
      </c>
      <c r="I3742">
        <v>149.5616</v>
      </c>
      <c r="J3742">
        <v>-351.99529999999999</v>
      </c>
      <c r="K3742">
        <v>1.120771</v>
      </c>
      <c r="L3742">
        <v>141.17009999999999</v>
      </c>
      <c r="M3742">
        <v>-0.99990009999999996</v>
      </c>
      <c r="N3742">
        <v>-1.3182019999999999E-2</v>
      </c>
      <c r="O3742">
        <v>5.102578E-3</v>
      </c>
      <c r="P3742">
        <v>-0.97754149999999995</v>
      </c>
      <c r="Q3742">
        <v>0.2022592</v>
      </c>
      <c r="R3742">
        <v>5.9193349999999999E-2</v>
      </c>
      <c r="S3742">
        <v>-3.0603030000000002</v>
      </c>
      <c r="T3742">
        <v>-3.7056329999999998E-2</v>
      </c>
      <c r="U3742">
        <v>0.27760309999999999</v>
      </c>
      <c r="V3742">
        <v>5.4413450000000002E-2</v>
      </c>
      <c r="W3742">
        <v>0.21507870000000001</v>
      </c>
      <c r="X3742">
        <v>0.97507969999999999</v>
      </c>
      <c r="Y3742">
        <v>8.5243760000000002E-2</v>
      </c>
      <c r="Z3742">
        <v>1.083559E-3</v>
      </c>
      <c r="AA3742">
        <v>0.99635949999999995</v>
      </c>
      <c r="AB3742">
        <v>34</v>
      </c>
      <c r="AC3742">
        <v>-91.781700000000001</v>
      </c>
      <c r="AD3742">
        <v>-1.12077474153</v>
      </c>
      <c r="AE3742">
        <v>8.3915000000000006</v>
      </c>
      <c r="AF3742">
        <v>7.9218552802266702</v>
      </c>
      <c r="AG3742">
        <v>-1.12077474153</v>
      </c>
      <c r="AH3742">
        <v>91.809750142229603</v>
      </c>
      <c r="AI3742">
        <v>90.696819079731</v>
      </c>
      <c r="AJ3742">
        <v>85.068416509582505</v>
      </c>
      <c r="AK3742">
        <v>92.157702598755904</v>
      </c>
      <c r="AL3742">
        <v>77.579856080728405</v>
      </c>
      <c r="AM3742">
        <v>86.805973057425305</v>
      </c>
      <c r="AN3742">
        <v>1.00000004604334</v>
      </c>
    </row>
    <row r="3743" spans="1:40" x14ac:dyDescent="0.25">
      <c r="A3743" t="str">
        <f>"20190303162626639"</f>
        <v>20190303162626639</v>
      </c>
      <c r="B3743" t="str">
        <f>"1551601586627593"</f>
        <v>1551601586627593</v>
      </c>
      <c r="C3743" t="s">
        <v>40</v>
      </c>
      <c r="D3743">
        <v>4.7727209999999998</v>
      </c>
      <c r="E3743">
        <v>0.51294659999999903</v>
      </c>
      <c r="F3743" t="s">
        <v>47</v>
      </c>
      <c r="G3743">
        <v>-434.04219999999998</v>
      </c>
      <c r="H3743" s="1">
        <v>-1.290245E-5</v>
      </c>
      <c r="I3743">
        <v>148.6542</v>
      </c>
      <c r="J3743">
        <v>-352.33760000000001</v>
      </c>
      <c r="K3743">
        <v>1.1207750000000001</v>
      </c>
      <c r="L3743">
        <v>141.17230000000001</v>
      </c>
      <c r="M3743">
        <v>-0.99989810000000001</v>
      </c>
      <c r="N3743">
        <v>-1.3176159999999999E-2</v>
      </c>
      <c r="O3743">
        <v>5.5129690000000004E-3</v>
      </c>
      <c r="P3743">
        <v>-0.97758619999999996</v>
      </c>
      <c r="Q3743">
        <v>0.2020844</v>
      </c>
      <c r="R3743">
        <v>5.9054879999999997E-2</v>
      </c>
      <c r="S3743">
        <v>-3.0606990000000001</v>
      </c>
      <c r="T3743">
        <v>-4.181004E-2</v>
      </c>
      <c r="U3743">
        <v>0.2791901</v>
      </c>
      <c r="V3743">
        <v>5.3873129999999998E-2</v>
      </c>
      <c r="W3743">
        <v>0.2148998</v>
      </c>
      <c r="X3743">
        <v>0.97514909999999999</v>
      </c>
      <c r="Y3743">
        <v>8.5332989999999997E-2</v>
      </c>
      <c r="Z3743">
        <v>1.1423760000000001E-3</v>
      </c>
      <c r="AA3743">
        <v>0.99635180000000001</v>
      </c>
      <c r="AB3743">
        <v>34</v>
      </c>
      <c r="AC3743">
        <v>-81.7045999999999</v>
      </c>
      <c r="AD3743">
        <v>-1.12078790245</v>
      </c>
      <c r="AE3743">
        <v>7.4818999999999898</v>
      </c>
      <c r="AF3743">
        <v>7.0300004521245603</v>
      </c>
      <c r="AG3743">
        <v>-1.12078790245</v>
      </c>
      <c r="AH3743">
        <v>81.729357971419006</v>
      </c>
      <c r="AI3743">
        <v>90.782780985967804</v>
      </c>
      <c r="AJ3743">
        <v>85.083769382787906</v>
      </c>
      <c r="AK3743">
        <v>82.038801955535106</v>
      </c>
      <c r="AL3743">
        <v>77.590351174492994</v>
      </c>
      <c r="AM3743">
        <v>86.837849328222404</v>
      </c>
      <c r="AN3743">
        <v>1.0000000027034199</v>
      </c>
    </row>
    <row r="3744" spans="1:40" x14ac:dyDescent="0.25">
      <c r="A3744" t="str">
        <f>"20190303162626655"</f>
        <v>20190303162626655</v>
      </c>
      <c r="B3744" t="str">
        <f>"1551601586647114"</f>
        <v>1551601586647114</v>
      </c>
      <c r="C3744" t="s">
        <v>40</v>
      </c>
      <c r="D3744">
        <v>4.8114359999999996</v>
      </c>
      <c r="E3744">
        <v>0.51300199999999996</v>
      </c>
      <c r="F3744" t="s">
        <v>47</v>
      </c>
      <c r="G3744">
        <v>-436.08150000000001</v>
      </c>
      <c r="H3744" s="1">
        <v>-1.206913E-5</v>
      </c>
      <c r="I3744">
        <v>148.7646</v>
      </c>
      <c r="J3744">
        <v>-352.61329999999998</v>
      </c>
      <c r="K3744">
        <v>1.1207800000000001</v>
      </c>
      <c r="L3744">
        <v>141.17410000000001</v>
      </c>
      <c r="M3744">
        <v>-0.99989629999999996</v>
      </c>
      <c r="N3744">
        <v>-1.317188E-2</v>
      </c>
      <c r="O3744">
        <v>5.8434869999999996E-3</v>
      </c>
      <c r="P3744">
        <v>-0.97742859999999998</v>
      </c>
      <c r="Q3744">
        <v>0.20295299999999999</v>
      </c>
      <c r="R3744">
        <v>5.8682779999999997E-2</v>
      </c>
      <c r="S3744">
        <v>-3.0604550000000001</v>
      </c>
      <c r="T3744">
        <v>-4.0959599999999999E-2</v>
      </c>
      <c r="U3744">
        <v>0.27746579999999998</v>
      </c>
      <c r="V3744">
        <v>5.3179410000000003E-2</v>
      </c>
      <c r="W3744">
        <v>0.2157627</v>
      </c>
      <c r="X3744">
        <v>0.97499659999999999</v>
      </c>
      <c r="Y3744">
        <v>8.4454689999999999E-2</v>
      </c>
      <c r="Z3744">
        <v>1.120177E-3</v>
      </c>
      <c r="AA3744">
        <v>0.9964267</v>
      </c>
      <c r="AB3744">
        <v>34</v>
      </c>
      <c r="AC3744">
        <v>-83.468199999999996</v>
      </c>
      <c r="AD3744">
        <v>-1.12079206913</v>
      </c>
      <c r="AE3744">
        <v>7.5904999999999898</v>
      </c>
      <c r="AF3744">
        <v>7.1013128852379399</v>
      </c>
      <c r="AG3744">
        <v>-1.12079206913</v>
      </c>
      <c r="AH3744">
        <v>83.496202194003303</v>
      </c>
      <c r="AI3744">
        <v>90.766284428082201</v>
      </c>
      <c r="AJ3744">
        <v>85.138719499419295</v>
      </c>
      <c r="AK3744">
        <v>83.805134689815802</v>
      </c>
      <c r="AL3744">
        <v>77.539722688272406</v>
      </c>
      <c r="AM3744">
        <v>86.8779997692412</v>
      </c>
      <c r="AN3744">
        <v>0.99999998118539801</v>
      </c>
    </row>
    <row r="3745" spans="1:40" x14ac:dyDescent="0.25">
      <c r="A3745" t="str">
        <f>"20190303162626676"</f>
        <v>20190303162626676</v>
      </c>
      <c r="B3745" t="str">
        <f>"1551601586667609"</f>
        <v>1551601586667609</v>
      </c>
      <c r="C3745" t="s">
        <v>40</v>
      </c>
      <c r="D3745">
        <v>4.738842</v>
      </c>
      <c r="E3745">
        <v>0.51307590000000003</v>
      </c>
      <c r="F3745" t="s">
        <v>41</v>
      </c>
      <c r="G3745">
        <v>-445.93770000000001</v>
      </c>
      <c r="H3745">
        <v>2.821797E-3</v>
      </c>
      <c r="I3745">
        <v>149.6164</v>
      </c>
      <c r="J3745">
        <v>-352.92329999999998</v>
      </c>
      <c r="K3745">
        <v>1.1207800000000001</v>
      </c>
      <c r="L3745">
        <v>141.1763</v>
      </c>
      <c r="M3745">
        <v>-0.99989410000000001</v>
      </c>
      <c r="N3745">
        <v>-1.3167399999999999E-2</v>
      </c>
      <c r="O3745">
        <v>6.2153080000000001E-3</v>
      </c>
      <c r="P3745">
        <v>-0.97732180000000002</v>
      </c>
      <c r="Q3745">
        <v>0.2033422</v>
      </c>
      <c r="R3745">
        <v>5.9112089999999999E-2</v>
      </c>
      <c r="S3745">
        <v>-3.0602719999999999</v>
      </c>
      <c r="T3745">
        <v>-3.6659839999999999E-2</v>
      </c>
      <c r="U3745">
        <v>0.27684019999999998</v>
      </c>
      <c r="V3745">
        <v>5.3246090000000003E-2</v>
      </c>
      <c r="W3745">
        <v>0.21614630000000001</v>
      </c>
      <c r="X3745">
        <v>0.974908</v>
      </c>
      <c r="Y3745">
        <v>8.3889829999999999E-2</v>
      </c>
      <c r="Z3745">
        <v>1.0623119999999999E-3</v>
      </c>
      <c r="AA3745">
        <v>0.99647439999999998</v>
      </c>
      <c r="AB3745">
        <v>34</v>
      </c>
      <c r="AC3745">
        <v>-93.014399999999995</v>
      </c>
      <c r="AD3745">
        <v>-1.1179582029999999</v>
      </c>
      <c r="AE3745">
        <v>8.4400999999999993</v>
      </c>
      <c r="AF3745">
        <v>7.8606474619502702</v>
      </c>
      <c r="AG3745">
        <v>-1.1179582029999999</v>
      </c>
      <c r="AH3745">
        <v>93.051732884944599</v>
      </c>
      <c r="AI3745">
        <v>90.6858969657454</v>
      </c>
      <c r="AJ3745">
        <v>85.1713403544057</v>
      </c>
      <c r="AK3745">
        <v>93.389852778317405</v>
      </c>
      <c r="AL3745">
        <v>77.517212968536796</v>
      </c>
      <c r="AM3745">
        <v>86.873809428980806</v>
      </c>
      <c r="AN3745">
        <v>0.99999998878398899</v>
      </c>
    </row>
    <row r="3746" spans="1:40" x14ac:dyDescent="0.25">
      <c r="A3746" t="str">
        <f>"20190303162626698"</f>
        <v>20190303162626698</v>
      </c>
      <c r="B3746" t="str">
        <f>"1551601586687129"</f>
        <v>1551601586687129</v>
      </c>
      <c r="C3746" t="s">
        <v>40</v>
      </c>
      <c r="D3746">
        <v>4.8147140000000004</v>
      </c>
      <c r="E3746">
        <v>0.51322999999999996</v>
      </c>
      <c r="F3746" t="s">
        <v>41</v>
      </c>
      <c r="G3746">
        <v>-447.36309999999997</v>
      </c>
      <c r="H3746">
        <v>7.9987089999999997E-2</v>
      </c>
      <c r="I3746">
        <v>149.7551</v>
      </c>
      <c r="J3746">
        <v>-353.25150000000002</v>
      </c>
      <c r="K3746">
        <v>1.1207780000000001</v>
      </c>
      <c r="L3746">
        <v>141.1788</v>
      </c>
      <c r="M3746">
        <v>-0.99989159999999999</v>
      </c>
      <c r="N3746">
        <v>-1.3163050000000001E-2</v>
      </c>
      <c r="O3746">
        <v>6.608343E-3</v>
      </c>
      <c r="P3746">
        <v>-0.97729180000000004</v>
      </c>
      <c r="Q3746">
        <v>0.20317350000000001</v>
      </c>
      <c r="R3746">
        <v>6.0178700000000002E-2</v>
      </c>
      <c r="S3746">
        <v>-3.0598139999999998</v>
      </c>
      <c r="T3746">
        <v>-3.3721330000000001E-2</v>
      </c>
      <c r="U3746">
        <v>0.27795409999999998</v>
      </c>
      <c r="V3746">
        <v>5.3928030000000002E-2</v>
      </c>
      <c r="W3746">
        <v>0.21597269999999999</v>
      </c>
      <c r="X3746">
        <v>0.97490900000000003</v>
      </c>
      <c r="Y3746">
        <v>8.3872769999999999E-2</v>
      </c>
      <c r="Z3746">
        <v>1.0285579999999999E-3</v>
      </c>
      <c r="AA3746">
        <v>0.99647589999999997</v>
      </c>
      <c r="AB3746">
        <v>34</v>
      </c>
      <c r="AC3746">
        <v>-94.111599999999896</v>
      </c>
      <c r="AD3746">
        <v>-1.0407909099999999</v>
      </c>
      <c r="AE3746">
        <v>8.5762999999999998</v>
      </c>
      <c r="AF3746">
        <v>7.9531724346496304</v>
      </c>
      <c r="AG3746">
        <v>-1.0407909099999999</v>
      </c>
      <c r="AH3746">
        <v>94.154804057767905</v>
      </c>
      <c r="AI3746">
        <v>90.631076815320299</v>
      </c>
      <c r="AJ3746">
        <v>85.171738035841102</v>
      </c>
      <c r="AK3746">
        <v>94.495837604892799</v>
      </c>
      <c r="AL3746">
        <v>77.5274002633317</v>
      </c>
      <c r="AM3746">
        <v>86.833855474915694</v>
      </c>
      <c r="AN3746">
        <v>0.99999999892298497</v>
      </c>
    </row>
    <row r="3747" spans="1:40" x14ac:dyDescent="0.25">
      <c r="A3747" t="str">
        <f>"20190303162626722"</f>
        <v>20190303162626722</v>
      </c>
      <c r="B3747" t="str">
        <f>"1551601586717386"</f>
        <v>1551601586717386</v>
      </c>
      <c r="C3747" t="s">
        <v>40</v>
      </c>
      <c r="D3747">
        <v>4.83622</v>
      </c>
      <c r="E3747">
        <v>0.51345339999999995</v>
      </c>
      <c r="F3747" t="s">
        <v>41</v>
      </c>
      <c r="G3747">
        <v>-447.83030000000002</v>
      </c>
      <c r="H3747">
        <v>7.9987230000000006E-2</v>
      </c>
      <c r="I3747">
        <v>149.9057</v>
      </c>
      <c r="J3747">
        <v>-353.61259999999999</v>
      </c>
      <c r="K3747">
        <v>1.1207819999999999</v>
      </c>
      <c r="L3747">
        <v>141.18170000000001</v>
      </c>
      <c r="M3747">
        <v>-0.99988869999999996</v>
      </c>
      <c r="N3747">
        <v>-1.3158680000000001E-2</v>
      </c>
      <c r="O3747">
        <v>7.0399299999999998E-3</v>
      </c>
      <c r="P3747">
        <v>-0.97715649999999998</v>
      </c>
      <c r="Q3747">
        <v>0.2033932</v>
      </c>
      <c r="R3747">
        <v>6.1614420000000003E-2</v>
      </c>
      <c r="S3747">
        <v>-3.0592959999999998</v>
      </c>
      <c r="T3747">
        <v>-3.3666010000000003E-2</v>
      </c>
      <c r="U3747">
        <v>0.28228760000000003</v>
      </c>
      <c r="V3747">
        <v>5.4942089999999999E-2</v>
      </c>
      <c r="W3747">
        <v>0.21618589999999999</v>
      </c>
      <c r="X3747">
        <v>0.97480509999999998</v>
      </c>
      <c r="Y3747">
        <v>8.4857509999999997E-2</v>
      </c>
      <c r="Z3747">
        <v>1.0406089999999901E-3</v>
      </c>
      <c r="AA3747">
        <v>0.99639250000000001</v>
      </c>
      <c r="AB3747">
        <v>34</v>
      </c>
      <c r="AC3747">
        <v>-94.217699999999994</v>
      </c>
      <c r="AD3747">
        <v>-1.04079477</v>
      </c>
      <c r="AE3747">
        <v>8.7239999999999895</v>
      </c>
      <c r="AF3747">
        <v>8.0594652402041191</v>
      </c>
      <c r="AG3747">
        <v>-1.04079477</v>
      </c>
      <c r="AH3747">
        <v>94.265381105461799</v>
      </c>
      <c r="AI3747">
        <v>90.630284240932795</v>
      </c>
      <c r="AJ3747">
        <v>85.113231561580506</v>
      </c>
      <c r="AK3747">
        <v>94.615011011304503</v>
      </c>
      <c r="AL3747">
        <v>77.514888997788304</v>
      </c>
      <c r="AM3747">
        <v>86.774100935082899</v>
      </c>
      <c r="AN3747">
        <v>0.99999997979919297</v>
      </c>
    </row>
    <row r="3748" spans="1:40" x14ac:dyDescent="0.25">
      <c r="A3748" t="str">
        <f>"20190303162626743"</f>
        <v>20190303162626743</v>
      </c>
      <c r="B3748" t="str">
        <f>"1551601586736906"</f>
        <v>1551601586736906</v>
      </c>
      <c r="C3748" t="s">
        <v>40</v>
      </c>
      <c r="D3748">
        <v>4.7878239999999996</v>
      </c>
      <c r="E3748">
        <v>0.51372359999999995</v>
      </c>
      <c r="F3748" t="s">
        <v>41</v>
      </c>
      <c r="G3748">
        <v>-449.46859999999998</v>
      </c>
      <c r="H3748">
        <v>7.9987730000000007E-2</v>
      </c>
      <c r="I3748">
        <v>150.22370000000001</v>
      </c>
      <c r="J3748">
        <v>-353.94740000000002</v>
      </c>
      <c r="K3748">
        <v>1.1207879999999999</v>
      </c>
      <c r="L3748">
        <v>141.18450000000001</v>
      </c>
      <c r="M3748">
        <v>-0.99988589999999999</v>
      </c>
      <c r="N3748">
        <v>-1.315493E-2</v>
      </c>
      <c r="O3748">
        <v>7.4361499999999999E-3</v>
      </c>
      <c r="P3748">
        <v>-0.97716369999999997</v>
      </c>
      <c r="Q3748">
        <v>0.20302680000000001</v>
      </c>
      <c r="R3748">
        <v>6.2703019999999998E-2</v>
      </c>
      <c r="S3748">
        <v>-3.0588679999999999</v>
      </c>
      <c r="T3748">
        <v>-3.3212899999999997E-2</v>
      </c>
      <c r="U3748">
        <v>0.28854370000000001</v>
      </c>
      <c r="V3748">
        <v>5.564181E-2</v>
      </c>
      <c r="W3748">
        <v>0.21581629999999999</v>
      </c>
      <c r="X3748">
        <v>0.97484729999999997</v>
      </c>
      <c r="Y3748">
        <v>8.6495580000000002E-2</v>
      </c>
      <c r="Z3748">
        <v>1.055837E-3</v>
      </c>
      <c r="AA3748">
        <v>0.99625169999999996</v>
      </c>
      <c r="AB3748">
        <v>34</v>
      </c>
      <c r="AC3748">
        <v>-95.521199999999894</v>
      </c>
      <c r="AD3748">
        <v>-1.0408002700000001</v>
      </c>
      <c r="AE3748">
        <v>9.0391999999999904</v>
      </c>
      <c r="AF3748">
        <v>8.3275987502638902</v>
      </c>
      <c r="AG3748">
        <v>-1.0408002700000001</v>
      </c>
      <c r="AH3748">
        <v>95.574534982242994</v>
      </c>
      <c r="AI3748">
        <v>90.621567711175004</v>
      </c>
      <c r="AJ3748">
        <v>85.020281683631694</v>
      </c>
      <c r="AK3748">
        <v>95.942294652668295</v>
      </c>
      <c r="AL3748">
        <v>77.536577422312106</v>
      </c>
      <c r="AM3748">
        <v>86.733246745252103</v>
      </c>
      <c r="AN3748">
        <v>0.99999997234152704</v>
      </c>
    </row>
    <row r="3749" spans="1:40" x14ac:dyDescent="0.25">
      <c r="A3749" t="str">
        <f>"20190303162626777"</f>
        <v>20190303162626777</v>
      </c>
      <c r="B3749" t="str">
        <f>"1551601586767162"</f>
        <v>1551601586767162</v>
      </c>
      <c r="C3749" t="s">
        <v>40</v>
      </c>
      <c r="D3749">
        <v>4.8652579999999999</v>
      </c>
      <c r="E3749">
        <v>0.51397139999999997</v>
      </c>
      <c r="F3749" t="s">
        <v>41</v>
      </c>
      <c r="G3749">
        <v>-446.81799999999998</v>
      </c>
      <c r="H3749">
        <v>7.9986950000000001E-2</v>
      </c>
      <c r="I3749">
        <v>150.10480000000001</v>
      </c>
      <c r="J3749">
        <v>-354.47239999999999</v>
      </c>
      <c r="K3749">
        <v>1.12079</v>
      </c>
      <c r="L3749">
        <v>141.1892</v>
      </c>
      <c r="M3749">
        <v>-0.99988129999999997</v>
      </c>
      <c r="N3749">
        <v>-1.314943E-2</v>
      </c>
      <c r="O3749">
        <v>8.0500539999999992E-3</v>
      </c>
      <c r="P3749">
        <v>-0.97706079999999995</v>
      </c>
      <c r="Q3749">
        <v>0.2030161</v>
      </c>
      <c r="R3749">
        <v>6.4318780000000006E-2</v>
      </c>
      <c r="S3749">
        <v>-3.0583800000000001</v>
      </c>
      <c r="T3749">
        <v>-3.427529E-2</v>
      </c>
      <c r="U3749">
        <v>0.29376219999999997</v>
      </c>
      <c r="V3749">
        <v>5.6654870000000003E-2</v>
      </c>
      <c r="W3749">
        <v>0.21579899999999999</v>
      </c>
      <c r="X3749">
        <v>0.97479280000000001</v>
      </c>
      <c r="Y3749">
        <v>8.7582679999999996E-2</v>
      </c>
      <c r="Z3749">
        <v>1.0824739999999999E-3</v>
      </c>
      <c r="AA3749">
        <v>0.99615670000000001</v>
      </c>
      <c r="AB3749">
        <v>34</v>
      </c>
      <c r="AC3749">
        <v>-92.345600000000005</v>
      </c>
      <c r="AD3749">
        <v>-1.0408030500000001</v>
      </c>
      <c r="AE3749">
        <v>8.9156000000000102</v>
      </c>
      <c r="AF3749">
        <v>8.1708314907150204</v>
      </c>
      <c r="AG3749">
        <v>-1.0408030500000001</v>
      </c>
      <c r="AH3749">
        <v>92.402755058676306</v>
      </c>
      <c r="AI3749">
        <v>90.642830878421293</v>
      </c>
      <c r="AJ3749">
        <v>84.946691209919507</v>
      </c>
      <c r="AK3749">
        <v>92.769148431319906</v>
      </c>
      <c r="AL3749">
        <v>77.537592819374893</v>
      </c>
      <c r="AM3749">
        <v>86.673716383137901</v>
      </c>
      <c r="AN3749">
        <v>0.99999999281377805</v>
      </c>
    </row>
    <row r="3750" spans="1:40" x14ac:dyDescent="0.25">
      <c r="A3750" t="str">
        <f>"20190303162626826"</f>
        <v>20190303162626826</v>
      </c>
      <c r="B3750" t="str">
        <f>"1551601586816937"</f>
        <v>1551601586816937</v>
      </c>
      <c r="C3750" t="s">
        <v>40</v>
      </c>
      <c r="D3750">
        <v>4.8664259999999997</v>
      </c>
      <c r="E3750">
        <v>0.49612800000000001</v>
      </c>
      <c r="F3750" t="s">
        <v>41</v>
      </c>
      <c r="G3750">
        <v>-446.0471</v>
      </c>
      <c r="H3750">
        <v>7.9986719999999997E-2</v>
      </c>
      <c r="I3750">
        <v>150.1755</v>
      </c>
      <c r="J3750">
        <v>-355.22129999999999</v>
      </c>
      <c r="K3750">
        <v>1.1207959999999999</v>
      </c>
      <c r="L3750">
        <v>141.19630000000001</v>
      </c>
      <c r="M3750">
        <v>-0.99987420000000005</v>
      </c>
      <c r="N3750">
        <v>-1.3142610000000001E-2</v>
      </c>
      <c r="O3750">
        <v>8.8891230000000005E-3</v>
      </c>
      <c r="P3750">
        <v>-0.97709219999999997</v>
      </c>
      <c r="Q3750">
        <v>0.20235729999999999</v>
      </c>
      <c r="R3750">
        <v>6.5897300000000006E-2</v>
      </c>
      <c r="S3750">
        <v>-3.0578919999999998</v>
      </c>
      <c r="T3750">
        <v>-3.475487E-2</v>
      </c>
      <c r="U3750">
        <v>0.30007929999999999</v>
      </c>
      <c r="V3750">
        <v>5.7403799999999998E-2</v>
      </c>
      <c r="W3750">
        <v>0.21513640000000001</v>
      </c>
      <c r="X3750">
        <v>0.97489539999999997</v>
      </c>
      <c r="Y3750">
        <v>8.8800080000000003E-2</v>
      </c>
      <c r="Z3750">
        <v>1.104198E-3</v>
      </c>
      <c r="AA3750">
        <v>0.99604890000000001</v>
      </c>
      <c r="AB3750">
        <v>34</v>
      </c>
      <c r="AC3750">
        <v>-90.825800000000001</v>
      </c>
      <c r="AD3750">
        <v>-1.0408092799999999</v>
      </c>
      <c r="AE3750">
        <v>8.9791999999999899</v>
      </c>
      <c r="AF3750">
        <v>8.1703512718039502</v>
      </c>
      <c r="AG3750">
        <v>-1.0408092799999999</v>
      </c>
      <c r="AH3750">
        <v>90.890215056519494</v>
      </c>
      <c r="AI3750">
        <v>90.653446722869504</v>
      </c>
      <c r="AJ3750">
        <v>84.863343672453794</v>
      </c>
      <c r="AK3750">
        <v>91.262638121425994</v>
      </c>
      <c r="AL3750">
        <v>77.576469704786007</v>
      </c>
      <c r="AM3750">
        <v>86.630200251752996</v>
      </c>
      <c r="AN3750">
        <v>0.99999995390027796</v>
      </c>
    </row>
    <row r="3751" spans="1:40" x14ac:dyDescent="0.25">
      <c r="A3751" t="str">
        <f>"20190303162626844"</f>
        <v>20190303162626844</v>
      </c>
      <c r="B3751" t="str">
        <f>"1551601586837433"</f>
        <v>1551601586837433</v>
      </c>
      <c r="C3751" t="s">
        <v>40</v>
      </c>
      <c r="D3751">
        <v>4.97126</v>
      </c>
      <c r="E3751">
        <v>0.43938820000000001</v>
      </c>
      <c r="F3751" t="s">
        <v>41</v>
      </c>
      <c r="G3751">
        <v>-382.72559999999999</v>
      </c>
      <c r="H3751" s="1">
        <v>-3.8846570000000001E-6</v>
      </c>
      <c r="I3751">
        <v>142.6388</v>
      </c>
      <c r="J3751">
        <v>-355.48860000000002</v>
      </c>
      <c r="K3751">
        <v>1.1208009999999999</v>
      </c>
      <c r="L3751">
        <v>141.19899999999899</v>
      </c>
      <c r="M3751">
        <v>-0.99987159999999997</v>
      </c>
      <c r="N3751">
        <v>-1.314035E-2</v>
      </c>
      <c r="O3751">
        <v>9.1775109999999993E-3</v>
      </c>
      <c r="P3751">
        <v>-0.97727600000000003</v>
      </c>
      <c r="Q3751">
        <v>0.2012158</v>
      </c>
      <c r="R3751">
        <v>6.6664920000000003E-2</v>
      </c>
      <c r="S3751">
        <v>-3.08548</v>
      </c>
      <c r="T3751">
        <v>-0.1257334</v>
      </c>
      <c r="U3751">
        <v>0.1618347</v>
      </c>
      <c r="V3751">
        <v>5.7883270000000001E-2</v>
      </c>
      <c r="W3751">
        <v>0.21399589999999999</v>
      </c>
      <c r="X3751">
        <v>0.97511809999999999</v>
      </c>
      <c r="Y3751">
        <v>4.3166719999999999E-2</v>
      </c>
      <c r="Z3751">
        <v>9.0947680000000005E-4</v>
      </c>
      <c r="AA3751">
        <v>0.9990675</v>
      </c>
      <c r="AB3751">
        <v>34</v>
      </c>
      <c r="AC3751">
        <v>-27.236999999999899</v>
      </c>
      <c r="AD3751">
        <v>-1.120804884657</v>
      </c>
      <c r="AE3751">
        <v>1.43980000000001</v>
      </c>
      <c r="AF3751">
        <v>1.1877442787525501</v>
      </c>
      <c r="AG3751">
        <v>-1.120804884657</v>
      </c>
      <c r="AH3751">
        <v>27.203132150711401</v>
      </c>
      <c r="AI3751">
        <v>92.357084047163397</v>
      </c>
      <c r="AJ3751">
        <v>87.499937188020397</v>
      </c>
      <c r="AK3751">
        <v>27.252107053772001</v>
      </c>
      <c r="AL3751">
        <v>77.643374529634102</v>
      </c>
      <c r="AM3751">
        <v>86.602893594583307</v>
      </c>
      <c r="AN3751">
        <v>1.0000000135551499</v>
      </c>
    </row>
    <row r="3752" spans="1:40" x14ac:dyDescent="0.25">
      <c r="A3752" t="str">
        <f>"20190303162626868"</f>
        <v>20190303162626868</v>
      </c>
      <c r="B3752" t="str">
        <f>"1551601586856954"</f>
        <v>1551601586856954</v>
      </c>
      <c r="C3752" t="s">
        <v>40</v>
      </c>
      <c r="D3752">
        <v>4.9098620000000004</v>
      </c>
      <c r="E3752">
        <v>0.44135160000000001</v>
      </c>
      <c r="F3752" t="s">
        <v>41</v>
      </c>
      <c r="G3752">
        <v>-380.74279999999999</v>
      </c>
      <c r="H3752" s="1">
        <v>-4.0855729999999998E-6</v>
      </c>
      <c r="I3752">
        <v>138.8723</v>
      </c>
      <c r="J3752">
        <v>-355.858</v>
      </c>
      <c r="K3752">
        <v>1.1208070000000001</v>
      </c>
      <c r="L3752">
        <v>141.2028</v>
      </c>
      <c r="M3752">
        <v>-0.99986799999999998</v>
      </c>
      <c r="N3752">
        <v>-1.313745E-2</v>
      </c>
      <c r="O3752">
        <v>9.5641389999999993E-3</v>
      </c>
      <c r="P3752">
        <v>-0.97738990000000003</v>
      </c>
      <c r="Q3752">
        <v>0.200435</v>
      </c>
      <c r="R3752">
        <v>6.7341849999999995E-2</v>
      </c>
      <c r="S3752">
        <v>-3.1178590000000002</v>
      </c>
      <c r="T3752">
        <v>-0.13837389999999999</v>
      </c>
      <c r="U3752">
        <v>-0.28724670000000002</v>
      </c>
      <c r="V3752">
        <v>5.8175039999999997E-2</v>
      </c>
      <c r="W3752">
        <v>0.21321560000000001</v>
      </c>
      <c r="X3752">
        <v>0.97527160000000002</v>
      </c>
      <c r="Y3752">
        <v>-0.1011286</v>
      </c>
      <c r="Z3752">
        <v>-3.2024710000000001E-3</v>
      </c>
      <c r="AA3752">
        <v>0.99486819999999998</v>
      </c>
      <c r="AB3752">
        <v>34</v>
      </c>
      <c r="AC3752">
        <v>-24.884799999999899</v>
      </c>
      <c r="AD3752">
        <v>-1.12081108557299</v>
      </c>
      <c r="AE3752">
        <v>-2.3304999999999998</v>
      </c>
      <c r="AF3752">
        <v>-2.56326098491065</v>
      </c>
      <c r="AG3752">
        <v>-1.12081108557299</v>
      </c>
      <c r="AH3752">
        <v>24.8114755261707</v>
      </c>
      <c r="AI3752">
        <v>92.572794653322205</v>
      </c>
      <c r="AJ3752">
        <v>95.8982735873102</v>
      </c>
      <c r="AK3752">
        <v>24.968697245793098</v>
      </c>
      <c r="AL3752">
        <v>77.689138003193804</v>
      </c>
      <c r="AM3752">
        <v>86.586346430370995</v>
      </c>
      <c r="AN3752">
        <v>0.99999996056446006</v>
      </c>
    </row>
    <row r="3753" spans="1:40" x14ac:dyDescent="0.25">
      <c r="A3753" t="str">
        <f>"20190303162626887"</f>
        <v>20190303162626887</v>
      </c>
      <c r="B3753" t="str">
        <f>"1551601586877449"</f>
        <v>1551601586877449</v>
      </c>
      <c r="C3753" t="s">
        <v>40</v>
      </c>
      <c r="D3753">
        <v>4.8887169999999998</v>
      </c>
      <c r="E3753">
        <v>0.44228040000000002</v>
      </c>
      <c r="F3753" t="s">
        <v>41</v>
      </c>
      <c r="G3753">
        <v>-381.65899999999999</v>
      </c>
      <c r="H3753" s="1">
        <v>-3.6752290000000001E-6</v>
      </c>
      <c r="I3753">
        <v>138.96979999999999</v>
      </c>
      <c r="J3753">
        <v>-356.14710000000002</v>
      </c>
      <c r="K3753">
        <v>1.1208180000000001</v>
      </c>
      <c r="L3753">
        <v>141.20590000000001</v>
      </c>
      <c r="M3753">
        <v>-0.99986520000000001</v>
      </c>
      <c r="N3753">
        <v>-1.3135320000000001E-2</v>
      </c>
      <c r="O3753">
        <v>9.8582900000000005E-3</v>
      </c>
      <c r="P3753">
        <v>-0.97742019999999996</v>
      </c>
      <c r="Q3753">
        <v>0.20007259999999999</v>
      </c>
      <c r="R3753">
        <v>6.7979719999999993E-2</v>
      </c>
      <c r="S3753">
        <v>-3.1157840000000001</v>
      </c>
      <c r="T3753">
        <v>-0.13535169999999999</v>
      </c>
      <c r="U3753">
        <v>-0.26965329999999998</v>
      </c>
      <c r="V3753">
        <v>5.8520559999999999E-2</v>
      </c>
      <c r="W3753">
        <v>0.21285270000000001</v>
      </c>
      <c r="X3753">
        <v>0.97533020000000004</v>
      </c>
      <c r="Y3753">
        <v>-9.5918600000000007E-2</v>
      </c>
      <c r="Z3753">
        <v>-3.0081600000000002E-3</v>
      </c>
      <c r="AA3753">
        <v>0.99538459999999995</v>
      </c>
      <c r="AB3753">
        <v>34</v>
      </c>
      <c r="AC3753">
        <v>-25.511899999999901</v>
      </c>
      <c r="AD3753">
        <v>-1.1208216752289999</v>
      </c>
      <c r="AE3753">
        <v>-2.23610000000002</v>
      </c>
      <c r="AF3753">
        <v>-2.4827611828940501</v>
      </c>
      <c r="AG3753">
        <v>-1.1208216752289999</v>
      </c>
      <c r="AH3753">
        <v>25.439885997506799</v>
      </c>
      <c r="AI3753">
        <v>92.510773038945999</v>
      </c>
      <c r="AJ3753">
        <v>95.574029613902795</v>
      </c>
      <c r="AK3753">
        <v>25.585311096117</v>
      </c>
      <c r="AL3753">
        <v>77.710419192534204</v>
      </c>
      <c r="AM3753">
        <v>86.566325853907301</v>
      </c>
      <c r="AN3753">
        <v>0.99999996343602104</v>
      </c>
    </row>
    <row r="3754" spans="1:40" x14ac:dyDescent="0.25">
      <c r="A3754" t="str">
        <f>"20190303162626910"</f>
        <v>20190303162626910</v>
      </c>
      <c r="B3754" t="str">
        <f>"1551601586896969"</f>
        <v>1551601586896969</v>
      </c>
      <c r="C3754" t="s">
        <v>40</v>
      </c>
      <c r="D3754">
        <v>4.905322</v>
      </c>
      <c r="E3754">
        <v>0.44224989999999997</v>
      </c>
      <c r="F3754" t="s">
        <v>41</v>
      </c>
      <c r="G3754">
        <v>-382.60820000000001</v>
      </c>
      <c r="H3754" s="1">
        <v>-3.2634820000000001E-6</v>
      </c>
      <c r="I3754">
        <v>138.99549999999999</v>
      </c>
      <c r="J3754">
        <v>-356.5068</v>
      </c>
      <c r="K3754">
        <v>1.1208290000000001</v>
      </c>
      <c r="L3754">
        <v>141.2099</v>
      </c>
      <c r="M3754">
        <v>-0.99986169999999996</v>
      </c>
      <c r="N3754">
        <v>-1.3132710000000001E-2</v>
      </c>
      <c r="O3754">
        <v>1.021561E-2</v>
      </c>
      <c r="P3754">
        <v>-0.97736730000000005</v>
      </c>
      <c r="Q3754">
        <v>0.20035120000000001</v>
      </c>
      <c r="R3754">
        <v>6.7915870000000003E-2</v>
      </c>
      <c r="S3754">
        <v>-3.1144099999999999</v>
      </c>
      <c r="T3754">
        <v>-0.13191839999999999</v>
      </c>
      <c r="U3754">
        <v>-0.26014710000000002</v>
      </c>
      <c r="V3754">
        <v>5.810332E-2</v>
      </c>
      <c r="W3754">
        <v>0.21313029999999999</v>
      </c>
      <c r="X3754">
        <v>0.97529449999999995</v>
      </c>
      <c r="Y3754">
        <v>-9.3303559999999994E-2</v>
      </c>
      <c r="Z3754">
        <v>-2.883774E-3</v>
      </c>
      <c r="AA3754">
        <v>0.99563349999999995</v>
      </c>
      <c r="AB3754">
        <v>34</v>
      </c>
      <c r="AC3754">
        <v>-26.101400000000002</v>
      </c>
      <c r="AD3754">
        <v>-1.1208322634819901</v>
      </c>
      <c r="AE3754">
        <v>-2.2144000000000101</v>
      </c>
      <c r="AF3754">
        <v>-2.47641531665754</v>
      </c>
      <c r="AG3754">
        <v>-1.1208322634819901</v>
      </c>
      <c r="AH3754">
        <v>26.029759308306001</v>
      </c>
      <c r="AI3754">
        <v>92.454543346336607</v>
      </c>
      <c r="AJ3754">
        <v>95.434639932712798</v>
      </c>
      <c r="AK3754">
        <v>26.1713061850527</v>
      </c>
      <c r="AL3754">
        <v>77.694140071476099</v>
      </c>
      <c r="AM3754">
        <v>86.590624820393202</v>
      </c>
      <c r="AN3754">
        <v>0.99999994115167901</v>
      </c>
    </row>
    <row r="3755" spans="1:40" x14ac:dyDescent="0.25">
      <c r="A3755" t="str">
        <f>"20190303162626934"</f>
        <v>20190303162626934</v>
      </c>
      <c r="B3755" t="str">
        <f>"1551601586927226"</f>
        <v>1551601586927226</v>
      </c>
      <c r="C3755" t="s">
        <v>40</v>
      </c>
      <c r="D3755">
        <v>4.9897859999999996</v>
      </c>
      <c r="E3755">
        <v>0.4428667</v>
      </c>
      <c r="F3755" t="s">
        <v>41</v>
      </c>
      <c r="G3755">
        <v>-380.642</v>
      </c>
      <c r="H3755" s="1">
        <v>-4.0718450000000003E-6</v>
      </c>
      <c r="I3755">
        <v>139.1935</v>
      </c>
      <c r="J3755">
        <v>-356.85480000000001</v>
      </c>
      <c r="K3755">
        <v>1.1208320000000001</v>
      </c>
      <c r="L3755">
        <v>141.21379999999999</v>
      </c>
      <c r="M3755">
        <v>-0.99985820000000003</v>
      </c>
      <c r="N3755">
        <v>-1.3130289999999999E-2</v>
      </c>
      <c r="O3755">
        <v>1.055442E-2</v>
      </c>
      <c r="P3755">
        <v>-0.97740329999999997</v>
      </c>
      <c r="Q3755">
        <v>0.20019629999999999</v>
      </c>
      <c r="R3755">
        <v>6.7857280000000006E-2</v>
      </c>
      <c r="S3755">
        <v>-3.1172490000000002</v>
      </c>
      <c r="T3755">
        <v>-0.1447649</v>
      </c>
      <c r="U3755">
        <v>-0.26042179999999998</v>
      </c>
      <c r="V3755">
        <v>5.7709469999999999E-2</v>
      </c>
      <c r="W3755">
        <v>0.21297469999999999</v>
      </c>
      <c r="X3755">
        <v>0.97535190000000005</v>
      </c>
      <c r="Y3755">
        <v>-9.3631640000000002E-2</v>
      </c>
      <c r="Z3755">
        <v>-3.1362030000000002E-3</v>
      </c>
      <c r="AA3755">
        <v>0.99560199999999999</v>
      </c>
      <c r="AB3755">
        <v>34</v>
      </c>
      <c r="AC3755">
        <v>-23.787199999999899</v>
      </c>
      <c r="AD3755">
        <v>-1.1208360718449999</v>
      </c>
      <c r="AE3755">
        <v>-2.02029999999999</v>
      </c>
      <c r="AF3755">
        <v>-2.26627355954645</v>
      </c>
      <c r="AG3755">
        <v>-1.1208360718449999</v>
      </c>
      <c r="AH3755">
        <v>23.712280287776</v>
      </c>
      <c r="AI3755">
        <v>92.693994503068694</v>
      </c>
      <c r="AJ3755">
        <v>95.459394975568898</v>
      </c>
      <c r="AK3755">
        <v>23.8466875224359</v>
      </c>
      <c r="AL3755">
        <v>77.703265118622795</v>
      </c>
      <c r="AM3755">
        <v>86.613879933442504</v>
      </c>
      <c r="AN3755">
        <v>0.99999996730068996</v>
      </c>
    </row>
    <row r="3756" spans="1:40" x14ac:dyDescent="0.25">
      <c r="A3756" t="str">
        <f>"20190303162626955"</f>
        <v>20190303162626955</v>
      </c>
      <c r="B3756" t="str">
        <f>"1551601586947722"</f>
        <v>1551601586947722</v>
      </c>
      <c r="C3756" t="s">
        <v>40</v>
      </c>
      <c r="D3756">
        <v>4.876493</v>
      </c>
      <c r="E3756">
        <v>0.44300669999999998</v>
      </c>
      <c r="F3756" t="s">
        <v>41</v>
      </c>
      <c r="G3756">
        <v>-380.03250000000003</v>
      </c>
      <c r="H3756" s="1">
        <v>-4.3117559999999996E-6</v>
      </c>
      <c r="I3756">
        <v>139.315</v>
      </c>
      <c r="J3756">
        <v>-357.18860000000001</v>
      </c>
      <c r="K3756">
        <v>1.120835</v>
      </c>
      <c r="L3756">
        <v>141.21770000000001</v>
      </c>
      <c r="M3756">
        <v>-0.99985480000000004</v>
      </c>
      <c r="N3756">
        <v>-1.312807E-2</v>
      </c>
      <c r="O3756">
        <v>1.08755E-2</v>
      </c>
      <c r="P3756">
        <v>-0.97737010000000002</v>
      </c>
      <c r="Q3756">
        <v>0.2004831</v>
      </c>
      <c r="R3756">
        <v>6.7488999999999993E-2</v>
      </c>
      <c r="S3756">
        <v>-3.1179199999999998</v>
      </c>
      <c r="T3756">
        <v>-0.15077779999999999</v>
      </c>
      <c r="U3756">
        <v>-0.2554169</v>
      </c>
      <c r="V3756">
        <v>5.7025279999999998E-2</v>
      </c>
      <c r="W3756">
        <v>0.21326030000000001</v>
      </c>
      <c r="X3756">
        <v>0.97532980000000002</v>
      </c>
      <c r="Y3756">
        <v>-9.2337589999999997E-2</v>
      </c>
      <c r="Z3756">
        <v>-3.2175400000000001E-3</v>
      </c>
      <c r="AA3756">
        <v>0.99572249999999995</v>
      </c>
      <c r="AB3756">
        <v>34</v>
      </c>
      <c r="AC3756">
        <v>-22.843900000000001</v>
      </c>
      <c r="AD3756">
        <v>-1.120839311756</v>
      </c>
      <c r="AE3756">
        <v>-1.90270000000001</v>
      </c>
      <c r="AF3756">
        <v>-2.1459172062598002</v>
      </c>
      <c r="AG3756">
        <v>-1.120839311756</v>
      </c>
      <c r="AH3756">
        <v>22.767421774071099</v>
      </c>
      <c r="AI3756">
        <v>92.8059773610169</v>
      </c>
      <c r="AJ3756">
        <v>95.384440786227401</v>
      </c>
      <c r="AK3756">
        <v>22.8957798656728</v>
      </c>
      <c r="AL3756">
        <v>77.686517438928007</v>
      </c>
      <c r="AM3756">
        <v>86.653857575321098</v>
      </c>
      <c r="AN3756">
        <v>1.0000000284416</v>
      </c>
    </row>
    <row r="3757" spans="1:40" x14ac:dyDescent="0.25">
      <c r="A3757" t="str">
        <f>"20190303162626977"</f>
        <v>20190303162626977</v>
      </c>
      <c r="B3757" t="str">
        <f>"1551601586967242"</f>
        <v>1551601586967242</v>
      </c>
      <c r="C3757" t="s">
        <v>40</v>
      </c>
      <c r="D3757">
        <v>4.8851199999999997</v>
      </c>
      <c r="E3757">
        <v>0.44311260000000002</v>
      </c>
      <c r="F3757" t="s">
        <v>41</v>
      </c>
      <c r="G3757">
        <v>-379.93029999999999</v>
      </c>
      <c r="H3757" s="1">
        <v>-7.9932240000000001E-8</v>
      </c>
      <c r="I3757">
        <v>139.35249999999999</v>
      </c>
      <c r="J3757">
        <v>-357.52940000000001</v>
      </c>
      <c r="K3757">
        <v>1.1208370000000001</v>
      </c>
      <c r="L3757">
        <v>141.2218</v>
      </c>
      <c r="M3757">
        <v>-0.99985119999999905</v>
      </c>
      <c r="N3757">
        <v>-1.3125919999999999E-2</v>
      </c>
      <c r="O3757">
        <v>1.1201300000000001E-2</v>
      </c>
      <c r="P3757">
        <v>-0.97750099999999995</v>
      </c>
      <c r="Q3757">
        <v>0.2000335</v>
      </c>
      <c r="R3757">
        <v>6.6923410000000003E-2</v>
      </c>
      <c r="S3757">
        <v>-3.118652</v>
      </c>
      <c r="T3757">
        <v>-0.1537039</v>
      </c>
      <c r="U3757">
        <v>-0.25576779999999999</v>
      </c>
      <c r="V3757">
        <v>5.613717E-2</v>
      </c>
      <c r="W3757">
        <v>0.21281159999999999</v>
      </c>
      <c r="X3757">
        <v>0.97547930000000005</v>
      </c>
      <c r="Y3757">
        <v>-9.2748419999999998E-2</v>
      </c>
      <c r="Z3757">
        <v>-3.2947279999999998E-3</v>
      </c>
      <c r="AA3757">
        <v>0.99568409999999996</v>
      </c>
      <c r="AB3757">
        <v>34</v>
      </c>
      <c r="AC3757">
        <v>-22.400899999999901</v>
      </c>
      <c r="AD3757">
        <v>-1.12083707993224</v>
      </c>
      <c r="AE3757">
        <v>-1.8693</v>
      </c>
      <c r="AF3757">
        <v>-2.1148654729791398</v>
      </c>
      <c r="AG3757">
        <v>-1.12083707993224</v>
      </c>
      <c r="AH3757">
        <v>22.3230538904619</v>
      </c>
      <c r="AI3757">
        <v>92.861606326331994</v>
      </c>
      <c r="AJ3757">
        <v>95.411995940107701</v>
      </c>
      <c r="AK3757">
        <v>22.4510059178874</v>
      </c>
      <c r="AL3757">
        <v>77.712829870944702</v>
      </c>
      <c r="AM3757">
        <v>86.706358371077201</v>
      </c>
      <c r="AN3757">
        <v>1.00000001183932</v>
      </c>
    </row>
    <row r="3758" spans="1:40" x14ac:dyDescent="0.25">
      <c r="A3758" t="str">
        <f>"20190303162627006"</f>
        <v>20190303162627006</v>
      </c>
      <c r="B3758" t="str">
        <f>"1551601586997497"</f>
        <v>1551601586997497</v>
      </c>
      <c r="C3758" t="s">
        <v>40</v>
      </c>
      <c r="D3758">
        <v>4.8673029999999997</v>
      </c>
      <c r="E3758">
        <v>0.44342350000000003</v>
      </c>
      <c r="F3758" t="s">
        <v>41</v>
      </c>
      <c r="G3758">
        <v>-379.19580000000002</v>
      </c>
      <c r="H3758" s="1">
        <v>-3.587392E-7</v>
      </c>
      <c r="I3758">
        <v>139.4391</v>
      </c>
      <c r="J3758">
        <v>-357.95569999999998</v>
      </c>
      <c r="K3758">
        <v>1.120841</v>
      </c>
      <c r="L3758">
        <v>141.227</v>
      </c>
      <c r="M3758">
        <v>-0.99984649999999997</v>
      </c>
      <c r="N3758">
        <v>-1.3123320000000001E-2</v>
      </c>
      <c r="O3758">
        <v>1.160776E-2</v>
      </c>
      <c r="P3758">
        <v>-0.9774872</v>
      </c>
      <c r="Q3758">
        <v>0.2002322</v>
      </c>
      <c r="R3758">
        <v>6.6528740000000003E-2</v>
      </c>
      <c r="S3758">
        <v>-3.119659</v>
      </c>
      <c r="T3758">
        <v>-0.1613849</v>
      </c>
      <c r="U3758">
        <v>-0.25666810000000001</v>
      </c>
      <c r="V3758">
        <v>5.5343759999999999E-2</v>
      </c>
      <c r="W3758">
        <v>0.2130087</v>
      </c>
      <c r="X3758">
        <v>0.97548159999999895</v>
      </c>
      <c r="Y3758">
        <v>-9.3397140000000003E-2</v>
      </c>
      <c r="Z3758">
        <v>-3.4716719999999999E-3</v>
      </c>
      <c r="AA3758">
        <v>0.99562289999999998</v>
      </c>
      <c r="AB3758">
        <v>34</v>
      </c>
      <c r="AC3758">
        <v>-21.240100000000002</v>
      </c>
      <c r="AD3758">
        <v>-1.1208413587392001</v>
      </c>
      <c r="AE3758">
        <v>-1.7879</v>
      </c>
      <c r="AF3758">
        <v>-2.0287410967700801</v>
      </c>
      <c r="AG3758">
        <v>-1.1208413587392001</v>
      </c>
      <c r="AH3758">
        <v>21.159405856646199</v>
      </c>
      <c r="AI3758">
        <v>93.018382169379507</v>
      </c>
      <c r="AJ3758">
        <v>95.4767166529452</v>
      </c>
      <c r="AK3758">
        <v>21.285970308995999</v>
      </c>
      <c r="AL3758">
        <v>77.7012716580914</v>
      </c>
      <c r="AM3758">
        <v>86.752816093272301</v>
      </c>
      <c r="AN3758">
        <v>0.99999999499259296</v>
      </c>
    </row>
    <row r="3759" spans="1:40" x14ac:dyDescent="0.25">
      <c r="A3759" t="str">
        <f>"20190303162627027"</f>
        <v>20190303162627027</v>
      </c>
      <c r="B3759" t="str">
        <f>"1551601587017993"</f>
        <v>1551601587017993</v>
      </c>
      <c r="C3759" t="s">
        <v>40</v>
      </c>
      <c r="D3759">
        <v>4.9030589999999998</v>
      </c>
      <c r="E3759">
        <v>0.44299929999999899</v>
      </c>
      <c r="F3759" t="s">
        <v>41</v>
      </c>
      <c r="G3759">
        <v>-379.33879999999999</v>
      </c>
      <c r="H3759" s="1">
        <v>-2.8972700000000001E-7</v>
      </c>
      <c r="I3759">
        <v>139.48220000000001</v>
      </c>
      <c r="J3759">
        <v>-358.28339999999997</v>
      </c>
      <c r="K3759">
        <v>1.1208389999999999</v>
      </c>
      <c r="L3759">
        <v>141.2312</v>
      </c>
      <c r="M3759">
        <v>-0.99984289999999998</v>
      </c>
      <c r="N3759">
        <v>-1.312139E-2</v>
      </c>
      <c r="O3759">
        <v>1.1920119999999999E-2</v>
      </c>
      <c r="P3759">
        <v>-0.97737289999999999</v>
      </c>
      <c r="Q3759">
        <v>0.2008607</v>
      </c>
      <c r="R3759">
        <v>6.6315869999999999E-2</v>
      </c>
      <c r="S3759">
        <v>-3.1198730000000001</v>
      </c>
      <c r="T3759">
        <v>-0.16353480000000001</v>
      </c>
      <c r="U3759">
        <v>-0.25456240000000002</v>
      </c>
      <c r="V3759">
        <v>5.4826449999999999E-2</v>
      </c>
      <c r="W3759">
        <v>0.21363480000000001</v>
      </c>
      <c r="X3759">
        <v>0.97537390000000002</v>
      </c>
      <c r="Y3759">
        <v>-9.3031440000000007E-2</v>
      </c>
      <c r="Z3759">
        <v>-3.5117859999999998E-3</v>
      </c>
      <c r="AA3759">
        <v>0.99565700000000001</v>
      </c>
      <c r="AB3759">
        <v>34</v>
      </c>
      <c r="AC3759">
        <v>-21.055399999999999</v>
      </c>
      <c r="AD3759">
        <v>-1.1208392897270001</v>
      </c>
      <c r="AE3759">
        <v>-1.7489999999999899</v>
      </c>
      <c r="AF3759">
        <v>-1.9942677042569901</v>
      </c>
      <c r="AG3759">
        <v>-1.1208392897270001</v>
      </c>
      <c r="AH3759">
        <v>20.974026130428602</v>
      </c>
      <c r="AI3759">
        <v>93.045233628829706</v>
      </c>
      <c r="AJ3759">
        <v>95.431510255363904</v>
      </c>
      <c r="AK3759">
        <v>21.098415971573399</v>
      </c>
      <c r="AL3759">
        <v>77.664553732403206</v>
      </c>
      <c r="AM3759">
        <v>86.782749711407305</v>
      </c>
      <c r="AN3759">
        <v>1.00000000609592</v>
      </c>
    </row>
    <row r="3760" spans="1:40" x14ac:dyDescent="0.25">
      <c r="A3760" t="str">
        <f>"20190303162627044"</f>
        <v>20190303162627044</v>
      </c>
      <c r="B3760" t="str">
        <f>"1551601587037514"</f>
        <v>1551601587037514</v>
      </c>
      <c r="C3760" t="s">
        <v>40</v>
      </c>
      <c r="D3760">
        <v>4.9326910000000002</v>
      </c>
      <c r="E3760">
        <v>0.41331709999999999</v>
      </c>
      <c r="F3760" t="s">
        <v>41</v>
      </c>
      <c r="G3760">
        <v>-379.8381</v>
      </c>
      <c r="H3760" s="1">
        <v>-8.7009759999999907E-8</v>
      </c>
      <c r="I3760">
        <v>139.44390000000001</v>
      </c>
      <c r="J3760">
        <v>-358.55200000000002</v>
      </c>
      <c r="K3760">
        <v>1.1208359999999999</v>
      </c>
      <c r="L3760">
        <v>141.2346</v>
      </c>
      <c r="M3760">
        <v>-0.9998399</v>
      </c>
      <c r="N3760">
        <v>-1.3119850000000001E-2</v>
      </c>
      <c r="O3760">
        <v>1.217682E-2</v>
      </c>
      <c r="P3760">
        <v>-0.97743020000000003</v>
      </c>
      <c r="Q3760">
        <v>0.2007072</v>
      </c>
      <c r="R3760">
        <v>6.5933439999999996E-2</v>
      </c>
      <c r="S3760">
        <v>-3.1203310000000002</v>
      </c>
      <c r="T3760">
        <v>-0.1622566</v>
      </c>
      <c r="U3760">
        <v>-0.25871280000000002</v>
      </c>
      <c r="V3760">
        <v>5.4191410000000002E-2</v>
      </c>
      <c r="W3760">
        <v>0.21348159999999999</v>
      </c>
      <c r="X3760">
        <v>0.9754429</v>
      </c>
      <c r="Y3760">
        <v>-9.4590190000000005E-2</v>
      </c>
      <c r="Z3760">
        <v>-3.5479470000000001E-3</v>
      </c>
      <c r="AA3760">
        <v>0.99551000000000001</v>
      </c>
      <c r="AB3760">
        <v>34</v>
      </c>
      <c r="AC3760">
        <v>-21.286100000000001</v>
      </c>
      <c r="AD3760">
        <v>-1.12083608700976</v>
      </c>
      <c r="AE3760">
        <v>-1.79069999999998</v>
      </c>
      <c r="AF3760">
        <v>-2.0441586352619598</v>
      </c>
      <c r="AG3760">
        <v>-1.12083608700976</v>
      </c>
      <c r="AH3760">
        <v>21.204336025027001</v>
      </c>
      <c r="AI3760">
        <v>93.011834077014797</v>
      </c>
      <c r="AJ3760">
        <v>95.506460956553298</v>
      </c>
      <c r="AK3760">
        <v>21.332105482636202</v>
      </c>
      <c r="AL3760">
        <v>77.673538359823795</v>
      </c>
      <c r="AM3760">
        <v>86.820161812215403</v>
      </c>
      <c r="AN3760">
        <v>0.99999997680837804</v>
      </c>
    </row>
    <row r="3761" spans="1:40" x14ac:dyDescent="0.25">
      <c r="A3761" t="str">
        <f>"20190303162627067"</f>
        <v>20190303162627067</v>
      </c>
      <c r="B3761" t="str">
        <f>"1551601587057034"</f>
        <v>1551601587057034</v>
      </c>
      <c r="C3761" t="s">
        <v>40</v>
      </c>
      <c r="D3761">
        <v>4.8816329999999999</v>
      </c>
      <c r="E3761">
        <v>0.41207100000000002</v>
      </c>
      <c r="F3761" t="s">
        <v>41</v>
      </c>
      <c r="G3761">
        <v>-378.04149999999998</v>
      </c>
      <c r="H3761" s="1">
        <v>-1.0812450000000001E-6</v>
      </c>
      <c r="I3761">
        <v>138.1575</v>
      </c>
      <c r="J3761">
        <v>-358.88850000000002</v>
      </c>
      <c r="K3761">
        <v>1.1208320000000001</v>
      </c>
      <c r="L3761">
        <v>141.23910000000001</v>
      </c>
      <c r="M3761">
        <v>-0.99983599999999995</v>
      </c>
      <c r="N3761">
        <v>-1.311788E-2</v>
      </c>
      <c r="O3761">
        <v>1.249867E-2</v>
      </c>
      <c r="P3761">
        <v>-0.97761830000000005</v>
      </c>
      <c r="Q3761">
        <v>0.1998557</v>
      </c>
      <c r="R3761">
        <v>6.5728720000000004E-2</v>
      </c>
      <c r="S3761">
        <v>-3.1398009999999998</v>
      </c>
      <c r="T3761">
        <v>-0.18056990000000001</v>
      </c>
      <c r="U3761">
        <v>-0.49571229999999999</v>
      </c>
      <c r="V3761">
        <v>5.3668100000000003E-2</v>
      </c>
      <c r="W3761">
        <v>0.21263090000000001</v>
      </c>
      <c r="X3761">
        <v>0.97565760000000001</v>
      </c>
      <c r="Y3761">
        <v>-0.16793710000000001</v>
      </c>
      <c r="Z3761">
        <v>-6.4559719999999999E-3</v>
      </c>
      <c r="AA3761">
        <v>0.98577650000000006</v>
      </c>
      <c r="AB3761">
        <v>34</v>
      </c>
      <c r="AC3761">
        <v>-19.152999999999899</v>
      </c>
      <c r="AD3761">
        <v>-1.120833081245</v>
      </c>
      <c r="AE3761">
        <v>-3.0815999999999999</v>
      </c>
      <c r="AF3761">
        <v>-3.3097184258782901</v>
      </c>
      <c r="AG3761">
        <v>-1.120833081245</v>
      </c>
      <c r="AH3761">
        <v>19.049394296212</v>
      </c>
      <c r="AI3761">
        <v>93.317711341633995</v>
      </c>
      <c r="AJ3761">
        <v>99.856406893928494</v>
      </c>
      <c r="AK3761">
        <v>19.367238468794799</v>
      </c>
      <c r="AL3761">
        <v>77.723425061474501</v>
      </c>
      <c r="AM3761">
        <v>86.851498044571002</v>
      </c>
      <c r="AN3761">
        <v>0.99999995851508905</v>
      </c>
    </row>
    <row r="3762" spans="1:40" x14ac:dyDescent="0.25">
      <c r="A3762" t="str">
        <f>"20190303162627088"</f>
        <v>20190303162627088</v>
      </c>
      <c r="B3762" t="str">
        <f>"1551601587077530"</f>
        <v>1551601587077530</v>
      </c>
      <c r="C3762" t="s">
        <v>40</v>
      </c>
      <c r="D3762">
        <v>4.9025339999999904</v>
      </c>
      <c r="E3762">
        <v>0.41191410000000001</v>
      </c>
      <c r="F3762" t="s">
        <v>41</v>
      </c>
      <c r="G3762">
        <v>-377.59280000000001</v>
      </c>
      <c r="H3762" s="1">
        <v>-1.2613009999999999E-6</v>
      </c>
      <c r="I3762">
        <v>138.22749999999999</v>
      </c>
      <c r="J3762">
        <v>-359.21640000000002</v>
      </c>
      <c r="K3762">
        <v>1.120824</v>
      </c>
      <c r="L3762">
        <v>141.24350000000001</v>
      </c>
      <c r="M3762">
        <v>-0.9998319</v>
      </c>
      <c r="N3762">
        <v>-1.31159E-2</v>
      </c>
      <c r="O3762">
        <v>1.281271E-2</v>
      </c>
      <c r="P3762">
        <v>-0.97786300000000004</v>
      </c>
      <c r="Q3762">
        <v>0.198661</v>
      </c>
      <c r="R3762">
        <v>6.5711220000000001E-2</v>
      </c>
      <c r="S3762">
        <v>-3.1411739999999999</v>
      </c>
      <c r="T3762">
        <v>-0.18823100000000001</v>
      </c>
      <c r="U3762">
        <v>-0.50573729999999995</v>
      </c>
      <c r="V3762">
        <v>5.3338959999999998E-2</v>
      </c>
      <c r="W3762">
        <v>0.2114384</v>
      </c>
      <c r="X3762">
        <v>0.97593479999999999</v>
      </c>
      <c r="Y3762">
        <v>-0.17121320000000001</v>
      </c>
      <c r="Z3762">
        <v>-6.8193660000000003E-3</v>
      </c>
      <c r="AA3762">
        <v>0.98521040000000004</v>
      </c>
      <c r="AB3762">
        <v>34</v>
      </c>
      <c r="AC3762">
        <v>-18.376399999999901</v>
      </c>
      <c r="AD3762">
        <v>-1.1208252613009999</v>
      </c>
      <c r="AE3762">
        <v>-3.01600000000002</v>
      </c>
      <c r="AF3762">
        <v>-3.23948899326775</v>
      </c>
      <c r="AG3762">
        <v>-1.1208252613009999</v>
      </c>
      <c r="AH3762">
        <v>18.270061089859801</v>
      </c>
      <c r="AI3762">
        <v>93.456776625297906</v>
      </c>
      <c r="AJ3762">
        <v>100.054689690874</v>
      </c>
      <c r="AK3762">
        <v>18.5888587716159</v>
      </c>
      <c r="AL3762">
        <v>77.793340364227205</v>
      </c>
      <c r="AM3762">
        <v>86.8716559818901</v>
      </c>
      <c r="AN3762">
        <v>0.99999998774973997</v>
      </c>
    </row>
    <row r="3763" spans="1:40" x14ac:dyDescent="0.25">
      <c r="A3763" t="str">
        <f>"20190303162627111"</f>
        <v>20190303162627111</v>
      </c>
      <c r="B3763" t="str">
        <f>"1551601587107786"</f>
        <v>1551601587107786</v>
      </c>
      <c r="C3763" t="s">
        <v>40</v>
      </c>
      <c r="D3763">
        <v>4.9104530000000004</v>
      </c>
      <c r="E3763">
        <v>0.41227609999999998</v>
      </c>
      <c r="F3763" t="s">
        <v>41</v>
      </c>
      <c r="G3763">
        <v>-377.52600000000001</v>
      </c>
      <c r="H3763" s="1">
        <v>-1.2789689999999999E-6</v>
      </c>
      <c r="I3763">
        <v>138.2895</v>
      </c>
      <c r="J3763">
        <v>-359.56220000000002</v>
      </c>
      <c r="K3763">
        <v>1.120824</v>
      </c>
      <c r="L3763">
        <v>141.2483</v>
      </c>
      <c r="M3763">
        <v>-0.99982769999999999</v>
      </c>
      <c r="N3763">
        <v>-1.311406E-2</v>
      </c>
      <c r="O3763">
        <v>1.314369E-2</v>
      </c>
      <c r="P3763">
        <v>-0.97797049999999996</v>
      </c>
      <c r="Q3763">
        <v>0.19809199999999999</v>
      </c>
      <c r="R3763">
        <v>6.582884E-2</v>
      </c>
      <c r="S3763">
        <v>-3.141022</v>
      </c>
      <c r="T3763">
        <v>-0.192278</v>
      </c>
      <c r="U3763">
        <v>-0.50674439999999998</v>
      </c>
      <c r="V3763">
        <v>5.3130499999999997E-2</v>
      </c>
      <c r="W3763">
        <v>0.21086930000000001</v>
      </c>
      <c r="X3763">
        <v>0.97606930000000003</v>
      </c>
      <c r="Y3763">
        <v>-0.17183770000000001</v>
      </c>
      <c r="Z3763">
        <v>-6.9840220000000003E-3</v>
      </c>
      <c r="AA3763">
        <v>0.98510050000000005</v>
      </c>
      <c r="AB3763">
        <v>34</v>
      </c>
      <c r="AC3763">
        <v>-17.9637999999999</v>
      </c>
      <c r="AD3763">
        <v>-1.1208252789690001</v>
      </c>
      <c r="AE3763">
        <v>-2.9587999999999899</v>
      </c>
      <c r="AF3763">
        <v>-3.1826127494410898</v>
      </c>
      <c r="AG3763">
        <v>-1.1208252789690001</v>
      </c>
      <c r="AH3763">
        <v>17.855679700448</v>
      </c>
      <c r="AI3763">
        <v>93.5362325683232</v>
      </c>
      <c r="AJ3763">
        <v>100.10631896422299</v>
      </c>
      <c r="AK3763">
        <v>18.1716969703952</v>
      </c>
      <c r="AL3763">
        <v>77.826699638521504</v>
      </c>
      <c r="AM3763">
        <v>86.884286623942998</v>
      </c>
      <c r="AN3763">
        <v>0.99999999505761406</v>
      </c>
    </row>
    <row r="3764" spans="1:40" x14ac:dyDescent="0.25">
      <c r="A3764" t="str">
        <f>"20190303162627134"</f>
        <v>20190303162627134</v>
      </c>
      <c r="B3764" t="str">
        <f>"1551601587127308"</f>
        <v>1551601587127308</v>
      </c>
      <c r="C3764" t="s">
        <v>40</v>
      </c>
      <c r="D3764">
        <v>4.837828</v>
      </c>
      <c r="E3764">
        <v>0.4126629</v>
      </c>
      <c r="F3764" t="s">
        <v>41</v>
      </c>
      <c r="G3764">
        <v>-377.27140000000003</v>
      </c>
      <c r="H3764" s="1">
        <v>-1.366907E-6</v>
      </c>
      <c r="I3764">
        <v>138.40969999999999</v>
      </c>
      <c r="J3764">
        <v>-359.91079999999999</v>
      </c>
      <c r="K3764">
        <v>1.120814</v>
      </c>
      <c r="L3764">
        <v>141.2533</v>
      </c>
      <c r="M3764">
        <v>-0.99982329999999997</v>
      </c>
      <c r="N3764">
        <v>-1.3109020000000001E-2</v>
      </c>
      <c r="O3764">
        <v>1.3478260000000001E-2</v>
      </c>
      <c r="P3764">
        <v>-0.97817019999999999</v>
      </c>
      <c r="Q3764">
        <v>0.19710040000000001</v>
      </c>
      <c r="R3764">
        <v>6.5838899999999895E-2</v>
      </c>
      <c r="S3764">
        <v>-3.1417540000000002</v>
      </c>
      <c r="T3764">
        <v>-0.19884370000000001</v>
      </c>
      <c r="U3764">
        <v>-0.50358579999999997</v>
      </c>
      <c r="V3764">
        <v>5.2809439999999999E-2</v>
      </c>
      <c r="W3764">
        <v>0.20987639999999999</v>
      </c>
      <c r="X3764">
        <v>0.97630070000000002</v>
      </c>
      <c r="Y3764">
        <v>-0.17114170000000001</v>
      </c>
      <c r="Z3764">
        <v>-7.1780739999999996E-3</v>
      </c>
      <c r="AA3764">
        <v>0.98522030000000005</v>
      </c>
      <c r="AB3764">
        <v>34</v>
      </c>
      <c r="AC3764">
        <v>-17.360600000000002</v>
      </c>
      <c r="AD3764">
        <v>-1.120815366907</v>
      </c>
      <c r="AE3764">
        <v>-2.8435999999999999</v>
      </c>
      <c r="AF3764">
        <v>-3.0649113374739501</v>
      </c>
      <c r="AG3764">
        <v>-1.120815366907</v>
      </c>
      <c r="AH3764">
        <v>17.250668772380902</v>
      </c>
      <c r="AI3764">
        <v>93.660250710975504</v>
      </c>
      <c r="AJ3764">
        <v>100.07456361027199</v>
      </c>
      <c r="AK3764">
        <v>17.556636400167001</v>
      </c>
      <c r="AL3764">
        <v>77.884890912059305</v>
      </c>
      <c r="AM3764">
        <v>86.903810268133</v>
      </c>
      <c r="AN3764">
        <v>0.99999999852528099</v>
      </c>
    </row>
    <row r="3765" spans="1:40" x14ac:dyDescent="0.25">
      <c r="A3765" t="str">
        <f>"20190303162627155"</f>
        <v>20190303162627155</v>
      </c>
      <c r="B3765" t="str">
        <f>"1551601587147802"</f>
        <v>1551601587147802</v>
      </c>
      <c r="C3765" t="s">
        <v>40</v>
      </c>
      <c r="D3765">
        <v>4.7966689999999996</v>
      </c>
      <c r="E3765">
        <v>0.41283619999999999</v>
      </c>
      <c r="F3765" t="s">
        <v>41</v>
      </c>
      <c r="G3765">
        <v>-377.26670000000001</v>
      </c>
      <c r="H3765" s="1">
        <v>-1.3544859999999999E-6</v>
      </c>
      <c r="I3765">
        <v>138.49100000000001</v>
      </c>
      <c r="J3765">
        <v>-360.23660000000001</v>
      </c>
      <c r="K3765">
        <v>1.120803</v>
      </c>
      <c r="L3765">
        <v>141.25799999999899</v>
      </c>
      <c r="M3765">
        <v>-0.99981920000000002</v>
      </c>
      <c r="N3765">
        <v>-1.3099980000000001E-2</v>
      </c>
      <c r="O3765">
        <v>1.3790749999999999E-2</v>
      </c>
      <c r="P3765">
        <v>-0.97838619999999998</v>
      </c>
      <c r="Q3765">
        <v>0.19601830000000001</v>
      </c>
      <c r="R3765">
        <v>6.5861279999999994E-2</v>
      </c>
      <c r="S3765">
        <v>-3.1414789999999999</v>
      </c>
      <c r="T3765">
        <v>-0.20287240000000001</v>
      </c>
      <c r="U3765">
        <v>-0.49996950000000001</v>
      </c>
      <c r="V3765">
        <v>5.2522180000000002E-2</v>
      </c>
      <c r="W3765">
        <v>0.20878849999999999</v>
      </c>
      <c r="X3765">
        <v>0.97654940000000001</v>
      </c>
      <c r="Y3765">
        <v>-0.17034260000000001</v>
      </c>
      <c r="Z3765">
        <v>-7.2893940000000003E-3</v>
      </c>
      <c r="AA3765">
        <v>0.98535790000000001</v>
      </c>
      <c r="AB3765">
        <v>34</v>
      </c>
      <c r="AC3765">
        <v>-17.030100000000001</v>
      </c>
      <c r="AD3765">
        <v>-1.120804354486</v>
      </c>
      <c r="AE3765">
        <v>-2.7669999999999599</v>
      </c>
      <c r="AF3765">
        <v>-2.9890013131148998</v>
      </c>
      <c r="AG3765">
        <v>-1.120804354486</v>
      </c>
      <c r="AH3765">
        <v>16.9189206436108</v>
      </c>
      <c r="AI3765">
        <v>93.7324250480888</v>
      </c>
      <c r="AJ3765">
        <v>100.01884833242001</v>
      </c>
      <c r="AK3765">
        <v>17.217439037081999</v>
      </c>
      <c r="AL3765">
        <v>77.948634979335694</v>
      </c>
      <c r="AM3765">
        <v>86.921402392724204</v>
      </c>
      <c r="AN3765">
        <v>0.99999997388228001</v>
      </c>
    </row>
    <row r="3766" spans="1:40" x14ac:dyDescent="0.25">
      <c r="A3766" t="str">
        <f>"20190303162627179"</f>
        <v>20190303162627179</v>
      </c>
      <c r="B3766" t="str">
        <f>"1551601587167321"</f>
        <v>1551601587167321</v>
      </c>
      <c r="C3766" t="s">
        <v>40</v>
      </c>
      <c r="D3766">
        <v>4.7912460000000001</v>
      </c>
      <c r="E3766">
        <v>0.41327770000000003</v>
      </c>
      <c r="F3766" t="s">
        <v>41</v>
      </c>
      <c r="G3766">
        <v>-377.38119999999998</v>
      </c>
      <c r="H3766" s="1">
        <v>-1.2964099999999901E-6</v>
      </c>
      <c r="I3766">
        <v>138.54140000000001</v>
      </c>
      <c r="J3766">
        <v>-360.58359999999999</v>
      </c>
      <c r="K3766">
        <v>1.120808</v>
      </c>
      <c r="L3766">
        <v>141.26320000000001</v>
      </c>
      <c r="M3766">
        <v>-0.99981469999999995</v>
      </c>
      <c r="N3766">
        <v>-1.3088799999999999E-2</v>
      </c>
      <c r="O3766">
        <v>1.412193E-2</v>
      </c>
      <c r="P3766">
        <v>-0.97861089999999995</v>
      </c>
      <c r="Q3766">
        <v>0.19481850000000001</v>
      </c>
      <c r="R3766">
        <v>6.6080429999999996E-2</v>
      </c>
      <c r="S3766">
        <v>-3.1408689999999999</v>
      </c>
      <c r="T3766">
        <v>-0.20533009999999999</v>
      </c>
      <c r="U3766">
        <v>-0.49766539999999998</v>
      </c>
      <c r="V3766">
        <v>5.2413170000000002E-2</v>
      </c>
      <c r="W3766">
        <v>0.2075815</v>
      </c>
      <c r="X3766">
        <v>0.97681249999999997</v>
      </c>
      <c r="Y3766">
        <v>-0.1699841</v>
      </c>
      <c r="Z3766">
        <v>-7.3700529999999997E-3</v>
      </c>
      <c r="AA3766">
        <v>0.9854193</v>
      </c>
      <c r="AB3766">
        <v>34</v>
      </c>
      <c r="AC3766">
        <v>-16.7975999999999</v>
      </c>
      <c r="AD3766">
        <v>-1.12080929641</v>
      </c>
      <c r="AE3766">
        <v>-2.7218</v>
      </c>
      <c r="AF3766">
        <v>-2.94598298898855</v>
      </c>
      <c r="AG3766">
        <v>-1.12080929641</v>
      </c>
      <c r="AH3766">
        <v>16.685100343629198</v>
      </c>
      <c r="AI3766">
        <v>93.784662125340304</v>
      </c>
      <c r="AJ3766">
        <v>100.013153300333</v>
      </c>
      <c r="AK3766">
        <v>16.980212093119</v>
      </c>
      <c r="AL3766">
        <v>78.019339766866395</v>
      </c>
      <c r="AM3766">
        <v>86.928605685595201</v>
      </c>
      <c r="AN3766">
        <v>0.99999993984397195</v>
      </c>
    </row>
    <row r="3767" spans="1:40" x14ac:dyDescent="0.25">
      <c r="A3767" t="str">
        <f>"20190303162627204"</f>
        <v>20190303162627204</v>
      </c>
      <c r="B3767" t="str">
        <f>"1551601587197578"</f>
        <v>1551601587197578</v>
      </c>
      <c r="C3767" t="s">
        <v>40</v>
      </c>
      <c r="D3767">
        <v>4.6782839999999997</v>
      </c>
      <c r="E3767">
        <v>0.41364319999999999</v>
      </c>
      <c r="F3767" t="s">
        <v>41</v>
      </c>
      <c r="G3767">
        <v>-377.50659999999999</v>
      </c>
      <c r="H3767" s="1">
        <v>-1.2311209999999999E-6</v>
      </c>
      <c r="I3767">
        <v>138.6062</v>
      </c>
      <c r="J3767">
        <v>-360.97739999999999</v>
      </c>
      <c r="K3767">
        <v>1.1208009999999999</v>
      </c>
      <c r="L3767">
        <v>141.26920000000001</v>
      </c>
      <c r="M3767">
        <v>-0.99980939999999996</v>
      </c>
      <c r="N3767">
        <v>-1.307617E-2</v>
      </c>
      <c r="O3767">
        <v>1.449626E-2</v>
      </c>
      <c r="P3767">
        <v>-0.97866759999999997</v>
      </c>
      <c r="Q3767">
        <v>0.1942169</v>
      </c>
      <c r="R3767">
        <v>6.7005399999999896E-2</v>
      </c>
      <c r="S3767">
        <v>-3.1402589999999999</v>
      </c>
      <c r="T3767">
        <v>-0.20797969999999999</v>
      </c>
      <c r="U3767">
        <v>-0.49301149999999999</v>
      </c>
      <c r="V3767">
        <v>5.2970540000000003E-2</v>
      </c>
      <c r="W3767">
        <v>0.20696809999999999</v>
      </c>
      <c r="X3767">
        <v>0.97691269999999997</v>
      </c>
      <c r="Y3767">
        <v>-0.16894879999999901</v>
      </c>
      <c r="Z3767">
        <v>-7.4327739999999996E-3</v>
      </c>
      <c r="AA3767">
        <v>0.98559680000000005</v>
      </c>
      <c r="AB3767">
        <v>34</v>
      </c>
      <c r="AC3767">
        <v>-16.529199999999999</v>
      </c>
      <c r="AD3767">
        <v>-1.120802231121</v>
      </c>
      <c r="AE3767">
        <v>-2.66300000000001</v>
      </c>
      <c r="AF3767">
        <v>-2.8894032820414499</v>
      </c>
      <c r="AG3767">
        <v>-1.120802231121</v>
      </c>
      <c r="AH3767">
        <v>16.4152905459508</v>
      </c>
      <c r="AI3767">
        <v>93.847016437254297</v>
      </c>
      <c r="AJ3767">
        <v>99.982886060962997</v>
      </c>
      <c r="AK3767">
        <v>16.705286967769801</v>
      </c>
      <c r="AL3767">
        <v>78.055266512825796</v>
      </c>
      <c r="AM3767">
        <v>86.896325270823397</v>
      </c>
      <c r="AN3767">
        <v>1.0000000479733899</v>
      </c>
    </row>
    <row r="3768" spans="1:40" x14ac:dyDescent="0.25">
      <c r="A3768" t="str">
        <f>"20190303162627224"</f>
        <v>20190303162627224</v>
      </c>
      <c r="B3768" t="str">
        <f>"1551601587218074"</f>
        <v>1551601587218074</v>
      </c>
      <c r="C3768" t="s">
        <v>40</v>
      </c>
      <c r="D3768">
        <v>4.7835409999999996</v>
      </c>
      <c r="E3768">
        <v>0.41371459999999999</v>
      </c>
      <c r="F3768" t="s">
        <v>41</v>
      </c>
      <c r="G3768">
        <v>-377.36599999999999</v>
      </c>
      <c r="H3768" s="1">
        <v>-1.270096E-6</v>
      </c>
      <c r="I3768">
        <v>138.72659999999999</v>
      </c>
      <c r="J3768">
        <v>-361.28300000000002</v>
      </c>
      <c r="K3768">
        <v>1.1207910000000001</v>
      </c>
      <c r="L3768">
        <v>141.2739</v>
      </c>
      <c r="M3768">
        <v>-0.99980530000000001</v>
      </c>
      <c r="N3768">
        <v>-1.30668999999999E-2</v>
      </c>
      <c r="O3768">
        <v>1.4787460000000001E-2</v>
      </c>
      <c r="P3768">
        <v>-0.97881660000000004</v>
      </c>
      <c r="Q3768">
        <v>0.19316800000000001</v>
      </c>
      <c r="R3768">
        <v>6.7853579999999997E-2</v>
      </c>
      <c r="S3768">
        <v>-3.1414179999999998</v>
      </c>
      <c r="T3768">
        <v>-0.214839</v>
      </c>
      <c r="U3768">
        <v>-0.48735050000000002</v>
      </c>
      <c r="V3768">
        <v>5.3529960000000001E-2</v>
      </c>
      <c r="W3768">
        <v>0.20591229999999999</v>
      </c>
      <c r="X3768">
        <v>0.97710529999999995</v>
      </c>
      <c r="Y3768">
        <v>-0.1674216</v>
      </c>
      <c r="Z3768">
        <v>-7.598774E-3</v>
      </c>
      <c r="AA3768">
        <v>0.98585610000000001</v>
      </c>
      <c r="AB3768">
        <v>34</v>
      </c>
      <c r="AC3768">
        <v>-16.082999999999899</v>
      </c>
      <c r="AD3768">
        <v>-1.120792270096</v>
      </c>
      <c r="AE3768">
        <v>-2.5472999999999999</v>
      </c>
      <c r="AF3768">
        <v>-2.7717371405848601</v>
      </c>
      <c r="AG3768">
        <v>-1.120792270096</v>
      </c>
      <c r="AH3768">
        <v>15.9679206674912</v>
      </c>
      <c r="AI3768">
        <v>93.956055159092301</v>
      </c>
      <c r="AJ3768">
        <v>99.847372843525406</v>
      </c>
      <c r="AK3768">
        <v>16.2454052744921</v>
      </c>
      <c r="AL3768">
        <v>78.117091167633006</v>
      </c>
      <c r="AM3768">
        <v>86.864229559085501</v>
      </c>
      <c r="AN3768">
        <v>1.00000004959848</v>
      </c>
    </row>
    <row r="3769" spans="1:40" x14ac:dyDescent="0.25">
      <c r="A3769" t="str">
        <f>"20190303162627246"</f>
        <v>20190303162627246</v>
      </c>
      <c r="B3769" t="str">
        <f>"1551601587237593"</f>
        <v>1551601587237593</v>
      </c>
      <c r="C3769" t="s">
        <v>40</v>
      </c>
      <c r="D3769">
        <v>4.7679479999999996</v>
      </c>
      <c r="E3769">
        <v>0.41369230000000001</v>
      </c>
      <c r="F3769" t="s">
        <v>41</v>
      </c>
      <c r="G3769">
        <v>-377.35739999999998</v>
      </c>
      <c r="H3769" s="1">
        <v>-1.2609080000000001E-6</v>
      </c>
      <c r="I3769">
        <v>138.79910000000001</v>
      </c>
      <c r="J3769">
        <v>-361.60939999999999</v>
      </c>
      <c r="K3769">
        <v>1.120781</v>
      </c>
      <c r="L3769">
        <v>141.2791</v>
      </c>
      <c r="M3769">
        <v>-0.99980069999999999</v>
      </c>
      <c r="N3769">
        <v>-1.30574E-2</v>
      </c>
      <c r="O3769">
        <v>1.5099700000000001E-2</v>
      </c>
      <c r="P3769">
        <v>-0.97913030000000001</v>
      </c>
      <c r="Q3769">
        <v>0.19161130000000001</v>
      </c>
      <c r="R3769">
        <v>6.7741129999999997E-2</v>
      </c>
      <c r="S3769">
        <v>-3.1416930000000001</v>
      </c>
      <c r="T3769">
        <v>-0.219056</v>
      </c>
      <c r="U3769">
        <v>-0.48367310000000002</v>
      </c>
      <c r="V3769">
        <v>5.3104829999999999E-2</v>
      </c>
      <c r="W3769">
        <v>0.20435120000000001</v>
      </c>
      <c r="X3769">
        <v>0.9774562</v>
      </c>
      <c r="Y3769">
        <v>-0.16657359999999999</v>
      </c>
      <c r="Z3769">
        <v>-7.7117030000000003E-3</v>
      </c>
      <c r="AA3769">
        <v>0.98599890000000001</v>
      </c>
      <c r="AB3769">
        <v>34</v>
      </c>
      <c r="AC3769">
        <v>-15.7479999999999</v>
      </c>
      <c r="AD3769">
        <v>-1.120782260908</v>
      </c>
      <c r="AE3769">
        <v>-2.47999999999998</v>
      </c>
      <c r="AF3769">
        <v>-2.7041620696834299</v>
      </c>
      <c r="AG3769">
        <v>-1.120782260908</v>
      </c>
      <c r="AH3769">
        <v>15.6314941580916</v>
      </c>
      <c r="AI3769">
        <v>94.0412815319945</v>
      </c>
      <c r="AJ3769">
        <v>99.814713842778005</v>
      </c>
      <c r="AK3769">
        <v>15.9032152406339</v>
      </c>
      <c r="AL3769">
        <v>78.208479392435805</v>
      </c>
      <c r="AM3769">
        <v>86.890199051694694</v>
      </c>
      <c r="AN3769">
        <v>1.0000000794146</v>
      </c>
    </row>
    <row r="3770" spans="1:40" x14ac:dyDescent="0.25">
      <c r="A3770" t="str">
        <f>"20190303162627278"</f>
        <v>20190303162627278</v>
      </c>
      <c r="B3770" t="str">
        <f>"1551601587267850"</f>
        <v>1551601587267850</v>
      </c>
      <c r="C3770" t="s">
        <v>40</v>
      </c>
      <c r="D3770">
        <v>4.8447800000000001</v>
      </c>
      <c r="E3770">
        <v>0.41367540000000003</v>
      </c>
      <c r="F3770" t="s">
        <v>41</v>
      </c>
      <c r="G3770">
        <v>-377.4384</v>
      </c>
      <c r="H3770" s="1">
        <v>-1.21862E-6</v>
      </c>
      <c r="I3770">
        <v>138.8417</v>
      </c>
      <c r="J3770">
        <v>-362.09629999999999</v>
      </c>
      <c r="K3770">
        <v>1.120784</v>
      </c>
      <c r="L3770">
        <v>141.28700000000001</v>
      </c>
      <c r="M3770">
        <v>-0.99979379999999995</v>
      </c>
      <c r="N3770">
        <v>-1.304437E-2</v>
      </c>
      <c r="O3770">
        <v>1.5566490000000001E-2</v>
      </c>
      <c r="P3770">
        <v>-0.97960179999999997</v>
      </c>
      <c r="Q3770">
        <v>0.1891253</v>
      </c>
      <c r="R3770">
        <v>6.7912360000000005E-2</v>
      </c>
      <c r="S3770">
        <v>-3.14093</v>
      </c>
      <c r="T3770">
        <v>-0.2223966</v>
      </c>
      <c r="U3770">
        <v>-0.48364259999999898</v>
      </c>
      <c r="V3770">
        <v>5.280837E-2</v>
      </c>
      <c r="W3770">
        <v>0.20185980000000001</v>
      </c>
      <c r="X3770">
        <v>0.97798969999999996</v>
      </c>
      <c r="Y3770">
        <v>-0.1670441</v>
      </c>
      <c r="Z3770">
        <v>-7.8625680000000003E-3</v>
      </c>
      <c r="AA3770">
        <v>0.98591810000000002</v>
      </c>
      <c r="AB3770">
        <v>34</v>
      </c>
      <c r="AC3770">
        <v>-15.3421</v>
      </c>
      <c r="AD3770">
        <v>-1.12078521862</v>
      </c>
      <c r="AE3770">
        <v>-2.4453</v>
      </c>
      <c r="AF3770">
        <v>-2.6699508164842598</v>
      </c>
      <c r="AG3770">
        <v>-1.12078521862</v>
      </c>
      <c r="AH3770">
        <v>15.222944722009901</v>
      </c>
      <c r="AI3770">
        <v>94.147703210830599</v>
      </c>
      <c r="AJ3770">
        <v>99.947920107272907</v>
      </c>
      <c r="AK3770">
        <v>15.4958976144685</v>
      </c>
      <c r="AL3770">
        <v>78.354263556942897</v>
      </c>
      <c r="AM3770">
        <v>86.909209552273197</v>
      </c>
      <c r="AN3770">
        <v>0.99999997805209295</v>
      </c>
    </row>
    <row r="3771" spans="1:40" x14ac:dyDescent="0.25">
      <c r="A3771" t="str">
        <f>"20190303162627301"</f>
        <v>20190303162627301</v>
      </c>
      <c r="B3771" t="str">
        <f>"1551601587287369"</f>
        <v>1551601587287369</v>
      </c>
      <c r="C3771" t="s">
        <v>40</v>
      </c>
      <c r="D3771">
        <v>4.8143900000000004</v>
      </c>
      <c r="E3771">
        <v>0.41369159999999999</v>
      </c>
      <c r="F3771" t="s">
        <v>41</v>
      </c>
      <c r="G3771">
        <v>-377.59789999999998</v>
      </c>
      <c r="H3771" s="1">
        <v>-1.1404819999999899E-6</v>
      </c>
      <c r="I3771">
        <v>138.8964</v>
      </c>
      <c r="J3771">
        <v>-362.4402</v>
      </c>
      <c r="K3771">
        <v>1.120781</v>
      </c>
      <c r="L3771">
        <v>141.2928</v>
      </c>
      <c r="M3771">
        <v>-0.99978869999999997</v>
      </c>
      <c r="N3771">
        <v>-1.303618E-2</v>
      </c>
      <c r="O3771">
        <v>1.5895949999999999E-2</v>
      </c>
      <c r="P3771">
        <v>-0.97983810000000005</v>
      </c>
      <c r="Q3771">
        <v>0.18755440000000001</v>
      </c>
      <c r="R3771">
        <v>6.8853479999999995E-2</v>
      </c>
      <c r="S3771">
        <v>-3.1398929999999998</v>
      </c>
      <c r="T3771">
        <v>-0.22701840000000001</v>
      </c>
      <c r="U3771">
        <v>-0.4842072</v>
      </c>
      <c r="V3771">
        <v>5.3420719999999998E-2</v>
      </c>
      <c r="W3771">
        <v>0.20028380000000001</v>
      </c>
      <c r="X3771">
        <v>0.97828040000000005</v>
      </c>
      <c r="Y3771">
        <v>-0.16756860000000001</v>
      </c>
      <c r="Z3771">
        <v>-8.0504019999999999E-3</v>
      </c>
      <c r="AA3771">
        <v>0.98582760000000003</v>
      </c>
      <c r="AB3771">
        <v>34</v>
      </c>
      <c r="AC3771">
        <v>-15.157699999999901</v>
      </c>
      <c r="AD3771">
        <v>-1.120782140482</v>
      </c>
      <c r="AE3771">
        <v>-2.3963999999999999</v>
      </c>
      <c r="AF3771">
        <v>-2.6230721748648702</v>
      </c>
      <c r="AG3771">
        <v>-1.120782140482</v>
      </c>
      <c r="AH3771">
        <v>15.037478126136801</v>
      </c>
      <c r="AI3771">
        <v>94.199343721616501</v>
      </c>
      <c r="AJ3771">
        <v>99.894868103372602</v>
      </c>
      <c r="AK3771">
        <v>15.3056332320821</v>
      </c>
      <c r="AL3771">
        <v>78.446444131469903</v>
      </c>
      <c r="AM3771">
        <v>86.874367601387902</v>
      </c>
      <c r="AN3771">
        <v>0.99999995744595804</v>
      </c>
    </row>
    <row r="3772" spans="1:40" x14ac:dyDescent="0.25">
      <c r="A3772" t="str">
        <f>"20190303162627324"</f>
        <v>20190303162627324</v>
      </c>
      <c r="B3772" t="str">
        <f>"1551601587317626"</f>
        <v>1551601587317626</v>
      </c>
      <c r="C3772" t="s">
        <v>40</v>
      </c>
      <c r="D3772">
        <v>4.9231290000000003</v>
      </c>
      <c r="E3772">
        <v>0.4495459</v>
      </c>
      <c r="F3772" t="s">
        <v>41</v>
      </c>
      <c r="G3772">
        <v>-377.75850000000003</v>
      </c>
      <c r="H3772" s="1">
        <v>-1.063145E-6</v>
      </c>
      <c r="I3772">
        <v>138.94390000000001</v>
      </c>
      <c r="J3772">
        <v>-362.78890000000001</v>
      </c>
      <c r="K3772">
        <v>1.120781</v>
      </c>
      <c r="L3772">
        <v>141.2987</v>
      </c>
      <c r="M3772">
        <v>-0.99978350000000005</v>
      </c>
      <c r="N3772">
        <v>-1.30286E-2</v>
      </c>
      <c r="O3772">
        <v>1.6229110000000001E-2</v>
      </c>
      <c r="P3772">
        <v>-0.97995759999999998</v>
      </c>
      <c r="Q3772">
        <v>0.1864537</v>
      </c>
      <c r="R3772">
        <v>7.0131689999999997E-2</v>
      </c>
      <c r="S3772">
        <v>-3.139526</v>
      </c>
      <c r="T3772">
        <v>-0.22970740000000001</v>
      </c>
      <c r="U3772">
        <v>-0.48138429999999999</v>
      </c>
      <c r="V3772">
        <v>5.436879E-2</v>
      </c>
      <c r="W3772">
        <v>0.19917689999999999</v>
      </c>
      <c r="X3772">
        <v>0.97845420000000005</v>
      </c>
      <c r="Y3772">
        <v>-0.16703750000000001</v>
      </c>
      <c r="Z3772">
        <v>-8.1328249999999998E-3</v>
      </c>
      <c r="AA3772">
        <v>0.98591700000000004</v>
      </c>
      <c r="AB3772">
        <v>34</v>
      </c>
      <c r="AC3772">
        <v>-14.9696</v>
      </c>
      <c r="AD3772">
        <v>-1.1207820631450001</v>
      </c>
      <c r="AE3772">
        <v>-2.35479999999998</v>
      </c>
      <c r="AF3772">
        <v>-2.5833223189330399</v>
      </c>
      <c r="AG3772">
        <v>-1.1207820631450001</v>
      </c>
      <c r="AH3772">
        <v>14.848185517169201</v>
      </c>
      <c r="AI3772">
        <v>94.253008477212703</v>
      </c>
      <c r="AJ3772">
        <v>99.869661700024096</v>
      </c>
      <c r="AK3772">
        <v>15.1128528011371</v>
      </c>
      <c r="AL3772">
        <v>78.511169621053</v>
      </c>
      <c r="AM3772">
        <v>86.819573070193002</v>
      </c>
      <c r="AN3772">
        <v>1.0000000121586501</v>
      </c>
    </row>
    <row r="3773" spans="1:40" x14ac:dyDescent="0.25">
      <c r="A3773" t="str">
        <f>"20190303162627345"</f>
        <v>20190303162627345</v>
      </c>
      <c r="B3773" t="str">
        <f>"1551601587337147"</f>
        <v>1551601587337147</v>
      </c>
      <c r="C3773" t="s">
        <v>40</v>
      </c>
      <c r="D3773">
        <v>4.7858890000000001</v>
      </c>
      <c r="E3773">
        <v>0.50053019999999904</v>
      </c>
      <c r="F3773" t="s">
        <v>41</v>
      </c>
      <c r="G3773">
        <v>-374.92340000000002</v>
      </c>
      <c r="H3773" s="1">
        <v>-2.4097599999999999E-6</v>
      </c>
      <c r="I3773">
        <v>140.55430000000001</v>
      </c>
      <c r="J3773">
        <v>-363.1223</v>
      </c>
      <c r="K3773">
        <v>1.12077</v>
      </c>
      <c r="L3773">
        <v>141.30449999999999</v>
      </c>
      <c r="M3773">
        <v>-0.99977839999999996</v>
      </c>
      <c r="N3773">
        <v>-1.302203E-2</v>
      </c>
      <c r="O3773">
        <v>1.6547659999999999E-2</v>
      </c>
      <c r="P3773">
        <v>-0.98016380000000003</v>
      </c>
      <c r="Q3773">
        <v>0.18490619999999999</v>
      </c>
      <c r="R3773">
        <v>7.1337940000000002E-2</v>
      </c>
      <c r="S3773">
        <v>-3.130096</v>
      </c>
      <c r="T3773">
        <v>-0.289107</v>
      </c>
      <c r="U3773">
        <v>-0.19198609999999999</v>
      </c>
      <c r="V3773">
        <v>5.5257729999999998E-2</v>
      </c>
      <c r="W3773">
        <v>0.19762579999999999</v>
      </c>
      <c r="X3773">
        <v>0.97871889999999995</v>
      </c>
      <c r="Y3773">
        <v>-7.7303860000000002E-2</v>
      </c>
      <c r="Z3773">
        <v>-5.3731569999999999E-3</v>
      </c>
      <c r="AA3773">
        <v>0.99699309999999997</v>
      </c>
      <c r="AB3773">
        <v>34</v>
      </c>
      <c r="AC3773">
        <v>-11.8011</v>
      </c>
      <c r="AD3773">
        <v>-1.12077240976</v>
      </c>
      <c r="AE3773">
        <v>-0.750199999999978</v>
      </c>
      <c r="AF3773">
        <v>-0.93697719464624696</v>
      </c>
      <c r="AG3773">
        <v>-1.12077240976</v>
      </c>
      <c r="AH3773">
        <v>11.6821241737379</v>
      </c>
      <c r="AI3773">
        <v>95.462696631250395</v>
      </c>
      <c r="AJ3773">
        <v>94.585652561509306</v>
      </c>
      <c r="AK3773">
        <v>11.773108436959101</v>
      </c>
      <c r="AL3773">
        <v>78.601843834142599</v>
      </c>
      <c r="AM3773">
        <v>86.768554211406098</v>
      </c>
      <c r="AN3773">
        <v>1.0000000293838001</v>
      </c>
    </row>
    <row r="3774" spans="1:40" x14ac:dyDescent="0.25">
      <c r="A3774" t="str">
        <f>"20190303162627380"</f>
        <v>20190303162627380</v>
      </c>
      <c r="B3774" t="str">
        <f>"1551601587367401"</f>
        <v>1551601587367401</v>
      </c>
      <c r="C3774" t="s">
        <v>40</v>
      </c>
      <c r="D3774">
        <v>4.9071249999999997</v>
      </c>
      <c r="E3774">
        <v>0.51461210000000002</v>
      </c>
      <c r="F3774" t="s">
        <v>42</v>
      </c>
      <c r="G3774">
        <v>-363.98500000000001</v>
      </c>
      <c r="H3774">
        <v>0.93737969999999904</v>
      </c>
      <c r="I3774">
        <v>141.36359999999999</v>
      </c>
      <c r="J3774">
        <v>-363.63369999999998</v>
      </c>
      <c r="K3774">
        <v>1.12076</v>
      </c>
      <c r="L3774">
        <v>141.31360000000001</v>
      </c>
      <c r="M3774">
        <v>-0.9997703</v>
      </c>
      <c r="N3774">
        <v>-1.301303E-2</v>
      </c>
      <c r="O3774">
        <v>1.7036320000000001E-2</v>
      </c>
      <c r="P3774">
        <v>-0.98016420000000004</v>
      </c>
      <c r="Q3774">
        <v>0.1842346</v>
      </c>
      <c r="R3774">
        <v>7.304832E-2</v>
      </c>
      <c r="S3774">
        <v>-3.1720890000000002</v>
      </c>
      <c r="T3774">
        <v>-0.67437290000000005</v>
      </c>
      <c r="U3774">
        <v>0.2170715</v>
      </c>
      <c r="V3774">
        <v>5.6487469999999998E-2</v>
      </c>
      <c r="W3774">
        <v>0.1969456</v>
      </c>
      <c r="X3774">
        <v>0.97878580000000004</v>
      </c>
      <c r="Y3774">
        <v>5.040654E-2</v>
      </c>
      <c r="Z3774">
        <v>2.267177E-3</v>
      </c>
      <c r="AA3774">
        <v>0.99872620000000001</v>
      </c>
      <c r="AB3774">
        <v>34</v>
      </c>
      <c r="AC3774">
        <v>-0.35130000000003703</v>
      </c>
      <c r="AD3774">
        <v>-0.1833803</v>
      </c>
      <c r="AE3774">
        <v>4.9999999999982898E-2</v>
      </c>
      <c r="AF3774">
        <v>3.4731367450892003E-2</v>
      </c>
      <c r="AG3774">
        <v>-0.1833803</v>
      </c>
      <c r="AH3774">
        <v>0.27788399174387302</v>
      </c>
      <c r="AI3774">
        <v>123.21766091515499</v>
      </c>
      <c r="AJ3774">
        <v>82.8758224079277</v>
      </c>
      <c r="AK3774">
        <v>0.33474485086496503</v>
      </c>
      <c r="AL3774">
        <v>78.641597670933805</v>
      </c>
      <c r="AM3774">
        <v>86.697022391028398</v>
      </c>
      <c r="AN3774">
        <v>1.000000022954</v>
      </c>
    </row>
    <row r="3775" spans="1:40" x14ac:dyDescent="0.25">
      <c r="A3775" t="str">
        <f>"20190303162627404"</f>
        <v>20190303162627404</v>
      </c>
      <c r="B3775" t="str">
        <f>"1551601587397658"</f>
        <v>1551601587397658</v>
      </c>
      <c r="C3775" t="s">
        <v>40</v>
      </c>
      <c r="D3775">
        <v>4.9098309999999996</v>
      </c>
      <c r="E3775">
        <v>0.51724999999999999</v>
      </c>
      <c r="F3775" t="s">
        <v>42</v>
      </c>
      <c r="G3775">
        <v>-364.55520000000001</v>
      </c>
      <c r="H3775">
        <v>0.8598962</v>
      </c>
      <c r="I3775">
        <v>141.40989999999999</v>
      </c>
      <c r="J3775">
        <v>-364.00009999999997</v>
      </c>
      <c r="K3775">
        <v>1.12076</v>
      </c>
      <c r="L3775">
        <v>141.3202</v>
      </c>
      <c r="M3775">
        <v>-0.99976430000000005</v>
      </c>
      <c r="N3775">
        <v>-1.300722E-2</v>
      </c>
      <c r="O3775">
        <v>1.738663E-2</v>
      </c>
      <c r="P3775">
        <v>-0.98000759999999998</v>
      </c>
      <c r="Q3775">
        <v>0.18493490000000001</v>
      </c>
      <c r="R3775">
        <v>7.3378890000000002E-2</v>
      </c>
      <c r="S3775">
        <v>-3.2063290000000002</v>
      </c>
      <c r="T3775">
        <v>-0.90765090000000004</v>
      </c>
      <c r="U3775">
        <v>0.33485409999999999</v>
      </c>
      <c r="V3775">
        <v>5.6477090000000001E-2</v>
      </c>
      <c r="W3775">
        <v>0.19763839999999999</v>
      </c>
      <c r="X3775">
        <v>0.97864669999999998</v>
      </c>
      <c r="Y3775">
        <v>8.3763539999999997E-2</v>
      </c>
      <c r="Z3775">
        <v>7.5629879999999997E-3</v>
      </c>
      <c r="AA3775">
        <v>0.99645700000000004</v>
      </c>
      <c r="AB3775">
        <v>34</v>
      </c>
      <c r="AC3775">
        <v>-0.55510000000003801</v>
      </c>
      <c r="AD3775">
        <v>-0.26086379999999998</v>
      </c>
      <c r="AE3775">
        <v>8.9699999999993396E-2</v>
      </c>
      <c r="AF3775">
        <v>6.5859722850598199E-2</v>
      </c>
      <c r="AG3775">
        <v>-0.26086379999999998</v>
      </c>
      <c r="AH3775">
        <v>0.45800269620644701</v>
      </c>
      <c r="AI3775">
        <v>119.412970817116</v>
      </c>
      <c r="AJ3775">
        <v>81.817093862804896</v>
      </c>
      <c r="AK3775">
        <v>0.53118160263395098</v>
      </c>
      <c r="AL3775">
        <v>78.601106824395899</v>
      </c>
      <c r="AM3775">
        <v>86.697159650972694</v>
      </c>
      <c r="AN3775">
        <v>0.99999998113515798</v>
      </c>
    </row>
    <row r="3776" spans="1:40" x14ac:dyDescent="0.25">
      <c r="A3776" t="str">
        <f>"20190303162627426"</f>
        <v>20190303162627426</v>
      </c>
      <c r="B3776" t="str">
        <f>"1551601587417178"</f>
        <v>1551601587417178</v>
      </c>
      <c r="C3776" t="s">
        <v>40</v>
      </c>
      <c r="D3776">
        <v>5.0254760000000003</v>
      </c>
      <c r="E3776">
        <v>0.51804030000000001</v>
      </c>
      <c r="F3776" t="s">
        <v>42</v>
      </c>
      <c r="G3776">
        <v>-364.85879999999997</v>
      </c>
      <c r="H3776">
        <v>0.86300949999999998</v>
      </c>
      <c r="I3776">
        <v>141.41579999999999</v>
      </c>
      <c r="J3776">
        <v>-364.34410000000003</v>
      </c>
      <c r="K3776">
        <v>1.120757</v>
      </c>
      <c r="L3776">
        <v>141.32660000000001</v>
      </c>
      <c r="M3776">
        <v>-0.99975860000000005</v>
      </c>
      <c r="N3776">
        <v>-1.3002430000000001E-2</v>
      </c>
      <c r="O3776">
        <v>1.771549E-2</v>
      </c>
      <c r="P3776">
        <v>-0.97993249999999998</v>
      </c>
      <c r="Q3776">
        <v>0.18544630000000001</v>
      </c>
      <c r="R3776">
        <v>7.308887E-2</v>
      </c>
      <c r="S3776">
        <v>-3.2166440000000001</v>
      </c>
      <c r="T3776">
        <v>-0.96543500000000004</v>
      </c>
      <c r="U3776">
        <v>0.35711670000000001</v>
      </c>
      <c r="V3776">
        <v>5.5866069999999997E-2</v>
      </c>
      <c r="W3776">
        <v>0.19814509999999999</v>
      </c>
      <c r="X3776">
        <v>0.97857930000000004</v>
      </c>
      <c r="Y3776">
        <v>8.9356260000000007E-2</v>
      </c>
      <c r="Z3776">
        <v>8.71743E-3</v>
      </c>
      <c r="AA3776">
        <v>0.9959616</v>
      </c>
      <c r="AB3776">
        <v>34</v>
      </c>
      <c r="AC3776">
        <v>-0.51469999999994798</v>
      </c>
      <c r="AD3776">
        <v>-0.25774750000000002</v>
      </c>
      <c r="AE3776">
        <v>8.9199999999976798E-2</v>
      </c>
      <c r="AF3776">
        <v>6.4390510570517603E-2</v>
      </c>
      <c r="AG3776">
        <v>-0.25774750000000002</v>
      </c>
      <c r="AH3776">
        <v>0.415131404829918</v>
      </c>
      <c r="AI3776">
        <v>121.530990162191</v>
      </c>
      <c r="AJ3776">
        <v>81.183182750195002</v>
      </c>
      <c r="AK3776">
        <v>0.49286305895638299</v>
      </c>
      <c r="AL3776">
        <v>78.571489231862998</v>
      </c>
      <c r="AM3776">
        <v>86.732590377838704</v>
      </c>
      <c r="AN3776">
        <v>0.99999997240987204</v>
      </c>
    </row>
    <row r="3777" spans="1:40" x14ac:dyDescent="0.25">
      <c r="A3777" t="str">
        <f>"20190303162627446"</f>
        <v>20190303162627446</v>
      </c>
      <c r="B3777" t="str">
        <f>"1551601587437674"</f>
        <v>1551601587437674</v>
      </c>
      <c r="C3777" t="s">
        <v>40</v>
      </c>
      <c r="D3777">
        <v>4.95662</v>
      </c>
      <c r="E3777">
        <v>0.518096</v>
      </c>
      <c r="F3777" t="s">
        <v>42</v>
      </c>
      <c r="G3777">
        <v>-365.1635</v>
      </c>
      <c r="H3777">
        <v>0.86929690000000004</v>
      </c>
      <c r="I3777">
        <v>141.41890000000001</v>
      </c>
      <c r="J3777">
        <v>-364.64170000000001</v>
      </c>
      <c r="K3777">
        <v>1.1207609999999999</v>
      </c>
      <c r="L3777">
        <v>141.3322</v>
      </c>
      <c r="M3777">
        <v>-0.99975349999999996</v>
      </c>
      <c r="N3777">
        <v>-1.2998630000000001E-2</v>
      </c>
      <c r="O3777">
        <v>1.8000169999999999E-2</v>
      </c>
      <c r="P3777">
        <v>-0.98008770000000001</v>
      </c>
      <c r="Q3777">
        <v>0.18489320000000001</v>
      </c>
      <c r="R3777">
        <v>7.2409219999999996E-2</v>
      </c>
      <c r="S3777">
        <v>-3.2214659999999999</v>
      </c>
      <c r="T3777">
        <v>-0.98868979999999995</v>
      </c>
      <c r="U3777">
        <v>0.36270140000000001</v>
      </c>
      <c r="V3777">
        <v>5.490395E-2</v>
      </c>
      <c r="W3777">
        <v>0.19759119999999999</v>
      </c>
      <c r="X3777">
        <v>0.9787458</v>
      </c>
      <c r="Y3777">
        <v>9.0431369999999997E-2</v>
      </c>
      <c r="Z3777">
        <v>8.9738109999999999E-3</v>
      </c>
      <c r="AA3777">
        <v>0.99586220000000003</v>
      </c>
      <c r="AB3777">
        <v>34</v>
      </c>
      <c r="AC3777">
        <v>-0.52179999999998405</v>
      </c>
      <c r="AD3777">
        <v>-0.25146410000000002</v>
      </c>
      <c r="AE3777">
        <v>8.6700000000007493E-2</v>
      </c>
      <c r="AF3777">
        <v>6.3044375641645403E-2</v>
      </c>
      <c r="AG3777">
        <v>-0.25146410000000002</v>
      </c>
      <c r="AH3777">
        <v>0.42681435895296299</v>
      </c>
      <c r="AI3777">
        <v>120.235391810773</v>
      </c>
      <c r="AJ3777">
        <v>81.597646474440893</v>
      </c>
      <c r="AK3777">
        <v>0.49937889812975</v>
      </c>
      <c r="AL3777">
        <v>78.603866193864903</v>
      </c>
      <c r="AM3777">
        <v>86.789287733486105</v>
      </c>
      <c r="AN3777">
        <v>1.0000000335303401</v>
      </c>
    </row>
    <row r="3778" spans="1:40" x14ac:dyDescent="0.25">
      <c r="A3778" t="str">
        <f>"20190303162627467"</f>
        <v>20190303162627467</v>
      </c>
      <c r="B3778" t="str">
        <f>"1551601587457194"</f>
        <v>1551601587457194</v>
      </c>
      <c r="C3778" t="s">
        <v>40</v>
      </c>
      <c r="D3778">
        <v>4.9690699999999897</v>
      </c>
      <c r="E3778">
        <v>0.51818920000000002</v>
      </c>
      <c r="F3778" t="s">
        <v>42</v>
      </c>
      <c r="G3778">
        <v>-365.46440000000001</v>
      </c>
      <c r="H3778">
        <v>0.86633009999999999</v>
      </c>
      <c r="I3778">
        <v>141.4246</v>
      </c>
      <c r="J3778">
        <v>-364.96660000000003</v>
      </c>
      <c r="K3778">
        <v>1.120768</v>
      </c>
      <c r="L3778">
        <v>141.33840000000001</v>
      </c>
      <c r="M3778">
        <v>-0.99974790000000002</v>
      </c>
      <c r="N3778">
        <v>-1.2994790000000001E-2</v>
      </c>
      <c r="O3778">
        <v>1.8310719999999999E-2</v>
      </c>
      <c r="P3778">
        <v>-0.98003660000000004</v>
      </c>
      <c r="Q3778">
        <v>0.1853785</v>
      </c>
      <c r="R3778">
        <v>7.1857180000000007E-2</v>
      </c>
      <c r="S3778">
        <v>-3.2222900000000001</v>
      </c>
      <c r="T3778">
        <v>-0.99658290000000005</v>
      </c>
      <c r="U3778">
        <v>0.3609619</v>
      </c>
      <c r="V3778">
        <v>5.4048359999999997E-2</v>
      </c>
      <c r="W3778">
        <v>0.1980722</v>
      </c>
      <c r="X3778">
        <v>0.97869620000000002</v>
      </c>
      <c r="Y3778">
        <v>8.9565649999999997E-2</v>
      </c>
      <c r="Z3778">
        <v>8.8082479999999994E-3</v>
      </c>
      <c r="AA3778">
        <v>0.99594199999999999</v>
      </c>
      <c r="AB3778">
        <v>34</v>
      </c>
      <c r="AC3778">
        <v>-0.49779999999998298</v>
      </c>
      <c r="AD3778">
        <v>-0.25443789999999999</v>
      </c>
      <c r="AE3778">
        <v>8.6199999999990895E-2</v>
      </c>
      <c r="AF3778">
        <v>6.1476591756522501E-2</v>
      </c>
      <c r="AG3778">
        <v>-0.25443789999999999</v>
      </c>
      <c r="AH3778">
        <v>0.39827529848836302</v>
      </c>
      <c r="AI3778">
        <v>122.26716833287399</v>
      </c>
      <c r="AJ3778">
        <v>81.225245736742096</v>
      </c>
      <c r="AK3778">
        <v>0.476593358825323</v>
      </c>
      <c r="AL3778">
        <v>78.575751298506603</v>
      </c>
      <c r="AM3778">
        <v>86.839059421808201</v>
      </c>
      <c r="AN3778">
        <v>1.00000003676298</v>
      </c>
    </row>
    <row r="3779" spans="1:40" x14ac:dyDescent="0.25">
      <c r="A3779" t="str">
        <f>"20190303162627491"</f>
        <v>20190303162627491</v>
      </c>
      <c r="B3779" t="str">
        <f>"1551601587487450"</f>
        <v>1551601587487450</v>
      </c>
      <c r="C3779" t="s">
        <v>40</v>
      </c>
      <c r="D3779">
        <v>4.9502940000000004</v>
      </c>
      <c r="E3779">
        <v>0.51814579999999999</v>
      </c>
      <c r="F3779" t="s">
        <v>42</v>
      </c>
      <c r="G3779">
        <v>-365.76859999999999</v>
      </c>
      <c r="H3779">
        <v>0.87196980000000002</v>
      </c>
      <c r="I3779">
        <v>141.42830000000001</v>
      </c>
      <c r="J3779">
        <v>-365.30810000000002</v>
      </c>
      <c r="K3779">
        <v>1.120781</v>
      </c>
      <c r="L3779">
        <v>141.345</v>
      </c>
      <c r="M3779">
        <v>-0.99974189999999996</v>
      </c>
      <c r="N3779">
        <v>-1.299108E-2</v>
      </c>
      <c r="O3779">
        <v>1.8637239999999999E-2</v>
      </c>
      <c r="P3779">
        <v>-0.97976929999999995</v>
      </c>
      <c r="Q3779">
        <v>0.18683530000000001</v>
      </c>
      <c r="R3779">
        <v>7.1728009999999995E-2</v>
      </c>
      <c r="S3779">
        <v>-3.2239070000000001</v>
      </c>
      <c r="T3779">
        <v>-1.000016</v>
      </c>
      <c r="U3779">
        <v>0.35995480000000002</v>
      </c>
      <c r="V3779">
        <v>5.360475E-2</v>
      </c>
      <c r="W3779">
        <v>0.19952230000000001</v>
      </c>
      <c r="X3779">
        <v>0.97842600000000002</v>
      </c>
      <c r="Y3779">
        <v>8.8904070000000002E-2</v>
      </c>
      <c r="Z3779">
        <v>8.6317819999999993E-3</v>
      </c>
      <c r="AA3779">
        <v>0.99600279999999997</v>
      </c>
      <c r="AB3779">
        <v>34</v>
      </c>
      <c r="AC3779">
        <v>-0.46049999999996699</v>
      </c>
      <c r="AD3779">
        <v>-0.24881120000000001</v>
      </c>
      <c r="AE3779">
        <v>8.3300000000008298E-2</v>
      </c>
      <c r="AF3779">
        <v>5.82392073238749E-2</v>
      </c>
      <c r="AG3779">
        <v>-0.24881120000000001</v>
      </c>
      <c r="AH3779">
        <v>0.360161585853086</v>
      </c>
      <c r="AI3779">
        <v>124.292955498669</v>
      </c>
      <c r="AJ3779">
        <v>80.814609533022406</v>
      </c>
      <c r="AK3779">
        <v>0.44160523823813902</v>
      </c>
      <c r="AL3779">
        <v>78.490974485756098</v>
      </c>
      <c r="AM3779">
        <v>86.864087308501496</v>
      </c>
      <c r="AN3779">
        <v>1.0000000274479199</v>
      </c>
    </row>
    <row r="3780" spans="1:40" x14ac:dyDescent="0.25">
      <c r="A3780" t="str">
        <f>"20190303162627514"</f>
        <v>20190303162627514</v>
      </c>
      <c r="B3780" t="str">
        <f>"1551601587507946"</f>
        <v>1551601587507946</v>
      </c>
      <c r="C3780" t="s">
        <v>40</v>
      </c>
      <c r="D3780">
        <v>4.9847409999999996</v>
      </c>
      <c r="E3780">
        <v>0.51875130000000003</v>
      </c>
      <c r="F3780" t="s">
        <v>42</v>
      </c>
      <c r="G3780">
        <v>-366.07499999999999</v>
      </c>
      <c r="H3780">
        <v>0.88328580000000001</v>
      </c>
      <c r="I3780">
        <v>141.43100000000001</v>
      </c>
      <c r="J3780">
        <v>-365.6644</v>
      </c>
      <c r="K3780">
        <v>1.120789</v>
      </c>
      <c r="L3780">
        <v>141.352</v>
      </c>
      <c r="M3780">
        <v>-0.9997355</v>
      </c>
      <c r="N3780">
        <v>-1.2987530000000001E-2</v>
      </c>
      <c r="O3780">
        <v>1.8977939999999999E-2</v>
      </c>
      <c r="P3780">
        <v>-0.97953840000000003</v>
      </c>
      <c r="Q3780">
        <v>0.18798780000000001</v>
      </c>
      <c r="R3780">
        <v>7.1869760000000005E-2</v>
      </c>
      <c r="S3780">
        <v>-3.2260740000000001</v>
      </c>
      <c r="T3780">
        <v>-0.99894890000000003</v>
      </c>
      <c r="U3780">
        <v>0.3601685</v>
      </c>
      <c r="V3780">
        <v>5.3417300000000001E-2</v>
      </c>
      <c r="W3780">
        <v>0.20066919999999999</v>
      </c>
      <c r="X3780">
        <v>0.9782016</v>
      </c>
      <c r="Y3780">
        <v>8.8597010000000004E-2</v>
      </c>
      <c r="Z3780">
        <v>8.4718069999999996E-3</v>
      </c>
      <c r="AA3780">
        <v>0.99603149999999996</v>
      </c>
      <c r="AB3780">
        <v>34</v>
      </c>
      <c r="AC3780">
        <v>-0.41059999999998797</v>
      </c>
      <c r="AD3780">
        <v>-0.2375032</v>
      </c>
      <c r="AE3780">
        <v>7.9000000000007703E-2</v>
      </c>
      <c r="AF3780">
        <v>5.3826372523928898E-2</v>
      </c>
      <c r="AG3780">
        <v>-0.2375032</v>
      </c>
      <c r="AH3780">
        <v>0.311518064134232</v>
      </c>
      <c r="AI3780">
        <v>126.916568873703</v>
      </c>
      <c r="AJ3780">
        <v>80.196810386036304</v>
      </c>
      <c r="AK3780">
        <v>0.39540934823453999</v>
      </c>
      <c r="AL3780">
        <v>78.423904701870697</v>
      </c>
      <c r="AM3780">
        <v>86.874316034850295</v>
      </c>
      <c r="AN3780">
        <v>0.99999995300524303</v>
      </c>
    </row>
    <row r="3781" spans="1:40" x14ac:dyDescent="0.25">
      <c r="A3781" t="str">
        <f>"20190303162627539"</f>
        <v>20190303162627539</v>
      </c>
      <c r="B3781" t="str">
        <f>"1551601587527466"</f>
        <v>1551601587527466</v>
      </c>
      <c r="C3781" t="s">
        <v>40</v>
      </c>
      <c r="D3781">
        <v>4.9452069999999999</v>
      </c>
      <c r="E3781">
        <v>0.51950589999999996</v>
      </c>
      <c r="F3781" t="s">
        <v>42</v>
      </c>
      <c r="G3781">
        <v>-366.38279999999997</v>
      </c>
      <c r="H3781">
        <v>0.89814359999999904</v>
      </c>
      <c r="I3781">
        <v>141.43350000000001</v>
      </c>
      <c r="J3781">
        <v>-366.02800000000002</v>
      </c>
      <c r="K3781">
        <v>1.1207910000000001</v>
      </c>
      <c r="L3781">
        <v>141.35929999999999</v>
      </c>
      <c r="M3781">
        <v>-0.99972899999999998</v>
      </c>
      <c r="N3781">
        <v>-1.2984020000000001E-2</v>
      </c>
      <c r="O3781">
        <v>1.9325680000000001E-2</v>
      </c>
      <c r="P3781">
        <v>-0.97937779999999997</v>
      </c>
      <c r="Q3781">
        <v>0.18884210000000001</v>
      </c>
      <c r="R3781">
        <v>7.1819919999999995E-2</v>
      </c>
      <c r="S3781">
        <v>-3.227814</v>
      </c>
      <c r="T3781">
        <v>-1.0003219999999999</v>
      </c>
      <c r="U3781">
        <v>0.36566159999999998</v>
      </c>
      <c r="V3781">
        <v>5.3030069999999999E-2</v>
      </c>
      <c r="W3781">
        <v>0.201518</v>
      </c>
      <c r="X3781">
        <v>0.97804820000000003</v>
      </c>
      <c r="Y3781">
        <v>8.9816499999999994E-2</v>
      </c>
      <c r="Z3781">
        <v>8.5687880000000008E-3</v>
      </c>
      <c r="AA3781">
        <v>0.99592150000000002</v>
      </c>
      <c r="AB3781">
        <v>34</v>
      </c>
      <c r="AC3781">
        <v>-0.35479999999995399</v>
      </c>
      <c r="AD3781">
        <v>-0.2226474</v>
      </c>
      <c r="AE3781">
        <v>7.4200000000018904E-2</v>
      </c>
      <c r="AF3781">
        <v>4.8884930493722403E-2</v>
      </c>
      <c r="AG3781">
        <v>-0.2226474</v>
      </c>
      <c r="AH3781">
        <v>0.25860012139997901</v>
      </c>
      <c r="AI3781">
        <v>130.230846065831</v>
      </c>
      <c r="AJ3781">
        <v>79.295308665771003</v>
      </c>
      <c r="AK3781">
        <v>0.344725432691323</v>
      </c>
      <c r="AL3781">
        <v>78.374258257636399</v>
      </c>
      <c r="AM3781">
        <v>86.896444399379604</v>
      </c>
      <c r="AN3781">
        <v>0.99999998708572202</v>
      </c>
    </row>
    <row r="3782" spans="1:40" x14ac:dyDescent="0.25">
      <c r="A3782" t="str">
        <f>"20190303162627558"</f>
        <v>20190303162627558</v>
      </c>
      <c r="B3782" t="str">
        <f>"1551601587546986"</f>
        <v>1551601587546986</v>
      </c>
      <c r="C3782" t="s">
        <v>40</v>
      </c>
      <c r="D3782">
        <v>4.90015</v>
      </c>
      <c r="E3782">
        <v>0.52022609999999903</v>
      </c>
      <c r="F3782" t="s">
        <v>42</v>
      </c>
      <c r="G3782">
        <v>-366.95800000000003</v>
      </c>
      <c r="H3782">
        <v>0.8295093</v>
      </c>
      <c r="I3782">
        <v>141.46610000000001</v>
      </c>
      <c r="J3782">
        <v>-366.33159999999998</v>
      </c>
      <c r="K3782">
        <v>1.120795</v>
      </c>
      <c r="L3782">
        <v>141.3655</v>
      </c>
      <c r="M3782">
        <v>-0.99972349999999999</v>
      </c>
      <c r="N3782">
        <v>-1.298157E-2</v>
      </c>
      <c r="O3782">
        <v>1.961601E-2</v>
      </c>
      <c r="P3782">
        <v>-0.97922690000000001</v>
      </c>
      <c r="Q3782">
        <v>0.18951470000000001</v>
      </c>
      <c r="R3782">
        <v>7.2104199999999993E-2</v>
      </c>
      <c r="S3782">
        <v>-3.2311399999999999</v>
      </c>
      <c r="T3782">
        <v>-1.0119370000000001</v>
      </c>
      <c r="U3782">
        <v>0.37048340000000002</v>
      </c>
      <c r="V3782">
        <v>5.3032830000000003E-2</v>
      </c>
      <c r="W3782">
        <v>0.2021867</v>
      </c>
      <c r="X3782">
        <v>0.97790999999999995</v>
      </c>
      <c r="Y3782">
        <v>9.0775250000000002E-2</v>
      </c>
      <c r="Z3782">
        <v>8.7140169999999992E-3</v>
      </c>
      <c r="AA3782">
        <v>0.99583330000000003</v>
      </c>
      <c r="AB3782">
        <v>34</v>
      </c>
      <c r="AC3782">
        <v>-0.62640000000004603</v>
      </c>
      <c r="AD3782">
        <v>-0.29128569999999898</v>
      </c>
      <c r="AE3782">
        <v>0.100600000000014</v>
      </c>
      <c r="AF3782">
        <v>7.2920359170023694E-2</v>
      </c>
      <c r="AG3782">
        <v>-0.29128569999999898</v>
      </c>
      <c r="AH3782">
        <v>0.51887330523970698</v>
      </c>
      <c r="AI3782">
        <v>119.07047980551</v>
      </c>
      <c r="AJ3782">
        <v>82.000273771165297</v>
      </c>
      <c r="AK3782">
        <v>0.59949499138554396</v>
      </c>
      <c r="AL3782">
        <v>78.335138968631099</v>
      </c>
      <c r="AM3782">
        <v>86.895845422597006</v>
      </c>
      <c r="AN3782">
        <v>0.99999995540734798</v>
      </c>
    </row>
    <row r="3783" spans="1:40" x14ac:dyDescent="0.25">
      <c r="A3783" t="str">
        <f>"20190303162627582"</f>
        <v>20190303162627582</v>
      </c>
      <c r="B3783" t="str">
        <f>"1551601587578219"</f>
        <v>1551601587578219</v>
      </c>
      <c r="C3783" t="s">
        <v>40</v>
      </c>
      <c r="D3783">
        <v>4.8900319999999997</v>
      </c>
      <c r="E3783">
        <v>0.52132429999999996</v>
      </c>
      <c r="F3783" t="s">
        <v>42</v>
      </c>
      <c r="G3783">
        <v>-367.25889999999998</v>
      </c>
      <c r="H3783">
        <v>0.82828210000000002</v>
      </c>
      <c r="I3783">
        <v>141.4743</v>
      </c>
      <c r="J3783">
        <v>-366.67430000000002</v>
      </c>
      <c r="K3783">
        <v>1.120803</v>
      </c>
      <c r="L3783">
        <v>141.37260000000001</v>
      </c>
      <c r="M3783">
        <v>-0.99971690000000002</v>
      </c>
      <c r="N3783">
        <v>-1.297887E-2</v>
      </c>
      <c r="O3783">
        <v>1.9943780000000001E-2</v>
      </c>
      <c r="P3783">
        <v>-0.97908629999999996</v>
      </c>
      <c r="Q3783">
        <v>0.19010659999999999</v>
      </c>
      <c r="R3783">
        <v>7.2454740000000004E-2</v>
      </c>
      <c r="S3783">
        <v>-3.2331850000000002</v>
      </c>
      <c r="T3783">
        <v>-1.0198849999999999</v>
      </c>
      <c r="U3783">
        <v>0.37815860000000001</v>
      </c>
      <c r="V3783">
        <v>5.3064790000000001E-2</v>
      </c>
      <c r="W3783">
        <v>0.2027746</v>
      </c>
      <c r="X3783">
        <v>0.97778659999999995</v>
      </c>
      <c r="Y3783">
        <v>9.258574E-2</v>
      </c>
      <c r="Z3783">
        <v>8.9607630000000001E-3</v>
      </c>
      <c r="AA3783">
        <v>0.9956644</v>
      </c>
      <c r="AB3783">
        <v>34</v>
      </c>
      <c r="AC3783">
        <v>-0.58459999999996604</v>
      </c>
      <c r="AD3783">
        <v>-0.29252089999999997</v>
      </c>
      <c r="AE3783">
        <v>0.101699999999993</v>
      </c>
      <c r="AF3783">
        <v>7.2419930836286603E-2</v>
      </c>
      <c r="AG3783">
        <v>-0.29252089999999997</v>
      </c>
      <c r="AH3783">
        <v>0.47184329602317199</v>
      </c>
      <c r="AI3783">
        <v>121.49904627111</v>
      </c>
      <c r="AJ3783">
        <v>81.274164198356004</v>
      </c>
      <c r="AK3783">
        <v>0.55986535820780403</v>
      </c>
      <c r="AL3783">
        <v>78.300743092964197</v>
      </c>
      <c r="AM3783">
        <v>86.893587156535006</v>
      </c>
      <c r="AN3783">
        <v>1.00000002274123</v>
      </c>
    </row>
    <row r="3784" spans="1:40" x14ac:dyDescent="0.25">
      <c r="A3784" t="str">
        <f>"20190303162627606"</f>
        <v>20190303162627606</v>
      </c>
      <c r="B3784" t="str">
        <f>"1551601587597738"</f>
        <v>1551601587597738</v>
      </c>
      <c r="C3784" t="s">
        <v>40</v>
      </c>
      <c r="D3784">
        <v>4.8468299999999997</v>
      </c>
      <c r="E3784">
        <v>0.52191030000000005</v>
      </c>
      <c r="F3784" t="s">
        <v>42</v>
      </c>
      <c r="G3784">
        <v>-367.5643</v>
      </c>
      <c r="H3784">
        <v>0.83866790000000002</v>
      </c>
      <c r="I3784">
        <v>141.4802</v>
      </c>
      <c r="J3784">
        <v>-367.04430000000002</v>
      </c>
      <c r="K3784">
        <v>1.1208070000000001</v>
      </c>
      <c r="L3784">
        <v>141.38040000000001</v>
      </c>
      <c r="M3784">
        <v>-0.99970990000000004</v>
      </c>
      <c r="N3784">
        <v>-1.297616E-2</v>
      </c>
      <c r="O3784">
        <v>2.0296930000000001E-2</v>
      </c>
      <c r="P3784">
        <v>-0.9789795</v>
      </c>
      <c r="Q3784">
        <v>0.1904256</v>
      </c>
      <c r="R3784">
        <v>7.3056910000000003E-2</v>
      </c>
      <c r="S3784">
        <v>-3.234283</v>
      </c>
      <c r="T3784">
        <v>-1.025334</v>
      </c>
      <c r="U3784">
        <v>0.39009090000000002</v>
      </c>
      <c r="V3784">
        <v>5.3322830000000002E-2</v>
      </c>
      <c r="W3784">
        <v>0.2030893</v>
      </c>
      <c r="X3784">
        <v>0.9777072</v>
      </c>
      <c r="Y3784">
        <v>9.5644850000000003E-2</v>
      </c>
      <c r="Z3784">
        <v>9.3854980000000008E-3</v>
      </c>
      <c r="AA3784">
        <v>0.99537129999999996</v>
      </c>
      <c r="AB3784">
        <v>34</v>
      </c>
      <c r="AC3784">
        <v>-0.51999999999998103</v>
      </c>
      <c r="AD3784">
        <v>-0.28213909999999898</v>
      </c>
      <c r="AE3784">
        <v>9.9799999999987593E-2</v>
      </c>
      <c r="AF3784">
        <v>6.9493028864454798E-2</v>
      </c>
      <c r="AG3784">
        <v>-0.28213909999999898</v>
      </c>
      <c r="AH3784">
        <v>0.406501045831828</v>
      </c>
      <c r="AI3784">
        <v>124.377678163631</v>
      </c>
      <c r="AJ3784">
        <v>80.298831485844701</v>
      </c>
      <c r="AK3784">
        <v>0.49967474728260503</v>
      </c>
      <c r="AL3784">
        <v>78.282328439540706</v>
      </c>
      <c r="AM3784">
        <v>86.878258299021795</v>
      </c>
      <c r="AN3784">
        <v>0.999999978452769</v>
      </c>
    </row>
    <row r="3785" spans="1:40" x14ac:dyDescent="0.25">
      <c r="A3785" t="str">
        <f>"20190303162627629"</f>
        <v>20190303162627629</v>
      </c>
      <c r="B3785" t="str">
        <f>"1551601587617258"</f>
        <v>1551601587617258</v>
      </c>
      <c r="C3785" t="s">
        <v>40</v>
      </c>
      <c r="D3785">
        <v>4.8255730000000003</v>
      </c>
      <c r="E3785">
        <v>0.52246519999999996</v>
      </c>
      <c r="F3785" t="s">
        <v>42</v>
      </c>
      <c r="G3785">
        <v>-367.87299999999999</v>
      </c>
      <c r="H3785">
        <v>0.85734330000000003</v>
      </c>
      <c r="I3785">
        <v>141.482</v>
      </c>
      <c r="J3785">
        <v>-367.40469999999999</v>
      </c>
      <c r="K3785">
        <v>1.1208009999999999</v>
      </c>
      <c r="L3785">
        <v>141.38820000000001</v>
      </c>
      <c r="M3785">
        <v>-0.99970289999999995</v>
      </c>
      <c r="N3785">
        <v>-1.297368E-2</v>
      </c>
      <c r="O3785">
        <v>2.0640599999999999E-2</v>
      </c>
      <c r="P3785">
        <v>-0.97896050000000001</v>
      </c>
      <c r="Q3785">
        <v>0.19023290000000001</v>
      </c>
      <c r="R3785">
        <v>7.3810699999999896E-2</v>
      </c>
      <c r="S3785">
        <v>-3.2349549999999998</v>
      </c>
      <c r="T3785">
        <v>-1.028572</v>
      </c>
      <c r="U3785">
        <v>0.39569090000000001</v>
      </c>
      <c r="V3785">
        <v>5.3739450000000001E-2</v>
      </c>
      <c r="W3785">
        <v>0.20289460000000001</v>
      </c>
      <c r="X3785">
        <v>0.97772490000000001</v>
      </c>
      <c r="Y3785">
        <v>9.6906770000000003E-2</v>
      </c>
      <c r="Z3785">
        <v>9.5101930000000001E-3</v>
      </c>
      <c r="AA3785">
        <v>0.99524800000000002</v>
      </c>
      <c r="AB3785">
        <v>34</v>
      </c>
      <c r="AC3785">
        <v>-0.468300000000056</v>
      </c>
      <c r="AD3785">
        <v>-0.26345769999999902</v>
      </c>
      <c r="AE3785">
        <v>9.3799999999987393E-2</v>
      </c>
      <c r="AF3785">
        <v>6.4489565775922103E-2</v>
      </c>
      <c r="AG3785">
        <v>-0.26345769999999902</v>
      </c>
      <c r="AH3785">
        <v>0.36045345718681099</v>
      </c>
      <c r="AI3785">
        <v>125.73432949997201</v>
      </c>
      <c r="AJ3785">
        <v>79.856401164435397</v>
      </c>
      <c r="AK3785">
        <v>0.45110481994895701</v>
      </c>
      <c r="AL3785">
        <v>78.293722130351</v>
      </c>
      <c r="AM3785">
        <v>86.853973267287301</v>
      </c>
      <c r="AN3785">
        <v>1.00000006363773</v>
      </c>
    </row>
    <row r="3786" spans="1:40" x14ac:dyDescent="0.25">
      <c r="A3786" t="str">
        <f>"20190303162627647"</f>
        <v>20190303162627647</v>
      </c>
      <c r="B3786" t="str">
        <f>"1551601587637753"</f>
        <v>1551601587637753</v>
      </c>
      <c r="C3786" t="s">
        <v>40</v>
      </c>
      <c r="D3786">
        <v>4.8512839999999997</v>
      </c>
      <c r="E3786">
        <v>0.52283500000000005</v>
      </c>
      <c r="F3786" t="s">
        <v>42</v>
      </c>
      <c r="G3786">
        <v>-368.18040000000002</v>
      </c>
      <c r="H3786">
        <v>0.87320909999999996</v>
      </c>
      <c r="I3786">
        <v>141.4845</v>
      </c>
      <c r="J3786">
        <v>-367.67660000000001</v>
      </c>
      <c r="K3786">
        <v>1.1208</v>
      </c>
      <c r="L3786">
        <v>141.39410000000001</v>
      </c>
      <c r="M3786">
        <v>-0.99969739999999996</v>
      </c>
      <c r="N3786">
        <v>-1.297183E-2</v>
      </c>
      <c r="O3786">
        <v>2.08997E-2</v>
      </c>
      <c r="P3786">
        <v>-0.97896589999999994</v>
      </c>
      <c r="Q3786">
        <v>0.19006680000000001</v>
      </c>
      <c r="R3786">
        <v>7.4166510000000005E-2</v>
      </c>
      <c r="S3786">
        <v>-3.2348330000000001</v>
      </c>
      <c r="T3786">
        <v>-1.0324930000000001</v>
      </c>
      <c r="U3786">
        <v>0.40156560000000002</v>
      </c>
      <c r="V3786">
        <v>5.3840720000000002E-2</v>
      </c>
      <c r="W3786">
        <v>0.20272699999999999</v>
      </c>
      <c r="X3786">
        <v>0.97775409999999996</v>
      </c>
      <c r="Y3786">
        <v>9.8344089999999995E-2</v>
      </c>
      <c r="Z3786">
        <v>9.6964240000000004E-3</v>
      </c>
      <c r="AA3786">
        <v>0.99510520000000002</v>
      </c>
      <c r="AB3786">
        <v>34</v>
      </c>
      <c r="AC3786">
        <v>-0.50380000000001202</v>
      </c>
      <c r="AD3786">
        <v>-0.247590899999999</v>
      </c>
      <c r="AE3786">
        <v>9.0399999999988198E-2</v>
      </c>
      <c r="AF3786">
        <v>6.4709066459866002E-2</v>
      </c>
      <c r="AG3786">
        <v>-0.247590899999999</v>
      </c>
      <c r="AH3786">
        <v>0.40971238138771798</v>
      </c>
      <c r="AI3786">
        <v>120.833201897107</v>
      </c>
      <c r="AJ3786">
        <v>81.024966856432499</v>
      </c>
      <c r="AK3786">
        <v>0.48306599187617399</v>
      </c>
      <c r="AL3786">
        <v>78.303528776972101</v>
      </c>
      <c r="AM3786">
        <v>86.848150580229998</v>
      </c>
      <c r="AN3786">
        <v>1.0000000698629601</v>
      </c>
    </row>
    <row r="3787" spans="1:40" x14ac:dyDescent="0.25">
      <c r="A3787" t="str">
        <f>"20190303162627670"</f>
        <v>20190303162627670</v>
      </c>
      <c r="B3787" t="str">
        <f>"1551601587657274"</f>
        <v>1551601587657274</v>
      </c>
      <c r="C3787" t="s">
        <v>40</v>
      </c>
      <c r="D3787">
        <v>4.7983599999999997</v>
      </c>
      <c r="E3787">
        <v>0.52311220000000003</v>
      </c>
      <c r="F3787" t="s">
        <v>42</v>
      </c>
      <c r="G3787">
        <v>-368.4776</v>
      </c>
      <c r="H3787">
        <v>0.86404429999999999</v>
      </c>
      <c r="I3787">
        <v>141.4949</v>
      </c>
      <c r="J3787">
        <v>-368.01729999999998</v>
      </c>
      <c r="K3787">
        <v>1.1208039999999999</v>
      </c>
      <c r="L3787">
        <v>141.4016</v>
      </c>
      <c r="M3787">
        <v>-0.99969059999999998</v>
      </c>
      <c r="N3787">
        <v>-1.296958E-2</v>
      </c>
      <c r="O3787">
        <v>2.122394E-2</v>
      </c>
      <c r="P3787">
        <v>-0.97899939999999996</v>
      </c>
      <c r="Q3787">
        <v>0.18989329999999999</v>
      </c>
      <c r="R3787">
        <v>7.4167040000000004E-2</v>
      </c>
      <c r="S3787">
        <v>-3.2351070000000002</v>
      </c>
      <c r="T3787">
        <v>-1.0370520000000001</v>
      </c>
      <c r="U3787">
        <v>0.40614319999999998</v>
      </c>
      <c r="V3787">
        <v>5.3521989999999998E-2</v>
      </c>
      <c r="W3787">
        <v>0.20255229999999999</v>
      </c>
      <c r="X3787">
        <v>0.97780769999999995</v>
      </c>
      <c r="Y3787">
        <v>9.9329109999999998E-2</v>
      </c>
      <c r="Z3787">
        <v>9.7950759999999998E-3</v>
      </c>
      <c r="AA3787">
        <v>0.99500639999999996</v>
      </c>
      <c r="AB3787">
        <v>34</v>
      </c>
      <c r="AC3787">
        <v>-0.46030000000001697</v>
      </c>
      <c r="AD3787">
        <v>-0.25675969999999998</v>
      </c>
      <c r="AE3787">
        <v>9.3299999999999203E-2</v>
      </c>
      <c r="AF3787">
        <v>6.4293294411873203E-2</v>
      </c>
      <c r="AG3787">
        <v>-0.25675969999999998</v>
      </c>
      <c r="AH3787">
        <v>0.35582917642310102</v>
      </c>
      <c r="AI3787">
        <v>125.377923804773</v>
      </c>
      <c r="AJ3787">
        <v>79.757968202097999</v>
      </c>
      <c r="AK3787">
        <v>0.44347894430780399</v>
      </c>
      <c r="AL3787">
        <v>78.313749205196501</v>
      </c>
      <c r="AM3787">
        <v>86.866943239228306</v>
      </c>
      <c r="AN3787">
        <v>0.99999996791406898</v>
      </c>
    </row>
    <row r="3788" spans="1:40" x14ac:dyDescent="0.25">
      <c r="A3788" t="str">
        <f>"20190303162627692"</f>
        <v>20190303162627692</v>
      </c>
      <c r="B3788" t="str">
        <f>"1551601587687530"</f>
        <v>1551601587687530</v>
      </c>
      <c r="C3788" t="s">
        <v>40</v>
      </c>
      <c r="D3788">
        <v>4.7508749999999997</v>
      </c>
      <c r="E3788">
        <v>0.52349499999999904</v>
      </c>
      <c r="F3788" t="s">
        <v>42</v>
      </c>
      <c r="G3788">
        <v>-368.78250000000003</v>
      </c>
      <c r="H3788">
        <v>0.87442719999999896</v>
      </c>
      <c r="I3788">
        <v>141.49860000000001</v>
      </c>
      <c r="J3788">
        <v>-368.34879999999998</v>
      </c>
      <c r="K3788">
        <v>1.120803</v>
      </c>
      <c r="L3788">
        <v>141.40889999999999</v>
      </c>
      <c r="M3788">
        <v>-0.99968389999999996</v>
      </c>
      <c r="N3788">
        <v>-1.2967579999999999E-2</v>
      </c>
      <c r="O3788">
        <v>2.1539119999999998E-2</v>
      </c>
      <c r="P3788">
        <v>-0.97889959999999998</v>
      </c>
      <c r="Q3788">
        <v>0.1903369</v>
      </c>
      <c r="R3788">
        <v>7.4347659999999996E-2</v>
      </c>
      <c r="S3788">
        <v>-3.2353519999999998</v>
      </c>
      <c r="T3788">
        <v>-1.041595</v>
      </c>
      <c r="U3788">
        <v>0.40978999999999999</v>
      </c>
      <c r="V3788">
        <v>5.3395829999999998E-2</v>
      </c>
      <c r="W3788">
        <v>0.20299310000000001</v>
      </c>
      <c r="X3788">
        <v>0.97772320000000001</v>
      </c>
      <c r="Y3788">
        <v>0.10005410000000001</v>
      </c>
      <c r="Z3788">
        <v>9.8545230000000004E-3</v>
      </c>
      <c r="AA3788">
        <v>0.99493319999999996</v>
      </c>
      <c r="AB3788">
        <v>34</v>
      </c>
      <c r="AC3788">
        <v>-0.43370000000004399</v>
      </c>
      <c r="AD3788">
        <v>-0.24637580000000001</v>
      </c>
      <c r="AE3788">
        <v>8.9700000000021804E-2</v>
      </c>
      <c r="AF3788">
        <v>6.1350439511456099E-2</v>
      </c>
      <c r="AG3788">
        <v>-0.24637580000000001</v>
      </c>
      <c r="AH3788">
        <v>0.33260008131925001</v>
      </c>
      <c r="AI3788">
        <v>126.07212897948</v>
      </c>
      <c r="AJ3788">
        <v>79.548862441940301</v>
      </c>
      <c r="AK3788">
        <v>0.41843485197514402</v>
      </c>
      <c r="AL3788">
        <v>78.287957619447496</v>
      </c>
      <c r="AM3788">
        <v>86.874044097888401</v>
      </c>
      <c r="AN3788">
        <v>0.99999998456361905</v>
      </c>
    </row>
    <row r="3789" spans="1:40" x14ac:dyDescent="0.25">
      <c r="A3789" t="str">
        <f>"20190303162627714"</f>
        <v>20190303162627714</v>
      </c>
      <c r="B3789" t="str">
        <f>"1551601587707050"</f>
        <v>1551601587707050</v>
      </c>
      <c r="C3789" t="s">
        <v>40</v>
      </c>
      <c r="D3789">
        <v>4.8649420000000001</v>
      </c>
      <c r="E3789">
        <v>0.52357580000000004</v>
      </c>
      <c r="F3789" t="s">
        <v>42</v>
      </c>
      <c r="G3789">
        <v>-369.08659999999998</v>
      </c>
      <c r="H3789">
        <v>0.88279459999999998</v>
      </c>
      <c r="I3789">
        <v>141.5035</v>
      </c>
      <c r="J3789">
        <v>-368.6848</v>
      </c>
      <c r="K3789">
        <v>1.1208149999999999</v>
      </c>
      <c r="L3789">
        <v>141.41659999999999</v>
      </c>
      <c r="M3789">
        <v>-0.99967720000000004</v>
      </c>
      <c r="N3789">
        <v>-1.296566E-2</v>
      </c>
      <c r="O3789">
        <v>2.1857270000000002E-2</v>
      </c>
      <c r="P3789">
        <v>-0.9788403</v>
      </c>
      <c r="Q3789">
        <v>0.1907925</v>
      </c>
      <c r="R3789">
        <v>7.3961609999999997E-2</v>
      </c>
      <c r="S3789">
        <v>-3.2362980000000001</v>
      </c>
      <c r="T3789">
        <v>-1.0440259999999999</v>
      </c>
      <c r="U3789">
        <v>0.41307070000000001</v>
      </c>
      <c r="V3789">
        <v>5.2699070000000001E-2</v>
      </c>
      <c r="W3789">
        <v>0.20344699999999999</v>
      </c>
      <c r="X3789">
        <v>0.9776667</v>
      </c>
      <c r="Y3789">
        <v>0.1006613</v>
      </c>
      <c r="Z3789">
        <v>9.874875E-3</v>
      </c>
      <c r="AA3789">
        <v>0.99487170000000003</v>
      </c>
      <c r="AB3789">
        <v>34</v>
      </c>
      <c r="AC3789">
        <v>-0.40179999999998001</v>
      </c>
      <c r="AD3789">
        <v>-0.23802039999999899</v>
      </c>
      <c r="AE3789">
        <v>8.6900000000014105E-2</v>
      </c>
      <c r="AF3789">
        <v>5.8488579486516597E-2</v>
      </c>
      <c r="AG3789">
        <v>-0.23802039999999899</v>
      </c>
      <c r="AH3789">
        <v>0.30227058054905398</v>
      </c>
      <c r="AI3789">
        <v>127.707665105308</v>
      </c>
      <c r="AJ3789">
        <v>79.048751772438195</v>
      </c>
      <c r="AK3789">
        <v>0.38915566115883798</v>
      </c>
      <c r="AL3789">
        <v>78.261397304613993</v>
      </c>
      <c r="AM3789">
        <v>86.914577291107094</v>
      </c>
      <c r="AN3789">
        <v>1.00000002503837</v>
      </c>
    </row>
    <row r="3790" spans="1:40" x14ac:dyDescent="0.25">
      <c r="A3790" t="str">
        <f>"20190303162627735"</f>
        <v>20190303162627735</v>
      </c>
      <c r="B3790" t="str">
        <f>"1551601587727546"</f>
        <v>1551601587727546</v>
      </c>
      <c r="C3790" t="s">
        <v>40</v>
      </c>
      <c r="D3790">
        <v>4.8000639999999999</v>
      </c>
      <c r="E3790">
        <v>0.51231490000000002</v>
      </c>
      <c r="F3790" t="s">
        <v>42</v>
      </c>
      <c r="G3790">
        <v>-369.3913</v>
      </c>
      <c r="H3790">
        <v>0.89296769999999903</v>
      </c>
      <c r="I3790">
        <v>141.5068</v>
      </c>
      <c r="J3790">
        <v>-369.00709999999998</v>
      </c>
      <c r="K3790">
        <v>1.1208199999999999</v>
      </c>
      <c r="L3790">
        <v>141.4239</v>
      </c>
      <c r="M3790">
        <v>-0.99967039999999996</v>
      </c>
      <c r="N3790">
        <v>-1.2963819999999999E-2</v>
      </c>
      <c r="O3790">
        <v>2.2160699999999998E-2</v>
      </c>
      <c r="P3790">
        <v>-0.97864260000000003</v>
      </c>
      <c r="Q3790">
        <v>0.1918067</v>
      </c>
      <c r="R3790">
        <v>7.3952409999999996E-2</v>
      </c>
      <c r="S3790">
        <v>-3.2371829999999999</v>
      </c>
      <c r="T3790">
        <v>-1.0441450000000001</v>
      </c>
      <c r="U3790">
        <v>0.41275020000000001</v>
      </c>
      <c r="V3790">
        <v>5.2396579999999998E-2</v>
      </c>
      <c r="W3790">
        <v>0.20445669999999999</v>
      </c>
      <c r="X3790">
        <v>0.97747229999999996</v>
      </c>
      <c r="Y3790">
        <v>0.1002643</v>
      </c>
      <c r="Z3790">
        <v>9.7173989999999998E-3</v>
      </c>
      <c r="AA3790">
        <v>0.99491339999999995</v>
      </c>
      <c r="AB3790">
        <v>34</v>
      </c>
      <c r="AC3790">
        <v>-0.38420000000002102</v>
      </c>
      <c r="AD3790">
        <v>-0.22785230000000001</v>
      </c>
      <c r="AE3790">
        <v>8.2899999999995005E-2</v>
      </c>
      <c r="AF3790">
        <v>5.5659375822978099E-2</v>
      </c>
      <c r="AG3790">
        <v>-0.22785230000000001</v>
      </c>
      <c r="AH3790">
        <v>0.288864444643119</v>
      </c>
      <c r="AI3790">
        <v>127.759184555979</v>
      </c>
      <c r="AJ3790">
        <v>79.093717069278696</v>
      </c>
      <c r="AK3790">
        <v>0.37209851398691601</v>
      </c>
      <c r="AL3790">
        <v>78.202303606572599</v>
      </c>
      <c r="AM3790">
        <v>86.931644587614201</v>
      </c>
      <c r="AN3790">
        <v>1.0000000205189301</v>
      </c>
    </row>
    <row r="3791" spans="1:40" x14ac:dyDescent="0.25">
      <c r="A3791" t="str">
        <f>"20190303162627759"</f>
        <v>20190303162627759</v>
      </c>
      <c r="B3791" t="str">
        <f>"1551601587747672"</f>
        <v>1551601587747672</v>
      </c>
      <c r="C3791" t="s">
        <v>40</v>
      </c>
      <c r="D3791">
        <v>4.7294769999999904</v>
      </c>
      <c r="E3791">
        <v>0.47269470000000002</v>
      </c>
      <c r="F3791" t="s">
        <v>42</v>
      </c>
      <c r="G3791">
        <v>-369.72250000000003</v>
      </c>
      <c r="H3791">
        <v>0.95758549999999998</v>
      </c>
      <c r="I3791">
        <v>141.49680000000001</v>
      </c>
      <c r="J3791">
        <v>-369.33909999999997</v>
      </c>
      <c r="K3791">
        <v>1.120825</v>
      </c>
      <c r="L3791">
        <v>141.43170000000001</v>
      </c>
      <c r="M3791">
        <v>-0.99966350000000004</v>
      </c>
      <c r="N3791">
        <v>-1.296197E-2</v>
      </c>
      <c r="O3791">
        <v>2.2471330000000001E-2</v>
      </c>
      <c r="P3791">
        <v>-0.97855689999999995</v>
      </c>
      <c r="Q3791">
        <v>0.19235179999999999</v>
      </c>
      <c r="R3791">
        <v>7.3668839999999999E-2</v>
      </c>
      <c r="S3791">
        <v>-3.1834720000000001</v>
      </c>
      <c r="T3791">
        <v>-0.72639679999999995</v>
      </c>
      <c r="U3791">
        <v>0.32243349999999998</v>
      </c>
      <c r="V3791">
        <v>5.1809910000000001E-2</v>
      </c>
      <c r="W3791">
        <v>0.20499990000000001</v>
      </c>
      <c r="X3791">
        <v>0.97738979999999998</v>
      </c>
      <c r="Y3791">
        <v>7.6823580000000002E-2</v>
      </c>
      <c r="Z3791">
        <v>4.3770199999999997E-3</v>
      </c>
      <c r="AA3791">
        <v>0.99703509999999995</v>
      </c>
      <c r="AB3791">
        <v>34</v>
      </c>
      <c r="AC3791">
        <v>-0.38340000000005098</v>
      </c>
      <c r="AD3791">
        <v>-0.16323949999999901</v>
      </c>
      <c r="AE3791">
        <v>6.5100000000001004E-2</v>
      </c>
      <c r="AF3791">
        <v>4.8008329661391597E-2</v>
      </c>
      <c r="AG3791">
        <v>-0.16323949999999901</v>
      </c>
      <c r="AH3791">
        <v>0.32712689534975098</v>
      </c>
      <c r="AI3791">
        <v>116.276530733627</v>
      </c>
      <c r="AJ3791">
        <v>81.651012969808903</v>
      </c>
      <c r="AK3791">
        <v>0.36873288399367599</v>
      </c>
      <c r="AL3791">
        <v>78.170507086745005</v>
      </c>
      <c r="AM3791">
        <v>86.965679939287497</v>
      </c>
      <c r="AN3791">
        <v>1.00000002345912</v>
      </c>
    </row>
    <row r="3792" spans="1:40" x14ac:dyDescent="0.25">
      <c r="A3792" t="str">
        <f>"20190303162627781"</f>
        <v>20190303162627781</v>
      </c>
      <c r="B3792" t="str">
        <f>"1551601587776952"</f>
        <v>1551601587776952</v>
      </c>
      <c r="C3792" t="s">
        <v>40</v>
      </c>
      <c r="D3792">
        <v>4.7706650000000002</v>
      </c>
      <c r="E3792">
        <v>0.46972459999999999</v>
      </c>
      <c r="F3792" t="s">
        <v>41</v>
      </c>
      <c r="G3792">
        <v>-390.81569999999999</v>
      </c>
      <c r="H3792" s="1">
        <v>-4.3275389999999997E-6</v>
      </c>
      <c r="I3792">
        <v>141.4716</v>
      </c>
      <c r="J3792">
        <v>-369.6816</v>
      </c>
      <c r="K3792">
        <v>1.1208309999999999</v>
      </c>
      <c r="L3792">
        <v>141.43969999999999</v>
      </c>
      <c r="M3792">
        <v>-0.99965630000000005</v>
      </c>
      <c r="N3792">
        <v>-1.2960380000000001E-2</v>
      </c>
      <c r="O3792">
        <v>2.2790660000000001E-2</v>
      </c>
      <c r="P3792">
        <v>-0.97847969999999895</v>
      </c>
      <c r="Q3792">
        <v>0.1927836</v>
      </c>
      <c r="R3792">
        <v>7.3565889999999995E-2</v>
      </c>
      <c r="S3792">
        <v>-3.0970759999999999</v>
      </c>
      <c r="T3792">
        <v>-0.16163129999999901</v>
      </c>
      <c r="U3792">
        <v>5.7678219999999997E-3</v>
      </c>
      <c r="V3792">
        <v>5.1395209999999997E-2</v>
      </c>
      <c r="W3792">
        <v>0.2054298</v>
      </c>
      <c r="X3792">
        <v>0.97732140000000001</v>
      </c>
      <c r="Y3792">
        <v>-2.0877679999999999E-2</v>
      </c>
      <c r="Z3792">
        <v>-1.5730830000000001E-3</v>
      </c>
      <c r="AA3792">
        <v>0.99978080000000003</v>
      </c>
      <c r="AB3792">
        <v>34</v>
      </c>
      <c r="AC3792">
        <v>-21.134099999999901</v>
      </c>
      <c r="AD3792">
        <v>-1.1208353275389999</v>
      </c>
      <c r="AE3792">
        <v>3.1900000000007298E-2</v>
      </c>
      <c r="AF3792">
        <v>-0.44854720268744602</v>
      </c>
      <c r="AG3792">
        <v>-1.1208353275389999</v>
      </c>
      <c r="AH3792">
        <v>21.070074107482501</v>
      </c>
      <c r="AI3792">
        <v>93.044325096068206</v>
      </c>
      <c r="AJ3792">
        <v>91.219548645598607</v>
      </c>
      <c r="AK3792">
        <v>21.1046319399155</v>
      </c>
      <c r="AL3792">
        <v>78.145339652229595</v>
      </c>
      <c r="AM3792">
        <v>86.989712303001198</v>
      </c>
      <c r="AN3792">
        <v>0.999999994618472</v>
      </c>
    </row>
    <row r="3793" spans="1:40" x14ac:dyDescent="0.25">
      <c r="A3793" t="str">
        <f>"20190303162627808"</f>
        <v>20190303162627808</v>
      </c>
      <c r="B3793" t="str">
        <f>"1551601587797448"</f>
        <v>1551601587797448</v>
      </c>
      <c r="C3793" t="s">
        <v>40</v>
      </c>
      <c r="D3793">
        <v>4.7179779999999996</v>
      </c>
      <c r="E3793">
        <v>0.46914709999999898</v>
      </c>
      <c r="F3793" t="s">
        <v>41</v>
      </c>
      <c r="G3793">
        <v>-396.04559999999998</v>
      </c>
      <c r="H3793" s="1">
        <v>-2.124011E-6</v>
      </c>
      <c r="I3793">
        <v>141.28970000000001</v>
      </c>
      <c r="J3793">
        <v>-370.08539999999999</v>
      </c>
      <c r="K3793">
        <v>1.1208370000000001</v>
      </c>
      <c r="L3793">
        <v>141.4494</v>
      </c>
      <c r="M3793">
        <v>-0.99964770000000003</v>
      </c>
      <c r="N3793">
        <v>-1.2958610000000001E-2</v>
      </c>
      <c r="O3793">
        <v>2.3165720000000001E-2</v>
      </c>
      <c r="P3793">
        <v>-0.97840179999999999</v>
      </c>
      <c r="Q3793">
        <v>0.1931534</v>
      </c>
      <c r="R3793">
        <v>7.3633000000000004E-2</v>
      </c>
      <c r="S3793">
        <v>-3.0931700000000002</v>
      </c>
      <c r="T3793">
        <v>-0.13150249999999999</v>
      </c>
      <c r="U3793">
        <v>-1.7593379999999999E-2</v>
      </c>
      <c r="V3793">
        <v>5.1095960000000003E-2</v>
      </c>
      <c r="W3793">
        <v>0.20579749999999999</v>
      </c>
      <c r="X3793">
        <v>0.97725980000000001</v>
      </c>
      <c r="Y3793">
        <v>-2.8809419999999999E-2</v>
      </c>
      <c r="Z3793">
        <v>-1.483137E-3</v>
      </c>
      <c r="AA3793">
        <v>0.99958380000000002</v>
      </c>
      <c r="AB3793">
        <v>34</v>
      </c>
      <c r="AC3793">
        <v>-25.960199999999901</v>
      </c>
      <c r="AD3793">
        <v>-1.1208391240110001</v>
      </c>
      <c r="AE3793">
        <v>-0.15969999999998599</v>
      </c>
      <c r="AF3793">
        <v>-0.75967826329004895</v>
      </c>
      <c r="AG3793">
        <v>-1.1208391240110001</v>
      </c>
      <c r="AH3793">
        <v>25.901251402474401</v>
      </c>
      <c r="AI3793">
        <v>92.476782184782607</v>
      </c>
      <c r="AJ3793">
        <v>91.6799915590056</v>
      </c>
      <c r="AK3793">
        <v>25.936619201812199</v>
      </c>
      <c r="AL3793">
        <v>78.123812835047303</v>
      </c>
      <c r="AM3793">
        <v>87.007019524706394</v>
      </c>
      <c r="AN3793">
        <v>1.0000000624153</v>
      </c>
    </row>
    <row r="3794" spans="1:40" x14ac:dyDescent="0.25">
      <c r="A3794" t="str">
        <f>"20190303162627848"</f>
        <v>20190303162627848</v>
      </c>
      <c r="B3794" t="str">
        <f>"1551601587837011"</f>
        <v>1551601587837011</v>
      </c>
      <c r="C3794" t="s">
        <v>40</v>
      </c>
      <c r="D3794">
        <v>4.8296479999999997</v>
      </c>
      <c r="E3794">
        <v>0.47003420000000001</v>
      </c>
      <c r="F3794" t="s">
        <v>41</v>
      </c>
      <c r="G3794">
        <v>-394.90339999999998</v>
      </c>
      <c r="H3794" s="1">
        <v>-2.6109930000000001E-6</v>
      </c>
      <c r="I3794">
        <v>141.2783</v>
      </c>
      <c r="J3794">
        <v>-370.68220000000002</v>
      </c>
      <c r="K3794">
        <v>1.120844</v>
      </c>
      <c r="L3794">
        <v>141.4639</v>
      </c>
      <c r="M3794">
        <v>-0.99963480000000005</v>
      </c>
      <c r="N3794">
        <v>-1.2955990000000001E-2</v>
      </c>
      <c r="O3794">
        <v>2.3717820000000001E-2</v>
      </c>
      <c r="P3794">
        <v>-0.97818090000000002</v>
      </c>
      <c r="Q3794">
        <v>0.19473070000000001</v>
      </c>
      <c r="R3794">
        <v>7.2403880000000004E-2</v>
      </c>
      <c r="S3794">
        <v>-3.0954280000000001</v>
      </c>
      <c r="T3794">
        <v>-0.13979739999999999</v>
      </c>
      <c r="U3794">
        <v>-2.133179E-2</v>
      </c>
      <c r="V3794">
        <v>4.9331840000000002E-2</v>
      </c>
      <c r="W3794">
        <v>0.2073702</v>
      </c>
      <c r="X3794">
        <v>0.97701789999999999</v>
      </c>
      <c r="Y3794">
        <v>-3.0556150000000001E-2</v>
      </c>
      <c r="Z3794">
        <v>-1.651065E-3</v>
      </c>
      <c r="AA3794">
        <v>0.99953170000000002</v>
      </c>
      <c r="AB3794">
        <v>34</v>
      </c>
      <c r="AC3794">
        <v>-24.2211999999999</v>
      </c>
      <c r="AD3794">
        <v>-1.120846610993</v>
      </c>
      <c r="AE3794">
        <v>-0.18559999999999299</v>
      </c>
      <c r="AF3794">
        <v>-0.75844597420785398</v>
      </c>
      <c r="AG3794">
        <v>-1.120846610993</v>
      </c>
      <c r="AH3794">
        <v>24.158253032131601</v>
      </c>
      <c r="AI3794">
        <v>92.655084475563299</v>
      </c>
      <c r="AJ3794">
        <v>91.7982047149614</v>
      </c>
      <c r="AK3794">
        <v>24.1961304134703</v>
      </c>
      <c r="AL3794">
        <v>78.031716438028994</v>
      </c>
      <c r="AM3794">
        <v>87.109461488789407</v>
      </c>
      <c r="AN3794">
        <v>1.00000000360311</v>
      </c>
    </row>
    <row r="3795" spans="1:40" x14ac:dyDescent="0.25">
      <c r="A3795" t="str">
        <f>"20190303162627871"</f>
        <v>20190303162627871</v>
      </c>
      <c r="B3795" t="str">
        <f>"1551601587867267"</f>
        <v>1551601587867267</v>
      </c>
      <c r="C3795" t="s">
        <v>40</v>
      </c>
      <c r="D3795">
        <v>4.8072889999999999</v>
      </c>
      <c r="E3795">
        <v>0.47113100000000002</v>
      </c>
      <c r="F3795" t="s">
        <v>41</v>
      </c>
      <c r="G3795">
        <v>-394.37009999999998</v>
      </c>
      <c r="H3795" s="1">
        <v>-2.8523100000000001E-6</v>
      </c>
      <c r="I3795">
        <v>141.3254</v>
      </c>
      <c r="J3795">
        <v>-371.0258</v>
      </c>
      <c r="K3795">
        <v>1.120844</v>
      </c>
      <c r="L3795">
        <v>141.47239999999999</v>
      </c>
      <c r="M3795">
        <v>-0.99962720000000005</v>
      </c>
      <c r="N3795">
        <v>-1.295456E-2</v>
      </c>
      <c r="O3795">
        <v>2.403574E-2</v>
      </c>
      <c r="P3795">
        <v>-0.97818450000000001</v>
      </c>
      <c r="Q3795">
        <v>0.1951985</v>
      </c>
      <c r="R3795">
        <v>7.1082290000000006E-2</v>
      </c>
      <c r="S3795">
        <v>-3.0974729999999999</v>
      </c>
      <c r="T3795">
        <v>-0.1465639</v>
      </c>
      <c r="U3795">
        <v>-1.8096919999999999E-2</v>
      </c>
      <c r="V3795">
        <v>4.7699150000000003E-2</v>
      </c>
      <c r="W3795">
        <v>0.2078381</v>
      </c>
      <c r="X3795">
        <v>0.97699959999999997</v>
      </c>
      <c r="Y3795">
        <v>-2.982135E-2</v>
      </c>
      <c r="Z3795">
        <v>-1.723764E-3</v>
      </c>
      <c r="AA3795">
        <v>0.99955369999999999</v>
      </c>
      <c r="AB3795">
        <v>34</v>
      </c>
      <c r="AC3795">
        <v>-23.344299999999901</v>
      </c>
      <c r="AD3795">
        <v>-1.1208468523099999</v>
      </c>
      <c r="AE3795">
        <v>-0.146999999999991</v>
      </c>
      <c r="AF3795">
        <v>-0.70647353461316997</v>
      </c>
      <c r="AG3795">
        <v>-1.1208468523099999</v>
      </c>
      <c r="AH3795">
        <v>23.280354654238199</v>
      </c>
      <c r="AI3795">
        <v>92.755145365343196</v>
      </c>
      <c r="AJ3795">
        <v>91.738183715288798</v>
      </c>
      <c r="AK3795">
        <v>23.3180255456708</v>
      </c>
      <c r="AL3795">
        <v>78.004311234367904</v>
      </c>
      <c r="AM3795">
        <v>87.204920392904995</v>
      </c>
      <c r="AN3795">
        <v>1.0000000515612399</v>
      </c>
    </row>
    <row r="3796" spans="1:40" x14ac:dyDescent="0.25">
      <c r="A3796" t="str">
        <f>"20190303162627905"</f>
        <v>20190303162627905</v>
      </c>
      <c r="B3796" t="str">
        <f>"1551601587897523"</f>
        <v>1551601587897523</v>
      </c>
      <c r="C3796" t="s">
        <v>40</v>
      </c>
      <c r="D3796">
        <v>4.8520659999999998</v>
      </c>
      <c r="E3796">
        <v>0.47185159999999998</v>
      </c>
      <c r="F3796" t="s">
        <v>41</v>
      </c>
      <c r="G3796">
        <v>-393.7688</v>
      </c>
      <c r="H3796" s="1">
        <v>-3.1238099999999999E-6</v>
      </c>
      <c r="I3796">
        <v>141.37639999999999</v>
      </c>
      <c r="J3796">
        <v>-371.52879999999999</v>
      </c>
      <c r="K3796">
        <v>1.1208480000000001</v>
      </c>
      <c r="L3796">
        <v>141.48509999999999</v>
      </c>
      <c r="M3796">
        <v>-0.99961599999999995</v>
      </c>
      <c r="N3796">
        <v>-1.295261E-2</v>
      </c>
      <c r="O3796">
        <v>2.4501530000000001E-2</v>
      </c>
      <c r="P3796">
        <v>-0.97818079999999996</v>
      </c>
      <c r="Q3796">
        <v>0.19550409999999999</v>
      </c>
      <c r="R3796">
        <v>7.0289950000000004E-2</v>
      </c>
      <c r="S3796">
        <v>-3.098328</v>
      </c>
      <c r="T3796">
        <v>-0.1526952</v>
      </c>
      <c r="U3796">
        <v>-1.307678E-2</v>
      </c>
      <c r="V3796">
        <v>4.645051E-2</v>
      </c>
      <c r="W3796">
        <v>0.20814270000000001</v>
      </c>
      <c r="X3796">
        <v>0.9769949</v>
      </c>
      <c r="Y3796">
        <v>-2.866256E-2</v>
      </c>
      <c r="Z3796">
        <v>-1.781087E-3</v>
      </c>
      <c r="AA3796">
        <v>0.99958749999999996</v>
      </c>
      <c r="AB3796">
        <v>34</v>
      </c>
      <c r="AC3796">
        <v>-22.24</v>
      </c>
      <c r="AD3796">
        <v>-1.1208511238100001</v>
      </c>
      <c r="AE3796">
        <v>-0.10869999999999801</v>
      </c>
      <c r="AF3796">
        <v>-0.651971100222004</v>
      </c>
      <c r="AG3796">
        <v>-1.1208511238100001</v>
      </c>
      <c r="AH3796">
        <v>22.174338214351401</v>
      </c>
      <c r="AI3796">
        <v>92.8924316732341</v>
      </c>
      <c r="AJ3796">
        <v>91.684128443599505</v>
      </c>
      <c r="AK3796">
        <v>22.2122184574553</v>
      </c>
      <c r="AL3796">
        <v>77.986468527229803</v>
      </c>
      <c r="AM3796">
        <v>87.277963729812299</v>
      </c>
      <c r="AN3796">
        <v>1.0000000340342701</v>
      </c>
    </row>
    <row r="3797" spans="1:40" x14ac:dyDescent="0.25">
      <c r="A3797" t="str">
        <f>"20190303162627926"</f>
        <v>20190303162627926</v>
      </c>
      <c r="B3797" t="str">
        <f>"1551601587917043"</f>
        <v>1551601587917043</v>
      </c>
      <c r="C3797" t="s">
        <v>40</v>
      </c>
      <c r="D3797">
        <v>4.8772349999999998</v>
      </c>
      <c r="E3797">
        <v>0.47232089999999999</v>
      </c>
      <c r="F3797" t="s">
        <v>41</v>
      </c>
      <c r="G3797">
        <v>-395.5034</v>
      </c>
      <c r="H3797" s="1">
        <v>-2.3885550000000001E-6</v>
      </c>
      <c r="I3797">
        <v>141.40960000000001</v>
      </c>
      <c r="J3797">
        <v>-371.85739999999998</v>
      </c>
      <c r="K3797">
        <v>1.120841</v>
      </c>
      <c r="L3797">
        <v>141.49350000000001</v>
      </c>
      <c r="M3797">
        <v>-0.99960850000000001</v>
      </c>
      <c r="N3797">
        <v>-1.29514E-2</v>
      </c>
      <c r="O3797">
        <v>2.4805500000000001E-2</v>
      </c>
      <c r="P3797">
        <v>-0.97814559999999995</v>
      </c>
      <c r="Q3797">
        <v>0.19576850000000001</v>
      </c>
      <c r="R3797">
        <v>7.0041389999999995E-2</v>
      </c>
      <c r="S3797">
        <v>-3.0965579999999999</v>
      </c>
      <c r="T3797">
        <v>-0.14476939999999999</v>
      </c>
      <c r="U3797">
        <v>-9.7351069999999998E-3</v>
      </c>
      <c r="V3797">
        <v>4.5904769999999998E-2</v>
      </c>
      <c r="W3797">
        <v>0.20840620000000001</v>
      </c>
      <c r="X3797">
        <v>0.97696450000000001</v>
      </c>
      <c r="Y3797">
        <v>-2.7897249999999998E-2</v>
      </c>
      <c r="Z3797">
        <v>-1.670366E-3</v>
      </c>
      <c r="AA3797">
        <v>0.99960939999999998</v>
      </c>
      <c r="AB3797">
        <v>33</v>
      </c>
      <c r="AC3797">
        <v>-23.646000000000001</v>
      </c>
      <c r="AD3797">
        <v>-1.120843388555</v>
      </c>
      <c r="AE3797">
        <v>-8.3899999999999794E-2</v>
      </c>
      <c r="AF3797">
        <v>-0.66897111180991398</v>
      </c>
      <c r="AG3797">
        <v>-1.120843388555</v>
      </c>
      <c r="AH3797">
        <v>23.5836531467802</v>
      </c>
      <c r="AI3797">
        <v>92.719915620762507</v>
      </c>
      <c r="AJ3797">
        <v>91.624809602249201</v>
      </c>
      <c r="AK3797">
        <v>23.6197482627935</v>
      </c>
      <c r="AL3797">
        <v>77.971032331602302</v>
      </c>
      <c r="AM3797">
        <v>87.309813679822497</v>
      </c>
      <c r="AN3797">
        <v>1.0000000131837199</v>
      </c>
    </row>
    <row r="3798" spans="1:40" x14ac:dyDescent="0.25">
      <c r="A3798" t="str">
        <f>"20190303162627948"</f>
        <v>20190303162627948</v>
      </c>
      <c r="B3798" t="str">
        <f>"1551601587937129"</f>
        <v>1551601587937129</v>
      </c>
      <c r="C3798" t="s">
        <v>40</v>
      </c>
      <c r="D3798">
        <v>4.9027719999999997</v>
      </c>
      <c r="E3798">
        <v>0.47236739999999999</v>
      </c>
      <c r="F3798" t="s">
        <v>41</v>
      </c>
      <c r="G3798">
        <v>-396.57940000000002</v>
      </c>
      <c r="H3798" s="1">
        <v>-1.9353980000000001E-6</v>
      </c>
      <c r="I3798">
        <v>141.44149999999999</v>
      </c>
      <c r="J3798">
        <v>-372.1866</v>
      </c>
      <c r="K3798">
        <v>1.1208469999999999</v>
      </c>
      <c r="L3798">
        <v>141.50200000000001</v>
      </c>
      <c r="M3798">
        <v>-0.99960090000000001</v>
      </c>
      <c r="N3798">
        <v>-1.2950079999999999E-2</v>
      </c>
      <c r="O3798">
        <v>2.5109469999999998E-2</v>
      </c>
      <c r="P3798">
        <v>-0.97809639999999998</v>
      </c>
      <c r="Q3798">
        <v>0.1959938</v>
      </c>
      <c r="R3798">
        <v>7.0100220000000005E-2</v>
      </c>
      <c r="S3798">
        <v>-3.0955810000000001</v>
      </c>
      <c r="T3798">
        <v>-0.1403471</v>
      </c>
      <c r="U3798">
        <v>-6.5002439999999996E-3</v>
      </c>
      <c r="V3798">
        <v>4.5666900000000003E-2</v>
      </c>
      <c r="W3798">
        <v>0.2086295</v>
      </c>
      <c r="X3798">
        <v>0.97692789999999996</v>
      </c>
      <c r="Y3798">
        <v>-2.7161660000000001E-2</v>
      </c>
      <c r="Z3798">
        <v>-1.6040609999999999E-3</v>
      </c>
      <c r="AA3798">
        <v>0.99962980000000001</v>
      </c>
      <c r="AB3798">
        <v>33</v>
      </c>
      <c r="AC3798">
        <v>-24.392800000000001</v>
      </c>
      <c r="AD3798">
        <v>-1.120848935398</v>
      </c>
      <c r="AE3798">
        <v>-6.0500000000018803E-2</v>
      </c>
      <c r="AF3798">
        <v>-0.67160450271690098</v>
      </c>
      <c r="AG3798">
        <v>-1.120848935398</v>
      </c>
      <c r="AH3798">
        <v>24.332213834632501</v>
      </c>
      <c r="AI3798">
        <v>92.636428864825604</v>
      </c>
      <c r="AJ3798">
        <v>91.581045454204599</v>
      </c>
      <c r="AK3798">
        <v>24.367272827264401</v>
      </c>
      <c r="AL3798">
        <v>77.957949587313607</v>
      </c>
      <c r="AM3798">
        <v>87.323633287239005</v>
      </c>
      <c r="AN3798">
        <v>0.99999992791213199</v>
      </c>
    </row>
    <row r="3799" spans="1:40" x14ac:dyDescent="0.25">
      <c r="A3799" t="str">
        <f>"20190303162627971"</f>
        <v>20190303162627971</v>
      </c>
      <c r="B3799" t="str">
        <f>"1551601587967385"</f>
        <v>1551601587967385</v>
      </c>
      <c r="C3799" t="s">
        <v>40</v>
      </c>
      <c r="D3799">
        <v>4.9312899999999997</v>
      </c>
      <c r="E3799">
        <v>0.47236539999999999</v>
      </c>
      <c r="F3799" t="s">
        <v>41</v>
      </c>
      <c r="G3799">
        <v>-397.3372</v>
      </c>
      <c r="H3799" s="1">
        <v>-1.613605E-6</v>
      </c>
      <c r="I3799">
        <v>141.4538</v>
      </c>
      <c r="J3799">
        <v>-372.5265</v>
      </c>
      <c r="K3799">
        <v>1.120844</v>
      </c>
      <c r="L3799">
        <v>141.51089999999999</v>
      </c>
      <c r="M3799">
        <v>-0.99959279999999995</v>
      </c>
      <c r="N3799">
        <v>-1.294876E-2</v>
      </c>
      <c r="O3799">
        <v>2.5423040000000001E-2</v>
      </c>
      <c r="P3799">
        <v>-0.97808110000000004</v>
      </c>
      <c r="Q3799">
        <v>0.19620840000000001</v>
      </c>
      <c r="R3799">
        <v>6.9710910000000001E-2</v>
      </c>
      <c r="S3799">
        <v>-3.0952449999999998</v>
      </c>
      <c r="T3799">
        <v>-0.13794110000000001</v>
      </c>
      <c r="U3799">
        <v>-5.9204100000000001E-3</v>
      </c>
      <c r="V3799">
        <v>4.4970650000000001E-2</v>
      </c>
      <c r="W3799">
        <v>0.20884359999999999</v>
      </c>
      <c r="X3799">
        <v>0.97691450000000002</v>
      </c>
      <c r="Y3799">
        <v>-2.7289589999999999E-2</v>
      </c>
      <c r="Z3799">
        <v>-1.5878120000000001E-3</v>
      </c>
      <c r="AA3799">
        <v>0.99962629999999997</v>
      </c>
      <c r="AB3799">
        <v>33</v>
      </c>
      <c r="AC3799">
        <v>-24.810700000000001</v>
      </c>
      <c r="AD3799">
        <v>-1.120845613605</v>
      </c>
      <c r="AE3799">
        <v>-5.7099999999991199E-2</v>
      </c>
      <c r="AF3799">
        <v>-0.68649688225454697</v>
      </c>
      <c r="AG3799">
        <v>-1.120845613605</v>
      </c>
      <c r="AH3799">
        <v>24.750715100900202</v>
      </c>
      <c r="AI3799">
        <v>92.591894385551299</v>
      </c>
      <c r="AJ3799">
        <v>91.588773979648295</v>
      </c>
      <c r="AK3799">
        <v>24.785589984198801</v>
      </c>
      <c r="AL3799">
        <v>77.945406823893705</v>
      </c>
      <c r="AM3799">
        <v>87.364343820073003</v>
      </c>
      <c r="AN3799">
        <v>0.99999997446631494</v>
      </c>
    </row>
    <row r="3800" spans="1:40" x14ac:dyDescent="0.25">
      <c r="A3800" t="str">
        <f>"20190303162627994"</f>
        <v>20190303162627994</v>
      </c>
      <c r="B3800" t="str">
        <f>"1551601587987881"</f>
        <v>1551601587987881</v>
      </c>
      <c r="C3800" t="s">
        <v>40</v>
      </c>
      <c r="D3800">
        <v>4.9003310000000004</v>
      </c>
      <c r="E3800">
        <v>0.47229549999999998</v>
      </c>
      <c r="F3800" t="s">
        <v>41</v>
      </c>
      <c r="G3800">
        <v>-398.16460000000001</v>
      </c>
      <c r="H3800" s="1">
        <v>-1.257692E-6</v>
      </c>
      <c r="I3800">
        <v>141.45009999999999</v>
      </c>
      <c r="J3800">
        <v>-372.86680000000001</v>
      </c>
      <c r="K3800">
        <v>1.1208370000000001</v>
      </c>
      <c r="L3800">
        <v>141.51990000000001</v>
      </c>
      <c r="M3800">
        <v>-0.9995849</v>
      </c>
      <c r="N3800">
        <v>-1.2947480000000001E-2</v>
      </c>
      <c r="O3800">
        <v>2.5735890000000001E-2</v>
      </c>
      <c r="P3800">
        <v>-0.97819129999999999</v>
      </c>
      <c r="Q3800">
        <v>0.19588259999999999</v>
      </c>
      <c r="R3800">
        <v>6.9081519999999993E-2</v>
      </c>
      <c r="S3800">
        <v>-3.09491</v>
      </c>
      <c r="T3800">
        <v>-0.13530349999999999</v>
      </c>
      <c r="U3800">
        <v>-7.3242189999999999E-3</v>
      </c>
      <c r="V3800">
        <v>4.4031790000000001E-2</v>
      </c>
      <c r="W3800">
        <v>0.2085185</v>
      </c>
      <c r="X3800">
        <v>0.97702670000000003</v>
      </c>
      <c r="Y3800">
        <v>-2.80568E-2</v>
      </c>
      <c r="Z3800">
        <v>-1.5861130000000001E-3</v>
      </c>
      <c r="AA3800">
        <v>0.99960510000000002</v>
      </c>
      <c r="AB3800">
        <v>33</v>
      </c>
      <c r="AC3800">
        <v>-25.297799999999899</v>
      </c>
      <c r="AD3800">
        <v>-1.120838257692</v>
      </c>
      <c r="AE3800">
        <v>-6.9800000000014906E-2</v>
      </c>
      <c r="AF3800">
        <v>-0.71948054063548195</v>
      </c>
      <c r="AG3800">
        <v>-1.120838257692</v>
      </c>
      <c r="AH3800">
        <v>25.238080883547799</v>
      </c>
      <c r="AI3800">
        <v>92.541837627047897</v>
      </c>
      <c r="AJ3800">
        <v>91.632930681685494</v>
      </c>
      <c r="AK3800">
        <v>25.273200377727399</v>
      </c>
      <c r="AL3800">
        <v>77.964452928228397</v>
      </c>
      <c r="AM3800">
        <v>87.419589647749902</v>
      </c>
      <c r="AN3800">
        <v>0.99999996794287105</v>
      </c>
    </row>
    <row r="3801" spans="1:40" x14ac:dyDescent="0.25">
      <c r="A3801" t="str">
        <f>"20190303162628020"</f>
        <v>20190303162628020</v>
      </c>
      <c r="B3801" t="str">
        <f>"1551601588007402"</f>
        <v>1551601588007402</v>
      </c>
      <c r="C3801" t="s">
        <v>40</v>
      </c>
      <c r="D3801">
        <v>4.8690610000000003</v>
      </c>
      <c r="E3801">
        <v>0.4722807</v>
      </c>
      <c r="F3801" t="s">
        <v>41</v>
      </c>
      <c r="G3801">
        <v>-398.46100000000001</v>
      </c>
      <c r="H3801" s="1">
        <v>-1.12767E-6</v>
      </c>
      <c r="I3801">
        <v>141.43950000000001</v>
      </c>
      <c r="J3801">
        <v>-373.24340000000001</v>
      </c>
      <c r="K3801">
        <v>1.1208370000000001</v>
      </c>
      <c r="L3801">
        <v>141.53</v>
      </c>
      <c r="M3801">
        <v>-0.99957600000000002</v>
      </c>
      <c r="N3801">
        <v>-1.2946040000000001E-2</v>
      </c>
      <c r="O3801">
        <v>2.6080800000000001E-2</v>
      </c>
      <c r="P3801">
        <v>-0.97840859999999996</v>
      </c>
      <c r="Q3801">
        <v>0.19500529999999999</v>
      </c>
      <c r="R3801">
        <v>6.8479109999999996E-2</v>
      </c>
      <c r="S3801">
        <v>-3.094757</v>
      </c>
      <c r="T3801">
        <v>-0.1355275</v>
      </c>
      <c r="U3801">
        <v>-9.7198489999999992E-3</v>
      </c>
      <c r="V3801">
        <v>4.3084459999999998E-2</v>
      </c>
      <c r="W3801">
        <v>0.20764360000000001</v>
      </c>
      <c r="X3801">
        <v>0.97725530000000005</v>
      </c>
      <c r="Y3801">
        <v>-2.9173890000000001E-2</v>
      </c>
      <c r="Z3801">
        <v>-1.6314050000000001E-3</v>
      </c>
      <c r="AA3801">
        <v>0.99957300000000004</v>
      </c>
      <c r="AB3801">
        <v>33</v>
      </c>
      <c r="AC3801">
        <v>-25.217600000000001</v>
      </c>
      <c r="AD3801">
        <v>-1.1208381276699999</v>
      </c>
      <c r="AE3801">
        <v>-9.0499999999991601E-2</v>
      </c>
      <c r="AF3801">
        <v>-0.74674433932380102</v>
      </c>
      <c r="AG3801">
        <v>-1.1208381276699999</v>
      </c>
      <c r="AH3801">
        <v>25.156962900563599</v>
      </c>
      <c r="AI3801">
        <v>92.549935582608697</v>
      </c>
      <c r="AJ3801">
        <v>91.700234631620305</v>
      </c>
      <c r="AK3801">
        <v>25.1929888579558</v>
      </c>
      <c r="AL3801">
        <v>78.015703522022505</v>
      </c>
      <c r="AM3801">
        <v>87.475623596644397</v>
      </c>
      <c r="AN3801">
        <v>1.00000002834627</v>
      </c>
    </row>
    <row r="3802" spans="1:40" x14ac:dyDescent="0.25">
      <c r="A3802" t="str">
        <f>"20190303162628044"</f>
        <v>20190303162628044</v>
      </c>
      <c r="B3802" t="str">
        <f>"1551601588037657"</f>
        <v>1551601588037657</v>
      </c>
      <c r="C3802" t="s">
        <v>40</v>
      </c>
      <c r="D3802">
        <v>4.8505269999999996</v>
      </c>
      <c r="E3802">
        <v>0.47205999999999998</v>
      </c>
      <c r="F3802" t="s">
        <v>41</v>
      </c>
      <c r="G3802">
        <v>-398.38619999999997</v>
      </c>
      <c r="H3802" s="1">
        <v>-1.1585739999999999E-6</v>
      </c>
      <c r="I3802">
        <v>141.435</v>
      </c>
      <c r="J3802">
        <v>-373.62450000000001</v>
      </c>
      <c r="K3802">
        <v>1.1208400000000001</v>
      </c>
      <c r="L3802">
        <v>141.54040000000001</v>
      </c>
      <c r="M3802">
        <v>-0.99956699999999998</v>
      </c>
      <c r="N3802">
        <v>-1.2944529999999999E-2</v>
      </c>
      <c r="O3802">
        <v>2.6425569999999999E-2</v>
      </c>
      <c r="P3802">
        <v>-0.97848780000000002</v>
      </c>
      <c r="Q3802">
        <v>0.19475819999999999</v>
      </c>
      <c r="R3802">
        <v>6.8052219999999997E-2</v>
      </c>
      <c r="S3802">
        <v>-3.0945130000000001</v>
      </c>
      <c r="T3802">
        <v>-0.1379503</v>
      </c>
      <c r="U3802">
        <v>-1.1688230000000001E-2</v>
      </c>
      <c r="V3802">
        <v>4.2316180000000002E-2</v>
      </c>
      <c r="W3802">
        <v>0.20739679999999999</v>
      </c>
      <c r="X3802">
        <v>0.97734120000000002</v>
      </c>
      <c r="Y3802">
        <v>-3.015147E-2</v>
      </c>
      <c r="Z3802">
        <v>-1.702371E-3</v>
      </c>
      <c r="AA3802">
        <v>0.99954390000000004</v>
      </c>
      <c r="AB3802">
        <v>33</v>
      </c>
      <c r="AC3802">
        <v>-24.761699999999902</v>
      </c>
      <c r="AD3802">
        <v>-1.1208411585739999</v>
      </c>
      <c r="AE3802">
        <v>-0.10540000000000301</v>
      </c>
      <c r="AF3802">
        <v>-0.75820654733848003</v>
      </c>
      <c r="AG3802">
        <v>-1.1208411585739999</v>
      </c>
      <c r="AH3802">
        <v>24.699658904851699</v>
      </c>
      <c r="AI3802">
        <v>92.5970102539615</v>
      </c>
      <c r="AJ3802">
        <v>91.758259001511604</v>
      </c>
      <c r="AK3802">
        <v>24.736699700792801</v>
      </c>
      <c r="AL3802">
        <v>78.030157927876999</v>
      </c>
      <c r="AM3802">
        <v>87.520799116835306</v>
      </c>
      <c r="AN3802">
        <v>0.99999995647873496</v>
      </c>
    </row>
    <row r="3803" spans="1:40" x14ac:dyDescent="0.25">
      <c r="A3803" t="str">
        <f>"20190303162628064"</f>
        <v>20190303162628064</v>
      </c>
      <c r="B3803" t="str">
        <f>"1551601588058154"</f>
        <v>1551601588058154</v>
      </c>
      <c r="C3803" t="s">
        <v>40</v>
      </c>
      <c r="D3803">
        <v>4.8202150000000001</v>
      </c>
      <c r="E3803">
        <v>0.47187630000000003</v>
      </c>
      <c r="F3803" t="s">
        <v>41</v>
      </c>
      <c r="G3803">
        <v>-398.7826</v>
      </c>
      <c r="H3803" s="1">
        <v>-9.8415129999999999E-7</v>
      </c>
      <c r="I3803">
        <v>141.41849999999999</v>
      </c>
      <c r="J3803">
        <v>-373.91750000000002</v>
      </c>
      <c r="K3803">
        <v>1.120849</v>
      </c>
      <c r="L3803">
        <v>141.54839999999999</v>
      </c>
      <c r="M3803">
        <v>-0.99956020000000001</v>
      </c>
      <c r="N3803">
        <v>-1.2943329999999999E-2</v>
      </c>
      <c r="O3803">
        <v>2.6688199999999999E-2</v>
      </c>
      <c r="P3803">
        <v>-0.97848780000000002</v>
      </c>
      <c r="Q3803">
        <v>0.1950471</v>
      </c>
      <c r="R3803">
        <v>6.7217990000000005E-2</v>
      </c>
      <c r="S3803">
        <v>-3.0944820000000002</v>
      </c>
      <c r="T3803">
        <v>-0.1378655</v>
      </c>
      <c r="U3803">
        <v>-1.498413E-2</v>
      </c>
      <c r="V3803">
        <v>4.1223629999999997E-2</v>
      </c>
      <c r="W3803">
        <v>0.2076855</v>
      </c>
      <c r="X3803">
        <v>0.97732660000000005</v>
      </c>
      <c r="Y3803">
        <v>-3.1476919999999999E-2</v>
      </c>
      <c r="Z3803">
        <v>-1.74765799999999E-3</v>
      </c>
      <c r="AA3803">
        <v>0.99950300000000003</v>
      </c>
      <c r="AB3803">
        <v>33</v>
      </c>
      <c r="AC3803">
        <v>-24.865099999999899</v>
      </c>
      <c r="AD3803">
        <v>-1.1208499841513</v>
      </c>
      <c r="AE3803">
        <v>-0.12989999999999199</v>
      </c>
      <c r="AF3803">
        <v>-0.79190487821604005</v>
      </c>
      <c r="AG3803">
        <v>-1.1208499841513</v>
      </c>
      <c r="AH3803">
        <v>24.802378649604499</v>
      </c>
      <c r="AI3803">
        <v>92.5861901341828</v>
      </c>
      <c r="AJ3803">
        <v>91.828751957988104</v>
      </c>
      <c r="AK3803">
        <v>24.840318128024698</v>
      </c>
      <c r="AL3803">
        <v>78.013248603668401</v>
      </c>
      <c r="AM3803">
        <v>87.584696089730002</v>
      </c>
      <c r="AN3803">
        <v>0.99999996882409303</v>
      </c>
    </row>
    <row r="3804" spans="1:40" x14ac:dyDescent="0.25">
      <c r="A3804" t="str">
        <f>"20190303162628084"</f>
        <v>20190303162628084</v>
      </c>
      <c r="B3804" t="str">
        <f>"1551601588077673"</f>
        <v>1551601588077673</v>
      </c>
      <c r="C3804" t="s">
        <v>40</v>
      </c>
      <c r="D3804">
        <v>4.8287699999999996</v>
      </c>
      <c r="E3804">
        <v>0.47166449999999999</v>
      </c>
      <c r="F3804" t="s">
        <v>41</v>
      </c>
      <c r="G3804">
        <v>-399.30590000000001</v>
      </c>
      <c r="H3804" s="1">
        <v>-7.5260129999999995E-7</v>
      </c>
      <c r="I3804">
        <v>141.3921</v>
      </c>
      <c r="J3804">
        <v>-374.21589999999998</v>
      </c>
      <c r="K3804">
        <v>1.120854</v>
      </c>
      <c r="L3804">
        <v>141.55670000000001</v>
      </c>
      <c r="M3804">
        <v>-0.99955309999999997</v>
      </c>
      <c r="N3804">
        <v>-1.294214E-2</v>
      </c>
      <c r="O3804">
        <v>2.6952919999999998E-2</v>
      </c>
      <c r="P3804">
        <v>-0.97856750000000003</v>
      </c>
      <c r="Q3804">
        <v>0.19509570000000001</v>
      </c>
      <c r="R3804">
        <v>6.5906019999999996E-2</v>
      </c>
      <c r="S3804">
        <v>-3.094452</v>
      </c>
      <c r="T3804">
        <v>-0.13661419999999999</v>
      </c>
      <c r="U3804">
        <v>-1.9042969999999999E-2</v>
      </c>
      <c r="V3804">
        <v>3.9648959999999997E-2</v>
      </c>
      <c r="W3804">
        <v>0.207735</v>
      </c>
      <c r="X3804">
        <v>0.97738130000000001</v>
      </c>
      <c r="Y3804">
        <v>-3.3051459999999998E-2</v>
      </c>
      <c r="Z3804">
        <v>-1.7837440000000001E-3</v>
      </c>
      <c r="AA3804">
        <v>0.99945209999999995</v>
      </c>
      <c r="AB3804">
        <v>33</v>
      </c>
      <c r="AC3804">
        <v>-25.09</v>
      </c>
      <c r="AD3804">
        <v>-1.1208547526013</v>
      </c>
      <c r="AE3804">
        <v>-0.16460000000000699</v>
      </c>
      <c r="AF3804">
        <v>-0.83917080643130404</v>
      </c>
      <c r="AG3804">
        <v>-1.1208547526013</v>
      </c>
      <c r="AH3804">
        <v>25.026503075735</v>
      </c>
      <c r="AI3804">
        <v>92.562937343978803</v>
      </c>
      <c r="AJ3804">
        <v>91.920481563491904</v>
      </c>
      <c r="AK3804">
        <v>25.065641408481198</v>
      </c>
      <c r="AL3804">
        <v>78.010350069028704</v>
      </c>
      <c r="AM3804">
        <v>87.676983226873404</v>
      </c>
      <c r="AN3804">
        <v>1.0000000379218801</v>
      </c>
    </row>
    <row r="3805" spans="1:40" x14ac:dyDescent="0.25">
      <c r="A3805" t="str">
        <f>"20190303162628105"</f>
        <v>20190303162628105</v>
      </c>
      <c r="B3805" t="str">
        <f>"1551601588097193"</f>
        <v>1551601588097193</v>
      </c>
      <c r="C3805" t="s">
        <v>40</v>
      </c>
      <c r="D3805">
        <v>4.8004470000000001</v>
      </c>
      <c r="E3805">
        <v>0.47161419999999998</v>
      </c>
      <c r="F3805" t="s">
        <v>41</v>
      </c>
      <c r="G3805">
        <v>-399.70690000000002</v>
      </c>
      <c r="H3805" s="1">
        <v>-5.7240759999999995E-7</v>
      </c>
      <c r="I3805">
        <v>141.3614</v>
      </c>
      <c r="J3805">
        <v>-374.53840000000002</v>
      </c>
      <c r="K3805">
        <v>1.120862</v>
      </c>
      <c r="L3805">
        <v>141.56569999999999</v>
      </c>
      <c r="M3805">
        <v>-0.99954529999999997</v>
      </c>
      <c r="N3805">
        <v>-1.294096E-2</v>
      </c>
      <c r="O3805">
        <v>2.7234189999999998E-2</v>
      </c>
      <c r="P3805">
        <v>-0.97871319999999995</v>
      </c>
      <c r="Q3805">
        <v>0.1947151</v>
      </c>
      <c r="R3805">
        <v>6.4857360000000003E-2</v>
      </c>
      <c r="S3805">
        <v>-3.0944820000000002</v>
      </c>
      <c r="T3805">
        <v>-0.1360661</v>
      </c>
      <c r="U3805">
        <v>-2.36969E-2</v>
      </c>
      <c r="V3805">
        <v>3.8318789999999998E-2</v>
      </c>
      <c r="W3805">
        <v>0.20735619999999999</v>
      </c>
      <c r="X3805">
        <v>0.97751469999999896</v>
      </c>
      <c r="Y3805">
        <v>-3.483373E-2</v>
      </c>
      <c r="Z3805">
        <v>-1.8354700000000001E-3</v>
      </c>
      <c r="AA3805">
        <v>0.99939140000000004</v>
      </c>
      <c r="AB3805">
        <v>33</v>
      </c>
      <c r="AC3805">
        <v>-25.168499999999899</v>
      </c>
      <c r="AD3805">
        <v>-1.1208625724076</v>
      </c>
      <c r="AE3805">
        <v>-0.20429999999998899</v>
      </c>
      <c r="AF3805">
        <v>-0.88796433956473397</v>
      </c>
      <c r="AG3805">
        <v>-1.1208625724076</v>
      </c>
      <c r="AH3805">
        <v>25.1038132389222</v>
      </c>
      <c r="AI3805">
        <v>92.554911161241705</v>
      </c>
      <c r="AJ3805">
        <v>92.025804057900899</v>
      </c>
      <c r="AK3805">
        <v>25.144507406374998</v>
      </c>
      <c r="AL3805">
        <v>78.0325358239011</v>
      </c>
      <c r="AM3805">
        <v>87.7551423018854</v>
      </c>
      <c r="AN3805">
        <v>0.99999995603079594</v>
      </c>
    </row>
    <row r="3806" spans="1:40" x14ac:dyDescent="0.25">
      <c r="A3806" t="str">
        <f>"20190303162628127"</f>
        <v>20190303162628127</v>
      </c>
      <c r="B3806" t="str">
        <f>"1551601588117690"</f>
        <v>1551601588117690</v>
      </c>
      <c r="C3806" t="s">
        <v>40</v>
      </c>
      <c r="D3806">
        <v>4.7471430000000003</v>
      </c>
      <c r="E3806">
        <v>0.47147169999999999</v>
      </c>
      <c r="F3806" t="s">
        <v>41</v>
      </c>
      <c r="G3806">
        <v>-399.13569999999999</v>
      </c>
      <c r="H3806" s="1">
        <v>-8.1435950000000003E-7</v>
      </c>
      <c r="I3806">
        <v>141.34979999999999</v>
      </c>
      <c r="J3806">
        <v>-374.85770000000002</v>
      </c>
      <c r="K3806">
        <v>1.12086</v>
      </c>
      <c r="L3806">
        <v>141.57480000000001</v>
      </c>
      <c r="M3806">
        <v>-0.99953800000000004</v>
      </c>
      <c r="N3806">
        <v>-1.293967E-2</v>
      </c>
      <c r="O3806">
        <v>2.750843E-2</v>
      </c>
      <c r="P3806">
        <v>-0.97888090000000005</v>
      </c>
      <c r="Q3806">
        <v>0.19416359999999999</v>
      </c>
      <c r="R3806">
        <v>6.3977720000000002E-2</v>
      </c>
      <c r="S3806">
        <v>-3.0951230000000001</v>
      </c>
      <c r="T3806">
        <v>-0.1410402</v>
      </c>
      <c r="U3806">
        <v>-2.716064E-2</v>
      </c>
      <c r="V3806">
        <v>3.7163849999999998E-2</v>
      </c>
      <c r="W3806">
        <v>0.20680670000000001</v>
      </c>
      <c r="X3806">
        <v>0.97767570000000004</v>
      </c>
      <c r="Y3806">
        <v>-3.6218420000000001E-2</v>
      </c>
      <c r="Z3806">
        <v>-1.9561790000000002E-3</v>
      </c>
      <c r="AA3806">
        <v>0.99934199999999995</v>
      </c>
      <c r="AB3806">
        <v>33</v>
      </c>
      <c r="AC3806">
        <v>-24.277999999999899</v>
      </c>
      <c r="AD3806">
        <v>-1.1208608143595</v>
      </c>
      <c r="AE3806">
        <v>-0.22500000000002199</v>
      </c>
      <c r="AF3806">
        <v>-0.89092149759119899</v>
      </c>
      <c r="AG3806">
        <v>-1.1208608143595</v>
      </c>
      <c r="AH3806">
        <v>24.211020630086299</v>
      </c>
      <c r="AI3806">
        <v>92.648852745555402</v>
      </c>
      <c r="AJ3806">
        <v>92.107429529130201</v>
      </c>
      <c r="AK3806">
        <v>24.253321216495301</v>
      </c>
      <c r="AL3806">
        <v>78.0647175874509</v>
      </c>
      <c r="AM3806">
        <v>87.823095067651096</v>
      </c>
      <c r="AN3806">
        <v>0.99999996864109997</v>
      </c>
    </row>
    <row r="3807" spans="1:40" x14ac:dyDescent="0.25">
      <c r="A3807" t="str">
        <f>"20190303162628149"</f>
        <v>20190303162628149</v>
      </c>
      <c r="B3807" t="str">
        <f>"1551601588137715"</f>
        <v>1551601588137715</v>
      </c>
      <c r="C3807" t="s">
        <v>40</v>
      </c>
      <c r="D3807">
        <v>4.7415250000000002</v>
      </c>
      <c r="E3807">
        <v>0.47142820000000002</v>
      </c>
      <c r="F3807" t="s">
        <v>41</v>
      </c>
      <c r="G3807">
        <v>-398.77069999999998</v>
      </c>
      <c r="H3807" s="1">
        <v>-9.6546310000000009E-7</v>
      </c>
      <c r="I3807">
        <v>141.32910000000001</v>
      </c>
      <c r="J3807">
        <v>-375.18560000000002</v>
      </c>
      <c r="K3807">
        <v>1.1208549999999999</v>
      </c>
      <c r="L3807">
        <v>141.58410000000001</v>
      </c>
      <c r="M3807">
        <v>-0.99953029999999998</v>
      </c>
      <c r="N3807">
        <v>-1.293833E-2</v>
      </c>
      <c r="O3807">
        <v>2.7787329999999999E-2</v>
      </c>
      <c r="P3807">
        <v>-0.97922790000000004</v>
      </c>
      <c r="Q3807">
        <v>0.1926833</v>
      </c>
      <c r="R3807">
        <v>6.3136220000000007E-2</v>
      </c>
      <c r="S3807">
        <v>-3.0956419999999998</v>
      </c>
      <c r="T3807">
        <v>-0.14510039999999999</v>
      </c>
      <c r="U3807">
        <v>-3.1784060000000003E-2</v>
      </c>
      <c r="V3807">
        <v>3.6036850000000002E-2</v>
      </c>
      <c r="W3807">
        <v>0.20533029999999999</v>
      </c>
      <c r="X3807">
        <v>0.97802900000000004</v>
      </c>
      <c r="Y3807">
        <v>-3.7981830000000001E-2</v>
      </c>
      <c r="Z3807">
        <v>-2.0777650000000001E-3</v>
      </c>
      <c r="AA3807">
        <v>0.99927630000000001</v>
      </c>
      <c r="AB3807">
        <v>33</v>
      </c>
      <c r="AC3807">
        <v>-23.585099999999901</v>
      </c>
      <c r="AD3807">
        <v>-1.1208559654630901</v>
      </c>
      <c r="AE3807">
        <v>-0.25499999999999501</v>
      </c>
      <c r="AF3807">
        <v>-0.90827210628928201</v>
      </c>
      <c r="AG3807">
        <v>-1.1208559654630901</v>
      </c>
      <c r="AH3807">
        <v>23.515800184410999</v>
      </c>
      <c r="AI3807">
        <v>92.726847850897002</v>
      </c>
      <c r="AJ3807">
        <v>92.211887459716294</v>
      </c>
      <c r="AK3807">
        <v>23.560011346082199</v>
      </c>
      <c r="AL3807">
        <v>78.151164293015199</v>
      </c>
      <c r="AM3807">
        <v>87.8898112832686</v>
      </c>
      <c r="AN3807">
        <v>0.99999995574850498</v>
      </c>
    </row>
    <row r="3808" spans="1:40" x14ac:dyDescent="0.25">
      <c r="A3808" t="str">
        <f>"20190303162628172"</f>
        <v>20190303162628172</v>
      </c>
      <c r="B3808" t="str">
        <f>"1551601588166996"</f>
        <v>1551601588166996</v>
      </c>
      <c r="C3808" t="s">
        <v>40</v>
      </c>
      <c r="D3808">
        <v>4.7223620000000004</v>
      </c>
      <c r="E3808">
        <v>0.47131109999999998</v>
      </c>
      <c r="F3808" t="s">
        <v>41</v>
      </c>
      <c r="G3808">
        <v>-397.95190000000002</v>
      </c>
      <c r="H3808" s="1">
        <v>-1.3156350000000001E-6</v>
      </c>
      <c r="I3808">
        <v>141.32499999999999</v>
      </c>
      <c r="J3808">
        <v>-375.53370000000001</v>
      </c>
      <c r="K3808">
        <v>1.120849</v>
      </c>
      <c r="L3808">
        <v>141.5941</v>
      </c>
      <c r="M3808">
        <v>-0.99952189999999996</v>
      </c>
      <c r="N3808">
        <v>-1.2936909999999999E-2</v>
      </c>
      <c r="O3808">
        <v>2.8081209999999999E-2</v>
      </c>
      <c r="P3808">
        <v>-0.97958369999999995</v>
      </c>
      <c r="Q3808">
        <v>0.19127130000000001</v>
      </c>
      <c r="R3808">
        <v>6.1896710000000001E-2</v>
      </c>
      <c r="S3808">
        <v>-3.0958860000000001</v>
      </c>
      <c r="T3808">
        <v>-0.15242049999999999</v>
      </c>
      <c r="U3808">
        <v>-3.5217289999999998E-2</v>
      </c>
      <c r="V3808">
        <v>3.449754E-2</v>
      </c>
      <c r="W3808">
        <v>0.20392260000000001</v>
      </c>
      <c r="X3808">
        <v>0.978379</v>
      </c>
      <c r="Y3808">
        <v>-3.9373320000000003E-2</v>
      </c>
      <c r="Z3808">
        <v>-2.2419380000000002E-3</v>
      </c>
      <c r="AA3808">
        <v>0.99922200000000005</v>
      </c>
      <c r="AB3808">
        <v>33</v>
      </c>
      <c r="AC3808">
        <v>-22.418199999999999</v>
      </c>
      <c r="AD3808">
        <v>-1.120850315635</v>
      </c>
      <c r="AE3808">
        <v>-0.269100000000008</v>
      </c>
      <c r="AF3808">
        <v>-0.89633646725621197</v>
      </c>
      <c r="AG3808">
        <v>-1.120850315635</v>
      </c>
      <c r="AH3808">
        <v>22.345949627690501</v>
      </c>
      <c r="AI3808">
        <v>92.869188612193796</v>
      </c>
      <c r="AJ3808">
        <v>92.297005974242197</v>
      </c>
      <c r="AK3808">
        <v>22.391989399244402</v>
      </c>
      <c r="AL3808">
        <v>78.233563498389501</v>
      </c>
      <c r="AM3808">
        <v>87.980593483137497</v>
      </c>
      <c r="AN3808">
        <v>0.99999998734890505</v>
      </c>
    </row>
    <row r="3809" spans="1:40" x14ac:dyDescent="0.25">
      <c r="A3809" t="str">
        <f>"20190303162628194"</f>
        <v>20190303162628194</v>
      </c>
      <c r="B3809" t="str">
        <f>"1551601588187491"</f>
        <v>1551601588187491</v>
      </c>
      <c r="C3809" t="s">
        <v>40</v>
      </c>
      <c r="D3809">
        <v>4.7630990000000004</v>
      </c>
      <c r="E3809">
        <v>0.4713484</v>
      </c>
      <c r="F3809" t="s">
        <v>41</v>
      </c>
      <c r="G3809">
        <v>-397.3519</v>
      </c>
      <c r="H3809" s="1">
        <v>-1.5708000000000001E-6</v>
      </c>
      <c r="I3809">
        <v>141.31659999999999</v>
      </c>
      <c r="J3809">
        <v>-375.85899999999998</v>
      </c>
      <c r="K3809">
        <v>1.120849</v>
      </c>
      <c r="L3809">
        <v>141.6036</v>
      </c>
      <c r="M3809">
        <v>-0.99951429999999997</v>
      </c>
      <c r="N3809">
        <v>-1.2935439999999999E-2</v>
      </c>
      <c r="O3809">
        <v>2.8354049999999999E-2</v>
      </c>
      <c r="P3809">
        <v>-0.97991830000000002</v>
      </c>
      <c r="Q3809">
        <v>0.18999060000000001</v>
      </c>
      <c r="R3809">
        <v>6.0529850000000003E-2</v>
      </c>
      <c r="S3809">
        <v>-3.096069</v>
      </c>
      <c r="T3809">
        <v>-0.15905279999999899</v>
      </c>
      <c r="U3809">
        <v>-3.9367680000000002E-2</v>
      </c>
      <c r="V3809">
        <v>3.285225E-2</v>
      </c>
      <c r="W3809">
        <v>0.20264570000000001</v>
      </c>
      <c r="X3809">
        <v>0.97870089999999998</v>
      </c>
      <c r="Y3809">
        <v>-4.0974789999999997E-2</v>
      </c>
      <c r="Z3809">
        <v>-2.4059139999999999E-3</v>
      </c>
      <c r="AA3809">
        <v>0.99915730000000003</v>
      </c>
      <c r="AB3809">
        <v>33</v>
      </c>
      <c r="AC3809">
        <v>-21.492899999999899</v>
      </c>
      <c r="AD3809">
        <v>-1.1208505708000001</v>
      </c>
      <c r="AE3809">
        <v>-0.28700000000000597</v>
      </c>
      <c r="AF3809">
        <v>-0.89391564674983304</v>
      </c>
      <c r="AG3809">
        <v>-1.1208505708000001</v>
      </c>
      <c r="AH3809">
        <v>21.417881158612701</v>
      </c>
      <c r="AI3809">
        <v>92.993095698758694</v>
      </c>
      <c r="AJ3809">
        <v>92.389960270540897</v>
      </c>
      <c r="AK3809">
        <v>21.4658105952239</v>
      </c>
      <c r="AL3809">
        <v>78.308284840571602</v>
      </c>
      <c r="AM3809">
        <v>88.077462903172702</v>
      </c>
      <c r="AN3809">
        <v>1.0000000008596801</v>
      </c>
    </row>
    <row r="3810" spans="1:40" x14ac:dyDescent="0.25">
      <c r="A3810" t="str">
        <f>"20190303162628217"</f>
        <v>20190303162628217</v>
      </c>
      <c r="B3810" t="str">
        <f>"1551601588207011"</f>
        <v>1551601588207011</v>
      </c>
      <c r="C3810" t="s">
        <v>40</v>
      </c>
      <c r="D3810">
        <v>4.7144019999999998</v>
      </c>
      <c r="E3810">
        <v>0.47141870000000002</v>
      </c>
      <c r="F3810" t="s">
        <v>41</v>
      </c>
      <c r="G3810">
        <v>-396.89530000000002</v>
      </c>
      <c r="H3810" s="1">
        <v>-1.765552E-6</v>
      </c>
      <c r="I3810">
        <v>141.3125</v>
      </c>
      <c r="J3810">
        <v>-376.20069999999998</v>
      </c>
      <c r="K3810">
        <v>1.120841</v>
      </c>
      <c r="L3810">
        <v>141.61359999999999</v>
      </c>
      <c r="M3810">
        <v>-0.99950609999999995</v>
      </c>
      <c r="N3810">
        <v>-1.2934019999999999E-2</v>
      </c>
      <c r="O3810">
        <v>2.8639649999999999E-2</v>
      </c>
      <c r="P3810">
        <v>-0.98021159999999996</v>
      </c>
      <c r="Q3810">
        <v>0.18878329999999999</v>
      </c>
      <c r="R3810">
        <v>5.9549600000000001E-2</v>
      </c>
      <c r="S3810">
        <v>-3.09613</v>
      </c>
      <c r="T3810">
        <v>-0.16496710000000001</v>
      </c>
      <c r="U3810">
        <v>-4.2831420000000002E-2</v>
      </c>
      <c r="V3810">
        <v>3.1582199999999998E-2</v>
      </c>
      <c r="W3810">
        <v>0.2014418</v>
      </c>
      <c r="X3810">
        <v>0.97899119999999995</v>
      </c>
      <c r="Y3810">
        <v>-4.236819E-2</v>
      </c>
      <c r="Z3810">
        <v>-2.5566220000000001E-3</v>
      </c>
      <c r="AA3810">
        <v>0.99909879999999995</v>
      </c>
      <c r="AB3810">
        <v>33</v>
      </c>
      <c r="AC3810">
        <v>-20.694600000000001</v>
      </c>
      <c r="AD3810">
        <v>-1.1208427655519999</v>
      </c>
      <c r="AE3810">
        <v>-0.30109999999999099</v>
      </c>
      <c r="AF3810">
        <v>-0.89109874156348601</v>
      </c>
      <c r="AG3810">
        <v>-1.1208427655519999</v>
      </c>
      <c r="AH3810">
        <v>20.6170198302285</v>
      </c>
      <c r="AI3810">
        <v>93.108920713523901</v>
      </c>
      <c r="AJ3810">
        <v>92.474869809132201</v>
      </c>
      <c r="AK3810">
        <v>20.666684595075701</v>
      </c>
      <c r="AL3810">
        <v>78.378715779158497</v>
      </c>
      <c r="AM3810">
        <v>88.152282234789695</v>
      </c>
      <c r="AN3810">
        <v>1.00000000191076</v>
      </c>
    </row>
    <row r="3811" spans="1:40" x14ac:dyDescent="0.25">
      <c r="A3811" t="str">
        <f>"20190303162628240"</f>
        <v>20190303162628240</v>
      </c>
      <c r="B3811" t="str">
        <f>"1551601588227507"</f>
        <v>1551601588227507</v>
      </c>
      <c r="C3811" t="s">
        <v>40</v>
      </c>
      <c r="D3811">
        <v>4.6857639999999998</v>
      </c>
      <c r="E3811">
        <v>0.47140959999999898</v>
      </c>
      <c r="F3811" t="s">
        <v>41</v>
      </c>
      <c r="G3811">
        <v>-396.6284</v>
      </c>
      <c r="H3811" s="1">
        <v>-1.881243E-6</v>
      </c>
      <c r="I3811">
        <v>141.3168</v>
      </c>
      <c r="J3811">
        <v>-376.53680000000003</v>
      </c>
      <c r="K3811">
        <v>1.1208359999999999</v>
      </c>
      <c r="L3811">
        <v>141.62360000000001</v>
      </c>
      <c r="M3811">
        <v>-0.99949809999999994</v>
      </c>
      <c r="N3811">
        <v>-1.29322999999999E-2</v>
      </c>
      <c r="O3811">
        <v>2.891989E-2</v>
      </c>
      <c r="P3811">
        <v>-0.98054940000000002</v>
      </c>
      <c r="Q3811">
        <v>0.18730550000000001</v>
      </c>
      <c r="R3811">
        <v>5.8648690000000003E-2</v>
      </c>
      <c r="S3811">
        <v>-3.0959780000000001</v>
      </c>
      <c r="T3811">
        <v>-0.16987360000000001</v>
      </c>
      <c r="U3811">
        <v>-4.4967649999999998E-2</v>
      </c>
      <c r="V3811">
        <v>3.0395060000000002E-2</v>
      </c>
      <c r="W3811">
        <v>0.19996749999999999</v>
      </c>
      <c r="X3811">
        <v>0.97933099999999995</v>
      </c>
      <c r="Y3811">
        <v>-4.3330250000000001E-2</v>
      </c>
      <c r="Z3811">
        <v>-2.6799060000000001E-3</v>
      </c>
      <c r="AA3811">
        <v>0.99905719999999998</v>
      </c>
      <c r="AB3811">
        <v>33</v>
      </c>
      <c r="AC3811">
        <v>-20.0915999999999</v>
      </c>
      <c r="AD3811">
        <v>-1.120837881243</v>
      </c>
      <c r="AE3811">
        <v>-0.30680000000000901</v>
      </c>
      <c r="AF3811">
        <v>-0.88501346670706504</v>
      </c>
      <c r="AG3811">
        <v>-1.120837881243</v>
      </c>
      <c r="AH3811">
        <v>20.012056134349201</v>
      </c>
      <c r="AI3811">
        <v>93.202556735715504</v>
      </c>
      <c r="AJ3811">
        <v>92.532199466938806</v>
      </c>
      <c r="AK3811">
        <v>20.062948863928899</v>
      </c>
      <c r="AL3811">
        <v>78.464941870975395</v>
      </c>
      <c r="AM3811">
        <v>88.222307065416203</v>
      </c>
      <c r="AN3811">
        <v>1.0000000341448201</v>
      </c>
    </row>
    <row r="3812" spans="1:40" x14ac:dyDescent="0.25">
      <c r="A3812" t="str">
        <f>"20190303162628262"</f>
        <v>20190303162628262</v>
      </c>
      <c r="B3812" t="str">
        <f>"1551601588257290"</f>
        <v>1551601588257290</v>
      </c>
      <c r="C3812" t="s">
        <v>40</v>
      </c>
      <c r="D3812">
        <v>4.7248559999999999</v>
      </c>
      <c r="E3812">
        <v>0.4713444</v>
      </c>
      <c r="F3812" t="s">
        <v>41</v>
      </c>
      <c r="G3812">
        <v>-396.35059999999999</v>
      </c>
      <c r="H3812" s="1">
        <v>-2.0010879999999999E-6</v>
      </c>
      <c r="I3812">
        <v>141.3194</v>
      </c>
      <c r="J3812">
        <v>-376.8639</v>
      </c>
      <c r="K3812">
        <v>1.120824</v>
      </c>
      <c r="L3812">
        <v>141.63329999999999</v>
      </c>
      <c r="M3812">
        <v>-0.9994902</v>
      </c>
      <c r="N3812">
        <v>-1.292568E-2</v>
      </c>
      <c r="O3812">
        <v>2.9193859999999999E-2</v>
      </c>
      <c r="P3812">
        <v>-0.98085619999999996</v>
      </c>
      <c r="Q3812">
        <v>0.1859712</v>
      </c>
      <c r="R3812">
        <v>5.7758709999999998E-2</v>
      </c>
      <c r="S3812">
        <v>-3.0957949999999999</v>
      </c>
      <c r="T3812">
        <v>-0.17512449999999999</v>
      </c>
      <c r="U3812">
        <v>-4.7500609999999999E-2</v>
      </c>
      <c r="V3812">
        <v>2.922634E-2</v>
      </c>
      <c r="W3812">
        <v>0.19863159999999999</v>
      </c>
      <c r="X3812">
        <v>0.97963829999999996</v>
      </c>
      <c r="Y3812">
        <v>-4.4413099999999997E-2</v>
      </c>
      <c r="Z3812">
        <v>-2.815283E-3</v>
      </c>
      <c r="AA3812">
        <v>0.99900929999999999</v>
      </c>
      <c r="AB3812">
        <v>33</v>
      </c>
      <c r="AC3812">
        <v>-19.4866999999999</v>
      </c>
      <c r="AD3812">
        <v>-1.120826001088</v>
      </c>
      <c r="AE3812">
        <v>-0.31389999999998902</v>
      </c>
      <c r="AF3812">
        <v>-0.87979586083726902</v>
      </c>
      <c r="AG3812">
        <v>-1.120826001088</v>
      </c>
      <c r="AH3812">
        <v>19.405047733422801</v>
      </c>
      <c r="AI3812">
        <v>93.302318327061599</v>
      </c>
      <c r="AJ3812">
        <v>92.595927268887493</v>
      </c>
      <c r="AK3812">
        <v>19.4572909013017</v>
      </c>
      <c r="AL3812">
        <v>78.543049235965199</v>
      </c>
      <c r="AM3812">
        <v>88.291155639260595</v>
      </c>
      <c r="AN3812">
        <v>0.99999994514762103</v>
      </c>
    </row>
    <row r="3813" spans="1:40" x14ac:dyDescent="0.25">
      <c r="A3813" t="str">
        <f>"20190303162628284"</f>
        <v>20190303162628284</v>
      </c>
      <c r="B3813" t="str">
        <f>"1551601588277788"</f>
        <v>1551601588277788</v>
      </c>
      <c r="C3813" t="s">
        <v>40</v>
      </c>
      <c r="D3813">
        <v>4.743779</v>
      </c>
      <c r="E3813">
        <v>0.47147899999999998</v>
      </c>
      <c r="F3813" t="s">
        <v>41</v>
      </c>
      <c r="G3813">
        <v>-396.28399999999999</v>
      </c>
      <c r="H3813" s="1">
        <v>-2.0284599999999999E-6</v>
      </c>
      <c r="I3813">
        <v>141.31479999999999</v>
      </c>
      <c r="J3813">
        <v>-377.19380000000001</v>
      </c>
      <c r="K3813">
        <v>1.120819</v>
      </c>
      <c r="L3813">
        <v>141.64330000000001</v>
      </c>
      <c r="M3813">
        <v>-0.99948230000000005</v>
      </c>
      <c r="N3813">
        <v>-1.291551E-2</v>
      </c>
      <c r="O3813">
        <v>2.9469120000000001E-2</v>
      </c>
      <c r="P3813">
        <v>-0.9811107</v>
      </c>
      <c r="Q3813">
        <v>0.1848043</v>
      </c>
      <c r="R3813">
        <v>5.7177609999999997E-2</v>
      </c>
      <c r="S3813">
        <v>-3.095459</v>
      </c>
      <c r="T3813">
        <v>-0.17865420000000001</v>
      </c>
      <c r="U3813">
        <v>-5.0750730000000001E-2</v>
      </c>
      <c r="V3813">
        <v>2.836698E-2</v>
      </c>
      <c r="W3813">
        <v>0.19745840000000001</v>
      </c>
      <c r="X3813">
        <v>0.97990080000000002</v>
      </c>
      <c r="Y3813">
        <v>-4.573083E-2</v>
      </c>
      <c r="Z3813">
        <v>-2.9329669999999999E-3</v>
      </c>
      <c r="AA3813">
        <v>0.99894950000000005</v>
      </c>
      <c r="AB3813">
        <v>33</v>
      </c>
      <c r="AC3813">
        <v>-19.0901999999999</v>
      </c>
      <c r="AD3813">
        <v>-1.12082102846</v>
      </c>
      <c r="AE3813">
        <v>-0.328500000000019</v>
      </c>
      <c r="AF3813">
        <v>-0.88791578512910396</v>
      </c>
      <c r="AG3813">
        <v>-1.12082102846</v>
      </c>
      <c r="AH3813">
        <v>19.006727811850801</v>
      </c>
      <c r="AI3813">
        <v>93.371138602754002</v>
      </c>
      <c r="AJ3813">
        <v>92.674677482351697</v>
      </c>
      <c r="AK3813">
        <v>19.060439038309202</v>
      </c>
      <c r="AL3813">
        <v>78.611628089724107</v>
      </c>
      <c r="AM3813">
        <v>88.341817418514594</v>
      </c>
      <c r="AN3813">
        <v>1.0000000415627499</v>
      </c>
    </row>
    <row r="3814" spans="1:40" x14ac:dyDescent="0.25">
      <c r="A3814" t="str">
        <f>"20190303162628306"</f>
        <v>20190303162628306</v>
      </c>
      <c r="B3814" t="str">
        <f>"1551601588297306"</f>
        <v>1551601588297306</v>
      </c>
      <c r="C3814" t="s">
        <v>40</v>
      </c>
      <c r="D3814">
        <v>4.7255929999999999</v>
      </c>
      <c r="E3814">
        <v>0.47166019999999997</v>
      </c>
      <c r="F3814" t="s">
        <v>41</v>
      </c>
      <c r="G3814">
        <v>-396.23329999999999</v>
      </c>
      <c r="H3814" s="1">
        <v>-2.05338E-6</v>
      </c>
      <c r="I3814">
        <v>141.32679999999999</v>
      </c>
      <c r="J3814">
        <v>-377.52</v>
      </c>
      <c r="K3814">
        <v>1.120814</v>
      </c>
      <c r="L3814">
        <v>141.6532</v>
      </c>
      <c r="M3814">
        <v>-0.99947430000000004</v>
      </c>
      <c r="N3814">
        <v>-1.290489E-2</v>
      </c>
      <c r="O3814">
        <v>2.9739379999999999E-2</v>
      </c>
      <c r="P3814">
        <v>-0.98144540000000002</v>
      </c>
      <c r="Q3814">
        <v>0.1832085</v>
      </c>
      <c r="R3814">
        <v>5.6566829999999999E-2</v>
      </c>
      <c r="S3814">
        <v>-3.0951230000000001</v>
      </c>
      <c r="T3814">
        <v>-0.18220520000000001</v>
      </c>
      <c r="U3814">
        <v>-5.1437379999999998E-2</v>
      </c>
      <c r="V3814">
        <v>2.7480419999999998E-2</v>
      </c>
      <c r="W3814">
        <v>0.19585669999999999</v>
      </c>
      <c r="X3814">
        <v>0.98024739999999999</v>
      </c>
      <c r="Y3814">
        <v>-4.6218009999999997E-2</v>
      </c>
      <c r="Z3814">
        <v>-3.0231469999999999E-3</v>
      </c>
      <c r="AA3814">
        <v>0.9989268</v>
      </c>
      <c r="AB3814">
        <v>33</v>
      </c>
      <c r="AC3814">
        <v>-18.7133</v>
      </c>
      <c r="AD3814">
        <v>-1.12081605338</v>
      </c>
      <c r="AE3814">
        <v>-0.32640000000000602</v>
      </c>
      <c r="AF3814">
        <v>-0.879669255156592</v>
      </c>
      <c r="AG3814">
        <v>-1.12081605338</v>
      </c>
      <c r="AH3814">
        <v>18.628507980141499</v>
      </c>
      <c r="AI3814">
        <v>93.439324532415995</v>
      </c>
      <c r="AJ3814">
        <v>92.703594013296396</v>
      </c>
      <c r="AK3814">
        <v>18.682916158624099</v>
      </c>
      <c r="AL3814">
        <v>78.705225957213898</v>
      </c>
      <c r="AM3814">
        <v>88.394181099263903</v>
      </c>
      <c r="AN3814">
        <v>0.99999999281251295</v>
      </c>
    </row>
    <row r="3815" spans="1:40" x14ac:dyDescent="0.25">
      <c r="A3815" t="str">
        <f>"20190303162628328"</f>
        <v>20190303162628328</v>
      </c>
      <c r="B3815" t="str">
        <f>"1551601588317803"</f>
        <v>1551601588317803</v>
      </c>
      <c r="C3815" t="s">
        <v>40</v>
      </c>
      <c r="D3815">
        <v>4.7498449999999997</v>
      </c>
      <c r="E3815">
        <v>0.47191959999999999</v>
      </c>
      <c r="F3815" t="s">
        <v>41</v>
      </c>
      <c r="G3815">
        <v>-396.03370000000001</v>
      </c>
      <c r="H3815" s="1">
        <v>-2.1439459999999999E-6</v>
      </c>
      <c r="I3815">
        <v>141.34530000000001</v>
      </c>
      <c r="J3815">
        <v>-377.85109999999997</v>
      </c>
      <c r="K3815">
        <v>1.120819</v>
      </c>
      <c r="L3815">
        <v>141.6634</v>
      </c>
      <c r="M3815">
        <v>-0.99946639999999998</v>
      </c>
      <c r="N3815">
        <v>-1.289452E-2</v>
      </c>
      <c r="O3815">
        <v>3.0013789999999999E-2</v>
      </c>
      <c r="P3815">
        <v>-0.98150269999999995</v>
      </c>
      <c r="Q3815">
        <v>0.18316550000000001</v>
      </c>
      <c r="R3815">
        <v>5.5704629999999998E-2</v>
      </c>
      <c r="S3815">
        <v>-3.0946660000000001</v>
      </c>
      <c r="T3815">
        <v>-0.18735070000000001</v>
      </c>
      <c r="U3815">
        <v>-5.1452640000000001E-2</v>
      </c>
      <c r="V3815">
        <v>2.6347059999999999E-2</v>
      </c>
      <c r="W3815">
        <v>0.1958048</v>
      </c>
      <c r="X3815">
        <v>0.98028890000000002</v>
      </c>
      <c r="Y3815">
        <v>-4.6491310000000001E-2</v>
      </c>
      <c r="Z3815">
        <v>-3.1344229999999999E-3</v>
      </c>
      <c r="AA3815">
        <v>0.99891379999999996</v>
      </c>
      <c r="AB3815">
        <v>33</v>
      </c>
      <c r="AC3815">
        <v>-18.182600000000001</v>
      </c>
      <c r="AD3815">
        <v>-1.1208211439460001</v>
      </c>
      <c r="AE3815">
        <v>-0.31809999999998601</v>
      </c>
      <c r="AF3815">
        <v>-0.86046214730890302</v>
      </c>
      <c r="AG3815">
        <v>-1.1208211439460001</v>
      </c>
      <c r="AH3815">
        <v>18.0961183413032</v>
      </c>
      <c r="AI3815">
        <v>93.540217423927103</v>
      </c>
      <c r="AJ3815">
        <v>92.722337637984694</v>
      </c>
      <c r="AK3815">
        <v>18.151202003341702</v>
      </c>
      <c r="AL3815">
        <v>78.708258488238897</v>
      </c>
      <c r="AM3815">
        <v>88.460441600058402</v>
      </c>
      <c r="AN3815">
        <v>1.0000000073684401</v>
      </c>
    </row>
    <row r="3816" spans="1:40" x14ac:dyDescent="0.25">
      <c r="A3816" t="str">
        <f>"20190303162628350"</f>
        <v>20190303162628350</v>
      </c>
      <c r="B3816" t="str">
        <f>"1551601588347082"</f>
        <v>1551601588347082</v>
      </c>
      <c r="C3816" t="s">
        <v>40</v>
      </c>
      <c r="D3816">
        <v>4.752027</v>
      </c>
      <c r="E3816">
        <v>0.47227010000000003</v>
      </c>
      <c r="F3816" t="s">
        <v>41</v>
      </c>
      <c r="G3816">
        <v>-396.31619999999998</v>
      </c>
      <c r="H3816" s="1">
        <v>-2.0250079999999999E-6</v>
      </c>
      <c r="I3816">
        <v>141.35390000000001</v>
      </c>
      <c r="J3816">
        <v>-378.18189999999998</v>
      </c>
      <c r="K3816">
        <v>1.1208229999999999</v>
      </c>
      <c r="L3816">
        <v>141.6737</v>
      </c>
      <c r="M3816">
        <v>-0.99945819999999996</v>
      </c>
      <c r="N3816">
        <v>-1.2884680000000001E-2</v>
      </c>
      <c r="O3816">
        <v>3.0288430000000002E-2</v>
      </c>
      <c r="P3816">
        <v>-0.98141460000000003</v>
      </c>
      <c r="Q3816">
        <v>0.18398320000000001</v>
      </c>
      <c r="R3816">
        <v>5.4549140000000003E-2</v>
      </c>
      <c r="S3816">
        <v>-3.0945429999999998</v>
      </c>
      <c r="T3816">
        <v>-0.18783759999999999</v>
      </c>
      <c r="U3816">
        <v>-5.186462E-2</v>
      </c>
      <c r="V3816">
        <v>2.4924749999999999E-2</v>
      </c>
      <c r="W3816">
        <v>0.19661229999999999</v>
      </c>
      <c r="X3816">
        <v>0.98016449999999999</v>
      </c>
      <c r="Y3816">
        <v>-4.689745E-2</v>
      </c>
      <c r="Z3816">
        <v>-3.1710200000000001E-3</v>
      </c>
      <c r="AA3816">
        <v>0.99889470000000002</v>
      </c>
      <c r="AB3816">
        <v>33</v>
      </c>
      <c r="AC3816">
        <v>-18.1343</v>
      </c>
      <c r="AD3816">
        <v>-1.1208250250080001</v>
      </c>
      <c r="AE3816">
        <v>-0.31979999999998598</v>
      </c>
      <c r="AF3816">
        <v>-0.86565245356736398</v>
      </c>
      <c r="AG3816">
        <v>-1.1208250250080001</v>
      </c>
      <c r="AH3816">
        <v>18.047370346906401</v>
      </c>
      <c r="AI3816">
        <v>93.5496976069211</v>
      </c>
      <c r="AJ3816">
        <v>92.746120169407106</v>
      </c>
      <c r="AK3816">
        <v>18.102850033777699</v>
      </c>
      <c r="AL3816">
        <v>78.661075415034404</v>
      </c>
      <c r="AM3816">
        <v>88.543330960798698</v>
      </c>
      <c r="AN3816">
        <v>1.00000004336705</v>
      </c>
    </row>
    <row r="3817" spans="1:40" x14ac:dyDescent="0.25">
      <c r="A3817" t="str">
        <f>"20190303162628374"</f>
        <v>20190303162628374</v>
      </c>
      <c r="B3817" t="str">
        <f>"1551601588367579"</f>
        <v>1551601588367579</v>
      </c>
      <c r="C3817" t="s">
        <v>40</v>
      </c>
      <c r="D3817">
        <v>4.7780559999999896</v>
      </c>
      <c r="E3817">
        <v>0.48249710000000001</v>
      </c>
      <c r="F3817" t="s">
        <v>41</v>
      </c>
      <c r="G3817">
        <v>-396.90370000000001</v>
      </c>
      <c r="H3817" s="1">
        <v>-1.774341E-6</v>
      </c>
      <c r="I3817">
        <v>141.35910000000001</v>
      </c>
      <c r="J3817">
        <v>-378.52190000000002</v>
      </c>
      <c r="K3817">
        <v>1.120827</v>
      </c>
      <c r="L3817">
        <v>141.68430000000001</v>
      </c>
      <c r="M3817">
        <v>-0.99944980000000005</v>
      </c>
      <c r="N3817">
        <v>-1.287513E-2</v>
      </c>
      <c r="O3817">
        <v>3.0571810000000001E-2</v>
      </c>
      <c r="P3817">
        <v>-0.98117049999999995</v>
      </c>
      <c r="Q3817">
        <v>0.1854546</v>
      </c>
      <c r="R3817">
        <v>5.3958899999999997E-2</v>
      </c>
      <c r="S3817">
        <v>-3.0943909999999999</v>
      </c>
      <c r="T3817">
        <v>-0.18525240000000001</v>
      </c>
      <c r="U3817">
        <v>-5.1986690000000002E-2</v>
      </c>
      <c r="V3817">
        <v>2.4064100000000001E-2</v>
      </c>
      <c r="W3817">
        <v>0.19807169999999999</v>
      </c>
      <c r="X3817">
        <v>0.97989210000000004</v>
      </c>
      <c r="Y3817">
        <v>-4.7223649999999999E-2</v>
      </c>
      <c r="Z3817">
        <v>-3.1516159999999999E-3</v>
      </c>
      <c r="AA3817">
        <v>0.99887939999999997</v>
      </c>
      <c r="AB3817">
        <v>33</v>
      </c>
      <c r="AC3817">
        <v>-18.381799999999998</v>
      </c>
      <c r="AD3817">
        <v>-1.1208287743409999</v>
      </c>
      <c r="AE3817">
        <v>-0.32519999999999499</v>
      </c>
      <c r="AF3817">
        <v>-0.88377456880041105</v>
      </c>
      <c r="AG3817">
        <v>-1.1208287743409999</v>
      </c>
      <c r="AH3817">
        <v>18.2952642259343</v>
      </c>
      <c r="AI3817">
        <v>93.5016755971197</v>
      </c>
      <c r="AJ3817">
        <v>92.765591174869598</v>
      </c>
      <c r="AK3817">
        <v>18.350858501078299</v>
      </c>
      <c r="AL3817">
        <v>78.575780139709195</v>
      </c>
      <c r="AM3817">
        <v>88.593218280626004</v>
      </c>
      <c r="AN3817">
        <v>1.0000000034460499</v>
      </c>
    </row>
    <row r="3818" spans="1:40" x14ac:dyDescent="0.25">
      <c r="A3818" t="str">
        <f>"20190303162628395"</f>
        <v>20190303162628395</v>
      </c>
      <c r="B3818" t="str">
        <f>"1551601588387099"</f>
        <v>1551601588387099</v>
      </c>
      <c r="C3818" t="s">
        <v>40</v>
      </c>
      <c r="D3818">
        <v>4.8584129999999996</v>
      </c>
      <c r="E3818">
        <v>0.4810585</v>
      </c>
      <c r="F3818" t="s">
        <v>41</v>
      </c>
      <c r="G3818">
        <v>-397.80160000000001</v>
      </c>
      <c r="H3818" s="1">
        <v>-1.5215719999999901E-6</v>
      </c>
      <c r="I3818">
        <v>141.85659999999999</v>
      </c>
      <c r="J3818">
        <v>-378.85399999999998</v>
      </c>
      <c r="K3818">
        <v>1.1208309999999999</v>
      </c>
      <c r="L3818">
        <v>141.69479999999999</v>
      </c>
      <c r="M3818">
        <v>-0.99944120000000003</v>
      </c>
      <c r="N3818">
        <v>-1.2862409999999999E-2</v>
      </c>
      <c r="O3818">
        <v>3.0851E-2</v>
      </c>
      <c r="P3818">
        <v>-0.98101680000000002</v>
      </c>
      <c r="Q3818">
        <v>0.1863031</v>
      </c>
      <c r="R3818">
        <v>5.3824829999999997E-2</v>
      </c>
      <c r="S3818">
        <v>-3.0899960000000002</v>
      </c>
      <c r="T3818">
        <v>-0.1796374</v>
      </c>
      <c r="U3818">
        <v>2.7633669999999999E-2</v>
      </c>
      <c r="V3818">
        <v>2.3660239999999999E-2</v>
      </c>
      <c r="W3818">
        <v>0.1989059</v>
      </c>
      <c r="X3818">
        <v>0.97973290000000002</v>
      </c>
      <c r="Y3818">
        <v>-2.183738E-2</v>
      </c>
      <c r="Z3818">
        <v>-2.1698830000000001E-3</v>
      </c>
      <c r="AA3818">
        <v>0.99975919999999896</v>
      </c>
      <c r="AB3818">
        <v>33</v>
      </c>
      <c r="AC3818">
        <v>-18.947599999999898</v>
      </c>
      <c r="AD3818">
        <v>-1.1208325215720001</v>
      </c>
      <c r="AE3818">
        <v>0.161799999999999</v>
      </c>
      <c r="AF3818">
        <v>-0.42140333526000401</v>
      </c>
      <c r="AG3818">
        <v>-1.1208325215720001</v>
      </c>
      <c r="AH3818">
        <v>18.877519403622401</v>
      </c>
      <c r="AI3818">
        <v>93.397042236815494</v>
      </c>
      <c r="AJ3818">
        <v>91.278802723061403</v>
      </c>
      <c r="AK3818">
        <v>18.9154588933634</v>
      </c>
      <c r="AL3818">
        <v>78.527013191776803</v>
      </c>
      <c r="AM3818">
        <v>88.616593922348997</v>
      </c>
      <c r="AN3818">
        <v>0.99999995967703803</v>
      </c>
    </row>
    <row r="3819" spans="1:40" x14ac:dyDescent="0.25">
      <c r="A3819" t="str">
        <f>"20190303162628418"</f>
        <v>20190303162628418</v>
      </c>
      <c r="B3819" t="str">
        <f>"1551601588407595"</f>
        <v>1551601588407595</v>
      </c>
      <c r="C3819" t="s">
        <v>40</v>
      </c>
      <c r="D3819">
        <v>4.8833060000000001</v>
      </c>
      <c r="E3819">
        <v>0.48018549999999899</v>
      </c>
      <c r="F3819" t="s">
        <v>41</v>
      </c>
      <c r="G3819">
        <v>-398.75650000000002</v>
      </c>
      <c r="H3819" s="1">
        <v>-1.094444E-6</v>
      </c>
      <c r="I3819">
        <v>141.79089999999999</v>
      </c>
      <c r="J3819">
        <v>-379.18209999999999</v>
      </c>
      <c r="K3819">
        <v>1.12083</v>
      </c>
      <c r="L3819">
        <v>141.70529999999999</v>
      </c>
      <c r="M3819">
        <v>-0.99943300000000002</v>
      </c>
      <c r="N3819">
        <v>-1.284629E-2</v>
      </c>
      <c r="O3819">
        <v>3.1127229999999999E-2</v>
      </c>
      <c r="P3819">
        <v>-0.98099080000000005</v>
      </c>
      <c r="Q3819">
        <v>0.18672530000000001</v>
      </c>
      <c r="R3819">
        <v>5.2832480000000001E-2</v>
      </c>
      <c r="S3819">
        <v>-3.090271</v>
      </c>
      <c r="T3819">
        <v>-0.17403279999999999</v>
      </c>
      <c r="U3819">
        <v>1.493835E-2</v>
      </c>
      <c r="V3819">
        <v>2.2398029999999999E-2</v>
      </c>
      <c r="W3819">
        <v>0.1993125</v>
      </c>
      <c r="X3819">
        <v>0.97968</v>
      </c>
      <c r="Y3819">
        <v>-2.6217440000000002E-2</v>
      </c>
      <c r="Z3819">
        <v>-2.25785E-3</v>
      </c>
      <c r="AA3819">
        <v>0.99965369999999998</v>
      </c>
      <c r="AB3819">
        <v>33</v>
      </c>
      <c r="AC3819">
        <v>-19.574400000000001</v>
      </c>
      <c r="AD3819">
        <v>-1.1208310944440001</v>
      </c>
      <c r="AE3819">
        <v>8.5599999999999399E-2</v>
      </c>
      <c r="AF3819">
        <v>-0.52207683382117498</v>
      </c>
      <c r="AG3819">
        <v>-1.1208310944440001</v>
      </c>
      <c r="AH3819">
        <v>19.5036323938353</v>
      </c>
      <c r="AI3819">
        <v>93.287870424422707</v>
      </c>
      <c r="AJ3819">
        <v>91.533337846819194</v>
      </c>
      <c r="AK3819">
        <v>19.5427864726744</v>
      </c>
      <c r="AL3819">
        <v>78.503241480796802</v>
      </c>
      <c r="AM3819">
        <v>88.690297787680706</v>
      </c>
      <c r="AN3819">
        <v>1.0000000234020601</v>
      </c>
    </row>
    <row r="3820" spans="1:40" x14ac:dyDescent="0.25">
      <c r="A3820" t="str">
        <f>"20190303162628440"</f>
        <v>20190303162628440</v>
      </c>
      <c r="B3820" t="str">
        <f>"1551601588437850"</f>
        <v>1551601588437850</v>
      </c>
      <c r="C3820" t="s">
        <v>40</v>
      </c>
      <c r="D3820">
        <v>4.8871479999999998</v>
      </c>
      <c r="E3820">
        <v>0.44332070000000001</v>
      </c>
      <c r="F3820" t="s">
        <v>41</v>
      </c>
      <c r="G3820">
        <v>-398.84829999999999</v>
      </c>
      <c r="H3820" s="1">
        <v>-1.040674E-6</v>
      </c>
      <c r="I3820">
        <v>141.73679999999999</v>
      </c>
      <c r="J3820">
        <v>-379.5147</v>
      </c>
      <c r="K3820">
        <v>1.1208290000000001</v>
      </c>
      <c r="L3820">
        <v>141.71600000000001</v>
      </c>
      <c r="M3820">
        <v>-0.99942430000000004</v>
      </c>
      <c r="N3820">
        <v>-1.282965E-2</v>
      </c>
      <c r="O3820">
        <v>3.1405710000000003E-2</v>
      </c>
      <c r="P3820">
        <v>-0.98106970000000004</v>
      </c>
      <c r="Q3820">
        <v>0.1867576</v>
      </c>
      <c r="R3820">
        <v>5.1222469999999999E-2</v>
      </c>
      <c r="S3820">
        <v>-3.09137</v>
      </c>
      <c r="T3820">
        <v>-0.1761867</v>
      </c>
      <c r="U3820">
        <v>4.9743649999999997E-3</v>
      </c>
      <c r="V3820">
        <v>2.051159E-2</v>
      </c>
      <c r="W3820">
        <v>0.19933020000000001</v>
      </c>
      <c r="X3820">
        <v>0.97971770000000002</v>
      </c>
      <c r="Y3820">
        <v>-2.9710279999999999E-2</v>
      </c>
      <c r="Z3820">
        <v>-2.422221E-3</v>
      </c>
      <c r="AA3820">
        <v>0.99955559999999999</v>
      </c>
      <c r="AB3820">
        <v>33</v>
      </c>
      <c r="AC3820">
        <v>-19.333599999999901</v>
      </c>
      <c r="AD3820">
        <v>-1.1208300406739999</v>
      </c>
      <c r="AE3820">
        <v>2.0799999999979901E-2</v>
      </c>
      <c r="AF3820">
        <v>-0.58448134566890697</v>
      </c>
      <c r="AG3820">
        <v>-1.1208300406739999</v>
      </c>
      <c r="AH3820">
        <v>19.259984244717</v>
      </c>
      <c r="AI3820">
        <v>93.329028273270296</v>
      </c>
      <c r="AJ3820">
        <v>91.7382174026787</v>
      </c>
      <c r="AK3820">
        <v>19.3014214898866</v>
      </c>
      <c r="AL3820">
        <v>78.502206456105696</v>
      </c>
      <c r="AM3820">
        <v>88.800617899919899</v>
      </c>
      <c r="AN3820">
        <v>1.0000000128248201</v>
      </c>
    </row>
    <row r="3821" spans="1:40" x14ac:dyDescent="0.25">
      <c r="A3821" t="str">
        <f>"20190303162628465"</f>
        <v>20190303162628465</v>
      </c>
      <c r="B3821" t="str">
        <f>"1551601588458346"</f>
        <v>1551601588458346</v>
      </c>
      <c r="C3821" t="s">
        <v>40</v>
      </c>
      <c r="D3821">
        <v>4.8521010000000002</v>
      </c>
      <c r="E3821">
        <v>0.37319419999999998</v>
      </c>
      <c r="F3821" t="s">
        <v>47</v>
      </c>
      <c r="G3821">
        <v>-418.54340000000002</v>
      </c>
      <c r="H3821" s="1">
        <v>-9.2246820000000007E-6</v>
      </c>
      <c r="I3821">
        <v>138.0051</v>
      </c>
      <c r="J3821">
        <v>-379.86790000000002</v>
      </c>
      <c r="K3821">
        <v>1.120827</v>
      </c>
      <c r="L3821">
        <v>141.72739999999999</v>
      </c>
      <c r="M3821">
        <v>-0.99941530000000001</v>
      </c>
      <c r="N3821">
        <v>-1.281328E-2</v>
      </c>
      <c r="O3821">
        <v>3.1698589999999999E-2</v>
      </c>
      <c r="P3821">
        <v>-0.98121950000000002</v>
      </c>
      <c r="Q3821">
        <v>0.18643609999999999</v>
      </c>
      <c r="R3821">
        <v>4.9500040000000002E-2</v>
      </c>
      <c r="S3821">
        <v>-3.0901179999999999</v>
      </c>
      <c r="T3821">
        <v>-8.8742970000000004E-2</v>
      </c>
      <c r="U3821">
        <v>-0.29380800000000001</v>
      </c>
      <c r="V3821">
        <v>1.8495870000000001E-2</v>
      </c>
      <c r="W3821">
        <v>0.19899520000000001</v>
      </c>
      <c r="X3821">
        <v>0.97982590000000003</v>
      </c>
      <c r="Y3821">
        <v>-0.12608559999999999</v>
      </c>
      <c r="Z3821">
        <v>-3.1191190000000001E-3</v>
      </c>
      <c r="AA3821">
        <v>0.99201450000000002</v>
      </c>
      <c r="AB3821">
        <v>33</v>
      </c>
      <c r="AC3821">
        <v>-38.6755</v>
      </c>
      <c r="AD3821">
        <v>-1.1208362246820001</v>
      </c>
      <c r="AE3821">
        <v>-3.72229999999999</v>
      </c>
      <c r="AF3821">
        <v>-4.9423757950006797</v>
      </c>
      <c r="AG3821">
        <v>-1.1208362246820001</v>
      </c>
      <c r="AH3821">
        <v>38.506016726626903</v>
      </c>
      <c r="AI3821">
        <v>91.653740300514301</v>
      </c>
      <c r="AJ3821">
        <v>97.314113876023498</v>
      </c>
      <c r="AK3821">
        <v>38.838082811756301</v>
      </c>
      <c r="AL3821">
        <v>78.521792670002199</v>
      </c>
      <c r="AM3821">
        <v>88.918573754070493</v>
      </c>
      <c r="AN3821">
        <v>0.99999999057045297</v>
      </c>
    </row>
    <row r="3822" spans="1:40" x14ac:dyDescent="0.25">
      <c r="A3822" t="str">
        <f>"20190303162628485"</f>
        <v>20190303162628485</v>
      </c>
      <c r="B3822" t="str">
        <f>"1551601588477866"</f>
        <v>1551601588477866</v>
      </c>
      <c r="C3822" t="s">
        <v>40</v>
      </c>
      <c r="D3822">
        <v>4.8028820000000003</v>
      </c>
      <c r="E3822">
        <v>0.36636839999999998</v>
      </c>
      <c r="F3822" t="s">
        <v>41</v>
      </c>
      <c r="G3822">
        <v>-395.36759999999998</v>
      </c>
      <c r="H3822" s="1">
        <v>-2.344579E-6</v>
      </c>
      <c r="I3822">
        <v>137.50229999999999</v>
      </c>
      <c r="J3822">
        <v>-380.18209999999999</v>
      </c>
      <c r="K3822">
        <v>1.1208229999999999</v>
      </c>
      <c r="L3822">
        <v>141.73769999999999</v>
      </c>
      <c r="M3822">
        <v>-0.99940739999999995</v>
      </c>
      <c r="N3822">
        <v>-1.279975E-2</v>
      </c>
      <c r="O3822">
        <v>3.1956239999999997E-2</v>
      </c>
      <c r="P3822">
        <v>-0.98140139999999998</v>
      </c>
      <c r="Q3822">
        <v>0.18589349999999999</v>
      </c>
      <c r="R3822">
        <v>4.790639E-2</v>
      </c>
      <c r="S3822">
        <v>-3.1438899999999999</v>
      </c>
      <c r="T3822">
        <v>-0.22734460000000001</v>
      </c>
      <c r="U3822">
        <v>-0.85699459999999905</v>
      </c>
      <c r="V3822">
        <v>1.6642319999999999E-2</v>
      </c>
      <c r="W3822">
        <v>0.19844319999999999</v>
      </c>
      <c r="X3822">
        <v>0.97997109999999998</v>
      </c>
      <c r="Y3822">
        <v>-0.29279440000000001</v>
      </c>
      <c r="Z3822">
        <v>-1.4161999999999999E-2</v>
      </c>
      <c r="AA3822">
        <v>0.95607050000000005</v>
      </c>
      <c r="AB3822">
        <v>33</v>
      </c>
      <c r="AC3822">
        <v>-15.1854999999999</v>
      </c>
      <c r="AD3822">
        <v>-1.120825344579</v>
      </c>
      <c r="AE3822">
        <v>-4.2353999999999896</v>
      </c>
      <c r="AF3822">
        <v>-4.6948174700442404</v>
      </c>
      <c r="AG3822">
        <v>-1.120825344579</v>
      </c>
      <c r="AH3822">
        <v>14.9667342865046</v>
      </c>
      <c r="AI3822">
        <v>94.087109605226303</v>
      </c>
      <c r="AJ3822">
        <v>107.41578004687101</v>
      </c>
      <c r="AK3822">
        <v>15.7257971414144</v>
      </c>
      <c r="AL3822">
        <v>78.554063803741499</v>
      </c>
      <c r="AM3822">
        <v>89.027070241722697</v>
      </c>
      <c r="AN3822">
        <v>1.0000000136382099</v>
      </c>
    </row>
    <row r="3823" spans="1:40" x14ac:dyDescent="0.25">
      <c r="A3823" t="str">
        <f>"20190303162628507"</f>
        <v>20190303162628507</v>
      </c>
      <c r="B3823" t="str">
        <f>"1551601588497386"</f>
        <v>1551601588497386</v>
      </c>
      <c r="C3823" t="s">
        <v>40</v>
      </c>
      <c r="D3823">
        <v>4.7819159999999998</v>
      </c>
      <c r="E3823">
        <v>0.36533779999999999</v>
      </c>
      <c r="F3823" t="s">
        <v>41</v>
      </c>
      <c r="G3823">
        <v>-394.63420000000002</v>
      </c>
      <c r="H3823" s="1">
        <v>-2.654623E-6</v>
      </c>
      <c r="I3823">
        <v>137.52799999999999</v>
      </c>
      <c r="J3823">
        <v>-380.49770000000001</v>
      </c>
      <c r="K3823">
        <v>1.120822</v>
      </c>
      <c r="L3823">
        <v>141.74809999999999</v>
      </c>
      <c r="M3823">
        <v>-0.99939940000000005</v>
      </c>
      <c r="N3823">
        <v>-1.2787140000000001E-2</v>
      </c>
      <c r="O3823">
        <v>3.221102E-2</v>
      </c>
      <c r="P3823">
        <v>-0.98180310000000004</v>
      </c>
      <c r="Q3823">
        <v>0.1843814</v>
      </c>
      <c r="R3823">
        <v>4.5454599999999998E-2</v>
      </c>
      <c r="S3823">
        <v>-3.1479189999999999</v>
      </c>
      <c r="T3823">
        <v>-0.24413560000000001</v>
      </c>
      <c r="U3823">
        <v>-0.91691590000000001</v>
      </c>
      <c r="V3823">
        <v>1.392622E-2</v>
      </c>
      <c r="W3823">
        <v>0.19692460000000001</v>
      </c>
      <c r="X3823">
        <v>0.98031970000000002</v>
      </c>
      <c r="Y3823">
        <v>-0.30936659999999999</v>
      </c>
      <c r="Z3823">
        <v>-1.580084E-2</v>
      </c>
      <c r="AA3823">
        <v>0.95081159999999998</v>
      </c>
      <c r="AB3823">
        <v>33</v>
      </c>
      <c r="AC3823">
        <v>-14.1365</v>
      </c>
      <c r="AD3823">
        <v>-1.1208246546230001</v>
      </c>
      <c r="AE3823">
        <v>-4.2201000000000004</v>
      </c>
      <c r="AF3823">
        <v>-4.6464791604511202</v>
      </c>
      <c r="AG3823">
        <v>-1.1208246546230001</v>
      </c>
      <c r="AH3823">
        <v>13.9129148049928</v>
      </c>
      <c r="AI3823">
        <v>94.3695576711592</v>
      </c>
      <c r="AJ3823">
        <v>108.467710058809</v>
      </c>
      <c r="AK3823">
        <v>14.711057571293299</v>
      </c>
      <c r="AL3823">
        <v>78.642824375040604</v>
      </c>
      <c r="AM3823">
        <v>89.186122687468796</v>
      </c>
      <c r="AN3823">
        <v>0.99999997594836798</v>
      </c>
    </row>
    <row r="3824" spans="1:40" x14ac:dyDescent="0.25">
      <c r="A3824" t="str">
        <f>"20190303162628529"</f>
        <v>20190303162628529</v>
      </c>
      <c r="B3824" t="str">
        <f>"1551601588517882"</f>
        <v>1551601588517882</v>
      </c>
      <c r="C3824" t="s">
        <v>40</v>
      </c>
      <c r="D3824">
        <v>4.811553</v>
      </c>
      <c r="E3824">
        <v>0.36586950000000001</v>
      </c>
      <c r="F3824" t="s">
        <v>41</v>
      </c>
      <c r="G3824">
        <v>-394.52719999999999</v>
      </c>
      <c r="H3824" s="1">
        <v>-2.6897339999999999E-6</v>
      </c>
      <c r="I3824">
        <v>137.5889</v>
      </c>
      <c r="J3824">
        <v>-380.83629999999999</v>
      </c>
      <c r="K3824">
        <v>1.1208089999999999</v>
      </c>
      <c r="L3824">
        <v>141.7593</v>
      </c>
      <c r="M3824">
        <v>-0.99939100000000003</v>
      </c>
      <c r="N3824">
        <v>-1.277477E-2</v>
      </c>
      <c r="O3824">
        <v>3.2477409999999998E-2</v>
      </c>
      <c r="P3824">
        <v>-0.98225410000000002</v>
      </c>
      <c r="Q3824">
        <v>0.18289169999999999</v>
      </c>
      <c r="R3824">
        <v>4.15641E-2</v>
      </c>
      <c r="S3824">
        <v>-3.1459959999999998</v>
      </c>
      <c r="T3824">
        <v>-0.2513359</v>
      </c>
      <c r="U3824">
        <v>-0.93264769999999997</v>
      </c>
      <c r="V3824">
        <v>9.7585050000000007E-3</v>
      </c>
      <c r="W3824">
        <v>0.1954293</v>
      </c>
      <c r="X3824">
        <v>0.98066929999999997</v>
      </c>
      <c r="Y3824">
        <v>-0.31407200000000002</v>
      </c>
      <c r="Z3824">
        <v>-1.6448730000000002E-2</v>
      </c>
      <c r="AA3824">
        <v>0.94925669999999995</v>
      </c>
      <c r="AB3824">
        <v>33</v>
      </c>
      <c r="AC3824">
        <v>-13.690899999999999</v>
      </c>
      <c r="AD3824">
        <v>-1.1208116897339999</v>
      </c>
      <c r="AE3824">
        <v>-4.1703999999999999</v>
      </c>
      <c r="AF3824">
        <v>-4.5847629482155599</v>
      </c>
      <c r="AG3824">
        <v>-1.1208116897339999</v>
      </c>
      <c r="AH3824">
        <v>13.465638313903</v>
      </c>
      <c r="AI3824">
        <v>94.505202842764206</v>
      </c>
      <c r="AJ3824">
        <v>108.80261474682899</v>
      </c>
      <c r="AK3824">
        <v>14.2688361591276</v>
      </c>
      <c r="AL3824">
        <v>78.730197471805496</v>
      </c>
      <c r="AM3824">
        <v>89.429876414717796</v>
      </c>
      <c r="AN3824">
        <v>1.0000000578404</v>
      </c>
    </row>
    <row r="3825" spans="1:40" x14ac:dyDescent="0.25">
      <c r="A3825" t="str">
        <f>"20190303162628552"</f>
        <v>20190303162628552</v>
      </c>
      <c r="B3825" t="str">
        <f>"1551601588547163"</f>
        <v>1551601588547163</v>
      </c>
      <c r="C3825" t="s">
        <v>40</v>
      </c>
      <c r="D3825">
        <v>4.8168920000000002</v>
      </c>
      <c r="E3825">
        <v>0.36703649999999999</v>
      </c>
      <c r="F3825" t="s">
        <v>41</v>
      </c>
      <c r="G3825">
        <v>-394.55090000000001</v>
      </c>
      <c r="H3825" s="1">
        <v>-2.667235E-6</v>
      </c>
      <c r="I3825">
        <v>137.6583</v>
      </c>
      <c r="J3825">
        <v>-381.16570000000002</v>
      </c>
      <c r="K3825">
        <v>1.120795</v>
      </c>
      <c r="L3825">
        <v>141.77029999999999</v>
      </c>
      <c r="M3825">
        <v>-0.99938280000000002</v>
      </c>
      <c r="N3825">
        <v>-1.276387E-2</v>
      </c>
      <c r="O3825">
        <v>3.2728750000000001E-2</v>
      </c>
      <c r="P3825">
        <v>-0.98283359999999997</v>
      </c>
      <c r="Q3825">
        <v>0.18163670000000001</v>
      </c>
      <c r="R3825">
        <v>3.234894E-2</v>
      </c>
      <c r="S3825">
        <v>-3.141724</v>
      </c>
      <c r="T3825">
        <v>-0.25675479999999901</v>
      </c>
      <c r="U3825">
        <v>-0.93943790000000005</v>
      </c>
      <c r="V3825">
        <v>2.7914710000000002E-4</v>
      </c>
      <c r="W3825">
        <v>0.1941735</v>
      </c>
      <c r="X3825">
        <v>0.98096719999999904</v>
      </c>
      <c r="Y3825">
        <v>-0.31648739999999997</v>
      </c>
      <c r="Z3825">
        <v>-1.691082E-2</v>
      </c>
      <c r="AA3825">
        <v>0.94844600000000001</v>
      </c>
      <c r="AB3825">
        <v>33</v>
      </c>
      <c r="AC3825">
        <v>-13.3851999999999</v>
      </c>
      <c r="AD3825">
        <v>-1.120797667235</v>
      </c>
      <c r="AE3825">
        <v>-4.1119999999999903</v>
      </c>
      <c r="AF3825">
        <v>-4.5189613529381001</v>
      </c>
      <c r="AG3825">
        <v>-1.120797667235</v>
      </c>
      <c r="AH3825">
        <v>13.1591290053763</v>
      </c>
      <c r="AI3825">
        <v>94.605520356116998</v>
      </c>
      <c r="AJ3825">
        <v>108.95292510564499</v>
      </c>
      <c r="AK3825">
        <v>13.9585054823345</v>
      </c>
      <c r="AL3825">
        <v>78.803554602380302</v>
      </c>
      <c r="AM3825">
        <v>89.983695733902593</v>
      </c>
      <c r="AN3825">
        <v>1.0000000367505899</v>
      </c>
    </row>
    <row r="3826" spans="1:40" x14ac:dyDescent="0.25">
      <c r="A3826" t="str">
        <f>"20190303162628575"</f>
        <v>20190303162628575</v>
      </c>
      <c r="B3826" t="str">
        <f>"1551601588567658"</f>
        <v>1551601588567658</v>
      </c>
      <c r="C3826" t="s">
        <v>40</v>
      </c>
      <c r="D3826">
        <v>4.8315239999999999</v>
      </c>
      <c r="E3826">
        <v>0.36744670000000001</v>
      </c>
      <c r="F3826" t="s">
        <v>41</v>
      </c>
      <c r="G3826">
        <v>-394.34070000000003</v>
      </c>
      <c r="H3826" s="1">
        <v>-2.740451E-6</v>
      </c>
      <c r="I3826">
        <v>137.75389999999999</v>
      </c>
      <c r="J3826">
        <v>-381.5</v>
      </c>
      <c r="K3826">
        <v>1.120792</v>
      </c>
      <c r="L3826">
        <v>141.78149999999999</v>
      </c>
      <c r="M3826">
        <v>-0.99937480000000001</v>
      </c>
      <c r="N3826">
        <v>-1.2753820000000001E-2</v>
      </c>
      <c r="O3826">
        <v>3.2976369999999998E-2</v>
      </c>
      <c r="P3826">
        <v>-0.98379729999999999</v>
      </c>
      <c r="Q3826">
        <v>0.17828369999999999</v>
      </c>
      <c r="R3826">
        <v>1.8927320000000001E-2</v>
      </c>
      <c r="S3826">
        <v>-3.133057</v>
      </c>
      <c r="T3826">
        <v>-0.26652920000000002</v>
      </c>
      <c r="U3826">
        <v>-0.95507810000000004</v>
      </c>
      <c r="V3826">
        <v>-1.3415369999999999E-2</v>
      </c>
      <c r="W3826">
        <v>0.1908251</v>
      </c>
      <c r="X3826">
        <v>0.98153239999999997</v>
      </c>
      <c r="Y3826">
        <v>-0.32166260000000002</v>
      </c>
      <c r="Z3826">
        <v>-1.778743E-2</v>
      </c>
      <c r="AA3826">
        <v>0.94668730000000001</v>
      </c>
      <c r="AB3826">
        <v>33</v>
      </c>
      <c r="AC3826">
        <v>-12.8407</v>
      </c>
      <c r="AD3826">
        <v>-1.1207947404509999</v>
      </c>
      <c r="AE3826">
        <v>-4.0275999999999996</v>
      </c>
      <c r="AF3826">
        <v>-4.4182374927670898</v>
      </c>
      <c r="AG3826">
        <v>-1.1207947404509999</v>
      </c>
      <c r="AH3826">
        <v>12.6133997674815</v>
      </c>
      <c r="AI3826">
        <v>94.793693666752205</v>
      </c>
      <c r="AJ3826">
        <v>109.304401031232</v>
      </c>
      <c r="AK3826">
        <v>13.411743253097899</v>
      </c>
      <c r="AL3826">
        <v>78.999060241687005</v>
      </c>
      <c r="AM3826">
        <v>90.783057415072804</v>
      </c>
      <c r="AN3826">
        <v>1.0000000215960001</v>
      </c>
    </row>
    <row r="3827" spans="1:40" x14ac:dyDescent="0.25">
      <c r="A3827" t="str">
        <f>"20190303162628596"</f>
        <v>20190303162628596</v>
      </c>
      <c r="B3827" t="str">
        <f>"1551601588587179"</f>
        <v>1551601588587179</v>
      </c>
      <c r="C3827" t="s">
        <v>40</v>
      </c>
      <c r="D3827">
        <v>4.8275119999999996</v>
      </c>
      <c r="E3827">
        <v>0.36843310000000001</v>
      </c>
      <c r="F3827" t="s">
        <v>41</v>
      </c>
      <c r="G3827">
        <v>-394.0034</v>
      </c>
      <c r="H3827" s="1">
        <v>-2.8751440000000002E-6</v>
      </c>
      <c r="I3827">
        <v>137.81030000000001</v>
      </c>
      <c r="J3827">
        <v>-381.83330000000001</v>
      </c>
      <c r="K3827">
        <v>1.1207860000000001</v>
      </c>
      <c r="L3827">
        <v>141.7927</v>
      </c>
      <c r="M3827">
        <v>-0.99936689999999995</v>
      </c>
      <c r="N3827">
        <v>-1.274482E-2</v>
      </c>
      <c r="O3827">
        <v>3.3216219999999998E-2</v>
      </c>
      <c r="P3827">
        <v>-0.98459980000000002</v>
      </c>
      <c r="Q3827">
        <v>0.17480680000000001</v>
      </c>
      <c r="R3827">
        <v>2.4510320000000001E-3</v>
      </c>
      <c r="S3827">
        <v>-3.1191409999999999</v>
      </c>
      <c r="T3827">
        <v>-0.27959600000000001</v>
      </c>
      <c r="U3827">
        <v>-0.99064640000000004</v>
      </c>
      <c r="V3827">
        <v>-3.0150280000000002E-2</v>
      </c>
      <c r="W3827">
        <v>0.1873522</v>
      </c>
      <c r="X3827">
        <v>0.98182999999999998</v>
      </c>
      <c r="Y3827">
        <v>-0.33270460000000002</v>
      </c>
      <c r="Z3827">
        <v>-1.9193769999999999E-2</v>
      </c>
      <c r="AA3827">
        <v>0.94283570000000005</v>
      </c>
      <c r="AB3827">
        <v>33</v>
      </c>
      <c r="AC3827">
        <v>-12.1700999999999</v>
      </c>
      <c r="AD3827">
        <v>-1.1207888751440001</v>
      </c>
      <c r="AE3827">
        <v>-3.9823999999999802</v>
      </c>
      <c r="AF3827">
        <v>-4.3511458898640001</v>
      </c>
      <c r="AG3827">
        <v>-1.1207888751440001</v>
      </c>
      <c r="AH3827">
        <v>11.9396237761786</v>
      </c>
      <c r="AI3827">
        <v>95.040286609636993</v>
      </c>
      <c r="AJ3827">
        <v>110.02321023753299</v>
      </c>
      <c r="AK3827">
        <v>12.757086429675701</v>
      </c>
      <c r="AL3827">
        <v>79.201698410227607</v>
      </c>
      <c r="AM3827">
        <v>91.758900317171594</v>
      </c>
      <c r="AN3827">
        <v>1.0000000175644499</v>
      </c>
    </row>
    <row r="3828" spans="1:40" x14ac:dyDescent="0.25">
      <c r="A3828" t="str">
        <f>"20190303162628618"</f>
        <v>20190303162628618</v>
      </c>
      <c r="B3828" t="str">
        <f>"1551601588607675"</f>
        <v>1551601588607675</v>
      </c>
      <c r="C3828" t="s">
        <v>40</v>
      </c>
      <c r="D3828">
        <v>4.8633509999999998</v>
      </c>
      <c r="E3828">
        <v>0.36935820000000003</v>
      </c>
      <c r="F3828" t="s">
        <v>41</v>
      </c>
      <c r="G3828">
        <v>-393.88869999999997</v>
      </c>
      <c r="H3828" s="1">
        <v>-2.9325100000000002E-6</v>
      </c>
      <c r="I3828">
        <v>137.76439999999999</v>
      </c>
      <c r="J3828">
        <v>-382.14510000000001</v>
      </c>
      <c r="K3828">
        <v>1.120781</v>
      </c>
      <c r="L3828">
        <v>141.8032</v>
      </c>
      <c r="M3828">
        <v>-0.99935980000000002</v>
      </c>
      <c r="N3828">
        <v>-1.273738E-2</v>
      </c>
      <c r="O3828">
        <v>3.3435640000000003E-2</v>
      </c>
      <c r="P3828">
        <v>-0.98489490000000002</v>
      </c>
      <c r="Q3828">
        <v>0.172588299999999</v>
      </c>
      <c r="R3828">
        <v>-1.397377E-2</v>
      </c>
      <c r="S3828">
        <v>-3.1006770000000001</v>
      </c>
      <c r="T3828">
        <v>-0.28826980000000002</v>
      </c>
      <c r="U3828">
        <v>-1.0360720000000001</v>
      </c>
      <c r="V3828">
        <v>-4.6796110000000002E-2</v>
      </c>
      <c r="W3828">
        <v>0.1851324</v>
      </c>
      <c r="X3828">
        <v>0.98159870000000005</v>
      </c>
      <c r="Y3828">
        <v>-0.34680949999999999</v>
      </c>
      <c r="Z3828">
        <v>-2.0546459999999999E-2</v>
      </c>
      <c r="AA3828">
        <v>0.9377105</v>
      </c>
      <c r="AB3828">
        <v>33</v>
      </c>
      <c r="AC3828">
        <v>-11.743599999999899</v>
      </c>
      <c r="AD3828">
        <v>-1.12078393251</v>
      </c>
      <c r="AE3828">
        <v>-4.0388000000000002</v>
      </c>
      <c r="AF3828">
        <v>-4.3934433840693004</v>
      </c>
      <c r="AG3828">
        <v>-1.12078393251</v>
      </c>
      <c r="AH3828">
        <v>11.5082471573917</v>
      </c>
      <c r="AI3828">
        <v>95.198731255419005</v>
      </c>
      <c r="AJ3828">
        <v>110.895094794968</v>
      </c>
      <c r="AK3828">
        <v>12.369246299916901</v>
      </c>
      <c r="AL3828">
        <v>79.331147700725097</v>
      </c>
      <c r="AM3828">
        <v>92.729415920455594</v>
      </c>
      <c r="AN3828">
        <v>0.99999994464128905</v>
      </c>
    </row>
    <row r="3829" spans="1:40" x14ac:dyDescent="0.25">
      <c r="A3829" t="str">
        <f>"20190303162628642"</f>
        <v>20190303162628642</v>
      </c>
      <c r="B3829" t="str">
        <f>"1551601588637931"</f>
        <v>1551601588637931</v>
      </c>
      <c r="C3829" t="s">
        <v>40</v>
      </c>
      <c r="D3829">
        <v>4.997776</v>
      </c>
      <c r="E3829">
        <v>0.38622960000000001</v>
      </c>
      <c r="F3829" t="s">
        <v>41</v>
      </c>
      <c r="G3829">
        <v>-393.99419999999998</v>
      </c>
      <c r="H3829" s="1">
        <v>-2.9074650000000002E-6</v>
      </c>
      <c r="I3829">
        <v>137.65039999999999</v>
      </c>
      <c r="J3829">
        <v>-382.49329999999998</v>
      </c>
      <c r="K3829">
        <v>1.1207879999999999</v>
      </c>
      <c r="L3829">
        <v>141.8151</v>
      </c>
      <c r="M3829">
        <v>-0.99935180000000001</v>
      </c>
      <c r="N3829">
        <v>-1.273005E-2</v>
      </c>
      <c r="O3829">
        <v>3.3676240000000003E-2</v>
      </c>
      <c r="P3829">
        <v>-0.98470500000000005</v>
      </c>
      <c r="Q3829">
        <v>0.1714116</v>
      </c>
      <c r="R3829">
        <v>-3.121461E-2</v>
      </c>
      <c r="S3829">
        <v>-3.0817570000000001</v>
      </c>
      <c r="T3829">
        <v>-0.29149809999999998</v>
      </c>
      <c r="U3829">
        <v>-1.080063</v>
      </c>
      <c r="V3829">
        <v>-6.4260129999999999E-2</v>
      </c>
      <c r="W3829">
        <v>0.18394769999999999</v>
      </c>
      <c r="X3829">
        <v>0.98083319999999996</v>
      </c>
      <c r="Y3829">
        <v>-0.36059059999999998</v>
      </c>
      <c r="Z3829">
        <v>-2.1569000000000001E-2</v>
      </c>
      <c r="AA3829">
        <v>0.93247469999999999</v>
      </c>
      <c r="AB3829">
        <v>33</v>
      </c>
      <c r="AC3829">
        <v>-11.5009</v>
      </c>
      <c r="AD3829">
        <v>-1.120790907465</v>
      </c>
      <c r="AE3829">
        <v>-4.1647000000000096</v>
      </c>
      <c r="AF3829">
        <v>-4.5117947372626999</v>
      </c>
      <c r="AG3829">
        <v>-1.120790907465</v>
      </c>
      <c r="AH3829">
        <v>11.259577283489699</v>
      </c>
      <c r="AI3829">
        <v>95.279086371942697</v>
      </c>
      <c r="AJ3829">
        <v>111.83633624157299</v>
      </c>
      <c r="AK3829">
        <v>12.1815657701432</v>
      </c>
      <c r="AL3829">
        <v>79.400212189378493</v>
      </c>
      <c r="AM3829">
        <v>93.748425201683801</v>
      </c>
      <c r="AN3829">
        <v>0.99999994343257104</v>
      </c>
    </row>
    <row r="3830" spans="1:40" x14ac:dyDescent="0.25">
      <c r="A3830" t="str">
        <f>"20190303162628664"</f>
        <v>20190303162628664</v>
      </c>
      <c r="B3830" t="str">
        <f>"1551601588657451"</f>
        <v>1551601588657451</v>
      </c>
      <c r="C3830" t="s">
        <v>40</v>
      </c>
      <c r="D3830">
        <v>5.0352699999999997</v>
      </c>
      <c r="E3830">
        <v>0.38823479999999999</v>
      </c>
      <c r="F3830" t="s">
        <v>41</v>
      </c>
      <c r="G3830">
        <v>-397.27749999999997</v>
      </c>
      <c r="H3830" s="1">
        <v>-1.6149570000000001E-6</v>
      </c>
      <c r="I3830">
        <v>136.99639999999999</v>
      </c>
      <c r="J3830">
        <v>-382.82319999999999</v>
      </c>
      <c r="K3830">
        <v>1.1207910000000001</v>
      </c>
      <c r="L3830">
        <v>141.82640000000001</v>
      </c>
      <c r="M3830">
        <v>-0.99934420000000002</v>
      </c>
      <c r="N3830">
        <v>-1.272383E-2</v>
      </c>
      <c r="O3830">
        <v>3.3901420000000002E-2</v>
      </c>
      <c r="P3830">
        <v>-0.98415430000000004</v>
      </c>
      <c r="Q3830">
        <v>0.17066190000000001</v>
      </c>
      <c r="R3830">
        <v>-4.8113000000000003E-2</v>
      </c>
      <c r="S3830">
        <v>-3.0553590000000002</v>
      </c>
      <c r="T3830">
        <v>-0.23162749999999999</v>
      </c>
      <c r="U3830">
        <v>-0.99583440000000001</v>
      </c>
      <c r="V3830">
        <v>-8.1353289999999995E-2</v>
      </c>
      <c r="W3830">
        <v>0.1831865</v>
      </c>
      <c r="X3830">
        <v>0.97970630000000003</v>
      </c>
      <c r="Y3830">
        <v>-0.34083419999999998</v>
      </c>
      <c r="Z3830">
        <v>-1.6888529999999999E-2</v>
      </c>
      <c r="AA3830">
        <v>0.93997169999999997</v>
      </c>
      <c r="AB3830">
        <v>33</v>
      </c>
      <c r="AC3830">
        <v>-14.4542999999999</v>
      </c>
      <c r="AD3830">
        <v>-1.120792614957</v>
      </c>
      <c r="AE3830">
        <v>-4.8300000000000098</v>
      </c>
      <c r="AF3830">
        <v>-5.2886798285538097</v>
      </c>
      <c r="AG3830">
        <v>-1.120792614957</v>
      </c>
      <c r="AH3830">
        <v>14.2054017338089</v>
      </c>
      <c r="AI3830">
        <v>94.228805472264895</v>
      </c>
      <c r="AJ3830">
        <v>110.420329843259</v>
      </c>
      <c r="AK3830">
        <v>15.1993338286122</v>
      </c>
      <c r="AL3830">
        <v>79.444580731161494</v>
      </c>
      <c r="AM3830">
        <v>94.746862081010704</v>
      </c>
      <c r="AN3830">
        <v>1.0000000429178799</v>
      </c>
    </row>
    <row r="3831" spans="1:40" x14ac:dyDescent="0.25">
      <c r="A3831" t="str">
        <f>"20190303162628685"</f>
        <v>20190303162628685</v>
      </c>
      <c r="B3831" t="str">
        <f>"1551601588676972"</f>
        <v>1551601588676972</v>
      </c>
      <c r="C3831" t="s">
        <v>40</v>
      </c>
      <c r="D3831">
        <v>5.016502</v>
      </c>
      <c r="E3831">
        <v>0.39205139999999999</v>
      </c>
      <c r="F3831" t="s">
        <v>41</v>
      </c>
      <c r="G3831">
        <v>-398.70269999999999</v>
      </c>
      <c r="H3831" s="1">
        <v>-1.2704430000000001E-6</v>
      </c>
      <c r="I3831">
        <v>136.44829999999999</v>
      </c>
      <c r="J3831">
        <v>-383.1447</v>
      </c>
      <c r="K3831">
        <v>1.1207879999999999</v>
      </c>
      <c r="L3831">
        <v>141.83750000000001</v>
      </c>
      <c r="M3831">
        <v>-0.99933700000000003</v>
      </c>
      <c r="N3831">
        <v>-1.2718399999999999E-2</v>
      </c>
      <c r="O3831">
        <v>3.411935E-2</v>
      </c>
      <c r="P3831">
        <v>-0.98336429999999997</v>
      </c>
      <c r="Q3831">
        <v>0.1705884</v>
      </c>
      <c r="R3831">
        <v>-6.2407860000000002E-2</v>
      </c>
      <c r="S3831">
        <v>-3.0351870000000001</v>
      </c>
      <c r="T3831">
        <v>-0.2142279</v>
      </c>
      <c r="U3831">
        <v>-1.027954</v>
      </c>
      <c r="V3831">
        <v>-9.5826980000000006E-2</v>
      </c>
      <c r="W3831">
        <v>0.18309839999999999</v>
      </c>
      <c r="X3831">
        <v>0.97841310000000004</v>
      </c>
      <c r="Y3831">
        <v>-0.35191939999999999</v>
      </c>
      <c r="Z3831">
        <v>-1.6292210000000001E-2</v>
      </c>
      <c r="AA3831">
        <v>0.93588850000000001</v>
      </c>
      <c r="AB3831">
        <v>33</v>
      </c>
      <c r="AC3831">
        <v>-15.5579999999999</v>
      </c>
      <c r="AD3831">
        <v>-1.12078927044299</v>
      </c>
      <c r="AE3831">
        <v>-5.3892000000000104</v>
      </c>
      <c r="AF3831">
        <v>-5.8896426538884299</v>
      </c>
      <c r="AG3831">
        <v>-1.12078927044299</v>
      </c>
      <c r="AH3831">
        <v>15.2941808438331</v>
      </c>
      <c r="AI3831">
        <v>93.912172985731701</v>
      </c>
      <c r="AJ3831">
        <v>111.061217782325</v>
      </c>
      <c r="AK3831">
        <v>16.427295177938301</v>
      </c>
      <c r="AL3831">
        <v>79.449715027506898</v>
      </c>
      <c r="AM3831">
        <v>95.593778422429097</v>
      </c>
      <c r="AN3831">
        <v>1.00000001421504</v>
      </c>
    </row>
    <row r="3832" spans="1:40" x14ac:dyDescent="0.25">
      <c r="A3832" t="str">
        <f>"20190303162628708"</f>
        <v>20190303162628708</v>
      </c>
      <c r="B3832" t="str">
        <f>"1551601588697467"</f>
        <v>1551601588697467</v>
      </c>
      <c r="C3832" t="s">
        <v>40</v>
      </c>
      <c r="D3832">
        <v>5.0411590000000004</v>
      </c>
      <c r="E3832">
        <v>0.39496140000000002</v>
      </c>
      <c r="F3832" t="s">
        <v>41</v>
      </c>
      <c r="G3832">
        <v>-399.84219999999999</v>
      </c>
      <c r="H3832" s="1">
        <v>-9.7708130000000007E-7</v>
      </c>
      <c r="I3832">
        <v>136.0934</v>
      </c>
      <c r="J3832">
        <v>-383.46429999999998</v>
      </c>
      <c r="K3832">
        <v>1.120781</v>
      </c>
      <c r="L3832">
        <v>141.8486</v>
      </c>
      <c r="M3832">
        <v>-0.99932960000000004</v>
      </c>
      <c r="N3832">
        <v>-1.271357E-2</v>
      </c>
      <c r="O3832">
        <v>3.4336369999999998E-2</v>
      </c>
      <c r="P3832">
        <v>-0.98241290000000003</v>
      </c>
      <c r="Q3832">
        <v>0.1714222</v>
      </c>
      <c r="R3832">
        <v>-7.4024450000000006E-2</v>
      </c>
      <c r="S3832">
        <v>-3.0199889999999998</v>
      </c>
      <c r="T3832">
        <v>-0.20271239999999999</v>
      </c>
      <c r="U3832">
        <v>-1.0388949999999999</v>
      </c>
      <c r="V3832">
        <v>-0.1076178</v>
      </c>
      <c r="W3832">
        <v>0.1839163</v>
      </c>
      <c r="X3832">
        <v>0.97703280000000003</v>
      </c>
      <c r="Y3832">
        <v>-0.35666179999999997</v>
      </c>
      <c r="Z3832">
        <v>-1.5774529999999998E-2</v>
      </c>
      <c r="AA3832">
        <v>0.93410040000000005</v>
      </c>
      <c r="AB3832">
        <v>33</v>
      </c>
      <c r="AC3832">
        <v>-16.3779</v>
      </c>
      <c r="AD3832">
        <v>-1.1207819770812999</v>
      </c>
      <c r="AE3832">
        <v>-5.7552000000000003</v>
      </c>
      <c r="AF3832">
        <v>-6.2879985074798697</v>
      </c>
      <c r="AG3832">
        <v>-1.1207819770812999</v>
      </c>
      <c r="AH3832">
        <v>16.103488037484301</v>
      </c>
      <c r="AI3832">
        <v>93.709382385477895</v>
      </c>
      <c r="AJ3832">
        <v>111.329368419754</v>
      </c>
      <c r="AK3832">
        <v>17.3238969185232</v>
      </c>
      <c r="AL3832">
        <v>79.4020425130891</v>
      </c>
      <c r="AM3832">
        <v>96.285653062643703</v>
      </c>
      <c r="AN3832">
        <v>0.99999994427918304</v>
      </c>
    </row>
    <row r="3833" spans="1:40" x14ac:dyDescent="0.25">
      <c r="A3833" t="str">
        <f>"20190303162628730"</f>
        <v>20190303162628730</v>
      </c>
      <c r="B3833" t="str">
        <f>"1551601588716987"</f>
        <v>1551601588716987</v>
      </c>
      <c r="C3833" t="s">
        <v>40</v>
      </c>
      <c r="D3833">
        <v>5.0342039999999999</v>
      </c>
      <c r="E3833">
        <v>0.39760830000000003</v>
      </c>
      <c r="F3833" t="s">
        <v>47</v>
      </c>
      <c r="G3833">
        <v>-400.68169999999998</v>
      </c>
      <c r="H3833" s="1">
        <v>-3.760331E-6</v>
      </c>
      <c r="I3833">
        <v>135.845</v>
      </c>
      <c r="J3833">
        <v>-383.80579999999998</v>
      </c>
      <c r="K3833">
        <v>1.1207819999999999</v>
      </c>
      <c r="L3833">
        <v>141.8605</v>
      </c>
      <c r="M3833">
        <v>-0.99932140000000003</v>
      </c>
      <c r="N3833">
        <v>-1.270894E-2</v>
      </c>
      <c r="O3833">
        <v>3.4572619999999998E-2</v>
      </c>
      <c r="P3833">
        <v>-0.98159099999999999</v>
      </c>
      <c r="Q3833">
        <v>0.1710132</v>
      </c>
      <c r="R3833">
        <v>-8.5051059999999998E-2</v>
      </c>
      <c r="S3833">
        <v>-3.0088200000000001</v>
      </c>
      <c r="T3833">
        <v>-0.1958627</v>
      </c>
      <c r="U3833">
        <v>-1.049164</v>
      </c>
      <c r="V3833">
        <v>-0.1188403</v>
      </c>
      <c r="W3833">
        <v>0.1834935</v>
      </c>
      <c r="X3833">
        <v>0.97581099999999998</v>
      </c>
      <c r="Y3833">
        <v>-0.36083270000000001</v>
      </c>
      <c r="Z3833">
        <v>-1.5518809999999999E-2</v>
      </c>
      <c r="AA3833">
        <v>0.93250140000000004</v>
      </c>
      <c r="AB3833">
        <v>33</v>
      </c>
      <c r="AC3833">
        <v>-16.875900000000001</v>
      </c>
      <c r="AD3833">
        <v>-1.1207857603310001</v>
      </c>
      <c r="AE3833">
        <v>-6.0155000000000003</v>
      </c>
      <c r="AF3833">
        <v>-6.5696840800821397</v>
      </c>
      <c r="AG3833">
        <v>-1.1207857603310001</v>
      </c>
      <c r="AH3833">
        <v>16.5928852838646</v>
      </c>
      <c r="AI3833">
        <v>93.593610631413895</v>
      </c>
      <c r="AJ3833">
        <v>111.600286715903</v>
      </c>
      <c r="AK3833">
        <v>17.881296140831999</v>
      </c>
      <c r="AL3833">
        <v>79.426687114773998</v>
      </c>
      <c r="AM3833">
        <v>96.943640128536401</v>
      </c>
      <c r="AN3833">
        <v>0.99999999458366895</v>
      </c>
    </row>
    <row r="3834" spans="1:40" x14ac:dyDescent="0.25">
      <c r="A3834" t="str">
        <f>"20190303162628753"</f>
        <v>20190303162628753</v>
      </c>
      <c r="B3834" t="str">
        <f>"1551601588747242"</f>
        <v>1551601588747242</v>
      </c>
      <c r="C3834" t="s">
        <v>40</v>
      </c>
      <c r="D3834">
        <v>4.8803190000000001</v>
      </c>
      <c r="E3834">
        <v>0.4266278</v>
      </c>
      <c r="F3834" t="s">
        <v>47</v>
      </c>
      <c r="G3834">
        <v>-401.02600000000001</v>
      </c>
      <c r="H3834" s="1">
        <v>-3.919817E-6</v>
      </c>
      <c r="I3834">
        <v>135.7756</v>
      </c>
      <c r="J3834">
        <v>-384.14319999999998</v>
      </c>
      <c r="K3834">
        <v>1.1207769999999999</v>
      </c>
      <c r="L3834">
        <v>141.8724</v>
      </c>
      <c r="M3834">
        <v>-0.99931289999999995</v>
      </c>
      <c r="N3834">
        <v>-1.270484E-2</v>
      </c>
      <c r="O3834">
        <v>3.482039E-2</v>
      </c>
      <c r="P3834">
        <v>-0.98065639999999998</v>
      </c>
      <c r="Q3834">
        <v>0.17128460000000001</v>
      </c>
      <c r="R3834">
        <v>-9.4734570000000004E-2</v>
      </c>
      <c r="S3834">
        <v>-2.9984440000000001</v>
      </c>
      <c r="T3834">
        <v>-0.19515589999999999</v>
      </c>
      <c r="U3834">
        <v>-1.0595399999999999</v>
      </c>
      <c r="V3834">
        <v>-0.12872519999999901</v>
      </c>
      <c r="W3834">
        <v>0.18375130000000001</v>
      </c>
      <c r="X3834">
        <v>0.97450769999999998</v>
      </c>
      <c r="Y3834">
        <v>-0.3649269</v>
      </c>
      <c r="Z3834">
        <v>-1.5676510000000001E-2</v>
      </c>
      <c r="AA3834">
        <v>0.93090419999999996</v>
      </c>
      <c r="AB3834">
        <v>33</v>
      </c>
      <c r="AC3834">
        <v>-16.8828</v>
      </c>
      <c r="AD3834">
        <v>-1.120780919817</v>
      </c>
      <c r="AE3834">
        <v>-6.0968</v>
      </c>
      <c r="AF3834">
        <v>-6.6550694149239904</v>
      </c>
      <c r="AG3834">
        <v>-1.120780919817</v>
      </c>
      <c r="AH3834">
        <v>16.595549805523799</v>
      </c>
      <c r="AI3834">
        <v>93.586763163505907</v>
      </c>
      <c r="AJ3834">
        <v>111.851540639636</v>
      </c>
      <c r="AK3834">
        <v>17.915311109085</v>
      </c>
      <c r="AL3834">
        <v>79.411660690166499</v>
      </c>
      <c r="AM3834">
        <v>97.524781765064702</v>
      </c>
      <c r="AN3834">
        <v>0.99999998736300899</v>
      </c>
    </row>
    <row r="3835" spans="1:40" x14ac:dyDescent="0.25">
      <c r="A3835" t="str">
        <f>"20190303162628774"</f>
        <v>20190303162628774</v>
      </c>
      <c r="B3835" t="str">
        <f>"1551601588767739"</f>
        <v>1551601588767739</v>
      </c>
      <c r="C3835" t="s">
        <v>40</v>
      </c>
      <c r="D3835">
        <v>4.8459009999999996</v>
      </c>
      <c r="E3835">
        <v>0.43749399999999999</v>
      </c>
      <c r="F3835" t="s">
        <v>47</v>
      </c>
      <c r="G3835">
        <v>-401.7792</v>
      </c>
      <c r="H3835" s="1">
        <v>-4.8651880000000001E-6</v>
      </c>
      <c r="I3835">
        <v>136.85380000000001</v>
      </c>
      <c r="J3835">
        <v>-384.46379999999999</v>
      </c>
      <c r="K3835">
        <v>1.120765</v>
      </c>
      <c r="L3835">
        <v>141.88390000000001</v>
      </c>
      <c r="M3835">
        <v>-0.99930370000000002</v>
      </c>
      <c r="N3835">
        <v>-1.270136E-2</v>
      </c>
      <c r="O3835">
        <v>3.5084740000000003E-2</v>
      </c>
      <c r="P3835">
        <v>-0.97983439999999999</v>
      </c>
      <c r="Q3835">
        <v>0.17164960000000001</v>
      </c>
      <c r="R3835">
        <v>-0.10228</v>
      </c>
      <c r="S3835">
        <v>-3.009827</v>
      </c>
      <c r="T3835">
        <v>-0.19127630000000001</v>
      </c>
      <c r="U3835">
        <v>-0.85649109999999995</v>
      </c>
      <c r="V3835">
        <v>-0.13648779999999999</v>
      </c>
      <c r="W3835">
        <v>0.18410850000000001</v>
      </c>
      <c r="X3835">
        <v>0.97338340000000001</v>
      </c>
      <c r="Y3835">
        <v>-0.3065408</v>
      </c>
      <c r="Z3835">
        <v>-1.3279050000000001E-2</v>
      </c>
      <c r="AA3835">
        <v>0.95176490000000002</v>
      </c>
      <c r="AB3835">
        <v>33</v>
      </c>
      <c r="AC3835">
        <v>-17.3154</v>
      </c>
      <c r="AD3835">
        <v>-1.120769865188</v>
      </c>
      <c r="AE3835">
        <v>-5.0301</v>
      </c>
      <c r="AF3835">
        <v>-5.6128725304663796</v>
      </c>
      <c r="AG3835">
        <v>-1.120769865188</v>
      </c>
      <c r="AH3835">
        <v>17.0623233904107</v>
      </c>
      <c r="AI3835">
        <v>93.5704741567166</v>
      </c>
      <c r="AJ3835">
        <v>108.209290946886</v>
      </c>
      <c r="AK3835">
        <v>17.9967592252865</v>
      </c>
      <c r="AL3835">
        <v>79.390840099891804</v>
      </c>
      <c r="AM3835">
        <v>97.9819716074186</v>
      </c>
      <c r="AN3835">
        <v>1.00000005135832</v>
      </c>
    </row>
    <row r="3836" spans="1:40" x14ac:dyDescent="0.25">
      <c r="A3836" t="str">
        <f>"20190303162628797"</f>
        <v>20190303162628797</v>
      </c>
      <c r="B3836" t="str">
        <f>"1551601588787259"</f>
        <v>1551601588787259</v>
      </c>
      <c r="C3836" t="s">
        <v>40</v>
      </c>
      <c r="D3836">
        <v>4.8871449999999896</v>
      </c>
      <c r="E3836">
        <v>0.44372909999999999</v>
      </c>
      <c r="F3836" t="s">
        <v>47</v>
      </c>
      <c r="G3836">
        <v>-403.24509999999998</v>
      </c>
      <c r="H3836" s="1">
        <v>-5.5578590000000001E-6</v>
      </c>
      <c r="I3836">
        <v>136.9451</v>
      </c>
      <c r="J3836">
        <v>-384.79649999999998</v>
      </c>
      <c r="K3836">
        <v>1.1207309999999999</v>
      </c>
      <c r="L3836">
        <v>141.89580000000001</v>
      </c>
      <c r="M3836">
        <v>-0.99929239999999997</v>
      </c>
      <c r="N3836">
        <v>-1.269817E-2</v>
      </c>
      <c r="O3836">
        <v>3.540712E-2</v>
      </c>
      <c r="P3836">
        <v>-0.97941199999999995</v>
      </c>
      <c r="Q3836">
        <v>0.1702997</v>
      </c>
      <c r="R3836">
        <v>-0.1083993</v>
      </c>
      <c r="S3836">
        <v>-3.0105590000000002</v>
      </c>
      <c r="T3836">
        <v>-0.17965500000000001</v>
      </c>
      <c r="U3836">
        <v>-0.79165649999999999</v>
      </c>
      <c r="V3836">
        <v>-0.142890299999999</v>
      </c>
      <c r="W3836">
        <v>0.18276129999999999</v>
      </c>
      <c r="X3836">
        <v>0.97271819999999998</v>
      </c>
      <c r="Y3836">
        <v>-0.28777639999999999</v>
      </c>
      <c r="Z3836">
        <v>-1.1932E-2</v>
      </c>
      <c r="AA3836">
        <v>0.95762329999999996</v>
      </c>
      <c r="AB3836">
        <v>33</v>
      </c>
      <c r="AC3836">
        <v>-18.448599999999999</v>
      </c>
      <c r="AD3836">
        <v>-1.1207365578589901</v>
      </c>
      <c r="AE3836">
        <v>-4.9507000000000101</v>
      </c>
      <c r="AF3836">
        <v>-5.5816445633041498</v>
      </c>
      <c r="AG3836">
        <v>-1.1207365578589901</v>
      </c>
      <c r="AH3836">
        <v>18.1990749304384</v>
      </c>
      <c r="AI3836">
        <v>93.369413800088694</v>
      </c>
      <c r="AJ3836">
        <v>107.050742923629</v>
      </c>
      <c r="AK3836">
        <v>19.068747593559898</v>
      </c>
      <c r="AL3836">
        <v>79.469360933924804</v>
      </c>
      <c r="AM3836">
        <v>98.356863110702093</v>
      </c>
      <c r="AN3836">
        <v>1.0000000136115099</v>
      </c>
    </row>
    <row r="3837" spans="1:40" x14ac:dyDescent="0.25">
      <c r="A3837" t="str">
        <f>"20190303162628820"</f>
        <v>20190303162628820</v>
      </c>
      <c r="B3837" t="str">
        <f>"1551601588807756"</f>
        <v>1551601588807756</v>
      </c>
      <c r="C3837" t="s">
        <v>40</v>
      </c>
      <c r="D3837">
        <v>4.9343620000000001</v>
      </c>
      <c r="E3837">
        <v>0.44732670000000002</v>
      </c>
      <c r="F3837" t="s">
        <v>47</v>
      </c>
      <c r="G3837">
        <v>-405.2679</v>
      </c>
      <c r="H3837" s="1">
        <v>-6.425243E-6</v>
      </c>
      <c r="I3837">
        <v>136.72309999999999</v>
      </c>
      <c r="J3837">
        <v>-385.1277</v>
      </c>
      <c r="K3837">
        <v>1.1206739999999999</v>
      </c>
      <c r="L3837">
        <v>141.90790000000001</v>
      </c>
      <c r="M3837">
        <v>-0.99927849999999996</v>
      </c>
      <c r="N3837">
        <v>-1.269547E-2</v>
      </c>
      <c r="O3837">
        <v>3.5797280000000001E-2</v>
      </c>
      <c r="P3837">
        <v>-0.97907140000000004</v>
      </c>
      <c r="Q3837">
        <v>0.16783699999999999</v>
      </c>
      <c r="R3837">
        <v>-0.115109199999999</v>
      </c>
      <c r="S3837">
        <v>-3.007568</v>
      </c>
      <c r="T3837">
        <v>-0.16465399999999999</v>
      </c>
      <c r="U3837">
        <v>-0.75994869999999903</v>
      </c>
      <c r="V3837">
        <v>-0.14994689999999999</v>
      </c>
      <c r="W3837">
        <v>0.18030889999999999</v>
      </c>
      <c r="X3837">
        <v>0.97211349999999996</v>
      </c>
      <c r="Y3837">
        <v>-0.27901219999999999</v>
      </c>
      <c r="Z3837">
        <v>-1.079722E-2</v>
      </c>
      <c r="AA3837">
        <v>0.96022680000000005</v>
      </c>
      <c r="AB3837">
        <v>33</v>
      </c>
      <c r="AC3837">
        <v>-20.1402</v>
      </c>
      <c r="AD3837">
        <v>-1.120680425243</v>
      </c>
      <c r="AE3837">
        <v>-5.1848000000000196</v>
      </c>
      <c r="AF3837">
        <v>-5.8854087308602097</v>
      </c>
      <c r="AG3837">
        <v>-1.120680425243</v>
      </c>
      <c r="AH3837">
        <v>19.883933730459098</v>
      </c>
      <c r="AI3837">
        <v>93.093452406746295</v>
      </c>
      <c r="AJ3837">
        <v>106.488129367894</v>
      </c>
      <c r="AK3837">
        <v>20.766915542325901</v>
      </c>
      <c r="AL3837">
        <v>79.612247284615506</v>
      </c>
      <c r="AM3837">
        <v>98.768672035353305</v>
      </c>
      <c r="AN3837">
        <v>1.0000000145605299</v>
      </c>
    </row>
    <row r="3838" spans="1:40" x14ac:dyDescent="0.25">
      <c r="A3838" t="str">
        <f>"20190303162628843"</f>
        <v>20190303162628843</v>
      </c>
      <c r="B3838" t="str">
        <f>"1551601588837035"</f>
        <v>1551601588837035</v>
      </c>
      <c r="C3838" t="s">
        <v>40</v>
      </c>
      <c r="D3838">
        <v>4.7665259999999998</v>
      </c>
      <c r="E3838">
        <v>0.45090730000000001</v>
      </c>
      <c r="F3838" t="s">
        <v>47</v>
      </c>
      <c r="G3838">
        <v>-406.2604</v>
      </c>
      <c r="H3838" s="1">
        <v>-7.0543759999999999E-6</v>
      </c>
      <c r="I3838">
        <v>136.62049999999999</v>
      </c>
      <c r="J3838">
        <v>-385.47219999999999</v>
      </c>
      <c r="K3838">
        <v>1.120614</v>
      </c>
      <c r="L3838">
        <v>141.92070000000001</v>
      </c>
      <c r="M3838">
        <v>-0.99926130000000002</v>
      </c>
      <c r="N3838">
        <v>-1.2693050000000001E-2</v>
      </c>
      <c r="O3838">
        <v>3.6275420000000003E-2</v>
      </c>
      <c r="P3838">
        <v>-0.97873500000000002</v>
      </c>
      <c r="Q3838">
        <v>0.16490060000000001</v>
      </c>
      <c r="R3838">
        <v>-0.12200660000000001</v>
      </c>
      <c r="S3838">
        <v>-3.0031129999999999</v>
      </c>
      <c r="T3838">
        <v>-0.15925690000000001</v>
      </c>
      <c r="U3838">
        <v>-0.75137330000000002</v>
      </c>
      <c r="V3838">
        <v>-0.1572731</v>
      </c>
      <c r="W3838">
        <v>0.1773884</v>
      </c>
      <c r="X3838">
        <v>0.97149289999999999</v>
      </c>
      <c r="Y3838">
        <v>-0.27726269999999997</v>
      </c>
      <c r="Z3838">
        <v>-1.04654E-2</v>
      </c>
      <c r="AA3838">
        <v>0.96073719999999996</v>
      </c>
      <c r="AB3838">
        <v>33</v>
      </c>
      <c r="AC3838">
        <v>-20.7882</v>
      </c>
      <c r="AD3838">
        <v>-1.120621054376</v>
      </c>
      <c r="AE3838">
        <v>-5.30020000000001</v>
      </c>
      <c r="AF3838">
        <v>-6.0344072055968896</v>
      </c>
      <c r="AG3838">
        <v>-1.120621054376</v>
      </c>
      <c r="AH3838">
        <v>20.526226347316801</v>
      </c>
      <c r="AI3838">
        <v>92.998301307724404</v>
      </c>
      <c r="AJ3838">
        <v>106.38255676874201</v>
      </c>
      <c r="AK3838">
        <v>21.424187964348899</v>
      </c>
      <c r="AL3838">
        <v>79.782321327972596</v>
      </c>
      <c r="AM3838">
        <v>99.1957233335594</v>
      </c>
      <c r="AN3838">
        <v>0.999999963594289</v>
      </c>
    </row>
    <row r="3839" spans="1:40" x14ac:dyDescent="0.25">
      <c r="A3839" t="str">
        <f>"20190303162628865"</f>
        <v>20190303162628865</v>
      </c>
      <c r="B3839" t="str">
        <f>"1551601588857531"</f>
        <v>1551601588857531</v>
      </c>
      <c r="C3839" t="s">
        <v>40</v>
      </c>
      <c r="D3839">
        <v>4.7685449999999996</v>
      </c>
      <c r="E3839">
        <v>0.45274720000000002</v>
      </c>
      <c r="F3839" t="s">
        <v>47</v>
      </c>
      <c r="G3839">
        <v>-406.83539999999999</v>
      </c>
      <c r="H3839" s="1">
        <v>-7.4271849999999996E-6</v>
      </c>
      <c r="I3839">
        <v>136.62780000000001</v>
      </c>
      <c r="J3839">
        <v>-385.79259999999999</v>
      </c>
      <c r="K3839">
        <v>1.120555</v>
      </c>
      <c r="L3839">
        <v>141.93270000000001</v>
      </c>
      <c r="M3839">
        <v>-0.99924329999999995</v>
      </c>
      <c r="N3839">
        <v>-1.2691040000000001E-2</v>
      </c>
      <c r="O3839">
        <v>3.6770570000000002E-2</v>
      </c>
      <c r="P3839">
        <v>-0.97853179999999995</v>
      </c>
      <c r="Q3839">
        <v>0.1611311</v>
      </c>
      <c r="R3839">
        <v>-0.12850159999999999</v>
      </c>
      <c r="S3839">
        <v>-2.9990540000000001</v>
      </c>
      <c r="T3839">
        <v>-0.15731729999999899</v>
      </c>
      <c r="U3839">
        <v>-0.74302669999999904</v>
      </c>
      <c r="V3839">
        <v>-0.1642219</v>
      </c>
      <c r="W3839">
        <v>0.17363619999999999</v>
      </c>
      <c r="X3839">
        <v>0.97102089999999996</v>
      </c>
      <c r="Y3839">
        <v>-0.27553879999999997</v>
      </c>
      <c r="Z3839">
        <v>-1.033207E-2</v>
      </c>
      <c r="AA3839">
        <v>0.96123449999999999</v>
      </c>
      <c r="AB3839">
        <v>33</v>
      </c>
      <c r="AC3839">
        <v>-21.0428</v>
      </c>
      <c r="AD3839">
        <v>-1.1205624271850001</v>
      </c>
      <c r="AE3839">
        <v>-5.3048999999999999</v>
      </c>
      <c r="AF3839">
        <v>-6.0589749438322897</v>
      </c>
      <c r="AG3839">
        <v>-1.1205624271850001</v>
      </c>
      <c r="AH3839">
        <v>20.778087168913601</v>
      </c>
      <c r="AI3839">
        <v>92.963767078832504</v>
      </c>
      <c r="AJ3839">
        <v>106.256899714403</v>
      </c>
      <c r="AK3839">
        <v>21.672465109492698</v>
      </c>
      <c r="AL3839">
        <v>80.000696606448003</v>
      </c>
      <c r="AM3839">
        <v>99.599197359313195</v>
      </c>
      <c r="AN3839">
        <v>0.99999997531342899</v>
      </c>
    </row>
    <row r="3840" spans="1:40" x14ac:dyDescent="0.25">
      <c r="A3840" t="str">
        <f>"20190303162628886"</f>
        <v>20190303162628886</v>
      </c>
      <c r="B3840" t="str">
        <f>"1551601588877051"</f>
        <v>1551601588877051</v>
      </c>
      <c r="C3840" t="s">
        <v>40</v>
      </c>
      <c r="D3840">
        <v>4.7229729999999996</v>
      </c>
      <c r="E3840">
        <v>0.45423160000000001</v>
      </c>
      <c r="F3840" t="s">
        <v>47</v>
      </c>
      <c r="G3840">
        <v>-405.9171</v>
      </c>
      <c r="H3840" s="1">
        <v>-6.9583190000000003E-6</v>
      </c>
      <c r="I3840">
        <v>136.91630000000001</v>
      </c>
      <c r="J3840">
        <v>-386.1146</v>
      </c>
      <c r="K3840">
        <v>1.120501</v>
      </c>
      <c r="L3840">
        <v>141.9451</v>
      </c>
      <c r="M3840">
        <v>-0.99922350000000004</v>
      </c>
      <c r="N3840">
        <v>-1.268915E-2</v>
      </c>
      <c r="O3840">
        <v>3.73053E-2</v>
      </c>
      <c r="P3840">
        <v>-0.9783695</v>
      </c>
      <c r="Q3840">
        <v>0.157609</v>
      </c>
      <c r="R3840">
        <v>-0.13398669999999999</v>
      </c>
      <c r="S3840">
        <v>-2.9952700000000001</v>
      </c>
      <c r="T3840">
        <v>-0.1667814</v>
      </c>
      <c r="U3840">
        <v>-0.74662779999999995</v>
      </c>
      <c r="V3840">
        <v>-0.170205299999999</v>
      </c>
      <c r="W3840">
        <v>0.17012920000000001</v>
      </c>
      <c r="X3840">
        <v>0.97061129999999995</v>
      </c>
      <c r="Y3840">
        <v>-0.27736529999999998</v>
      </c>
      <c r="Z3840">
        <v>-1.096889E-2</v>
      </c>
      <c r="AA3840">
        <v>0.9607019</v>
      </c>
      <c r="AB3840">
        <v>33</v>
      </c>
      <c r="AC3840">
        <v>-19.802499999999998</v>
      </c>
      <c r="AD3840">
        <v>-1.1205079583190001</v>
      </c>
      <c r="AE3840">
        <v>-5.0287999999999897</v>
      </c>
      <c r="AF3840">
        <v>-5.7468112970615204</v>
      </c>
      <c r="AG3840">
        <v>-1.1205079583190001</v>
      </c>
      <c r="AH3840">
        <v>19.542318270418502</v>
      </c>
      <c r="AI3840">
        <v>93.148572591765998</v>
      </c>
      <c r="AJ3840">
        <v>106.387032439227</v>
      </c>
      <c r="AK3840">
        <v>20.4005779710042</v>
      </c>
      <c r="AL3840">
        <v>80.204669318074096</v>
      </c>
      <c r="AM3840">
        <v>99.946194990520993</v>
      </c>
      <c r="AN3840">
        <v>1.0000000422641999</v>
      </c>
    </row>
    <row r="3841" spans="1:40" x14ac:dyDescent="0.25">
      <c r="A3841" t="str">
        <f>"20190303162628908"</f>
        <v>20190303162628908</v>
      </c>
      <c r="B3841" t="str">
        <f>"1551601588897547"</f>
        <v>1551601588897547</v>
      </c>
      <c r="C3841" t="s">
        <v>40</v>
      </c>
      <c r="D3841">
        <v>4.6806039999999998</v>
      </c>
      <c r="E3841">
        <v>0.45554299999999998</v>
      </c>
      <c r="F3841" t="s">
        <v>47</v>
      </c>
      <c r="G3841">
        <v>-405.44</v>
      </c>
      <c r="H3841" s="1">
        <v>-6.7159600000000003E-6</v>
      </c>
      <c r="I3841">
        <v>137.0943</v>
      </c>
      <c r="J3841">
        <v>-386.43349999999998</v>
      </c>
      <c r="K3841">
        <v>1.120449</v>
      </c>
      <c r="L3841">
        <v>141.95750000000001</v>
      </c>
      <c r="M3841">
        <v>-0.99920249999999999</v>
      </c>
      <c r="N3841">
        <v>-1.268727E-2</v>
      </c>
      <c r="O3841">
        <v>3.786138E-2</v>
      </c>
      <c r="P3841">
        <v>-0.97835899999999998</v>
      </c>
      <c r="Q3841">
        <v>0.1534884</v>
      </c>
      <c r="R3841">
        <v>-0.138763</v>
      </c>
      <c r="S3841">
        <v>-2.991425</v>
      </c>
      <c r="T3841">
        <v>-0.17344560000000001</v>
      </c>
      <c r="U3841">
        <v>-0.75086980000000003</v>
      </c>
      <c r="V3841">
        <v>-0.17551249999999999</v>
      </c>
      <c r="W3841">
        <v>0.166020899999999</v>
      </c>
      <c r="X3841">
        <v>0.97037739999999995</v>
      </c>
      <c r="Y3841">
        <v>-0.27942499999999998</v>
      </c>
      <c r="Z3841">
        <v>-1.1461839999999999E-2</v>
      </c>
      <c r="AA3841">
        <v>0.96009909999999998</v>
      </c>
      <c r="AB3841">
        <v>33</v>
      </c>
      <c r="AC3841">
        <v>-19.006499999999999</v>
      </c>
      <c r="AD3841">
        <v>-1.1204557159599999</v>
      </c>
      <c r="AE3841">
        <v>-4.8632</v>
      </c>
      <c r="AF3841">
        <v>-5.5612436319450804</v>
      </c>
      <c r="AG3841">
        <v>-1.1204557159599999</v>
      </c>
      <c r="AH3841">
        <v>18.7475789089223</v>
      </c>
      <c r="AI3841">
        <v>93.279323659190396</v>
      </c>
      <c r="AJ3841">
        <v>106.522355894764</v>
      </c>
      <c r="AK3841">
        <v>19.587102049347301</v>
      </c>
      <c r="AL3841">
        <v>80.443453646959597</v>
      </c>
      <c r="AM3841">
        <v>100.252268767845</v>
      </c>
      <c r="AN3841">
        <v>0.99999993766190798</v>
      </c>
    </row>
    <row r="3842" spans="1:40" x14ac:dyDescent="0.25">
      <c r="A3842" t="str">
        <f>"20190303162628931"</f>
        <v>20190303162628931</v>
      </c>
      <c r="B3842" t="str">
        <f>"1551601588927803"</f>
        <v>1551601588927803</v>
      </c>
      <c r="C3842" t="s">
        <v>40</v>
      </c>
      <c r="D3842">
        <v>4.6909589999999897</v>
      </c>
      <c r="E3842">
        <v>0.46773569999999998</v>
      </c>
      <c r="F3842" t="s">
        <v>47</v>
      </c>
      <c r="G3842">
        <v>-404.98009999999999</v>
      </c>
      <c r="H3842" s="1">
        <v>-6.4858800000000003E-6</v>
      </c>
      <c r="I3842">
        <v>137.27340000000001</v>
      </c>
      <c r="J3842">
        <v>-386.77080000000001</v>
      </c>
      <c r="K3842">
        <v>1.1204130000000001</v>
      </c>
      <c r="L3842">
        <v>141.9709</v>
      </c>
      <c r="M3842">
        <v>-0.99917940000000005</v>
      </c>
      <c r="N3842">
        <v>-1.2685439999999999E-2</v>
      </c>
      <c r="O3842">
        <v>3.8466930000000003E-2</v>
      </c>
      <c r="P3842">
        <v>-0.97817430000000005</v>
      </c>
      <c r="Q3842">
        <v>0.1504394</v>
      </c>
      <c r="R3842">
        <v>-0.14332890000000001</v>
      </c>
      <c r="S3842">
        <v>-2.9876399999999999</v>
      </c>
      <c r="T3842">
        <v>-0.1804924</v>
      </c>
      <c r="U3842">
        <v>-0.75456239999999997</v>
      </c>
      <c r="V3842">
        <v>-0.18065249999999999</v>
      </c>
      <c r="W3842">
        <v>0.16297970000000001</v>
      </c>
      <c r="X3842">
        <v>0.96994959999999997</v>
      </c>
      <c r="Y3842">
        <v>-0.28135850000000001</v>
      </c>
      <c r="Z3842">
        <v>-1.1983010000000001E-2</v>
      </c>
      <c r="AA3842">
        <v>0.95952789999999999</v>
      </c>
      <c r="AB3842">
        <v>33</v>
      </c>
      <c r="AC3842">
        <v>-18.209299999999899</v>
      </c>
      <c r="AD3842">
        <v>-1.1204194858799901</v>
      </c>
      <c r="AE3842">
        <v>-4.69749999999999</v>
      </c>
      <c r="AF3842">
        <v>-5.3754535619212396</v>
      </c>
      <c r="AG3842">
        <v>-1.1204194858799901</v>
      </c>
      <c r="AH3842">
        <v>17.951385389536899</v>
      </c>
      <c r="AI3842">
        <v>93.421697552081397</v>
      </c>
      <c r="AJ3842">
        <v>106.670069063887</v>
      </c>
      <c r="AK3842">
        <v>18.772402036617201</v>
      </c>
      <c r="AL3842">
        <v>80.620108498899</v>
      </c>
      <c r="AM3842">
        <v>100.550417288343</v>
      </c>
      <c r="AN3842">
        <v>0.99999996745424902</v>
      </c>
    </row>
    <row r="3843" spans="1:40" x14ac:dyDescent="0.25">
      <c r="A3843" t="str">
        <f>"20190303162628954"</f>
        <v>20190303162628954</v>
      </c>
      <c r="B3843" t="str">
        <f>"1551601588947323"</f>
        <v>1551601588947323</v>
      </c>
      <c r="C3843" t="s">
        <v>40</v>
      </c>
      <c r="D3843">
        <v>4.6371339999999996</v>
      </c>
      <c r="E3843">
        <v>0.46698339999999999</v>
      </c>
      <c r="F3843" t="s">
        <v>47</v>
      </c>
      <c r="G3843">
        <v>-410.72710000000001</v>
      </c>
      <c r="H3843" s="1">
        <v>-9.2835489999999992E-6</v>
      </c>
      <c r="I3843">
        <v>136.58240000000001</v>
      </c>
      <c r="J3843">
        <v>-387.1026</v>
      </c>
      <c r="K3843">
        <v>1.120395</v>
      </c>
      <c r="L3843">
        <v>141.98429999999999</v>
      </c>
      <c r="M3843">
        <v>-0.99915589999999999</v>
      </c>
      <c r="N3843">
        <v>-1.2683760000000001E-2</v>
      </c>
      <c r="O3843">
        <v>3.9071719999999997E-2</v>
      </c>
      <c r="P3843">
        <v>-0.97763739999999999</v>
      </c>
      <c r="Q3843">
        <v>0.14833260000000001</v>
      </c>
      <c r="R3843">
        <v>-0.14907129999999999</v>
      </c>
      <c r="S3843">
        <v>-2.9898989999999999</v>
      </c>
      <c r="T3843">
        <v>-0.13983579999999901</v>
      </c>
      <c r="U3843">
        <v>-0.67251590000000006</v>
      </c>
      <c r="V3843">
        <v>-0.18695580000000001</v>
      </c>
      <c r="W3843">
        <v>0.1608735</v>
      </c>
      <c r="X3843">
        <v>0.96910640000000003</v>
      </c>
      <c r="Y3843">
        <v>-0.25703609999999999</v>
      </c>
      <c r="Z3843">
        <v>-8.901427E-3</v>
      </c>
      <c r="AA3843">
        <v>0.96636080000000002</v>
      </c>
      <c r="AB3843">
        <v>33</v>
      </c>
      <c r="AC3843">
        <v>-23.624500000000001</v>
      </c>
      <c r="AD3843">
        <v>-1.120404283549</v>
      </c>
      <c r="AE3843">
        <v>-5.4018999999999799</v>
      </c>
      <c r="AF3843">
        <v>-6.3074169595969698</v>
      </c>
      <c r="AG3843">
        <v>-1.120404283549</v>
      </c>
      <c r="AH3843">
        <v>23.345479865193902</v>
      </c>
      <c r="AI3843">
        <v>92.652681633943601</v>
      </c>
      <c r="AJ3843">
        <v>105.119038982158</v>
      </c>
      <c r="AK3843">
        <v>24.208474644160901</v>
      </c>
      <c r="AL3843">
        <v>80.742398944946899</v>
      </c>
      <c r="AM3843">
        <v>100.91911490693499</v>
      </c>
      <c r="AN3843">
        <v>0.99999998433842496</v>
      </c>
    </row>
    <row r="3844" spans="1:40" x14ac:dyDescent="0.25">
      <c r="A3844" t="str">
        <f>"20190303162628976"</f>
        <v>20190303162628976</v>
      </c>
      <c r="B3844" t="str">
        <f>"1551601588967819"</f>
        <v>1551601588967819</v>
      </c>
      <c r="C3844" t="s">
        <v>40</v>
      </c>
      <c r="D3844">
        <v>4.6331360000000004</v>
      </c>
      <c r="E3844">
        <v>0.46734320000000001</v>
      </c>
      <c r="F3844" t="s">
        <v>47</v>
      </c>
      <c r="G3844">
        <v>-411.18360000000001</v>
      </c>
      <c r="H3844" s="1">
        <v>-9.1523299999999992E-6</v>
      </c>
      <c r="I3844">
        <v>136.374</v>
      </c>
      <c r="J3844">
        <v>-387.43239999999997</v>
      </c>
      <c r="K3844">
        <v>1.120384</v>
      </c>
      <c r="L3844">
        <v>141.99780000000001</v>
      </c>
      <c r="M3844">
        <v>-0.99913229999999997</v>
      </c>
      <c r="N3844">
        <v>-1.268202E-2</v>
      </c>
      <c r="O3844">
        <v>3.9674889999999997E-2</v>
      </c>
      <c r="P3844">
        <v>-0.97672179999999997</v>
      </c>
      <c r="Q3844">
        <v>0.1485872</v>
      </c>
      <c r="R3844">
        <v>-0.15471550000000001</v>
      </c>
      <c r="S3844">
        <v>-2.9837039999999999</v>
      </c>
      <c r="T3844">
        <v>-0.1388209</v>
      </c>
      <c r="U3844">
        <v>-0.69512940000000001</v>
      </c>
      <c r="V3844">
        <v>-0.19314219999999999</v>
      </c>
      <c r="W3844">
        <v>0.16112199999999999</v>
      </c>
      <c r="X3844">
        <v>0.96785109999999996</v>
      </c>
      <c r="Y3844">
        <v>-0.2649919</v>
      </c>
      <c r="Z3844">
        <v>-9.110089E-3</v>
      </c>
      <c r="AA3844">
        <v>0.96420760000000005</v>
      </c>
      <c r="AB3844">
        <v>33</v>
      </c>
      <c r="AC3844">
        <v>-23.751200000000001</v>
      </c>
      <c r="AD3844">
        <v>-1.1203931523299999</v>
      </c>
      <c r="AE3844">
        <v>-5.6238000000000099</v>
      </c>
      <c r="AF3844">
        <v>-6.5479761894207398</v>
      </c>
      <c r="AG3844">
        <v>-1.1203931523299999</v>
      </c>
      <c r="AH3844">
        <v>23.459922990858299</v>
      </c>
      <c r="AI3844">
        <v>92.633724674592301</v>
      </c>
      <c r="AJ3844">
        <v>105.59512417213401</v>
      </c>
      <c r="AK3844">
        <v>24.382355500033398</v>
      </c>
      <c r="AL3844">
        <v>80.727972710265803</v>
      </c>
      <c r="AM3844">
        <v>101.285566615506</v>
      </c>
      <c r="AN3844">
        <v>0.99999998003802404</v>
      </c>
    </row>
    <row r="3845" spans="1:40" x14ac:dyDescent="0.25">
      <c r="A3845" t="str">
        <f>"20190303162628997"</f>
        <v>20190303162628997</v>
      </c>
      <c r="B3845" t="str">
        <f>"1551601588987338"</f>
        <v>1551601588987338</v>
      </c>
      <c r="C3845" t="s">
        <v>40</v>
      </c>
      <c r="D3845">
        <v>4.6345039999999997</v>
      </c>
      <c r="E3845">
        <v>0.46785949999999998</v>
      </c>
      <c r="F3845" t="s">
        <v>47</v>
      </c>
      <c r="G3845">
        <v>-412.8664</v>
      </c>
      <c r="H3845" s="1">
        <v>-8.8159180000000007E-6</v>
      </c>
      <c r="I3845">
        <v>135.9425</v>
      </c>
      <c r="J3845">
        <v>-387.74630000000002</v>
      </c>
      <c r="K3845">
        <v>1.120371</v>
      </c>
      <c r="L3845">
        <v>142.01079999999999</v>
      </c>
      <c r="M3845">
        <v>-0.99910940000000004</v>
      </c>
      <c r="N3845">
        <v>-1.2680729999999999E-2</v>
      </c>
      <c r="O3845">
        <v>4.0247789999999999E-2</v>
      </c>
      <c r="P3845">
        <v>-0.97622819999999999</v>
      </c>
      <c r="Q3845">
        <v>0.1487097</v>
      </c>
      <c r="R3845">
        <v>-0.15768480000000001</v>
      </c>
      <c r="S3845">
        <v>-2.9791259999999999</v>
      </c>
      <c r="T3845">
        <v>-0.13123309999999999</v>
      </c>
      <c r="U3845">
        <v>-0.70925899999999997</v>
      </c>
      <c r="V3845">
        <v>-0.1966427</v>
      </c>
      <c r="W3845">
        <v>0.16124059999999901</v>
      </c>
      <c r="X3845">
        <v>0.96712620000000005</v>
      </c>
      <c r="Y3845">
        <v>-0.27022990000000002</v>
      </c>
      <c r="Z3845">
        <v>-8.8519659999999993E-3</v>
      </c>
      <c r="AA3845">
        <v>0.96275509999999997</v>
      </c>
      <c r="AB3845">
        <v>33</v>
      </c>
      <c r="AC3845">
        <v>-25.120099999999901</v>
      </c>
      <c r="AD3845">
        <v>-1.1203798159180001</v>
      </c>
      <c r="AE3845">
        <v>-6.06829999999999</v>
      </c>
      <c r="AF3845">
        <v>-7.0612199387490202</v>
      </c>
      <c r="AG3845">
        <v>-1.1203798159180001</v>
      </c>
      <c r="AH3845">
        <v>24.8088576977492</v>
      </c>
      <c r="AI3845">
        <v>92.487099248947302</v>
      </c>
      <c r="AJ3845">
        <v>105.88767561040299</v>
      </c>
      <c r="AK3845">
        <v>25.818510766937599</v>
      </c>
      <c r="AL3845">
        <v>80.7210874470817</v>
      </c>
      <c r="AM3845">
        <v>101.49309644895099</v>
      </c>
      <c r="AN3845">
        <v>0.99999998463904405</v>
      </c>
    </row>
    <row r="3846" spans="1:40" x14ac:dyDescent="0.25">
      <c r="A3846" t="str">
        <f>"20190303162629020"</f>
        <v>20190303162629020</v>
      </c>
      <c r="B3846" t="str">
        <f>"1551601589017595"</f>
        <v>1551601589017595</v>
      </c>
      <c r="C3846" t="s">
        <v>40</v>
      </c>
      <c r="D3846">
        <v>4.6485409999999998</v>
      </c>
      <c r="E3846">
        <v>0.46872140000000001</v>
      </c>
      <c r="F3846" t="s">
        <v>47</v>
      </c>
      <c r="G3846">
        <v>-415.30650000000003</v>
      </c>
      <c r="H3846" s="1">
        <v>-8.3542730000000001E-6</v>
      </c>
      <c r="I3846">
        <v>135.3768</v>
      </c>
      <c r="J3846">
        <v>-388.07650000000001</v>
      </c>
      <c r="K3846">
        <v>1.120363</v>
      </c>
      <c r="L3846">
        <v>142.0247</v>
      </c>
      <c r="M3846">
        <v>-0.99908549999999996</v>
      </c>
      <c r="N3846">
        <v>-1.2679289999999999E-2</v>
      </c>
      <c r="O3846">
        <v>4.0836119999999997E-2</v>
      </c>
      <c r="P3846">
        <v>-0.97639039999999999</v>
      </c>
      <c r="Q3846">
        <v>0.14731469999999999</v>
      </c>
      <c r="R3846">
        <v>-0.1579874</v>
      </c>
      <c r="S3846">
        <v>-2.9757389999999999</v>
      </c>
      <c r="T3846">
        <v>-0.1209697</v>
      </c>
      <c r="U3846">
        <v>-0.71629330000000002</v>
      </c>
      <c r="V3846">
        <v>-0.19752549999999999</v>
      </c>
      <c r="W3846">
        <v>0.15984509999999999</v>
      </c>
      <c r="X3846">
        <v>0.96717799999999998</v>
      </c>
      <c r="Y3846">
        <v>-0.27323799999999998</v>
      </c>
      <c r="Z3846">
        <v>-8.3589110000000001E-3</v>
      </c>
      <c r="AA3846">
        <v>0.96191009999999999</v>
      </c>
      <c r="AB3846">
        <v>33</v>
      </c>
      <c r="AC3846">
        <v>-27.23</v>
      </c>
      <c r="AD3846">
        <v>-1.1203713542730001</v>
      </c>
      <c r="AE3846">
        <v>-6.6478999999999902</v>
      </c>
      <c r="AF3846">
        <v>-7.7420414758966301</v>
      </c>
      <c r="AG3846">
        <v>-1.1203713542730001</v>
      </c>
      <c r="AH3846">
        <v>26.892820747843199</v>
      </c>
      <c r="AI3846">
        <v>92.292591511290098</v>
      </c>
      <c r="AJ3846">
        <v>106.060319487206</v>
      </c>
      <c r="AK3846">
        <v>28.007467682059499</v>
      </c>
      <c r="AL3846">
        <v>80.802094902284196</v>
      </c>
      <c r="AM3846">
        <v>101.54270952108</v>
      </c>
      <c r="AN3846">
        <v>1.00000003141412</v>
      </c>
    </row>
    <row r="3847" spans="1:40" x14ac:dyDescent="0.25">
      <c r="A3847" t="str">
        <f>"20190303162629043"</f>
        <v>20190303162629043</v>
      </c>
      <c r="B3847" t="str">
        <f>"1551601589037115"</f>
        <v>1551601589037115</v>
      </c>
      <c r="C3847" t="s">
        <v>40</v>
      </c>
      <c r="D3847">
        <v>4.6307989999999997</v>
      </c>
      <c r="E3847">
        <v>0.46934880000000001</v>
      </c>
      <c r="F3847" t="s">
        <v>47</v>
      </c>
      <c r="G3847">
        <v>-416.94150000000002</v>
      </c>
      <c r="H3847" s="1">
        <v>-8.1362729999999998E-6</v>
      </c>
      <c r="I3847">
        <v>135.1046</v>
      </c>
      <c r="J3847">
        <v>-388.42430000000002</v>
      </c>
      <c r="K3847">
        <v>1.12036</v>
      </c>
      <c r="L3847">
        <v>142.03960000000001</v>
      </c>
      <c r="M3847">
        <v>-0.9990618</v>
      </c>
      <c r="N3847">
        <v>-1.267765E-2</v>
      </c>
      <c r="O3847">
        <v>4.1409170000000002E-2</v>
      </c>
      <c r="P3847">
        <v>-0.9770141</v>
      </c>
      <c r="Q3847">
        <v>0.1439145</v>
      </c>
      <c r="R3847">
        <v>-0.157264299999999</v>
      </c>
      <c r="S3847">
        <v>-2.974548</v>
      </c>
      <c r="T3847">
        <v>-0.11545469999999999</v>
      </c>
      <c r="U3847">
        <v>-0.71311950000000002</v>
      </c>
      <c r="V3847">
        <v>-0.19739599999999999</v>
      </c>
      <c r="W3847">
        <v>0.156441</v>
      </c>
      <c r="X3847">
        <v>0.96776090000000003</v>
      </c>
      <c r="Y3847">
        <v>-0.27293089999999998</v>
      </c>
      <c r="Z3847">
        <v>-8.0448889999999995E-3</v>
      </c>
      <c r="AA3847">
        <v>0.96199999999999997</v>
      </c>
      <c r="AB3847">
        <v>33</v>
      </c>
      <c r="AC3847">
        <v>-28.517199999999999</v>
      </c>
      <c r="AD3847">
        <v>-1.120368136273</v>
      </c>
      <c r="AE3847">
        <v>-6.9349999999999996</v>
      </c>
      <c r="AF3847">
        <v>-8.0982175567488497</v>
      </c>
      <c r="AG3847">
        <v>-1.120368136273</v>
      </c>
      <c r="AH3847">
        <v>28.164495750235101</v>
      </c>
      <c r="AI3847">
        <v>92.189378603747699</v>
      </c>
      <c r="AJ3847">
        <v>106.041681432693</v>
      </c>
      <c r="AK3847">
        <v>29.327038262024001</v>
      </c>
      <c r="AL3847">
        <v>80.999621482587898</v>
      </c>
      <c r="AM3847">
        <v>101.52858301633</v>
      </c>
      <c r="AN3847">
        <v>1.0000000634329</v>
      </c>
    </row>
    <row r="3848" spans="1:40" x14ac:dyDescent="0.25">
      <c r="A3848" t="str">
        <f>"20190303162629087"</f>
        <v>20190303162629087</v>
      </c>
      <c r="B3848" t="str">
        <f>"1551601589077132"</f>
        <v>1551601589077132</v>
      </c>
      <c r="C3848" t="s">
        <v>40</v>
      </c>
      <c r="D3848">
        <v>4.612457</v>
      </c>
      <c r="E3848">
        <v>0.47122399999999998</v>
      </c>
      <c r="F3848" t="s">
        <v>47</v>
      </c>
      <c r="G3848">
        <v>-415.86239999999998</v>
      </c>
      <c r="H3848" s="1">
        <v>-8.3654710000000005E-6</v>
      </c>
      <c r="I3848">
        <v>135.5136</v>
      </c>
      <c r="J3848">
        <v>-389.0634</v>
      </c>
      <c r="K3848">
        <v>1.1204099999999999</v>
      </c>
      <c r="L3848">
        <v>142.06720000000001</v>
      </c>
      <c r="M3848">
        <v>-0.99902559999999996</v>
      </c>
      <c r="N3848">
        <v>-1.2674619999999999E-2</v>
      </c>
      <c r="O3848">
        <v>4.227699E-2</v>
      </c>
      <c r="P3848">
        <v>-0.97834739999999998</v>
      </c>
      <c r="Q3848">
        <v>0.13479739999999901</v>
      </c>
      <c r="R3848">
        <v>-0.15705459999999999</v>
      </c>
      <c r="S3848">
        <v>-2.9745789999999999</v>
      </c>
      <c r="T3848">
        <v>-0.121459999999999</v>
      </c>
      <c r="U3848">
        <v>-0.70748900000000003</v>
      </c>
      <c r="V3848">
        <v>-0.19812979999999999</v>
      </c>
      <c r="W3848">
        <v>0.14729249999999999</v>
      </c>
      <c r="X3848">
        <v>0.96904570000000001</v>
      </c>
      <c r="Y3848">
        <v>-0.27201560000000002</v>
      </c>
      <c r="Z3848">
        <v>-8.3992990000000007E-3</v>
      </c>
      <c r="AA3848">
        <v>0.96225620000000001</v>
      </c>
      <c r="AB3848">
        <v>33</v>
      </c>
      <c r="AC3848">
        <v>-26.7989999999999</v>
      </c>
      <c r="AD3848">
        <v>-1.1204183654709901</v>
      </c>
      <c r="AE3848">
        <v>-6.5536000000000101</v>
      </c>
      <c r="AF3848">
        <v>-7.66816460320433</v>
      </c>
      <c r="AG3848">
        <v>-1.1204183654709901</v>
      </c>
      <c r="AH3848">
        <v>26.454316256173101</v>
      </c>
      <c r="AI3848">
        <v>92.329421134539402</v>
      </c>
      <c r="AJ3848">
        <v>106.164992347156</v>
      </c>
      <c r="AK3848">
        <v>27.5660467654893</v>
      </c>
      <c r="AL3848">
        <v>81.529944871652404</v>
      </c>
      <c r="AM3848">
        <v>101.555358293395</v>
      </c>
      <c r="AN3848">
        <v>1.0000000334463801</v>
      </c>
    </row>
    <row r="3849" spans="1:40" x14ac:dyDescent="0.25">
      <c r="A3849" t="str">
        <f>"20190303162629110"</f>
        <v>20190303162629110</v>
      </c>
      <c r="B3849" t="str">
        <f>"1551601589097627"</f>
        <v>1551601589097627</v>
      </c>
      <c r="C3849" t="s">
        <v>40</v>
      </c>
      <c r="D3849">
        <v>4.6375919999999997</v>
      </c>
      <c r="E3849">
        <v>0.47114470000000003</v>
      </c>
      <c r="F3849" t="s">
        <v>47</v>
      </c>
      <c r="G3849">
        <v>-408.80829999999997</v>
      </c>
      <c r="H3849" s="1">
        <v>-9.0262500000000002E-6</v>
      </c>
      <c r="I3849">
        <v>137.47630000000001</v>
      </c>
      <c r="J3849">
        <v>-389.39870000000002</v>
      </c>
      <c r="K3849">
        <v>1.1204940000000001</v>
      </c>
      <c r="L3849">
        <v>142.08179999999999</v>
      </c>
      <c r="M3849">
        <v>-0.99901280000000003</v>
      </c>
      <c r="N3849">
        <v>-1.267335E-2</v>
      </c>
      <c r="O3849">
        <v>4.257843E-2</v>
      </c>
      <c r="P3849">
        <v>-0.97883489999999995</v>
      </c>
      <c r="Q3849">
        <v>0.13246279999999999</v>
      </c>
      <c r="R3849">
        <v>-0.1559999</v>
      </c>
      <c r="S3849">
        <v>-2.9785159999999999</v>
      </c>
      <c r="T3849">
        <v>-0.1690159</v>
      </c>
      <c r="U3849">
        <v>-0.69253540000000002</v>
      </c>
      <c r="V3849">
        <v>-0.1974224</v>
      </c>
      <c r="W3849">
        <v>0.1449211</v>
      </c>
      <c r="X3849">
        <v>0.96954750000000001</v>
      </c>
      <c r="Y3849">
        <v>-0.26719609999999999</v>
      </c>
      <c r="Z3849">
        <v>-1.104572E-2</v>
      </c>
      <c r="AA3849">
        <v>0.96357890000000002</v>
      </c>
      <c r="AB3849">
        <v>33</v>
      </c>
      <c r="AC3849">
        <v>-19.409599999999902</v>
      </c>
      <c r="AD3849">
        <v>-1.12050302625</v>
      </c>
      <c r="AE3849">
        <v>-4.60549999999997</v>
      </c>
      <c r="AF3849">
        <v>-5.4107482214426001</v>
      </c>
      <c r="AG3849">
        <v>-1.12050302625</v>
      </c>
      <c r="AH3849">
        <v>19.135511123363599</v>
      </c>
      <c r="AI3849">
        <v>93.225033174032504</v>
      </c>
      <c r="AJ3849">
        <v>105.788756234022</v>
      </c>
      <c r="AK3849">
        <v>19.917316819793999</v>
      </c>
      <c r="AL3849">
        <v>81.667290059836006</v>
      </c>
      <c r="AM3849">
        <v>101.509404378442</v>
      </c>
      <c r="AN3849">
        <v>1.0000000420016</v>
      </c>
    </row>
    <row r="3850" spans="1:40" x14ac:dyDescent="0.25">
      <c r="A3850" t="str">
        <f>"20190303162629133"</f>
        <v>20190303162629133</v>
      </c>
      <c r="B3850" t="str">
        <f>"1551601589127883"</f>
        <v>1551601589127883</v>
      </c>
      <c r="C3850" t="s">
        <v>40</v>
      </c>
      <c r="D3850">
        <v>4.6848530000000004</v>
      </c>
      <c r="E3850">
        <v>0.47242990000000001</v>
      </c>
      <c r="F3850" t="s">
        <v>47</v>
      </c>
      <c r="G3850">
        <v>-409.59620000000001</v>
      </c>
      <c r="H3850" s="1">
        <v>-9.4863439999999996E-6</v>
      </c>
      <c r="I3850">
        <v>137.4067</v>
      </c>
      <c r="J3850">
        <v>-389.73649999999998</v>
      </c>
      <c r="K3850">
        <v>1.120593</v>
      </c>
      <c r="L3850">
        <v>142.09639999999999</v>
      </c>
      <c r="M3850">
        <v>-0.99900500000000003</v>
      </c>
      <c r="N3850">
        <v>-1.2672350000000001E-2</v>
      </c>
      <c r="O3850">
        <v>4.2759230000000002E-2</v>
      </c>
      <c r="P3850">
        <v>-0.97905909999999996</v>
      </c>
      <c r="Q3850">
        <v>0.1326521</v>
      </c>
      <c r="R3850">
        <v>-0.154423</v>
      </c>
      <c r="S3850">
        <v>-2.9773559999999999</v>
      </c>
      <c r="T3850">
        <v>-0.1651762</v>
      </c>
      <c r="U3850">
        <v>-0.68916319999999998</v>
      </c>
      <c r="V3850">
        <v>-0.19606770000000001</v>
      </c>
      <c r="W3850">
        <v>0.1450631</v>
      </c>
      <c r="X3850">
        <v>0.96980109999999997</v>
      </c>
      <c r="Y3850">
        <v>-0.26644099999999998</v>
      </c>
      <c r="Z3850">
        <v>-1.080862E-2</v>
      </c>
      <c r="AA3850">
        <v>0.96379060000000005</v>
      </c>
      <c r="AB3850">
        <v>33</v>
      </c>
      <c r="AC3850">
        <v>-19.8597</v>
      </c>
      <c r="AD3850">
        <v>-1.1206024863440001</v>
      </c>
      <c r="AE3850">
        <v>-4.6896999999999798</v>
      </c>
      <c r="AF3850">
        <v>-5.5180230127794498</v>
      </c>
      <c r="AG3850">
        <v>-1.1206024863440001</v>
      </c>
      <c r="AH3850">
        <v>19.581935752538001</v>
      </c>
      <c r="AI3850">
        <v>93.152734921780507</v>
      </c>
      <c r="AJ3850">
        <v>105.737385057395</v>
      </c>
      <c r="AK3850">
        <v>20.3753904433385</v>
      </c>
      <c r="AL3850">
        <v>81.659066895819095</v>
      </c>
      <c r="AM3850">
        <v>101.429603219154</v>
      </c>
      <c r="AN3850">
        <v>1.0000000097630499</v>
      </c>
    </row>
    <row r="3851" spans="1:40" x14ac:dyDescent="0.25">
      <c r="A3851" t="str">
        <f>"20190303162629154"</f>
        <v>20190303162629154</v>
      </c>
      <c r="B3851" t="str">
        <f>"1551601589147404"</f>
        <v>1551601589147404</v>
      </c>
      <c r="C3851" t="s">
        <v>40</v>
      </c>
      <c r="D3851">
        <v>4.9665229999999996</v>
      </c>
      <c r="E3851">
        <v>0.47283550000000002</v>
      </c>
      <c r="F3851" t="s">
        <v>47</v>
      </c>
      <c r="G3851">
        <v>-411.11790000000002</v>
      </c>
      <c r="H3851" s="1">
        <v>-9.5473710000000001E-6</v>
      </c>
      <c r="I3851">
        <v>137.2645</v>
      </c>
      <c r="J3851">
        <v>-390.05290000000002</v>
      </c>
      <c r="K3851">
        <v>1.1207100000000001</v>
      </c>
      <c r="L3851">
        <v>142.11000000000001</v>
      </c>
      <c r="M3851">
        <v>-0.99900469999999997</v>
      </c>
      <c r="N3851">
        <v>-1.267137E-2</v>
      </c>
      <c r="O3851">
        <v>4.276862E-2</v>
      </c>
      <c r="P3851">
        <v>-0.97902909999999999</v>
      </c>
      <c r="Q3851">
        <v>0.1345683</v>
      </c>
      <c r="R3851">
        <v>-0.152949799999999</v>
      </c>
      <c r="S3851">
        <v>-2.979095</v>
      </c>
      <c r="T3851">
        <v>-0.156135</v>
      </c>
      <c r="U3851">
        <v>-0.67323299999999997</v>
      </c>
      <c r="V3851">
        <v>-0.1946437</v>
      </c>
      <c r="W3851">
        <v>0.1469241</v>
      </c>
      <c r="X3851">
        <v>0.9698078</v>
      </c>
      <c r="Y3851">
        <v>-0.26148510000000003</v>
      </c>
      <c r="Z3851">
        <v>-1.0121049999999999E-2</v>
      </c>
      <c r="AA3851">
        <v>0.96515450000000003</v>
      </c>
      <c r="AB3851">
        <v>33</v>
      </c>
      <c r="AC3851">
        <v>-21.065000000000001</v>
      </c>
      <c r="AD3851">
        <v>-1.1207195473710001</v>
      </c>
      <c r="AE3851">
        <v>-4.8455000000000101</v>
      </c>
      <c r="AF3851">
        <v>-5.7266639107611104</v>
      </c>
      <c r="AG3851">
        <v>-1.1207195473710001</v>
      </c>
      <c r="AH3851">
        <v>20.7826005242094</v>
      </c>
      <c r="AI3851">
        <v>92.976029392956306</v>
      </c>
      <c r="AJ3851">
        <v>105.40559119794899</v>
      </c>
      <c r="AK3851">
        <v>21.586272869570202</v>
      </c>
      <c r="AL3851">
        <v>81.551284649608107</v>
      </c>
      <c r="AM3851">
        <v>101.34867771178</v>
      </c>
      <c r="AN3851">
        <v>1.00000001502566</v>
      </c>
    </row>
    <row r="3852" spans="1:40" x14ac:dyDescent="0.25">
      <c r="A3852" t="str">
        <f>"20190303162629177"</f>
        <v>20190303162629177</v>
      </c>
      <c r="B3852" t="str">
        <f>"1551601589167900"</f>
        <v>1551601589167900</v>
      </c>
      <c r="C3852" t="s">
        <v>40</v>
      </c>
      <c r="D3852">
        <v>4.6828659999999998</v>
      </c>
      <c r="E3852">
        <v>0.47294150000000001</v>
      </c>
      <c r="F3852" t="s">
        <v>47</v>
      </c>
      <c r="G3852">
        <v>-413.42329999999998</v>
      </c>
      <c r="H3852" s="1">
        <v>-9.1876569999999992E-6</v>
      </c>
      <c r="I3852">
        <v>136.9049</v>
      </c>
      <c r="J3852">
        <v>-390.3809</v>
      </c>
      <c r="K3852">
        <v>1.1208640000000001</v>
      </c>
      <c r="L3852">
        <v>142.124</v>
      </c>
      <c r="M3852">
        <v>-0.99901289999999998</v>
      </c>
      <c r="N3852">
        <v>-1.2670809999999999E-2</v>
      </c>
      <c r="O3852">
        <v>4.2577669999999998E-2</v>
      </c>
      <c r="P3852">
        <v>-0.97914330000000005</v>
      </c>
      <c r="Q3852">
        <v>0.13500090000000001</v>
      </c>
      <c r="R3852">
        <v>-0.15183279999999999</v>
      </c>
      <c r="S3852">
        <v>-2.980194</v>
      </c>
      <c r="T3852">
        <v>-0.14291379999999901</v>
      </c>
      <c r="U3852">
        <v>-0.66375729999999999</v>
      </c>
      <c r="V3852">
        <v>-0.19339909999999999</v>
      </c>
      <c r="W3852">
        <v>0.14728920000000001</v>
      </c>
      <c r="X3852">
        <v>0.97000140000000001</v>
      </c>
      <c r="Y3852">
        <v>-0.25837500000000002</v>
      </c>
      <c r="Z3852">
        <v>-9.2603100000000008E-3</v>
      </c>
      <c r="AA3852">
        <v>0.96600030000000003</v>
      </c>
      <c r="AB3852">
        <v>33</v>
      </c>
      <c r="AC3852">
        <v>-23.042399999999901</v>
      </c>
      <c r="AD3852">
        <v>-1.1208731876569999</v>
      </c>
      <c r="AE3852">
        <v>-5.2190999999999903</v>
      </c>
      <c r="AF3852">
        <v>-6.1816233556108697</v>
      </c>
      <c r="AG3852">
        <v>-1.1208731876569999</v>
      </c>
      <c r="AH3852">
        <v>22.748065406848401</v>
      </c>
      <c r="AI3852">
        <v>92.722306597038198</v>
      </c>
      <c r="AJ3852">
        <v>105.2026053635</v>
      </c>
      <c r="AK3852">
        <v>23.5996462636136</v>
      </c>
      <c r="AL3852">
        <v>81.530135902241099</v>
      </c>
      <c r="AM3852">
        <v>101.27578385306199</v>
      </c>
      <c r="AN3852">
        <v>1.0000000181597</v>
      </c>
    </row>
    <row r="3853" spans="1:40" x14ac:dyDescent="0.25">
      <c r="A3853" t="str">
        <f>"20190303162629199"</f>
        <v>20190303162629199</v>
      </c>
      <c r="B3853" t="str">
        <f>"1551601589187419"</f>
        <v>1551601589187419</v>
      </c>
      <c r="C3853" t="s">
        <v>40</v>
      </c>
      <c r="D3853">
        <v>4.8909989999999999</v>
      </c>
      <c r="E3853">
        <v>0.50241069999999999</v>
      </c>
      <c r="F3853" t="s">
        <v>47</v>
      </c>
      <c r="G3853">
        <v>-415.31939999999997</v>
      </c>
      <c r="H3853" s="1">
        <v>-8.8944060000000005E-6</v>
      </c>
      <c r="I3853">
        <v>136.61500000000001</v>
      </c>
      <c r="J3853">
        <v>-390.70429999999999</v>
      </c>
      <c r="K3853">
        <v>1.1210389999999999</v>
      </c>
      <c r="L3853">
        <v>142.13749999999999</v>
      </c>
      <c r="M3853">
        <v>-0.99903109999999995</v>
      </c>
      <c r="N3853">
        <v>-1.2671079999999999E-2</v>
      </c>
      <c r="O3853">
        <v>4.2149909999999999E-2</v>
      </c>
      <c r="P3853">
        <v>-0.9795024</v>
      </c>
      <c r="Q3853">
        <v>0.1338762</v>
      </c>
      <c r="R3853">
        <v>-0.15050820000000001</v>
      </c>
      <c r="S3853">
        <v>-2.9802550000000001</v>
      </c>
      <c r="T3853">
        <v>-0.13394890000000001</v>
      </c>
      <c r="U3853">
        <v>-0.6583405</v>
      </c>
      <c r="V3853">
        <v>-0.19173770000000001</v>
      </c>
      <c r="W3853">
        <v>0.14608779999999999</v>
      </c>
      <c r="X3853">
        <v>0.97051270000000001</v>
      </c>
      <c r="Y3853">
        <v>-0.25632929999999998</v>
      </c>
      <c r="Z3853">
        <v>-8.6790949999999995E-3</v>
      </c>
      <c r="AA3853">
        <v>0.96655060000000004</v>
      </c>
      <c r="AB3853">
        <v>33</v>
      </c>
      <c r="AC3853">
        <v>-24.615099999999899</v>
      </c>
      <c r="AD3853">
        <v>-1.1210478944059901</v>
      </c>
      <c r="AE3853">
        <v>-5.5224999999999804</v>
      </c>
      <c r="AF3853">
        <v>-6.54227922149816</v>
      </c>
      <c r="AG3853">
        <v>-1.1210478944059901</v>
      </c>
      <c r="AH3853">
        <v>24.312417936331599</v>
      </c>
      <c r="AI3853">
        <v>92.549478455860594</v>
      </c>
      <c r="AJ3853">
        <v>105.061078894696</v>
      </c>
      <c r="AK3853">
        <v>25.202218785346201</v>
      </c>
      <c r="AL3853">
        <v>81.599723194237995</v>
      </c>
      <c r="AM3853">
        <v>101.17562734662501</v>
      </c>
      <c r="AN3853">
        <v>0.99999994588570795</v>
      </c>
    </row>
    <row r="3854" spans="1:40" x14ac:dyDescent="0.25">
      <c r="A3854" t="str">
        <f>"20190303162629221"</f>
        <v>20190303162629221</v>
      </c>
      <c r="B3854" t="str">
        <f>"1551601589207916"</f>
        <v>1551601589207916</v>
      </c>
      <c r="C3854" t="s">
        <v>40</v>
      </c>
      <c r="D3854">
        <v>4.8502219999999996</v>
      </c>
      <c r="E3854">
        <v>0.54591400000000001</v>
      </c>
      <c r="F3854" t="s">
        <v>47</v>
      </c>
      <c r="G3854">
        <v>-407.8845</v>
      </c>
      <c r="H3854" s="1">
        <v>-9.4388800000000007E-6</v>
      </c>
      <c r="I3854">
        <v>139.74359999999999</v>
      </c>
      <c r="J3854">
        <v>-391.03519999999997</v>
      </c>
      <c r="K3854">
        <v>1.1212470000000001</v>
      </c>
      <c r="L3854">
        <v>142.1508</v>
      </c>
      <c r="M3854">
        <v>-0.99906110000000004</v>
      </c>
      <c r="N3854">
        <v>-1.267252E-2</v>
      </c>
      <c r="O3854">
        <v>4.1428649999999997E-2</v>
      </c>
      <c r="P3854">
        <v>-0.98006979999999999</v>
      </c>
      <c r="Q3854">
        <v>0.13271289999999999</v>
      </c>
      <c r="R3854">
        <v>-0.1478196</v>
      </c>
      <c r="S3854">
        <v>-3.024994</v>
      </c>
      <c r="T3854">
        <v>-0.19738820000000001</v>
      </c>
      <c r="U3854">
        <v>-0.42149350000000002</v>
      </c>
      <c r="V3854">
        <v>-0.18844739999999999</v>
      </c>
      <c r="W3854">
        <v>0.14484089999999999</v>
      </c>
      <c r="X3854">
        <v>0.97134379999999998</v>
      </c>
      <c r="Y3854">
        <v>-0.1784183</v>
      </c>
      <c r="Z3854">
        <v>-9.0915240000000001E-3</v>
      </c>
      <c r="AA3854">
        <v>0.98391269999999997</v>
      </c>
      <c r="AB3854">
        <v>33</v>
      </c>
      <c r="AC3854">
        <v>-16.849299999999999</v>
      </c>
      <c r="AD3854">
        <v>-1.1212564388799999</v>
      </c>
      <c r="AE3854">
        <v>-2.4072000000000102</v>
      </c>
      <c r="AF3854">
        <v>-3.0898235498742999</v>
      </c>
      <c r="AG3854">
        <v>-1.1212564388799999</v>
      </c>
      <c r="AH3854">
        <v>16.662783525136302</v>
      </c>
      <c r="AI3854">
        <v>93.785352701470998</v>
      </c>
      <c r="AJ3854">
        <v>100.505183131631</v>
      </c>
      <c r="AK3854">
        <v>16.983891791242701</v>
      </c>
      <c r="AL3854">
        <v>81.671934192091001</v>
      </c>
      <c r="AM3854">
        <v>100.979382763537</v>
      </c>
      <c r="AN3854">
        <v>1.0000000433389999</v>
      </c>
    </row>
    <row r="3855" spans="1:40" x14ac:dyDescent="0.25">
      <c r="A3855" t="str">
        <f>"20190303162629245"</f>
        <v>20190303162629245</v>
      </c>
      <c r="B3855" t="str">
        <f>"1551601589237196"</f>
        <v>1551601589237196</v>
      </c>
      <c r="C3855" t="s">
        <v>40</v>
      </c>
      <c r="D3855">
        <v>4.8125010000000001</v>
      </c>
      <c r="E3855">
        <v>0.55228559999999904</v>
      </c>
      <c r="F3855" t="s">
        <v>42</v>
      </c>
      <c r="G3855">
        <v>-391.97620000000001</v>
      </c>
      <c r="H3855">
        <v>0.96184130000000001</v>
      </c>
      <c r="I3855">
        <v>142.13120000000001</v>
      </c>
      <c r="J3855">
        <v>-391.37540000000001</v>
      </c>
      <c r="K3855">
        <v>1.1214630000000001</v>
      </c>
      <c r="L3855">
        <v>142.16399999999999</v>
      </c>
      <c r="M3855">
        <v>-0.99910160000000003</v>
      </c>
      <c r="N3855">
        <v>-1.2674670000000001E-2</v>
      </c>
      <c r="O3855">
        <v>4.0438399999999999E-2</v>
      </c>
      <c r="P3855">
        <v>-0.98034969999999999</v>
      </c>
      <c r="Q3855">
        <v>0.13321810000000001</v>
      </c>
      <c r="R3855">
        <v>-0.14548910000000001</v>
      </c>
      <c r="S3855">
        <v>-3.1227719999999999</v>
      </c>
      <c r="T3855">
        <v>-0.5290802</v>
      </c>
      <c r="U3855">
        <v>-6.5505980000000005E-2</v>
      </c>
      <c r="V3855">
        <v>-0.18524270000000001</v>
      </c>
      <c r="W3855">
        <v>0.14526129999999901</v>
      </c>
      <c r="X3855">
        <v>0.97189729999999996</v>
      </c>
      <c r="Y3855">
        <v>-5.9975550000000002E-2</v>
      </c>
      <c r="Z3855">
        <v>-1.1719510000000001E-2</v>
      </c>
      <c r="AA3855">
        <v>0.99813099999999999</v>
      </c>
      <c r="AB3855">
        <v>33</v>
      </c>
      <c r="AC3855">
        <v>-0.60079999999999201</v>
      </c>
      <c r="AD3855">
        <v>-0.15962169999999901</v>
      </c>
      <c r="AE3855">
        <v>-3.27999999999804E-2</v>
      </c>
      <c r="AF3855">
        <v>-5.3318132844152599E-2</v>
      </c>
      <c r="AG3855">
        <v>-0.15962169999999901</v>
      </c>
      <c r="AH3855">
        <v>0.55959902890332602</v>
      </c>
      <c r="AI3855">
        <v>105.85226676268999</v>
      </c>
      <c r="AJ3855">
        <v>95.442664464650207</v>
      </c>
      <c r="AK3855">
        <v>0.584356897409812</v>
      </c>
      <c r="AL3855">
        <v>81.647589491206006</v>
      </c>
      <c r="AM3855">
        <v>100.791090474493</v>
      </c>
      <c r="AN3855">
        <v>1.0000000324641301</v>
      </c>
    </row>
    <row r="3856" spans="1:40" x14ac:dyDescent="0.25">
      <c r="A3856" t="str">
        <f>"20190303162629268"</f>
        <v>20190303162629268</v>
      </c>
      <c r="B3856" t="str">
        <f>"1551601589257691"</f>
        <v>1551601589257691</v>
      </c>
      <c r="C3856" t="s">
        <v>40</v>
      </c>
      <c r="D3856">
        <v>4.8171520000000001</v>
      </c>
      <c r="E3856">
        <v>0.55261269999999996</v>
      </c>
      <c r="F3856" t="s">
        <v>42</v>
      </c>
      <c r="G3856">
        <v>-392.24799999999999</v>
      </c>
      <c r="H3856">
        <v>0.91896999999999995</v>
      </c>
      <c r="I3856">
        <v>142.16299999999899</v>
      </c>
      <c r="J3856">
        <v>-391.71469999999999</v>
      </c>
      <c r="K3856">
        <v>1.1216930000000001</v>
      </c>
      <c r="L3856">
        <v>142.17660000000001</v>
      </c>
      <c r="M3856">
        <v>-0.9991527</v>
      </c>
      <c r="N3856">
        <v>-1.2677040000000001E-2</v>
      </c>
      <c r="O3856">
        <v>3.9158770000000002E-2</v>
      </c>
      <c r="P3856">
        <v>-0.98041739999999999</v>
      </c>
      <c r="Q3856">
        <v>0.1349098</v>
      </c>
      <c r="R3856">
        <v>-0.14346239999999999</v>
      </c>
      <c r="S3856">
        <v>-3.1590579999999999</v>
      </c>
      <c r="T3856">
        <v>-0.73323680000000002</v>
      </c>
      <c r="U3856">
        <v>-5.0353999999999998E-3</v>
      </c>
      <c r="V3856">
        <v>-0.1820541</v>
      </c>
      <c r="W3856">
        <v>0.14686749999999901</v>
      </c>
      <c r="X3856">
        <v>0.97225830000000002</v>
      </c>
      <c r="Y3856">
        <v>-3.8737140000000003E-2</v>
      </c>
      <c r="Z3856">
        <v>-1.316326E-2</v>
      </c>
      <c r="AA3856">
        <v>0.99916269999999996</v>
      </c>
      <c r="AB3856">
        <v>33</v>
      </c>
      <c r="AC3856">
        <v>-0.53330000000005295</v>
      </c>
      <c r="AD3856">
        <v>-0.20272299999999999</v>
      </c>
      <c r="AE3856">
        <v>-1.3600000000025101E-2</v>
      </c>
      <c r="AF3856">
        <v>-3.0124503079310999E-2</v>
      </c>
      <c r="AG3856">
        <v>-0.20272299999999999</v>
      </c>
      <c r="AH3856">
        <v>0.46518370130479397</v>
      </c>
      <c r="AI3856">
        <v>113.50327618821299</v>
      </c>
      <c r="AJ3856">
        <v>93.705203311559202</v>
      </c>
      <c r="AK3856">
        <v>0.50833057784713598</v>
      </c>
      <c r="AL3856">
        <v>81.554562857197496</v>
      </c>
      <c r="AM3856">
        <v>100.60574506117899</v>
      </c>
      <c r="AN3856">
        <v>0.999999979900974</v>
      </c>
    </row>
    <row r="3857" spans="1:40" x14ac:dyDescent="0.25">
      <c r="A3857" t="str">
        <f>"20190303162629288"</f>
        <v>20190303162629288</v>
      </c>
      <c r="B3857" t="str">
        <f>"1551601589277211"</f>
        <v>1551601589277211</v>
      </c>
      <c r="C3857" t="s">
        <v>40</v>
      </c>
      <c r="D3857">
        <v>4.7899699999999896</v>
      </c>
      <c r="E3857">
        <v>0.55293389999999998</v>
      </c>
      <c r="F3857" t="s">
        <v>42</v>
      </c>
      <c r="G3857">
        <v>-392.53890000000001</v>
      </c>
      <c r="H3857">
        <v>0.91598679999999999</v>
      </c>
      <c r="I3857">
        <v>142.1773</v>
      </c>
      <c r="J3857">
        <v>-392.02370000000002</v>
      </c>
      <c r="K3857">
        <v>1.1219429999999999</v>
      </c>
      <c r="L3857">
        <v>142.18729999999999</v>
      </c>
      <c r="M3857">
        <v>-0.99920949999999997</v>
      </c>
      <c r="N3857">
        <v>-1.2680210000000001E-2</v>
      </c>
      <c r="O3857">
        <v>3.7683189999999998E-2</v>
      </c>
      <c r="P3857">
        <v>-0.98058369999999995</v>
      </c>
      <c r="Q3857">
        <v>0.1365343</v>
      </c>
      <c r="R3857">
        <v>-0.1407639</v>
      </c>
      <c r="S3857">
        <v>-3.1691590000000001</v>
      </c>
      <c r="T3857">
        <v>-0.79096269999999902</v>
      </c>
      <c r="U3857">
        <v>2.639771E-3</v>
      </c>
      <c r="V3857">
        <v>-0.17801110000000001</v>
      </c>
      <c r="W3857">
        <v>0.1484116</v>
      </c>
      <c r="X3857">
        <v>0.97277239999999998</v>
      </c>
      <c r="Y3857">
        <v>-3.4692920000000002E-2</v>
      </c>
      <c r="Z3857">
        <v>-1.3277570000000001E-2</v>
      </c>
      <c r="AA3857">
        <v>0.99930980000000003</v>
      </c>
      <c r="AB3857">
        <v>33</v>
      </c>
      <c r="AC3857">
        <v>-0.515199999999993</v>
      </c>
      <c r="AD3857">
        <v>-0.20595620000000001</v>
      </c>
      <c r="AE3857">
        <v>-9.9999999999908998E-3</v>
      </c>
      <c r="AF3857">
        <v>-2.53579585066665E-2</v>
      </c>
      <c r="AG3857">
        <v>-0.20595620000000001</v>
      </c>
      <c r="AH3857">
        <v>0.44359404987808099</v>
      </c>
      <c r="AI3857">
        <v>114.86928228070801</v>
      </c>
      <c r="AJ3857">
        <v>93.271740208525998</v>
      </c>
      <c r="AK3857">
        <v>0.48973121553082899</v>
      </c>
      <c r="AL3857">
        <v>81.465112753053901</v>
      </c>
      <c r="AM3857">
        <v>100.370023033189</v>
      </c>
      <c r="AN3857">
        <v>1.00000004846976</v>
      </c>
    </row>
    <row r="3858" spans="1:40" x14ac:dyDescent="0.25">
      <c r="A3858" t="str">
        <f>"20190303162629312"</f>
        <v>20190303162629312</v>
      </c>
      <c r="B3858" t="str">
        <f>"1551601589307468"</f>
        <v>1551601589307468</v>
      </c>
      <c r="C3858" t="s">
        <v>40</v>
      </c>
      <c r="D3858">
        <v>4.8095210000000002</v>
      </c>
      <c r="E3858">
        <v>0.55403829999999998</v>
      </c>
      <c r="F3858" t="s">
        <v>42</v>
      </c>
      <c r="G3858">
        <v>-392.83019999999999</v>
      </c>
      <c r="H3858">
        <v>0.91407879999999997</v>
      </c>
      <c r="I3858">
        <v>142.19030000000001</v>
      </c>
      <c r="J3858">
        <v>-392.34589999999997</v>
      </c>
      <c r="K3858">
        <v>1.1222369999999999</v>
      </c>
      <c r="L3858">
        <v>142.1978</v>
      </c>
      <c r="M3858">
        <v>-0.99927920000000003</v>
      </c>
      <c r="N3858">
        <v>-1.2685979999999999E-2</v>
      </c>
      <c r="O3858">
        <v>3.5780060000000002E-2</v>
      </c>
      <c r="P3858">
        <v>-0.98072329999999996</v>
      </c>
      <c r="Q3858">
        <v>0.1385557</v>
      </c>
      <c r="R3858">
        <v>-0.1377845</v>
      </c>
      <c r="S3858">
        <v>-3.1748349999999999</v>
      </c>
      <c r="T3858">
        <v>-0.81840290000000004</v>
      </c>
      <c r="U3858">
        <v>1.0482790000000001E-2</v>
      </c>
      <c r="V3858">
        <v>-0.17329069999999999</v>
      </c>
      <c r="W3858">
        <v>0.150339</v>
      </c>
      <c r="X3858">
        <v>0.97332859999999999</v>
      </c>
      <c r="Y3858">
        <v>-3.0382470000000002E-2</v>
      </c>
      <c r="Z3858">
        <v>-1.2675250000000001E-2</v>
      </c>
      <c r="AA3858">
        <v>0.99945799999999996</v>
      </c>
      <c r="AB3858">
        <v>33</v>
      </c>
      <c r="AC3858">
        <v>-0.48430000000001799</v>
      </c>
      <c r="AD3858">
        <v>-0.20815819999999999</v>
      </c>
      <c r="AE3858">
        <v>-7.4999999999931797E-3</v>
      </c>
      <c r="AF3858">
        <v>-2.0954662875266799E-2</v>
      </c>
      <c r="AG3858">
        <v>-0.20815819999999999</v>
      </c>
      <c r="AH3858">
        <v>0.40830904039850102</v>
      </c>
      <c r="AI3858">
        <v>116.98225845903301</v>
      </c>
      <c r="AJ3858">
        <v>92.937876038878599</v>
      </c>
      <c r="AK3858">
        <v>0.45878666784748701</v>
      </c>
      <c r="AL3858">
        <v>81.353427587910005</v>
      </c>
      <c r="AM3858">
        <v>100.09511995728499</v>
      </c>
      <c r="AN3858">
        <v>1.0000000226027199</v>
      </c>
    </row>
    <row r="3859" spans="1:40" x14ac:dyDescent="0.25">
      <c r="A3859" t="str">
        <f>"20190303162629333"</f>
        <v>20190303162629333</v>
      </c>
      <c r="B3859" t="str">
        <f>"1551601589326987"</f>
        <v>1551601589326987</v>
      </c>
      <c r="C3859" t="s">
        <v>40</v>
      </c>
      <c r="D3859">
        <v>4.8242830000000003</v>
      </c>
      <c r="E3859">
        <v>0.55416109999999996</v>
      </c>
      <c r="F3859" t="s">
        <v>42</v>
      </c>
      <c r="G3859">
        <v>-393.12430000000001</v>
      </c>
      <c r="H3859">
        <v>0.91913800000000001</v>
      </c>
      <c r="I3859">
        <v>142.2037</v>
      </c>
      <c r="J3859">
        <v>-392.6764</v>
      </c>
      <c r="K3859">
        <v>1.1225769999999999</v>
      </c>
      <c r="L3859">
        <v>142.20740000000001</v>
      </c>
      <c r="M3859">
        <v>-0.99936069999999999</v>
      </c>
      <c r="N3859">
        <v>-1.269526E-2</v>
      </c>
      <c r="O3859">
        <v>3.3421230000000003E-2</v>
      </c>
      <c r="P3859">
        <v>-0.98083960000000003</v>
      </c>
      <c r="Q3859">
        <v>0.14005689999999901</v>
      </c>
      <c r="R3859">
        <v>-0.1354165</v>
      </c>
      <c r="S3859">
        <v>-3.1795040000000001</v>
      </c>
      <c r="T3859">
        <v>-0.82989550000000001</v>
      </c>
      <c r="U3859">
        <v>2.3468019999999999E-2</v>
      </c>
      <c r="V3859">
        <v>-0.16875419999999999</v>
      </c>
      <c r="W3859">
        <v>0.15173610000000001</v>
      </c>
      <c r="X3859">
        <v>0.97390869999999996</v>
      </c>
      <c r="Y3859">
        <v>-2.4182519999999999E-2</v>
      </c>
      <c r="Z3859">
        <v>-1.142049E-2</v>
      </c>
      <c r="AA3859">
        <v>0.99964229999999998</v>
      </c>
      <c r="AB3859">
        <v>33</v>
      </c>
      <c r="AC3859">
        <v>-0.44790000000000402</v>
      </c>
      <c r="AD3859">
        <v>-0.20343900000000001</v>
      </c>
      <c r="AE3859">
        <v>-3.70000000000914E-3</v>
      </c>
      <c r="AF3859">
        <v>-1.5475979638216101E-2</v>
      </c>
      <c r="AG3859">
        <v>-0.20343900000000001</v>
      </c>
      <c r="AH3859">
        <v>0.37099399000509198</v>
      </c>
      <c r="AI3859">
        <v>118.7176954839</v>
      </c>
      <c r="AJ3859">
        <v>92.388703178617902</v>
      </c>
      <c r="AK3859">
        <v>0.42339517390572701</v>
      </c>
      <c r="AL3859">
        <v>81.272450397374499</v>
      </c>
      <c r="AM3859">
        <v>99.830328875893102</v>
      </c>
      <c r="AN3859">
        <v>0.999999989998269</v>
      </c>
    </row>
    <row r="3860" spans="1:40" x14ac:dyDescent="0.25">
      <c r="A3860" t="str">
        <f>"20190303162629355"</f>
        <v>20190303162629355</v>
      </c>
      <c r="B3860" t="str">
        <f>"1551601589347483"</f>
        <v>1551601589347483</v>
      </c>
      <c r="C3860" t="s">
        <v>40</v>
      </c>
      <c r="D3860">
        <v>4.8897839999999997</v>
      </c>
      <c r="E3860">
        <v>0.55397700000000005</v>
      </c>
      <c r="F3860" t="s">
        <v>42</v>
      </c>
      <c r="G3860">
        <v>-393.41950000000003</v>
      </c>
      <c r="H3860">
        <v>0.926867</v>
      </c>
      <c r="I3860">
        <v>142.21350000000001</v>
      </c>
      <c r="J3860">
        <v>-392.9939</v>
      </c>
      <c r="K3860">
        <v>1.12293</v>
      </c>
      <c r="L3860">
        <v>142.21559999999999</v>
      </c>
      <c r="M3860">
        <v>-0.99944659999999996</v>
      </c>
      <c r="N3860">
        <v>-1.270714E-2</v>
      </c>
      <c r="O3860">
        <v>3.0742740000000001E-2</v>
      </c>
      <c r="P3860">
        <v>-0.98104270000000005</v>
      </c>
      <c r="Q3860">
        <v>0.1401569</v>
      </c>
      <c r="R3860">
        <v>-0.13383519999999999</v>
      </c>
      <c r="S3860">
        <v>-3.181854</v>
      </c>
      <c r="T3860">
        <v>-0.83781890000000003</v>
      </c>
      <c r="U3860">
        <v>2.607727E-2</v>
      </c>
      <c r="V3860">
        <v>-0.16469300000000001</v>
      </c>
      <c r="W3860">
        <v>0.15173420000000001</v>
      </c>
      <c r="X3860">
        <v>0.97460400000000003</v>
      </c>
      <c r="Y3860">
        <v>-2.0857609999999999E-2</v>
      </c>
      <c r="Z3860">
        <v>-1.0408270000000001E-2</v>
      </c>
      <c r="AA3860">
        <v>0.99972830000000001</v>
      </c>
      <c r="AB3860">
        <v>33</v>
      </c>
      <c r="AC3860">
        <v>-0.42560000000003101</v>
      </c>
      <c r="AD3860">
        <v>-0.19606299999999999</v>
      </c>
      <c r="AE3860">
        <v>-2.0999999999844398E-3</v>
      </c>
      <c r="AF3860">
        <v>-1.25259666761427E-2</v>
      </c>
      <c r="AG3860">
        <v>-0.19606299999999999</v>
      </c>
      <c r="AH3860">
        <v>0.35087339683879298</v>
      </c>
      <c r="AI3860">
        <v>119.180295304852</v>
      </c>
      <c r="AJ3860">
        <v>92.044556186131999</v>
      </c>
      <c r="AK3860">
        <v>0.402131496427929</v>
      </c>
      <c r="AL3860">
        <v>81.272560660031601</v>
      </c>
      <c r="AM3860">
        <v>99.591487998840606</v>
      </c>
      <c r="AN3860">
        <v>1.0000000042573201</v>
      </c>
    </row>
    <row r="3861" spans="1:40" x14ac:dyDescent="0.25">
      <c r="A3861" t="str">
        <f>"20190303162629377"</f>
        <v>20190303162629377</v>
      </c>
      <c r="B3861" t="str">
        <f>"1551601589367003"</f>
        <v>1551601589367003</v>
      </c>
      <c r="C3861" t="s">
        <v>40</v>
      </c>
      <c r="D3861">
        <v>4.8876030000000004</v>
      </c>
      <c r="E3861">
        <v>0.5538767</v>
      </c>
      <c r="F3861" t="s">
        <v>42</v>
      </c>
      <c r="G3861">
        <v>-393.7131</v>
      </c>
      <c r="H3861">
        <v>0.93091270000000004</v>
      </c>
      <c r="I3861">
        <v>142.22130000000001</v>
      </c>
      <c r="J3861">
        <v>-393.32080000000002</v>
      </c>
      <c r="K3861">
        <v>1.123297</v>
      </c>
      <c r="L3861">
        <v>142.2227</v>
      </c>
      <c r="M3861">
        <v>-0.99953970000000003</v>
      </c>
      <c r="N3861">
        <v>-1.272153E-2</v>
      </c>
      <c r="O3861">
        <v>2.7541949999999999E-2</v>
      </c>
      <c r="P3861">
        <v>-0.98132850000000005</v>
      </c>
      <c r="Q3861">
        <v>0.1393636</v>
      </c>
      <c r="R3861">
        <v>-0.13255939999999999</v>
      </c>
      <c r="S3861">
        <v>-3.1827999999999999</v>
      </c>
      <c r="T3861">
        <v>-0.84996939999999999</v>
      </c>
      <c r="U3861">
        <v>2.4993899999999999E-2</v>
      </c>
      <c r="V3861">
        <v>-0.16043160000000001</v>
      </c>
      <c r="W3861">
        <v>0.15084149999999999</v>
      </c>
      <c r="X3861">
        <v>0.97545300000000001</v>
      </c>
      <c r="Y3861">
        <v>-1.8151259999999999E-2</v>
      </c>
      <c r="Z3861">
        <v>-9.3821970000000001E-3</v>
      </c>
      <c r="AA3861">
        <v>0.99979119999999999</v>
      </c>
      <c r="AB3861">
        <v>33</v>
      </c>
      <c r="AC3861">
        <v>-0.392299999999977</v>
      </c>
      <c r="AD3861">
        <v>-0.19238429999999901</v>
      </c>
      <c r="AE3861">
        <v>-1.39999999998963E-3</v>
      </c>
      <c r="AF3861">
        <v>-9.8388940710114996E-3</v>
      </c>
      <c r="AG3861">
        <v>-0.19238429999999901</v>
      </c>
      <c r="AH3861">
        <v>0.31609491373624199</v>
      </c>
      <c r="AI3861">
        <v>121.31355638926</v>
      </c>
      <c r="AJ3861">
        <v>91.782835251443601</v>
      </c>
      <c r="AK3861">
        <v>0.370168228259737</v>
      </c>
      <c r="AL3861">
        <v>81.3243041984624</v>
      </c>
      <c r="AM3861">
        <v>99.339754592888099</v>
      </c>
      <c r="AN3861">
        <v>1.0000000058048999</v>
      </c>
    </row>
    <row r="3862" spans="1:40" x14ac:dyDescent="0.25">
      <c r="A3862" t="str">
        <f>"20190303162629401"</f>
        <v>20190303162629401</v>
      </c>
      <c r="B3862" t="str">
        <f>"1551601589397260"</f>
        <v>1551601589397260</v>
      </c>
      <c r="C3862" t="s">
        <v>40</v>
      </c>
      <c r="D3862">
        <v>4.9502969999999999</v>
      </c>
      <c r="E3862">
        <v>0.55341759999999995</v>
      </c>
      <c r="F3862" t="s">
        <v>42</v>
      </c>
      <c r="G3862">
        <v>-394.00760000000002</v>
      </c>
      <c r="H3862">
        <v>0.93760049999999995</v>
      </c>
      <c r="I3862">
        <v>142.22790000000001</v>
      </c>
      <c r="J3862">
        <v>-393.65140000000002</v>
      </c>
      <c r="K3862">
        <v>1.123677</v>
      </c>
      <c r="L3862">
        <v>142.22810000000001</v>
      </c>
      <c r="M3862">
        <v>-0.99963579999999996</v>
      </c>
      <c r="N3862">
        <v>-1.273879E-2</v>
      </c>
      <c r="O3862">
        <v>2.3797309999999999E-2</v>
      </c>
      <c r="P3862">
        <v>-0.98161569999999998</v>
      </c>
      <c r="Q3862">
        <v>0.13739570000000001</v>
      </c>
      <c r="R3862">
        <v>-0.13249069999999999</v>
      </c>
      <c r="S3862">
        <v>-3.1824949999999999</v>
      </c>
      <c r="T3862">
        <v>-0.86093679999999995</v>
      </c>
      <c r="U3862">
        <v>2.319336E-2</v>
      </c>
      <c r="V3862">
        <v>-0.15683529999999901</v>
      </c>
      <c r="W3862">
        <v>0.14877699999999999</v>
      </c>
      <c r="X3862">
        <v>0.97635450000000001</v>
      </c>
      <c r="Y3862">
        <v>-1.516491E-2</v>
      </c>
      <c r="Z3862">
        <v>-8.1386649999999998E-3</v>
      </c>
      <c r="AA3862">
        <v>0.99985190000000002</v>
      </c>
      <c r="AB3862">
        <v>33</v>
      </c>
      <c r="AC3862">
        <v>-0.35620000000000102</v>
      </c>
      <c r="AD3862">
        <v>-0.18607650000000001</v>
      </c>
      <c r="AE3862">
        <v>-2.0000000000663901E-4</v>
      </c>
      <c r="AF3862">
        <v>-6.8169281561044799E-3</v>
      </c>
      <c r="AG3862">
        <v>-0.18607650000000001</v>
      </c>
      <c r="AH3862">
        <v>0.279751617564934</v>
      </c>
      <c r="AI3862">
        <v>123.621982418481</v>
      </c>
      <c r="AJ3862">
        <v>91.395895172641005</v>
      </c>
      <c r="AK3862">
        <v>0.33605342118766202</v>
      </c>
      <c r="AL3862">
        <v>81.443941496075098</v>
      </c>
      <c r="AM3862">
        <v>99.125667688536595</v>
      </c>
      <c r="AN3862">
        <v>1.0000000083626699</v>
      </c>
    </row>
    <row r="3863" spans="1:40" x14ac:dyDescent="0.25">
      <c r="A3863" t="str">
        <f>"20190303162629423"</f>
        <v>20190303162629423</v>
      </c>
      <c r="B3863" t="str">
        <f>"1551601589417756"</f>
        <v>1551601589417756</v>
      </c>
      <c r="C3863" t="s">
        <v>40</v>
      </c>
      <c r="D3863">
        <v>4.9237449999999896</v>
      </c>
      <c r="E3863">
        <v>0.54718409999999995</v>
      </c>
      <c r="F3863" t="s">
        <v>42</v>
      </c>
      <c r="G3863">
        <v>-394.56189999999998</v>
      </c>
      <c r="H3863">
        <v>0.8718264</v>
      </c>
      <c r="I3863">
        <v>142.23230000000001</v>
      </c>
      <c r="J3863">
        <v>-393.98520000000002</v>
      </c>
      <c r="K3863">
        <v>1.124058</v>
      </c>
      <c r="L3863">
        <v>142.2319</v>
      </c>
      <c r="M3863">
        <v>-0.9997277</v>
      </c>
      <c r="N3863">
        <v>-1.275857E-2</v>
      </c>
      <c r="O3863">
        <v>1.953742E-2</v>
      </c>
      <c r="P3863">
        <v>-0.98138139999999996</v>
      </c>
      <c r="Q3863">
        <v>0.13610849999999999</v>
      </c>
      <c r="R3863">
        <v>-0.13551869999999999</v>
      </c>
      <c r="S3863">
        <v>-3.1812740000000002</v>
      </c>
      <c r="T3863">
        <v>-0.88029500000000005</v>
      </c>
      <c r="U3863">
        <v>1.41448999999999E-2</v>
      </c>
      <c r="V3863">
        <v>-0.15581700000000001</v>
      </c>
      <c r="W3863">
        <v>0.14737739999999999</v>
      </c>
      <c r="X3863">
        <v>0.97672979999999998</v>
      </c>
      <c r="Y3863">
        <v>-1.3878990000000001E-2</v>
      </c>
      <c r="Z3863">
        <v>-7.0363429999999996E-3</v>
      </c>
      <c r="AA3863">
        <v>0.99987890000000001</v>
      </c>
      <c r="AB3863">
        <v>33</v>
      </c>
      <c r="AC3863">
        <v>-0.57669999999995902</v>
      </c>
      <c r="AD3863">
        <v>-0.252231599999999</v>
      </c>
      <c r="AE3863">
        <v>4.0000000001327803E-4</v>
      </c>
      <c r="AF3863">
        <v>-9.1230491829367207E-3</v>
      </c>
      <c r="AG3863">
        <v>-0.252231599999999</v>
      </c>
      <c r="AH3863">
        <v>0.48401003243924201</v>
      </c>
      <c r="AI3863">
        <v>117.521150369705</v>
      </c>
      <c r="AJ3863">
        <v>91.079833659414405</v>
      </c>
      <c r="AK3863">
        <v>0.54586602895471503</v>
      </c>
      <c r="AL3863">
        <v>81.525027089760499</v>
      </c>
      <c r="AM3863">
        <v>99.063977826888603</v>
      </c>
      <c r="AN3863">
        <v>1.0000000688638899</v>
      </c>
    </row>
    <row r="3864" spans="1:40" x14ac:dyDescent="0.25">
      <c r="A3864" t="str">
        <f>"20190303162629446"</f>
        <v>20190303162629446</v>
      </c>
      <c r="B3864" t="str">
        <f>"1551601589437275"</f>
        <v>1551601589437275</v>
      </c>
      <c r="C3864" t="s">
        <v>40</v>
      </c>
      <c r="D3864">
        <v>4.9066210000000003</v>
      </c>
      <c r="E3864">
        <v>0.54385190000000005</v>
      </c>
      <c r="F3864" t="s">
        <v>42</v>
      </c>
      <c r="G3864">
        <v>-394.84359999999998</v>
      </c>
      <c r="H3864">
        <v>0.847043199999999</v>
      </c>
      <c r="I3864">
        <v>142.2183</v>
      </c>
      <c r="J3864">
        <v>-394.31560000000002</v>
      </c>
      <c r="K3864">
        <v>1.124396</v>
      </c>
      <c r="L3864">
        <v>142.23390000000001</v>
      </c>
      <c r="M3864">
        <v>-0.9998068</v>
      </c>
      <c r="N3864">
        <v>-1.277827E-2</v>
      </c>
      <c r="O3864">
        <v>1.4938099999999999E-2</v>
      </c>
      <c r="P3864">
        <v>-0.98098350000000001</v>
      </c>
      <c r="Q3864">
        <v>0.13551489999999999</v>
      </c>
      <c r="R3864">
        <v>-0.13895009999999999</v>
      </c>
      <c r="S3864">
        <v>-3.192841</v>
      </c>
      <c r="T3864">
        <v>-1.030184</v>
      </c>
      <c r="U3864">
        <v>-5.0399779999999998E-2</v>
      </c>
      <c r="V3864">
        <v>-0.15485639999999901</v>
      </c>
      <c r="W3864">
        <v>0.14668589999999901</v>
      </c>
      <c r="X3864">
        <v>0.97698660000000004</v>
      </c>
      <c r="Y3864">
        <v>-2.8512300000000001E-2</v>
      </c>
      <c r="Z3864">
        <v>-9.1864909999999998E-3</v>
      </c>
      <c r="AA3864">
        <v>0.99955119999999997</v>
      </c>
      <c r="AB3864">
        <v>33</v>
      </c>
      <c r="AC3864">
        <v>-0.52799999999996305</v>
      </c>
      <c r="AD3864">
        <v>-0.27735280000000001</v>
      </c>
      <c r="AE3864">
        <v>-1.5600000000006199E-2</v>
      </c>
      <c r="AF3864">
        <v>-1.8410625705942301E-2</v>
      </c>
      <c r="AG3864">
        <v>-0.27735280000000001</v>
      </c>
      <c r="AH3864">
        <v>0.41366533439087999</v>
      </c>
      <c r="AI3864">
        <v>123.81469932045</v>
      </c>
      <c r="AJ3864">
        <v>92.548329313329106</v>
      </c>
      <c r="AK3864">
        <v>0.49837991099505802</v>
      </c>
      <c r="AL3864">
        <v>81.565082180733</v>
      </c>
      <c r="AM3864">
        <v>99.006689136905607</v>
      </c>
      <c r="AN3864">
        <v>1.00000003722966</v>
      </c>
    </row>
    <row r="3865" spans="1:40" x14ac:dyDescent="0.25">
      <c r="A3865" t="str">
        <f>"20190303162629469"</f>
        <v>20190303162629469</v>
      </c>
      <c r="B3865" t="str">
        <f>"1551601589457771"</f>
        <v>1551601589457771</v>
      </c>
      <c r="C3865" t="s">
        <v>40</v>
      </c>
      <c r="D3865">
        <v>4.828703</v>
      </c>
      <c r="E3865">
        <v>0.54267049999999994</v>
      </c>
      <c r="F3865" t="s">
        <v>42</v>
      </c>
      <c r="G3865">
        <v>-395.13670000000002</v>
      </c>
      <c r="H3865">
        <v>0.85190390000000005</v>
      </c>
      <c r="I3865">
        <v>142.21109999999999</v>
      </c>
      <c r="J3865">
        <v>-394.64100000000002</v>
      </c>
      <c r="K3865">
        <v>1.1247020000000001</v>
      </c>
      <c r="L3865">
        <v>142.23400000000001</v>
      </c>
      <c r="M3865">
        <v>-0.99986770000000003</v>
      </c>
      <c r="N3865">
        <v>-1.279575E-2</v>
      </c>
      <c r="O3865">
        <v>1.005877E-2</v>
      </c>
      <c r="P3865">
        <v>-0.98062360000000004</v>
      </c>
      <c r="Q3865">
        <v>0.13445499999999999</v>
      </c>
      <c r="R3865">
        <v>-0.14247599999999999</v>
      </c>
      <c r="S3865">
        <v>-3.1918329999999999</v>
      </c>
      <c r="T3865">
        <v>-1.059631</v>
      </c>
      <c r="U3865">
        <v>-8.9447020000000002E-2</v>
      </c>
      <c r="V3865">
        <v>-0.15369920000000001</v>
      </c>
      <c r="W3865">
        <v>0.145543899999999</v>
      </c>
      <c r="X3865">
        <v>0.97733999999999999</v>
      </c>
      <c r="Y3865">
        <v>-3.5582460000000003E-2</v>
      </c>
      <c r="Z3865">
        <v>-9.1109599999999995E-3</v>
      </c>
      <c r="AA3865">
        <v>0.99932520000000002</v>
      </c>
      <c r="AB3865">
        <v>33</v>
      </c>
      <c r="AC3865">
        <v>-0.49570000000005598</v>
      </c>
      <c r="AD3865">
        <v>-0.27279809999999999</v>
      </c>
      <c r="AE3865">
        <v>-2.2900000000021199E-2</v>
      </c>
      <c r="AF3865">
        <v>-2.1413773496032101E-2</v>
      </c>
      <c r="AG3865">
        <v>-0.27279809999999999</v>
      </c>
      <c r="AH3865">
        <v>0.38046234504113202</v>
      </c>
      <c r="AI3865">
        <v>125.598282256636</v>
      </c>
      <c r="AJ3865">
        <v>93.221411415257506</v>
      </c>
      <c r="AK3865">
        <v>0.46864586742352299</v>
      </c>
      <c r="AL3865">
        <v>81.631223279875002</v>
      </c>
      <c r="AM3865">
        <v>98.937295156898699</v>
      </c>
      <c r="AN3865">
        <v>0.99999997325392398</v>
      </c>
    </row>
    <row r="3866" spans="1:40" x14ac:dyDescent="0.25">
      <c r="A3866" t="str">
        <f>"20190303162629514"</f>
        <v>20190303162629514</v>
      </c>
      <c r="B3866" t="str">
        <f>"1551601589507547"</f>
        <v>1551601589507547</v>
      </c>
      <c r="C3866" t="s">
        <v>40</v>
      </c>
      <c r="D3866">
        <v>4.791188</v>
      </c>
      <c r="E3866">
        <v>0.54322859999999995</v>
      </c>
      <c r="F3866" t="s">
        <v>42</v>
      </c>
      <c r="G3866">
        <v>-395.43029999999999</v>
      </c>
      <c r="H3866">
        <v>0.85956390000000005</v>
      </c>
      <c r="I3866">
        <v>142.20660000000001</v>
      </c>
      <c r="J3866">
        <v>-395.3014</v>
      </c>
      <c r="K3866">
        <v>1.125257</v>
      </c>
      <c r="L3866">
        <v>142.2285</v>
      </c>
      <c r="M3866">
        <v>-0.99991730000000001</v>
      </c>
      <c r="N3866">
        <v>-1.2831550000000001E-2</v>
      </c>
      <c r="O3866">
        <v>-8.3850979999999895E-4</v>
      </c>
      <c r="P3866">
        <v>-0.97920669999999999</v>
      </c>
      <c r="Q3866">
        <v>0.13397429999999999</v>
      </c>
      <c r="R3866">
        <v>-0.15233169999999999</v>
      </c>
      <c r="S3866">
        <v>-3.1900940000000002</v>
      </c>
      <c r="T3866">
        <v>-1.0714159999999999</v>
      </c>
      <c r="U3866">
        <v>-0.1106415</v>
      </c>
      <c r="V3866">
        <v>-0.1530726</v>
      </c>
      <c r="W3866">
        <v>0.14489749999999901</v>
      </c>
      <c r="X3866">
        <v>0.97753440000000003</v>
      </c>
      <c r="Y3866">
        <v>-3.2038850000000001E-2</v>
      </c>
      <c r="Z3866">
        <v>-5.1828530000000003E-3</v>
      </c>
      <c r="AA3866">
        <v>0.99947319999999995</v>
      </c>
      <c r="AB3866">
        <v>33</v>
      </c>
      <c r="AC3866">
        <v>-0.128899999999987</v>
      </c>
      <c r="AD3866">
        <v>-0.26569309999999902</v>
      </c>
      <c r="AE3866">
        <v>-2.1899999999987999E-2</v>
      </c>
      <c r="AF3866">
        <v>-4.2483591161464199E-3</v>
      </c>
      <c r="AG3866">
        <v>-0.26569309999999902</v>
      </c>
      <c r="AH3866">
        <v>2.5132793884637902E-2</v>
      </c>
      <c r="AI3866">
        <v>174.520086702773</v>
      </c>
      <c r="AJ3866">
        <v>99.594382022140294</v>
      </c>
      <c r="AK3866">
        <v>0.26691296197681602</v>
      </c>
      <c r="AL3866">
        <v>81.668656352459095</v>
      </c>
      <c r="AM3866">
        <v>98.899702399350602</v>
      </c>
      <c r="AN3866">
        <v>1.00000000478018</v>
      </c>
    </row>
    <row r="3867" spans="1:40" x14ac:dyDescent="0.25">
      <c r="A3867" t="str">
        <f>"20190303162629534"</f>
        <v>20190303162629534</v>
      </c>
      <c r="B3867" t="str">
        <f>"1551601589527067"</f>
        <v>1551601589527067</v>
      </c>
      <c r="C3867" t="s">
        <v>40</v>
      </c>
      <c r="D3867">
        <v>4.7728199999999896</v>
      </c>
      <c r="E3867">
        <v>0.54336219999999902</v>
      </c>
      <c r="F3867" t="s">
        <v>42</v>
      </c>
      <c r="G3867">
        <v>-396.02080000000001</v>
      </c>
      <c r="H3867">
        <v>0.88489719999999905</v>
      </c>
      <c r="I3867">
        <v>142.19749999999999</v>
      </c>
      <c r="J3867">
        <v>-395.608</v>
      </c>
      <c r="K3867">
        <v>1.1254770000000001</v>
      </c>
      <c r="L3867">
        <v>142.22299999999899</v>
      </c>
      <c r="M3867">
        <v>-0.99989779999999995</v>
      </c>
      <c r="N3867">
        <v>-1.28491E-2</v>
      </c>
      <c r="O3867">
        <v>-6.2715929999999998E-3</v>
      </c>
      <c r="P3867">
        <v>-0.97862150000000003</v>
      </c>
      <c r="Q3867">
        <v>0.13242029999999999</v>
      </c>
      <c r="R3867">
        <v>-0.15736739999999999</v>
      </c>
      <c r="S3867">
        <v>-3.1880489999999999</v>
      </c>
      <c r="T3867">
        <v>-1.0651949999999999</v>
      </c>
      <c r="U3867">
        <v>-0.13742070000000001</v>
      </c>
      <c r="V3867">
        <v>-0.15285299999999999</v>
      </c>
      <c r="W3867">
        <v>0.14328089999999999</v>
      </c>
      <c r="X3867">
        <v>0.97780699999999998</v>
      </c>
      <c r="Y3867">
        <v>-3.5129430000000003E-2</v>
      </c>
      <c r="Z3867">
        <v>-3.9824769999999999E-3</v>
      </c>
      <c r="AA3867">
        <v>0.99937480000000001</v>
      </c>
      <c r="AB3867">
        <v>33</v>
      </c>
      <c r="AC3867">
        <v>-0.412800000000004</v>
      </c>
      <c r="AD3867">
        <v>-0.24057980000000001</v>
      </c>
      <c r="AE3867">
        <v>-2.5499999999993798E-2</v>
      </c>
      <c r="AF3867">
        <v>-1.71181843874505E-2</v>
      </c>
      <c r="AG3867">
        <v>-0.24057980000000001</v>
      </c>
      <c r="AH3867">
        <v>0.30854957950897899</v>
      </c>
      <c r="AI3867">
        <v>127.90128440511199</v>
      </c>
      <c r="AJ3867">
        <v>93.175487326764994</v>
      </c>
      <c r="AK3867">
        <v>0.39163058539895801</v>
      </c>
      <c r="AL3867">
        <v>81.762257374405394</v>
      </c>
      <c r="AM3867">
        <v>98.884700624207497</v>
      </c>
      <c r="AN3867">
        <v>0.99999999258140404</v>
      </c>
    </row>
    <row r="3868" spans="1:40" x14ac:dyDescent="0.25">
      <c r="A3868" t="str">
        <f>"20190303162629557"</f>
        <v>20190303162629557</v>
      </c>
      <c r="B3868" t="str">
        <f>"1551601589547563"</f>
        <v>1551601589547563</v>
      </c>
      <c r="C3868" t="s">
        <v>40</v>
      </c>
      <c r="D3868">
        <v>4.7547280000000001</v>
      </c>
      <c r="E3868">
        <v>0.54371269999999905</v>
      </c>
      <c r="F3868" t="s">
        <v>42</v>
      </c>
      <c r="G3868">
        <v>-396.31229999999999</v>
      </c>
      <c r="H3868">
        <v>0.88917570000000001</v>
      </c>
      <c r="I3868">
        <v>142.18940000000001</v>
      </c>
      <c r="J3868">
        <v>-395.93</v>
      </c>
      <c r="K3868">
        <v>1.1256820000000001</v>
      </c>
      <c r="L3868">
        <v>142.21530000000001</v>
      </c>
      <c r="M3868">
        <v>-0.99984289999999998</v>
      </c>
      <c r="N3868">
        <v>-1.286604E-2</v>
      </c>
      <c r="O3868">
        <v>-1.219963E-2</v>
      </c>
      <c r="P3868">
        <v>-0.9780664</v>
      </c>
      <c r="Q3868">
        <v>0.1295772</v>
      </c>
      <c r="R3868">
        <v>-0.1630829</v>
      </c>
      <c r="S3868">
        <v>-3.1855159999999998</v>
      </c>
      <c r="T3868">
        <v>-1.0694090000000001</v>
      </c>
      <c r="U3868">
        <v>-0.1536255</v>
      </c>
      <c r="V3868">
        <v>-0.15281</v>
      </c>
      <c r="W3868">
        <v>0.14037620000000001</v>
      </c>
      <c r="X3868">
        <v>0.97823490000000002</v>
      </c>
      <c r="Y3868">
        <v>-3.4626110000000002E-2</v>
      </c>
      <c r="Z3868">
        <v>-2.0522050000000001E-3</v>
      </c>
      <c r="AA3868">
        <v>0.99939820000000001</v>
      </c>
      <c r="AB3868">
        <v>33</v>
      </c>
      <c r="AC3868">
        <v>-0.38229999999998598</v>
      </c>
      <c r="AD3868">
        <v>-0.2365063</v>
      </c>
      <c r="AE3868">
        <v>-2.5900000000007101E-2</v>
      </c>
      <c r="AF3868">
        <v>-1.5376007053277E-2</v>
      </c>
      <c r="AG3868">
        <v>-0.2365063</v>
      </c>
      <c r="AH3868">
        <v>0.27704309095733098</v>
      </c>
      <c r="AI3868">
        <v>130.44323799763399</v>
      </c>
      <c r="AJ3868">
        <v>93.176680619863504</v>
      </c>
      <c r="AK3868">
        <v>0.36458815913271803</v>
      </c>
      <c r="AL3868">
        <v>81.930383668824405</v>
      </c>
      <c r="AM3868">
        <v>98.878417709633496</v>
      </c>
      <c r="AN3868">
        <v>0.99999994660222302</v>
      </c>
    </row>
    <row r="3869" spans="1:40" x14ac:dyDescent="0.25">
      <c r="A3869" t="str">
        <f>"20190303162629580"</f>
        <v>20190303162629580</v>
      </c>
      <c r="B3869" t="str">
        <f>"1551601589567083"</f>
        <v>1551601589567083</v>
      </c>
      <c r="C3869" t="s">
        <v>40</v>
      </c>
      <c r="D3869">
        <v>4.7596959999999999</v>
      </c>
      <c r="E3869">
        <v>0.54403849999999998</v>
      </c>
      <c r="F3869" t="s">
        <v>42</v>
      </c>
      <c r="G3869">
        <v>-396.60520000000002</v>
      </c>
      <c r="H3869">
        <v>0.89708709999999903</v>
      </c>
      <c r="I3869">
        <v>142.17840000000001</v>
      </c>
      <c r="J3869">
        <v>-396.25749999999999</v>
      </c>
      <c r="K3869">
        <v>1.125877</v>
      </c>
      <c r="L3869">
        <v>142.20519999999999</v>
      </c>
      <c r="M3869">
        <v>-0.99974669999999999</v>
      </c>
      <c r="N3869">
        <v>-1.288312E-2</v>
      </c>
      <c r="O3869">
        <v>-1.8461740000000001E-2</v>
      </c>
      <c r="P3869">
        <v>-0.97721219999999998</v>
      </c>
      <c r="Q3869">
        <v>0.127136</v>
      </c>
      <c r="R3869">
        <v>-0.16997909999999999</v>
      </c>
      <c r="S3869">
        <v>-3.1809080000000001</v>
      </c>
      <c r="T3869">
        <v>-1.0767960000000001</v>
      </c>
      <c r="U3869">
        <v>-0.1739349</v>
      </c>
      <c r="V3869">
        <v>-0.1536226</v>
      </c>
      <c r="W3869">
        <v>0.1378655</v>
      </c>
      <c r="X3869">
        <v>0.97846469999999997</v>
      </c>
      <c r="Y3869">
        <v>-3.5075780000000001E-2</v>
      </c>
      <c r="Z3869">
        <v>-1.609693E-4</v>
      </c>
      <c r="AA3869">
        <v>0.99938459999999996</v>
      </c>
      <c r="AB3869">
        <v>33</v>
      </c>
      <c r="AC3869">
        <v>-0.34770000000003098</v>
      </c>
      <c r="AD3869">
        <v>-0.22878989999999999</v>
      </c>
      <c r="AE3869">
        <v>-2.67999999999801E-2</v>
      </c>
      <c r="AF3869">
        <v>-1.4244600753751301E-2</v>
      </c>
      <c r="AG3869">
        <v>-0.22878989999999999</v>
      </c>
      <c r="AH3869">
        <v>0.243380056923508</v>
      </c>
      <c r="AI3869">
        <v>133.18122329426299</v>
      </c>
      <c r="AJ3869">
        <v>93.349598555186404</v>
      </c>
      <c r="AK3869">
        <v>0.334337522723271</v>
      </c>
      <c r="AL3869">
        <v>82.075649175681605</v>
      </c>
      <c r="AM3869">
        <v>98.922810204591201</v>
      </c>
      <c r="AN3869">
        <v>0.99999998423354897</v>
      </c>
    </row>
    <row r="3870" spans="1:40" x14ac:dyDescent="0.25">
      <c r="A3870" t="str">
        <f>"20190303162629602"</f>
        <v>20190303162629602</v>
      </c>
      <c r="B3870" t="str">
        <f>"1551601589597339"</f>
        <v>1551601589597339</v>
      </c>
      <c r="C3870" t="s">
        <v>40</v>
      </c>
      <c r="D3870">
        <v>5.2335430000000001</v>
      </c>
      <c r="E3870">
        <v>0.54417930000000003</v>
      </c>
      <c r="F3870" t="s">
        <v>42</v>
      </c>
      <c r="G3870">
        <v>-397.15269999999998</v>
      </c>
      <c r="H3870">
        <v>0.82082509999999997</v>
      </c>
      <c r="I3870">
        <v>142.1499</v>
      </c>
      <c r="J3870">
        <v>-396.57400000000001</v>
      </c>
      <c r="K3870">
        <v>1.1260490000000001</v>
      </c>
      <c r="L3870">
        <v>142.19329999999999</v>
      </c>
      <c r="M3870">
        <v>-0.99961160000000004</v>
      </c>
      <c r="N3870">
        <v>-1.2900119999999999E-2</v>
      </c>
      <c r="O3870">
        <v>-2.4706909999999999E-2</v>
      </c>
      <c r="P3870">
        <v>-0.97583940000000002</v>
      </c>
      <c r="Q3870">
        <v>0.12471500000000001</v>
      </c>
      <c r="R3870">
        <v>-0.17939840000000001</v>
      </c>
      <c r="S3870">
        <v>-3.176666</v>
      </c>
      <c r="T3870">
        <v>-1.0824670000000001</v>
      </c>
      <c r="U3870">
        <v>-0.19622800000000001</v>
      </c>
      <c r="V3870">
        <v>-0.15697920000000001</v>
      </c>
      <c r="W3870">
        <v>0.1353454</v>
      </c>
      <c r="X3870">
        <v>0.97828380000000004</v>
      </c>
      <c r="Y3870">
        <v>-3.614506E-2</v>
      </c>
      <c r="Z3870">
        <v>1.6444160000000001E-3</v>
      </c>
      <c r="AA3870">
        <v>0.99934520000000004</v>
      </c>
      <c r="AB3870">
        <v>33</v>
      </c>
      <c r="AC3870">
        <v>-0.57869999999996902</v>
      </c>
      <c r="AD3870">
        <v>-0.30522389999999999</v>
      </c>
      <c r="AE3870">
        <v>-4.3399999999991203E-2</v>
      </c>
      <c r="AF3870">
        <v>-2.2784788063651602E-2</v>
      </c>
      <c r="AG3870">
        <v>-0.30522389999999999</v>
      </c>
      <c r="AH3870">
        <v>0.454005557917456</v>
      </c>
      <c r="AI3870">
        <v>123.879230942129</v>
      </c>
      <c r="AJ3870">
        <v>92.873043765566706</v>
      </c>
      <c r="AK3870">
        <v>0.54754161697377501</v>
      </c>
      <c r="AL3870">
        <v>82.221406991449996</v>
      </c>
      <c r="AM3870">
        <v>99.116189171543397</v>
      </c>
      <c r="AN3870">
        <v>1.0000000199381101</v>
      </c>
    </row>
    <row r="3871" spans="1:40" x14ac:dyDescent="0.25">
      <c r="A3871" t="str">
        <f>"20190303162629624"</f>
        <v>20190303162629624</v>
      </c>
      <c r="B3871" t="str">
        <f>"1551601589617836"</f>
        <v>1551601589617836</v>
      </c>
      <c r="C3871" t="s">
        <v>40</v>
      </c>
      <c r="D3871">
        <v>4.8891309999999999</v>
      </c>
      <c r="E3871">
        <v>0.52610900000000005</v>
      </c>
      <c r="F3871" t="s">
        <v>42</v>
      </c>
      <c r="G3871">
        <v>-397.4443</v>
      </c>
      <c r="H3871">
        <v>0.82719179999999903</v>
      </c>
      <c r="I3871">
        <v>142.131</v>
      </c>
      <c r="J3871">
        <v>-396.90170000000001</v>
      </c>
      <c r="K3871">
        <v>1.1262000000000001</v>
      </c>
      <c r="L3871">
        <v>142.17869999999999</v>
      </c>
      <c r="M3871">
        <v>-0.99942560000000003</v>
      </c>
      <c r="N3871">
        <v>-1.291669E-2</v>
      </c>
      <c r="O3871">
        <v>-3.1329120000000002E-2</v>
      </c>
      <c r="P3871">
        <v>-0.97393370000000001</v>
      </c>
      <c r="Q3871">
        <v>0.1224867</v>
      </c>
      <c r="R3871">
        <v>-0.1909198</v>
      </c>
      <c r="S3871">
        <v>-3.1716000000000002</v>
      </c>
      <c r="T3871">
        <v>-1.089388</v>
      </c>
      <c r="U3871">
        <v>-0.2275848</v>
      </c>
      <c r="V3871">
        <v>-0.16208439999999999</v>
      </c>
      <c r="W3871">
        <v>0.132995</v>
      </c>
      <c r="X3871">
        <v>0.97777349999999996</v>
      </c>
      <c r="Y3871">
        <v>-3.9592629999999997E-2</v>
      </c>
      <c r="Z3871">
        <v>3.1852410000000001E-3</v>
      </c>
      <c r="AA3871">
        <v>0.99921079999999995</v>
      </c>
      <c r="AB3871">
        <v>33</v>
      </c>
      <c r="AC3871">
        <v>-0.54259999999999298</v>
      </c>
      <c r="AD3871">
        <v>-0.2990082</v>
      </c>
      <c r="AE3871">
        <v>-4.7699999999991798E-2</v>
      </c>
      <c r="AF3871">
        <v>-2.3572530080582601E-2</v>
      </c>
      <c r="AG3871">
        <v>-0.2990082</v>
      </c>
      <c r="AH3871">
        <v>0.41789714014093898</v>
      </c>
      <c r="AI3871">
        <v>125.54091707677399</v>
      </c>
      <c r="AJ3871">
        <v>93.228490050124805</v>
      </c>
      <c r="AK3871">
        <v>0.51439244510355697</v>
      </c>
      <c r="AL3871">
        <v>82.357303760315801</v>
      </c>
      <c r="AM3871">
        <v>99.412264774079304</v>
      </c>
      <c r="AN3871">
        <v>1.0000000200253001</v>
      </c>
    </row>
    <row r="3872" spans="1:40" x14ac:dyDescent="0.25">
      <c r="A3872" t="str">
        <f>"20190303162629646"</f>
        <v>20190303162629646</v>
      </c>
      <c r="B3872" t="str">
        <f>"1551601589637355"</f>
        <v>1551601589637355</v>
      </c>
      <c r="C3872" t="s">
        <v>40</v>
      </c>
      <c r="D3872">
        <v>4.2490629999999996</v>
      </c>
      <c r="E3872">
        <v>0.51465209999999995</v>
      </c>
      <c r="F3872" t="s">
        <v>42</v>
      </c>
      <c r="G3872">
        <v>-397.78179999999998</v>
      </c>
      <c r="H3872">
        <v>0.94230539999999996</v>
      </c>
      <c r="I3872">
        <v>142.0658</v>
      </c>
      <c r="J3872">
        <v>-397.22030000000001</v>
      </c>
      <c r="K3872">
        <v>1.1263350000000001</v>
      </c>
      <c r="L3872">
        <v>142.16220000000001</v>
      </c>
      <c r="M3872">
        <v>-0.99919760000000002</v>
      </c>
      <c r="N3872">
        <v>-1.2931160000000001E-2</v>
      </c>
      <c r="O3872">
        <v>-3.7908789999999998E-2</v>
      </c>
      <c r="P3872">
        <v>-0.97155029999999998</v>
      </c>
      <c r="Q3872">
        <v>0.1209379</v>
      </c>
      <c r="R3872">
        <v>-0.20362739999999999</v>
      </c>
      <c r="S3872">
        <v>-3.0836790000000001</v>
      </c>
      <c r="T3872">
        <v>-0.64478040000000003</v>
      </c>
      <c r="U3872">
        <v>-0.39640809999999999</v>
      </c>
      <c r="V3872">
        <v>-0.16844700000000001</v>
      </c>
      <c r="W3872">
        <v>0.13130620000000001</v>
      </c>
      <c r="X3872">
        <v>0.97692590000000001</v>
      </c>
      <c r="Y3872">
        <v>-8.8514019999999999E-2</v>
      </c>
      <c r="Z3872">
        <v>-2.3789010000000001E-3</v>
      </c>
      <c r="AA3872">
        <v>0.99607210000000002</v>
      </c>
      <c r="AB3872">
        <v>33</v>
      </c>
      <c r="AC3872">
        <v>-0.56149999999996603</v>
      </c>
      <c r="AD3872">
        <v>-0.18402959999999999</v>
      </c>
      <c r="AE3872">
        <v>-9.6400000000016903E-2</v>
      </c>
      <c r="AF3872">
        <v>-6.7952788503459205E-2</v>
      </c>
      <c r="AG3872">
        <v>-0.18402959999999999</v>
      </c>
      <c r="AH3872">
        <v>0.51139134002641495</v>
      </c>
      <c r="AI3872">
        <v>109.63259365513601</v>
      </c>
      <c r="AJ3872">
        <v>97.569023175295101</v>
      </c>
      <c r="AK3872">
        <v>0.54772764928892204</v>
      </c>
      <c r="AL3872">
        <v>82.4549205805247</v>
      </c>
      <c r="AM3872">
        <v>99.783062023959999</v>
      </c>
      <c r="AN3872">
        <v>0.999999962029124</v>
      </c>
    </row>
    <row r="3873" spans="1:40" x14ac:dyDescent="0.25">
      <c r="A3873" t="str">
        <f>"20190303162629670"</f>
        <v>20190303162629670</v>
      </c>
      <c r="B3873" t="str">
        <f>"1551601589657852"</f>
        <v>1551601589657852</v>
      </c>
      <c r="C3873" t="s">
        <v>40</v>
      </c>
      <c r="D3873">
        <v>4.8762290000000004</v>
      </c>
      <c r="E3873">
        <v>0.449405</v>
      </c>
      <c r="F3873" t="s">
        <v>47</v>
      </c>
      <c r="G3873">
        <v>-403.452</v>
      </c>
      <c r="H3873" s="1">
        <v>-7.5022610000000001E-6</v>
      </c>
      <c r="I3873">
        <v>141.08940000000001</v>
      </c>
      <c r="J3873">
        <v>-397.56939999999997</v>
      </c>
      <c r="K3873">
        <v>1.1264730000000001</v>
      </c>
      <c r="L3873">
        <v>142.14169999999999</v>
      </c>
      <c r="M3873">
        <v>-0.99889090000000003</v>
      </c>
      <c r="N3873">
        <v>-1.294646E-2</v>
      </c>
      <c r="O3873">
        <v>-4.5272279999999998E-2</v>
      </c>
      <c r="P3873">
        <v>-0.96865679999999998</v>
      </c>
      <c r="Q3873">
        <v>0.12114419999999999</v>
      </c>
      <c r="R3873">
        <v>-0.2168601</v>
      </c>
      <c r="S3873">
        <v>-3.046478</v>
      </c>
      <c r="T3873">
        <v>-0.55063469999999903</v>
      </c>
      <c r="U3873">
        <v>-0.52447509999999997</v>
      </c>
      <c r="V3873">
        <v>-0.1746289</v>
      </c>
      <c r="W3873">
        <v>0.13136819999999999</v>
      </c>
      <c r="X3873">
        <v>0.97583149999999996</v>
      </c>
      <c r="Y3873">
        <v>-0.1233976</v>
      </c>
      <c r="Z3873">
        <v>-4.323632E-3</v>
      </c>
      <c r="AA3873">
        <v>0.99234789999999995</v>
      </c>
      <c r="AB3873">
        <v>33</v>
      </c>
      <c r="AC3873">
        <v>-5.8826000000000196</v>
      </c>
      <c r="AD3873">
        <v>-1.126480502261</v>
      </c>
      <c r="AE3873">
        <v>-1.05229999999997</v>
      </c>
      <c r="AF3873">
        <v>-0.75794787021349797</v>
      </c>
      <c r="AG3873">
        <v>-1.126480502261</v>
      </c>
      <c r="AH3873">
        <v>5.7209308398477603</v>
      </c>
      <c r="AI3873">
        <v>101.045215748095</v>
      </c>
      <c r="AJ3873">
        <v>97.546983011346001</v>
      </c>
      <c r="AK3873">
        <v>5.8798378353706804</v>
      </c>
      <c r="AL3873">
        <v>82.451337388043001</v>
      </c>
      <c r="AM3873">
        <v>100.145909746377</v>
      </c>
      <c r="AN3873">
        <v>0.99999998653934996</v>
      </c>
    </row>
    <row r="3874" spans="1:40" x14ac:dyDescent="0.25">
      <c r="A3874" t="str">
        <f>"20190303162629696"</f>
        <v>20190303162629696</v>
      </c>
      <c r="B3874" t="str">
        <f>"1551601589688108"</f>
        <v>1551601589688108</v>
      </c>
      <c r="C3874" t="s">
        <v>40</v>
      </c>
      <c r="D3874">
        <v>4.8413849999999998</v>
      </c>
      <c r="E3874">
        <v>0.38850950000000001</v>
      </c>
      <c r="F3874" t="s">
        <v>60</v>
      </c>
      <c r="G3874">
        <v>-459.06659999999999</v>
      </c>
      <c r="H3874">
        <v>4.1177229999999998</v>
      </c>
      <c r="I3874">
        <v>119.395</v>
      </c>
      <c r="J3874">
        <v>-397.93299999999999</v>
      </c>
      <c r="K3874">
        <v>1.1266119999999999</v>
      </c>
      <c r="L3874">
        <v>142.11750000000001</v>
      </c>
      <c r="M3874">
        <v>-0.99850439999999996</v>
      </c>
      <c r="N3874">
        <v>-1.296302E-2</v>
      </c>
      <c r="O3874">
        <v>-5.3111989999999998E-2</v>
      </c>
      <c r="P3874">
        <v>-0.96572919999999995</v>
      </c>
      <c r="Q3874">
        <v>0.1210402</v>
      </c>
      <c r="R3874">
        <v>-0.2296009</v>
      </c>
      <c r="S3874">
        <v>-2.8442080000000001</v>
      </c>
      <c r="T3874">
        <v>0.13834440000000001</v>
      </c>
      <c r="U3874">
        <v>-1.052017</v>
      </c>
      <c r="V3874">
        <v>-0.17987429999999999</v>
      </c>
      <c r="W3874">
        <v>0.13113039999999901</v>
      </c>
      <c r="X3874">
        <v>0.97491030000000001</v>
      </c>
      <c r="Y3874">
        <v>-0.29647380000000001</v>
      </c>
      <c r="Z3874">
        <v>1.8311759999999999E-3</v>
      </c>
      <c r="AA3874">
        <v>0.95503919999999998</v>
      </c>
      <c r="AB3874">
        <v>33</v>
      </c>
      <c r="AC3874">
        <v>-61.133599999999902</v>
      </c>
      <c r="AD3874">
        <v>2.9911110000000001</v>
      </c>
      <c r="AE3874">
        <v>-22.7225</v>
      </c>
      <c r="AF3874">
        <v>-19.402413657759801</v>
      </c>
      <c r="AG3874">
        <v>2.9911110000000001</v>
      </c>
      <c r="AH3874">
        <v>62.123572057192</v>
      </c>
      <c r="AI3874">
        <v>87.368627285210394</v>
      </c>
      <c r="AJ3874">
        <v>107.344611347686</v>
      </c>
      <c r="AK3874">
        <v>65.151658504647997</v>
      </c>
      <c r="AL3874">
        <v>82.465081465554306</v>
      </c>
      <c r="AM3874">
        <v>100.453706185927</v>
      </c>
      <c r="AN3874">
        <v>1.00000001932536</v>
      </c>
    </row>
    <row r="3875" spans="1:40" x14ac:dyDescent="0.25">
      <c r="A3875" t="str">
        <f>"20190303162629715"</f>
        <v>20190303162629715</v>
      </c>
      <c r="B3875" t="str">
        <f>"1551601589707628"</f>
        <v>1551601589707628</v>
      </c>
      <c r="C3875" t="s">
        <v>40</v>
      </c>
      <c r="D3875">
        <v>4.9096000000000002</v>
      </c>
      <c r="E3875">
        <v>0.38649169999999999</v>
      </c>
      <c r="F3875" t="s">
        <v>47</v>
      </c>
      <c r="G3875">
        <v>-410.0215</v>
      </c>
      <c r="H3875" s="1">
        <v>-8.7497599999999994E-6</v>
      </c>
      <c r="I3875">
        <v>135.21940000000001</v>
      </c>
      <c r="J3875">
        <v>-398.21440000000001</v>
      </c>
      <c r="K3875">
        <v>1.126733</v>
      </c>
      <c r="L3875">
        <v>142.0966</v>
      </c>
      <c r="M3875">
        <v>-0.99815509999999996</v>
      </c>
      <c r="N3875">
        <v>-1.297706E-2</v>
      </c>
      <c r="O3875">
        <v>-5.9313989999999997E-2</v>
      </c>
      <c r="P3875">
        <v>-0.96318269999999995</v>
      </c>
      <c r="Q3875">
        <v>0.1210789</v>
      </c>
      <c r="R3875">
        <v>-0.24003969999999999</v>
      </c>
      <c r="S3875">
        <v>-2.7637939999999999</v>
      </c>
      <c r="T3875">
        <v>-0.2575809</v>
      </c>
      <c r="U3875">
        <v>-1.577118</v>
      </c>
      <c r="V3875">
        <v>-0.18441370000000001</v>
      </c>
      <c r="W3875">
        <v>0.13105430000000001</v>
      </c>
      <c r="X3875">
        <v>0.97407200000000005</v>
      </c>
      <c r="Y3875">
        <v>-0.44168410000000002</v>
      </c>
      <c r="Z3875">
        <v>-1.7784089999999999E-2</v>
      </c>
      <c r="AA3875">
        <v>0.89699439999999997</v>
      </c>
      <c r="AB3875">
        <v>33</v>
      </c>
      <c r="AC3875">
        <v>-11.807099999999901</v>
      </c>
      <c r="AD3875">
        <v>-1.1267417497600001</v>
      </c>
      <c r="AE3875">
        <v>-6.8771999999999798</v>
      </c>
      <c r="AF3875">
        <v>-6.1230689970253804</v>
      </c>
      <c r="AG3875">
        <v>-1.1267417497600001</v>
      </c>
      <c r="AH3875">
        <v>12.111898594044201</v>
      </c>
      <c r="AI3875">
        <v>94.745905491045605</v>
      </c>
      <c r="AJ3875">
        <v>116.818497475352</v>
      </c>
      <c r="AK3875">
        <v>13.618355571264599</v>
      </c>
      <c r="AL3875">
        <v>82.469479117836897</v>
      </c>
      <c r="AM3875">
        <v>100.72049442378901</v>
      </c>
      <c r="AN3875">
        <v>0.99999995174008804</v>
      </c>
    </row>
    <row r="3876" spans="1:40" x14ac:dyDescent="0.25">
      <c r="A3876" t="str">
        <f>"20190303162629746"</f>
        <v>20190303162629746</v>
      </c>
      <c r="B3876" t="str">
        <f>"1551601589737884"</f>
        <v>1551601589737884</v>
      </c>
      <c r="C3876" t="s">
        <v>40</v>
      </c>
      <c r="D3876">
        <v>4.8231349999999997</v>
      </c>
      <c r="E3876">
        <v>0.38714150000000003</v>
      </c>
      <c r="F3876" t="s">
        <v>42</v>
      </c>
      <c r="G3876">
        <v>-399.04680000000002</v>
      </c>
      <c r="H3876">
        <v>1.038937</v>
      </c>
      <c r="I3876">
        <v>141.6044</v>
      </c>
      <c r="J3876">
        <v>-398.661</v>
      </c>
      <c r="K3876">
        <v>1.126943</v>
      </c>
      <c r="L3876">
        <v>142.05940000000001</v>
      </c>
      <c r="M3876">
        <v>-0.99750159999999999</v>
      </c>
      <c r="N3876">
        <v>-1.300188E-2</v>
      </c>
      <c r="O3876">
        <v>-6.9436730000000002E-2</v>
      </c>
      <c r="P3876">
        <v>-0.95966949999999995</v>
      </c>
      <c r="Q3876">
        <v>0.1220478</v>
      </c>
      <c r="R3876">
        <v>-0.25325619999999999</v>
      </c>
      <c r="S3876">
        <v>-2.7463069999999998</v>
      </c>
      <c r="T3876">
        <v>-0.28963729999999999</v>
      </c>
      <c r="U3876">
        <v>-1.624268</v>
      </c>
      <c r="V3876">
        <v>-0.18801570000000001</v>
      </c>
      <c r="W3876">
        <v>0.13189000000000001</v>
      </c>
      <c r="X3876">
        <v>0.97327039999999998</v>
      </c>
      <c r="Y3876">
        <v>-0.44618029999999997</v>
      </c>
      <c r="Z3876">
        <v>-1.8958369999999999E-2</v>
      </c>
      <c r="AA3876">
        <v>0.89474229999999999</v>
      </c>
      <c r="AB3876">
        <v>33</v>
      </c>
      <c r="AC3876">
        <v>-0.38580000000001702</v>
      </c>
      <c r="AD3876">
        <v>-8.8006000000000001E-2</v>
      </c>
      <c r="AE3876">
        <v>-0.45500000000001201</v>
      </c>
      <c r="AF3876">
        <v>-0.41801304504391701</v>
      </c>
      <c r="AG3876">
        <v>-8.8006000000000001E-2</v>
      </c>
      <c r="AH3876">
        <v>0.40759419196293101</v>
      </c>
      <c r="AI3876">
        <v>98.572046136090805</v>
      </c>
      <c r="AJ3876">
        <v>135.723012827128</v>
      </c>
      <c r="AK3876">
        <v>0.59043457485550599</v>
      </c>
      <c r="AL3876">
        <v>82.421178697255101</v>
      </c>
      <c r="AM3876">
        <v>100.933678002685</v>
      </c>
      <c r="AN3876">
        <v>1.0000000735313199</v>
      </c>
    </row>
    <row r="3877" spans="1:40" x14ac:dyDescent="0.25">
      <c r="A3877" t="str">
        <f>"20190303162629769"</f>
        <v>20190303162629769</v>
      </c>
      <c r="B3877" t="str">
        <f>"1551601589758380"</f>
        <v>1551601589758380</v>
      </c>
      <c r="C3877" t="s">
        <v>40</v>
      </c>
      <c r="D3877">
        <v>4.92598</v>
      </c>
      <c r="E3877">
        <v>0.38793430000000001</v>
      </c>
      <c r="F3877" t="s">
        <v>42</v>
      </c>
      <c r="G3877">
        <v>-399.5197</v>
      </c>
      <c r="H3877">
        <v>1.0327029999999999</v>
      </c>
      <c r="I3877">
        <v>141.53700000000001</v>
      </c>
      <c r="J3877">
        <v>-398.98309999999998</v>
      </c>
      <c r="K3877">
        <v>1.1271009999999999</v>
      </c>
      <c r="L3877">
        <v>142.02959999999999</v>
      </c>
      <c r="M3877">
        <v>-0.99695100000000003</v>
      </c>
      <c r="N3877">
        <v>-1.3021420000000001E-2</v>
      </c>
      <c r="O3877">
        <v>-7.6937420000000006E-2</v>
      </c>
      <c r="P3877">
        <v>-0.95724989999999999</v>
      </c>
      <c r="Q3877">
        <v>0.123193899999999</v>
      </c>
      <c r="R3877">
        <v>-0.26171759999999999</v>
      </c>
      <c r="S3877">
        <v>-2.7264710000000001</v>
      </c>
      <c r="T3877">
        <v>-0.2992126</v>
      </c>
      <c r="U3877">
        <v>-1.6583859999999999</v>
      </c>
      <c r="V3877">
        <v>-0.18936790000000001</v>
      </c>
      <c r="W3877">
        <v>0.13295870000000001</v>
      </c>
      <c r="X3877">
        <v>0.97286269999999997</v>
      </c>
      <c r="Y3877">
        <v>-0.45039829999999997</v>
      </c>
      <c r="Z3877">
        <v>-1.910276E-2</v>
      </c>
      <c r="AA3877">
        <v>0.89262339999999996</v>
      </c>
      <c r="AB3877">
        <v>33</v>
      </c>
      <c r="AC3877">
        <v>-0.53660000000002095</v>
      </c>
      <c r="AD3877">
        <v>-9.4397999999999899E-2</v>
      </c>
      <c r="AE3877">
        <v>-0.492599999999981</v>
      </c>
      <c r="AF3877">
        <v>-0.44242135736972799</v>
      </c>
      <c r="AG3877">
        <v>-9.4397999999999899E-2</v>
      </c>
      <c r="AH3877">
        <v>0.56344903363159904</v>
      </c>
      <c r="AI3877">
        <v>97.506584606930005</v>
      </c>
      <c r="AJ3877">
        <v>128.13907704738699</v>
      </c>
      <c r="AK3877">
        <v>0.72258041307611898</v>
      </c>
      <c r="AL3877">
        <v>82.359402273493103</v>
      </c>
      <c r="AM3877">
        <v>101.014898768278</v>
      </c>
      <c r="AN3877">
        <v>1.00000002525369</v>
      </c>
    </row>
    <row r="3878" spans="1:40" x14ac:dyDescent="0.25">
      <c r="A3878" t="str">
        <f>"20190303162629790"</f>
        <v>20190303162629790</v>
      </c>
      <c r="B3878" t="str">
        <f>"1551601589777900"</f>
        <v>1551601589777900</v>
      </c>
      <c r="C3878" t="s">
        <v>40</v>
      </c>
      <c r="D3878">
        <v>4.9024559999999999</v>
      </c>
      <c r="E3878">
        <v>0.38928360000000001</v>
      </c>
      <c r="F3878" t="s">
        <v>42</v>
      </c>
      <c r="G3878">
        <v>-399.80790000000002</v>
      </c>
      <c r="H3878">
        <v>1.0358309999999999</v>
      </c>
      <c r="I3878">
        <v>141.52010000000001</v>
      </c>
      <c r="J3878">
        <v>-399.30040000000002</v>
      </c>
      <c r="K3878">
        <v>1.1272519999999999</v>
      </c>
      <c r="L3878">
        <v>141.99770000000001</v>
      </c>
      <c r="M3878">
        <v>-0.99633870000000002</v>
      </c>
      <c r="N3878">
        <v>-1.304072E-2</v>
      </c>
      <c r="O3878">
        <v>-8.4493349999999995E-2</v>
      </c>
      <c r="P3878">
        <v>-0.95487869999999997</v>
      </c>
      <c r="Q3878">
        <v>0.1239244</v>
      </c>
      <c r="R3878">
        <v>-0.2699067</v>
      </c>
      <c r="S3878">
        <v>-2.7140810000000002</v>
      </c>
      <c r="T3878">
        <v>-0.30031000000000002</v>
      </c>
      <c r="U3878">
        <v>-1.67701699999999</v>
      </c>
      <c r="V3878">
        <v>-0.19039449999999999</v>
      </c>
      <c r="W3878">
        <v>0.13361979999999901</v>
      </c>
      <c r="X3878">
        <v>0.97257170000000004</v>
      </c>
      <c r="Y3878">
        <v>-0.44990150000000001</v>
      </c>
      <c r="Z3878">
        <v>-1.850891E-2</v>
      </c>
      <c r="AA3878">
        <v>0.89288639999999997</v>
      </c>
      <c r="AB3878">
        <v>33</v>
      </c>
      <c r="AC3878">
        <v>-0.50749999999999296</v>
      </c>
      <c r="AD3878">
        <v>-9.1421000000000197E-2</v>
      </c>
      <c r="AE3878">
        <v>-0.47759999999999497</v>
      </c>
      <c r="AF3878">
        <v>-0.425682149096895</v>
      </c>
      <c r="AG3878">
        <v>-9.1421000000000197E-2</v>
      </c>
      <c r="AH3878">
        <v>0.53680436011504695</v>
      </c>
      <c r="AI3878">
        <v>97.600733656044795</v>
      </c>
      <c r="AJ3878">
        <v>128.41417366137199</v>
      </c>
      <c r="AK3878">
        <v>0.69117437187679098</v>
      </c>
      <c r="AL3878">
        <v>82.321182924193096</v>
      </c>
      <c r="AM3878">
        <v>101.07637189751</v>
      </c>
      <c r="AN3878">
        <v>1.0000000141115899</v>
      </c>
    </row>
    <row r="3879" spans="1:40" x14ac:dyDescent="0.25">
      <c r="A3879" t="str">
        <f>"20190303162629814"</f>
        <v>20190303162629814</v>
      </c>
      <c r="B3879" t="str">
        <f>"1551601589807180"</f>
        <v>1551601589807180</v>
      </c>
      <c r="C3879" t="s">
        <v>40</v>
      </c>
      <c r="D3879">
        <v>4.9567269999999999</v>
      </c>
      <c r="E3879">
        <v>0.39120519999999998</v>
      </c>
      <c r="F3879" t="s">
        <v>42</v>
      </c>
      <c r="G3879">
        <v>-400.09660000000002</v>
      </c>
      <c r="H3879">
        <v>1.0398780000000001</v>
      </c>
      <c r="I3879">
        <v>141.5001</v>
      </c>
      <c r="J3879">
        <v>-399.63260000000002</v>
      </c>
      <c r="K3879">
        <v>1.127416</v>
      </c>
      <c r="L3879">
        <v>141.9615</v>
      </c>
      <c r="M3879">
        <v>-0.99561670000000002</v>
      </c>
      <c r="N3879">
        <v>-1.306149E-2</v>
      </c>
      <c r="O3879">
        <v>-9.2609929999999993E-2</v>
      </c>
      <c r="P3879">
        <v>-0.95241620000000005</v>
      </c>
      <c r="Q3879">
        <v>0.12343700000000001</v>
      </c>
      <c r="R3879">
        <v>-0.27868720000000002</v>
      </c>
      <c r="S3879">
        <v>-2.7027890000000001</v>
      </c>
      <c r="T3879">
        <v>-0.29660170000000002</v>
      </c>
      <c r="U3879">
        <v>-1.6892400000000001</v>
      </c>
      <c r="V3879">
        <v>-0.19146450000000001</v>
      </c>
      <c r="W3879">
        <v>0.13305890000000001</v>
      </c>
      <c r="X3879">
        <v>0.97243849999999998</v>
      </c>
      <c r="Y3879">
        <v>-0.44728220000000002</v>
      </c>
      <c r="Z3879">
        <v>-1.7523319999999998E-2</v>
      </c>
      <c r="AA3879">
        <v>0.89422119999999905</v>
      </c>
      <c r="AB3879">
        <v>33</v>
      </c>
      <c r="AC3879">
        <v>-0.46399999999999803</v>
      </c>
      <c r="AD3879">
        <v>-8.7537999999999894E-2</v>
      </c>
      <c r="AE3879">
        <v>-0.46139999999999698</v>
      </c>
      <c r="AF3879">
        <v>-0.40912040055582299</v>
      </c>
      <c r="AG3879">
        <v>-8.7537999999999894E-2</v>
      </c>
      <c r="AH3879">
        <v>0.49586536830089301</v>
      </c>
      <c r="AI3879">
        <v>97.7543171862485</v>
      </c>
      <c r="AJ3879">
        <v>129.52479496004301</v>
      </c>
      <c r="AK3879">
        <v>0.64878722789150001</v>
      </c>
      <c r="AL3879">
        <v>82.353609428557107</v>
      </c>
      <c r="AM3879">
        <v>101.138555504772</v>
      </c>
      <c r="AN3879">
        <v>0.99999998095585396</v>
      </c>
    </row>
    <row r="3880" spans="1:40" x14ac:dyDescent="0.25">
      <c r="A3880" t="str">
        <f>"20190303162629841"</f>
        <v>20190303162629841</v>
      </c>
      <c r="B3880" t="str">
        <f>"1551601589827675"</f>
        <v>1551601589827675</v>
      </c>
      <c r="C3880" t="s">
        <v>40</v>
      </c>
      <c r="D3880">
        <v>5.0031460000000001</v>
      </c>
      <c r="E3880">
        <v>0.39230939999999997</v>
      </c>
      <c r="F3880" t="s">
        <v>42</v>
      </c>
      <c r="G3880">
        <v>-400.45569999999998</v>
      </c>
      <c r="H3880">
        <v>1.037569</v>
      </c>
      <c r="I3880">
        <v>141.44229999999999</v>
      </c>
      <c r="J3880">
        <v>-400.00940000000003</v>
      </c>
      <c r="K3880">
        <v>1.1276090000000001</v>
      </c>
      <c r="L3880">
        <v>141.917</v>
      </c>
      <c r="M3880">
        <v>-0.99468800000000002</v>
      </c>
      <c r="N3880">
        <v>-1.308819E-2</v>
      </c>
      <c r="O3880">
        <v>-0.1020996</v>
      </c>
      <c r="P3880">
        <v>-0.94971609999999995</v>
      </c>
      <c r="Q3880">
        <v>0.1229326</v>
      </c>
      <c r="R3880">
        <v>-0.28797040000000002</v>
      </c>
      <c r="S3880">
        <v>-2.6909480000000001</v>
      </c>
      <c r="T3880">
        <v>-0.29374099999999997</v>
      </c>
      <c r="U3880">
        <v>-1.6985169999999901</v>
      </c>
      <c r="V3880">
        <v>-0.19173299999999999</v>
      </c>
      <c r="W3880">
        <v>0.13248509999999999</v>
      </c>
      <c r="X3880">
        <v>0.972464</v>
      </c>
      <c r="Y3880">
        <v>-0.44280839999999999</v>
      </c>
      <c r="Z3880">
        <v>-1.6375819999999999E-2</v>
      </c>
      <c r="AA3880">
        <v>0.89646669999999995</v>
      </c>
      <c r="AB3880">
        <v>33</v>
      </c>
      <c r="AC3880">
        <v>-0.44629999999995101</v>
      </c>
      <c r="AD3880">
        <v>-9.0040000000000106E-2</v>
      </c>
      <c r="AE3880">
        <v>-0.474700000000012</v>
      </c>
      <c r="AF3880">
        <v>-0.41865283580844598</v>
      </c>
      <c r="AG3880">
        <v>-9.0040000000000106E-2</v>
      </c>
      <c r="AH3880">
        <v>0.483210205577081</v>
      </c>
      <c r="AI3880">
        <v>98.016335485628204</v>
      </c>
      <c r="AJ3880">
        <v>130.90562388493399</v>
      </c>
      <c r="AK3880">
        <v>0.64565432028624903</v>
      </c>
      <c r="AL3880">
        <v>82.3867798529363</v>
      </c>
      <c r="AM3880">
        <v>101.15349911312001</v>
      </c>
      <c r="AN3880">
        <v>1.0000000381534999</v>
      </c>
    </row>
    <row r="3881" spans="1:40" x14ac:dyDescent="0.25">
      <c r="A3881" t="str">
        <f>"20190303162629863"</f>
        <v>20190303162629863</v>
      </c>
      <c r="B3881" t="str">
        <f>"1551601589847196"</f>
        <v>1551601589847196</v>
      </c>
      <c r="C3881" t="s">
        <v>40</v>
      </c>
      <c r="D3881">
        <v>5.0488730000000004</v>
      </c>
      <c r="E3881">
        <v>0.39329310000000001</v>
      </c>
      <c r="F3881" t="s">
        <v>42</v>
      </c>
      <c r="G3881">
        <v>-400.92469999999997</v>
      </c>
      <c r="H3881">
        <v>1.0263100000000001</v>
      </c>
      <c r="I3881">
        <v>141.3304</v>
      </c>
      <c r="J3881">
        <v>-400.33330000000001</v>
      </c>
      <c r="K3881">
        <v>1.127786</v>
      </c>
      <c r="L3881">
        <v>141.87530000000001</v>
      </c>
      <c r="M3881">
        <v>-0.99378770000000005</v>
      </c>
      <c r="N3881">
        <v>-1.31139E-2</v>
      </c>
      <c r="O3881">
        <v>-0.1105178</v>
      </c>
      <c r="P3881">
        <v>-0.94724459999999999</v>
      </c>
      <c r="Q3881">
        <v>0.1221742</v>
      </c>
      <c r="R3881">
        <v>-0.2963133</v>
      </c>
      <c r="S3881">
        <v>-2.6768800000000001</v>
      </c>
      <c r="T3881">
        <v>-0.2962745</v>
      </c>
      <c r="U3881">
        <v>-1.715897</v>
      </c>
      <c r="V3881">
        <v>-0.19208800000000001</v>
      </c>
      <c r="W3881">
        <v>0.13166359999999999</v>
      </c>
      <c r="X3881">
        <v>0.97250550000000002</v>
      </c>
      <c r="Y3881">
        <v>-0.4414843</v>
      </c>
      <c r="Z3881">
        <v>-1.5719830000000001E-2</v>
      </c>
      <c r="AA3881">
        <v>0.89713129999999996</v>
      </c>
      <c r="AB3881">
        <v>33</v>
      </c>
      <c r="AC3881">
        <v>-0.59139999999996395</v>
      </c>
      <c r="AD3881">
        <v>-0.101475999999999</v>
      </c>
      <c r="AE3881">
        <v>-0.54490000000001204</v>
      </c>
      <c r="AF3881">
        <v>-0.468731660965158</v>
      </c>
      <c r="AG3881">
        <v>-0.101475999999999</v>
      </c>
      <c r="AH3881">
        <v>0.63784600003285397</v>
      </c>
      <c r="AI3881">
        <v>97.305388253999695</v>
      </c>
      <c r="AJ3881">
        <v>126.310920156008</v>
      </c>
      <c r="AK3881">
        <v>0.79803149582273203</v>
      </c>
      <c r="AL3881">
        <v>82.434264211218505</v>
      </c>
      <c r="AM3881">
        <v>101.17316620273201</v>
      </c>
      <c r="AN3881">
        <v>1.0000000254196</v>
      </c>
    </row>
    <row r="3882" spans="1:40" x14ac:dyDescent="0.25">
      <c r="A3882" t="str">
        <f>"20190303162629885"</f>
        <v>20190303162629885</v>
      </c>
      <c r="B3882" t="str">
        <f>"1551601589867692"</f>
        <v>1551601589867692</v>
      </c>
      <c r="C3882" t="s">
        <v>40</v>
      </c>
      <c r="D3882">
        <v>4.9932639999999999</v>
      </c>
      <c r="E3882">
        <v>0.39418379999999997</v>
      </c>
      <c r="F3882" t="s">
        <v>42</v>
      </c>
      <c r="G3882">
        <v>-401.21129999999999</v>
      </c>
      <c r="H3882">
        <v>1.029372</v>
      </c>
      <c r="I3882">
        <v>141.30459999999999</v>
      </c>
      <c r="J3882">
        <v>-400.63600000000002</v>
      </c>
      <c r="K3882">
        <v>1.1279429999999999</v>
      </c>
      <c r="L3882">
        <v>141.8338</v>
      </c>
      <c r="M3882">
        <v>-0.99286039999999998</v>
      </c>
      <c r="N3882">
        <v>-1.3138240000000001E-2</v>
      </c>
      <c r="O3882">
        <v>-0.1185567</v>
      </c>
      <c r="P3882">
        <v>-0.94492080000000001</v>
      </c>
      <c r="Q3882">
        <v>0.12164</v>
      </c>
      <c r="R3882">
        <v>-0.303855599999999</v>
      </c>
      <c r="S3882">
        <v>-2.6638489999999999</v>
      </c>
      <c r="T3882">
        <v>-0.298589099999999</v>
      </c>
      <c r="U3882">
        <v>-1.7316739999999999</v>
      </c>
      <c r="V3882">
        <v>-0.19200510000000001</v>
      </c>
      <c r="W3882">
        <v>0.13108220000000001</v>
      </c>
      <c r="X3882">
        <v>0.97260040000000003</v>
      </c>
      <c r="Y3882">
        <v>-0.43996869999999999</v>
      </c>
      <c r="Z3882">
        <v>-1.505772E-2</v>
      </c>
      <c r="AA3882">
        <v>0.89788690000000004</v>
      </c>
      <c r="AB3882">
        <v>32</v>
      </c>
      <c r="AC3882">
        <v>-0.57530000000002701</v>
      </c>
      <c r="AD3882">
        <v>-9.85710000000002E-2</v>
      </c>
      <c r="AE3882">
        <v>-0.529200000000003</v>
      </c>
      <c r="AF3882">
        <v>-0.45009821812644002</v>
      </c>
      <c r="AG3882">
        <v>-9.85710000000002E-2</v>
      </c>
      <c r="AH3882">
        <v>0.624063871513168</v>
      </c>
      <c r="AI3882">
        <v>97.300215824165804</v>
      </c>
      <c r="AJ3882">
        <v>125.800553146661</v>
      </c>
      <c r="AK3882">
        <v>0.77573214689711101</v>
      </c>
      <c r="AL3882">
        <v>82.467867171204901</v>
      </c>
      <c r="AM3882">
        <v>101.16740305766599</v>
      </c>
      <c r="AN3882">
        <v>1.0000000198315</v>
      </c>
    </row>
    <row r="3883" spans="1:40" x14ac:dyDescent="0.25">
      <c r="A3883" t="str">
        <f>"20190303162629905"</f>
        <v>20190303162629905</v>
      </c>
      <c r="B3883" t="str">
        <f>"1551601589897948"</f>
        <v>1551601589897948</v>
      </c>
      <c r="C3883" t="s">
        <v>40</v>
      </c>
      <c r="D3883">
        <v>4.9952800000000002</v>
      </c>
      <c r="E3883">
        <v>0.39546369999999997</v>
      </c>
      <c r="F3883" t="s">
        <v>42</v>
      </c>
      <c r="G3883">
        <v>-401.49509999999998</v>
      </c>
      <c r="H3883">
        <v>1.0305740000000001</v>
      </c>
      <c r="I3883">
        <v>141.26900000000001</v>
      </c>
      <c r="J3883">
        <v>-400.93939999999998</v>
      </c>
      <c r="K3883">
        <v>1.128091</v>
      </c>
      <c r="L3883">
        <v>141.7894</v>
      </c>
      <c r="M3883">
        <v>-0.99184170000000005</v>
      </c>
      <c r="N3883">
        <v>-1.3161290000000001E-2</v>
      </c>
      <c r="O3883">
        <v>-0.1267945</v>
      </c>
      <c r="P3883">
        <v>-0.94213380000000002</v>
      </c>
      <c r="Q3883">
        <v>0.1211256</v>
      </c>
      <c r="R3883">
        <v>-0.31259009999999998</v>
      </c>
      <c r="S3883">
        <v>-2.6524960000000002</v>
      </c>
      <c r="T3883">
        <v>-0.30060969999999998</v>
      </c>
      <c r="U3883">
        <v>-1.7448429999999999</v>
      </c>
      <c r="V3883">
        <v>-0.1929679</v>
      </c>
      <c r="W3883">
        <v>0.13050019999999901</v>
      </c>
      <c r="X3883">
        <v>0.97248809999999997</v>
      </c>
      <c r="Y3883">
        <v>-0.43740560000000001</v>
      </c>
      <c r="Z3883">
        <v>-1.4287589999999999E-2</v>
      </c>
      <c r="AA3883">
        <v>0.89915080000000003</v>
      </c>
      <c r="AB3883">
        <v>32</v>
      </c>
      <c r="AC3883">
        <v>-0.55570000000000097</v>
      </c>
      <c r="AD3883">
        <v>-9.7517000000000006E-2</v>
      </c>
      <c r="AE3883">
        <v>-0.52039999999999498</v>
      </c>
      <c r="AF3883">
        <v>-0.43853839900184799</v>
      </c>
      <c r="AG3883">
        <v>-9.7517000000000006E-2</v>
      </c>
      <c r="AH3883">
        <v>0.607240988043384</v>
      </c>
      <c r="AI3883">
        <v>97.417600286913199</v>
      </c>
      <c r="AJ3883">
        <v>125.836131404987</v>
      </c>
      <c r="AK3883">
        <v>0.75535892809181104</v>
      </c>
      <c r="AL3883">
        <v>82.501502157678701</v>
      </c>
      <c r="AM3883">
        <v>101.223246665449</v>
      </c>
      <c r="AN3883">
        <v>1.0000000086360299</v>
      </c>
    </row>
    <row r="3884" spans="1:40" x14ac:dyDescent="0.25">
      <c r="A3884" t="str">
        <f>"20190303162629948"</f>
        <v>20190303162629948</v>
      </c>
      <c r="B3884" t="str">
        <f>"1551601589937963"</f>
        <v>1551601589937963</v>
      </c>
      <c r="C3884" t="s">
        <v>40</v>
      </c>
      <c r="D3884">
        <v>5.0126210000000002</v>
      </c>
      <c r="E3884">
        <v>0.39699849999999998</v>
      </c>
      <c r="F3884" t="s">
        <v>42</v>
      </c>
      <c r="G3884">
        <v>-401.77809999999999</v>
      </c>
      <c r="H3884">
        <v>1.032368</v>
      </c>
      <c r="I3884">
        <v>141.2303</v>
      </c>
      <c r="J3884">
        <v>-401.52609999999999</v>
      </c>
      <c r="K3884">
        <v>1.128349</v>
      </c>
      <c r="L3884">
        <v>141.69589999999999</v>
      </c>
      <c r="M3884">
        <v>-0.98960239999999999</v>
      </c>
      <c r="N3884">
        <v>-1.3205120000000001E-2</v>
      </c>
      <c r="O3884">
        <v>-0.14322270000000001</v>
      </c>
      <c r="P3884">
        <v>-0.93414050000000004</v>
      </c>
      <c r="Q3884">
        <v>0.119409</v>
      </c>
      <c r="R3884">
        <v>-0.33633760000000001</v>
      </c>
      <c r="S3884">
        <v>-2.6394039999999999</v>
      </c>
      <c r="T3884">
        <v>-0.30124689999999998</v>
      </c>
      <c r="U3884">
        <v>-1.7590030000000001</v>
      </c>
      <c r="V3884">
        <v>-0.20149359999999999</v>
      </c>
      <c r="W3884">
        <v>0.1285163</v>
      </c>
      <c r="X3884">
        <v>0.9710221</v>
      </c>
      <c r="Y3884">
        <v>-0.42796919999999999</v>
      </c>
      <c r="Z3884">
        <v>-1.234731E-2</v>
      </c>
      <c r="AA3884">
        <v>0.90370899999999998</v>
      </c>
      <c r="AB3884">
        <v>32</v>
      </c>
      <c r="AC3884">
        <v>-0.25200000000000899</v>
      </c>
      <c r="AD3884">
        <v>-9.5981000000000094E-2</v>
      </c>
      <c r="AE3884">
        <v>-0.46559999999999402</v>
      </c>
      <c r="AF3884">
        <v>-0.41118901574640598</v>
      </c>
      <c r="AG3884">
        <v>-9.5981000000000094E-2</v>
      </c>
      <c r="AH3884">
        <v>0.30603329263494</v>
      </c>
      <c r="AI3884">
        <v>100.605967804909</v>
      </c>
      <c r="AJ3884">
        <v>143.34100725497601</v>
      </c>
      <c r="AK3884">
        <v>0.52148359056875504</v>
      </c>
      <c r="AL3884">
        <v>82.616136729248595</v>
      </c>
      <c r="AM3884">
        <v>101.72288948040099</v>
      </c>
      <c r="AN3884">
        <v>1.0000000144475201</v>
      </c>
    </row>
    <row r="3885" spans="1:40" x14ac:dyDescent="0.25">
      <c r="A3885" t="str">
        <f>"20190303162629969"</f>
        <v>20190303162629969</v>
      </c>
      <c r="B3885" t="str">
        <f>"1551601589958047"</f>
        <v>1551601589958047</v>
      </c>
      <c r="C3885" t="s">
        <v>40</v>
      </c>
      <c r="D3885">
        <v>4.8917599999999997</v>
      </c>
      <c r="E3885">
        <v>0.36613970000000001</v>
      </c>
      <c r="F3885" t="s">
        <v>42</v>
      </c>
      <c r="G3885">
        <v>-402.3372</v>
      </c>
      <c r="H3885">
        <v>1.033023</v>
      </c>
      <c r="I3885">
        <v>141.131</v>
      </c>
      <c r="J3885">
        <v>-401.83780000000002</v>
      </c>
      <c r="K3885">
        <v>1.128479</v>
      </c>
      <c r="L3885">
        <v>141.64189999999999</v>
      </c>
      <c r="M3885">
        <v>-0.98826199999999997</v>
      </c>
      <c r="N3885">
        <v>-1.322868E-2</v>
      </c>
      <c r="O3885">
        <v>-0.15219489999999999</v>
      </c>
      <c r="P3885">
        <v>-0.92914929999999996</v>
      </c>
      <c r="Q3885">
        <v>0.1189224</v>
      </c>
      <c r="R3885">
        <v>-0.35005609999999998</v>
      </c>
      <c r="S3885">
        <v>-2.5989990000000001</v>
      </c>
      <c r="T3885">
        <v>-0.3054653</v>
      </c>
      <c r="U3885">
        <v>-1.809677</v>
      </c>
      <c r="V3885">
        <v>-0.20701369999999999</v>
      </c>
      <c r="W3885">
        <v>0.1278656</v>
      </c>
      <c r="X3885">
        <v>0.96994630000000004</v>
      </c>
      <c r="Y3885">
        <v>-0.43809710000000002</v>
      </c>
      <c r="Z3885">
        <v>-1.233413E-2</v>
      </c>
      <c r="AA3885">
        <v>0.89884310000000001</v>
      </c>
      <c r="AB3885">
        <v>32</v>
      </c>
      <c r="AC3885">
        <v>-0.49939999999998003</v>
      </c>
      <c r="AD3885">
        <v>-9.5455999999999999E-2</v>
      </c>
      <c r="AE3885">
        <v>-0.51089999999999203</v>
      </c>
      <c r="AF3885">
        <v>-0.42141153090427202</v>
      </c>
      <c r="AG3885">
        <v>-9.5455999999999999E-2</v>
      </c>
      <c r="AH3885">
        <v>0.56132381042861401</v>
      </c>
      <c r="AI3885">
        <v>97.744452285156598</v>
      </c>
      <c r="AJ3885">
        <v>126.89723828684301</v>
      </c>
      <c r="AK3885">
        <v>0.70836709866366698</v>
      </c>
      <c r="AL3885">
        <v>82.653729544184401</v>
      </c>
      <c r="AM3885">
        <v>102.04776299753701</v>
      </c>
      <c r="AN3885">
        <v>1.0000000542673599</v>
      </c>
    </row>
    <row r="3886" spans="1:40" x14ac:dyDescent="0.25">
      <c r="A3886" t="str">
        <f>"20190303162629993"</f>
        <v>20190303162629993</v>
      </c>
      <c r="B3886" t="str">
        <f>"1551601589988303"</f>
        <v>1551601589988303</v>
      </c>
      <c r="C3886" t="s">
        <v>40</v>
      </c>
      <c r="D3886">
        <v>4.8998059999999999</v>
      </c>
      <c r="E3886">
        <v>0.31223909999999899</v>
      </c>
      <c r="F3886" t="s">
        <v>42</v>
      </c>
      <c r="G3886">
        <v>-402.59100000000001</v>
      </c>
      <c r="H3886">
        <v>1.014165</v>
      </c>
      <c r="I3886">
        <v>141.0136</v>
      </c>
      <c r="J3886">
        <v>-402.16669999999999</v>
      </c>
      <c r="K3886">
        <v>1.1286020000000001</v>
      </c>
      <c r="L3886">
        <v>141.58170000000001</v>
      </c>
      <c r="M3886">
        <v>-0.98673160000000004</v>
      </c>
      <c r="N3886">
        <v>-1.325219E-2</v>
      </c>
      <c r="O3886">
        <v>-0.1618185</v>
      </c>
      <c r="P3886">
        <v>-0.92394019999999999</v>
      </c>
      <c r="Q3886">
        <v>0.117775</v>
      </c>
      <c r="R3886">
        <v>-0.36395509999999998</v>
      </c>
      <c r="S3886">
        <v>-2.4935610000000001</v>
      </c>
      <c r="T3886">
        <v>-0.37842199999999998</v>
      </c>
      <c r="U3886">
        <v>-2.0799560000000001</v>
      </c>
      <c r="V3886">
        <v>-0.21211430000000001</v>
      </c>
      <c r="W3886">
        <v>0.12656110000000001</v>
      </c>
      <c r="X3886">
        <v>0.96901490000000001</v>
      </c>
      <c r="Y3886">
        <v>-0.50494709999999998</v>
      </c>
      <c r="Z3886">
        <v>-1.7975439999999999E-2</v>
      </c>
      <c r="AA3886">
        <v>0.86296309999999998</v>
      </c>
      <c r="AB3886">
        <v>32</v>
      </c>
      <c r="AC3886">
        <v>-0.424300000000016</v>
      </c>
      <c r="AD3886">
        <v>-0.114437</v>
      </c>
      <c r="AE3886">
        <v>-0.56810000000001504</v>
      </c>
      <c r="AF3886">
        <v>-0.47945717139245297</v>
      </c>
      <c r="AG3886">
        <v>-0.114437</v>
      </c>
      <c r="AH3886">
        <v>0.49768080849610902</v>
      </c>
      <c r="AI3886">
        <v>99.402629617053506</v>
      </c>
      <c r="AJ3886">
        <v>133.93155676904399</v>
      </c>
      <c r="AK3886">
        <v>0.70047212172505002</v>
      </c>
      <c r="AL3886">
        <v>82.729083957437794</v>
      </c>
      <c r="AM3886">
        <v>102.347116166023</v>
      </c>
      <c r="AN3886">
        <v>1.0000000323598499</v>
      </c>
    </row>
    <row r="3887" spans="1:40" x14ac:dyDescent="0.25">
      <c r="A3887" t="str">
        <f>"20190303162630015"</f>
        <v>20190303162630015</v>
      </c>
      <c r="B3887" t="str">
        <f>"1551601590007824"</f>
        <v>1551601590007824</v>
      </c>
      <c r="C3887" t="s">
        <v>40</v>
      </c>
      <c r="D3887">
        <v>4.7876849999999997</v>
      </c>
      <c r="E3887">
        <v>0.3119808</v>
      </c>
      <c r="F3887" t="s">
        <v>42</v>
      </c>
      <c r="G3887">
        <v>-402.82940000000002</v>
      </c>
      <c r="H3887">
        <v>1.0081180000000001</v>
      </c>
      <c r="I3887">
        <v>140.85919999999999</v>
      </c>
      <c r="J3887">
        <v>-402.49189999999999</v>
      </c>
      <c r="K3887">
        <v>1.1287160000000001</v>
      </c>
      <c r="L3887">
        <v>141.5188</v>
      </c>
      <c r="M3887">
        <v>-0.98509639999999998</v>
      </c>
      <c r="N3887">
        <v>-1.327396E-2</v>
      </c>
      <c r="O3887">
        <v>-0.1714898</v>
      </c>
      <c r="P3887">
        <v>-0.91896820000000001</v>
      </c>
      <c r="Q3887">
        <v>0.1160679</v>
      </c>
      <c r="R3887">
        <v>-0.37686259999999999</v>
      </c>
      <c r="S3887">
        <v>-2.3088069999999998</v>
      </c>
      <c r="T3887">
        <v>-0.41974119999999998</v>
      </c>
      <c r="U3887">
        <v>-2.5174259999999999</v>
      </c>
      <c r="V3887">
        <v>-0.21615680000000001</v>
      </c>
      <c r="W3887">
        <v>0.124720899999999</v>
      </c>
      <c r="X3887">
        <v>0.96835990000000005</v>
      </c>
      <c r="Y3887">
        <v>-0.60623119999999997</v>
      </c>
      <c r="Z3887">
        <v>-2.6469079999999999E-2</v>
      </c>
      <c r="AA3887">
        <v>0.79484779999999999</v>
      </c>
      <c r="AB3887">
        <v>32</v>
      </c>
      <c r="AC3887">
        <v>-0.337500000000034</v>
      </c>
      <c r="AD3887">
        <v>-0.120597999999999</v>
      </c>
      <c r="AE3887">
        <v>-0.65960000000001096</v>
      </c>
      <c r="AF3887">
        <v>-0.57666656003507299</v>
      </c>
      <c r="AG3887">
        <v>-0.120597999999999</v>
      </c>
      <c r="AH3887">
        <v>0.43412294242432398</v>
      </c>
      <c r="AI3887">
        <v>99.485230734613907</v>
      </c>
      <c r="AJ3887">
        <v>143.027036319692</v>
      </c>
      <c r="AK3887">
        <v>0.73181345177978097</v>
      </c>
      <c r="AL3887">
        <v>82.8353614598348</v>
      </c>
      <c r="AM3887">
        <v>102.58324635569799</v>
      </c>
      <c r="AN3887">
        <v>0.99999998050552896</v>
      </c>
    </row>
    <row r="3888" spans="1:40" x14ac:dyDescent="0.25">
      <c r="A3888" t="str">
        <f>"20190303162630037"</f>
        <v>20190303162630037</v>
      </c>
      <c r="B3888" t="str">
        <f>"1551601590027343"</f>
        <v>1551601590027343</v>
      </c>
      <c r="C3888" t="s">
        <v>40</v>
      </c>
      <c r="D3888">
        <v>4.7713279999999996</v>
      </c>
      <c r="E3888">
        <v>0.31505549999999999</v>
      </c>
      <c r="F3888" t="s">
        <v>42</v>
      </c>
      <c r="G3888">
        <v>-403.11360000000002</v>
      </c>
      <c r="H3888">
        <v>1.0107459999999999</v>
      </c>
      <c r="I3888">
        <v>140.822</v>
      </c>
      <c r="J3888">
        <v>-402.78989999999999</v>
      </c>
      <c r="K3888">
        <v>1.128816</v>
      </c>
      <c r="L3888">
        <v>141.4581</v>
      </c>
      <c r="M3888">
        <v>-0.98348899999999995</v>
      </c>
      <c r="N3888">
        <v>-1.329338E-2</v>
      </c>
      <c r="O3888">
        <v>-0.18047940000000001</v>
      </c>
      <c r="P3888">
        <v>-0.91366950000000002</v>
      </c>
      <c r="Q3888">
        <v>0.1155786</v>
      </c>
      <c r="R3888">
        <v>-0.3896791</v>
      </c>
      <c r="S3888">
        <v>-2.2737430000000001</v>
      </c>
      <c r="T3888">
        <v>-0.4314789</v>
      </c>
      <c r="U3888">
        <v>-2.5489039999999998</v>
      </c>
      <c r="V3888">
        <v>-0.2208744</v>
      </c>
      <c r="W3888">
        <v>0.1240865</v>
      </c>
      <c r="X3888">
        <v>0.96737640000000003</v>
      </c>
      <c r="Y3888">
        <v>-0.60975559999999995</v>
      </c>
      <c r="Z3888">
        <v>-2.6280250000000002E-2</v>
      </c>
      <c r="AA3888">
        <v>0.79215369999999996</v>
      </c>
      <c r="AB3888">
        <v>32</v>
      </c>
      <c r="AC3888">
        <v>-0.32370000000003002</v>
      </c>
      <c r="AD3888">
        <v>-0.11806999999999999</v>
      </c>
      <c r="AE3888">
        <v>-0.636099999999999</v>
      </c>
      <c r="AF3888">
        <v>-0.55211685879139405</v>
      </c>
      <c r="AG3888">
        <v>-0.11806999999999999</v>
      </c>
      <c r="AH3888">
        <v>0.42165738232730798</v>
      </c>
      <c r="AI3888">
        <v>99.645525723202198</v>
      </c>
      <c r="AJ3888">
        <v>142.63065152804</v>
      </c>
      <c r="AK3888">
        <v>0.70467616586116599</v>
      </c>
      <c r="AL3888">
        <v>82.8719948327644</v>
      </c>
      <c r="AM3888">
        <v>102.861480302608</v>
      </c>
      <c r="AN3888">
        <v>1.00000002966728</v>
      </c>
    </row>
    <row r="3889" spans="1:40" x14ac:dyDescent="0.25">
      <c r="A3889" t="str">
        <f>"20190303162630061"</f>
        <v>20190303162630061</v>
      </c>
      <c r="B3889" t="str">
        <f>"1551601590057652"</f>
        <v>1551601590057652</v>
      </c>
      <c r="C3889" t="s">
        <v>40</v>
      </c>
      <c r="D3889">
        <v>4.7711899999999998</v>
      </c>
      <c r="E3889">
        <v>0.31874190000000002</v>
      </c>
      <c r="F3889" t="s">
        <v>42</v>
      </c>
      <c r="G3889">
        <v>-403.39330000000001</v>
      </c>
      <c r="H3889">
        <v>1.0134719999999999</v>
      </c>
      <c r="I3889">
        <v>140.7724</v>
      </c>
      <c r="J3889">
        <v>-403.12619999999998</v>
      </c>
      <c r="K3889">
        <v>1.1289290000000001</v>
      </c>
      <c r="L3889">
        <v>141.38589999999999</v>
      </c>
      <c r="M3889">
        <v>-0.98154750000000002</v>
      </c>
      <c r="N3889">
        <v>-1.3314329999999999E-2</v>
      </c>
      <c r="O3889">
        <v>-0.19075429999999999</v>
      </c>
      <c r="P3889">
        <v>-0.90731320000000004</v>
      </c>
      <c r="Q3889">
        <v>0.11600770000000001</v>
      </c>
      <c r="R3889">
        <v>-0.40413470000000001</v>
      </c>
      <c r="S3889">
        <v>-2.247925</v>
      </c>
      <c r="T3889">
        <v>-0.42973830000000002</v>
      </c>
      <c r="U3889">
        <v>-2.5554809999999999</v>
      </c>
      <c r="V3889">
        <v>-0.22617380000000001</v>
      </c>
      <c r="W3889">
        <v>0.1243524</v>
      </c>
      <c r="X3889">
        <v>0.96611689999999995</v>
      </c>
      <c r="Y3889">
        <v>-0.60708079999999998</v>
      </c>
      <c r="Z3889">
        <v>-2.4773989999999999E-2</v>
      </c>
      <c r="AA3889">
        <v>0.79425380000000001</v>
      </c>
      <c r="AB3889">
        <v>32</v>
      </c>
      <c r="AC3889">
        <v>-0.26710000000002698</v>
      </c>
      <c r="AD3889">
        <v>-0.115457</v>
      </c>
      <c r="AE3889">
        <v>-0.61349999999998694</v>
      </c>
      <c r="AF3889">
        <v>-0.535338892309417</v>
      </c>
      <c r="AG3889">
        <v>-0.115457</v>
      </c>
      <c r="AH3889">
        <v>0.36826810022776102</v>
      </c>
      <c r="AI3889">
        <v>100.07557441147</v>
      </c>
      <c r="AJ3889">
        <v>145.47530156678101</v>
      </c>
      <c r="AK3889">
        <v>0.65995412121861796</v>
      </c>
      <c r="AL3889">
        <v>82.8566406513864</v>
      </c>
      <c r="AM3889">
        <v>103.176001907364</v>
      </c>
      <c r="AN3889">
        <v>0.99999998582890404</v>
      </c>
    </row>
    <row r="3890" spans="1:40" x14ac:dyDescent="0.25">
      <c r="A3890" t="str">
        <f>"20190303162630084"</f>
        <v>20190303162630084</v>
      </c>
      <c r="B3890" t="str">
        <f>"1551601590077171"</f>
        <v>1551601590077171</v>
      </c>
      <c r="C3890" t="s">
        <v>40</v>
      </c>
      <c r="D3890">
        <v>4.8306430000000002</v>
      </c>
      <c r="E3890">
        <v>0.32139859999999998</v>
      </c>
      <c r="F3890" t="s">
        <v>47</v>
      </c>
      <c r="G3890">
        <v>-409.06810000000002</v>
      </c>
      <c r="H3890" s="1">
        <v>-7.898412E-6</v>
      </c>
      <c r="I3890">
        <v>134.52590000000001</v>
      </c>
      <c r="J3890">
        <v>-403.4468</v>
      </c>
      <c r="K3890">
        <v>1.1290309999999999</v>
      </c>
      <c r="L3890">
        <v>141.3135</v>
      </c>
      <c r="M3890">
        <v>-0.97956989999999999</v>
      </c>
      <c r="N3890">
        <v>-1.333325E-2</v>
      </c>
      <c r="O3890">
        <v>-0.20066200000000001</v>
      </c>
      <c r="P3890">
        <v>-0.90114499999999997</v>
      </c>
      <c r="Q3890">
        <v>0.11678189999999999</v>
      </c>
      <c r="R3890">
        <v>-0.41749229999999998</v>
      </c>
      <c r="S3890">
        <v>-2.2192080000000001</v>
      </c>
      <c r="T3890">
        <v>-0.42163909999999999</v>
      </c>
      <c r="U3890">
        <v>-2.5620880000000001</v>
      </c>
      <c r="V3890">
        <v>-0.23075270000000001</v>
      </c>
      <c r="W3890">
        <v>0.124983</v>
      </c>
      <c r="X3890">
        <v>0.96495209999999998</v>
      </c>
      <c r="Y3890">
        <v>-0.60532359999999996</v>
      </c>
      <c r="Z3890">
        <v>-2.3164649999999998E-2</v>
      </c>
      <c r="AA3890">
        <v>0.79564230000000002</v>
      </c>
      <c r="AB3890">
        <v>32</v>
      </c>
      <c r="AC3890">
        <v>-5.6213000000000104</v>
      </c>
      <c r="AD3890">
        <v>-1.1290388984119999</v>
      </c>
      <c r="AE3890">
        <v>-6.7875999999999896</v>
      </c>
      <c r="AF3890">
        <v>-5.4322829652389499</v>
      </c>
      <c r="AG3890">
        <v>-1.1290388984119999</v>
      </c>
      <c r="AH3890">
        <v>6.75816456901011</v>
      </c>
      <c r="AI3890">
        <v>97.418849084689697</v>
      </c>
      <c r="AJ3890">
        <v>128.792682888483</v>
      </c>
      <c r="AK3890">
        <v>8.74398166685957</v>
      </c>
      <c r="AL3890">
        <v>82.820226357592205</v>
      </c>
      <c r="AM3890">
        <v>103.448799541696</v>
      </c>
      <c r="AN3890">
        <v>1.00000005707034</v>
      </c>
    </row>
    <row r="3891" spans="1:40" x14ac:dyDescent="0.25">
      <c r="A3891" t="str">
        <f>"20190303162630108"</f>
        <v>20190303162630108</v>
      </c>
      <c r="B3891" t="str">
        <f>"1551601590097669"</f>
        <v>1551601590097669</v>
      </c>
      <c r="C3891" t="s">
        <v>40</v>
      </c>
      <c r="D3891">
        <v>4.8415589999999904</v>
      </c>
      <c r="E3891">
        <v>0.32370870000000002</v>
      </c>
      <c r="F3891" t="s">
        <v>47</v>
      </c>
      <c r="G3891">
        <v>-409.46030000000002</v>
      </c>
      <c r="H3891" s="1">
        <v>-8.0192719999999997E-6</v>
      </c>
      <c r="I3891">
        <v>134.2439</v>
      </c>
      <c r="J3891">
        <v>-403.77870000000001</v>
      </c>
      <c r="K3891">
        <v>1.129114</v>
      </c>
      <c r="L3891">
        <v>141.23500000000001</v>
      </c>
      <c r="M3891">
        <v>-0.97739189999999998</v>
      </c>
      <c r="N3891">
        <v>-1.3350839999999999E-2</v>
      </c>
      <c r="O3891">
        <v>-0.21101410000000001</v>
      </c>
      <c r="P3891">
        <v>-0.89507479999999995</v>
      </c>
      <c r="Q3891">
        <v>0.1178212</v>
      </c>
      <c r="R3891">
        <v>-0.43006919999999998</v>
      </c>
      <c r="S3891">
        <v>-2.1897579999999999</v>
      </c>
      <c r="T3891">
        <v>-0.41112589999999999</v>
      </c>
      <c r="U3891">
        <v>-2.5743260000000001</v>
      </c>
      <c r="V3891">
        <v>-0.23413590000000001</v>
      </c>
      <c r="W3891">
        <v>0.12590879999999999</v>
      </c>
      <c r="X3891">
        <v>0.96401630000000005</v>
      </c>
      <c r="Y3891">
        <v>-0.60426059999999904</v>
      </c>
      <c r="Z3891">
        <v>-2.15043E-2</v>
      </c>
      <c r="AA3891">
        <v>0.79649650000000005</v>
      </c>
      <c r="AB3891">
        <v>32</v>
      </c>
      <c r="AC3891">
        <v>-5.6816000000000004</v>
      </c>
      <c r="AD3891">
        <v>-1.129122019272</v>
      </c>
      <c r="AE3891">
        <v>-6.9911000000000101</v>
      </c>
      <c r="AF3891">
        <v>-5.5475005074595902</v>
      </c>
      <c r="AG3891">
        <v>-1.129122019272</v>
      </c>
      <c r="AH3891">
        <v>6.9202827425431099</v>
      </c>
      <c r="AI3891">
        <v>97.255087515270105</v>
      </c>
      <c r="AJ3891">
        <v>128.71668043763799</v>
      </c>
      <c r="AK3891">
        <v>8.9409167120273096</v>
      </c>
      <c r="AL3891">
        <v>82.766759410681999</v>
      </c>
      <c r="AM3891">
        <v>103.65141004457701</v>
      </c>
      <c r="AN3891">
        <v>1.00000003612596</v>
      </c>
    </row>
    <row r="3892" spans="1:40" x14ac:dyDescent="0.25">
      <c r="A3892" t="str">
        <f>"20190303162630148"</f>
        <v>20190303162630148</v>
      </c>
      <c r="B3892" t="str">
        <f>"1551601590137684"</f>
        <v>1551601590137684</v>
      </c>
      <c r="C3892" t="s">
        <v>40</v>
      </c>
      <c r="D3892">
        <v>4.7897019999999904</v>
      </c>
      <c r="E3892">
        <v>0.32700289999999999</v>
      </c>
      <c r="F3892" t="s">
        <v>47</v>
      </c>
      <c r="G3892">
        <v>-409.86399999999998</v>
      </c>
      <c r="H3892" s="1">
        <v>-8.1402000000000004E-6</v>
      </c>
      <c r="I3892">
        <v>133.94569999999999</v>
      </c>
      <c r="J3892">
        <v>-404.33139999999997</v>
      </c>
      <c r="K3892">
        <v>1.129267</v>
      </c>
      <c r="L3892">
        <v>141.0958</v>
      </c>
      <c r="M3892">
        <v>-0.97345800000000005</v>
      </c>
      <c r="N3892">
        <v>-1.3376209999999999E-2</v>
      </c>
      <c r="O3892">
        <v>-0.2284745</v>
      </c>
      <c r="P3892">
        <v>-0.88461069999999997</v>
      </c>
      <c r="Q3892">
        <v>0.11972530000000001</v>
      </c>
      <c r="R3892">
        <v>-0.45069870000000001</v>
      </c>
      <c r="S3892">
        <v>-2.1607669999999999</v>
      </c>
      <c r="T3892">
        <v>-0.40093529999999999</v>
      </c>
      <c r="U3892">
        <v>-2.5883180000000001</v>
      </c>
      <c r="V3892">
        <v>-0.23937059999999999</v>
      </c>
      <c r="W3892">
        <v>0.12762999999999999</v>
      </c>
      <c r="X3892">
        <v>0.96250309999999994</v>
      </c>
      <c r="Y3892">
        <v>-0.59765849999999998</v>
      </c>
      <c r="Z3892">
        <v>-1.8592770000000002E-2</v>
      </c>
      <c r="AA3892">
        <v>0.8015352</v>
      </c>
      <c r="AB3892">
        <v>32</v>
      </c>
      <c r="AC3892">
        <v>-5.5326000000000501</v>
      </c>
      <c r="AD3892">
        <v>-1.1292751401999901</v>
      </c>
      <c r="AE3892">
        <v>-7.1501000000000001</v>
      </c>
      <c r="AF3892">
        <v>-5.6092543486574398</v>
      </c>
      <c r="AG3892">
        <v>-1.1292751401999901</v>
      </c>
      <c r="AH3892">
        <v>6.9121493177468603</v>
      </c>
      <c r="AI3892">
        <v>97.229899767445005</v>
      </c>
      <c r="AJ3892">
        <v>129.05955550003</v>
      </c>
      <c r="AK3892">
        <v>8.9731156729997892</v>
      </c>
      <c r="AL3892">
        <v>82.667339243060098</v>
      </c>
      <c r="AM3892">
        <v>103.965899170103</v>
      </c>
      <c r="AN3892">
        <v>0.99999995927698404</v>
      </c>
    </row>
    <row r="3893" spans="1:40" x14ac:dyDescent="0.25">
      <c r="A3893" t="str">
        <f>"20190303162630170"</f>
        <v>20190303162630170</v>
      </c>
      <c r="B3893" t="str">
        <f>"1551601590157204"</f>
        <v>1551601590157204</v>
      </c>
      <c r="C3893" t="s">
        <v>40</v>
      </c>
      <c r="D3893">
        <v>4.8322379999999896</v>
      </c>
      <c r="E3893">
        <v>0.32867010000000002</v>
      </c>
      <c r="F3893" t="s">
        <v>47</v>
      </c>
      <c r="G3893">
        <v>-410.45330000000001</v>
      </c>
      <c r="H3893" s="1">
        <v>-7.9690340000000008E-6</v>
      </c>
      <c r="I3893">
        <v>133.52010000000001</v>
      </c>
      <c r="J3893">
        <v>-404.64490000000001</v>
      </c>
      <c r="K3893">
        <v>1.1293599999999999</v>
      </c>
      <c r="L3893">
        <v>141.012</v>
      </c>
      <c r="M3893">
        <v>-0.97104559999999995</v>
      </c>
      <c r="N3893">
        <v>-1.338607E-2</v>
      </c>
      <c r="O3893">
        <v>-0.23851919999999999</v>
      </c>
      <c r="P3893">
        <v>-0.87798639999999994</v>
      </c>
      <c r="Q3893">
        <v>0.1223167</v>
      </c>
      <c r="R3893">
        <v>-0.4627945</v>
      </c>
      <c r="S3893">
        <v>-2.1123349999999999</v>
      </c>
      <c r="T3893">
        <v>-0.38964870000000001</v>
      </c>
      <c r="U3893">
        <v>-2.613953</v>
      </c>
      <c r="V3893">
        <v>-0.2428024</v>
      </c>
      <c r="W3893">
        <v>0.1300955</v>
      </c>
      <c r="X3893">
        <v>0.96131270000000002</v>
      </c>
      <c r="Y3893">
        <v>-0.60231049999999997</v>
      </c>
      <c r="Z3893">
        <v>-1.7592969999999999E-2</v>
      </c>
      <c r="AA3893">
        <v>0.798068</v>
      </c>
      <c r="AB3893">
        <v>32</v>
      </c>
      <c r="AC3893">
        <v>-5.8083999999999998</v>
      </c>
      <c r="AD3893">
        <v>-1.1293679690339999</v>
      </c>
      <c r="AE3893">
        <v>-7.4918999999999798</v>
      </c>
      <c r="AF3893">
        <v>-5.8076605888389503</v>
      </c>
      <c r="AG3893">
        <v>-1.1293679690339999</v>
      </c>
      <c r="AH3893">
        <v>7.3238998675609102</v>
      </c>
      <c r="AI3893">
        <v>96.889388772899096</v>
      </c>
      <c r="AJ3893">
        <v>128.413494481193</v>
      </c>
      <c r="AK3893">
        <v>9.4150891017924998</v>
      </c>
      <c r="AL3893">
        <v>82.524888889723996</v>
      </c>
      <c r="AM3893">
        <v>104.174952399712</v>
      </c>
      <c r="AN3893">
        <v>0.99999997587364897</v>
      </c>
    </row>
    <row r="3894" spans="1:40" x14ac:dyDescent="0.25">
      <c r="A3894" t="str">
        <f>"20190303162630194"</f>
        <v>20190303162630194</v>
      </c>
      <c r="B3894" t="str">
        <f>"1551601590187461"</f>
        <v>1551601590187461</v>
      </c>
      <c r="C3894" t="s">
        <v>40</v>
      </c>
      <c r="D3894">
        <v>4.8308900000000001</v>
      </c>
      <c r="E3894">
        <v>0.33112920000000001</v>
      </c>
      <c r="F3894" t="s">
        <v>47</v>
      </c>
      <c r="G3894">
        <v>-410.81380000000001</v>
      </c>
      <c r="H3894" s="1">
        <v>-7.8077520000000004E-6</v>
      </c>
      <c r="I3894">
        <v>133.2235</v>
      </c>
      <c r="J3894">
        <v>-404.97829999999999</v>
      </c>
      <c r="K3894">
        <v>1.1294580000000001</v>
      </c>
      <c r="L3894">
        <v>140.91909999999999</v>
      </c>
      <c r="M3894">
        <v>-0.96832779999999996</v>
      </c>
      <c r="N3894">
        <v>-1.3387990000000001E-2</v>
      </c>
      <c r="O3894">
        <v>-0.2493235</v>
      </c>
      <c r="P3894">
        <v>-0.87024140000000005</v>
      </c>
      <c r="Q3894">
        <v>0.12539040000000001</v>
      </c>
      <c r="R3894">
        <v>-0.47640080000000001</v>
      </c>
      <c r="S3894">
        <v>-2.0834959999999998</v>
      </c>
      <c r="T3894">
        <v>-0.38143090000000002</v>
      </c>
      <c r="U3894">
        <v>-2.6304630000000002</v>
      </c>
      <c r="V3894">
        <v>-0.24726139999999999</v>
      </c>
      <c r="W3894">
        <v>0.13299839999999999</v>
      </c>
      <c r="X3894">
        <v>0.95977769999999996</v>
      </c>
      <c r="Y3894">
        <v>-0.60139619999999905</v>
      </c>
      <c r="Z3894">
        <v>-1.6122600000000001E-2</v>
      </c>
      <c r="AA3894">
        <v>0.79878819999999995</v>
      </c>
      <c r="AB3894">
        <v>32</v>
      </c>
      <c r="AC3894">
        <v>-5.8355000000000201</v>
      </c>
      <c r="AD3894">
        <v>-1.1294658077519999</v>
      </c>
      <c r="AE3894">
        <v>-7.6955999999999802</v>
      </c>
      <c r="AF3894">
        <v>-5.9165545343404196</v>
      </c>
      <c r="AG3894">
        <v>-1.1294658077519999</v>
      </c>
      <c r="AH3894">
        <v>7.4679126395727096</v>
      </c>
      <c r="AI3894">
        <v>96.760668573228898</v>
      </c>
      <c r="AJ3894">
        <v>128.388500197274</v>
      </c>
      <c r="AK3894">
        <v>9.59432278803434</v>
      </c>
      <c r="AL3894">
        <v>82.357107084425294</v>
      </c>
      <c r="AM3894">
        <v>104.446607083679</v>
      </c>
      <c r="AN3894">
        <v>1.0000000038749</v>
      </c>
    </row>
    <row r="3895" spans="1:40" x14ac:dyDescent="0.25">
      <c r="A3895" t="str">
        <f>"20190303162630239"</f>
        <v>20190303162630239</v>
      </c>
      <c r="B3895" t="str">
        <f>"1551601590227476"</f>
        <v>1551601590227476</v>
      </c>
      <c r="C3895" t="s">
        <v>40</v>
      </c>
      <c r="D3895">
        <v>4.6281429999999997</v>
      </c>
      <c r="E3895">
        <v>0.33133600000000002</v>
      </c>
      <c r="F3895" t="s">
        <v>42</v>
      </c>
      <c r="G3895">
        <v>-405.55610000000001</v>
      </c>
      <c r="H3895">
        <v>1.0242469999999999</v>
      </c>
      <c r="I3895">
        <v>140.1756</v>
      </c>
      <c r="J3895">
        <v>-405.57459999999998</v>
      </c>
      <c r="K3895">
        <v>1.1296630000000001</v>
      </c>
      <c r="L3895">
        <v>140.7423</v>
      </c>
      <c r="M3895">
        <v>-0.96302600000000005</v>
      </c>
      <c r="N3895">
        <v>-1.3361410000000001E-2</v>
      </c>
      <c r="O3895">
        <v>-0.26907740000000002</v>
      </c>
      <c r="P3895">
        <v>-0.85338269999999905</v>
      </c>
      <c r="Q3895">
        <v>0.12680379999999999</v>
      </c>
      <c r="R3895">
        <v>-0.50562700000000005</v>
      </c>
      <c r="S3895">
        <v>-2.0540470000000002</v>
      </c>
      <c r="T3895">
        <v>-0.37405899999999997</v>
      </c>
      <c r="U3895">
        <v>-2.6435849999999999</v>
      </c>
      <c r="V3895">
        <v>-0.26032680000000002</v>
      </c>
      <c r="W3895">
        <v>0.13391839999999999</v>
      </c>
      <c r="X3895">
        <v>0.95618809999999999</v>
      </c>
      <c r="Y3895">
        <v>-0.59274469999999901</v>
      </c>
      <c r="Z3895">
        <v>-1.308232E-2</v>
      </c>
      <c r="AA3895">
        <v>0.80528409999999995</v>
      </c>
      <c r="AB3895">
        <v>32</v>
      </c>
      <c r="AC3895">
        <v>1.8499999999960399E-2</v>
      </c>
      <c r="AD3895">
        <v>-0.105415999999999</v>
      </c>
      <c r="AE3895">
        <v>-0.56669999999999698</v>
      </c>
      <c r="AF3895">
        <v>-0.53237210382328304</v>
      </c>
      <c r="AG3895">
        <v>-0.105415999999999</v>
      </c>
      <c r="AH3895">
        <v>0.13018235660208399</v>
      </c>
      <c r="AI3895">
        <v>100.88756781515301</v>
      </c>
      <c r="AJ3895">
        <v>166.25896341952901</v>
      </c>
      <c r="AK3895">
        <v>0.55810396518543104</v>
      </c>
      <c r="AL3895">
        <v>82.303918609061398</v>
      </c>
      <c r="AM3895">
        <v>105.229919118089</v>
      </c>
      <c r="AN3895">
        <v>0.99999993161920198</v>
      </c>
    </row>
    <row r="3896" spans="1:40" x14ac:dyDescent="0.25">
      <c r="A3896" t="str">
        <f>"20190303162630262"</f>
        <v>20190303162630262</v>
      </c>
      <c r="B3896" t="str">
        <f>"1551601590257733"</f>
        <v>1551601590257733</v>
      </c>
      <c r="C3896" t="s">
        <v>40</v>
      </c>
      <c r="D3896">
        <v>4.5097759999999996</v>
      </c>
      <c r="E3896">
        <v>0.257335799999999</v>
      </c>
      <c r="F3896" t="s">
        <v>47</v>
      </c>
      <c r="G3896">
        <v>-411.51639999999998</v>
      </c>
      <c r="H3896" s="1">
        <v>-7.4544140000000001E-6</v>
      </c>
      <c r="I3896">
        <v>132.5564</v>
      </c>
      <c r="J3896">
        <v>-405.89609999999999</v>
      </c>
      <c r="K3896">
        <v>1.1297919999999999</v>
      </c>
      <c r="L3896">
        <v>140.64089999999999</v>
      </c>
      <c r="M3896">
        <v>-0.95990750000000002</v>
      </c>
      <c r="N3896">
        <v>-1.333518E-2</v>
      </c>
      <c r="O3896">
        <v>-0.28000029999999998</v>
      </c>
      <c r="P3896">
        <v>-0.843337</v>
      </c>
      <c r="Q3896">
        <v>0.12639539999999999</v>
      </c>
      <c r="R3896">
        <v>-0.52230980000000005</v>
      </c>
      <c r="S3896">
        <v>-1.966064</v>
      </c>
      <c r="T3896">
        <v>-0.3737972</v>
      </c>
      <c r="U3896">
        <v>-2.7086329999999998</v>
      </c>
      <c r="V3896">
        <v>-0.26828960000000002</v>
      </c>
      <c r="W3896">
        <v>0.13319159999999999</v>
      </c>
      <c r="X3896">
        <v>0.95408630000000005</v>
      </c>
      <c r="Y3896">
        <v>-0.60970029999999997</v>
      </c>
      <c r="Z3896">
        <v>-1.3278730000000001E-2</v>
      </c>
      <c r="AA3896">
        <v>0.79252080000000003</v>
      </c>
      <c r="AB3896">
        <v>32</v>
      </c>
      <c r="AC3896">
        <v>-5.6202999999999799</v>
      </c>
      <c r="AD3896">
        <v>-1.129799454414</v>
      </c>
      <c r="AE3896">
        <v>-8.0844999999999896</v>
      </c>
      <c r="AF3896">
        <v>-6.1068301204828597</v>
      </c>
      <c r="AG3896">
        <v>-1.129799454414</v>
      </c>
      <c r="AH3896">
        <v>7.5597746430861896</v>
      </c>
      <c r="AI3896">
        <v>96.631207332096295</v>
      </c>
      <c r="AJ3896">
        <v>128.931480171727</v>
      </c>
      <c r="AK3896">
        <v>9.7836605410183797</v>
      </c>
      <c r="AL3896">
        <v>82.345938064951596</v>
      </c>
      <c r="AM3896">
        <v>105.706012635115</v>
      </c>
      <c r="AN3896">
        <v>0.99999998981320504</v>
      </c>
    </row>
    <row r="3897" spans="1:40" x14ac:dyDescent="0.25">
      <c r="A3897" t="str">
        <f>"20190303162630288"</f>
        <v>20190303162630288</v>
      </c>
      <c r="B3897" t="str">
        <f>"1551601590277253"</f>
        <v>1551601590277253</v>
      </c>
      <c r="C3897" t="s">
        <v>40</v>
      </c>
      <c r="D3897">
        <v>4.7282129999999896</v>
      </c>
      <c r="E3897">
        <v>0.26089560000000001</v>
      </c>
      <c r="F3897" t="s">
        <v>47</v>
      </c>
      <c r="G3897">
        <v>-408.90280000000001</v>
      </c>
      <c r="H3897" s="1">
        <v>-7.8416699999999994E-6</v>
      </c>
      <c r="I3897">
        <v>134.63159999999999</v>
      </c>
      <c r="J3897">
        <v>-406.25360000000001</v>
      </c>
      <c r="K3897">
        <v>1.129926</v>
      </c>
      <c r="L3897">
        <v>140.5232</v>
      </c>
      <c r="M3897">
        <v>-0.95622169999999895</v>
      </c>
      <c r="N3897">
        <v>-1.330055E-2</v>
      </c>
      <c r="O3897">
        <v>-0.29234110000000002</v>
      </c>
      <c r="P3897">
        <v>-0.83313400000000004</v>
      </c>
      <c r="Q3897">
        <v>0.12449789999999999</v>
      </c>
      <c r="R3897">
        <v>-0.53887719999999995</v>
      </c>
      <c r="S3897">
        <v>-1.630676</v>
      </c>
      <c r="T3897">
        <v>-0.61273929999999999</v>
      </c>
      <c r="U3897">
        <v>-3.2590789999999998</v>
      </c>
      <c r="V3897">
        <v>-0.27478419999999998</v>
      </c>
      <c r="W3897">
        <v>0.13099659999999999</v>
      </c>
      <c r="X3897">
        <v>0.95254059999999896</v>
      </c>
      <c r="Y3897">
        <v>-0.71764810000000001</v>
      </c>
      <c r="Z3897">
        <v>-2.80989E-2</v>
      </c>
      <c r="AA3897">
        <v>0.69583869999999903</v>
      </c>
      <c r="AB3897">
        <v>32</v>
      </c>
      <c r="AC3897">
        <v>-2.6492</v>
      </c>
      <c r="AD3897">
        <v>-1.12993384167</v>
      </c>
      <c r="AE3897">
        <v>-5.8916000000000102</v>
      </c>
      <c r="AF3897">
        <v>-4.7153635319528702</v>
      </c>
      <c r="AG3897">
        <v>-1.12993384167</v>
      </c>
      <c r="AH3897">
        <v>4.1296057048831498</v>
      </c>
      <c r="AI3897">
        <v>100.218910344154</v>
      </c>
      <c r="AJ3897">
        <v>138.78887875225499</v>
      </c>
      <c r="AK3897">
        <v>6.3690695555022501</v>
      </c>
      <c r="AL3897">
        <v>82.472814427156393</v>
      </c>
      <c r="AM3897">
        <v>106.09153118623099</v>
      </c>
      <c r="AN3897">
        <v>1.00000003021477</v>
      </c>
    </row>
    <row r="3898" spans="1:40" x14ac:dyDescent="0.25">
      <c r="A3898" t="str">
        <f>"20190303162630309"</f>
        <v>20190303162630309</v>
      </c>
      <c r="B3898" t="str">
        <f>"1551601590297748"</f>
        <v>1551601590297748</v>
      </c>
      <c r="C3898" t="s">
        <v>40</v>
      </c>
      <c r="D3898">
        <v>4.5348639999999998</v>
      </c>
      <c r="E3898">
        <v>0.26426179999999999</v>
      </c>
      <c r="F3898" t="s">
        <v>47</v>
      </c>
      <c r="G3898">
        <v>-409.17250000000001</v>
      </c>
      <c r="H3898" s="1">
        <v>-7.9490529999999996E-6</v>
      </c>
      <c r="I3898">
        <v>134.4932</v>
      </c>
      <c r="J3898">
        <v>-406.53570000000002</v>
      </c>
      <c r="K3898">
        <v>1.1300239999999999</v>
      </c>
      <c r="L3898">
        <v>140.42679999999999</v>
      </c>
      <c r="M3898">
        <v>-0.95314259999999995</v>
      </c>
      <c r="N3898">
        <v>-1.326479E-2</v>
      </c>
      <c r="O3898">
        <v>-0.30223119999999998</v>
      </c>
      <c r="P3898">
        <v>-0.82449039999999996</v>
      </c>
      <c r="Q3898">
        <v>0.123044899999999</v>
      </c>
      <c r="R3898">
        <v>-0.55233699999999997</v>
      </c>
      <c r="S3898">
        <v>-1.580444</v>
      </c>
      <c r="T3898">
        <v>-0.6118169</v>
      </c>
      <c r="U3898">
        <v>-3.2650299999999999</v>
      </c>
      <c r="V3898">
        <v>-0.28032760000000001</v>
      </c>
      <c r="W3898">
        <v>0.12928889999999901</v>
      </c>
      <c r="X3898">
        <v>0.95115760000000005</v>
      </c>
      <c r="Y3898">
        <v>-0.71962609999999905</v>
      </c>
      <c r="Z3898">
        <v>-2.6652780000000001E-2</v>
      </c>
      <c r="AA3898">
        <v>0.69385019999999997</v>
      </c>
      <c r="AB3898">
        <v>32</v>
      </c>
      <c r="AC3898">
        <v>-2.6367999999999898</v>
      </c>
      <c r="AD3898">
        <v>-1.130031949053</v>
      </c>
      <c r="AE3898">
        <v>-5.9335999999999798</v>
      </c>
      <c r="AF3898">
        <v>-4.7162228385444296</v>
      </c>
      <c r="AG3898">
        <v>-1.130031949053</v>
      </c>
      <c r="AH3898">
        <v>4.1803275975755696</v>
      </c>
      <c r="AI3898">
        <v>100.165517387756</v>
      </c>
      <c r="AJ3898">
        <v>138.44712034168001</v>
      </c>
      <c r="AK3898">
        <v>6.4027235526563704</v>
      </c>
      <c r="AL3898">
        <v>82.571497350712093</v>
      </c>
      <c r="AM3898">
        <v>106.42143443817599</v>
      </c>
      <c r="AN3898">
        <v>0.99999998151136404</v>
      </c>
    </row>
    <row r="3899" spans="1:40" x14ac:dyDescent="0.25">
      <c r="A3899" t="str">
        <f>"20190303162630329"</f>
        <v>20190303162630329</v>
      </c>
      <c r="B3899" t="str">
        <f>"1551601590317269"</f>
        <v>1551601590317269</v>
      </c>
      <c r="C3899" t="s">
        <v>40</v>
      </c>
      <c r="D3899">
        <v>4.5447829999999998</v>
      </c>
      <c r="E3899">
        <v>0.26646370000000003</v>
      </c>
      <c r="F3899" t="s">
        <v>47</v>
      </c>
      <c r="G3899">
        <v>-409.4196</v>
      </c>
      <c r="H3899" s="1">
        <v>-8.0244519999999995E-6</v>
      </c>
      <c r="I3899">
        <v>134.31379999999999</v>
      </c>
      <c r="J3899">
        <v>-406.80549999999999</v>
      </c>
      <c r="K3899">
        <v>1.1301219999999901</v>
      </c>
      <c r="L3899">
        <v>140.3313</v>
      </c>
      <c r="M3899">
        <v>-0.95004420000000001</v>
      </c>
      <c r="N3899">
        <v>-1.3217649999999999E-2</v>
      </c>
      <c r="O3899">
        <v>-0.3118361</v>
      </c>
      <c r="P3899">
        <v>-0.8156312</v>
      </c>
      <c r="Q3899">
        <v>0.1227362</v>
      </c>
      <c r="R3899">
        <v>-0.56540419999999902</v>
      </c>
      <c r="S3899">
        <v>-1.5407709999999999</v>
      </c>
      <c r="T3899">
        <v>-0.60374890000000003</v>
      </c>
      <c r="U3899">
        <v>-3.266006</v>
      </c>
      <c r="V3899">
        <v>-0.28589959999999998</v>
      </c>
      <c r="W3899">
        <v>0.12870879999999901</v>
      </c>
      <c r="X3899">
        <v>0.94957650000000005</v>
      </c>
      <c r="Y3899">
        <v>-0.71980290000000002</v>
      </c>
      <c r="Z3899">
        <v>-2.4781859999999999E-2</v>
      </c>
      <c r="AA3899">
        <v>0.69373600000000002</v>
      </c>
      <c r="AB3899">
        <v>32</v>
      </c>
      <c r="AC3899">
        <v>-2.6141000000000001</v>
      </c>
      <c r="AD3899">
        <v>-1.1301300244519901</v>
      </c>
      <c r="AE3899">
        <v>-6.0175000000000098</v>
      </c>
      <c r="AF3899">
        <v>-4.7608827432360803</v>
      </c>
      <c r="AG3899">
        <v>-1.1301300244519901</v>
      </c>
      <c r="AH3899">
        <v>4.2347120898041597</v>
      </c>
      <c r="AI3899">
        <v>100.057759875923</v>
      </c>
      <c r="AJ3899">
        <v>138.34753259509401</v>
      </c>
      <c r="AK3899">
        <v>6.4711656485168501</v>
      </c>
      <c r="AL3899">
        <v>82.605015061672901</v>
      </c>
      <c r="AM3899">
        <v>106.756058739644</v>
      </c>
      <c r="AN3899">
        <v>1.0000000329149199</v>
      </c>
    </row>
    <row r="3900" spans="1:40" x14ac:dyDescent="0.25">
      <c r="A3900" t="str">
        <f>"20190303162630350"</f>
        <v>20190303162630350</v>
      </c>
      <c r="B3900" t="str">
        <f>"1551601590347525"</f>
        <v>1551601590347525</v>
      </c>
      <c r="C3900" t="s">
        <v>40</v>
      </c>
      <c r="D3900">
        <v>4.6232069999999998</v>
      </c>
      <c r="E3900">
        <v>0.26971240000000002</v>
      </c>
      <c r="F3900" t="s">
        <v>47</v>
      </c>
      <c r="G3900">
        <v>-409.67649999999998</v>
      </c>
      <c r="H3900" s="1">
        <v>-8.0677760000000003E-6</v>
      </c>
      <c r="I3900">
        <v>134.047</v>
      </c>
      <c r="J3900">
        <v>-407.08429999999998</v>
      </c>
      <c r="K3900">
        <v>1.130242</v>
      </c>
      <c r="L3900">
        <v>140.22929999999999</v>
      </c>
      <c r="M3900">
        <v>-0.94667319999999999</v>
      </c>
      <c r="N3900">
        <v>-1.315385E-2</v>
      </c>
      <c r="O3900">
        <v>-0.32192710000000002</v>
      </c>
      <c r="P3900">
        <v>-0.80556819999999996</v>
      </c>
      <c r="Q3900">
        <v>0.123868699999999</v>
      </c>
      <c r="R3900">
        <v>-0.57941089999999995</v>
      </c>
      <c r="S3900">
        <v>-1.4963070000000001</v>
      </c>
      <c r="T3900">
        <v>-0.58900520000000001</v>
      </c>
      <c r="U3900">
        <v>-3.2752690000000002</v>
      </c>
      <c r="V3900">
        <v>-0.29232609999999998</v>
      </c>
      <c r="W3900">
        <v>0.12951399999999999</v>
      </c>
      <c r="X3900">
        <v>0.94750809999999996</v>
      </c>
      <c r="Y3900">
        <v>-0.72128369999999997</v>
      </c>
      <c r="Z3900">
        <v>-2.2850410000000002E-2</v>
      </c>
      <c r="AA3900">
        <v>0.69226279999999996</v>
      </c>
      <c r="AB3900">
        <v>32</v>
      </c>
      <c r="AC3900">
        <v>-2.5921999999999898</v>
      </c>
      <c r="AD3900">
        <v>-1.1302500677759999</v>
      </c>
      <c r="AE3900">
        <v>-6.1822999999999899</v>
      </c>
      <c r="AF3900">
        <v>-4.8798385602193104</v>
      </c>
      <c r="AG3900">
        <v>-1.1302500677759999</v>
      </c>
      <c r="AH3900">
        <v>4.3217509440642097</v>
      </c>
      <c r="AI3900">
        <v>99.836833966712305</v>
      </c>
      <c r="AJ3900">
        <v>138.47080714341399</v>
      </c>
      <c r="AK3900">
        <v>6.6157252672727296</v>
      </c>
      <c r="AL3900">
        <v>82.558490944461496</v>
      </c>
      <c r="AM3900">
        <v>107.146090435338</v>
      </c>
      <c r="AN3900">
        <v>1.0000000122513999</v>
      </c>
    </row>
    <row r="3901" spans="1:40" x14ac:dyDescent="0.25">
      <c r="A3901" t="str">
        <f>"20190303162630373"</f>
        <v>20190303162630373</v>
      </c>
      <c r="B3901" t="str">
        <f>"1551601590368020"</f>
        <v>1551601590368020</v>
      </c>
      <c r="C3901" t="s">
        <v>40</v>
      </c>
      <c r="D3901">
        <v>4.6774909999999998</v>
      </c>
      <c r="E3901">
        <v>0.27261030000000003</v>
      </c>
      <c r="F3901" t="s">
        <v>47</v>
      </c>
      <c r="G3901">
        <v>-409.9932</v>
      </c>
      <c r="H3901" s="1">
        <v>-8.0701909999999998E-6</v>
      </c>
      <c r="I3901">
        <v>133.65899999999999</v>
      </c>
      <c r="J3901">
        <v>-407.37020000000001</v>
      </c>
      <c r="K3901">
        <v>1.1303749999999999</v>
      </c>
      <c r="L3901">
        <v>140.12110000000001</v>
      </c>
      <c r="M3901">
        <v>-0.94302940000000002</v>
      </c>
      <c r="N3901">
        <v>-1.307501E-2</v>
      </c>
      <c r="O3901">
        <v>-0.3324529</v>
      </c>
      <c r="P3901">
        <v>-0.79512969999999905</v>
      </c>
      <c r="Q3901">
        <v>0.12471359999999999</v>
      </c>
      <c r="R3901">
        <v>-0.59347729999999999</v>
      </c>
      <c r="S3901">
        <v>-1.451935</v>
      </c>
      <c r="T3901">
        <v>-0.56415740000000003</v>
      </c>
      <c r="U3901">
        <v>-3.2795260000000002</v>
      </c>
      <c r="V3901">
        <v>-0.2985334</v>
      </c>
      <c r="W3901">
        <v>0.13000619999999999</v>
      </c>
      <c r="X3901">
        <v>0.94550310000000004</v>
      </c>
      <c r="Y3901">
        <v>-0.72222759999999997</v>
      </c>
      <c r="Z3901">
        <v>-2.0636080000000001E-2</v>
      </c>
      <c r="AA3901">
        <v>0.6913475</v>
      </c>
      <c r="AB3901">
        <v>32</v>
      </c>
      <c r="AC3901">
        <v>-2.62299999999999</v>
      </c>
      <c r="AD3901">
        <v>-1.13038307019099</v>
      </c>
      <c r="AE3901">
        <v>-6.4621000000000199</v>
      </c>
      <c r="AF3901">
        <v>-5.0886895979901201</v>
      </c>
      <c r="AG3901">
        <v>-1.13038307019099</v>
      </c>
      <c r="AH3901">
        <v>4.5039826042001296</v>
      </c>
      <c r="AI3901">
        <v>99.444090455112004</v>
      </c>
      <c r="AJ3901">
        <v>138.48806309080601</v>
      </c>
      <c r="AK3901">
        <v>6.8890047908972099</v>
      </c>
      <c r="AL3901">
        <v>82.530049090241505</v>
      </c>
      <c r="AM3901">
        <v>107.523004591269</v>
      </c>
      <c r="AN3901">
        <v>0.99999995753180404</v>
      </c>
    </row>
    <row r="3902" spans="1:40" x14ac:dyDescent="0.25">
      <c r="A3902" t="str">
        <f>"20190303162630395"</f>
        <v>20190303162630395</v>
      </c>
      <c r="B3902" t="str">
        <f>"1551601590387541"</f>
        <v>1551601590387541</v>
      </c>
      <c r="C3902" t="s">
        <v>40</v>
      </c>
      <c r="D3902">
        <v>6.6333919999999997</v>
      </c>
      <c r="E3902">
        <v>0.27398840000000002</v>
      </c>
      <c r="F3902" t="s">
        <v>47</v>
      </c>
      <c r="G3902">
        <v>-410.28140000000002</v>
      </c>
      <c r="H3902" s="1">
        <v>-7.8950229999999994E-6</v>
      </c>
      <c r="I3902">
        <v>133.31620000000001</v>
      </c>
      <c r="J3902">
        <v>-407.67290000000003</v>
      </c>
      <c r="K3902">
        <v>1.1305240000000001</v>
      </c>
      <c r="L3902">
        <v>140.0025</v>
      </c>
      <c r="M3902">
        <v>-0.93895240000000002</v>
      </c>
      <c r="N3902">
        <v>-1.2978750000000001E-2</v>
      </c>
      <c r="O3902">
        <v>-0.34380229999999901</v>
      </c>
      <c r="P3902">
        <v>-0.78506599999999904</v>
      </c>
      <c r="Q3902">
        <v>0.125918899999999</v>
      </c>
      <c r="R3902">
        <v>-0.60647819999999997</v>
      </c>
      <c r="S3902">
        <v>-1.405823</v>
      </c>
      <c r="T3902">
        <v>-0.5458752</v>
      </c>
      <c r="U3902">
        <v>-3.2861790000000002</v>
      </c>
      <c r="V3902">
        <v>-0.3028362</v>
      </c>
      <c r="W3902">
        <v>0.13087370000000001</v>
      </c>
      <c r="X3902">
        <v>0.94401400000000002</v>
      </c>
      <c r="Y3902">
        <v>-0.72297060000000002</v>
      </c>
      <c r="Z3902">
        <v>-1.8474520000000001E-2</v>
      </c>
      <c r="AA3902">
        <v>0.69063169999999996</v>
      </c>
      <c r="AB3902">
        <v>32</v>
      </c>
      <c r="AC3902">
        <v>-2.60849999999999</v>
      </c>
      <c r="AD3902">
        <v>-1.1305318950229899</v>
      </c>
      <c r="AE3902">
        <v>-6.6862999999999797</v>
      </c>
      <c r="AF3902">
        <v>-5.2514614811215798</v>
      </c>
      <c r="AG3902">
        <v>-1.1305318950229899</v>
      </c>
      <c r="AH3902">
        <v>4.6334558123569396</v>
      </c>
      <c r="AI3902">
        <v>99.170010080406897</v>
      </c>
      <c r="AJ3902">
        <v>138.57747952308199</v>
      </c>
      <c r="AK3902">
        <v>7.0940018902191104</v>
      </c>
      <c r="AL3902">
        <v>82.479917457958607</v>
      </c>
      <c r="AM3902">
        <v>107.786048782135</v>
      </c>
      <c r="AN3902">
        <v>1.00000006078906</v>
      </c>
    </row>
    <row r="3903" spans="1:40" x14ac:dyDescent="0.25">
      <c r="A3903" t="str">
        <f>"20190303162630416"</f>
        <v>20190303162630416</v>
      </c>
      <c r="B3903" t="str">
        <f>"1551601590408037"</f>
        <v>1551601590408037</v>
      </c>
      <c r="C3903" t="s">
        <v>40</v>
      </c>
      <c r="D3903">
        <v>4.7320260000000003</v>
      </c>
      <c r="E3903">
        <v>0.27697690000000003</v>
      </c>
      <c r="F3903" t="s">
        <v>47</v>
      </c>
      <c r="G3903">
        <v>-410.54689999999999</v>
      </c>
      <c r="H3903" s="1">
        <v>-7.7353920000000003E-6</v>
      </c>
      <c r="I3903">
        <v>133.0044</v>
      </c>
      <c r="J3903">
        <v>-407.95960000000002</v>
      </c>
      <c r="K3903">
        <v>1.1306769999999999</v>
      </c>
      <c r="L3903">
        <v>139.886</v>
      </c>
      <c r="M3903">
        <v>-0.93486670000000005</v>
      </c>
      <c r="N3903">
        <v>-1.288011E-2</v>
      </c>
      <c r="O3903">
        <v>-0.35476530000000001</v>
      </c>
      <c r="P3903">
        <v>-0.77533109999999905</v>
      </c>
      <c r="Q3903">
        <v>0.12746080000000001</v>
      </c>
      <c r="R3903">
        <v>-0.61855919999999998</v>
      </c>
      <c r="S3903">
        <v>-1.3560490000000001</v>
      </c>
      <c r="T3903">
        <v>-0.53342400000000001</v>
      </c>
      <c r="U3903">
        <v>-3.3019560000000001</v>
      </c>
      <c r="V3903">
        <v>-0.30658960000000002</v>
      </c>
      <c r="W3903">
        <v>0.1320838</v>
      </c>
      <c r="X3903">
        <v>0.9426329</v>
      </c>
      <c r="Y3903">
        <v>-0.72522149999999996</v>
      </c>
      <c r="Z3903">
        <v>-1.672827E-2</v>
      </c>
      <c r="AA3903">
        <v>0.68831249999999999</v>
      </c>
      <c r="AB3903">
        <v>32</v>
      </c>
      <c r="AC3903">
        <v>-2.5872999999999702</v>
      </c>
      <c r="AD3903">
        <v>-1.130684735392</v>
      </c>
      <c r="AE3903">
        <v>-6.8815999999999899</v>
      </c>
      <c r="AF3903">
        <v>-5.3884985949942799</v>
      </c>
      <c r="AG3903">
        <v>-1.130684735392</v>
      </c>
      <c r="AH3903">
        <v>4.7482275458608001</v>
      </c>
      <c r="AI3903">
        <v>98.946780885052604</v>
      </c>
      <c r="AJ3903">
        <v>138.61420033846301</v>
      </c>
      <c r="AK3903">
        <v>7.2704903484135803</v>
      </c>
      <c r="AL3903">
        <v>82.409976585250504</v>
      </c>
      <c r="AM3903">
        <v>108.0170199384</v>
      </c>
      <c r="AN3903">
        <v>1.0000000486064999</v>
      </c>
    </row>
    <row r="3904" spans="1:40" x14ac:dyDescent="0.25">
      <c r="A3904" t="str">
        <f>"20190303162630441"</f>
        <v>20190303162630441</v>
      </c>
      <c r="B3904" t="str">
        <f>"1551601590427556"</f>
        <v>1551601590427556</v>
      </c>
      <c r="C3904" t="s">
        <v>40</v>
      </c>
      <c r="D3904">
        <v>4.7370859999999997</v>
      </c>
      <c r="E3904">
        <v>0.2796669</v>
      </c>
      <c r="F3904" t="s">
        <v>47</v>
      </c>
      <c r="G3904">
        <v>-410.85570000000001</v>
      </c>
      <c r="H3904" s="1">
        <v>-7.5400889999999999E-6</v>
      </c>
      <c r="I3904">
        <v>132.61959999999999</v>
      </c>
      <c r="J3904">
        <v>-408.2697</v>
      </c>
      <c r="K3904">
        <v>1.1308720000000001</v>
      </c>
      <c r="L3904">
        <v>139.75530000000001</v>
      </c>
      <c r="M3904">
        <v>-0.93017680000000003</v>
      </c>
      <c r="N3904">
        <v>-1.276798E-2</v>
      </c>
      <c r="O3904">
        <v>-0.36688969999999999</v>
      </c>
      <c r="P3904">
        <v>-0.76443859999999997</v>
      </c>
      <c r="Q3904">
        <v>0.1288118</v>
      </c>
      <c r="R3904">
        <v>-0.63169719999999996</v>
      </c>
      <c r="S3904">
        <v>-1.3171999999999999</v>
      </c>
      <c r="T3904">
        <v>-0.51425480000000001</v>
      </c>
      <c r="U3904">
        <v>-3.3049010000000001</v>
      </c>
      <c r="V3904">
        <v>-0.31060209999999999</v>
      </c>
      <c r="W3904">
        <v>0.13305649999999999</v>
      </c>
      <c r="X3904">
        <v>0.94118139999999995</v>
      </c>
      <c r="Y3904">
        <v>-0.72386349999999999</v>
      </c>
      <c r="Z3904">
        <v>-1.4334629999999999E-2</v>
      </c>
      <c r="AA3904">
        <v>0.68979419999999902</v>
      </c>
      <c r="AB3904">
        <v>32</v>
      </c>
      <c r="AC3904">
        <v>-2.5860000000000101</v>
      </c>
      <c r="AD3904">
        <v>-1.1308795400889999</v>
      </c>
      <c r="AE3904">
        <v>-7.1357000000000097</v>
      </c>
      <c r="AF3904">
        <v>-5.5655893744259002</v>
      </c>
      <c r="AG3904">
        <v>-1.1308795400889999</v>
      </c>
      <c r="AH3904">
        <v>4.9147504587291104</v>
      </c>
      <c r="AI3904">
        <v>98.660000120744101</v>
      </c>
      <c r="AJ3904">
        <v>138.55355810841101</v>
      </c>
      <c r="AK3904">
        <v>7.5106221906372301</v>
      </c>
      <c r="AL3904">
        <v>82.353748797111905</v>
      </c>
      <c r="AM3904">
        <v>108.263561781921</v>
      </c>
      <c r="AN3904">
        <v>1.0000000622112999</v>
      </c>
    </row>
    <row r="3905" spans="1:40" x14ac:dyDescent="0.25">
      <c r="A3905" t="str">
        <f>"20190303162630467"</f>
        <v>20190303162630467</v>
      </c>
      <c r="B3905" t="str">
        <f>"1551601590457812"</f>
        <v>1551601590457812</v>
      </c>
      <c r="C3905" t="s">
        <v>40</v>
      </c>
      <c r="D3905">
        <v>4.7834320000000004</v>
      </c>
      <c r="E3905">
        <v>0.28347090000000003</v>
      </c>
      <c r="F3905" t="s">
        <v>47</v>
      </c>
      <c r="G3905">
        <v>-411.17200000000003</v>
      </c>
      <c r="H3905" s="1">
        <v>-7.3260779999999999E-6</v>
      </c>
      <c r="I3905">
        <v>132.1936</v>
      </c>
      <c r="J3905">
        <v>-408.61290000000002</v>
      </c>
      <c r="K3905">
        <v>1.1311020000000001</v>
      </c>
      <c r="L3905">
        <v>139.6046</v>
      </c>
      <c r="M3905">
        <v>-0.92463569999999995</v>
      </c>
      <c r="N3905">
        <v>-1.2643949999999999E-2</v>
      </c>
      <c r="O3905">
        <v>-0.38064330000000002</v>
      </c>
      <c r="P3905">
        <v>-0.75281229999999999</v>
      </c>
      <c r="Q3905">
        <v>0.1321726</v>
      </c>
      <c r="R3905">
        <v>-0.64482910000000004</v>
      </c>
      <c r="S3905">
        <v>-1.271118</v>
      </c>
      <c r="T3905">
        <v>-0.49529479999999998</v>
      </c>
      <c r="U3905">
        <v>-3.3118590000000001</v>
      </c>
      <c r="V3905">
        <v>-0.31331599999999998</v>
      </c>
      <c r="W3905">
        <v>0.13603280000000001</v>
      </c>
      <c r="X3905">
        <v>0.93985540000000001</v>
      </c>
      <c r="Y3905">
        <v>-0.7228656</v>
      </c>
      <c r="Z3905">
        <v>-1.186126E-2</v>
      </c>
      <c r="AA3905">
        <v>0.69088680000000002</v>
      </c>
      <c r="AB3905">
        <v>32</v>
      </c>
      <c r="AC3905">
        <v>-2.55909999999994</v>
      </c>
      <c r="AD3905">
        <v>-1.1311093260780001</v>
      </c>
      <c r="AE3905">
        <v>-7.4109999999999996</v>
      </c>
      <c r="AF3905">
        <v>-5.7589787578346003</v>
      </c>
      <c r="AG3905">
        <v>-1.1311093260780001</v>
      </c>
      <c r="AH3905">
        <v>5.0818288884730096</v>
      </c>
      <c r="AI3905">
        <v>98.377692557320898</v>
      </c>
      <c r="AJ3905">
        <v>138.57422531453599</v>
      </c>
      <c r="AK3905">
        <v>7.7633903349277498</v>
      </c>
      <c r="AL3905">
        <v>82.181654105860602</v>
      </c>
      <c r="AM3905">
        <v>108.436642339895</v>
      </c>
      <c r="AN3905">
        <v>1.0000000057204901</v>
      </c>
    </row>
    <row r="3906" spans="1:40" x14ac:dyDescent="0.25">
      <c r="A3906" t="str">
        <f>"20190303162630490"</f>
        <v>20190303162630490</v>
      </c>
      <c r="B3906" t="str">
        <f>"1551601590477333"</f>
        <v>1551601590477333</v>
      </c>
      <c r="C3906" t="s">
        <v>40</v>
      </c>
      <c r="D3906">
        <v>4.7671169999999998</v>
      </c>
      <c r="E3906">
        <v>0.28584389999999998</v>
      </c>
      <c r="F3906" t="s">
        <v>47</v>
      </c>
      <c r="G3906">
        <v>-411.60849999999999</v>
      </c>
      <c r="H3906" s="1">
        <v>-6.9900789999999901E-6</v>
      </c>
      <c r="I3906">
        <v>131.51259999999999</v>
      </c>
      <c r="J3906">
        <v>-408.92270000000002</v>
      </c>
      <c r="K3906">
        <v>1.131311</v>
      </c>
      <c r="L3906">
        <v>139.4632</v>
      </c>
      <c r="M3906">
        <v>-0.91932190000000003</v>
      </c>
      <c r="N3906">
        <v>-1.2533549999999999E-2</v>
      </c>
      <c r="O3906">
        <v>-0.39330670000000001</v>
      </c>
      <c r="P3906">
        <v>-0.74340859999999997</v>
      </c>
      <c r="Q3906">
        <v>0.1350219</v>
      </c>
      <c r="R3906">
        <v>-0.65506750000000002</v>
      </c>
      <c r="S3906">
        <v>-1.227112</v>
      </c>
      <c r="T3906">
        <v>-0.4633486</v>
      </c>
      <c r="U3906">
        <v>-3.3148040000000001</v>
      </c>
      <c r="V3906">
        <v>-0.31361090000000003</v>
      </c>
      <c r="W3906">
        <v>0.1386027</v>
      </c>
      <c r="X3906">
        <v>0.93938149999999998</v>
      </c>
      <c r="Y3906">
        <v>-0.72214460000000003</v>
      </c>
      <c r="Z3906">
        <v>-9.745564E-3</v>
      </c>
      <c r="AA3906">
        <v>0.69167349999999905</v>
      </c>
      <c r="AB3906">
        <v>32</v>
      </c>
      <c r="AC3906">
        <v>-2.6857999999999702</v>
      </c>
      <c r="AD3906">
        <v>-1.131317990079</v>
      </c>
      <c r="AE3906">
        <v>-7.9505999999999997</v>
      </c>
      <c r="AF3906">
        <v>-6.1416925541466796</v>
      </c>
      <c r="AG3906">
        <v>-1.131317990079</v>
      </c>
      <c r="AH3906">
        <v>5.4966844834058604</v>
      </c>
      <c r="AI3906">
        <v>97.815532897304706</v>
      </c>
      <c r="AJ3906">
        <v>138.172132426427</v>
      </c>
      <c r="AK3906">
        <v>8.3194836459032704</v>
      </c>
      <c r="AL3906">
        <v>82.033001845585801</v>
      </c>
      <c r="AM3906">
        <v>108.46149867074099</v>
      </c>
      <c r="AN3906">
        <v>1.00000005379417</v>
      </c>
    </row>
    <row r="3907" spans="1:40" x14ac:dyDescent="0.25">
      <c r="A3907" t="str">
        <f>"20190303162630511"</f>
        <v>20190303162630511</v>
      </c>
      <c r="B3907" t="str">
        <f>"1551601590507588"</f>
        <v>1551601590507588</v>
      </c>
      <c r="C3907" t="s">
        <v>40</v>
      </c>
      <c r="D3907">
        <v>4.7814110000000003</v>
      </c>
      <c r="E3907">
        <v>0.28896050000000001</v>
      </c>
      <c r="F3907" t="s">
        <v>47</v>
      </c>
      <c r="G3907">
        <v>-411.98540000000003</v>
      </c>
      <c r="H3907" s="1">
        <v>-6.7153669999999998E-6</v>
      </c>
      <c r="I3907">
        <v>130.90979999999999</v>
      </c>
      <c r="J3907">
        <v>-409.19690000000003</v>
      </c>
      <c r="K3907">
        <v>1.1314900000000001</v>
      </c>
      <c r="L3907">
        <v>139.33359999999999</v>
      </c>
      <c r="M3907">
        <v>-0.9143481</v>
      </c>
      <c r="N3907">
        <v>-1.243535E-2</v>
      </c>
      <c r="O3907">
        <v>-0.4047383</v>
      </c>
      <c r="P3907">
        <v>-0.73430410000000002</v>
      </c>
      <c r="Q3907">
        <v>0.135967</v>
      </c>
      <c r="R3907">
        <v>-0.66506419999999999</v>
      </c>
      <c r="S3907">
        <v>-1.189087</v>
      </c>
      <c r="T3907">
        <v>-0.4392297</v>
      </c>
      <c r="U3907">
        <v>-3.3208310000000001</v>
      </c>
      <c r="V3907">
        <v>-0.31476739999999997</v>
      </c>
      <c r="W3907">
        <v>0.13927129999999999</v>
      </c>
      <c r="X3907">
        <v>0.93889560000000005</v>
      </c>
      <c r="Y3907">
        <v>-0.72131319999999999</v>
      </c>
      <c r="Z3907">
        <v>-8.0154990000000006E-3</v>
      </c>
      <c r="AA3907">
        <v>0.69256269999999998</v>
      </c>
      <c r="AB3907">
        <v>32</v>
      </c>
      <c r="AC3907">
        <v>-2.7884999999999902</v>
      </c>
      <c r="AD3907">
        <v>-1.1314967153669999</v>
      </c>
      <c r="AE3907">
        <v>-8.4238</v>
      </c>
      <c r="AF3907">
        <v>-6.4689918213644901</v>
      </c>
      <c r="AG3907">
        <v>-1.1314967153669999</v>
      </c>
      <c r="AH3907">
        <v>5.8641999314769597</v>
      </c>
      <c r="AI3907">
        <v>97.3838062624733</v>
      </c>
      <c r="AJ3907">
        <v>137.80740683885699</v>
      </c>
      <c r="AK3907">
        <v>8.8043728248013995</v>
      </c>
      <c r="AL3907">
        <v>81.994318110121498</v>
      </c>
      <c r="AM3907">
        <v>108.53387252862601</v>
      </c>
      <c r="AN3907">
        <v>0.99999997940290397</v>
      </c>
    </row>
    <row r="3908" spans="1:40" x14ac:dyDescent="0.25">
      <c r="A3908" t="str">
        <f>"20190303162630534"</f>
        <v>20190303162630534</v>
      </c>
      <c r="B3908" t="str">
        <f>"1551601590527109"</f>
        <v>1551601590527109</v>
      </c>
      <c r="C3908" t="s">
        <v>40</v>
      </c>
      <c r="D3908">
        <v>4.7956269999999996</v>
      </c>
      <c r="E3908">
        <v>0.29071029999999998</v>
      </c>
      <c r="F3908" t="s">
        <v>47</v>
      </c>
      <c r="G3908">
        <v>-412.30329999999998</v>
      </c>
      <c r="H3908" s="1">
        <v>-6.4919109999999997E-6</v>
      </c>
      <c r="I3908">
        <v>130.40649999999999</v>
      </c>
      <c r="J3908">
        <v>-409.49099999999999</v>
      </c>
      <c r="K3908">
        <v>1.13168</v>
      </c>
      <c r="L3908">
        <v>139.18989999999999</v>
      </c>
      <c r="M3908">
        <v>-0.90871230000000003</v>
      </c>
      <c r="N3908">
        <v>-1.2332869999999999E-2</v>
      </c>
      <c r="O3908">
        <v>-0.41724099999999997</v>
      </c>
      <c r="P3908">
        <v>-0.72404480000000004</v>
      </c>
      <c r="Q3908">
        <v>0.135327</v>
      </c>
      <c r="R3908">
        <v>-0.67634759999999905</v>
      </c>
      <c r="S3908">
        <v>-1.1556090000000001</v>
      </c>
      <c r="T3908">
        <v>-0.42092970000000002</v>
      </c>
      <c r="U3908">
        <v>-3.3210139999999999</v>
      </c>
      <c r="V3908">
        <v>-0.31642490000000001</v>
      </c>
      <c r="W3908">
        <v>0.13831889999999999</v>
      </c>
      <c r="X3908">
        <v>0.93847919999999996</v>
      </c>
      <c r="Y3908">
        <v>-0.71834430000000005</v>
      </c>
      <c r="Z3908">
        <v>-6.0468020000000004E-3</v>
      </c>
      <c r="AA3908">
        <v>0.69566149999999904</v>
      </c>
      <c r="AB3908">
        <v>32</v>
      </c>
      <c r="AC3908">
        <v>-2.8122999999999898</v>
      </c>
      <c r="AD3908">
        <v>-1.1316864919109999</v>
      </c>
      <c r="AE3908">
        <v>-8.7834000000000003</v>
      </c>
      <c r="AF3908">
        <v>-6.7076954356639904</v>
      </c>
      <c r="AG3908">
        <v>-1.1316864919109999</v>
      </c>
      <c r="AH3908">
        <v>6.1285603319877699</v>
      </c>
      <c r="AI3908">
        <v>97.099911187427907</v>
      </c>
      <c r="AJ3908">
        <v>137.58326965916601</v>
      </c>
      <c r="AK3908">
        <v>9.1560441303226305</v>
      </c>
      <c r="AL3908">
        <v>82.049420279837307</v>
      </c>
      <c r="AM3908">
        <v>108.632446043182</v>
      </c>
      <c r="AN3908">
        <v>1.0000000221349199</v>
      </c>
    </row>
    <row r="3909" spans="1:40" x14ac:dyDescent="0.25">
      <c r="A3909" t="str">
        <f>"20190303162630573"</f>
        <v>20190303162630573</v>
      </c>
      <c r="B3909" t="str">
        <f>"1551601590567125"</f>
        <v>1551601590567125</v>
      </c>
      <c r="C3909" t="s">
        <v>40</v>
      </c>
      <c r="D3909">
        <v>4.8558240000000001</v>
      </c>
      <c r="E3909">
        <v>0.29407949999999999</v>
      </c>
      <c r="F3909" t="s">
        <v>47</v>
      </c>
      <c r="G3909">
        <v>-412.53960000000001</v>
      </c>
      <c r="H3909" s="1">
        <v>-6.3263410000000004E-6</v>
      </c>
      <c r="I3909">
        <v>130.03360000000001</v>
      </c>
      <c r="J3909">
        <v>-409.98270000000002</v>
      </c>
      <c r="K3909">
        <v>1.132015</v>
      </c>
      <c r="L3909">
        <v>138.9375</v>
      </c>
      <c r="M3909">
        <v>-0.89853439999999996</v>
      </c>
      <c r="N3909">
        <v>-1.2185130000000001E-2</v>
      </c>
      <c r="O3909">
        <v>-0.43873390000000001</v>
      </c>
      <c r="P3909">
        <v>-0.70777990000000002</v>
      </c>
      <c r="Q3909">
        <v>0.13276689999999999</v>
      </c>
      <c r="R3909">
        <v>-0.69384460000000003</v>
      </c>
      <c r="S3909">
        <v>-1.108978</v>
      </c>
      <c r="T3909">
        <v>-0.41167029999999899</v>
      </c>
      <c r="U3909">
        <v>-3.3307500000000001</v>
      </c>
      <c r="V3909">
        <v>-0.31689000000000001</v>
      </c>
      <c r="W3909">
        <v>0.13531560000000001</v>
      </c>
      <c r="X3909">
        <v>0.93876000000000004</v>
      </c>
      <c r="Y3909">
        <v>-0.71142079999999996</v>
      </c>
      <c r="Z3909">
        <v>-2.5188739999999999E-3</v>
      </c>
      <c r="AA3909">
        <v>0.70276169999999905</v>
      </c>
      <c r="AB3909">
        <v>32</v>
      </c>
      <c r="AC3909">
        <v>-2.5568999999999802</v>
      </c>
      <c r="AD3909">
        <v>-1.1320213263409999</v>
      </c>
      <c r="AE3909">
        <v>-8.9038999999999895</v>
      </c>
      <c r="AF3909">
        <v>-6.7779600534560602</v>
      </c>
      <c r="AG3909">
        <v>-1.1320213263409999</v>
      </c>
      <c r="AH3909">
        <v>6.1130819418929097</v>
      </c>
      <c r="AI3909">
        <v>97.069932781994893</v>
      </c>
      <c r="AJ3909">
        <v>137.952514168222</v>
      </c>
      <c r="AK3909">
        <v>9.1973901514415495</v>
      </c>
      <c r="AL3909">
        <v>82.223129794905901</v>
      </c>
      <c r="AM3909">
        <v>108.652744042225</v>
      </c>
      <c r="AN3909">
        <v>0.99999996065167895</v>
      </c>
    </row>
    <row r="3910" spans="1:40" x14ac:dyDescent="0.25">
      <c r="A3910" t="str">
        <f>"20190303162630600"</f>
        <v>20190303162630600</v>
      </c>
      <c r="B3910" t="str">
        <f>"1551601590587622"</f>
        <v>1551601590587622</v>
      </c>
      <c r="C3910" t="s">
        <v>40</v>
      </c>
      <c r="D3910">
        <v>4.8814669999999998</v>
      </c>
      <c r="E3910">
        <v>0.29567939999999998</v>
      </c>
      <c r="F3910" t="s">
        <v>47</v>
      </c>
      <c r="G3910">
        <v>-412.87389999999999</v>
      </c>
      <c r="H3910" s="1">
        <v>-6.1582669999999997E-6</v>
      </c>
      <c r="I3910">
        <v>129.6686</v>
      </c>
      <c r="J3910">
        <v>-410.31330000000003</v>
      </c>
      <c r="K3910">
        <v>1.1322399999999999</v>
      </c>
      <c r="L3910">
        <v>138.7593</v>
      </c>
      <c r="M3910">
        <v>-0.89116139999999999</v>
      </c>
      <c r="N3910">
        <v>-1.210289E-2</v>
      </c>
      <c r="O3910">
        <v>-0.45352530000000002</v>
      </c>
      <c r="P3910">
        <v>-0.69567950000000001</v>
      </c>
      <c r="Q3910">
        <v>0.13280210000000001</v>
      </c>
      <c r="R3910">
        <v>-0.70597019999999899</v>
      </c>
      <c r="S3910">
        <v>-1.041595</v>
      </c>
      <c r="T3910">
        <v>-0.40782940000000001</v>
      </c>
      <c r="U3910">
        <v>-3.3392490000000001</v>
      </c>
      <c r="V3910">
        <v>-0.31767970000000001</v>
      </c>
      <c r="W3910">
        <v>0.1350558</v>
      </c>
      <c r="X3910">
        <v>0.93853050000000005</v>
      </c>
      <c r="Y3910">
        <v>-0.71328340000000001</v>
      </c>
      <c r="Z3910">
        <v>-7.3539839999999998E-4</v>
      </c>
      <c r="AA3910">
        <v>0.70087529999999998</v>
      </c>
      <c r="AB3910">
        <v>33</v>
      </c>
      <c r="AC3910">
        <v>-2.56059999999996</v>
      </c>
      <c r="AD3910">
        <v>-1.13224615826699</v>
      </c>
      <c r="AE3910">
        <v>-9.0906999999999893</v>
      </c>
      <c r="AF3910">
        <v>-6.8421531868996297</v>
      </c>
      <c r="AG3910">
        <v>-1.13224615826699</v>
      </c>
      <c r="AH3910">
        <v>6.3144842037061704</v>
      </c>
      <c r="AI3910">
        <v>96.933576522516901</v>
      </c>
      <c r="AJ3910">
        <v>137.29671229451799</v>
      </c>
      <c r="AK3910">
        <v>9.3792191761769796</v>
      </c>
      <c r="AL3910">
        <v>82.238153301673293</v>
      </c>
      <c r="AM3910">
        <v>108.70025480901499</v>
      </c>
      <c r="AN3910">
        <v>0.99999998016798897</v>
      </c>
    </row>
    <row r="3911" spans="1:40" x14ac:dyDescent="0.25">
      <c r="A3911" t="str">
        <f>"20190303162630620"</f>
        <v>20190303162630620</v>
      </c>
      <c r="B3911" t="str">
        <f>"1551601590607141"</f>
        <v>1551601590607141</v>
      </c>
      <c r="C3911" t="s">
        <v>40</v>
      </c>
      <c r="D3911">
        <v>4.9075220000000002</v>
      </c>
      <c r="E3911">
        <v>0.29728559999999998</v>
      </c>
      <c r="F3911" t="s">
        <v>47</v>
      </c>
      <c r="G3911">
        <v>-413.05079999999998</v>
      </c>
      <c r="H3911" s="1">
        <v>-6.0880619999999996E-6</v>
      </c>
      <c r="I3911">
        <v>129.54050000000001</v>
      </c>
      <c r="J3911">
        <v>-410.57760000000002</v>
      </c>
      <c r="K3911">
        <v>1.132425</v>
      </c>
      <c r="L3911">
        <v>138.6113</v>
      </c>
      <c r="M3911">
        <v>-0.88493539999999904</v>
      </c>
      <c r="N3911">
        <v>-1.204704E-2</v>
      </c>
      <c r="O3911">
        <v>-0.46555780000000002</v>
      </c>
      <c r="P3911">
        <v>-0.68554280000000001</v>
      </c>
      <c r="Q3911">
        <v>0.13341459999999999</v>
      </c>
      <c r="R3911">
        <v>-0.71570330000000004</v>
      </c>
      <c r="S3911">
        <v>-0.99395750000000005</v>
      </c>
      <c r="T3911">
        <v>-0.41110809999999998</v>
      </c>
      <c r="U3911">
        <v>-3.3472749999999998</v>
      </c>
      <c r="V3911">
        <v>-0.31832529999999998</v>
      </c>
      <c r="W3911">
        <v>0.1354474</v>
      </c>
      <c r="X3911">
        <v>0.93825530000000001</v>
      </c>
      <c r="Y3911">
        <v>-0.71342530000000004</v>
      </c>
      <c r="Z3911">
        <v>9.9427999999999995E-4</v>
      </c>
      <c r="AA3911">
        <v>0.70073059999999998</v>
      </c>
      <c r="AB3911">
        <v>33</v>
      </c>
      <c r="AC3911">
        <v>-2.4731999999999599</v>
      </c>
      <c r="AD3911">
        <v>-1.1324310880619901</v>
      </c>
      <c r="AE3911">
        <v>-9.0707999999999895</v>
      </c>
      <c r="AF3911">
        <v>-6.7778251672543597</v>
      </c>
      <c r="AG3911">
        <v>-1.1324310880619901</v>
      </c>
      <c r="AH3911">
        <v>6.3203772951410597</v>
      </c>
      <c r="AI3911">
        <v>96.966671513811605</v>
      </c>
      <c r="AJ3911">
        <v>137.00021217226001</v>
      </c>
      <c r="AK3911">
        <v>9.3364063386300096</v>
      </c>
      <c r="AL3911">
        <v>82.215508360564499</v>
      </c>
      <c r="AM3911">
        <v>108.740720552742</v>
      </c>
      <c r="AN3911">
        <v>1.0000000013824699</v>
      </c>
    </row>
    <row r="3912" spans="1:40" x14ac:dyDescent="0.25">
      <c r="A3912" t="str">
        <f>"20190303162630643"</f>
        <v>20190303162630643</v>
      </c>
      <c r="B3912" t="str">
        <f>"1551601590637397"</f>
        <v>1551601590637397</v>
      </c>
      <c r="C3912" t="s">
        <v>40</v>
      </c>
      <c r="D3912">
        <v>4.8769729999999996</v>
      </c>
      <c r="E3912">
        <v>0.29879329999999998</v>
      </c>
      <c r="F3912" t="s">
        <v>47</v>
      </c>
      <c r="G3912">
        <v>-413.19380000000001</v>
      </c>
      <c r="H3912" s="1">
        <v>-6.0396279999999997E-6</v>
      </c>
      <c r="I3912">
        <v>129.46170000000001</v>
      </c>
      <c r="J3912">
        <v>-410.85140000000001</v>
      </c>
      <c r="K3912">
        <v>1.132585</v>
      </c>
      <c r="L3912">
        <v>138.45269999999999</v>
      </c>
      <c r="M3912">
        <v>-0.87817670000000003</v>
      </c>
      <c r="N3912">
        <v>-1.199686E-2</v>
      </c>
      <c r="O3912">
        <v>-0.478186</v>
      </c>
      <c r="P3912">
        <v>-0.6755468</v>
      </c>
      <c r="Q3912">
        <v>0.1326611</v>
      </c>
      <c r="R3912">
        <v>-0.72528479999999995</v>
      </c>
      <c r="S3912">
        <v>-0.9582214</v>
      </c>
      <c r="T3912">
        <v>-0.41476439999999998</v>
      </c>
      <c r="U3912">
        <v>-3.3511199999999999</v>
      </c>
      <c r="V3912">
        <v>-0.31806129999999999</v>
      </c>
      <c r="W3912">
        <v>0.1345171</v>
      </c>
      <c r="X3912">
        <v>0.93847860000000005</v>
      </c>
      <c r="Y3912">
        <v>-0.71054580000000001</v>
      </c>
      <c r="Z3912">
        <v>3.1484659999999999E-3</v>
      </c>
      <c r="AA3912">
        <v>0.70364389999999999</v>
      </c>
      <c r="AB3912">
        <v>33</v>
      </c>
      <c r="AC3912">
        <v>-2.3423999999999898</v>
      </c>
      <c r="AD3912">
        <v>-1.1325910396279999</v>
      </c>
      <c r="AE3912">
        <v>-8.9909999999999801</v>
      </c>
      <c r="AF3912">
        <v>-6.67685508335894</v>
      </c>
      <c r="AG3912">
        <v>-1.1325910396279999</v>
      </c>
      <c r="AH3912">
        <v>6.2637905547785397</v>
      </c>
      <c r="AI3912">
        <v>97.052330568582605</v>
      </c>
      <c r="AJ3912">
        <v>136.82825662760601</v>
      </c>
      <c r="AK3912">
        <v>9.2248701010558705</v>
      </c>
      <c r="AL3912">
        <v>82.269302644836301</v>
      </c>
      <c r="AM3912">
        <v>108.72211675141</v>
      </c>
      <c r="AN3912">
        <v>0.99999996170402905</v>
      </c>
    </row>
    <row r="3913" spans="1:40" x14ac:dyDescent="0.25">
      <c r="A3913" t="str">
        <f>"20190303162630668"</f>
        <v>20190303162630668</v>
      </c>
      <c r="B3913" t="str">
        <f>"1551601590658869"</f>
        <v>1551601590658869</v>
      </c>
      <c r="C3913" t="s">
        <v>40</v>
      </c>
      <c r="D3913">
        <v>4.9056410000000001</v>
      </c>
      <c r="E3913">
        <v>0.32964070000000001</v>
      </c>
      <c r="F3913" t="s">
        <v>47</v>
      </c>
      <c r="G3913">
        <v>-413.32859999999999</v>
      </c>
      <c r="H3913" s="1">
        <v>-6.018312E-6</v>
      </c>
      <c r="I3913">
        <v>129.43530000000001</v>
      </c>
      <c r="J3913">
        <v>-411.16829999999999</v>
      </c>
      <c r="K3913">
        <v>1.1327510000000001</v>
      </c>
      <c r="L3913">
        <v>138.26249999999999</v>
      </c>
      <c r="M3913">
        <v>-0.86996559999999901</v>
      </c>
      <c r="N3913">
        <v>-1.194723E-2</v>
      </c>
      <c r="O3913">
        <v>-0.49296780000000001</v>
      </c>
      <c r="P3913">
        <v>-0.6636476</v>
      </c>
      <c r="Q3913">
        <v>0.13031869999999901</v>
      </c>
      <c r="R3913">
        <v>-0.73660630000000005</v>
      </c>
      <c r="S3913">
        <v>-0.92163090000000003</v>
      </c>
      <c r="T3913">
        <v>-0.42137669999999999</v>
      </c>
      <c r="U3913">
        <v>-3.3549190000000002</v>
      </c>
      <c r="V3913">
        <v>-0.31782549999999998</v>
      </c>
      <c r="W3913">
        <v>0.1319931</v>
      </c>
      <c r="X3913">
        <v>0.9389168</v>
      </c>
      <c r="Y3913">
        <v>-0.7060149</v>
      </c>
      <c r="Z3913">
        <v>5.9215650000000002E-3</v>
      </c>
      <c r="AA3913">
        <v>0.70817220000000003</v>
      </c>
      <c r="AB3913">
        <v>33</v>
      </c>
      <c r="AC3913">
        <v>-2.1602999999999999</v>
      </c>
      <c r="AD3913">
        <v>-1.1327570183119999</v>
      </c>
      <c r="AE3913">
        <v>-8.8271999999999693</v>
      </c>
      <c r="AF3913">
        <v>-6.5136712169198603</v>
      </c>
      <c r="AG3913">
        <v>-1.1327570183119999</v>
      </c>
      <c r="AH3913">
        <v>6.1360214328534397</v>
      </c>
      <c r="AI3913">
        <v>97.214351165781693</v>
      </c>
      <c r="AJ3913">
        <v>136.71002682064</v>
      </c>
      <c r="AK3913">
        <v>9.0200781708975306</v>
      </c>
      <c r="AL3913">
        <v>82.415218782495401</v>
      </c>
      <c r="AM3913">
        <v>108.701078401008</v>
      </c>
      <c r="AN3913">
        <v>0.99999999211004997</v>
      </c>
    </row>
    <row r="3914" spans="1:40" x14ac:dyDescent="0.25">
      <c r="A3914" t="str">
        <f>"20190303162630706"</f>
        <v>20190303162630706</v>
      </c>
      <c r="B3914" t="str">
        <f>"1551601590697908"</f>
        <v>1551601590697908</v>
      </c>
      <c r="C3914" t="s">
        <v>40</v>
      </c>
      <c r="D3914">
        <v>4.9195089999999997</v>
      </c>
      <c r="E3914">
        <v>0.33165169999999999</v>
      </c>
      <c r="F3914" t="s">
        <v>47</v>
      </c>
      <c r="G3914">
        <v>-413.90069999999997</v>
      </c>
      <c r="H3914" s="1">
        <v>-6.2008150000000002E-6</v>
      </c>
      <c r="I3914">
        <v>129.9194</v>
      </c>
      <c r="J3914">
        <v>-411.63200000000001</v>
      </c>
      <c r="K3914">
        <v>1.132925</v>
      </c>
      <c r="L3914">
        <v>137.9709</v>
      </c>
      <c r="M3914">
        <v>-0.85719789999999996</v>
      </c>
      <c r="N3914">
        <v>-1.1888320000000001E-2</v>
      </c>
      <c r="O3914">
        <v>-0.51485009999999998</v>
      </c>
      <c r="P3914">
        <v>-0.64495409999999997</v>
      </c>
      <c r="Q3914">
        <v>0.1227023</v>
      </c>
      <c r="R3914">
        <v>-0.754306699999999</v>
      </c>
      <c r="S3914">
        <v>-1.049377</v>
      </c>
      <c r="T3914">
        <v>-0.43504379999999998</v>
      </c>
      <c r="U3914">
        <v>-3.2042389999999998</v>
      </c>
      <c r="V3914">
        <v>-0.31853540000000002</v>
      </c>
      <c r="W3914">
        <v>0.12412339999999999</v>
      </c>
      <c r="X3914">
        <v>0.93974919999999995</v>
      </c>
      <c r="Y3914">
        <v>-0.65231700000000004</v>
      </c>
      <c r="Z3914">
        <v>1.5389730000000001E-2</v>
      </c>
      <c r="AA3914">
        <v>0.75778999999999996</v>
      </c>
      <c r="AB3914">
        <v>33</v>
      </c>
      <c r="AC3914">
        <v>-2.2687000000000199</v>
      </c>
      <c r="AD3914">
        <v>-1.1329312008150001</v>
      </c>
      <c r="AE3914">
        <v>-8.0515000000000008</v>
      </c>
      <c r="AF3914">
        <v>-5.6308067208482004</v>
      </c>
      <c r="AG3914">
        <v>-1.1329312008150001</v>
      </c>
      <c r="AH3914">
        <v>5.9807645477687297</v>
      </c>
      <c r="AI3914">
        <v>97.852748946493705</v>
      </c>
      <c r="AJ3914">
        <v>133.273701444442</v>
      </c>
      <c r="AK3914">
        <v>8.2921084175966193</v>
      </c>
      <c r="AL3914">
        <v>82.869863856332302</v>
      </c>
      <c r="AM3914">
        <v>108.72449448034899</v>
      </c>
      <c r="AN3914">
        <v>0.99999998919067901</v>
      </c>
    </row>
    <row r="3915" spans="1:40" x14ac:dyDescent="0.25">
      <c r="A3915" t="str">
        <f>"20190303162630732"</f>
        <v>20190303162630732</v>
      </c>
      <c r="B3915" t="str">
        <f>"1551601590727189"</f>
        <v>1551601590727189</v>
      </c>
      <c r="C3915" t="s">
        <v>40</v>
      </c>
      <c r="D3915">
        <v>4.9461870000000001</v>
      </c>
      <c r="E3915">
        <v>0.33304879999999998</v>
      </c>
      <c r="F3915" t="s">
        <v>47</v>
      </c>
      <c r="G3915">
        <v>-414.05160000000001</v>
      </c>
      <c r="H3915" s="1">
        <v>-6.2216160000000003E-6</v>
      </c>
      <c r="I3915">
        <v>129.99199999999999</v>
      </c>
      <c r="J3915">
        <v>-411.93270000000001</v>
      </c>
      <c r="K3915">
        <v>1.1330129999999901</v>
      </c>
      <c r="L3915">
        <v>137.77279999999999</v>
      </c>
      <c r="M3915">
        <v>-0.84843230000000003</v>
      </c>
      <c r="N3915">
        <v>-1.1857309999999999E-2</v>
      </c>
      <c r="O3915">
        <v>-0.52917130000000001</v>
      </c>
      <c r="P3915">
        <v>-0.63264540000000002</v>
      </c>
      <c r="Q3915">
        <v>0.1184545</v>
      </c>
      <c r="R3915">
        <v>-0.76532919999999904</v>
      </c>
      <c r="S3915">
        <v>-0.97564700000000004</v>
      </c>
      <c r="T3915">
        <v>-0.45682410000000001</v>
      </c>
      <c r="U3915">
        <v>-3.2172999999999998</v>
      </c>
      <c r="V3915">
        <v>-0.31845790000000002</v>
      </c>
      <c r="W3915">
        <v>0.119755</v>
      </c>
      <c r="X3915">
        <v>0.94034209999999996</v>
      </c>
      <c r="Y3915">
        <v>-0.65616609999999997</v>
      </c>
      <c r="Z3915">
        <v>1.86295E-2</v>
      </c>
      <c r="AA3915">
        <v>0.75438640000000001</v>
      </c>
      <c r="AB3915">
        <v>33</v>
      </c>
      <c r="AC3915">
        <v>-2.1188999999999898</v>
      </c>
      <c r="AD3915">
        <v>-1.13301922161599</v>
      </c>
      <c r="AE3915">
        <v>-7.78079999999997</v>
      </c>
      <c r="AF3915">
        <v>-5.3745104202003002</v>
      </c>
      <c r="AG3915">
        <v>-1.13301922161599</v>
      </c>
      <c r="AH3915">
        <v>5.8010197426034802</v>
      </c>
      <c r="AI3915">
        <v>98.153520465173003</v>
      </c>
      <c r="AJ3915">
        <v>132.81439183961999</v>
      </c>
      <c r="AK3915">
        <v>7.9887999641666001</v>
      </c>
      <c r="AL3915">
        <v>83.122036709238003</v>
      </c>
      <c r="AM3915">
        <v>108.70927435011799</v>
      </c>
      <c r="AN3915">
        <v>0.99999997956490905</v>
      </c>
    </row>
    <row r="3916" spans="1:40" x14ac:dyDescent="0.25">
      <c r="A3916" t="str">
        <f>"20190303162630754"</f>
        <v>20190303162630754</v>
      </c>
      <c r="B3916" t="str">
        <f>"1551601590747685"</f>
        <v>1551601590747685</v>
      </c>
      <c r="C3916" t="s">
        <v>40</v>
      </c>
      <c r="D3916">
        <v>4.9542830000000002</v>
      </c>
      <c r="E3916">
        <v>0.33357949999999997</v>
      </c>
      <c r="F3916" t="s">
        <v>47</v>
      </c>
      <c r="G3916">
        <v>-414.19060000000002</v>
      </c>
      <c r="H3916" s="1">
        <v>-6.1842510000000004E-6</v>
      </c>
      <c r="I3916">
        <v>129.92009999999999</v>
      </c>
      <c r="J3916">
        <v>-412.2056</v>
      </c>
      <c r="K3916">
        <v>1.1330849999999999</v>
      </c>
      <c r="L3916">
        <v>137.58699999999999</v>
      </c>
      <c r="M3916">
        <v>-0.84015390000000001</v>
      </c>
      <c r="N3916">
        <v>-1.183326E-2</v>
      </c>
      <c r="O3916">
        <v>-0.54221919999999901</v>
      </c>
      <c r="P3916">
        <v>-0.62193690000000001</v>
      </c>
      <c r="Q3916">
        <v>0.1152</v>
      </c>
      <c r="R3916">
        <v>-0.77454750000000006</v>
      </c>
      <c r="S3916">
        <v>-0.92736819999999998</v>
      </c>
      <c r="T3916">
        <v>-0.46535589999999999</v>
      </c>
      <c r="U3916">
        <v>-3.225311</v>
      </c>
      <c r="V3916">
        <v>-0.31734639999999997</v>
      </c>
      <c r="W3916">
        <v>0.1164424</v>
      </c>
      <c r="X3916">
        <v>0.94113360000000001</v>
      </c>
      <c r="Y3916">
        <v>-0.65543099999999999</v>
      </c>
      <c r="Z3916">
        <v>2.1409379999999999E-2</v>
      </c>
      <c r="AA3916">
        <v>0.7549515</v>
      </c>
      <c r="AB3916">
        <v>33</v>
      </c>
      <c r="AC3916">
        <v>-1.9850000000000101</v>
      </c>
      <c r="AD3916">
        <v>-1.1330911842510001</v>
      </c>
      <c r="AE3916">
        <v>-7.6669000000000196</v>
      </c>
      <c r="AF3916">
        <v>-5.2578194865241601</v>
      </c>
      <c r="AG3916">
        <v>-1.1330911842510001</v>
      </c>
      <c r="AH3916">
        <v>5.7084033292234801</v>
      </c>
      <c r="AI3916">
        <v>98.306563963466502</v>
      </c>
      <c r="AJ3916">
        <v>132.64713526622401</v>
      </c>
      <c r="AK3916">
        <v>7.8431135369692404</v>
      </c>
      <c r="AL3916">
        <v>83.313172613195903</v>
      </c>
      <c r="AM3916">
        <v>108.63389585751899</v>
      </c>
      <c r="AN3916">
        <v>1.00000001157984</v>
      </c>
    </row>
    <row r="3917" spans="1:40" x14ac:dyDescent="0.25">
      <c r="A3917" t="str">
        <f>"20190303162630777"</f>
        <v>20190303162630777</v>
      </c>
      <c r="B3917" t="str">
        <f>"1551601590767205"</f>
        <v>1551601590767205</v>
      </c>
      <c r="C3917" t="s">
        <v>40</v>
      </c>
      <c r="D3917">
        <v>4.9670189999999996</v>
      </c>
      <c r="E3917">
        <v>0.3429044</v>
      </c>
      <c r="F3917" t="s">
        <v>47</v>
      </c>
      <c r="G3917">
        <v>-414.31420000000003</v>
      </c>
      <c r="H3917" s="1">
        <v>-6.1596159999999999E-6</v>
      </c>
      <c r="I3917">
        <v>129.87719999999999</v>
      </c>
      <c r="J3917">
        <v>-412.48270000000002</v>
      </c>
      <c r="K3917">
        <v>1.1331610000000001</v>
      </c>
      <c r="L3917">
        <v>137.39189999999999</v>
      </c>
      <c r="M3917">
        <v>-0.83142139999999998</v>
      </c>
      <c r="N3917">
        <v>-1.1812629999999999E-2</v>
      </c>
      <c r="O3917">
        <v>-0.55551700000000004</v>
      </c>
      <c r="P3917">
        <v>-0.61138549999999903</v>
      </c>
      <c r="Q3917">
        <v>0.1136861</v>
      </c>
      <c r="R3917">
        <v>-0.78312399999999904</v>
      </c>
      <c r="S3917">
        <v>-0.88442989999999999</v>
      </c>
      <c r="T3917">
        <v>-0.47526000000000002</v>
      </c>
      <c r="U3917">
        <v>-3.233765</v>
      </c>
      <c r="V3917">
        <v>-0.31528260000000002</v>
      </c>
      <c r="W3917">
        <v>0.114914</v>
      </c>
      <c r="X3917">
        <v>0.94201469999999998</v>
      </c>
      <c r="Y3917">
        <v>-0.65326030000000002</v>
      </c>
      <c r="Z3917">
        <v>2.4545549999999999E-2</v>
      </c>
      <c r="AA3917">
        <v>0.75673539999999995</v>
      </c>
      <c r="AB3917">
        <v>33</v>
      </c>
      <c r="AC3917">
        <v>-1.8314999999999999</v>
      </c>
      <c r="AD3917">
        <v>-1.133167159616</v>
      </c>
      <c r="AE3917">
        <v>-7.5147000000000004</v>
      </c>
      <c r="AF3917">
        <v>-5.1209038828317999</v>
      </c>
      <c r="AG3917">
        <v>-1.133167159616</v>
      </c>
      <c r="AH3917">
        <v>5.5779650693664298</v>
      </c>
      <c r="AI3917">
        <v>98.5111223606675</v>
      </c>
      <c r="AJ3917">
        <v>132.55378224554599</v>
      </c>
      <c r="AK3917">
        <v>7.6564625450599602</v>
      </c>
      <c r="AL3917">
        <v>83.401335406384007</v>
      </c>
      <c r="AM3917">
        <v>108.504862068001</v>
      </c>
      <c r="AN3917">
        <v>1.00000002013742</v>
      </c>
    </row>
    <row r="3918" spans="1:40" x14ac:dyDescent="0.25">
      <c r="A3918" t="str">
        <f>"20190303162630801"</f>
        <v>20190303162630801</v>
      </c>
      <c r="B3918" t="str">
        <f>"1551601590788676"</f>
        <v>1551601590788676</v>
      </c>
      <c r="C3918" t="s">
        <v>40</v>
      </c>
      <c r="D3918">
        <v>5.0872659999999996</v>
      </c>
      <c r="E3918">
        <v>0.38962360000000001</v>
      </c>
      <c r="F3918" t="s">
        <v>42</v>
      </c>
      <c r="G3918">
        <v>-412.73</v>
      </c>
      <c r="H3918">
        <v>1.0109030000000001</v>
      </c>
      <c r="I3918">
        <v>136.511</v>
      </c>
      <c r="J3918">
        <v>-412.74239999999998</v>
      </c>
      <c r="K3918">
        <v>1.1332260000000001</v>
      </c>
      <c r="L3918">
        <v>137.20249999999999</v>
      </c>
      <c r="M3918">
        <v>-0.82292489999999996</v>
      </c>
      <c r="N3918">
        <v>-1.179734E-2</v>
      </c>
      <c r="O3918">
        <v>-0.56802790000000003</v>
      </c>
      <c r="P3918">
        <v>-0.60201700000000002</v>
      </c>
      <c r="Q3918">
        <v>0.1141725</v>
      </c>
      <c r="R3918">
        <v>-0.790278699999999</v>
      </c>
      <c r="S3918">
        <v>-0.89630129999999997</v>
      </c>
      <c r="T3918">
        <v>-0.44335869999999999</v>
      </c>
      <c r="U3918">
        <v>-3.1954189999999998</v>
      </c>
      <c r="V3918">
        <v>-0.31222709999999998</v>
      </c>
      <c r="W3918">
        <v>0.11543639999999999</v>
      </c>
      <c r="X3918">
        <v>0.94296800000000003</v>
      </c>
      <c r="Y3918">
        <v>-0.6371464</v>
      </c>
      <c r="Z3918">
        <v>2.5968209999999999E-2</v>
      </c>
      <c r="AA3918">
        <v>0.77030520000000002</v>
      </c>
      <c r="AB3918">
        <v>33</v>
      </c>
      <c r="AC3918">
        <v>1.23999999999568E-2</v>
      </c>
      <c r="AD3918">
        <v>-0.122322999999999</v>
      </c>
      <c r="AE3918">
        <v>-0.69149999999999001</v>
      </c>
      <c r="AF3918">
        <v>-0.558660214496014</v>
      </c>
      <c r="AG3918">
        <v>-0.122322999999999</v>
      </c>
      <c r="AH3918">
        <v>0.37100779476274498</v>
      </c>
      <c r="AI3918">
        <v>100.337080940833</v>
      </c>
      <c r="AJ3918">
        <v>146.41175325577501</v>
      </c>
      <c r="AK3918">
        <v>0.68169709942499201</v>
      </c>
      <c r="AL3918">
        <v>83.371203347374902</v>
      </c>
      <c r="AM3918">
        <v>108.320276469348</v>
      </c>
      <c r="AN3918">
        <v>0.999999986721685</v>
      </c>
    </row>
    <row r="3919" spans="1:40" x14ac:dyDescent="0.25">
      <c r="A3919" t="str">
        <f>"20190303162630823"</f>
        <v>20190303162630823</v>
      </c>
      <c r="B3919" t="str">
        <f>"1551601590808197"</f>
        <v>1551601590808197</v>
      </c>
      <c r="C3919" t="s">
        <v>40</v>
      </c>
      <c r="D3919">
        <v>5.0146240000000004</v>
      </c>
      <c r="E3919">
        <v>0.40527970000000002</v>
      </c>
      <c r="F3919" t="s">
        <v>47</v>
      </c>
      <c r="G3919">
        <v>-417.13400000000001</v>
      </c>
      <c r="H3919" s="1">
        <v>-3.9929649999999998E-6</v>
      </c>
      <c r="I3919">
        <v>125.8309</v>
      </c>
      <c r="J3919">
        <v>-413.0018</v>
      </c>
      <c r="K3919">
        <v>1.133284</v>
      </c>
      <c r="L3919">
        <v>137.00739999999999</v>
      </c>
      <c r="M3919">
        <v>-0.81414370000000003</v>
      </c>
      <c r="N3919">
        <v>-1.1785550000000001E-2</v>
      </c>
      <c r="O3919">
        <v>-0.58054380000000005</v>
      </c>
      <c r="P3919">
        <v>-0.59369059999999996</v>
      </c>
      <c r="Q3919">
        <v>0.1154188</v>
      </c>
      <c r="R3919">
        <v>-0.796373</v>
      </c>
      <c r="S3919">
        <v>-1.145508</v>
      </c>
      <c r="T3919">
        <v>-0.29559669999999999</v>
      </c>
      <c r="U3919">
        <v>-2.966202</v>
      </c>
      <c r="V3919">
        <v>-0.30761050000000001</v>
      </c>
      <c r="W3919">
        <v>0.116782399999999</v>
      </c>
      <c r="X3919">
        <v>0.94431860000000001</v>
      </c>
      <c r="Y3919">
        <v>-0.54963109999999904</v>
      </c>
      <c r="Z3919">
        <v>2.1518329999999999E-2</v>
      </c>
      <c r="AA3919">
        <v>0.83513029999999999</v>
      </c>
      <c r="AB3919">
        <v>33</v>
      </c>
      <c r="AC3919">
        <v>-4.1322000000000099</v>
      </c>
      <c r="AD3919">
        <v>-1.1332879929649999</v>
      </c>
      <c r="AE3919">
        <v>-11.1764999999999</v>
      </c>
      <c r="AF3919">
        <v>-6.64075157382673</v>
      </c>
      <c r="AG3919">
        <v>-1.1332879929649999</v>
      </c>
      <c r="AH3919">
        <v>9.7650089907475408</v>
      </c>
      <c r="AI3919">
        <v>95.481733902524695</v>
      </c>
      <c r="AJ3919">
        <v>124.21789057689401</v>
      </c>
      <c r="AK3919">
        <v>11.863360558023199</v>
      </c>
      <c r="AL3919">
        <v>83.293558039877297</v>
      </c>
      <c r="AM3919">
        <v>108.04294915875499</v>
      </c>
      <c r="AN3919">
        <v>0.99999998348298402</v>
      </c>
    </row>
    <row r="3920" spans="1:40" x14ac:dyDescent="0.25">
      <c r="A3920" t="str">
        <f>"20190303162630864"</f>
        <v>20190303162630864</v>
      </c>
      <c r="B3920" t="str">
        <f>"1551601590857972"</f>
        <v>1551601590857972</v>
      </c>
      <c r="C3920" t="s">
        <v>40</v>
      </c>
      <c r="D3920">
        <v>5.0476380000000001</v>
      </c>
      <c r="E3920">
        <v>0.41292450000000003</v>
      </c>
      <c r="F3920" t="s">
        <v>42</v>
      </c>
      <c r="G3920">
        <v>-413.41849999999999</v>
      </c>
      <c r="H3920">
        <v>1.041453</v>
      </c>
      <c r="I3920">
        <v>136.0111</v>
      </c>
      <c r="J3920">
        <v>-413.4683</v>
      </c>
      <c r="K3920">
        <v>1.133416</v>
      </c>
      <c r="L3920">
        <v>136.64070000000001</v>
      </c>
      <c r="M3920">
        <v>-0.79757169999999999</v>
      </c>
      <c r="N3920">
        <v>-1.177219E-2</v>
      </c>
      <c r="O3920">
        <v>-0.60310920000000001</v>
      </c>
      <c r="P3920">
        <v>-0.58063419999999999</v>
      </c>
      <c r="Q3920">
        <v>0.119312</v>
      </c>
      <c r="R3920">
        <v>-0.805374699999999</v>
      </c>
      <c r="S3920">
        <v>-1.2136229999999999</v>
      </c>
      <c r="T3920">
        <v>-0.2674241</v>
      </c>
      <c r="U3920">
        <v>-2.9011079999999998</v>
      </c>
      <c r="V3920">
        <v>-0.29623500000000003</v>
      </c>
      <c r="W3920">
        <v>0.12098100000000001</v>
      </c>
      <c r="X3920">
        <v>0.94742199999999999</v>
      </c>
      <c r="Y3920">
        <v>-0.50258579999999997</v>
      </c>
      <c r="Z3920">
        <v>2.3309730000000001E-2</v>
      </c>
      <c r="AA3920">
        <v>0.86421299999999901</v>
      </c>
      <c r="AB3920">
        <v>33</v>
      </c>
      <c r="AC3920">
        <v>4.9800000000004702E-2</v>
      </c>
      <c r="AD3920">
        <v>-9.1963000000000003E-2</v>
      </c>
      <c r="AE3920">
        <v>-0.62960000000001004</v>
      </c>
      <c r="AF3920">
        <v>-0.52117269395181298</v>
      </c>
      <c r="AG3920">
        <v>-9.1963000000000003E-2</v>
      </c>
      <c r="AH3920">
        <v>0.33296240623709</v>
      </c>
      <c r="AI3920">
        <v>98.4578101319713</v>
      </c>
      <c r="AJ3920">
        <v>147.42664839727999</v>
      </c>
      <c r="AK3920">
        <v>0.62525365593268101</v>
      </c>
      <c r="AL3920">
        <v>83.051277837516807</v>
      </c>
      <c r="AM3920">
        <v>107.363149304562</v>
      </c>
      <c r="AN3920">
        <v>1.0000000118349901</v>
      </c>
    </row>
    <row r="3921" spans="1:40" x14ac:dyDescent="0.25">
      <c r="A3921" t="str">
        <f>"20190303162630907"</f>
        <v>20190303162630907</v>
      </c>
      <c r="B3921" t="str">
        <f>"1551601590897988"</f>
        <v>1551601590897988</v>
      </c>
      <c r="C3921" t="s">
        <v>40</v>
      </c>
      <c r="D3921">
        <v>5.0086599999999999</v>
      </c>
      <c r="E3921">
        <v>0.41490890000000002</v>
      </c>
      <c r="F3921" t="s">
        <v>42</v>
      </c>
      <c r="G3921">
        <v>-413.87759999999997</v>
      </c>
      <c r="H3921">
        <v>1.0483199999999999</v>
      </c>
      <c r="I3921">
        <v>135.66970000000001</v>
      </c>
      <c r="J3921">
        <v>-413.9486</v>
      </c>
      <c r="K3921">
        <v>1.133553</v>
      </c>
      <c r="L3921">
        <v>136.24019999999999</v>
      </c>
      <c r="M3921">
        <v>-0.77938680000000005</v>
      </c>
      <c r="N3921">
        <v>-1.177069E-2</v>
      </c>
      <c r="O3921">
        <v>-0.6264324</v>
      </c>
      <c r="P3921">
        <v>-0.56505660000000002</v>
      </c>
      <c r="Q3921">
        <v>0.1263658</v>
      </c>
      <c r="R3921">
        <v>-0.81531750000000003</v>
      </c>
      <c r="S3921">
        <v>-1.2162170000000001</v>
      </c>
      <c r="T3921">
        <v>-0.25286690000000001</v>
      </c>
      <c r="U3921">
        <v>-2.8855740000000001</v>
      </c>
      <c r="V3921">
        <v>-0.28582479999999999</v>
      </c>
      <c r="W3921">
        <v>0.1283195</v>
      </c>
      <c r="X3921">
        <v>0.94965169999999999</v>
      </c>
      <c r="Y3921">
        <v>-0.47458440000000002</v>
      </c>
      <c r="Z3921">
        <v>2.4946949999999999E-2</v>
      </c>
      <c r="AA3921">
        <v>0.87985639999999998</v>
      </c>
      <c r="AB3921">
        <v>33</v>
      </c>
      <c r="AC3921">
        <v>7.1000000000026306E-2</v>
      </c>
      <c r="AD3921">
        <v>-8.5232999999999795E-2</v>
      </c>
      <c r="AE3921">
        <v>-0.57049999999998102</v>
      </c>
      <c r="AF3921">
        <v>-0.47863044845340702</v>
      </c>
      <c r="AG3921">
        <v>-8.5232999999999795E-2</v>
      </c>
      <c r="AH3921">
        <v>0.29556756562105702</v>
      </c>
      <c r="AI3921">
        <v>98.615668088099198</v>
      </c>
      <c r="AJ3921">
        <v>148.303520389695</v>
      </c>
      <c r="AK3921">
        <v>0.56895690199071103</v>
      </c>
      <c r="AL3921">
        <v>82.627506801627305</v>
      </c>
      <c r="AM3921">
        <v>106.750668248743</v>
      </c>
      <c r="AN3921">
        <v>1.00000003084408</v>
      </c>
    </row>
    <row r="3922" spans="1:40" x14ac:dyDescent="0.25">
      <c r="A3922" t="str">
        <f>"20190303162630934"</f>
        <v>20190303162630934</v>
      </c>
      <c r="B3922" t="str">
        <f>"1551601590927269"</f>
        <v>1551601590927269</v>
      </c>
      <c r="C3922" t="s">
        <v>40</v>
      </c>
      <c r="D3922">
        <v>5.0472549999999998</v>
      </c>
      <c r="E3922">
        <v>0.41611710000000002</v>
      </c>
      <c r="F3922" t="s">
        <v>42</v>
      </c>
      <c r="G3922">
        <v>-414.32429999999999</v>
      </c>
      <c r="H3922">
        <v>1.0613360000000001</v>
      </c>
      <c r="I3922">
        <v>135.3109</v>
      </c>
      <c r="J3922">
        <v>-414.2466</v>
      </c>
      <c r="K3922">
        <v>1.1336269999999999</v>
      </c>
      <c r="L3922">
        <v>135.97970000000001</v>
      </c>
      <c r="M3922">
        <v>-0.76750019999999997</v>
      </c>
      <c r="N3922">
        <v>-1.17809E-2</v>
      </c>
      <c r="O3922">
        <v>-0.64094050000000002</v>
      </c>
      <c r="P3922">
        <v>-0.55401</v>
      </c>
      <c r="Q3922">
        <v>0.12748309999999999</v>
      </c>
      <c r="R3922">
        <v>-0.82269119999999996</v>
      </c>
      <c r="S3922">
        <v>-1.1727909999999999</v>
      </c>
      <c r="T3922">
        <v>-0.22548579999999999</v>
      </c>
      <c r="U3922">
        <v>-2.9016570000000002</v>
      </c>
      <c r="V3922">
        <v>-0.28073819999999999</v>
      </c>
      <c r="W3922">
        <v>0.12957920000000001</v>
      </c>
      <c r="X3922">
        <v>0.95099699999999998</v>
      </c>
      <c r="Y3922">
        <v>-0.47112730000000003</v>
      </c>
      <c r="Z3922">
        <v>2.247468E-2</v>
      </c>
      <c r="AA3922">
        <v>0.88177879999999997</v>
      </c>
      <c r="AB3922">
        <v>33</v>
      </c>
      <c r="AC3922">
        <v>-7.7699999999992997E-2</v>
      </c>
      <c r="AD3922">
        <v>-7.22909999999998E-2</v>
      </c>
      <c r="AE3922">
        <v>-0.66880000000000395</v>
      </c>
      <c r="AF3922">
        <v>-0.45825248191956902</v>
      </c>
      <c r="AG3922">
        <v>-7.22909999999998E-2</v>
      </c>
      <c r="AH3922">
        <v>0.48276434441246902</v>
      </c>
      <c r="AI3922">
        <v>96.198381552610897</v>
      </c>
      <c r="AJ3922">
        <v>133.50788134860599</v>
      </c>
      <c r="AK3922">
        <v>0.66953919833154396</v>
      </c>
      <c r="AL3922">
        <v>82.554723421144203</v>
      </c>
      <c r="AM3922">
        <v>106.446815746567</v>
      </c>
      <c r="AN3922">
        <v>1.0000000000104401</v>
      </c>
    </row>
    <row r="3923" spans="1:40" x14ac:dyDescent="0.25">
      <c r="A3923" t="str">
        <f>"20190303162630955"</f>
        <v>20190303162630955</v>
      </c>
      <c r="B3923" t="str">
        <f>"1551601590947765"</f>
        <v>1551601590947765</v>
      </c>
      <c r="C3923" t="s">
        <v>40</v>
      </c>
      <c r="D3923">
        <v>5.0512240000000004</v>
      </c>
      <c r="E3923">
        <v>0.4164602</v>
      </c>
      <c r="F3923" t="s">
        <v>42</v>
      </c>
      <c r="G3923">
        <v>-414.57260000000002</v>
      </c>
      <c r="H3923">
        <v>1.07222</v>
      </c>
      <c r="I3923">
        <v>135.1472</v>
      </c>
      <c r="J3923">
        <v>-414.47179999999997</v>
      </c>
      <c r="K3923">
        <v>1.1336790000000001</v>
      </c>
      <c r="L3923">
        <v>135.77600000000001</v>
      </c>
      <c r="M3923">
        <v>-0.75818200000000002</v>
      </c>
      <c r="N3923">
        <v>-1.1793639999999999E-2</v>
      </c>
      <c r="O3923">
        <v>-0.65193639999999997</v>
      </c>
      <c r="P3923">
        <v>-0.54503859999999904</v>
      </c>
      <c r="Q3923">
        <v>0.12763369999999999</v>
      </c>
      <c r="R3923">
        <v>-0.82863899999999902</v>
      </c>
      <c r="S3923">
        <v>-1.139923</v>
      </c>
      <c r="T3923">
        <v>-0.2147945</v>
      </c>
      <c r="U3923">
        <v>-2.9121860000000002</v>
      </c>
      <c r="V3923">
        <v>-0.27736349999999999</v>
      </c>
      <c r="W3923">
        <v>0.129827</v>
      </c>
      <c r="X3923">
        <v>0.95195300000000005</v>
      </c>
      <c r="Y3923">
        <v>-0.46814119999999998</v>
      </c>
      <c r="Z3923">
        <v>2.1881870000000001E-2</v>
      </c>
      <c r="AA3923">
        <v>0.88338269999999997</v>
      </c>
      <c r="AB3923">
        <v>33</v>
      </c>
      <c r="AC3923">
        <v>-0.100800000000049</v>
      </c>
      <c r="AD3923">
        <v>-6.1458999999999903E-2</v>
      </c>
      <c r="AE3923">
        <v>-0.62880000000001202</v>
      </c>
      <c r="AF3923">
        <v>-0.40726503754621801</v>
      </c>
      <c r="AG3923">
        <v>-6.1458999999999903E-2</v>
      </c>
      <c r="AH3923">
        <v>0.481907767809924</v>
      </c>
      <c r="AI3923">
        <v>95.563449577341302</v>
      </c>
      <c r="AJ3923">
        <v>130.20148424460999</v>
      </c>
      <c r="AK3923">
        <v>0.63393778572038595</v>
      </c>
      <c r="AL3923">
        <v>82.540404856124894</v>
      </c>
      <c r="AM3923">
        <v>106.244147459562</v>
      </c>
      <c r="AN3923">
        <v>1.0000000376351199</v>
      </c>
    </row>
    <row r="3924" spans="1:40" x14ac:dyDescent="0.25">
      <c r="A3924" t="str">
        <f>"20190303162630978"</f>
        <v>20190303162630978</v>
      </c>
      <c r="B3924" t="str">
        <f>"1551601590967285"</f>
        <v>1551601590967285</v>
      </c>
      <c r="C3924" t="s">
        <v>40</v>
      </c>
      <c r="D3924">
        <v>5.0173819999999996</v>
      </c>
      <c r="E3924">
        <v>0.41678229999999999</v>
      </c>
      <c r="F3924" t="s">
        <v>42</v>
      </c>
      <c r="G3924">
        <v>-414.78949999999998</v>
      </c>
      <c r="H3924">
        <v>1.072368</v>
      </c>
      <c r="I3924">
        <v>134.93860000000001</v>
      </c>
      <c r="J3924">
        <v>-414.709</v>
      </c>
      <c r="K3924">
        <v>1.133734</v>
      </c>
      <c r="L3924">
        <v>135.55500000000001</v>
      </c>
      <c r="M3924">
        <v>-0.74804119999999996</v>
      </c>
      <c r="N3924">
        <v>-1.1809419999999999E-2</v>
      </c>
      <c r="O3924">
        <v>-0.6635472</v>
      </c>
      <c r="P3924">
        <v>-0.53360059999999998</v>
      </c>
      <c r="Q3924">
        <v>0.12744800000000001</v>
      </c>
      <c r="R3924">
        <v>-0.83607880000000001</v>
      </c>
      <c r="S3924">
        <v>-1.109192</v>
      </c>
      <c r="T3924">
        <v>-0.214092</v>
      </c>
      <c r="U3924">
        <v>-2.9238430000000002</v>
      </c>
      <c r="V3924">
        <v>-0.275800299999999</v>
      </c>
      <c r="W3924">
        <v>0.1296757</v>
      </c>
      <c r="X3924">
        <v>0.95242760000000004</v>
      </c>
      <c r="Y3924">
        <v>-0.46381810000000001</v>
      </c>
      <c r="Z3924">
        <v>2.2780390000000001E-2</v>
      </c>
      <c r="AA3924">
        <v>0.88563749999999997</v>
      </c>
      <c r="AB3924">
        <v>33</v>
      </c>
      <c r="AC3924">
        <v>-8.0499999999972205E-2</v>
      </c>
      <c r="AD3924">
        <v>-6.1365999999999997E-2</v>
      </c>
      <c r="AE3924">
        <v>-0.61639999999999795</v>
      </c>
      <c r="AF3924">
        <v>-0.40377069946758198</v>
      </c>
      <c r="AG3924">
        <v>-6.1365999999999997E-2</v>
      </c>
      <c r="AH3924">
        <v>0.464731686882146</v>
      </c>
      <c r="AI3924">
        <v>95.692394668276705</v>
      </c>
      <c r="AJ3924">
        <v>130.984941246305</v>
      </c>
      <c r="AK3924">
        <v>0.61868578818077402</v>
      </c>
      <c r="AL3924">
        <v>82.549147053934306</v>
      </c>
      <c r="AM3924">
        <v>106.14975460163799</v>
      </c>
      <c r="AN3924">
        <v>0.999999962946169</v>
      </c>
    </row>
    <row r="3925" spans="1:40" x14ac:dyDescent="0.25">
      <c r="A3925" t="str">
        <f>"20190303162631019"</f>
        <v>20190303162631019</v>
      </c>
      <c r="B3925" t="str">
        <f>"1551601591007301"</f>
        <v>1551601591007301</v>
      </c>
      <c r="C3925" t="s">
        <v>40</v>
      </c>
      <c r="D3925">
        <v>4.9796630000000004</v>
      </c>
      <c r="E3925">
        <v>0.41733229999999999</v>
      </c>
      <c r="F3925" t="s">
        <v>42</v>
      </c>
      <c r="G3925">
        <v>-415.02370000000002</v>
      </c>
      <c r="H3925">
        <v>1.070956</v>
      </c>
      <c r="I3925">
        <v>134.69120000000001</v>
      </c>
      <c r="J3925">
        <v>-415.13929999999999</v>
      </c>
      <c r="K3925">
        <v>1.1338170000000001</v>
      </c>
      <c r="L3925">
        <v>135.13570000000001</v>
      </c>
      <c r="M3925">
        <v>-0.72874050000000001</v>
      </c>
      <c r="N3925">
        <v>-1.1839819999999999E-2</v>
      </c>
      <c r="O3925">
        <v>-0.68468759999999995</v>
      </c>
      <c r="P3925">
        <v>-0.51191960000000003</v>
      </c>
      <c r="Q3925">
        <v>0.12804199999999999</v>
      </c>
      <c r="R3925">
        <v>-0.84943740000000001</v>
      </c>
      <c r="S3925">
        <v>-1.0694269999999999</v>
      </c>
      <c r="T3925">
        <v>-0.2134392</v>
      </c>
      <c r="U3925">
        <v>-2.9381870000000001</v>
      </c>
      <c r="V3925">
        <v>-0.27301449999999999</v>
      </c>
      <c r="W3925">
        <v>0.13033710000000001</v>
      </c>
      <c r="X3925">
        <v>0.95313970000000003</v>
      </c>
      <c r="Y3925">
        <v>-0.45042140000000003</v>
      </c>
      <c r="Z3925">
        <v>2.469346E-2</v>
      </c>
      <c r="AA3925">
        <v>0.89247449999999995</v>
      </c>
      <c r="AB3925">
        <v>33</v>
      </c>
      <c r="AC3925">
        <v>0.115599999999972</v>
      </c>
      <c r="AD3925">
        <v>-6.2861E-2</v>
      </c>
      <c r="AE3925">
        <v>-0.444500000000005</v>
      </c>
      <c r="AF3925">
        <v>-0.39569100262871498</v>
      </c>
      <c r="AG3925">
        <v>-6.2861E-2</v>
      </c>
      <c r="AH3925">
        <v>0.21606914476289699</v>
      </c>
      <c r="AI3925">
        <v>97.937613926327998</v>
      </c>
      <c r="AJ3925">
        <v>151.36302169830401</v>
      </c>
      <c r="AK3925">
        <v>0.45520187851203697</v>
      </c>
      <c r="AL3925">
        <v>82.510927403332602</v>
      </c>
      <c r="AM3925">
        <v>105.983673217793</v>
      </c>
      <c r="AN3925">
        <v>0.99999998228137499</v>
      </c>
    </row>
    <row r="3926" spans="1:40" x14ac:dyDescent="0.25">
      <c r="A3926" t="str">
        <f>"20190303162631041"</f>
        <v>20190303162631041</v>
      </c>
      <c r="B3926" t="str">
        <f>"1551601591037557"</f>
        <v>1551601591037557</v>
      </c>
      <c r="C3926" t="s">
        <v>40</v>
      </c>
      <c r="D3926">
        <v>5.1021999999999998</v>
      </c>
      <c r="E3926">
        <v>0.41768519999999998</v>
      </c>
      <c r="F3926" t="s">
        <v>42</v>
      </c>
      <c r="G3926">
        <v>-415.495</v>
      </c>
      <c r="H3926">
        <v>1.0561799999999999</v>
      </c>
      <c r="I3926">
        <v>134.07749999999999</v>
      </c>
      <c r="J3926">
        <v>-415.3682</v>
      </c>
      <c r="K3926">
        <v>1.1338520000000001</v>
      </c>
      <c r="L3926">
        <v>134.90219999999999</v>
      </c>
      <c r="M3926">
        <v>-0.71797239999999996</v>
      </c>
      <c r="N3926">
        <v>-1.185549E-2</v>
      </c>
      <c r="O3926">
        <v>-0.6959708</v>
      </c>
      <c r="P3926">
        <v>-0.49845869999999998</v>
      </c>
      <c r="Q3926">
        <v>0.1284595</v>
      </c>
      <c r="R3926">
        <v>-0.85734339999999998</v>
      </c>
      <c r="S3926">
        <v>-0.99646000000000001</v>
      </c>
      <c r="T3926">
        <v>-0.21748899999999999</v>
      </c>
      <c r="U3926">
        <v>-2.9640049999999998</v>
      </c>
      <c r="V3926">
        <v>-0.27316449999999998</v>
      </c>
      <c r="W3926">
        <v>0.13073470000000001</v>
      </c>
      <c r="X3926">
        <v>0.95304230000000001</v>
      </c>
      <c r="Y3926">
        <v>-0.45856380000000002</v>
      </c>
      <c r="Z3926">
        <v>2.5911859999999998E-2</v>
      </c>
      <c r="AA3926">
        <v>0.88828369999999901</v>
      </c>
      <c r="AB3926">
        <v>33</v>
      </c>
      <c r="AC3926">
        <v>-0.12680000000000199</v>
      </c>
      <c r="AD3926">
        <v>-7.7672000000000102E-2</v>
      </c>
      <c r="AE3926">
        <v>-0.82470000000000698</v>
      </c>
      <c r="AF3926">
        <v>-0.49956910751584799</v>
      </c>
      <c r="AG3926">
        <v>-7.7672000000000102E-2</v>
      </c>
      <c r="AH3926">
        <v>0.65933921387126004</v>
      </c>
      <c r="AI3926">
        <v>95.364054882630199</v>
      </c>
      <c r="AJ3926">
        <v>127.150534924143</v>
      </c>
      <c r="AK3926">
        <v>0.83086125900570895</v>
      </c>
      <c r="AL3926">
        <v>82.487950249177104</v>
      </c>
      <c r="AM3926">
        <v>105.99355685110299</v>
      </c>
      <c r="AN3926">
        <v>1.0000000157168101</v>
      </c>
    </row>
    <row r="3927" spans="1:40" x14ac:dyDescent="0.25">
      <c r="A3927" t="str">
        <f>"20190303162631066"</f>
        <v>20190303162631066</v>
      </c>
      <c r="B3927" t="str">
        <f>"1551601591057584"</f>
        <v>1551601591057584</v>
      </c>
      <c r="C3927" t="s">
        <v>40</v>
      </c>
      <c r="D3927">
        <v>5.0642569999999996</v>
      </c>
      <c r="E3927">
        <v>0.4180682</v>
      </c>
      <c r="F3927" t="s">
        <v>42</v>
      </c>
      <c r="G3927">
        <v>-415.69740000000002</v>
      </c>
      <c r="H3927">
        <v>1.0569770000000001</v>
      </c>
      <c r="I3927">
        <v>133.8734</v>
      </c>
      <c r="J3927">
        <v>-415.6071</v>
      </c>
      <c r="K3927">
        <v>1.133874</v>
      </c>
      <c r="L3927">
        <v>134.6507</v>
      </c>
      <c r="M3927">
        <v>-0.70635099999999995</v>
      </c>
      <c r="N3927">
        <v>-1.1871E-2</v>
      </c>
      <c r="O3927">
        <v>-0.70776229999999996</v>
      </c>
      <c r="P3927">
        <v>-0.48311779999999999</v>
      </c>
      <c r="Q3927">
        <v>0.12655</v>
      </c>
      <c r="R3927">
        <v>-0.86636170000000001</v>
      </c>
      <c r="S3927">
        <v>-0.95275880000000002</v>
      </c>
      <c r="T3927">
        <v>-0.22255179999999999</v>
      </c>
      <c r="U3927">
        <v>-2.978577</v>
      </c>
      <c r="V3927">
        <v>-0.27450029999999997</v>
      </c>
      <c r="W3927">
        <v>0.1287664</v>
      </c>
      <c r="X3927">
        <v>0.95292650000000001</v>
      </c>
      <c r="Y3927">
        <v>-0.45694869999999999</v>
      </c>
      <c r="Z3927">
        <v>2.7723790000000002E-2</v>
      </c>
      <c r="AA3927">
        <v>0.88906090000000004</v>
      </c>
      <c r="AB3927">
        <v>33</v>
      </c>
      <c r="AC3927">
        <v>-9.03000000000133E-2</v>
      </c>
      <c r="AD3927">
        <v>-7.6896999999999993E-2</v>
      </c>
      <c r="AE3927">
        <v>-0.77729999999999599</v>
      </c>
      <c r="AF3927">
        <v>-0.480529619927061</v>
      </c>
      <c r="AG3927">
        <v>-7.6896999999999993E-2</v>
      </c>
      <c r="AH3927">
        <v>0.60809825586336397</v>
      </c>
      <c r="AI3927">
        <v>95.666136394474506</v>
      </c>
      <c r="AJ3927">
        <v>128.31639253715699</v>
      </c>
      <c r="AK3927">
        <v>0.77884873564788704</v>
      </c>
      <c r="AL3927">
        <v>82.601687314587096</v>
      </c>
      <c r="AM3927">
        <v>106.069591164473</v>
      </c>
      <c r="AN3927">
        <v>1.00000005743564</v>
      </c>
    </row>
    <row r="3928" spans="1:40" x14ac:dyDescent="0.25">
      <c r="A3928" t="str">
        <f>"20190303162631108"</f>
        <v>20190303162631108</v>
      </c>
      <c r="B3928" t="str">
        <f>"1551601591097601"</f>
        <v>1551601591097601</v>
      </c>
      <c r="C3928" t="s">
        <v>40</v>
      </c>
      <c r="D3928">
        <v>4.9929930000000002</v>
      </c>
      <c r="E3928">
        <v>0.41929270000000002</v>
      </c>
      <c r="F3928" t="s">
        <v>42</v>
      </c>
      <c r="G3928">
        <v>-415.90260000000001</v>
      </c>
      <c r="H3928">
        <v>1.0586199999999999</v>
      </c>
      <c r="I3928">
        <v>133.66970000000001</v>
      </c>
      <c r="J3928">
        <v>-416.0231</v>
      </c>
      <c r="K3928">
        <v>1.133912</v>
      </c>
      <c r="L3928">
        <v>134.19239999999999</v>
      </c>
      <c r="M3928">
        <v>-0.68511460000000002</v>
      </c>
      <c r="N3928">
        <v>-1.18961E-2</v>
      </c>
      <c r="O3928">
        <v>-0.72833819999999905</v>
      </c>
      <c r="P3928">
        <v>-0.4560073</v>
      </c>
      <c r="Q3928">
        <v>0.12285459999999999</v>
      </c>
      <c r="R3928">
        <v>-0.88145569999999895</v>
      </c>
      <c r="S3928">
        <v>-0.90200809999999998</v>
      </c>
      <c r="T3928">
        <v>-0.2296388</v>
      </c>
      <c r="U3928">
        <v>-2.9933169999999998</v>
      </c>
      <c r="V3928">
        <v>-0.27614270000000002</v>
      </c>
      <c r="W3928">
        <v>0.1249981</v>
      </c>
      <c r="X3928">
        <v>0.95295359999999996</v>
      </c>
      <c r="Y3928">
        <v>-0.4456736</v>
      </c>
      <c r="Z3928">
        <v>3.1014650000000001E-2</v>
      </c>
      <c r="AA3928">
        <v>0.89465810000000001</v>
      </c>
      <c r="AB3928">
        <v>33</v>
      </c>
      <c r="AC3928">
        <v>0.120499999999992</v>
      </c>
      <c r="AD3928">
        <v>-7.5291999999999901E-2</v>
      </c>
      <c r="AE3928">
        <v>-0.52269999999998595</v>
      </c>
      <c r="AF3928">
        <v>-0.43729032080754998</v>
      </c>
      <c r="AG3928">
        <v>-7.5291999999999901E-2</v>
      </c>
      <c r="AH3928">
        <v>0.29240625035470003</v>
      </c>
      <c r="AI3928">
        <v>98.145322012070096</v>
      </c>
      <c r="AJ3928">
        <v>146.23023945049499</v>
      </c>
      <c r="AK3928">
        <v>0.53140674175481195</v>
      </c>
      <c r="AL3928">
        <v>82.819353506250295</v>
      </c>
      <c r="AM3928">
        <v>106.160298470204</v>
      </c>
      <c r="AN3928">
        <v>0.99999993975992796</v>
      </c>
    </row>
    <row r="3929" spans="1:40" x14ac:dyDescent="0.25">
      <c r="A3929" t="str">
        <f>"20190303162631142"</f>
        <v>20190303162631142</v>
      </c>
      <c r="B3929" t="str">
        <f>"1551601591127857"</f>
        <v>1551601591127857</v>
      </c>
      <c r="C3929" t="s">
        <v>40</v>
      </c>
      <c r="D3929">
        <v>4.9825869999999997</v>
      </c>
      <c r="E3929">
        <v>0.42042439999999998</v>
      </c>
      <c r="F3929" t="s">
        <v>42</v>
      </c>
      <c r="G3929">
        <v>-416.28070000000002</v>
      </c>
      <c r="H3929">
        <v>1.058392</v>
      </c>
      <c r="I3929">
        <v>133.238</v>
      </c>
      <c r="J3929">
        <v>-416.35039999999998</v>
      </c>
      <c r="K3929">
        <v>1.1339459999999999</v>
      </c>
      <c r="L3929">
        <v>133.8125</v>
      </c>
      <c r="M3929">
        <v>-0.66746649999999996</v>
      </c>
      <c r="N3929">
        <v>-1.191453E-2</v>
      </c>
      <c r="O3929">
        <v>-0.74454469999999995</v>
      </c>
      <c r="P3929">
        <v>-0.4340059</v>
      </c>
      <c r="Q3929">
        <v>0.1217145</v>
      </c>
      <c r="R3929">
        <v>-0.89265049999999901</v>
      </c>
      <c r="S3929">
        <v>-0.81375120000000001</v>
      </c>
      <c r="T3929">
        <v>-0.23859639999999999</v>
      </c>
      <c r="U3929">
        <v>-3.015701</v>
      </c>
      <c r="V3929">
        <v>-0.27702470000000001</v>
      </c>
      <c r="W3929">
        <v>0.1238158</v>
      </c>
      <c r="X3929">
        <v>0.95285200000000003</v>
      </c>
      <c r="Y3929">
        <v>-0.45028240000000003</v>
      </c>
      <c r="Z3929">
        <v>3.389868E-2</v>
      </c>
      <c r="AA3929">
        <v>0.89224249999999905</v>
      </c>
      <c r="AB3929">
        <v>33</v>
      </c>
      <c r="AC3929">
        <v>6.9699999999954798E-2</v>
      </c>
      <c r="AD3929">
        <v>-7.5553999999999899E-2</v>
      </c>
      <c r="AE3929">
        <v>-0.57450000000000001</v>
      </c>
      <c r="AF3929">
        <v>-0.42808847657010202</v>
      </c>
      <c r="AG3929">
        <v>-7.5553999999999899E-2</v>
      </c>
      <c r="AH3929">
        <v>0.37485621406556502</v>
      </c>
      <c r="AI3929">
        <v>97.563523078142495</v>
      </c>
      <c r="AJ3929">
        <v>138.792947793997</v>
      </c>
      <c r="AK3929">
        <v>0.574008128785368</v>
      </c>
      <c r="AL3929">
        <v>82.887625020260401</v>
      </c>
      <c r="AM3929">
        <v>106.21084571233401</v>
      </c>
      <c r="AN3929">
        <v>0.99999998532186496</v>
      </c>
    </row>
    <row r="3930" spans="1:40" x14ac:dyDescent="0.25">
      <c r="A3930" t="str">
        <f>"20190303162631187"</f>
        <v>20190303162631187</v>
      </c>
      <c r="B3930" t="str">
        <f>"1551601591177632"</f>
        <v>1551601591177632</v>
      </c>
      <c r="C3930" t="s">
        <v>40</v>
      </c>
      <c r="D3930">
        <v>4.9923919999999997</v>
      </c>
      <c r="E3930">
        <v>0.43994139999999998</v>
      </c>
      <c r="F3930" t="s">
        <v>42</v>
      </c>
      <c r="G3930">
        <v>-416.60680000000002</v>
      </c>
      <c r="H3930">
        <v>1.0506740000000001</v>
      </c>
      <c r="I3930">
        <v>132.7722</v>
      </c>
      <c r="J3930">
        <v>-416.76310000000001</v>
      </c>
      <c r="K3930">
        <v>1.134007</v>
      </c>
      <c r="L3930">
        <v>133.30500000000001</v>
      </c>
      <c r="M3930">
        <v>-0.64387689999999997</v>
      </c>
      <c r="N3930">
        <v>-1.19361E-2</v>
      </c>
      <c r="O3930">
        <v>-0.76503599999999905</v>
      </c>
      <c r="P3930">
        <v>-0.40589259999999999</v>
      </c>
      <c r="Q3930">
        <v>0.1244881</v>
      </c>
      <c r="R3930">
        <v>-0.9054025</v>
      </c>
      <c r="S3930">
        <v>-0.74731449999999999</v>
      </c>
      <c r="T3930">
        <v>-0.2425958</v>
      </c>
      <c r="U3930">
        <v>-3.0305019999999998</v>
      </c>
      <c r="V3930">
        <v>-0.27690239999999999</v>
      </c>
      <c r="W3930">
        <v>0.1265782</v>
      </c>
      <c r="X3930">
        <v>0.9525245</v>
      </c>
      <c r="Y3930">
        <v>-0.44183650000000002</v>
      </c>
      <c r="Z3930">
        <v>3.6789620000000002E-2</v>
      </c>
      <c r="AA3930">
        <v>0.8963409</v>
      </c>
      <c r="AB3930">
        <v>33</v>
      </c>
      <c r="AC3930">
        <v>0.156299999999987</v>
      </c>
      <c r="AD3930">
        <v>-8.3333000000000101E-2</v>
      </c>
      <c r="AE3930">
        <v>-0.53280000000000804</v>
      </c>
      <c r="AF3930">
        <v>-0.45247400174320002</v>
      </c>
      <c r="AG3930">
        <v>-8.3333000000000101E-2</v>
      </c>
      <c r="AH3930">
        <v>0.30023253898415903</v>
      </c>
      <c r="AI3930">
        <v>98.724643209791793</v>
      </c>
      <c r="AJ3930">
        <v>146.43431596335</v>
      </c>
      <c r="AK3930">
        <v>0.54937845662837903</v>
      </c>
      <c r="AL3930">
        <v>82.728095664876093</v>
      </c>
      <c r="AM3930">
        <v>106.209343461031</v>
      </c>
      <c r="AN3930">
        <v>0.99999995147062304</v>
      </c>
    </row>
    <row r="3931" spans="1:40" x14ac:dyDescent="0.25">
      <c r="A3931" t="str">
        <f>"20190303162631208"</f>
        <v>20190303162631208</v>
      </c>
      <c r="B3931" t="str">
        <f>"1551601591197153"</f>
        <v>1551601591197153</v>
      </c>
      <c r="C3931" t="s">
        <v>40</v>
      </c>
      <c r="D3931">
        <v>4.9765839999999999</v>
      </c>
      <c r="E3931">
        <v>0.44147989999999998</v>
      </c>
      <c r="F3931" t="s">
        <v>42</v>
      </c>
      <c r="G3931">
        <v>-417.03339999999997</v>
      </c>
      <c r="H3931">
        <v>1.06176</v>
      </c>
      <c r="I3931">
        <v>132.29130000000001</v>
      </c>
      <c r="J3931">
        <v>-416.96120000000002</v>
      </c>
      <c r="K3931">
        <v>1.134034</v>
      </c>
      <c r="L3931">
        <v>133.0497</v>
      </c>
      <c r="M3931">
        <v>-0.63199479999999997</v>
      </c>
      <c r="N3931">
        <v>-1.194574E-2</v>
      </c>
      <c r="O3931">
        <v>-0.77488069999999998</v>
      </c>
      <c r="P3931">
        <v>-0.39065359999999899</v>
      </c>
      <c r="Q3931">
        <v>0.12596170000000001</v>
      </c>
      <c r="R3931">
        <v>-0.91187929999999995</v>
      </c>
      <c r="S3931">
        <v>-0.79595950000000004</v>
      </c>
      <c r="T3931">
        <v>-0.2127761</v>
      </c>
      <c r="U3931">
        <v>-2.9858859999999998</v>
      </c>
      <c r="V3931">
        <v>-0.27810689999999999</v>
      </c>
      <c r="W3931">
        <v>0.1279989</v>
      </c>
      <c r="X3931">
        <v>0.95198360000000004</v>
      </c>
      <c r="Y3931">
        <v>-0.41098649999999998</v>
      </c>
      <c r="Z3931">
        <v>3.3052190000000002E-2</v>
      </c>
      <c r="AA3931">
        <v>0.91104209999999997</v>
      </c>
      <c r="AB3931">
        <v>33</v>
      </c>
      <c r="AC3931">
        <v>-7.2199999999952497E-2</v>
      </c>
      <c r="AD3931">
        <v>-7.2273999999999894E-2</v>
      </c>
      <c r="AE3931">
        <v>-0.75839999999999397</v>
      </c>
      <c r="AF3931">
        <v>-0.41961206492530201</v>
      </c>
      <c r="AG3931">
        <v>-7.2273999999999894E-2</v>
      </c>
      <c r="AH3931">
        <v>0.62769532154539198</v>
      </c>
      <c r="AI3931">
        <v>95.467858086253599</v>
      </c>
      <c r="AJ3931">
        <v>123.762585151593</v>
      </c>
      <c r="AK3931">
        <v>0.75848482700502995</v>
      </c>
      <c r="AL3931">
        <v>82.646028119170694</v>
      </c>
      <c r="AM3931">
        <v>106.284885399262</v>
      </c>
      <c r="AN3931">
        <v>0.999999970448889</v>
      </c>
    </row>
    <row r="3932" spans="1:40" x14ac:dyDescent="0.25">
      <c r="A3932" t="str">
        <f>"20190303162631231"</f>
        <v>20190303162631231</v>
      </c>
      <c r="B3932" t="str">
        <f>"1551601591217649"</f>
        <v>1551601591217649</v>
      </c>
      <c r="C3932" t="s">
        <v>40</v>
      </c>
      <c r="D3932">
        <v>5.0006149999999998</v>
      </c>
      <c r="E3932">
        <v>0.44134830000000003</v>
      </c>
      <c r="F3932" t="s">
        <v>41</v>
      </c>
      <c r="G3932">
        <v>-421.00970000000001</v>
      </c>
      <c r="H3932" s="1">
        <v>-3.4800539999999999E-6</v>
      </c>
      <c r="I3932">
        <v>117.075</v>
      </c>
      <c r="J3932">
        <v>-417.16059999999999</v>
      </c>
      <c r="K3932">
        <v>1.1340539999999999</v>
      </c>
      <c r="L3932">
        <v>132.7843</v>
      </c>
      <c r="M3932">
        <v>-0.61963449999999998</v>
      </c>
      <c r="N3932">
        <v>-1.195509E-2</v>
      </c>
      <c r="O3932">
        <v>-0.78479949999999998</v>
      </c>
      <c r="P3932">
        <v>-0.37500329999999998</v>
      </c>
      <c r="Q3932">
        <v>0.1265385</v>
      </c>
      <c r="R3932">
        <v>-0.91834660000000001</v>
      </c>
      <c r="S3932">
        <v>-0.75881960000000004</v>
      </c>
      <c r="T3932">
        <v>-0.21255389999999999</v>
      </c>
      <c r="U3932">
        <v>-2.9941710000000001</v>
      </c>
      <c r="V3932">
        <v>-0.27927729999999901</v>
      </c>
      <c r="W3932">
        <v>0.12852479999999999</v>
      </c>
      <c r="X3932">
        <v>0.95157009999999997</v>
      </c>
      <c r="Y3932">
        <v>-0.40776180000000001</v>
      </c>
      <c r="Z3932">
        <v>3.3885619999999998E-2</v>
      </c>
      <c r="AA3932">
        <v>0.91245940000000003</v>
      </c>
      <c r="AB3932">
        <v>33</v>
      </c>
      <c r="AC3932">
        <v>-3.8491000000000199</v>
      </c>
      <c r="AD3932">
        <v>-1.134057480054</v>
      </c>
      <c r="AE3932">
        <v>-15.709300000000001</v>
      </c>
      <c r="AF3932">
        <v>-6.6808868942246802</v>
      </c>
      <c r="AG3932">
        <v>-1.134057480054</v>
      </c>
      <c r="AH3932">
        <v>14.642749043770401</v>
      </c>
      <c r="AI3932">
        <v>94.030449286471296</v>
      </c>
      <c r="AJ3932">
        <v>114.525272478761</v>
      </c>
      <c r="AK3932">
        <v>16.134758616735699</v>
      </c>
      <c r="AL3932">
        <v>82.615645868315895</v>
      </c>
      <c r="AM3932">
        <v>106.35649132187901</v>
      </c>
      <c r="AN3932">
        <v>1.00000004486216</v>
      </c>
    </row>
    <row r="3933" spans="1:40" x14ac:dyDescent="0.25">
      <c r="A3933" t="str">
        <f>"20190303162631255"</f>
        <v>20190303162631255</v>
      </c>
      <c r="B3933" t="str">
        <f>"1551601591247905"</f>
        <v>1551601591247905</v>
      </c>
      <c r="C3933" t="s">
        <v>40</v>
      </c>
      <c r="D3933">
        <v>5.0093959999999997</v>
      </c>
      <c r="E3933">
        <v>0.40833649999999999</v>
      </c>
      <c r="F3933" t="s">
        <v>41</v>
      </c>
      <c r="G3933">
        <v>-421.0514</v>
      </c>
      <c r="H3933" s="1">
        <v>-3.1379239999999999E-6</v>
      </c>
      <c r="I3933">
        <v>116.2516</v>
      </c>
      <c r="J3933">
        <v>-417.36590000000001</v>
      </c>
      <c r="K3933">
        <v>1.1340699999999999</v>
      </c>
      <c r="L3933">
        <v>132.50200000000001</v>
      </c>
      <c r="M3933">
        <v>-0.60647280000000003</v>
      </c>
      <c r="N3933">
        <v>-1.1964280000000001E-2</v>
      </c>
      <c r="O3933">
        <v>-0.79501440000000001</v>
      </c>
      <c r="P3933">
        <v>-0.35868699999999998</v>
      </c>
      <c r="Q3933">
        <v>0.12591269999999999</v>
      </c>
      <c r="R3933">
        <v>-0.92492719999999995</v>
      </c>
      <c r="S3933">
        <v>-0.70748900000000003</v>
      </c>
      <c r="T3933">
        <v>-0.20621249999999999</v>
      </c>
      <c r="U3933">
        <v>-3.006256</v>
      </c>
      <c r="V3933">
        <v>-0.28030749999999999</v>
      </c>
      <c r="W3933">
        <v>0.12785369999999999</v>
      </c>
      <c r="X3933">
        <v>0.95135749999999997</v>
      </c>
      <c r="Y3933">
        <v>-0.40813050000000001</v>
      </c>
      <c r="Z3933">
        <v>3.3318590000000002E-2</v>
      </c>
      <c r="AA3933">
        <v>0.9123154</v>
      </c>
      <c r="AB3933">
        <v>33</v>
      </c>
      <c r="AC3933">
        <v>-3.68549999999999</v>
      </c>
      <c r="AD3933">
        <v>-1.1340731379240001</v>
      </c>
      <c r="AE3933">
        <v>-16.250399999999999</v>
      </c>
      <c r="AF3933">
        <v>-6.8939616738132896</v>
      </c>
      <c r="AG3933">
        <v>-1.1340731379240001</v>
      </c>
      <c r="AH3933">
        <v>15.0856627764663</v>
      </c>
      <c r="AI3933">
        <v>93.911468935142295</v>
      </c>
      <c r="AJ3933">
        <v>114.559815627191</v>
      </c>
      <c r="AK3933">
        <v>16.624982732244501</v>
      </c>
      <c r="AL3933">
        <v>82.654416442983603</v>
      </c>
      <c r="AM3933">
        <v>106.41705594913699</v>
      </c>
      <c r="AN3933">
        <v>0.99999997798309403</v>
      </c>
    </row>
    <row r="3934" spans="1:40" x14ac:dyDescent="0.25">
      <c r="A3934" t="str">
        <f>"20190303162631282"</f>
        <v>20190303162631282</v>
      </c>
      <c r="B3934" t="str">
        <f>"1551601591277186"</f>
        <v>1551601591277186</v>
      </c>
      <c r="C3934" t="s">
        <v>40</v>
      </c>
      <c r="D3934">
        <v>4.9260729999999997</v>
      </c>
      <c r="E3934">
        <v>0.40767049999999999</v>
      </c>
      <c r="F3934" t="s">
        <v>42</v>
      </c>
      <c r="G3934">
        <v>-417.48169999999999</v>
      </c>
      <c r="H3934">
        <v>1.055288</v>
      </c>
      <c r="I3934">
        <v>131.6249</v>
      </c>
      <c r="J3934">
        <v>-417.58280000000002</v>
      </c>
      <c r="K3934">
        <v>1.1340840000000001</v>
      </c>
      <c r="L3934">
        <v>132.19229999999999</v>
      </c>
      <c r="M3934">
        <v>-0.59203649999999997</v>
      </c>
      <c r="N3934">
        <v>-1.197368E-2</v>
      </c>
      <c r="O3934">
        <v>-0.8058225</v>
      </c>
      <c r="P3934">
        <v>-0.34038279999999999</v>
      </c>
      <c r="Q3934">
        <v>0.1250995</v>
      </c>
      <c r="R3934">
        <v>-0.93192810000000004</v>
      </c>
      <c r="S3934">
        <v>-0.4113464</v>
      </c>
      <c r="T3934">
        <v>-0.28035749999999998</v>
      </c>
      <c r="U3934">
        <v>-3.1221619999999999</v>
      </c>
      <c r="V3934">
        <v>-0.28195249999999999</v>
      </c>
      <c r="W3934">
        <v>0.12697220000000001</v>
      </c>
      <c r="X3934">
        <v>0.95098939999999998</v>
      </c>
      <c r="Y3934">
        <v>-0.48142960000000001</v>
      </c>
      <c r="Z3934">
        <v>4.6588940000000002E-2</v>
      </c>
      <c r="AA3934">
        <v>0.87524570000000002</v>
      </c>
      <c r="AB3934">
        <v>33</v>
      </c>
      <c r="AC3934">
        <v>0.10110000000003</v>
      </c>
      <c r="AD3934">
        <v>-7.8796000000000005E-2</v>
      </c>
      <c r="AE3934">
        <v>-0.56739999999999202</v>
      </c>
      <c r="AF3934">
        <v>-0.409760738075789</v>
      </c>
      <c r="AG3934">
        <v>-7.8796000000000005E-2</v>
      </c>
      <c r="AH3934">
        <v>0.39010533786573998</v>
      </c>
      <c r="AI3934">
        <v>97.928822881263002</v>
      </c>
      <c r="AJ3934">
        <v>136.40766674947901</v>
      </c>
      <c r="AK3934">
        <v>0.57122223933925997</v>
      </c>
      <c r="AL3934">
        <v>82.705337823619999</v>
      </c>
      <c r="AM3934">
        <v>106.51421202729</v>
      </c>
      <c r="AN3934">
        <v>0.99999999537072404</v>
      </c>
    </row>
    <row r="3935" spans="1:40" x14ac:dyDescent="0.25">
      <c r="A3935" t="str">
        <f>"20190303162631322"</f>
        <v>20190303162631322</v>
      </c>
      <c r="B3935" t="str">
        <f>"1551601591317201"</f>
        <v>1551601591317201</v>
      </c>
      <c r="C3935" t="s">
        <v>40</v>
      </c>
      <c r="D3935">
        <v>4.9399829999999998</v>
      </c>
      <c r="E3935">
        <v>0.41036529999999999</v>
      </c>
      <c r="F3935" t="s">
        <v>42</v>
      </c>
      <c r="G3935">
        <v>-417.70359999999999</v>
      </c>
      <c r="H3935">
        <v>1.0353810000000001</v>
      </c>
      <c r="I3935">
        <v>131.1009</v>
      </c>
      <c r="J3935">
        <v>-417.90949999999998</v>
      </c>
      <c r="K3935">
        <v>1.1341030000000001</v>
      </c>
      <c r="L3935">
        <v>131.70230000000001</v>
      </c>
      <c r="M3935">
        <v>-0.56917799999999996</v>
      </c>
      <c r="N3935">
        <v>-1.198722E-2</v>
      </c>
      <c r="O3935">
        <v>-0.82212689999999999</v>
      </c>
      <c r="P3935">
        <v>-0.31036130000000001</v>
      </c>
      <c r="Q3935">
        <v>0.1219755</v>
      </c>
      <c r="R3935">
        <v>-0.9427605</v>
      </c>
      <c r="S3935">
        <v>-0.34588619999999998</v>
      </c>
      <c r="T3935">
        <v>-0.28307290000000002</v>
      </c>
      <c r="U3935">
        <v>-3.130798</v>
      </c>
      <c r="V3935">
        <v>-0.28585060000000001</v>
      </c>
      <c r="W3935">
        <v>0.12369230000000001</v>
      </c>
      <c r="X3935">
        <v>0.95025769999999998</v>
      </c>
      <c r="Y3935">
        <v>-0.47518129999999997</v>
      </c>
      <c r="Z3935">
        <v>4.9198980000000003E-2</v>
      </c>
      <c r="AA3935">
        <v>0.87851139999999905</v>
      </c>
      <c r="AB3935">
        <v>33</v>
      </c>
      <c r="AC3935">
        <v>0.20589999999998501</v>
      </c>
      <c r="AD3935">
        <v>-9.8722000000000198E-2</v>
      </c>
      <c r="AE3935">
        <v>-0.60140000000001204</v>
      </c>
      <c r="AF3935">
        <v>-0.49956716431950798</v>
      </c>
      <c r="AG3935">
        <v>-9.8722000000000198E-2</v>
      </c>
      <c r="AH3935">
        <v>0.36837554078801799</v>
      </c>
      <c r="AI3935">
        <v>99.037173482852893</v>
      </c>
      <c r="AJ3935">
        <v>143.59532943091099</v>
      </c>
      <c r="AK3935">
        <v>0.62850133174170697</v>
      </c>
      <c r="AL3935">
        <v>82.894756137192701</v>
      </c>
      <c r="AM3935">
        <v>106.742010348167</v>
      </c>
      <c r="AN3935">
        <v>1.0000000235044599</v>
      </c>
    </row>
    <row r="3936" spans="1:40" x14ac:dyDescent="0.25">
      <c r="A3936" t="str">
        <f>"20190303162631345"</f>
        <v>20190303162631345</v>
      </c>
      <c r="B3936" t="str">
        <f>"1551601591337697"</f>
        <v>1551601591337697</v>
      </c>
      <c r="C3936" t="s">
        <v>40</v>
      </c>
      <c r="D3936">
        <v>4.926571</v>
      </c>
      <c r="E3936">
        <v>0.41207749999999999</v>
      </c>
      <c r="F3936" t="s">
        <v>42</v>
      </c>
      <c r="G3936">
        <v>-418.00259999999997</v>
      </c>
      <c r="H3936">
        <v>1.033488</v>
      </c>
      <c r="I3936">
        <v>130.60990000000001</v>
      </c>
      <c r="J3936">
        <v>-418.09820000000002</v>
      </c>
      <c r="K3936">
        <v>1.134115</v>
      </c>
      <c r="L3936">
        <v>131.40459999999999</v>
      </c>
      <c r="M3936">
        <v>-0.55529229999999996</v>
      </c>
      <c r="N3936">
        <v>-1.199483E-2</v>
      </c>
      <c r="O3936">
        <v>-0.8315688</v>
      </c>
      <c r="P3936">
        <v>-0.29283120000000001</v>
      </c>
      <c r="Q3936">
        <v>0.1210989</v>
      </c>
      <c r="R3936">
        <v>-0.94846470000000005</v>
      </c>
      <c r="S3936">
        <v>-0.2662659</v>
      </c>
      <c r="T3936">
        <v>-0.28838839999999999</v>
      </c>
      <c r="U3936">
        <v>-3.131821</v>
      </c>
      <c r="V3936">
        <v>-0.28754960000000002</v>
      </c>
      <c r="W3936">
        <v>0.1227454</v>
      </c>
      <c r="X3936">
        <v>0.94986780000000004</v>
      </c>
      <c r="Y3936">
        <v>-0.48253220000000002</v>
      </c>
      <c r="Z3936">
        <v>5.1312749999999997E-2</v>
      </c>
      <c r="AA3936">
        <v>0.87437389999999904</v>
      </c>
      <c r="AB3936">
        <v>33</v>
      </c>
      <c r="AC3936">
        <v>9.5600000000047203E-2</v>
      </c>
      <c r="AD3936">
        <v>-0.10062699999999999</v>
      </c>
      <c r="AE3936">
        <v>-0.79469999999997698</v>
      </c>
      <c r="AF3936">
        <v>-0.51272284794525502</v>
      </c>
      <c r="AG3936">
        <v>-0.10062699999999999</v>
      </c>
      <c r="AH3936">
        <v>0.59834883270527195</v>
      </c>
      <c r="AI3936">
        <v>97.277461129213094</v>
      </c>
      <c r="AJ3936">
        <v>130.59314711381401</v>
      </c>
      <c r="AK3936">
        <v>0.79437512393947396</v>
      </c>
      <c r="AL3936">
        <v>82.949426109471702</v>
      </c>
      <c r="AM3936">
        <v>106.84242412216</v>
      </c>
      <c r="AN3936">
        <v>1.0000000215790701</v>
      </c>
    </row>
    <row r="3937" spans="1:40" x14ac:dyDescent="0.25">
      <c r="A3937" t="str">
        <f>"20190303162631368"</f>
        <v>20190303162631368</v>
      </c>
      <c r="B3937" t="str">
        <f>"1551601591357217"</f>
        <v>1551601591357217</v>
      </c>
      <c r="C3937" t="s">
        <v>40</v>
      </c>
      <c r="D3937">
        <v>4.9527559999999999</v>
      </c>
      <c r="E3937">
        <v>0.4138211</v>
      </c>
      <c r="F3937" t="s">
        <v>42</v>
      </c>
      <c r="G3937">
        <v>-418.1712</v>
      </c>
      <c r="H3937">
        <v>1.0394350000000001</v>
      </c>
      <c r="I3937">
        <v>130.37029999999999</v>
      </c>
      <c r="J3937">
        <v>-418.27550000000002</v>
      </c>
      <c r="K3937">
        <v>1.134126</v>
      </c>
      <c r="L3937">
        <v>131.11490000000001</v>
      </c>
      <c r="M3937">
        <v>-0.54176669999999905</v>
      </c>
      <c r="N3937">
        <v>-1.2001919999999999E-2</v>
      </c>
      <c r="O3937">
        <v>-0.84044339999999995</v>
      </c>
      <c r="P3937">
        <v>-0.2765302</v>
      </c>
      <c r="Q3937">
        <v>0.12010460000000001</v>
      </c>
      <c r="R3937">
        <v>-0.95347079999999995</v>
      </c>
      <c r="S3937">
        <v>-0.22109989999999999</v>
      </c>
      <c r="T3937">
        <v>-0.28662769999999999</v>
      </c>
      <c r="U3937">
        <v>-3.131332</v>
      </c>
      <c r="V3937">
        <v>-0.28850550000000003</v>
      </c>
      <c r="W3937">
        <v>0.121709</v>
      </c>
      <c r="X3937">
        <v>0.94971130000000004</v>
      </c>
      <c r="Y3937">
        <v>-0.48089880000000002</v>
      </c>
      <c r="Z3937">
        <v>5.211611E-2</v>
      </c>
      <c r="AA3937">
        <v>0.87522579999999905</v>
      </c>
      <c r="AB3937">
        <v>34</v>
      </c>
      <c r="AC3937">
        <v>0.104300000000023</v>
      </c>
      <c r="AD3937">
        <v>-9.4690999999999803E-2</v>
      </c>
      <c r="AE3937">
        <v>-0.74460000000001902</v>
      </c>
      <c r="AF3937">
        <v>-0.48342538123203799</v>
      </c>
      <c r="AG3937">
        <v>-9.4690999999999803E-2</v>
      </c>
      <c r="AH3937">
        <v>0.560439632793026</v>
      </c>
      <c r="AI3937">
        <v>97.290718360020406</v>
      </c>
      <c r="AJ3937">
        <v>130.780477962086</v>
      </c>
      <c r="AK3937">
        <v>0.74616289555667603</v>
      </c>
      <c r="AL3937">
        <v>83.009256103594595</v>
      </c>
      <c r="AM3937">
        <v>106.897853977018</v>
      </c>
      <c r="AN3937">
        <v>1.0000000287794599</v>
      </c>
    </row>
    <row r="3938" spans="1:40" x14ac:dyDescent="0.25">
      <c r="A3938" t="str">
        <f>"20190303162631390"</f>
        <v>20190303162631390</v>
      </c>
      <c r="B3938" t="str">
        <f>"1551601591377713"</f>
        <v>1551601591377713</v>
      </c>
      <c r="C3938" t="s">
        <v>40</v>
      </c>
      <c r="D3938">
        <v>4.8827730000000003</v>
      </c>
      <c r="E3938">
        <v>0.430176</v>
      </c>
      <c r="F3938" t="s">
        <v>42</v>
      </c>
      <c r="G3938">
        <v>-418.33260000000001</v>
      </c>
      <c r="H3938">
        <v>1.0430619999999999</v>
      </c>
      <c r="I3938">
        <v>130.12629999999999</v>
      </c>
      <c r="J3938">
        <v>-418.44260000000003</v>
      </c>
      <c r="K3938">
        <v>1.134144</v>
      </c>
      <c r="L3938">
        <v>130.83199999999999</v>
      </c>
      <c r="M3938">
        <v>-0.52855450000000004</v>
      </c>
      <c r="N3938">
        <v>-1.200852E-2</v>
      </c>
      <c r="O3938">
        <v>-0.84881439999999997</v>
      </c>
      <c r="P3938">
        <v>-0.2622776</v>
      </c>
      <c r="Q3938">
        <v>0.1190204</v>
      </c>
      <c r="R3938">
        <v>-0.95762440000000004</v>
      </c>
      <c r="S3938">
        <v>-0.18029790000000001</v>
      </c>
      <c r="T3938">
        <v>-0.28830640000000002</v>
      </c>
      <c r="U3938">
        <v>-3.1304319999999999</v>
      </c>
      <c r="V3938">
        <v>-0.28785559999999899</v>
      </c>
      <c r="W3938">
        <v>0.1206445</v>
      </c>
      <c r="X3938">
        <v>0.95004420000000001</v>
      </c>
      <c r="Y3938">
        <v>-0.4785353</v>
      </c>
      <c r="Z3938">
        <v>5.3646979999999997E-2</v>
      </c>
      <c r="AA3938">
        <v>0.87642790000000004</v>
      </c>
      <c r="AB3938">
        <v>34</v>
      </c>
      <c r="AC3938">
        <v>0.110000000000013</v>
      </c>
      <c r="AD3938">
        <v>-9.1081999999999802E-2</v>
      </c>
      <c r="AE3938">
        <v>-0.70570000000000699</v>
      </c>
      <c r="AF3938">
        <v>-0.458940414264773</v>
      </c>
      <c r="AG3938">
        <v>-9.1081999999999802E-2</v>
      </c>
      <c r="AH3938">
        <v>0.53225038461889596</v>
      </c>
      <c r="AI3938">
        <v>97.384384785513902</v>
      </c>
      <c r="AJ3938">
        <v>130.770019380891</v>
      </c>
      <c r="AK3938">
        <v>0.708669673752507</v>
      </c>
      <c r="AL3938">
        <v>83.070699781610102</v>
      </c>
      <c r="AM3938">
        <v>106.856378100618</v>
      </c>
      <c r="AN3938">
        <v>0.99999996189262397</v>
      </c>
    </row>
    <row r="3939" spans="1:40" x14ac:dyDescent="0.25">
      <c r="A3939" t="str">
        <f>"20190303162631410"</f>
        <v>20190303162631410</v>
      </c>
      <c r="B3939" t="str">
        <f>"1551601591397233"</f>
        <v>1551601591397233</v>
      </c>
      <c r="C3939" t="s">
        <v>40</v>
      </c>
      <c r="D3939">
        <v>4.9040480000000004</v>
      </c>
      <c r="E3939">
        <v>0.43091879999999999</v>
      </c>
      <c r="F3939" t="s">
        <v>42</v>
      </c>
      <c r="G3939">
        <v>-418.52140000000003</v>
      </c>
      <c r="H3939">
        <v>1.055474</v>
      </c>
      <c r="I3939">
        <v>129.8895</v>
      </c>
      <c r="J3939">
        <v>-418.59140000000002</v>
      </c>
      <c r="K3939">
        <v>1.1341460000000001</v>
      </c>
      <c r="L3939">
        <v>130.5712</v>
      </c>
      <c r="M3939">
        <v>-0.51637440000000001</v>
      </c>
      <c r="N3939">
        <v>-1.201432E-2</v>
      </c>
      <c r="O3939">
        <v>-0.85627869999999995</v>
      </c>
      <c r="P3939">
        <v>-0.25010919999999998</v>
      </c>
      <c r="Q3939">
        <v>0.1181799</v>
      </c>
      <c r="R3939">
        <v>-0.96097840000000001</v>
      </c>
      <c r="S3939">
        <v>-0.25891110000000001</v>
      </c>
      <c r="T3939">
        <v>-0.25826300000000002</v>
      </c>
      <c r="U3939">
        <v>-3.0939480000000001</v>
      </c>
      <c r="V3939">
        <v>-0.28636250000000002</v>
      </c>
      <c r="W3939">
        <v>0.1198554</v>
      </c>
      <c r="X3939">
        <v>0.95059519999999997</v>
      </c>
      <c r="Y3939">
        <v>-0.44294729999999999</v>
      </c>
      <c r="Z3939">
        <v>4.9304029999999999E-2</v>
      </c>
      <c r="AA3939">
        <v>0.89519099999999996</v>
      </c>
      <c r="AB3939">
        <v>34</v>
      </c>
      <c r="AC3939">
        <v>6.9999999999993096E-2</v>
      </c>
      <c r="AD3939">
        <v>-7.8671999999999798E-2</v>
      </c>
      <c r="AE3939">
        <v>-0.68170000000000597</v>
      </c>
      <c r="AF3939">
        <v>-0.40662257901336701</v>
      </c>
      <c r="AG3939">
        <v>-7.8671999999999798E-2</v>
      </c>
      <c r="AH3939">
        <v>0.54049503723909098</v>
      </c>
      <c r="AI3939">
        <v>96.634544662805595</v>
      </c>
      <c r="AJ3939">
        <v>126.954696514492</v>
      </c>
      <c r="AK3939">
        <v>0.68093031260736803</v>
      </c>
      <c r="AL3939">
        <v>83.116242733465</v>
      </c>
      <c r="AM3939">
        <v>106.764689942806</v>
      </c>
      <c r="AN3939">
        <v>1.00000001628922</v>
      </c>
    </row>
    <row r="3940" spans="1:40" x14ac:dyDescent="0.25">
      <c r="A3940" t="str">
        <f>"20190303162631455"</f>
        <v>20190303162631455</v>
      </c>
      <c r="B3940" t="str">
        <f>"1551601591447984"</f>
        <v>1551601591447984</v>
      </c>
      <c r="C3940" t="s">
        <v>40</v>
      </c>
      <c r="D3940">
        <v>4.900474</v>
      </c>
      <c r="E3940">
        <v>0.43452829999999898</v>
      </c>
      <c r="F3940" t="s">
        <v>42</v>
      </c>
      <c r="G3940">
        <v>-418.66090000000003</v>
      </c>
      <c r="H3940">
        <v>1.0610999999999999</v>
      </c>
      <c r="I3940">
        <v>129.6189</v>
      </c>
      <c r="J3940">
        <v>-418.90780000000001</v>
      </c>
      <c r="K3940">
        <v>1.134179</v>
      </c>
      <c r="L3940">
        <v>129.98670000000001</v>
      </c>
      <c r="M3940">
        <v>-0.48905189999999998</v>
      </c>
      <c r="N3940">
        <v>-1.202655E-2</v>
      </c>
      <c r="O3940">
        <v>-0.87217180000000005</v>
      </c>
      <c r="P3940">
        <v>-0.2228279</v>
      </c>
      <c r="Q3940">
        <v>0.1189022</v>
      </c>
      <c r="R3940">
        <v>-0.96757959999999998</v>
      </c>
      <c r="S3940">
        <v>-0.22525020000000001</v>
      </c>
      <c r="T3940">
        <v>-0.237126</v>
      </c>
      <c r="U3940">
        <v>-3.092346</v>
      </c>
      <c r="V3940">
        <v>-0.28319149999999998</v>
      </c>
      <c r="W3940">
        <v>0.12068520000000001</v>
      </c>
      <c r="X3940">
        <v>0.95143979999999995</v>
      </c>
      <c r="Y3940">
        <v>-0.42420530000000001</v>
      </c>
      <c r="Z3940">
        <v>4.645258E-2</v>
      </c>
      <c r="AA3940">
        <v>0.90437380000000001</v>
      </c>
      <c r="AB3940">
        <v>34</v>
      </c>
      <c r="AC3940">
        <v>0.24689999999998199</v>
      </c>
      <c r="AD3940">
        <v>-7.3079000000000102E-2</v>
      </c>
      <c r="AE3940">
        <v>-0.367800000000016</v>
      </c>
      <c r="AF3940">
        <v>-0.38476964358170201</v>
      </c>
      <c r="AG3940">
        <v>-7.3079000000000102E-2</v>
      </c>
      <c r="AH3940">
        <v>0.19475219088375001</v>
      </c>
      <c r="AI3940">
        <v>99.617903113977505</v>
      </c>
      <c r="AJ3940">
        <v>153.15362482361999</v>
      </c>
      <c r="AK3940">
        <v>0.43739757054310602</v>
      </c>
      <c r="AL3940">
        <v>83.068351070619201</v>
      </c>
      <c r="AM3940">
        <v>106.575384819767</v>
      </c>
      <c r="AN3940">
        <v>1.00000001809766</v>
      </c>
    </row>
    <row r="3941" spans="1:40" x14ac:dyDescent="0.25">
      <c r="A3941" t="str">
        <f>"20190303162631480"</f>
        <v>20190303162631480</v>
      </c>
      <c r="B3941" t="str">
        <f>"1551601591467505"</f>
        <v>1551601591467505</v>
      </c>
      <c r="C3941" t="s">
        <v>40</v>
      </c>
      <c r="D3941">
        <v>4.8720089999999896</v>
      </c>
      <c r="E3941">
        <v>0.43523699999999999</v>
      </c>
      <c r="F3941" t="s">
        <v>41</v>
      </c>
      <c r="G3941">
        <v>-419.78840000000002</v>
      </c>
      <c r="H3941" s="1">
        <v>-1.739155E-6</v>
      </c>
      <c r="I3941">
        <v>113.5993</v>
      </c>
      <c r="J3941">
        <v>-419.06819999999999</v>
      </c>
      <c r="K3941">
        <v>1.134207</v>
      </c>
      <c r="L3941">
        <v>129.67240000000001</v>
      </c>
      <c r="M3941">
        <v>-0.47435939999999999</v>
      </c>
      <c r="N3941">
        <v>-1.203268E-2</v>
      </c>
      <c r="O3941">
        <v>-0.88024899999999995</v>
      </c>
      <c r="P3941">
        <v>-0.20708190000000001</v>
      </c>
      <c r="Q3941">
        <v>0.12054040000000001</v>
      </c>
      <c r="R3941">
        <v>-0.97086919999999999</v>
      </c>
      <c r="S3941">
        <v>-0.16595460000000001</v>
      </c>
      <c r="T3941">
        <v>-0.21376319999999999</v>
      </c>
      <c r="U3941">
        <v>-3.0885929999999999</v>
      </c>
      <c r="V3941">
        <v>-0.28265839999999998</v>
      </c>
      <c r="W3941">
        <v>0.1223361</v>
      </c>
      <c r="X3941">
        <v>0.95138750000000005</v>
      </c>
      <c r="Y3941">
        <v>-0.42625289999999999</v>
      </c>
      <c r="Z3941">
        <v>4.1536080000000003E-2</v>
      </c>
      <c r="AA3941">
        <v>0.90364990000000001</v>
      </c>
      <c r="AB3941">
        <v>34</v>
      </c>
      <c r="AC3941">
        <v>-0.72020000000003304</v>
      </c>
      <c r="AD3941">
        <v>-1.134208739155</v>
      </c>
      <c r="AE3941">
        <v>-16.0731</v>
      </c>
      <c r="AF3941">
        <v>-6.9564070121927504</v>
      </c>
      <c r="AG3941">
        <v>-1.134208739155</v>
      </c>
      <c r="AH3941">
        <v>14.419355976252399</v>
      </c>
      <c r="AI3941">
        <v>94.052362865162195</v>
      </c>
      <c r="AJ3941">
        <v>115.75430435610301</v>
      </c>
      <c r="AK3941">
        <v>16.049792981629</v>
      </c>
      <c r="AL3941">
        <v>82.973055440238994</v>
      </c>
      <c r="AM3941">
        <v>106.54674946774</v>
      </c>
      <c r="AN3941">
        <v>1.0000000338049999</v>
      </c>
    </row>
    <row r="3942" spans="1:40" x14ac:dyDescent="0.25">
      <c r="A3942" t="str">
        <f>"20190303162631505"</f>
        <v>20190303162631505</v>
      </c>
      <c r="B3942" t="str">
        <f>"1551601591497761"</f>
        <v>1551601591497761</v>
      </c>
      <c r="C3942" t="s">
        <v>40</v>
      </c>
      <c r="D3942">
        <v>4.8972009999999999</v>
      </c>
      <c r="E3942">
        <v>0.44468400000000002</v>
      </c>
      <c r="F3942" t="s">
        <v>42</v>
      </c>
      <c r="G3942">
        <v>-419.11149999999998</v>
      </c>
      <c r="H3942">
        <v>1.06074</v>
      </c>
      <c r="I3942">
        <v>128.57339999999999</v>
      </c>
      <c r="J3942">
        <v>-419.23110000000003</v>
      </c>
      <c r="K3942">
        <v>1.1342289999999999</v>
      </c>
      <c r="L3942">
        <v>129.3383</v>
      </c>
      <c r="M3942">
        <v>-0.4587426</v>
      </c>
      <c r="N3942">
        <v>-1.2039070000000001E-2</v>
      </c>
      <c r="O3942">
        <v>-0.88848780000000005</v>
      </c>
      <c r="P3942">
        <v>-0.19038849999999999</v>
      </c>
      <c r="Q3942">
        <v>0.1221443</v>
      </c>
      <c r="R3942">
        <v>-0.97408070000000002</v>
      </c>
      <c r="S3942">
        <v>-0.1209717</v>
      </c>
      <c r="T3942">
        <v>-0.20649419999999999</v>
      </c>
      <c r="U3942">
        <v>-3.0898439999999998</v>
      </c>
      <c r="V3942">
        <v>-0.28215630000000003</v>
      </c>
      <c r="W3942">
        <v>0.12395109999999999</v>
      </c>
      <c r="X3942">
        <v>0.95132740000000005</v>
      </c>
      <c r="Y3942">
        <v>-0.4234369</v>
      </c>
      <c r="Z3942">
        <v>4.0517669999999999E-2</v>
      </c>
      <c r="AA3942">
        <v>0.90501909999999997</v>
      </c>
      <c r="AB3942">
        <v>34</v>
      </c>
      <c r="AC3942">
        <v>0.119600000000048</v>
      </c>
      <c r="AD3942">
        <v>-7.3489000000000096E-2</v>
      </c>
      <c r="AE3942">
        <v>-0.76490000000001102</v>
      </c>
      <c r="AF3942">
        <v>-0.45310574969512801</v>
      </c>
      <c r="AG3942">
        <v>-7.3489000000000096E-2</v>
      </c>
      <c r="AH3942">
        <v>0.61920459866480704</v>
      </c>
      <c r="AI3942">
        <v>95.471017850509398</v>
      </c>
      <c r="AJ3942">
        <v>126.194967865107</v>
      </c>
      <c r="AK3942">
        <v>0.77079166350929695</v>
      </c>
      <c r="AL3942">
        <v>82.879812378339807</v>
      </c>
      <c r="AM3942">
        <v>106.519946611471</v>
      </c>
      <c r="AN3942">
        <v>0.99999993740582804</v>
      </c>
    </row>
    <row r="3943" spans="1:40" x14ac:dyDescent="0.25">
      <c r="A3943" t="str">
        <f>"20190303162631529"</f>
        <v>20190303162631529</v>
      </c>
      <c r="B3943" t="str">
        <f>"1551601591518258"</f>
        <v>1551601591518258</v>
      </c>
      <c r="C3943" t="s">
        <v>40</v>
      </c>
      <c r="D3943">
        <v>4.8867570000000002</v>
      </c>
      <c r="E3943">
        <v>0.44551360000000001</v>
      </c>
      <c r="F3943" t="s">
        <v>42</v>
      </c>
      <c r="G3943">
        <v>-419.28030000000001</v>
      </c>
      <c r="H3943">
        <v>1.0717380000000001</v>
      </c>
      <c r="I3943">
        <v>128.2724</v>
      </c>
      <c r="J3943">
        <v>-419.38249999999999</v>
      </c>
      <c r="K3943">
        <v>1.134252</v>
      </c>
      <c r="L3943">
        <v>129.01439999999999</v>
      </c>
      <c r="M3943">
        <v>-0.44359969999999999</v>
      </c>
      <c r="N3943">
        <v>-1.2045E-2</v>
      </c>
      <c r="O3943">
        <v>-0.89614400000000005</v>
      </c>
      <c r="P3943">
        <v>-0.1749396</v>
      </c>
      <c r="Q3943">
        <v>0.1234233</v>
      </c>
      <c r="R3943">
        <v>-0.97681269999999998</v>
      </c>
      <c r="S3943">
        <v>-0.14187620000000001</v>
      </c>
      <c r="T3943">
        <v>-0.18025830000000001</v>
      </c>
      <c r="U3943">
        <v>-3.0747070000000001</v>
      </c>
      <c r="V3943">
        <v>-0.28105530000000001</v>
      </c>
      <c r="W3943">
        <v>0.12526399999999999</v>
      </c>
      <c r="X3943">
        <v>0.95148140000000003</v>
      </c>
      <c r="Y3943">
        <v>-0.40166940000000001</v>
      </c>
      <c r="Z3943">
        <v>3.5063249999999997E-2</v>
      </c>
      <c r="AA3943">
        <v>0.91511330000000002</v>
      </c>
      <c r="AB3943">
        <v>34</v>
      </c>
      <c r="AC3943">
        <v>0.102199999999982</v>
      </c>
      <c r="AD3943">
        <v>-6.2514000000000097E-2</v>
      </c>
      <c r="AE3943">
        <v>-0.74199999999999</v>
      </c>
      <c r="AF3943">
        <v>-0.41785665206434802</v>
      </c>
      <c r="AG3943">
        <v>-6.2514000000000097E-2</v>
      </c>
      <c r="AH3943">
        <v>0.61536133741523502</v>
      </c>
      <c r="AI3943">
        <v>94.804082621861198</v>
      </c>
      <c r="AJ3943">
        <v>124.17818089623501</v>
      </c>
      <c r="AK3943">
        <v>0.74644608476158103</v>
      </c>
      <c r="AL3943">
        <v>82.803998322694596</v>
      </c>
      <c r="AM3943">
        <v>106.45645891382701</v>
      </c>
      <c r="AN3943">
        <v>1.00000000295002</v>
      </c>
    </row>
    <row r="3944" spans="1:40" x14ac:dyDescent="0.25">
      <c r="A3944" t="str">
        <f>"20190303162631551"</f>
        <v>20190303162631551</v>
      </c>
      <c r="B3944" t="str">
        <f>"1551601591537777"</f>
        <v>1551601591537777</v>
      </c>
      <c r="C3944" t="s">
        <v>40</v>
      </c>
      <c r="D3944">
        <v>4.8496860000000002</v>
      </c>
      <c r="E3944">
        <v>0.45160450000000002</v>
      </c>
      <c r="F3944" t="s">
        <v>41</v>
      </c>
      <c r="G3944">
        <v>-420.05709999999999</v>
      </c>
      <c r="H3944" s="1">
        <v>-4.0749940000000002E-6</v>
      </c>
      <c r="I3944">
        <v>108.18</v>
      </c>
      <c r="J3944">
        <v>-419.5136</v>
      </c>
      <c r="K3944">
        <v>1.134269</v>
      </c>
      <c r="L3944">
        <v>128.7218</v>
      </c>
      <c r="M3944">
        <v>-0.42991380000000001</v>
      </c>
      <c r="N3944">
        <v>-1.205026E-2</v>
      </c>
      <c r="O3944">
        <v>-0.90278979999999998</v>
      </c>
      <c r="P3944">
        <v>-0.1623935</v>
      </c>
      <c r="Q3944">
        <v>0.1240165</v>
      </c>
      <c r="R3944">
        <v>-0.97890180000000004</v>
      </c>
      <c r="S3944">
        <v>-9.9548339999999999E-2</v>
      </c>
      <c r="T3944">
        <v>-0.16738210000000001</v>
      </c>
      <c r="U3944">
        <v>-3.0745239999999998</v>
      </c>
      <c r="V3944">
        <v>-0.27877560000000001</v>
      </c>
      <c r="W3944">
        <v>0.12593859999999901</v>
      </c>
      <c r="X3944">
        <v>0.95206279999999999</v>
      </c>
      <c r="Y3944">
        <v>-0.4003254</v>
      </c>
      <c r="Z3944">
        <v>3.2229929999999997E-2</v>
      </c>
      <c r="AA3944">
        <v>0.91580609999999996</v>
      </c>
      <c r="AB3944">
        <v>34</v>
      </c>
      <c r="AC3944">
        <v>-0.54349999999999399</v>
      </c>
      <c r="AD3944">
        <v>-1.134273074994</v>
      </c>
      <c r="AE3944">
        <v>-20.541799999999899</v>
      </c>
      <c r="AF3944">
        <v>-8.3158033547118304</v>
      </c>
      <c r="AG3944">
        <v>-1.134273074994</v>
      </c>
      <c r="AH3944">
        <v>18.7228981661383</v>
      </c>
      <c r="AI3944">
        <v>93.169040908089798</v>
      </c>
      <c r="AJ3944">
        <v>113.948471672108</v>
      </c>
      <c r="AK3944">
        <v>20.517945232953501</v>
      </c>
      <c r="AL3944">
        <v>82.765037819961293</v>
      </c>
      <c r="AM3944">
        <v>106.320674401415</v>
      </c>
      <c r="AN3944">
        <v>0.99999997063457902</v>
      </c>
    </row>
    <row r="3945" spans="1:40" x14ac:dyDescent="0.25">
      <c r="A3945" t="str">
        <f>"20190303162631571"</f>
        <v>20190303162631571</v>
      </c>
      <c r="B3945" t="str">
        <f>"1551601591557298"</f>
        <v>1551601591557298</v>
      </c>
      <c r="C3945" t="s">
        <v>40</v>
      </c>
      <c r="D3945">
        <v>4.8867240000000001</v>
      </c>
      <c r="E3945">
        <v>0.45193990000000001</v>
      </c>
      <c r="F3945" t="s">
        <v>41</v>
      </c>
      <c r="G3945">
        <v>-420.3732</v>
      </c>
      <c r="H3945" s="1">
        <v>-2.3184999999999999E-6</v>
      </c>
      <c r="I3945">
        <v>104.2863</v>
      </c>
      <c r="J3945">
        <v>-419.63600000000002</v>
      </c>
      <c r="K3945">
        <v>1.1342890000000001</v>
      </c>
      <c r="L3945">
        <v>128.4374</v>
      </c>
      <c r="M3945">
        <v>-0.41660979999999997</v>
      </c>
      <c r="N3945">
        <v>-1.205521E-2</v>
      </c>
      <c r="O3945">
        <v>-0.90900570000000003</v>
      </c>
      <c r="P3945">
        <v>-0.15032509999999999</v>
      </c>
      <c r="Q3945">
        <v>0.1253466</v>
      </c>
      <c r="R3945">
        <v>-0.98065860000000005</v>
      </c>
      <c r="S3945">
        <v>-0.1078186</v>
      </c>
      <c r="T3945">
        <v>-0.14226629999999901</v>
      </c>
      <c r="U3945">
        <v>-3.064835</v>
      </c>
      <c r="V3945">
        <v>-0.27649699999999999</v>
      </c>
      <c r="W3945">
        <v>0.12734870000000001</v>
      </c>
      <c r="X3945">
        <v>0.95253960000000004</v>
      </c>
      <c r="Y3945">
        <v>-0.38427640000000002</v>
      </c>
      <c r="Z3945">
        <v>2.6317759999999999E-2</v>
      </c>
      <c r="AA3945">
        <v>0.92284290000000002</v>
      </c>
      <c r="AB3945">
        <v>34</v>
      </c>
      <c r="AC3945">
        <v>-0.73720000000002905</v>
      </c>
      <c r="AD3945">
        <v>-1.1342913185000001</v>
      </c>
      <c r="AE3945">
        <v>-24.1511</v>
      </c>
      <c r="AF3945">
        <v>-9.3714936424729807</v>
      </c>
      <c r="AG3945">
        <v>-1.1342913185000001</v>
      </c>
      <c r="AH3945">
        <v>22.2132719281981</v>
      </c>
      <c r="AI3945">
        <v>92.693667600557703</v>
      </c>
      <c r="AJ3945">
        <v>112.874255400644</v>
      </c>
      <c r="AK3945">
        <v>24.135885308855201</v>
      </c>
      <c r="AL3945">
        <v>82.683589343229499</v>
      </c>
      <c r="AM3945">
        <v>106.186612510502</v>
      </c>
      <c r="AN3945">
        <v>0.99999998598442497</v>
      </c>
    </row>
    <row r="3946" spans="1:40" x14ac:dyDescent="0.25">
      <c r="A3946" t="str">
        <f>"20190303162631593"</f>
        <v>20190303162631593</v>
      </c>
      <c r="B3946" t="str">
        <f>"1551601591587553"</f>
        <v>1551601591587553</v>
      </c>
      <c r="C3946" t="s">
        <v>40</v>
      </c>
      <c r="D3946">
        <v>4.8653909999999998</v>
      </c>
      <c r="E3946">
        <v>0.45082909999999998</v>
      </c>
      <c r="F3946" t="s">
        <v>41</v>
      </c>
      <c r="G3946">
        <v>-420.27609999999999</v>
      </c>
      <c r="H3946" s="1">
        <v>-1.060782E-6</v>
      </c>
      <c r="I3946">
        <v>101.6803</v>
      </c>
      <c r="J3946">
        <v>-419.75740000000002</v>
      </c>
      <c r="K3946">
        <v>1.134314</v>
      </c>
      <c r="L3946">
        <v>128.1438</v>
      </c>
      <c r="M3946">
        <v>-0.4028677</v>
      </c>
      <c r="N3946">
        <v>-1.2060070000000001E-2</v>
      </c>
      <c r="O3946">
        <v>-0.91517890000000002</v>
      </c>
      <c r="P3946">
        <v>-0.13905000000000001</v>
      </c>
      <c r="Q3946">
        <v>0.1264981</v>
      </c>
      <c r="R3946">
        <v>-0.98217279999999996</v>
      </c>
      <c r="S3946">
        <v>-7.3303220000000002E-2</v>
      </c>
      <c r="T3946">
        <v>-0.12991230000000001</v>
      </c>
      <c r="U3946">
        <v>-3.0645449999999999</v>
      </c>
      <c r="V3946">
        <v>-0.27306920000000001</v>
      </c>
      <c r="W3946">
        <v>0.12862460000000001</v>
      </c>
      <c r="X3946">
        <v>0.95335669999999995</v>
      </c>
      <c r="Y3946">
        <v>-0.38075910000000002</v>
      </c>
      <c r="Z3946">
        <v>2.3388240000000001E-2</v>
      </c>
      <c r="AA3946">
        <v>0.92437849999999999</v>
      </c>
      <c r="AB3946">
        <v>34</v>
      </c>
      <c r="AC3946">
        <v>-0.51869999999996697</v>
      </c>
      <c r="AD3946">
        <v>-1.1343150607820001</v>
      </c>
      <c r="AE3946">
        <v>-26.4635</v>
      </c>
      <c r="AF3946">
        <v>-10.168650321523</v>
      </c>
      <c r="AG3946">
        <v>-1.1343150607820001</v>
      </c>
      <c r="AH3946">
        <v>24.384793685875501</v>
      </c>
      <c r="AI3946">
        <v>92.458418887172101</v>
      </c>
      <c r="AJ3946">
        <v>112.63651939292301</v>
      </c>
      <c r="AK3946">
        <v>26.4443998442249</v>
      </c>
      <c r="AL3946">
        <v>82.609879829579995</v>
      </c>
      <c r="AM3946">
        <v>105.983259049531</v>
      </c>
      <c r="AN3946">
        <v>1.00000003657434</v>
      </c>
    </row>
    <row r="3947" spans="1:40" x14ac:dyDescent="0.25">
      <c r="A3947" t="str">
        <f>"20190303162631615"</f>
        <v>20190303162631615</v>
      </c>
      <c r="B3947" t="str">
        <f>"1551601591608049"</f>
        <v>1551601591608049</v>
      </c>
      <c r="C3947" t="s">
        <v>40</v>
      </c>
      <c r="D3947">
        <v>4.9864800000000002</v>
      </c>
      <c r="E3947">
        <v>0.45241399999999998</v>
      </c>
      <c r="F3947" t="s">
        <v>41</v>
      </c>
      <c r="G3947">
        <v>-419.9717</v>
      </c>
      <c r="H3947" s="1">
        <v>-3.1709489999999999E-6</v>
      </c>
      <c r="I3947">
        <v>106.3156</v>
      </c>
      <c r="J3947">
        <v>-419.88080000000002</v>
      </c>
      <c r="K3947">
        <v>1.1343319999999999</v>
      </c>
      <c r="L3947">
        <v>127.8319</v>
      </c>
      <c r="M3947">
        <v>-0.38827250000000002</v>
      </c>
      <c r="N3947">
        <v>-1.206514E-2</v>
      </c>
      <c r="O3947">
        <v>-0.92146570000000005</v>
      </c>
      <c r="P3947">
        <v>-0.12725719999999999</v>
      </c>
      <c r="Q3947">
        <v>0.1269576</v>
      </c>
      <c r="R3947">
        <v>-0.98371129999999996</v>
      </c>
      <c r="S3947">
        <v>-3.015137E-2</v>
      </c>
      <c r="T3947">
        <v>-0.1595733</v>
      </c>
      <c r="U3947">
        <v>-3.0707399999999998</v>
      </c>
      <c r="V3947">
        <v>-0.26934720000000001</v>
      </c>
      <c r="W3947">
        <v>0.129219899999999</v>
      </c>
      <c r="X3947">
        <v>0.95433449999999997</v>
      </c>
      <c r="Y3947">
        <v>-0.37906770000000001</v>
      </c>
      <c r="Z3947">
        <v>3.1828250000000002E-2</v>
      </c>
      <c r="AA3947">
        <v>0.92482140000000002</v>
      </c>
      <c r="AB3947">
        <v>34</v>
      </c>
      <c r="AC3947">
        <v>-9.0899999999976402E-2</v>
      </c>
      <c r="AD3947">
        <v>-1.1343351709489999</v>
      </c>
      <c r="AE3947">
        <v>-21.516300000000001</v>
      </c>
      <c r="AF3947">
        <v>-8.2481036185743193</v>
      </c>
      <c r="AG3947">
        <v>-1.1343351709489999</v>
      </c>
      <c r="AH3947">
        <v>19.8082172756218</v>
      </c>
      <c r="AI3947">
        <v>93.026173591129293</v>
      </c>
      <c r="AJ3947">
        <v>112.60675122003001</v>
      </c>
      <c r="AK3947">
        <v>21.4868192439233</v>
      </c>
      <c r="AL3947">
        <v>82.575484470610604</v>
      </c>
      <c r="AM3947">
        <v>105.760957269343</v>
      </c>
      <c r="AN3947">
        <v>1.00000001729704</v>
      </c>
    </row>
    <row r="3948" spans="1:40" x14ac:dyDescent="0.25">
      <c r="A3948" t="str">
        <f>"20190303162631641"</f>
        <v>20190303162631641</v>
      </c>
      <c r="B3948" t="str">
        <f>"1551601591627569"</f>
        <v>1551601591627569</v>
      </c>
      <c r="C3948" t="s">
        <v>40</v>
      </c>
      <c r="D3948">
        <v>4.8907800000000003</v>
      </c>
      <c r="E3948">
        <v>0.4539551</v>
      </c>
      <c r="F3948" t="s">
        <v>41</v>
      </c>
      <c r="G3948">
        <v>-419.91579999999999</v>
      </c>
      <c r="H3948" s="1">
        <v>-2.3407229999999999E-6</v>
      </c>
      <c r="I3948">
        <v>104.5514</v>
      </c>
      <c r="J3948">
        <v>-420.01240000000001</v>
      </c>
      <c r="K3948">
        <v>1.1343460000000001</v>
      </c>
      <c r="L3948">
        <v>127.48180000000001</v>
      </c>
      <c r="M3948">
        <v>-0.37188569999999999</v>
      </c>
      <c r="N3948">
        <v>-1.207076E-2</v>
      </c>
      <c r="O3948">
        <v>-0.92820020000000003</v>
      </c>
      <c r="P3948">
        <v>-0.1133509</v>
      </c>
      <c r="Q3948">
        <v>0.1274757</v>
      </c>
      <c r="R3948">
        <v>-0.98534350000000004</v>
      </c>
      <c r="S3948">
        <v>-4.6081539999999997E-3</v>
      </c>
      <c r="T3948">
        <v>-0.1495061</v>
      </c>
      <c r="U3948">
        <v>-3.06839</v>
      </c>
      <c r="V3948">
        <v>-0.265910799999999</v>
      </c>
      <c r="W3948">
        <v>0.12986199999999901</v>
      </c>
      <c r="X3948">
        <v>0.95521060000000002</v>
      </c>
      <c r="Y3948">
        <v>-0.37036279999999999</v>
      </c>
      <c r="Z3948">
        <v>2.9646269999999999E-2</v>
      </c>
      <c r="AA3948">
        <v>0.92841399999999996</v>
      </c>
      <c r="AB3948">
        <v>34</v>
      </c>
      <c r="AC3948">
        <v>9.66000000000235E-2</v>
      </c>
      <c r="AD3948">
        <v>-1.1343483407229999</v>
      </c>
      <c r="AE3948">
        <v>-22.930399999999999</v>
      </c>
      <c r="AF3948">
        <v>-8.5967410151368693</v>
      </c>
      <c r="AG3948">
        <v>-1.1343483407229999</v>
      </c>
      <c r="AH3948">
        <v>21.197748540933699</v>
      </c>
      <c r="AI3948">
        <v>92.838961201374303</v>
      </c>
      <c r="AJ3948">
        <v>112.075000740653</v>
      </c>
      <c r="AK3948">
        <v>22.902734453424799</v>
      </c>
      <c r="AL3948">
        <v>82.5383820360248</v>
      </c>
      <c r="AM3948">
        <v>105.55609865984</v>
      </c>
      <c r="AN3948">
        <v>0.99999999147649998</v>
      </c>
    </row>
    <row r="3949" spans="1:40" x14ac:dyDescent="0.25">
      <c r="A3949" t="str">
        <f>"20190303162631681"</f>
        <v>20190303162631681</v>
      </c>
      <c r="B3949" t="str">
        <f>"1551601591667407"</f>
        <v>1551601591667407</v>
      </c>
      <c r="C3949" t="s">
        <v>40</v>
      </c>
      <c r="D3949">
        <v>5.0338960000000004</v>
      </c>
      <c r="E3949">
        <v>0.45602819999999999</v>
      </c>
      <c r="F3949" t="s">
        <v>41</v>
      </c>
      <c r="G3949">
        <v>-419.80130000000003</v>
      </c>
      <c r="H3949" s="1">
        <v>-1.6470569999999999E-6</v>
      </c>
      <c r="I3949">
        <v>103.041</v>
      </c>
      <c r="J3949">
        <v>-420.2063</v>
      </c>
      <c r="K3949">
        <v>1.1343920000000001</v>
      </c>
      <c r="L3949">
        <v>126.9284</v>
      </c>
      <c r="M3949">
        <v>-0.34598640000000003</v>
      </c>
      <c r="N3949">
        <v>-1.2079370000000001E-2</v>
      </c>
      <c r="O3949">
        <v>-0.93816180000000005</v>
      </c>
      <c r="P3949">
        <v>-9.5072309999999993E-2</v>
      </c>
      <c r="Q3949">
        <v>0.12959129999999999</v>
      </c>
      <c r="R3949">
        <v>-0.98699899999999996</v>
      </c>
      <c r="S3949">
        <v>2.6489260000000001E-2</v>
      </c>
      <c r="T3949">
        <v>-0.14230279999999901</v>
      </c>
      <c r="U3949">
        <v>-3.066071</v>
      </c>
      <c r="V3949">
        <v>-0.257071299999999</v>
      </c>
      <c r="W3949">
        <v>0.13230310000000001</v>
      </c>
      <c r="X3949">
        <v>0.95729319999999896</v>
      </c>
      <c r="Y3949">
        <v>-0.35395989999999999</v>
      </c>
      <c r="Z3949">
        <v>2.84762E-2</v>
      </c>
      <c r="AA3949">
        <v>0.93482699999999996</v>
      </c>
      <c r="AB3949">
        <v>34</v>
      </c>
      <c r="AC3949">
        <v>0.40499999999997199</v>
      </c>
      <c r="AD3949">
        <v>-1.134393647057</v>
      </c>
      <c r="AE3949">
        <v>-23.8874</v>
      </c>
      <c r="AF3949">
        <v>-8.6258538856259896</v>
      </c>
      <c r="AG3949">
        <v>-1.134393647057</v>
      </c>
      <c r="AH3949">
        <v>22.221645493031101</v>
      </c>
      <c r="AI3949">
        <v>92.724618099189797</v>
      </c>
      <c r="AJ3949">
        <v>111.214892677029</v>
      </c>
      <c r="AK3949">
        <v>23.864067813778099</v>
      </c>
      <c r="AL3949">
        <v>82.397300133667997</v>
      </c>
      <c r="AM3949">
        <v>105.03156648608299</v>
      </c>
      <c r="AN3949">
        <v>1.0000000171597601</v>
      </c>
    </row>
    <row r="3950" spans="1:40" x14ac:dyDescent="0.25">
      <c r="A3950" t="str">
        <f>"20190303162631705"</f>
        <v>20190303162631705</v>
      </c>
      <c r="B3950" t="str">
        <f>"1551601591697663"</f>
        <v>1551601591697663</v>
      </c>
      <c r="C3950" t="s">
        <v>40</v>
      </c>
      <c r="D3950">
        <v>5.2209159999999999</v>
      </c>
      <c r="E3950">
        <v>0.47364230000000002</v>
      </c>
      <c r="F3950" t="s">
        <v>41</v>
      </c>
      <c r="G3950">
        <v>-419.61930000000001</v>
      </c>
      <c r="H3950" s="1">
        <v>-3.7939810000000001E-7</v>
      </c>
      <c r="I3950">
        <v>100.291</v>
      </c>
      <c r="J3950">
        <v>-420.32190000000003</v>
      </c>
      <c r="K3950">
        <v>1.1344160000000001</v>
      </c>
      <c r="L3950">
        <v>126.57210000000001</v>
      </c>
      <c r="M3950">
        <v>-0.32930939999999997</v>
      </c>
      <c r="N3950">
        <v>-1.208479E-2</v>
      </c>
      <c r="O3950">
        <v>-0.94414480000000001</v>
      </c>
      <c r="P3950">
        <v>-8.3905709999999994E-2</v>
      </c>
      <c r="Q3950">
        <v>0.12969610000000001</v>
      </c>
      <c r="R3950">
        <v>-0.98799729999999997</v>
      </c>
      <c r="S3950">
        <v>6.7504880000000003E-2</v>
      </c>
      <c r="T3950">
        <v>-0.13044810000000001</v>
      </c>
      <c r="U3950">
        <v>-3.0631409999999999</v>
      </c>
      <c r="V3950">
        <v>-0.25092720000000002</v>
      </c>
      <c r="W3950">
        <v>0.13263539999999999</v>
      </c>
      <c r="X3950">
        <v>0.95887610000000001</v>
      </c>
      <c r="Y3950">
        <v>-0.3499216</v>
      </c>
      <c r="Z3950">
        <v>2.551266E-2</v>
      </c>
      <c r="AA3950">
        <v>0.93643149999999997</v>
      </c>
      <c r="AB3950">
        <v>34</v>
      </c>
      <c r="AC3950">
        <v>0.70260000000001799</v>
      </c>
      <c r="AD3950">
        <v>-1.1344163793980999</v>
      </c>
      <c r="AE3950">
        <v>-26.281099999999999</v>
      </c>
      <c r="AF3950">
        <v>-9.3013315014854001</v>
      </c>
      <c r="AG3950">
        <v>-1.1344163793980999</v>
      </c>
      <c r="AH3950">
        <v>24.5378985554702</v>
      </c>
      <c r="AI3950">
        <v>92.475334913252595</v>
      </c>
      <c r="AJ3950">
        <v>110.75970525465</v>
      </c>
      <c r="AK3950">
        <v>26.266140442419701</v>
      </c>
      <c r="AL3950">
        <v>82.378091270374796</v>
      </c>
      <c r="AM3950">
        <v>104.664816680763</v>
      </c>
      <c r="AN3950">
        <v>0.99999999209210499</v>
      </c>
    </row>
    <row r="3951" spans="1:40" x14ac:dyDescent="0.25">
      <c r="A3951" t="str">
        <f>"20190303162631726"</f>
        <v>20190303162631726</v>
      </c>
      <c r="B3951" t="str">
        <f>"1551601591717182"</f>
        <v>1551601591717182</v>
      </c>
      <c r="C3951" t="s">
        <v>40</v>
      </c>
      <c r="D3951">
        <v>5.1544629999999998</v>
      </c>
      <c r="E3951">
        <v>0.47856890000000002</v>
      </c>
      <c r="F3951" t="s">
        <v>41</v>
      </c>
      <c r="G3951">
        <v>-420.67610000000002</v>
      </c>
      <c r="H3951" s="1">
        <v>-3.8676970000000004E-6</v>
      </c>
      <c r="I3951">
        <v>98.18544</v>
      </c>
      <c r="J3951">
        <v>-420.4169</v>
      </c>
      <c r="K3951">
        <v>1.134431</v>
      </c>
      <c r="L3951">
        <v>126.262</v>
      </c>
      <c r="M3951">
        <v>-0.31479370000000001</v>
      </c>
      <c r="N3951">
        <v>-1.208936E-2</v>
      </c>
      <c r="O3951">
        <v>-0.94908329999999996</v>
      </c>
      <c r="P3951">
        <v>-7.6571760000000003E-2</v>
      </c>
      <c r="Q3951">
        <v>0.12868280000000001</v>
      </c>
      <c r="R3951">
        <v>-0.98872559999999998</v>
      </c>
      <c r="S3951">
        <v>-3.805542E-2</v>
      </c>
      <c r="T3951">
        <v>-0.12185609999999999</v>
      </c>
      <c r="U3951">
        <v>-3.04921</v>
      </c>
      <c r="V3951">
        <v>-0.24333550000000001</v>
      </c>
      <c r="W3951">
        <v>0.131907</v>
      </c>
      <c r="X3951">
        <v>0.96093099999999998</v>
      </c>
      <c r="Y3951">
        <v>-0.3028478</v>
      </c>
      <c r="Z3951">
        <v>2.389142E-2</v>
      </c>
      <c r="AA3951">
        <v>0.95273940000000001</v>
      </c>
      <c r="AB3951">
        <v>34</v>
      </c>
      <c r="AC3951">
        <v>-0.25920000000002102</v>
      </c>
      <c r="AD3951">
        <v>-1.134434867697</v>
      </c>
      <c r="AE3951">
        <v>-28.076559999999901</v>
      </c>
      <c r="AF3951">
        <v>-8.5789438147246209</v>
      </c>
      <c r="AG3951">
        <v>-1.134434867697</v>
      </c>
      <c r="AH3951">
        <v>26.686973095432698</v>
      </c>
      <c r="AI3951">
        <v>92.317454686460394</v>
      </c>
      <c r="AJ3951">
        <v>107.820811799406</v>
      </c>
      <c r="AK3951">
        <v>28.054941675961398</v>
      </c>
      <c r="AL3951">
        <v>82.420195557778101</v>
      </c>
      <c r="AM3951">
        <v>104.21023059334</v>
      </c>
      <c r="AN3951">
        <v>1.0000000044851201</v>
      </c>
    </row>
    <row r="3952" spans="1:40" x14ac:dyDescent="0.25">
      <c r="A3952" t="str">
        <f>"20190303162631747"</f>
        <v>20190303162631747</v>
      </c>
      <c r="B3952" t="str">
        <f>"1551601591737679"</f>
        <v>1551601591737679</v>
      </c>
      <c r="C3952" t="s">
        <v>40</v>
      </c>
      <c r="D3952">
        <v>5.208723</v>
      </c>
      <c r="E3952">
        <v>0.4807882</v>
      </c>
      <c r="F3952" t="s">
        <v>41</v>
      </c>
      <c r="G3952">
        <v>-420.90609999999998</v>
      </c>
      <c r="H3952" s="1">
        <v>-4.1265189999999997E-6</v>
      </c>
      <c r="I3952">
        <v>98.646159999999995</v>
      </c>
      <c r="J3952">
        <v>-420.50299999999999</v>
      </c>
      <c r="K3952">
        <v>1.134452</v>
      </c>
      <c r="L3952">
        <v>125.9663</v>
      </c>
      <c r="M3952">
        <v>-0.30094949999999998</v>
      </c>
      <c r="N3952">
        <v>-1.209352E-2</v>
      </c>
      <c r="O3952">
        <v>-0.95356359999999996</v>
      </c>
      <c r="P3952">
        <v>-7.1722190000000005E-2</v>
      </c>
      <c r="Q3952">
        <v>0.12800400000000001</v>
      </c>
      <c r="R3952">
        <v>-0.98917719999999998</v>
      </c>
      <c r="S3952">
        <v>-5.3955080000000002E-2</v>
      </c>
      <c r="T3952">
        <v>-0.1251398</v>
      </c>
      <c r="U3952">
        <v>-3.0463100000000001</v>
      </c>
      <c r="V3952">
        <v>-0.23405129999999999</v>
      </c>
      <c r="W3952">
        <v>0.13157659999999999</v>
      </c>
      <c r="X3952">
        <v>0.96327960000000001</v>
      </c>
      <c r="Y3952">
        <v>-0.28394409999999998</v>
      </c>
      <c r="Z3952">
        <v>2.5292439999999999E-2</v>
      </c>
      <c r="AA3952">
        <v>0.9585072</v>
      </c>
      <c r="AB3952">
        <v>34</v>
      </c>
      <c r="AC3952">
        <v>-0.40309999999993801</v>
      </c>
      <c r="AD3952">
        <v>-1.1344561265189901</v>
      </c>
      <c r="AE3952">
        <v>-27.320139999999999</v>
      </c>
      <c r="AF3952">
        <v>-7.8246835773808803</v>
      </c>
      <c r="AG3952">
        <v>-1.1344561265189901</v>
      </c>
      <c r="AH3952">
        <v>26.129667534174899</v>
      </c>
      <c r="AI3952">
        <v>92.381650081292094</v>
      </c>
      <c r="AJ3952">
        <v>106.670640315649</v>
      </c>
      <c r="AK3952">
        <v>27.2996737935757</v>
      </c>
      <c r="AL3952">
        <v>82.439292499008005</v>
      </c>
      <c r="AM3952">
        <v>103.656707926853</v>
      </c>
      <c r="AN3952">
        <v>1.0000000002377001</v>
      </c>
    </row>
    <row r="3953" spans="1:40" x14ac:dyDescent="0.25">
      <c r="A3953" t="str">
        <f>"20190303162631768"</f>
        <v>20190303162631768</v>
      </c>
      <c r="B3953" t="str">
        <f>"1551601591757706"</f>
        <v>1551601591757706</v>
      </c>
      <c r="C3953" t="s">
        <v>40</v>
      </c>
      <c r="D3953">
        <v>5.1444210000000004</v>
      </c>
      <c r="E3953">
        <v>0.48214570000000001</v>
      </c>
      <c r="F3953" t="s">
        <v>41</v>
      </c>
      <c r="G3953">
        <v>-420.98750000000001</v>
      </c>
      <c r="H3953" s="1">
        <v>-4.2837260000000003E-7</v>
      </c>
      <c r="I3953">
        <v>99.942019999999999</v>
      </c>
      <c r="J3953">
        <v>-420.58510000000001</v>
      </c>
      <c r="K3953">
        <v>1.1344749999999999</v>
      </c>
      <c r="L3953">
        <v>125.6677</v>
      </c>
      <c r="M3953">
        <v>-0.28697729999999999</v>
      </c>
      <c r="N3953">
        <v>-1.20971E-2</v>
      </c>
      <c r="O3953">
        <v>-0.95786099999999996</v>
      </c>
      <c r="P3953">
        <v>-6.7829730000000005E-2</v>
      </c>
      <c r="Q3953">
        <v>0.1295499</v>
      </c>
      <c r="R3953">
        <v>-0.98925019999999997</v>
      </c>
      <c r="S3953">
        <v>-5.6701660000000001E-2</v>
      </c>
      <c r="T3953">
        <v>-0.13277710000000001</v>
      </c>
      <c r="U3953">
        <v>-3.0458980000000002</v>
      </c>
      <c r="V3953">
        <v>-0.22373599999999999</v>
      </c>
      <c r="W3953">
        <v>0.13350780000000001</v>
      </c>
      <c r="X3953">
        <v>0.9654625</v>
      </c>
      <c r="Y3953">
        <v>-0.26902930000000003</v>
      </c>
      <c r="Z3953">
        <v>2.7943929999999999E-2</v>
      </c>
      <c r="AA3953">
        <v>0.96272650000000004</v>
      </c>
      <c r="AB3953">
        <v>34</v>
      </c>
      <c r="AC3953">
        <v>-0.40239999999999998</v>
      </c>
      <c r="AD3953">
        <v>-1.1344754283726</v>
      </c>
      <c r="AE3953">
        <v>-25.725680000000001</v>
      </c>
      <c r="AF3953">
        <v>-6.9841760189470401</v>
      </c>
      <c r="AG3953">
        <v>-1.1344754283726</v>
      </c>
      <c r="AH3953">
        <v>24.7108729321364</v>
      </c>
      <c r="AI3953">
        <v>92.529641509304895</v>
      </c>
      <c r="AJ3953">
        <v>105.782188569631</v>
      </c>
      <c r="AK3953">
        <v>25.703948922868001</v>
      </c>
      <c r="AL3953">
        <v>82.327657839745498</v>
      </c>
      <c r="AM3953">
        <v>103.047398474459</v>
      </c>
      <c r="AN3953">
        <v>0.99999998463154405</v>
      </c>
    </row>
    <row r="3954" spans="1:40" x14ac:dyDescent="0.25">
      <c r="A3954" t="str">
        <f>"20190303162631790"</f>
        <v>20190303162631790</v>
      </c>
      <c r="B3954" t="str">
        <f>"1551601591777226"</f>
        <v>1551601591777226</v>
      </c>
      <c r="C3954" t="s">
        <v>40</v>
      </c>
      <c r="D3954">
        <v>5.2083449999999996</v>
      </c>
      <c r="E3954">
        <v>0.48311670000000001</v>
      </c>
      <c r="F3954" t="s">
        <v>41</v>
      </c>
      <c r="G3954">
        <v>-421.06529999999998</v>
      </c>
      <c r="H3954" s="1">
        <v>-4.3266990000000002E-6</v>
      </c>
      <c r="I3954">
        <v>99.145709999999994</v>
      </c>
      <c r="J3954">
        <v>-420.66899999999998</v>
      </c>
      <c r="K3954">
        <v>1.134495</v>
      </c>
      <c r="L3954">
        <v>125.3438</v>
      </c>
      <c r="M3954">
        <v>-0.27183600000000002</v>
      </c>
      <c r="N3954">
        <v>-1.209928E-2</v>
      </c>
      <c r="O3954">
        <v>-0.9622676</v>
      </c>
      <c r="P3954">
        <v>-6.5170919999999993E-2</v>
      </c>
      <c r="Q3954">
        <v>0.13137360000000001</v>
      </c>
      <c r="R3954">
        <v>-0.98918859999999997</v>
      </c>
      <c r="S3954">
        <v>-5.5145260000000001E-2</v>
      </c>
      <c r="T3954">
        <v>-0.1302884</v>
      </c>
      <c r="U3954">
        <v>-3.0458980000000002</v>
      </c>
      <c r="V3954">
        <v>-0.2110736</v>
      </c>
      <c r="W3954">
        <v>0.13580510000000001</v>
      </c>
      <c r="X3954">
        <v>0.96799020000000002</v>
      </c>
      <c r="Y3954">
        <v>-0.2543086</v>
      </c>
      <c r="Z3954">
        <v>2.7557740000000001E-2</v>
      </c>
      <c r="AA3954">
        <v>0.96673039999999999</v>
      </c>
      <c r="AB3954">
        <v>34</v>
      </c>
      <c r="AC3954">
        <v>-0.39629999999993898</v>
      </c>
      <c r="AD3954">
        <v>-1.134499326699</v>
      </c>
      <c r="AE3954">
        <v>-26.198090000000001</v>
      </c>
      <c r="AF3954">
        <v>-6.7281159894440696</v>
      </c>
      <c r="AG3954">
        <v>-1.134499326699</v>
      </c>
      <c r="AH3954">
        <v>25.2717722453684</v>
      </c>
      <c r="AI3954">
        <v>92.483984212062893</v>
      </c>
      <c r="AJ3954">
        <v>104.908082047821</v>
      </c>
      <c r="AK3954">
        <v>26.176651923259101</v>
      </c>
      <c r="AL3954">
        <v>82.194822973488201</v>
      </c>
      <c r="AM3954">
        <v>102.300994734144</v>
      </c>
      <c r="AN3954">
        <v>1.0000000585494999</v>
      </c>
    </row>
    <row r="3955" spans="1:40" x14ac:dyDescent="0.25">
      <c r="A3955" t="str">
        <f>"20190303162631815"</f>
        <v>20190303162631815</v>
      </c>
      <c r="B3955" t="str">
        <f>"1551601591807483"</f>
        <v>1551601591807483</v>
      </c>
      <c r="C3955" t="s">
        <v>40</v>
      </c>
      <c r="D3955">
        <v>5.2117849999999999</v>
      </c>
      <c r="E3955">
        <v>0.48396479999999997</v>
      </c>
      <c r="F3955" t="s">
        <v>41</v>
      </c>
      <c r="G3955">
        <v>-421.15879999999999</v>
      </c>
      <c r="H3955" s="1">
        <v>-3.6927639999999999E-6</v>
      </c>
      <c r="I3955">
        <v>97.47833</v>
      </c>
      <c r="J3955">
        <v>-420.75349999999997</v>
      </c>
      <c r="K3955">
        <v>1.1344989999999999</v>
      </c>
      <c r="L3955">
        <v>124.9953</v>
      </c>
      <c r="M3955">
        <v>-0.25557990000000003</v>
      </c>
      <c r="N3955">
        <v>-1.2098589999999999E-2</v>
      </c>
      <c r="O3955">
        <v>-0.96671249999999997</v>
      </c>
      <c r="P3955">
        <v>-6.3775390000000001E-2</v>
      </c>
      <c r="Q3955">
        <v>0.13311819999999999</v>
      </c>
      <c r="R3955">
        <v>-0.98904630000000004</v>
      </c>
      <c r="S3955">
        <v>-5.3527829999999998E-2</v>
      </c>
      <c r="T3955">
        <v>-0.1240015</v>
      </c>
      <c r="U3955">
        <v>-3.045715</v>
      </c>
      <c r="V3955">
        <v>-0.19608510000000001</v>
      </c>
      <c r="W3955">
        <v>0.13811010000000001</v>
      </c>
      <c r="X3955">
        <v>0.97081209999999996</v>
      </c>
      <c r="Y3955">
        <v>-0.2384965</v>
      </c>
      <c r="Z3955">
        <v>2.600123E-2</v>
      </c>
      <c r="AA3955">
        <v>0.97079519999999997</v>
      </c>
      <c r="AB3955">
        <v>34</v>
      </c>
      <c r="AC3955">
        <v>-0.40530000000001098</v>
      </c>
      <c r="AD3955">
        <v>-1.1345026927639901</v>
      </c>
      <c r="AE3955">
        <v>-27.516970000000001</v>
      </c>
      <c r="AF3955">
        <v>-6.6301923659512596</v>
      </c>
      <c r="AG3955">
        <v>-1.1345026927639901</v>
      </c>
      <c r="AH3955">
        <v>26.661222962958099</v>
      </c>
      <c r="AI3955">
        <v>92.364673678124305</v>
      </c>
      <c r="AJ3955">
        <v>103.96520058457</v>
      </c>
      <c r="AK3955">
        <v>27.496679018564599</v>
      </c>
      <c r="AL3955">
        <v>82.061498993898297</v>
      </c>
      <c r="AM3955">
        <v>101.41899993961199</v>
      </c>
      <c r="AN3955">
        <v>0.99999994983521301</v>
      </c>
    </row>
    <row r="3956" spans="1:40" x14ac:dyDescent="0.25">
      <c r="A3956" t="str">
        <f>"20190303162631838"</f>
        <v>20190303162631838</v>
      </c>
      <c r="B3956" t="str">
        <f>"1551601591827978"</f>
        <v>1551601591827978</v>
      </c>
      <c r="C3956" t="s">
        <v>40</v>
      </c>
      <c r="D3956">
        <v>5.2109290000000001</v>
      </c>
      <c r="E3956">
        <v>0.48451840000000002</v>
      </c>
      <c r="F3956" t="s">
        <v>41</v>
      </c>
      <c r="G3956">
        <v>-421.27080000000001</v>
      </c>
      <c r="H3956" s="1">
        <v>-3.064868E-6</v>
      </c>
      <c r="I3956">
        <v>95.945239999999998</v>
      </c>
      <c r="J3956">
        <v>-420.83139999999997</v>
      </c>
      <c r="K3956">
        <v>1.1344780000000001</v>
      </c>
      <c r="L3956">
        <v>124.6491</v>
      </c>
      <c r="M3956">
        <v>-0.23949529999999999</v>
      </c>
      <c r="N3956">
        <v>-1.209323E-2</v>
      </c>
      <c r="O3956">
        <v>-0.97082219999999997</v>
      </c>
      <c r="P3956">
        <v>-6.3337320000000003E-2</v>
      </c>
      <c r="Q3956">
        <v>0.1343135</v>
      </c>
      <c r="R3956">
        <v>-0.98891269999999998</v>
      </c>
      <c r="S3956">
        <v>-5.4229739999999999E-2</v>
      </c>
      <c r="T3956">
        <v>-0.1189457</v>
      </c>
      <c r="U3956">
        <v>-3.045731</v>
      </c>
      <c r="V3956">
        <v>-0.18035229999999999</v>
      </c>
      <c r="W3956">
        <v>0.13989360000000001</v>
      </c>
      <c r="X3956">
        <v>0.973603</v>
      </c>
      <c r="Y3956">
        <v>-0.2221245</v>
      </c>
      <c r="Z3956">
        <v>2.4770400000000001E-2</v>
      </c>
      <c r="AA3956">
        <v>0.9747036</v>
      </c>
      <c r="AB3956">
        <v>34</v>
      </c>
      <c r="AC3956">
        <v>-0.43940000000003399</v>
      </c>
      <c r="AD3956">
        <v>-1.1344810648679999</v>
      </c>
      <c r="AE3956">
        <v>-28.703859999999999</v>
      </c>
      <c r="AF3956">
        <v>-6.43827686877977</v>
      </c>
      <c r="AG3956">
        <v>-1.1344810648679999</v>
      </c>
      <c r="AH3956">
        <v>27.930004748694099</v>
      </c>
      <c r="AI3956">
        <v>92.266625618137198</v>
      </c>
      <c r="AJ3956">
        <v>102.980770246766</v>
      </c>
      <c r="AK3956">
        <v>28.684902328362298</v>
      </c>
      <c r="AL3956">
        <v>81.958310504048399</v>
      </c>
      <c r="AM3956">
        <v>100.494631868241</v>
      </c>
      <c r="AN3956">
        <v>0.99999998652262401</v>
      </c>
    </row>
    <row r="3957" spans="1:40" x14ac:dyDescent="0.25">
      <c r="A3957" t="str">
        <f>"20190303162631859"</f>
        <v>20190303162631859</v>
      </c>
      <c r="B3957" t="str">
        <f>"1551601591847499"</f>
        <v>1551601591847499</v>
      </c>
      <c r="C3957" t="s">
        <v>40</v>
      </c>
      <c r="D3957">
        <v>5.2608030000000001</v>
      </c>
      <c r="E3957">
        <v>0.4845816</v>
      </c>
      <c r="F3957" t="s">
        <v>41</v>
      </c>
      <c r="G3957">
        <v>-421.3818</v>
      </c>
      <c r="H3957" s="1">
        <v>-2.4757310000000001E-6</v>
      </c>
      <c r="I3957">
        <v>94.503069999999994</v>
      </c>
      <c r="J3957">
        <v>-420.89249999999998</v>
      </c>
      <c r="K3957">
        <v>1.134433</v>
      </c>
      <c r="L3957">
        <v>124.3566</v>
      </c>
      <c r="M3957">
        <v>-0.2260006</v>
      </c>
      <c r="N3957">
        <v>-1.208248E-2</v>
      </c>
      <c r="O3957">
        <v>-0.97405229999999998</v>
      </c>
      <c r="P3957">
        <v>-6.4546469999999995E-2</v>
      </c>
      <c r="Q3957">
        <v>0.13543079999999999</v>
      </c>
      <c r="R3957">
        <v>-0.98868219999999996</v>
      </c>
      <c r="S3957">
        <v>-5.5603029999999998E-2</v>
      </c>
      <c r="T3957">
        <v>-0.1146153</v>
      </c>
      <c r="U3957">
        <v>-3.0456240000000001</v>
      </c>
      <c r="V3957">
        <v>-0.16560569999999999</v>
      </c>
      <c r="W3957">
        <v>0.14156060000000001</v>
      </c>
      <c r="X3957">
        <v>0.97597920000000005</v>
      </c>
      <c r="Y3957">
        <v>-0.2081385</v>
      </c>
      <c r="Z3957">
        <v>2.3681710000000002E-2</v>
      </c>
      <c r="AA3957">
        <v>0.97781260000000003</v>
      </c>
      <c r="AB3957">
        <v>34</v>
      </c>
      <c r="AC3957">
        <v>-0.489300000000014</v>
      </c>
      <c r="AD3957">
        <v>-1.134435475731</v>
      </c>
      <c r="AE3957">
        <v>-29.853529999999999</v>
      </c>
      <c r="AF3957">
        <v>-6.2617296700305998</v>
      </c>
      <c r="AG3957">
        <v>-1.134435475731</v>
      </c>
      <c r="AH3957">
        <v>29.1495297499124</v>
      </c>
      <c r="AI3957">
        <v>92.179041293383406</v>
      </c>
      <c r="AJ3957">
        <v>102.123698481034</v>
      </c>
      <c r="AK3957">
        <v>29.8360735846755</v>
      </c>
      <c r="AL3957">
        <v>81.861838692669494</v>
      </c>
      <c r="AM3957">
        <v>99.630313123458706</v>
      </c>
      <c r="AN3957">
        <v>1.00000002508874</v>
      </c>
    </row>
    <row r="3958" spans="1:40" x14ac:dyDescent="0.25">
      <c r="A3958" t="str">
        <f>"20190303162631880"</f>
        <v>20190303162631880</v>
      </c>
      <c r="B3958" t="str">
        <f>"1551601591867994"</f>
        <v>1551601591867994</v>
      </c>
      <c r="C3958" t="s">
        <v>40</v>
      </c>
      <c r="D3958">
        <v>5.27128</v>
      </c>
      <c r="E3958">
        <v>0.48454619999999998</v>
      </c>
      <c r="F3958" t="s">
        <v>41</v>
      </c>
      <c r="G3958">
        <v>-421.49169999999998</v>
      </c>
      <c r="H3958" s="1">
        <v>-2.1078029999999998E-6</v>
      </c>
      <c r="I3958">
        <v>93.577240000000003</v>
      </c>
      <c r="J3958">
        <v>-420.95620000000002</v>
      </c>
      <c r="K3958">
        <v>1.1343559999999999</v>
      </c>
      <c r="L3958">
        <v>124.02630000000001</v>
      </c>
      <c r="M3958">
        <v>-0.21088000000000001</v>
      </c>
      <c r="N3958">
        <v>-1.206394E-2</v>
      </c>
      <c r="O3958">
        <v>-0.97743769999999996</v>
      </c>
      <c r="P3958">
        <v>-6.3878959999999999E-2</v>
      </c>
      <c r="Q3958">
        <v>0.13594229999999999</v>
      </c>
      <c r="R3958">
        <v>-0.98865539999999996</v>
      </c>
      <c r="S3958">
        <v>-5.9295649999999998E-2</v>
      </c>
      <c r="T3958">
        <v>-0.1122606</v>
      </c>
      <c r="U3958">
        <v>-3.0458370000000001</v>
      </c>
      <c r="V3958">
        <v>-0.1510879</v>
      </c>
      <c r="W3958">
        <v>0.1426094</v>
      </c>
      <c r="X3958">
        <v>0.97817949999999998</v>
      </c>
      <c r="Y3958">
        <v>-0.191776</v>
      </c>
      <c r="Z3958">
        <v>2.3212070000000001E-2</v>
      </c>
      <c r="AA3958">
        <v>0.98116420000000004</v>
      </c>
      <c r="AB3958">
        <v>34</v>
      </c>
      <c r="AC3958">
        <v>-0.53549999999995601</v>
      </c>
      <c r="AD3958">
        <v>-1.1343581078029901</v>
      </c>
      <c r="AE3958">
        <v>-30.449059999999999</v>
      </c>
      <c r="AF3958">
        <v>-5.8899359996273102</v>
      </c>
      <c r="AG3958">
        <v>-1.1343581078029901</v>
      </c>
      <c r="AH3958">
        <v>29.835758386891101</v>
      </c>
      <c r="AI3958">
        <v>92.136154324943007</v>
      </c>
      <c r="AJ3958">
        <v>101.167282071033</v>
      </c>
      <c r="AK3958">
        <v>30.4327224039748</v>
      </c>
      <c r="AL3958">
        <v>81.801131289190394</v>
      </c>
      <c r="AM3958">
        <v>98.780419111444502</v>
      </c>
      <c r="AN3958">
        <v>1.0000000643575</v>
      </c>
    </row>
    <row r="3959" spans="1:40" x14ac:dyDescent="0.25">
      <c r="A3959" t="str">
        <f>"20190303162631904"</f>
        <v>20190303162631904</v>
      </c>
      <c r="B3959" t="str">
        <f>"1551601591898250"</f>
        <v>1551601591898250</v>
      </c>
      <c r="C3959" t="s">
        <v>40</v>
      </c>
      <c r="D3959">
        <v>5.2674289999999999</v>
      </c>
      <c r="E3959">
        <v>0.48421259999999999</v>
      </c>
      <c r="F3959" t="s">
        <v>41</v>
      </c>
      <c r="G3959">
        <v>-421.52510000000001</v>
      </c>
      <c r="H3959" s="1">
        <v>-2.0812469999999999E-6</v>
      </c>
      <c r="I3959">
        <v>93.494609999999994</v>
      </c>
      <c r="J3959">
        <v>-421.01499999999999</v>
      </c>
      <c r="K3959">
        <v>1.134244</v>
      </c>
      <c r="L3959">
        <v>123.6951</v>
      </c>
      <c r="M3959">
        <v>-0.1958905</v>
      </c>
      <c r="N3959">
        <v>-1.2038729999999999E-2</v>
      </c>
      <c r="O3959">
        <v>-0.98055199999999998</v>
      </c>
      <c r="P3959">
        <v>-6.2199480000000001E-2</v>
      </c>
      <c r="Q3959">
        <v>0.13472390000000001</v>
      </c>
      <c r="R3959">
        <v>-0.98892919999999995</v>
      </c>
      <c r="S3959">
        <v>-5.6762699999999902E-2</v>
      </c>
      <c r="T3959">
        <v>-0.1131817</v>
      </c>
      <c r="U3959">
        <v>-3.0463260000000001</v>
      </c>
      <c r="V3959">
        <v>-0.13770199999999999</v>
      </c>
      <c r="W3959">
        <v>0.14188439999999999</v>
      </c>
      <c r="X3959">
        <v>0.98025859999999998</v>
      </c>
      <c r="Y3959">
        <v>-0.17755309999999999</v>
      </c>
      <c r="Z3959">
        <v>2.374072E-2</v>
      </c>
      <c r="AA3959">
        <v>0.98382480000000005</v>
      </c>
      <c r="AB3959">
        <v>34</v>
      </c>
      <c r="AC3959">
        <v>-0.51010000000002198</v>
      </c>
      <c r="AD3959">
        <v>-1.1342460812469899</v>
      </c>
      <c r="AE3959">
        <v>-30.200489999999999</v>
      </c>
      <c r="AF3959">
        <v>-5.4085744973838503</v>
      </c>
      <c r="AG3959">
        <v>-1.1342460812469899</v>
      </c>
      <c r="AH3959">
        <v>29.673380732520499</v>
      </c>
      <c r="AI3959">
        <v>92.153581865615095</v>
      </c>
      <c r="AJ3959">
        <v>100.32991716954</v>
      </c>
      <c r="AK3959">
        <v>30.183583557352701</v>
      </c>
      <c r="AL3959">
        <v>81.843096725371495</v>
      </c>
      <c r="AM3959">
        <v>97.996310902843007</v>
      </c>
      <c r="AN3959">
        <v>0.99999997332065904</v>
      </c>
    </row>
    <row r="3960" spans="1:40" x14ac:dyDescent="0.25">
      <c r="A3960" t="str">
        <f>"20190303162631947"</f>
        <v>20190303162631947</v>
      </c>
      <c r="B3960" t="str">
        <f>"1551601591937290"</f>
        <v>1551601591937290</v>
      </c>
      <c r="C3960" t="s">
        <v>40</v>
      </c>
      <c r="D3960">
        <v>5.2639279999999999</v>
      </c>
      <c r="E3960">
        <v>0.484041</v>
      </c>
      <c r="F3960" t="s">
        <v>41</v>
      </c>
      <c r="G3960">
        <v>-421.4837</v>
      </c>
      <c r="H3960" s="1">
        <v>-2.710466E-6</v>
      </c>
      <c r="I3960">
        <v>94.987009999999998</v>
      </c>
      <c r="J3960">
        <v>-421.11630000000002</v>
      </c>
      <c r="K3960">
        <v>1.1338729999999999</v>
      </c>
      <c r="L3960">
        <v>123.045</v>
      </c>
      <c r="M3960">
        <v>-0.16724820000000001</v>
      </c>
      <c r="N3960">
        <v>-1.1956980000000001E-2</v>
      </c>
      <c r="O3960">
        <v>-0.98584249999999995</v>
      </c>
      <c r="P3960">
        <v>-6.1799939999999998E-2</v>
      </c>
      <c r="Q3960">
        <v>0.12552249999999901</v>
      </c>
      <c r="R3960">
        <v>-0.99016400000000004</v>
      </c>
      <c r="S3960">
        <v>-4.974365E-2</v>
      </c>
      <c r="T3960">
        <v>-0.120381</v>
      </c>
      <c r="U3960">
        <v>-3.046875</v>
      </c>
      <c r="V3960">
        <v>-0.10923860000000001</v>
      </c>
      <c r="W3960">
        <v>0.13371620000000001</v>
      </c>
      <c r="X3960">
        <v>0.98498059999999998</v>
      </c>
      <c r="Y3960">
        <v>-0.15110209999999999</v>
      </c>
      <c r="Z3960">
        <v>2.6482039999999998E-2</v>
      </c>
      <c r="AA3960">
        <v>0.98816340000000003</v>
      </c>
      <c r="AB3960">
        <v>34</v>
      </c>
      <c r="AC3960">
        <v>-0.36739999999997502</v>
      </c>
      <c r="AD3960">
        <v>-1.133875710466</v>
      </c>
      <c r="AE3960">
        <v>-28.05799</v>
      </c>
      <c r="AF3960">
        <v>-4.3236986897488796</v>
      </c>
      <c r="AG3960">
        <v>-1.133875710466</v>
      </c>
      <c r="AH3960">
        <v>27.678987539279198</v>
      </c>
      <c r="AI3960">
        <v>92.317746168843598</v>
      </c>
      <c r="AJ3960">
        <v>98.878349273278005</v>
      </c>
      <c r="AK3960">
        <v>28.0375889777651</v>
      </c>
      <c r="AL3960">
        <v>82.315609009581806</v>
      </c>
      <c r="AM3960">
        <v>96.328487503379094</v>
      </c>
      <c r="AN3960">
        <v>0.99999993812437804</v>
      </c>
    </row>
    <row r="3961" spans="1:40" x14ac:dyDescent="0.25">
      <c r="A3961" t="str">
        <f>"20190303162631970"</f>
        <v>20190303162631970</v>
      </c>
      <c r="B3961" t="str">
        <f>"1551601591957317"</f>
        <v>1551601591957317</v>
      </c>
      <c r="C3961" t="s">
        <v>40</v>
      </c>
      <c r="D3961">
        <v>5.3242770000000004</v>
      </c>
      <c r="E3961">
        <v>0.4837979</v>
      </c>
      <c r="F3961" t="s">
        <v>41</v>
      </c>
      <c r="G3961">
        <v>-421.46519999999998</v>
      </c>
      <c r="H3961" s="1">
        <v>-5.6733129999999999E-7</v>
      </c>
      <c r="I3961">
        <v>99.967060000000004</v>
      </c>
      <c r="J3961">
        <v>-421.1617</v>
      </c>
      <c r="K3961">
        <v>1.133602</v>
      </c>
      <c r="L3961">
        <v>122.70869999999999</v>
      </c>
      <c r="M3961">
        <v>-0.15297520000000001</v>
      </c>
      <c r="N3961">
        <v>-1.189523E-2</v>
      </c>
      <c r="O3961">
        <v>-0.98815850000000005</v>
      </c>
      <c r="P3961">
        <v>-6.3896499999999995E-2</v>
      </c>
      <c r="Q3961">
        <v>0.11998590000000001</v>
      </c>
      <c r="R3961">
        <v>-0.99071750000000003</v>
      </c>
      <c r="S3961">
        <v>-4.605103E-2</v>
      </c>
      <c r="T3961">
        <v>-0.14965209999999901</v>
      </c>
      <c r="U3961">
        <v>-3.0458980000000002</v>
      </c>
      <c r="V3961">
        <v>-9.2717579999999994E-2</v>
      </c>
      <c r="W3961">
        <v>0.1287527</v>
      </c>
      <c r="X3961">
        <v>0.98733289999999996</v>
      </c>
      <c r="Y3961">
        <v>-0.1379879</v>
      </c>
      <c r="Z3961">
        <v>3.609938E-2</v>
      </c>
      <c r="AA3961">
        <v>0.98977579999999998</v>
      </c>
      <c r="AB3961">
        <v>34</v>
      </c>
      <c r="AC3961">
        <v>-0.303499999999985</v>
      </c>
      <c r="AD3961">
        <v>-1.1336025673312999</v>
      </c>
      <c r="AE3961">
        <v>-22.741639999999901</v>
      </c>
      <c r="AF3961">
        <v>-3.1713470318654098</v>
      </c>
      <c r="AG3961">
        <v>-1.1336025673312999</v>
      </c>
      <c r="AH3961">
        <v>22.4645564449491</v>
      </c>
      <c r="AI3961">
        <v>92.860484098938898</v>
      </c>
      <c r="AJ3961">
        <v>98.035411230756793</v>
      </c>
      <c r="AK3961">
        <v>22.7156068165806</v>
      </c>
      <c r="AL3961">
        <v>82.602478662032794</v>
      </c>
      <c r="AM3961">
        <v>95.3647482681871</v>
      </c>
      <c r="AN3961">
        <v>1.0000000314103701</v>
      </c>
    </row>
    <row r="3962" spans="1:40" x14ac:dyDescent="0.25">
      <c r="A3962" t="str">
        <f>"20190303162631992"</f>
        <v>20190303162631992</v>
      </c>
      <c r="B3962" t="str">
        <f>"1551601591977814"</f>
        <v>1551601591977814</v>
      </c>
      <c r="C3962" t="s">
        <v>40</v>
      </c>
      <c r="D3962">
        <v>5.3328379999999997</v>
      </c>
      <c r="E3962">
        <v>0.48350480000000001</v>
      </c>
      <c r="F3962" t="s">
        <v>41</v>
      </c>
      <c r="G3962">
        <v>-421.49149999999997</v>
      </c>
      <c r="H3962" s="1">
        <v>-1.5862360000000001E-6</v>
      </c>
      <c r="I3962">
        <v>102.10769999999999</v>
      </c>
      <c r="J3962">
        <v>-421.20299999999997</v>
      </c>
      <c r="K3962">
        <v>1.1332819999999999</v>
      </c>
      <c r="L3962">
        <v>122.3678</v>
      </c>
      <c r="M3962">
        <v>-0.13898269999999999</v>
      </c>
      <c r="N3962">
        <v>-1.18232999999999E-2</v>
      </c>
      <c r="O3962">
        <v>-0.9902244</v>
      </c>
      <c r="P3962">
        <v>-6.570426E-2</v>
      </c>
      <c r="Q3962">
        <v>0.1174688</v>
      </c>
      <c r="R3962">
        <v>-0.99090089999999997</v>
      </c>
      <c r="S3962">
        <v>-4.8767089999999999E-2</v>
      </c>
      <c r="T3962">
        <v>-0.1675702</v>
      </c>
      <c r="U3962">
        <v>-3.045258</v>
      </c>
      <c r="V3962">
        <v>-7.678343E-2</v>
      </c>
      <c r="W3962">
        <v>0.12676399999999999</v>
      </c>
      <c r="X3962">
        <v>0.98895659999999996</v>
      </c>
      <c r="Y3962">
        <v>-0.1230826</v>
      </c>
      <c r="Z3962">
        <v>4.2135890000000002E-2</v>
      </c>
      <c r="AA3962">
        <v>0.99150150000000004</v>
      </c>
      <c r="AB3962">
        <v>34</v>
      </c>
      <c r="AC3962">
        <v>-0.28849999999994203</v>
      </c>
      <c r="AD3962">
        <v>-1.133283586236</v>
      </c>
      <c r="AE3962">
        <v>-20.260100000000001</v>
      </c>
      <c r="AF3962">
        <v>-2.5224092791046102</v>
      </c>
      <c r="AG3962">
        <v>-1.133283586236</v>
      </c>
      <c r="AH3962">
        <v>20.040850168929801</v>
      </c>
      <c r="AI3962">
        <v>93.211271405285402</v>
      </c>
      <c r="AJ3962">
        <v>97.173718536060505</v>
      </c>
      <c r="AK3962">
        <v>20.230732951419199</v>
      </c>
      <c r="AL3962">
        <v>82.717363881479201</v>
      </c>
      <c r="AM3962">
        <v>94.4395864984496</v>
      </c>
      <c r="AN3962">
        <v>0.99999998175106197</v>
      </c>
    </row>
    <row r="3963" spans="1:40" x14ac:dyDescent="0.25">
      <c r="A3963" t="str">
        <f>"20190303162632014"</f>
        <v>20190303162632014</v>
      </c>
      <c r="B3963" t="str">
        <f>"1551601592008070"</f>
        <v>1551601592008070</v>
      </c>
      <c r="C3963" t="s">
        <v>40</v>
      </c>
      <c r="D3963">
        <v>5.2780459999999998</v>
      </c>
      <c r="E3963">
        <v>0.48296430000000001</v>
      </c>
      <c r="F3963" t="s">
        <v>41</v>
      </c>
      <c r="G3963">
        <v>-421.52760000000001</v>
      </c>
      <c r="H3963" s="1">
        <v>-1.9239529999999999E-6</v>
      </c>
      <c r="I3963">
        <v>102.8019</v>
      </c>
      <c r="J3963">
        <v>-421.2407</v>
      </c>
      <c r="K3963">
        <v>1.132879</v>
      </c>
      <c r="L3963">
        <v>122.0215</v>
      </c>
      <c r="M3963">
        <v>-0.12543009999999999</v>
      </c>
      <c r="N3963">
        <v>-1.1736689999999999E-2</v>
      </c>
      <c r="O3963">
        <v>-0.9920331</v>
      </c>
      <c r="P3963">
        <v>-6.7051730000000004E-2</v>
      </c>
      <c r="Q3963">
        <v>0.1195794</v>
      </c>
      <c r="R3963">
        <v>-0.99055780000000004</v>
      </c>
      <c r="S3963">
        <v>-5.0506589999999997E-2</v>
      </c>
      <c r="T3963">
        <v>-0.17637649999999999</v>
      </c>
      <c r="U3963">
        <v>-3.045105</v>
      </c>
      <c r="V3963">
        <v>-6.1793399999999998E-2</v>
      </c>
      <c r="W3963">
        <v>0.1293405</v>
      </c>
      <c r="X3963">
        <v>0.98967300000000002</v>
      </c>
      <c r="Y3963">
        <v>-0.10894040000000001</v>
      </c>
      <c r="Z3963">
        <v>4.5255190000000001E-2</v>
      </c>
      <c r="AA3963">
        <v>0.99301759999999994</v>
      </c>
      <c r="AB3963">
        <v>34</v>
      </c>
      <c r="AC3963">
        <v>-0.28690000000000199</v>
      </c>
      <c r="AD3963">
        <v>-1.132880923953</v>
      </c>
      <c r="AE3963">
        <v>-19.2196</v>
      </c>
      <c r="AF3963">
        <v>-2.1188881389318599</v>
      </c>
      <c r="AG3963">
        <v>-1.132880923953</v>
      </c>
      <c r="AH3963">
        <v>19.037650147243198</v>
      </c>
      <c r="AI3963">
        <v>93.384656034891705</v>
      </c>
      <c r="AJ3963">
        <v>96.350875173992904</v>
      </c>
      <c r="AK3963">
        <v>19.188674505082201</v>
      </c>
      <c r="AL3963">
        <v>82.568516127879406</v>
      </c>
      <c r="AM3963">
        <v>93.572807219133296</v>
      </c>
      <c r="AN3963">
        <v>1.0000000180763999</v>
      </c>
    </row>
    <row r="3964" spans="1:40" x14ac:dyDescent="0.25">
      <c r="A3964" t="str">
        <f>"20190303162632036"</f>
        <v>20190303162632036</v>
      </c>
      <c r="B3964" t="str">
        <f>"1551601592027590"</f>
        <v>1551601592027590</v>
      </c>
      <c r="C3964" t="s">
        <v>40</v>
      </c>
      <c r="D3964">
        <v>5.222912</v>
      </c>
      <c r="E3964">
        <v>0.48279250000000001</v>
      </c>
      <c r="F3964" t="s">
        <v>41</v>
      </c>
      <c r="G3964">
        <v>-421.57279999999997</v>
      </c>
      <c r="H3964" s="1">
        <v>-1.439478E-6</v>
      </c>
      <c r="I3964">
        <v>101.75149999999999</v>
      </c>
      <c r="J3964">
        <v>-421.27159999999998</v>
      </c>
      <c r="K3964">
        <v>1.1324050000000001</v>
      </c>
      <c r="L3964">
        <v>121.70269999999999</v>
      </c>
      <c r="M3964">
        <v>-0.113686999999999</v>
      </c>
      <c r="N3964">
        <v>-1.1641510000000001E-2</v>
      </c>
      <c r="O3964">
        <v>-0.99344860000000001</v>
      </c>
      <c r="P3964">
        <v>-7.0045960000000004E-2</v>
      </c>
      <c r="Q3964">
        <v>0.1218521</v>
      </c>
      <c r="R3964">
        <v>-0.9900738</v>
      </c>
      <c r="S3964">
        <v>-4.9896240000000001E-2</v>
      </c>
      <c r="T3964">
        <v>-0.17022660000000001</v>
      </c>
      <c r="U3964">
        <v>-3.0457610000000002</v>
      </c>
      <c r="V3964">
        <v>-4.6952109999999998E-2</v>
      </c>
      <c r="W3964">
        <v>0.13203979999999901</v>
      </c>
      <c r="X3964">
        <v>0.99013180000000001</v>
      </c>
      <c r="Y3964">
        <v>-9.7382510000000005E-2</v>
      </c>
      <c r="Z3964">
        <v>4.3507740000000003E-2</v>
      </c>
      <c r="AA3964">
        <v>0.99429559999999995</v>
      </c>
      <c r="AB3964">
        <v>34</v>
      </c>
      <c r="AC3964">
        <v>-0.30119999999999397</v>
      </c>
      <c r="AD3964">
        <v>-1.13240643947799</v>
      </c>
      <c r="AE3964">
        <v>-19.9512</v>
      </c>
      <c r="AF3964">
        <v>-1.9627766500355499</v>
      </c>
      <c r="AG3964">
        <v>-1.13240643947799</v>
      </c>
      <c r="AH3964">
        <v>19.792328302936799</v>
      </c>
      <c r="AI3964">
        <v>93.258624979665598</v>
      </c>
      <c r="AJ3964">
        <v>95.663422791344004</v>
      </c>
      <c r="AK3964">
        <v>19.921623833747301</v>
      </c>
      <c r="AL3964">
        <v>82.412519468742701</v>
      </c>
      <c r="AM3964">
        <v>92.714935566948199</v>
      </c>
      <c r="AN3964">
        <v>0.99999999539436601</v>
      </c>
    </row>
    <row r="3965" spans="1:40" x14ac:dyDescent="0.25">
      <c r="A3965" t="str">
        <f>"20190303162632058"</f>
        <v>20190303162632058</v>
      </c>
      <c r="B3965" t="str">
        <f>"1551601592048086"</f>
        <v>1551601592048086</v>
      </c>
      <c r="C3965" t="s">
        <v>40</v>
      </c>
      <c r="D3965">
        <v>5.280748</v>
      </c>
      <c r="E3965">
        <v>0.47503329999999999</v>
      </c>
      <c r="F3965" t="s">
        <v>41</v>
      </c>
      <c r="G3965">
        <v>-421.68180000000001</v>
      </c>
      <c r="H3965" s="1">
        <v>-9.2980629999999996E-7</v>
      </c>
      <c r="I3965">
        <v>100.61199999999999</v>
      </c>
      <c r="J3965">
        <v>-421.30130000000003</v>
      </c>
      <c r="K3965">
        <v>1.1317919999999999</v>
      </c>
      <c r="L3965">
        <v>121.3616</v>
      </c>
      <c r="M3965">
        <v>-0.10200149999999999</v>
      </c>
      <c r="N3965">
        <v>-1.15291E-2</v>
      </c>
      <c r="O3965">
        <v>-0.99471739999999997</v>
      </c>
      <c r="P3965">
        <v>-7.1924630000000003E-2</v>
      </c>
      <c r="Q3965">
        <v>0.12328500000000001</v>
      </c>
      <c r="R3965">
        <v>-0.98976140000000001</v>
      </c>
      <c r="S3965">
        <v>-5.9234620000000002E-2</v>
      </c>
      <c r="T3965">
        <v>-0.16354630000000001</v>
      </c>
      <c r="U3965">
        <v>-3.0460050000000001</v>
      </c>
      <c r="V3965">
        <v>-3.3230740000000002E-2</v>
      </c>
      <c r="W3965">
        <v>0.133823</v>
      </c>
      <c r="X3965">
        <v>0.99044790000000005</v>
      </c>
      <c r="Y3965">
        <v>-8.2633059999999994E-2</v>
      </c>
      <c r="Z3965">
        <v>4.1594390000000002E-2</v>
      </c>
      <c r="AA3965">
        <v>0.99571160000000003</v>
      </c>
      <c r="AB3965">
        <v>34</v>
      </c>
      <c r="AC3965">
        <v>-0.38049999999998302</v>
      </c>
      <c r="AD3965">
        <v>-1.1317929298063001</v>
      </c>
      <c r="AE3965">
        <v>-20.749599999999901</v>
      </c>
      <c r="AF3965">
        <v>-1.7329617770843899</v>
      </c>
      <c r="AG3965">
        <v>-1.1317929298063001</v>
      </c>
      <c r="AH3965">
        <v>20.618850541860301</v>
      </c>
      <c r="AI3965">
        <v>93.130863014070002</v>
      </c>
      <c r="AJ3965">
        <v>94.804272884538406</v>
      </c>
      <c r="AK3965">
        <v>20.722478361054399</v>
      </c>
      <c r="AL3965">
        <v>82.309434494056205</v>
      </c>
      <c r="AM3965">
        <v>91.921622739340805</v>
      </c>
      <c r="AN3965">
        <v>0.99999996001217795</v>
      </c>
    </row>
    <row r="3966" spans="1:40" x14ac:dyDescent="0.25">
      <c r="A3966" t="str">
        <f>"20190303162632081"</f>
        <v>20190303162632081</v>
      </c>
      <c r="B3966" t="str">
        <f>"1551601592067605"</f>
        <v>1551601592067605</v>
      </c>
      <c r="C3966" t="s">
        <v>40</v>
      </c>
      <c r="D3966">
        <v>5.2771030000000003</v>
      </c>
      <c r="E3966">
        <v>0.47422959999999897</v>
      </c>
      <c r="F3966" t="s">
        <v>41</v>
      </c>
      <c r="G3966">
        <v>-421.3415</v>
      </c>
      <c r="H3966" s="1">
        <v>-4.3078959999999998E-6</v>
      </c>
      <c r="I3966">
        <v>98.946489999999997</v>
      </c>
      <c r="J3966">
        <v>-421.3272</v>
      </c>
      <c r="K3966">
        <v>1.131076</v>
      </c>
      <c r="L3966">
        <v>121.0253</v>
      </c>
      <c r="M3966">
        <v>-9.1550930000000003E-2</v>
      </c>
      <c r="N3966">
        <v>-1.141349E-2</v>
      </c>
      <c r="O3966">
        <v>-0.99573509999999998</v>
      </c>
      <c r="P3966">
        <v>-7.0617360000000004E-2</v>
      </c>
      <c r="Q3966">
        <v>0.12689549999999999</v>
      </c>
      <c r="R3966">
        <v>-0.98939929999999998</v>
      </c>
      <c r="S3966">
        <v>-5.4626459999999998E-3</v>
      </c>
      <c r="T3966">
        <v>-0.1539924</v>
      </c>
      <c r="U3966">
        <v>-3.0498050000000001</v>
      </c>
      <c r="V3966">
        <v>-2.3938399999999999E-2</v>
      </c>
      <c r="W3966">
        <v>0.1376175</v>
      </c>
      <c r="X3966">
        <v>0.99019610000000002</v>
      </c>
      <c r="Y3966">
        <v>-8.9742489999999994E-2</v>
      </c>
      <c r="Z3966">
        <v>3.8607669999999997E-2</v>
      </c>
      <c r="AA3966">
        <v>0.9952164</v>
      </c>
      <c r="AB3966">
        <v>34</v>
      </c>
      <c r="AC3966">
        <v>-1.42999999999915E-2</v>
      </c>
      <c r="AD3966">
        <v>-1.1310803078959999</v>
      </c>
      <c r="AE3966">
        <v>-22.078810000000001</v>
      </c>
      <c r="AF3966">
        <v>-2.0019730460964902</v>
      </c>
      <c r="AG3966">
        <v>-1.1310803078959999</v>
      </c>
      <c r="AH3966">
        <v>21.929831545551899</v>
      </c>
      <c r="AI3966">
        <v>92.940337058908298</v>
      </c>
      <c r="AJ3966">
        <v>95.216070451959297</v>
      </c>
      <c r="AK3966">
        <v>22.050051028432801</v>
      </c>
      <c r="AL3966">
        <v>82.089995158948099</v>
      </c>
      <c r="AM3966">
        <v>91.384879396234695</v>
      </c>
      <c r="AN3966">
        <v>0.99999996987800899</v>
      </c>
    </row>
    <row r="3967" spans="1:40" x14ac:dyDescent="0.25">
      <c r="A3967" t="str">
        <f>"20190303162632105"</f>
        <v>20190303162632105</v>
      </c>
      <c r="B3967" t="str">
        <f>"1551601592097861"</f>
        <v>1551601592097861</v>
      </c>
      <c r="C3967" t="s">
        <v>40</v>
      </c>
      <c r="D3967">
        <v>5.287604</v>
      </c>
      <c r="E3967">
        <v>0.47311769999999997</v>
      </c>
      <c r="F3967" t="s">
        <v>41</v>
      </c>
      <c r="G3967">
        <v>-421.3186</v>
      </c>
      <c r="H3967" s="1">
        <v>-3.6178750000000001E-6</v>
      </c>
      <c r="I3967">
        <v>97.204610000000002</v>
      </c>
      <c r="J3967">
        <v>-421.35250000000002</v>
      </c>
      <c r="K3967">
        <v>1.1302909999999999</v>
      </c>
      <c r="L3967">
        <v>120.6554</v>
      </c>
      <c r="M3967">
        <v>-8.1108459999999993E-2</v>
      </c>
      <c r="N3967">
        <v>-1.129459E-2</v>
      </c>
      <c r="O3967">
        <v>-0.99664129999999995</v>
      </c>
      <c r="P3967">
        <v>-6.2033980000000002E-2</v>
      </c>
      <c r="Q3967">
        <v>0.1311611</v>
      </c>
      <c r="R3967">
        <v>-0.98941829999999997</v>
      </c>
      <c r="S3967">
        <v>1.0986329999999999E-3</v>
      </c>
      <c r="T3967">
        <v>-0.14486180000000001</v>
      </c>
      <c r="U3967">
        <v>-3.0508120000000001</v>
      </c>
      <c r="V3967">
        <v>-2.1931180000000002E-2</v>
      </c>
      <c r="W3967">
        <v>0.1418499</v>
      </c>
      <c r="X3967">
        <v>0.9896452</v>
      </c>
      <c r="Y3967">
        <v>-8.1445100000000006E-2</v>
      </c>
      <c r="Z3967">
        <v>3.5831420000000003E-2</v>
      </c>
      <c r="AA3967">
        <v>0.99603350000000002</v>
      </c>
      <c r="AB3967">
        <v>35</v>
      </c>
      <c r="AC3967">
        <v>3.3900000000016903E-2</v>
      </c>
      <c r="AD3967">
        <v>-1.130294617875</v>
      </c>
      <c r="AE3967">
        <v>-23.450790000000001</v>
      </c>
      <c r="AF3967">
        <v>-1.93148004360381</v>
      </c>
      <c r="AG3967">
        <v>-1.130294617875</v>
      </c>
      <c r="AH3967">
        <v>23.3165998820742</v>
      </c>
      <c r="AI3967">
        <v>92.765836942496705</v>
      </c>
      <c r="AJ3967">
        <v>94.735405828427005</v>
      </c>
      <c r="AK3967">
        <v>23.4237488703832</v>
      </c>
      <c r="AL3967">
        <v>81.845093816023095</v>
      </c>
      <c r="AM3967">
        <v>91.269503875887906</v>
      </c>
      <c r="AN3967">
        <v>0.999999996334621</v>
      </c>
    </row>
    <row r="3968" spans="1:40" x14ac:dyDescent="0.25">
      <c r="A3968" t="str">
        <f>"20190303162632127"</f>
        <v>20190303162632127</v>
      </c>
      <c r="B3968" t="str">
        <f>"1551601592117381"</f>
        <v>1551601592117381</v>
      </c>
      <c r="C3968" t="s">
        <v>40</v>
      </c>
      <c r="D3968">
        <v>5.2927109999999997</v>
      </c>
      <c r="E3968">
        <v>0.4725453</v>
      </c>
      <c r="F3968" t="s">
        <v>41</v>
      </c>
      <c r="G3968">
        <v>-421.1078</v>
      </c>
      <c r="H3968" s="1">
        <v>-3.1719020000000001E-6</v>
      </c>
      <c r="I3968">
        <v>96.295829999999995</v>
      </c>
      <c r="J3968">
        <v>-421.3732</v>
      </c>
      <c r="K3968">
        <v>1.1295459999999999</v>
      </c>
      <c r="L3968">
        <v>120.3155</v>
      </c>
      <c r="M3968">
        <v>-7.257777E-2</v>
      </c>
      <c r="N3968">
        <v>-1.1194519999999999E-2</v>
      </c>
      <c r="O3968">
        <v>-0.99729999999999996</v>
      </c>
      <c r="P3968">
        <v>-4.8734359999999997E-2</v>
      </c>
      <c r="Q3968">
        <v>0.1348819</v>
      </c>
      <c r="R3968">
        <v>-0.9896625</v>
      </c>
      <c r="S3968">
        <v>3.067017E-2</v>
      </c>
      <c r="T3968">
        <v>-0.1416501</v>
      </c>
      <c r="U3968">
        <v>-3.0527799999999998</v>
      </c>
      <c r="V3968">
        <v>-2.6547390000000001E-2</v>
      </c>
      <c r="W3968">
        <v>0.14539530000000001</v>
      </c>
      <c r="X3968">
        <v>0.98901740000000005</v>
      </c>
      <c r="Y3968">
        <v>-8.2565369999999999E-2</v>
      </c>
      <c r="Z3968">
        <v>3.4897400000000002E-2</v>
      </c>
      <c r="AA3968">
        <v>0.99597449999999998</v>
      </c>
      <c r="AB3968">
        <v>35</v>
      </c>
      <c r="AC3968">
        <v>0.26539999999999903</v>
      </c>
      <c r="AD3968">
        <v>-1.1295491719020001</v>
      </c>
      <c r="AE3968">
        <v>-24.019669999999898</v>
      </c>
      <c r="AF3968">
        <v>-2.0036727213304801</v>
      </c>
      <c r="AG3968">
        <v>-1.1295491719020001</v>
      </c>
      <c r="AH3968">
        <v>23.884240740277701</v>
      </c>
      <c r="AI3968">
        <v>92.698188338245004</v>
      </c>
      <c r="AJ3968">
        <v>94.7953715286571</v>
      </c>
      <c r="AK3968">
        <v>23.994739870344301</v>
      </c>
      <c r="AL3968">
        <v>81.639829092722394</v>
      </c>
      <c r="AM3968">
        <v>91.537574823336001</v>
      </c>
      <c r="AN3968">
        <v>0.99999998734033102</v>
      </c>
    </row>
    <row r="3969" spans="1:40" x14ac:dyDescent="0.25">
      <c r="A3969" t="str">
        <f>"20190303162632150"</f>
        <v>20190303162632150</v>
      </c>
      <c r="B3969" t="str">
        <f>"1551601592137877"</f>
        <v>1551601592137877</v>
      </c>
      <c r="C3969" t="s">
        <v>40</v>
      </c>
      <c r="D3969">
        <v>5.3002289999999999</v>
      </c>
      <c r="E3969">
        <v>0.47183340000000001</v>
      </c>
      <c r="F3969" t="s">
        <v>41</v>
      </c>
      <c r="G3969">
        <v>-420.82260000000002</v>
      </c>
      <c r="H3969" s="1">
        <v>-2.6434910000000001E-6</v>
      </c>
      <c r="I3969">
        <v>95.240930000000006</v>
      </c>
      <c r="J3969">
        <v>-421.39210000000003</v>
      </c>
      <c r="K3969">
        <v>1.128703</v>
      </c>
      <c r="L3969">
        <v>119.9714</v>
      </c>
      <c r="M3969">
        <v>-6.5180970000000005E-2</v>
      </c>
      <c r="N3969">
        <v>-1.1094710000000001E-2</v>
      </c>
      <c r="O3969">
        <v>-0.99781180000000003</v>
      </c>
      <c r="P3969">
        <v>-3.4033380000000002E-2</v>
      </c>
      <c r="Q3969">
        <v>0.13640239999999901</v>
      </c>
      <c r="R3969">
        <v>-0.99006859999999997</v>
      </c>
      <c r="S3969">
        <v>6.7047120000000002E-2</v>
      </c>
      <c r="T3969">
        <v>-0.13754729999999901</v>
      </c>
      <c r="U3969">
        <v>-3.053375</v>
      </c>
      <c r="V3969">
        <v>-3.3619690000000001E-2</v>
      </c>
      <c r="W3969">
        <v>0.1467156</v>
      </c>
      <c r="X3969">
        <v>0.98860720000000002</v>
      </c>
      <c r="Y3969">
        <v>-8.7035950000000001E-2</v>
      </c>
      <c r="Z3969">
        <v>3.3673469999999997E-2</v>
      </c>
      <c r="AA3969">
        <v>0.99563590000000002</v>
      </c>
      <c r="AB3969">
        <v>35</v>
      </c>
      <c r="AC3969">
        <v>0.569500000000005</v>
      </c>
      <c r="AD3969">
        <v>-1.1287056434909899</v>
      </c>
      <c r="AE3969">
        <v>-24.73047</v>
      </c>
      <c r="AF3969">
        <v>-2.1758141006346001</v>
      </c>
      <c r="AG3969">
        <v>-1.1287056434909899</v>
      </c>
      <c r="AH3969">
        <v>24.589556559136401</v>
      </c>
      <c r="AI3969">
        <v>92.617921949199399</v>
      </c>
      <c r="AJ3969">
        <v>95.056663944486104</v>
      </c>
      <c r="AK3969">
        <v>24.711423172394198</v>
      </c>
      <c r="AL3969">
        <v>81.563361341389793</v>
      </c>
      <c r="AM3969">
        <v>91.947714213041706</v>
      </c>
      <c r="AN3969">
        <v>0.99999997336544699</v>
      </c>
    </row>
    <row r="3970" spans="1:40" x14ac:dyDescent="0.25">
      <c r="A3970" t="str">
        <f>"20190303162632171"</f>
        <v>20190303162632171</v>
      </c>
      <c r="B3970" t="str">
        <f>"1551601592157397"</f>
        <v>1551601592157397</v>
      </c>
      <c r="C3970" t="s">
        <v>40</v>
      </c>
      <c r="D3970">
        <v>5.3530150000000001</v>
      </c>
      <c r="E3970">
        <v>0.47146169999999998</v>
      </c>
      <c r="F3970" t="s">
        <v>41</v>
      </c>
      <c r="G3970">
        <v>-420.52699999999999</v>
      </c>
      <c r="H3970" s="1">
        <v>-2.7498860000000002E-6</v>
      </c>
      <c r="I3970">
        <v>95.672269999999997</v>
      </c>
      <c r="J3970">
        <v>-421.4085</v>
      </c>
      <c r="K3970">
        <v>1.127783</v>
      </c>
      <c r="L3970">
        <v>119.6474</v>
      </c>
      <c r="M3970">
        <v>-5.9467600000000002E-2</v>
      </c>
      <c r="N3970">
        <v>-1.100104E-2</v>
      </c>
      <c r="O3970">
        <v>-0.9981698</v>
      </c>
      <c r="P3970">
        <v>-2.2675299999999999E-2</v>
      </c>
      <c r="Q3970">
        <v>0.13491339999999999</v>
      </c>
      <c r="R3970">
        <v>-0.99059830000000004</v>
      </c>
      <c r="S3970">
        <v>0.1087036</v>
      </c>
      <c r="T3970">
        <v>-0.1418307</v>
      </c>
      <c r="U3970">
        <v>-3.053375</v>
      </c>
      <c r="V3970">
        <v>-3.8958230000000003E-2</v>
      </c>
      <c r="W3970">
        <v>0.14510509999999999</v>
      </c>
      <c r="X3970">
        <v>0.988649</v>
      </c>
      <c r="Y3970">
        <v>-9.4897010000000004E-2</v>
      </c>
      <c r="Z3970">
        <v>3.5154310000000001E-2</v>
      </c>
      <c r="AA3970">
        <v>0.99486620000000003</v>
      </c>
      <c r="AB3970">
        <v>35</v>
      </c>
      <c r="AC3970">
        <v>0.88150000000001605</v>
      </c>
      <c r="AD3970">
        <v>-1.127785749886</v>
      </c>
      <c r="AE3970">
        <v>-23.97513</v>
      </c>
      <c r="AF3970">
        <v>-2.30068526892993</v>
      </c>
      <c r="AG3970">
        <v>-1.127785749886</v>
      </c>
      <c r="AH3970">
        <v>23.827617456763001</v>
      </c>
      <c r="AI3970">
        <v>92.697320424108895</v>
      </c>
      <c r="AJ3970">
        <v>95.515120577381197</v>
      </c>
      <c r="AK3970">
        <v>23.964982934902199</v>
      </c>
      <c r="AL3970">
        <v>81.656634988837297</v>
      </c>
      <c r="AM3970">
        <v>92.256602574156105</v>
      </c>
      <c r="AN3970">
        <v>1.0000000394658699</v>
      </c>
    </row>
    <row r="3971" spans="1:40" x14ac:dyDescent="0.25">
      <c r="A3971" t="str">
        <f>"20190303162632195"</f>
        <v>20190303162632195</v>
      </c>
      <c r="B3971" t="str">
        <f>"1551601592187653"</f>
        <v>1551601592187653</v>
      </c>
      <c r="C3971" t="s">
        <v>40</v>
      </c>
      <c r="D3971">
        <v>5.4029369999999997</v>
      </c>
      <c r="E3971">
        <v>0.47133419999999998</v>
      </c>
      <c r="F3971" t="s">
        <v>41</v>
      </c>
      <c r="G3971">
        <v>-420.3707</v>
      </c>
      <c r="H3971" s="1">
        <v>-3.3585250000000002E-6</v>
      </c>
      <c r="I3971">
        <v>97.187979999999996</v>
      </c>
      <c r="J3971">
        <v>-421.42619999999999</v>
      </c>
      <c r="K3971">
        <v>1.126611</v>
      </c>
      <c r="L3971">
        <v>119.2745</v>
      </c>
      <c r="M3971">
        <v>-5.4338900000000002E-2</v>
      </c>
      <c r="N3971">
        <v>-1.09032E-2</v>
      </c>
      <c r="O3971">
        <v>-0.9984632</v>
      </c>
      <c r="P3971">
        <v>-1.4162549999999999E-2</v>
      </c>
      <c r="Q3971">
        <v>0.13003509999999999</v>
      </c>
      <c r="R3971">
        <v>-0.99140819999999996</v>
      </c>
      <c r="S3971">
        <v>0.14105219999999999</v>
      </c>
      <c r="T3971">
        <v>-0.15328439999999999</v>
      </c>
      <c r="U3971">
        <v>-3.052597</v>
      </c>
      <c r="V3971">
        <v>-4.192075E-2</v>
      </c>
      <c r="W3971">
        <v>0.14019389999999901</v>
      </c>
      <c r="X3971">
        <v>0.98923620000000001</v>
      </c>
      <c r="Y3971">
        <v>-0.1003054</v>
      </c>
      <c r="Z3971">
        <v>3.8980920000000002E-2</v>
      </c>
      <c r="AA3971">
        <v>0.99419279999999999</v>
      </c>
      <c r="AB3971">
        <v>35</v>
      </c>
      <c r="AC3971">
        <v>1.0554999999999899</v>
      </c>
      <c r="AD3971">
        <v>-1.1266143585249999</v>
      </c>
      <c r="AE3971">
        <v>-22.08652</v>
      </c>
      <c r="AF3971">
        <v>-2.2483320201041899</v>
      </c>
      <c r="AG3971">
        <v>-1.1266143585249999</v>
      </c>
      <c r="AH3971">
        <v>21.939571102613101</v>
      </c>
      <c r="AI3971">
        <v>92.924313260000702</v>
      </c>
      <c r="AJ3971">
        <v>95.851153946287198</v>
      </c>
      <c r="AK3971">
        <v>22.0832297672255</v>
      </c>
      <c r="AL3971">
        <v>81.940933193585494</v>
      </c>
      <c r="AM3971">
        <v>92.426564888358797</v>
      </c>
      <c r="AN3971">
        <v>0.99999996913410505</v>
      </c>
    </row>
    <row r="3972" spans="1:40" x14ac:dyDescent="0.25">
      <c r="A3972" t="str">
        <f>"20190303162632215"</f>
        <v>20190303162632215</v>
      </c>
      <c r="B3972" t="str">
        <f>"1551601592208150"</f>
        <v>1551601592208150</v>
      </c>
      <c r="C3972" t="s">
        <v>40</v>
      </c>
      <c r="D3972">
        <v>5.3312189999999999</v>
      </c>
      <c r="E3972">
        <v>0.47373799999999999</v>
      </c>
      <c r="F3972" t="s">
        <v>41</v>
      </c>
      <c r="G3972">
        <v>-420.33479999999997</v>
      </c>
      <c r="H3972" s="1">
        <v>-4.2979489999999998E-6</v>
      </c>
      <c r="I3972">
        <v>99.441990000000004</v>
      </c>
      <c r="J3972">
        <v>-421.44099999999997</v>
      </c>
      <c r="K3972">
        <v>1.125578</v>
      </c>
      <c r="L3972">
        <v>118.9525</v>
      </c>
      <c r="M3972">
        <v>-5.110903E-2</v>
      </c>
      <c r="N3972">
        <v>-1.08337E-2</v>
      </c>
      <c r="O3972">
        <v>-0.99863429999999997</v>
      </c>
      <c r="P3972">
        <v>-8.4122810000000006E-3</v>
      </c>
      <c r="Q3972">
        <v>0.1247206</v>
      </c>
      <c r="R3972">
        <v>-0.99215629999999999</v>
      </c>
      <c r="S3972">
        <v>0.16790769999999999</v>
      </c>
      <c r="T3972">
        <v>-0.173324799999999</v>
      </c>
      <c r="U3972">
        <v>-3.0511469999999998</v>
      </c>
      <c r="V3972">
        <v>-4.4075629999999998E-2</v>
      </c>
      <c r="W3972">
        <v>0.13488849999999999</v>
      </c>
      <c r="X3972">
        <v>0.98987999999999998</v>
      </c>
      <c r="Y3972">
        <v>-0.1058148</v>
      </c>
      <c r="Z3972">
        <v>4.556723E-2</v>
      </c>
      <c r="AA3972">
        <v>0.99334129999999998</v>
      </c>
      <c r="AB3972">
        <v>35</v>
      </c>
      <c r="AC3972">
        <v>1.1062000000000001</v>
      </c>
      <c r="AD3972">
        <v>-1.125582297949</v>
      </c>
      <c r="AE3972">
        <v>-19.51051</v>
      </c>
      <c r="AF3972">
        <v>-2.0950254485428599</v>
      </c>
      <c r="AG3972">
        <v>-1.125582297949</v>
      </c>
      <c r="AH3972">
        <v>19.3642255265149</v>
      </c>
      <c r="AI3972">
        <v>93.307424975723706</v>
      </c>
      <c r="AJ3972">
        <v>96.174841830923299</v>
      </c>
      <c r="AK3972">
        <v>19.5097231497843</v>
      </c>
      <c r="AL3972">
        <v>82.247827498114006</v>
      </c>
      <c r="AM3972">
        <v>92.549481406703194</v>
      </c>
      <c r="AN3972">
        <v>0.99999999149607299</v>
      </c>
    </row>
    <row r="3973" spans="1:40" x14ac:dyDescent="0.25">
      <c r="A3973" t="str">
        <f>"20190303162632237"</f>
        <v>20190303162632237</v>
      </c>
      <c r="B3973" t="str">
        <f>"1551601592227670"</f>
        <v>1551601592227670</v>
      </c>
      <c r="C3973" t="s">
        <v>40</v>
      </c>
      <c r="D3973">
        <v>5.3993379999999904</v>
      </c>
      <c r="E3973">
        <v>0.47483359999999902</v>
      </c>
      <c r="F3973" t="s">
        <v>41</v>
      </c>
      <c r="G3973">
        <v>-420.63409999999999</v>
      </c>
      <c r="H3973" s="1">
        <v>-2.254676E-6</v>
      </c>
      <c r="I3973">
        <v>104.0044</v>
      </c>
      <c r="J3973">
        <v>-421.45589999999999</v>
      </c>
      <c r="K3973">
        <v>1.124619</v>
      </c>
      <c r="L3973">
        <v>118.6202</v>
      </c>
      <c r="M3973">
        <v>-4.8759049999999998E-2</v>
      </c>
      <c r="N3973">
        <v>-1.077293E-2</v>
      </c>
      <c r="O3973">
        <v>-0.99875250000000004</v>
      </c>
      <c r="P3973">
        <v>-4.7524510000000004E-3</v>
      </c>
      <c r="Q3973">
        <v>0.123609</v>
      </c>
      <c r="R3973">
        <v>-0.99231959999999997</v>
      </c>
      <c r="S3973">
        <v>0.164856</v>
      </c>
      <c r="T3973">
        <v>-0.22996469999999999</v>
      </c>
      <c r="U3973">
        <v>-3.0540159999999998</v>
      </c>
      <c r="V3973">
        <v>-4.506781E-2</v>
      </c>
      <c r="W3973">
        <v>0.13380980000000001</v>
      </c>
      <c r="X3973">
        <v>0.98998169999999996</v>
      </c>
      <c r="Y3973">
        <v>-0.1023703</v>
      </c>
      <c r="Z3973">
        <v>6.3940220000000006E-2</v>
      </c>
      <c r="AA3973">
        <v>0.9926893</v>
      </c>
      <c r="AB3973">
        <v>35</v>
      </c>
      <c r="AC3973">
        <v>0.82179999999999598</v>
      </c>
      <c r="AD3973">
        <v>-1.1246212546759999</v>
      </c>
      <c r="AE3973">
        <v>-14.615799999999901</v>
      </c>
      <c r="AF3973">
        <v>-1.5245186191153299</v>
      </c>
      <c r="AG3973">
        <v>-1.1246212546759999</v>
      </c>
      <c r="AH3973">
        <v>14.472922335422499</v>
      </c>
      <c r="AI3973">
        <v>94.418901111836405</v>
      </c>
      <c r="AJ3973">
        <v>96.013129317319596</v>
      </c>
      <c r="AK3973">
        <v>14.5963834874831</v>
      </c>
      <c r="AL3973">
        <v>82.310197725582199</v>
      </c>
      <c r="AM3973">
        <v>92.606526684959803</v>
      </c>
      <c r="AN3973">
        <v>0.99999996820456205</v>
      </c>
    </row>
    <row r="3974" spans="1:40" x14ac:dyDescent="0.25">
      <c r="A3974" t="str">
        <f>"20190303162632259"</f>
        <v>20190303162632259</v>
      </c>
      <c r="B3974" t="str">
        <f>"1551601592247189"</f>
        <v>1551601592247189</v>
      </c>
      <c r="C3974" t="s">
        <v>40</v>
      </c>
      <c r="D3974">
        <v>5.3445049999999998</v>
      </c>
      <c r="E3974">
        <v>0.478491</v>
      </c>
      <c r="F3974" t="s">
        <v>41</v>
      </c>
      <c r="G3974">
        <v>-420.6431</v>
      </c>
      <c r="H3974" s="1">
        <v>-2.0928320000000001E-6</v>
      </c>
      <c r="I3974">
        <v>103.65689999999999</v>
      </c>
      <c r="J3974">
        <v>-421.47129999999999</v>
      </c>
      <c r="K3974">
        <v>1.123796</v>
      </c>
      <c r="L3974">
        <v>118.2752</v>
      </c>
      <c r="M3974">
        <v>-4.7243830000000001E-2</v>
      </c>
      <c r="N3974">
        <v>-1.071368E-2</v>
      </c>
      <c r="O3974">
        <v>-0.99882629999999994</v>
      </c>
      <c r="P3974">
        <v>-5.169969E-3</v>
      </c>
      <c r="Q3974">
        <v>0.12692049999999999</v>
      </c>
      <c r="R3974">
        <v>-0.9918998</v>
      </c>
      <c r="S3974">
        <v>0.165802</v>
      </c>
      <c r="T3974">
        <v>-0.22942940000000001</v>
      </c>
      <c r="U3974">
        <v>-3.052597</v>
      </c>
      <c r="V3974">
        <v>-4.2865479999999997E-2</v>
      </c>
      <c r="W3974">
        <v>0.1371716</v>
      </c>
      <c r="X3974">
        <v>0.98961940000000004</v>
      </c>
      <c r="Y3974">
        <v>-0.1011939</v>
      </c>
      <c r="Z3974">
        <v>6.3873219999999994E-2</v>
      </c>
      <c r="AA3974">
        <v>0.99281419999999998</v>
      </c>
      <c r="AB3974">
        <v>35</v>
      </c>
      <c r="AC3974">
        <v>0.82819999999998095</v>
      </c>
      <c r="AD3974">
        <v>-1.1237980928319999</v>
      </c>
      <c r="AE3974">
        <v>-14.6183</v>
      </c>
      <c r="AF3974">
        <v>-1.5090491288343499</v>
      </c>
      <c r="AG3974">
        <v>-1.1237980928319999</v>
      </c>
      <c r="AH3974">
        <v>14.477557882661101</v>
      </c>
      <c r="AI3974">
        <v>94.414773589952802</v>
      </c>
      <c r="AJ3974">
        <v>95.950661367812103</v>
      </c>
      <c r="AK3974">
        <v>14.5993093560103</v>
      </c>
      <c r="AL3974">
        <v>82.115788410172996</v>
      </c>
      <c r="AM3974">
        <v>92.480223031981097</v>
      </c>
      <c r="AN3974">
        <v>1.0000000270392699</v>
      </c>
    </row>
    <row r="3975" spans="1:40" x14ac:dyDescent="0.25">
      <c r="A3975" t="str">
        <f>"20190303162632284"</f>
        <v>20190303162632284</v>
      </c>
      <c r="B3975" t="str">
        <f>"1551601592277445"</f>
        <v>1551601592277445</v>
      </c>
      <c r="C3975" t="s">
        <v>40</v>
      </c>
      <c r="D3975">
        <v>5.405354</v>
      </c>
      <c r="E3975">
        <v>0.47839540000000003</v>
      </c>
      <c r="F3975" t="s">
        <v>41</v>
      </c>
      <c r="G3975">
        <v>-420.6696</v>
      </c>
      <c r="H3975" s="1">
        <v>-6.1465039999999998E-7</v>
      </c>
      <c r="I3975">
        <v>100.515</v>
      </c>
      <c r="J3975">
        <v>-421.48750000000001</v>
      </c>
      <c r="K3975">
        <v>1.123103</v>
      </c>
      <c r="L3975">
        <v>117.9092</v>
      </c>
      <c r="M3975">
        <v>-4.6408240000000003E-2</v>
      </c>
      <c r="N3975">
        <v>-1.065145E-2</v>
      </c>
      <c r="O3975">
        <v>-0.99886589999999997</v>
      </c>
      <c r="P3975">
        <v>-9.4740829999999995E-3</v>
      </c>
      <c r="Q3975">
        <v>0.13105219999999901</v>
      </c>
      <c r="R3975">
        <v>-0.9913305</v>
      </c>
      <c r="S3975">
        <v>0.1376648</v>
      </c>
      <c r="T3975">
        <v>-0.19298650000000001</v>
      </c>
      <c r="U3975">
        <v>-3.0499109999999998</v>
      </c>
      <c r="V3975">
        <v>-3.7486230000000002E-2</v>
      </c>
      <c r="W3975">
        <v>0.14135049999999999</v>
      </c>
      <c r="X3975">
        <v>0.98924959999999995</v>
      </c>
      <c r="Y3975">
        <v>-9.1308749999999994E-2</v>
      </c>
      <c r="Z3975">
        <v>5.2239029999999999E-2</v>
      </c>
      <c r="AA3975">
        <v>0.99445150000000004</v>
      </c>
      <c r="AB3975">
        <v>35</v>
      </c>
      <c r="AC3975">
        <v>0.81790000000000795</v>
      </c>
      <c r="AD3975">
        <v>-1.1231036146504001</v>
      </c>
      <c r="AE3975">
        <v>-17.394199999999898</v>
      </c>
      <c r="AF3975">
        <v>-1.6175698037731301</v>
      </c>
      <c r="AG3975">
        <v>-1.1231036146504001</v>
      </c>
      <c r="AH3975">
        <v>17.265675563751</v>
      </c>
      <c r="AI3975">
        <v>93.705570913813503</v>
      </c>
      <c r="AJ3975">
        <v>95.352248340806995</v>
      </c>
      <c r="AK3975">
        <v>17.377613371001999</v>
      </c>
      <c r="AL3975">
        <v>81.873998410412696</v>
      </c>
      <c r="AM3975">
        <v>92.170105123860594</v>
      </c>
      <c r="AN3975">
        <v>0.99999997619501102</v>
      </c>
    </row>
    <row r="3976" spans="1:40" x14ac:dyDescent="0.25">
      <c r="A3976" t="str">
        <f>"20190303162632305"</f>
        <v>20190303162632305</v>
      </c>
      <c r="B3976" t="str">
        <f>"1551601592297943"</f>
        <v>1551601592297943</v>
      </c>
      <c r="C3976" t="s">
        <v>40</v>
      </c>
      <c r="D3976">
        <v>5.462771</v>
      </c>
      <c r="E3976">
        <v>0.47850939999999997</v>
      </c>
      <c r="F3976" t="s">
        <v>41</v>
      </c>
      <c r="G3976">
        <v>-420.68029999999999</v>
      </c>
      <c r="H3976" s="1">
        <v>-4.1125570000000001E-6</v>
      </c>
      <c r="I3976">
        <v>98.753640000000004</v>
      </c>
      <c r="J3976">
        <v>-421.50310000000002</v>
      </c>
      <c r="K3976">
        <v>1.1225700000000001</v>
      </c>
      <c r="L3976">
        <v>117.55710000000001</v>
      </c>
      <c r="M3976">
        <v>-4.6065849999999998E-2</v>
      </c>
      <c r="N3976">
        <v>-1.0592259999999999E-2</v>
      </c>
      <c r="O3976">
        <v>-0.99888239999999995</v>
      </c>
      <c r="P3976">
        <v>-1.468276E-2</v>
      </c>
      <c r="Q3976">
        <v>0.1355037</v>
      </c>
      <c r="R3976">
        <v>-0.99066860000000001</v>
      </c>
      <c r="S3976">
        <v>0.12857060000000001</v>
      </c>
      <c r="T3976">
        <v>-0.1788902</v>
      </c>
      <c r="U3976">
        <v>-3.051132</v>
      </c>
      <c r="V3976">
        <v>-3.174014E-2</v>
      </c>
      <c r="W3976">
        <v>0.145820799999999</v>
      </c>
      <c r="X3976">
        <v>0.98880170000000001</v>
      </c>
      <c r="Y3976">
        <v>-8.800376E-2</v>
      </c>
      <c r="Z3976">
        <v>4.7710059999999999E-2</v>
      </c>
      <c r="AA3976">
        <v>0.99497690000000005</v>
      </c>
      <c r="AB3976">
        <v>35</v>
      </c>
      <c r="AC3976">
        <v>0.82280000000002895</v>
      </c>
      <c r="AD3976">
        <v>-1.1225741125569999</v>
      </c>
      <c r="AE3976">
        <v>-18.803460000000001</v>
      </c>
      <c r="AF3976">
        <v>-1.68218816009137</v>
      </c>
      <c r="AG3976">
        <v>-1.1225741125569999</v>
      </c>
      <c r="AH3976">
        <v>18.6791431966417</v>
      </c>
      <c r="AI3976">
        <v>93.425380663597906</v>
      </c>
      <c r="AJ3976">
        <v>95.146005867570295</v>
      </c>
      <c r="AK3976">
        <v>18.788302749444401</v>
      </c>
      <c r="AL3976">
        <v>81.615186983518498</v>
      </c>
      <c r="AM3976">
        <v>91.838540364800096</v>
      </c>
      <c r="AN3976">
        <v>0.99999997206137403</v>
      </c>
    </row>
    <row r="3977" spans="1:40" x14ac:dyDescent="0.25">
      <c r="A3977" t="str">
        <f>"20190303162632328"</f>
        <v>20190303162632328</v>
      </c>
      <c r="B3977" t="str">
        <f>"1551601592317461"</f>
        <v>1551601592317461</v>
      </c>
      <c r="C3977" t="s">
        <v>40</v>
      </c>
      <c r="D3977">
        <v>5.4635470000000002</v>
      </c>
      <c r="E3977">
        <v>0.47908139999999999</v>
      </c>
      <c r="F3977" t="s">
        <v>41</v>
      </c>
      <c r="G3977">
        <v>-419.92090000000002</v>
      </c>
      <c r="H3977" s="1">
        <v>-2.9623669999999999E-6</v>
      </c>
      <c r="I3977">
        <v>76.505420000000001</v>
      </c>
      <c r="J3977">
        <v>-421.51870000000002</v>
      </c>
      <c r="K3977">
        <v>1.1221479999999999</v>
      </c>
      <c r="L3977">
        <v>117.2067</v>
      </c>
      <c r="M3977">
        <v>-4.5984589999999999E-2</v>
      </c>
      <c r="N3977">
        <v>-1.0537120000000001E-2</v>
      </c>
      <c r="O3977">
        <v>-0.99888670000000002</v>
      </c>
      <c r="P3977">
        <v>-1.756446E-2</v>
      </c>
      <c r="Q3977">
        <v>0.13914939999999901</v>
      </c>
      <c r="R3977">
        <v>-0.99011559999999998</v>
      </c>
      <c r="S3977">
        <v>0.117218</v>
      </c>
      <c r="T3977">
        <v>-8.3167309999999994E-2</v>
      </c>
      <c r="U3977">
        <v>-3.0413670000000002</v>
      </c>
      <c r="V3977">
        <v>-2.861147E-2</v>
      </c>
      <c r="W3977">
        <v>0.14945410000000001</v>
      </c>
      <c r="X3977">
        <v>0.98835459999999997</v>
      </c>
      <c r="Y3977">
        <v>-8.4402679999999994E-2</v>
      </c>
      <c r="Z3977">
        <v>1.668886E-2</v>
      </c>
      <c r="AA3977">
        <v>0.99629190000000001</v>
      </c>
      <c r="AB3977">
        <v>35</v>
      </c>
      <c r="AC3977">
        <v>1.5978000000000001</v>
      </c>
      <c r="AD3977">
        <v>-1.1221509623669901</v>
      </c>
      <c r="AE3977">
        <v>-40.701279999999997</v>
      </c>
      <c r="AF3977">
        <v>-3.4652149762426201</v>
      </c>
      <c r="AG3977">
        <v>-1.1221509623669901</v>
      </c>
      <c r="AH3977">
        <v>40.5539623498697</v>
      </c>
      <c r="AI3977">
        <v>91.579250234478394</v>
      </c>
      <c r="AJ3977">
        <v>94.883890236873796</v>
      </c>
      <c r="AK3977">
        <v>40.717205207240902</v>
      </c>
      <c r="AL3977">
        <v>81.404707635249295</v>
      </c>
      <c r="AM3977">
        <v>91.658168818872895</v>
      </c>
      <c r="AN3977">
        <v>0.99999997978176502</v>
      </c>
    </row>
    <row r="3978" spans="1:40" x14ac:dyDescent="0.25">
      <c r="A3978" t="str">
        <f>"20190303162632348"</f>
        <v>20190303162632348</v>
      </c>
      <c r="B3978" t="str">
        <f>"1551601592337957"</f>
        <v>1551601592337957</v>
      </c>
      <c r="C3978" t="s">
        <v>40</v>
      </c>
      <c r="D3978">
        <v>5.4593069999999999</v>
      </c>
      <c r="E3978">
        <v>0.4793055</v>
      </c>
      <c r="F3978" t="s">
        <v>41</v>
      </c>
      <c r="G3978">
        <v>-419.32380000000001</v>
      </c>
      <c r="H3978" s="1">
        <v>-2.1451940000000001E-6</v>
      </c>
      <c r="I3978">
        <v>54.353670000000001</v>
      </c>
      <c r="J3978">
        <v>-421.53289999999998</v>
      </c>
      <c r="K3978">
        <v>1.1218300000000001</v>
      </c>
      <c r="L3978">
        <v>116.8849</v>
      </c>
      <c r="M3978">
        <v>-4.6012949999999997E-2</v>
      </c>
      <c r="N3978">
        <v>-1.0491489999999999E-2</v>
      </c>
      <c r="O3978">
        <v>-0.99888600000000005</v>
      </c>
      <c r="P3978">
        <v>-1.9484950000000001E-2</v>
      </c>
      <c r="Q3978">
        <v>0.1409289</v>
      </c>
      <c r="R3978">
        <v>-0.98982859999999995</v>
      </c>
      <c r="S3978">
        <v>0.1061401</v>
      </c>
      <c r="T3978">
        <v>-5.4265140000000003E-2</v>
      </c>
      <c r="U3978">
        <v>-3.0394589999999999</v>
      </c>
      <c r="V3978">
        <v>-2.6591819999999999E-2</v>
      </c>
      <c r="W3978">
        <v>0.15121579999999901</v>
      </c>
      <c r="X3978">
        <v>0.98814299999999999</v>
      </c>
      <c r="Y3978">
        <v>-8.0836989999999997E-2</v>
      </c>
      <c r="Z3978">
        <v>7.2884839999999996E-3</v>
      </c>
      <c r="AA3978">
        <v>0.99670069999999999</v>
      </c>
      <c r="AB3978">
        <v>35</v>
      </c>
      <c r="AC3978">
        <v>2.2090999999999701</v>
      </c>
      <c r="AD3978">
        <v>-1.1218321451940001</v>
      </c>
      <c r="AE3978">
        <v>-62.531230000000001</v>
      </c>
      <c r="AF3978">
        <v>-5.0825301545472099</v>
      </c>
      <c r="AG3978">
        <v>-1.1218321451940001</v>
      </c>
      <c r="AH3978">
        <v>62.343299028583303</v>
      </c>
      <c r="AI3978">
        <v>91.027485546522499</v>
      </c>
      <c r="AJ3978">
        <v>94.660724419593095</v>
      </c>
      <c r="AK3978">
        <v>62.560191447127302</v>
      </c>
      <c r="AL3978">
        <v>81.302609186061403</v>
      </c>
      <c r="AM3978">
        <v>91.541509093499599</v>
      </c>
      <c r="AN3978">
        <v>0.99999996575477501</v>
      </c>
    </row>
    <row r="3979" spans="1:40" x14ac:dyDescent="0.25">
      <c r="A3979" t="str">
        <f>"20190303162632373"</f>
        <v>20190303162632373</v>
      </c>
      <c r="B3979" t="str">
        <f>"1551601592357478"</f>
        <v>1551601592357478</v>
      </c>
      <c r="C3979" t="s">
        <v>40</v>
      </c>
      <c r="D3979">
        <v>5.4553690000000001</v>
      </c>
      <c r="E3979">
        <v>0.47996109999999997</v>
      </c>
      <c r="F3979" t="s">
        <v>41</v>
      </c>
      <c r="G3979">
        <v>-419.12329999999997</v>
      </c>
      <c r="H3979" s="1">
        <v>-1.6867319999999999E-6</v>
      </c>
      <c r="I3979">
        <v>43.202080000000002</v>
      </c>
      <c r="J3979">
        <v>-421.54939999999999</v>
      </c>
      <c r="K3979">
        <v>1.1215109999999999</v>
      </c>
      <c r="L3979">
        <v>116.5136</v>
      </c>
      <c r="M3979">
        <v>-4.6070979999999997E-2</v>
      </c>
      <c r="N3979">
        <v>-1.044525E-2</v>
      </c>
      <c r="O3979">
        <v>-0.99888379999999999</v>
      </c>
      <c r="P3979">
        <v>-2.1244989999999998E-2</v>
      </c>
      <c r="Q3979">
        <v>0.1391792</v>
      </c>
      <c r="R3979">
        <v>-0.99003980000000003</v>
      </c>
      <c r="S3979">
        <v>9.9395750000000005E-2</v>
      </c>
      <c r="T3979">
        <v>-4.6274780000000001E-2</v>
      </c>
      <c r="U3979">
        <v>-3.0393680000000001</v>
      </c>
      <c r="V3979">
        <v>-2.477739E-2</v>
      </c>
      <c r="W3979">
        <v>0.14944849999999901</v>
      </c>
      <c r="X3979">
        <v>0.98845910000000003</v>
      </c>
      <c r="Y3979">
        <v>-7.8688530000000007E-2</v>
      </c>
      <c r="Z3979">
        <v>4.7187230000000002E-3</v>
      </c>
      <c r="AA3979">
        <v>0.99688810000000005</v>
      </c>
      <c r="AB3979">
        <v>35</v>
      </c>
      <c r="AC3979">
        <v>2.4261000000000101</v>
      </c>
      <c r="AD3979">
        <v>-1.121512686732</v>
      </c>
      <c r="AE3979">
        <v>-73.311520000000002</v>
      </c>
      <c r="AF3979">
        <v>-5.7998847911684299</v>
      </c>
      <c r="AG3979">
        <v>-1.121512686732</v>
      </c>
      <c r="AH3979">
        <v>73.104798493275993</v>
      </c>
      <c r="AI3979">
        <v>90.876162335727003</v>
      </c>
      <c r="AJ3979">
        <v>94.536149907480294</v>
      </c>
      <c r="AK3979">
        <v>73.343084316381393</v>
      </c>
      <c r="AL3979">
        <v>81.405033028116307</v>
      </c>
      <c r="AM3979">
        <v>91.435914392657594</v>
      </c>
      <c r="AN3979">
        <v>1.0000000827901301</v>
      </c>
    </row>
    <row r="3980" spans="1:40" x14ac:dyDescent="0.25">
      <c r="A3980" t="str">
        <f>"20190303162632396"</f>
        <v>20190303162632396</v>
      </c>
      <c r="B3980" t="str">
        <f>"1551601592387733"</f>
        <v>1551601592387733</v>
      </c>
      <c r="C3980" t="s">
        <v>40</v>
      </c>
      <c r="D3980">
        <v>5.5047610000000002</v>
      </c>
      <c r="E3980">
        <v>0.48055160000000002</v>
      </c>
      <c r="F3980" t="s">
        <v>41</v>
      </c>
      <c r="G3980">
        <v>-419.58120000000002</v>
      </c>
      <c r="H3980" s="1">
        <v>-4.0598160000000001E-6</v>
      </c>
      <c r="I3980">
        <v>48.92313</v>
      </c>
      <c r="J3980">
        <v>-421.56630000000001</v>
      </c>
      <c r="K3980">
        <v>1.1212329999999999</v>
      </c>
      <c r="L3980">
        <v>116.1387</v>
      </c>
      <c r="M3980">
        <v>-4.610392E-2</v>
      </c>
      <c r="N3980">
        <v>-1.040515E-2</v>
      </c>
      <c r="O3980">
        <v>-0.99888259999999995</v>
      </c>
      <c r="P3980">
        <v>-2.2938360000000001E-2</v>
      </c>
      <c r="Q3980">
        <v>0.1371782</v>
      </c>
      <c r="R3980">
        <v>-0.99028090000000002</v>
      </c>
      <c r="S3980">
        <v>8.8500980000000007E-2</v>
      </c>
      <c r="T3980">
        <v>-5.0428269999999997E-2</v>
      </c>
      <c r="U3980">
        <v>-3.0391689999999998</v>
      </c>
      <c r="V3980">
        <v>-2.3026319999999999E-2</v>
      </c>
      <c r="W3980">
        <v>0.14743110000000001</v>
      </c>
      <c r="X3980">
        <v>0.98880429999999997</v>
      </c>
      <c r="Y3980">
        <v>-7.5152609999999995E-2</v>
      </c>
      <c r="Z3980">
        <v>6.1254650000000001E-3</v>
      </c>
      <c r="AA3980">
        <v>0.99715319999999996</v>
      </c>
      <c r="AB3980">
        <v>35</v>
      </c>
      <c r="AC3980">
        <v>1.9850999999999801</v>
      </c>
      <c r="AD3980">
        <v>-1.121237059816</v>
      </c>
      <c r="AE3980">
        <v>-67.21557</v>
      </c>
      <c r="AF3980">
        <v>-5.0806449765735797</v>
      </c>
      <c r="AG3980">
        <v>-1.121237059816</v>
      </c>
      <c r="AH3980">
        <v>67.033925904262404</v>
      </c>
      <c r="AI3980">
        <v>90.955523415448098</v>
      </c>
      <c r="AJ3980">
        <v>94.3342832999775</v>
      </c>
      <c r="AK3980">
        <v>67.235536348425399</v>
      </c>
      <c r="AL3980">
        <v>81.521916097756502</v>
      </c>
      <c r="AM3980">
        <v>91.334007700010503</v>
      </c>
      <c r="AN3980">
        <v>1.0000000421792199</v>
      </c>
    </row>
    <row r="3981" spans="1:40" x14ac:dyDescent="0.25">
      <c r="A3981" t="str">
        <f>"20190303162632417"</f>
        <v>20190303162632417</v>
      </c>
      <c r="B3981" t="str">
        <f>"1551601592407254"</f>
        <v>1551601592407254</v>
      </c>
      <c r="C3981" t="s">
        <v>40</v>
      </c>
      <c r="D3981">
        <v>5.505878</v>
      </c>
      <c r="E3981">
        <v>0.48088429999999999</v>
      </c>
      <c r="F3981" t="s">
        <v>41</v>
      </c>
      <c r="G3981">
        <v>-420.1266</v>
      </c>
      <c r="H3981" s="1">
        <v>-3.6574100000000002E-7</v>
      </c>
      <c r="I3981">
        <v>60.363120000000002</v>
      </c>
      <c r="J3981">
        <v>-421.58089999999999</v>
      </c>
      <c r="K3981">
        <v>1.1210519999999999</v>
      </c>
      <c r="L3981">
        <v>115.8139</v>
      </c>
      <c r="M3981">
        <v>-4.6120759999999997E-2</v>
      </c>
      <c r="N3981">
        <v>-1.037562E-2</v>
      </c>
      <c r="O3981">
        <v>-0.99888209999999999</v>
      </c>
      <c r="P3981">
        <v>-2.2696129999999998E-2</v>
      </c>
      <c r="Q3981">
        <v>0.13791639999999999</v>
      </c>
      <c r="R3981">
        <v>-0.99018390000000001</v>
      </c>
      <c r="S3981">
        <v>7.846069E-2</v>
      </c>
      <c r="T3981">
        <v>-6.1106439999999998E-2</v>
      </c>
      <c r="U3981">
        <v>-3.0397340000000002</v>
      </c>
      <c r="V3981">
        <v>-2.320958E-2</v>
      </c>
      <c r="W3981">
        <v>0.1481499</v>
      </c>
      <c r="X3981">
        <v>0.98869249999999997</v>
      </c>
      <c r="Y3981">
        <v>-7.1870939999999994E-2</v>
      </c>
      <c r="Z3981">
        <v>9.6563059999999999E-3</v>
      </c>
      <c r="AA3981">
        <v>0.99736720000000001</v>
      </c>
      <c r="AB3981">
        <v>35</v>
      </c>
      <c r="AC3981">
        <v>1.4542999999999799</v>
      </c>
      <c r="AD3981">
        <v>-1.1210523657410001</v>
      </c>
      <c r="AE3981">
        <v>-55.450780000000002</v>
      </c>
      <c r="AF3981">
        <v>-4.0086844228063701</v>
      </c>
      <c r="AG3981">
        <v>-1.1210523657410001</v>
      </c>
      <c r="AH3981">
        <v>55.302101791977599</v>
      </c>
      <c r="AI3981">
        <v>91.158269827812205</v>
      </c>
      <c r="AJ3981">
        <v>94.145948874692806</v>
      </c>
      <c r="AK3981">
        <v>55.458532002016</v>
      </c>
      <c r="AL3981">
        <v>81.480273981923304</v>
      </c>
      <c r="AM3981">
        <v>91.344772801493207</v>
      </c>
      <c r="AN3981">
        <v>0.99999996851501705</v>
      </c>
    </row>
    <row r="3982" spans="1:40" x14ac:dyDescent="0.25">
      <c r="A3982" t="str">
        <f>"20190303162632438"</f>
        <v>20190303162632438</v>
      </c>
      <c r="B3982" t="str">
        <f>"1551601592427749"</f>
        <v>1551601592427749</v>
      </c>
      <c r="C3982" t="s">
        <v>40</v>
      </c>
      <c r="D3982">
        <v>5.4421589999999904</v>
      </c>
      <c r="E3982">
        <v>0.4811956</v>
      </c>
      <c r="F3982" t="s">
        <v>41</v>
      </c>
      <c r="G3982">
        <v>-420.16419999999999</v>
      </c>
      <c r="H3982" s="1">
        <v>-1.305441E-7</v>
      </c>
      <c r="I3982">
        <v>59.791530000000002</v>
      </c>
      <c r="J3982">
        <v>-421.59609999999998</v>
      </c>
      <c r="K3982">
        <v>1.1208720000000001</v>
      </c>
      <c r="L3982">
        <v>115.4798</v>
      </c>
      <c r="M3982">
        <v>-4.6191139999999999E-2</v>
      </c>
      <c r="N3982">
        <v>-1.0349550000000001E-2</v>
      </c>
      <c r="O3982">
        <v>-0.99887910000000002</v>
      </c>
      <c r="P3982">
        <v>-2.1899979999999999E-2</v>
      </c>
      <c r="Q3982">
        <v>0.140754399999999</v>
      </c>
      <c r="R3982">
        <v>-0.98980250000000003</v>
      </c>
      <c r="S3982">
        <v>7.6873780000000003E-2</v>
      </c>
      <c r="T3982">
        <v>-6.0832020000000001E-2</v>
      </c>
      <c r="U3982">
        <v>-3.0399630000000002</v>
      </c>
      <c r="V3982">
        <v>-2.3988889999999999E-2</v>
      </c>
      <c r="W3982">
        <v>0.15096789999999999</v>
      </c>
      <c r="X3982">
        <v>0.9882476</v>
      </c>
      <c r="Y3982">
        <v>-7.1419129999999997E-2</v>
      </c>
      <c r="Z3982">
        <v>9.5914139999999995E-3</v>
      </c>
      <c r="AA3982">
        <v>0.99740030000000002</v>
      </c>
      <c r="AB3982">
        <v>35</v>
      </c>
      <c r="AC3982">
        <v>1.43189999999998</v>
      </c>
      <c r="AD3982">
        <v>-1.1208721305440901</v>
      </c>
      <c r="AE3982">
        <v>-55.688270000000003</v>
      </c>
      <c r="AF3982">
        <v>-4.00119376331737</v>
      </c>
      <c r="AG3982">
        <v>-1.1208721305440901</v>
      </c>
      <c r="AH3982">
        <v>55.540192816548902</v>
      </c>
      <c r="AI3982">
        <v>91.153157432380695</v>
      </c>
      <c r="AJ3982">
        <v>94.1205500391155</v>
      </c>
      <c r="AK3982">
        <v>55.695412054890703</v>
      </c>
      <c r="AL3982">
        <v>81.316978470229799</v>
      </c>
      <c r="AM3982">
        <v>91.390534403582805</v>
      </c>
      <c r="AN3982">
        <v>1.0000000462898</v>
      </c>
    </row>
    <row r="3983" spans="1:40" x14ac:dyDescent="0.25">
      <c r="A3983" t="str">
        <f>"20190303162632460"</f>
        <v>20190303162632460</v>
      </c>
      <c r="B3983" t="str">
        <f>"1551601592447270"</f>
        <v>1551601592447270</v>
      </c>
      <c r="C3983" t="s">
        <v>40</v>
      </c>
      <c r="D3983">
        <v>5.4489489999999998</v>
      </c>
      <c r="E3983">
        <v>0.4814367</v>
      </c>
      <c r="F3983" t="s">
        <v>41</v>
      </c>
      <c r="G3983">
        <v>-420.04759999999999</v>
      </c>
      <c r="H3983" s="1">
        <v>-1.583654E-6</v>
      </c>
      <c r="I3983">
        <v>53.251100000000001</v>
      </c>
      <c r="J3983">
        <v>-421.61270000000002</v>
      </c>
      <c r="K3983">
        <v>1.1206750000000001</v>
      </c>
      <c r="L3983">
        <v>115.11920000000001</v>
      </c>
      <c r="M3983">
        <v>-4.6412189999999999E-2</v>
      </c>
      <c r="N3983">
        <v>-1.0326510000000001E-2</v>
      </c>
      <c r="O3983">
        <v>-0.99886929999999996</v>
      </c>
      <c r="P3983">
        <v>-1.9758169999999999E-2</v>
      </c>
      <c r="Q3983">
        <v>0.1439811</v>
      </c>
      <c r="R3983">
        <v>-0.98938349999999997</v>
      </c>
      <c r="S3983">
        <v>7.5653079999999998E-2</v>
      </c>
      <c r="T3983">
        <v>-5.4763199999999998E-2</v>
      </c>
      <c r="U3983">
        <v>-3.0403440000000002</v>
      </c>
      <c r="V3983">
        <v>-2.624889E-2</v>
      </c>
      <c r="W3983">
        <v>0.1541776</v>
      </c>
      <c r="X3983">
        <v>0.98769439999999997</v>
      </c>
      <c r="Y3983">
        <v>-7.1237679999999998E-2</v>
      </c>
      <c r="Z3983">
        <v>7.6227179999999997E-3</v>
      </c>
      <c r="AA3983">
        <v>0.99743029999999999</v>
      </c>
      <c r="AB3983">
        <v>35</v>
      </c>
      <c r="AC3983">
        <v>1.5651000000000199</v>
      </c>
      <c r="AD3983">
        <v>-1.120676583654</v>
      </c>
      <c r="AE3983">
        <v>-61.868099999999998</v>
      </c>
      <c r="AF3983">
        <v>-4.4335456959264903</v>
      </c>
      <c r="AG3983">
        <v>-1.120676583654</v>
      </c>
      <c r="AH3983">
        <v>61.708544068861301</v>
      </c>
      <c r="AI3983">
        <v>91.037748517080999</v>
      </c>
      <c r="AJ3983">
        <v>94.109442635426305</v>
      </c>
      <c r="AK3983">
        <v>61.877755732909499</v>
      </c>
      <c r="AL3983">
        <v>81.130896965171004</v>
      </c>
      <c r="AM3983">
        <v>91.522329876486594</v>
      </c>
      <c r="AN3983">
        <v>0.99999998217967501</v>
      </c>
    </row>
    <row r="3984" spans="1:40" x14ac:dyDescent="0.25">
      <c r="A3984" t="str">
        <f>"20190303162632484"</f>
        <v>20190303162632484</v>
      </c>
      <c r="B3984" t="str">
        <f>"1551601592477525"</f>
        <v>1551601592477525</v>
      </c>
      <c r="C3984" t="s">
        <v>40</v>
      </c>
      <c r="D3984">
        <v>5.3832589999999998</v>
      </c>
      <c r="E3984">
        <v>0.48201880000000003</v>
      </c>
      <c r="F3984" t="s">
        <v>41</v>
      </c>
      <c r="G3984">
        <v>-419.7792</v>
      </c>
      <c r="H3984" s="1">
        <v>-1.9393580000000001E-6</v>
      </c>
      <c r="I3984">
        <v>44.062179999999998</v>
      </c>
      <c r="J3984">
        <v>-421.62959999999998</v>
      </c>
      <c r="K3984">
        <v>1.1204860000000001</v>
      </c>
      <c r="L3984">
        <v>114.7594</v>
      </c>
      <c r="M3984">
        <v>-4.6779679999999997E-2</v>
      </c>
      <c r="N3984">
        <v>-1.0308039999999999E-2</v>
      </c>
      <c r="O3984">
        <v>-0.99885210000000002</v>
      </c>
      <c r="P3984">
        <v>-1.726107E-2</v>
      </c>
      <c r="Q3984">
        <v>0.14566809999999999</v>
      </c>
      <c r="R3984">
        <v>-0.98918300000000003</v>
      </c>
      <c r="S3984">
        <v>7.846069E-2</v>
      </c>
      <c r="T3984">
        <v>-4.7957300000000001E-2</v>
      </c>
      <c r="U3984">
        <v>-3.040756</v>
      </c>
      <c r="V3984">
        <v>-2.901929E-2</v>
      </c>
      <c r="W3984">
        <v>0.155857</v>
      </c>
      <c r="X3984">
        <v>0.98735329999999999</v>
      </c>
      <c r="Y3984">
        <v>-7.2522669999999997E-2</v>
      </c>
      <c r="Z3984">
        <v>5.4064419999999896E-3</v>
      </c>
      <c r="AA3984">
        <v>0.99735209999999996</v>
      </c>
      <c r="AB3984">
        <v>35</v>
      </c>
      <c r="AC3984">
        <v>1.8503999999999701</v>
      </c>
      <c r="AD3984">
        <v>-1.1204879393580001</v>
      </c>
      <c r="AE3984">
        <v>-70.697220000000002</v>
      </c>
      <c r="AF3984">
        <v>-5.15444900524228</v>
      </c>
      <c r="AG3984">
        <v>-1.1204879393580001</v>
      </c>
      <c r="AH3984">
        <v>70.515548002197804</v>
      </c>
      <c r="AI3984">
        <v>90.907928032606407</v>
      </c>
      <c r="AJ3984">
        <v>94.180693065212495</v>
      </c>
      <c r="AK3984">
        <v>70.7125614570718</v>
      </c>
      <c r="AL3984">
        <v>81.0334974689126</v>
      </c>
      <c r="AM3984">
        <v>91.683494986933894</v>
      </c>
      <c r="AN3984">
        <v>1.00000003133099</v>
      </c>
    </row>
    <row r="3985" spans="1:40" x14ac:dyDescent="0.25">
      <c r="A3985" t="str">
        <f>"20190303162632506"</f>
        <v>20190303162632506</v>
      </c>
      <c r="B3985" t="str">
        <f>"1551601592498021"</f>
        <v>1551601592498021</v>
      </c>
      <c r="C3985" t="s">
        <v>40</v>
      </c>
      <c r="D3985">
        <v>5.4399810000000004</v>
      </c>
      <c r="E3985">
        <v>0.48230089999999998</v>
      </c>
      <c r="F3985" t="s">
        <v>41</v>
      </c>
      <c r="G3985">
        <v>-419.68979999999999</v>
      </c>
      <c r="H3985" s="1">
        <v>-4.2673299999999999E-7</v>
      </c>
      <c r="I3985">
        <v>40.499220000000001</v>
      </c>
      <c r="J3985">
        <v>-421.64690000000002</v>
      </c>
      <c r="K3985">
        <v>1.120288</v>
      </c>
      <c r="L3985">
        <v>114.3986</v>
      </c>
      <c r="M3985">
        <v>-4.7348649999999999E-2</v>
      </c>
      <c r="N3985">
        <v>-1.029336E-2</v>
      </c>
      <c r="O3985">
        <v>-0.99882550000000003</v>
      </c>
      <c r="P3985">
        <v>-1.5059319999999999E-2</v>
      </c>
      <c r="Q3985">
        <v>0.1476142</v>
      </c>
      <c r="R3985">
        <v>-0.98893059999999999</v>
      </c>
      <c r="S3985">
        <v>7.9437259999999996E-2</v>
      </c>
      <c r="T3985">
        <v>-4.5883889999999997E-2</v>
      </c>
      <c r="U3985">
        <v>-3.0409549999999999</v>
      </c>
      <c r="V3985">
        <v>-3.1687699999999999E-2</v>
      </c>
      <c r="W3985">
        <v>0.157801</v>
      </c>
      <c r="X3985">
        <v>0.98696240000000002</v>
      </c>
      <c r="Y3985">
        <v>-7.3409390000000005E-2</v>
      </c>
      <c r="Z3985">
        <v>4.7392700000000003E-3</v>
      </c>
      <c r="AA3985">
        <v>0.99729060000000003</v>
      </c>
      <c r="AB3985">
        <v>35</v>
      </c>
      <c r="AC3985">
        <v>1.95710000000002</v>
      </c>
      <c r="AD3985">
        <v>-1.120288426733</v>
      </c>
      <c r="AE3985">
        <v>-73.899379999999994</v>
      </c>
      <c r="AF3985">
        <v>-5.4528733206331399</v>
      </c>
      <c r="AG3985">
        <v>-1.120288426733</v>
      </c>
      <c r="AH3985">
        <v>73.706889429950905</v>
      </c>
      <c r="AI3985">
        <v>90.868412185988404</v>
      </c>
      <c r="AJ3985">
        <v>94.231063228661895</v>
      </c>
      <c r="AK3985">
        <v>73.916807446269999</v>
      </c>
      <c r="AL3985">
        <v>80.920718829028402</v>
      </c>
      <c r="AM3985">
        <v>91.838923163968602</v>
      </c>
      <c r="AN3985">
        <v>1.0000000224730199</v>
      </c>
    </row>
    <row r="3986" spans="1:40" x14ac:dyDescent="0.25">
      <c r="A3986" t="str">
        <f>"20190303162632531"</f>
        <v>20190303162632531</v>
      </c>
      <c r="B3986" t="str">
        <f>"1551601592517542"</f>
        <v>1551601592517542</v>
      </c>
      <c r="C3986" t="s">
        <v>40</v>
      </c>
      <c r="D3986">
        <v>5.3271059999999997</v>
      </c>
      <c r="E3986">
        <v>0.4827573</v>
      </c>
      <c r="F3986" t="s">
        <v>59</v>
      </c>
      <c r="G3986">
        <v>-419.43270000000001</v>
      </c>
      <c r="H3986" s="1">
        <v>-3.5557550000000001E-6</v>
      </c>
      <c r="I3986">
        <v>34.100619999999999</v>
      </c>
      <c r="J3986">
        <v>-421.66559999999998</v>
      </c>
      <c r="K3986">
        <v>1.1200749999999999</v>
      </c>
      <c r="L3986">
        <v>114.02119999999999</v>
      </c>
      <c r="M3986">
        <v>-4.821106E-2</v>
      </c>
      <c r="N3986">
        <v>-1.028191E-2</v>
      </c>
      <c r="O3986">
        <v>-0.99878420000000001</v>
      </c>
      <c r="P3986">
        <v>-1.308582E-2</v>
      </c>
      <c r="Q3986">
        <v>0.14993480000000001</v>
      </c>
      <c r="R3986">
        <v>-0.98860959999999998</v>
      </c>
      <c r="S3986">
        <v>8.3862300000000001E-2</v>
      </c>
      <c r="T3986">
        <v>-4.2429799999999997E-2</v>
      </c>
      <c r="U3986">
        <v>-3.0411990000000002</v>
      </c>
      <c r="V3986">
        <v>-3.4404110000000002E-2</v>
      </c>
      <c r="W3986">
        <v>0.16012750000000001</v>
      </c>
      <c r="X3986">
        <v>0.98649659999999995</v>
      </c>
      <c r="Y3986">
        <v>-7.5718540000000001E-2</v>
      </c>
      <c r="Z3986">
        <v>3.614824E-3</v>
      </c>
      <c r="AA3986">
        <v>0.99712270000000003</v>
      </c>
      <c r="AB3986">
        <v>35</v>
      </c>
      <c r="AC3986">
        <v>2.2328999999999701</v>
      </c>
      <c r="AD3986">
        <v>-1.1200785557549999</v>
      </c>
      <c r="AE3986">
        <v>-79.920580000000001</v>
      </c>
      <c r="AF3986">
        <v>-6.0823692433651901</v>
      </c>
      <c r="AG3986">
        <v>-1.1200785557549999</v>
      </c>
      <c r="AH3986">
        <v>79.704336901344305</v>
      </c>
      <c r="AI3986">
        <v>90.802786127386796</v>
      </c>
      <c r="AJ3986">
        <v>94.363877464748498</v>
      </c>
      <c r="AK3986">
        <v>79.943924800241703</v>
      </c>
      <c r="AL3986">
        <v>80.7857031520183</v>
      </c>
      <c r="AM3986">
        <v>91.997383173868997</v>
      </c>
      <c r="AN3986">
        <v>1.0000000004263501</v>
      </c>
    </row>
    <row r="3987" spans="1:40" x14ac:dyDescent="0.25">
      <c r="A3987" t="str">
        <f>"20190303162632558"</f>
        <v>20190303162632558</v>
      </c>
      <c r="B3987" t="str">
        <f>"1551601592547798"</f>
        <v>1551601592547798</v>
      </c>
      <c r="C3987" t="s">
        <v>40</v>
      </c>
      <c r="D3987">
        <v>5.3840089999999998</v>
      </c>
      <c r="E3987">
        <v>0.4832321</v>
      </c>
      <c r="F3987" t="s">
        <v>59</v>
      </c>
      <c r="G3987">
        <v>-419.11349999999999</v>
      </c>
      <c r="H3987" s="1">
        <v>-6.793814E-6</v>
      </c>
      <c r="I3987">
        <v>22.597370000000002</v>
      </c>
      <c r="J3987">
        <v>-421.68680000000001</v>
      </c>
      <c r="K3987">
        <v>1.1198129999999999</v>
      </c>
      <c r="L3987">
        <v>113.6041</v>
      </c>
      <c r="M3987">
        <v>-4.9500820000000001E-2</v>
      </c>
      <c r="N3987">
        <v>-1.027367E-2</v>
      </c>
      <c r="O3987">
        <v>-0.99872150000000004</v>
      </c>
      <c r="P3987">
        <v>-1.143857E-2</v>
      </c>
      <c r="Q3987">
        <v>0.15257960000000001</v>
      </c>
      <c r="R3987">
        <v>-0.98822520000000003</v>
      </c>
      <c r="S3987">
        <v>8.4899899999999903E-2</v>
      </c>
      <c r="T3987">
        <v>-3.7261009999999997E-2</v>
      </c>
      <c r="U3987">
        <v>-3.0413359999999998</v>
      </c>
      <c r="V3987">
        <v>-3.7193499999999997E-2</v>
      </c>
      <c r="W3987">
        <v>0.162787299999999</v>
      </c>
      <c r="X3987">
        <v>0.9859599</v>
      </c>
      <c r="Y3987">
        <v>-7.7345399999999995E-2</v>
      </c>
      <c r="Z3987">
        <v>1.9267069999999999E-3</v>
      </c>
      <c r="AA3987">
        <v>0.99700250000000001</v>
      </c>
      <c r="AB3987">
        <v>35</v>
      </c>
      <c r="AC3987">
        <v>2.5733000000000099</v>
      </c>
      <c r="AD3987">
        <v>-1.119819793814</v>
      </c>
      <c r="AE3987">
        <v>-91.006730000000005</v>
      </c>
      <c r="AF3987">
        <v>-7.0742191413442699</v>
      </c>
      <c r="AG3987">
        <v>-1.119819793814</v>
      </c>
      <c r="AH3987">
        <v>90.754034499893706</v>
      </c>
      <c r="AI3987">
        <v>90.704802617551294</v>
      </c>
      <c r="AJ3987">
        <v>94.457156691298394</v>
      </c>
      <c r="AK3987">
        <v>91.036219994232397</v>
      </c>
      <c r="AL3987">
        <v>80.631281659125307</v>
      </c>
      <c r="AM3987">
        <v>92.160352154077898</v>
      </c>
      <c r="AN3987">
        <v>0.99999999294577402</v>
      </c>
    </row>
    <row r="3988" spans="1:40" x14ac:dyDescent="0.25">
      <c r="A3988" t="str">
        <f>"20190303162632580"</f>
        <v>20190303162632580</v>
      </c>
      <c r="B3988" t="str">
        <f>"1551601592567318"</f>
        <v>1551601592567318</v>
      </c>
      <c r="C3988" t="s">
        <v>40</v>
      </c>
      <c r="D3988">
        <v>5.3174489999999999</v>
      </c>
      <c r="E3988">
        <v>0.49045159999999999</v>
      </c>
      <c r="F3988" t="s">
        <v>59</v>
      </c>
      <c r="G3988">
        <v>-418.77800000000002</v>
      </c>
      <c r="H3988">
        <v>2.3868739999999999E-2</v>
      </c>
      <c r="I3988">
        <v>9.6162799999999997</v>
      </c>
      <c r="J3988">
        <v>-421.70600000000002</v>
      </c>
      <c r="K3988">
        <v>1.1195870000000001</v>
      </c>
      <c r="L3988">
        <v>113.2427</v>
      </c>
      <c r="M3988">
        <v>-5.0934889999999997E-2</v>
      </c>
      <c r="N3988">
        <v>-1.027016E-2</v>
      </c>
      <c r="O3988">
        <v>-0.99864940000000002</v>
      </c>
      <c r="P3988">
        <v>-9.6807109999999998E-3</v>
      </c>
      <c r="Q3988">
        <v>0.1565356</v>
      </c>
      <c r="R3988">
        <v>-0.98762510000000003</v>
      </c>
      <c r="S3988">
        <v>8.5083010000000001E-2</v>
      </c>
      <c r="T3988">
        <v>-3.2056809999999998E-2</v>
      </c>
      <c r="U3988">
        <v>-3.041687</v>
      </c>
      <c r="V3988">
        <v>-4.0229670000000002E-2</v>
      </c>
      <c r="W3988">
        <v>0.1667614</v>
      </c>
      <c r="X3988">
        <v>0.98517619999999895</v>
      </c>
      <c r="Y3988">
        <v>-7.8834299999999996E-2</v>
      </c>
      <c r="Z3988">
        <v>2.2213030000000001E-4</v>
      </c>
      <c r="AA3988">
        <v>0.99688770000000004</v>
      </c>
      <c r="AB3988">
        <v>35</v>
      </c>
      <c r="AC3988">
        <v>2.92799999999994</v>
      </c>
      <c r="AD3988">
        <v>-1.0957182599999999</v>
      </c>
      <c r="AE3988">
        <v>-103.62642</v>
      </c>
      <c r="AF3988">
        <v>-8.2017601945946392</v>
      </c>
      <c r="AG3988">
        <v>-1.0957182599999999</v>
      </c>
      <c r="AH3988">
        <v>103.331207488491</v>
      </c>
      <c r="AI3988">
        <v>90.605633768881503</v>
      </c>
      <c r="AJ3988">
        <v>94.538252283442205</v>
      </c>
      <c r="AK3988">
        <v>103.66198874141099</v>
      </c>
      <c r="AL3988">
        <v>80.400426603591001</v>
      </c>
      <c r="AM3988">
        <v>92.338373982444196</v>
      </c>
      <c r="AN3988">
        <v>0.99999996796235302</v>
      </c>
    </row>
    <row r="3989" spans="1:40" x14ac:dyDescent="0.25">
      <c r="A3989" t="str">
        <f>"20190303162632601"</f>
        <v>20190303162632601</v>
      </c>
      <c r="B3989" t="str">
        <f>"1551601592587814"</f>
        <v>1551601592587814</v>
      </c>
      <c r="C3989" t="s">
        <v>40</v>
      </c>
      <c r="D3989">
        <v>5.315582</v>
      </c>
      <c r="E3989">
        <v>0.49120540000000001</v>
      </c>
      <c r="F3989" t="s">
        <v>41</v>
      </c>
      <c r="G3989">
        <v>-420.97550000000001</v>
      </c>
      <c r="H3989" s="1">
        <v>-3.0815920000000001E-6</v>
      </c>
      <c r="I3989">
        <v>46.167319999999997</v>
      </c>
      <c r="J3989">
        <v>-421.72430000000003</v>
      </c>
      <c r="K3989">
        <v>1.119391</v>
      </c>
      <c r="L3989">
        <v>112.91079999999999</v>
      </c>
      <c r="M3989">
        <v>-5.2464950000000003E-2</v>
      </c>
      <c r="N3989">
        <v>-1.0268670000000001E-2</v>
      </c>
      <c r="O3989">
        <v>-0.99856999999999996</v>
      </c>
      <c r="P3989">
        <v>-6.907786E-3</v>
      </c>
      <c r="Q3989">
        <v>0.1603166</v>
      </c>
      <c r="R3989">
        <v>-0.98704170000000002</v>
      </c>
      <c r="S3989">
        <v>3.3172609999999998E-2</v>
      </c>
      <c r="T3989">
        <v>-5.084193E-2</v>
      </c>
      <c r="U3989">
        <v>-3.0459749999999999</v>
      </c>
      <c r="V3989">
        <v>-4.4383260000000001E-2</v>
      </c>
      <c r="W3989">
        <v>0.1705661</v>
      </c>
      <c r="X3989">
        <v>0.98434619999999995</v>
      </c>
      <c r="Y3989">
        <v>-6.3330600000000001E-2</v>
      </c>
      <c r="Z3989">
        <v>6.3664069999999897E-3</v>
      </c>
      <c r="AA3989">
        <v>0.99797230000000003</v>
      </c>
      <c r="AB3989">
        <v>35</v>
      </c>
      <c r="AC3989">
        <v>0.74880000000001701</v>
      </c>
      <c r="AD3989">
        <v>-1.119394081592</v>
      </c>
      <c r="AE3989">
        <v>-66.743479999999906</v>
      </c>
      <c r="AF3989">
        <v>-4.2484516054403798</v>
      </c>
      <c r="AG3989">
        <v>-1.119394081592</v>
      </c>
      <c r="AH3989">
        <v>66.593531619432497</v>
      </c>
      <c r="AI3989">
        <v>90.961060785725905</v>
      </c>
      <c r="AJ3989">
        <v>93.650338177561295</v>
      </c>
      <c r="AK3989">
        <v>66.738301129876206</v>
      </c>
      <c r="AL3989">
        <v>80.179265615976902</v>
      </c>
      <c r="AM3989">
        <v>92.581665138534902</v>
      </c>
      <c r="AN3989">
        <v>1.00000005484593</v>
      </c>
    </row>
    <row r="3990" spans="1:40" x14ac:dyDescent="0.25">
      <c r="A3990" t="str">
        <f>"20190303162632640"</f>
        <v>20190303162632640</v>
      </c>
      <c r="B3990" t="str">
        <f>"1551601592627830"</f>
        <v>1551601592627830</v>
      </c>
      <c r="C3990" t="s">
        <v>40</v>
      </c>
      <c r="D3990">
        <v>5.2567519999999996</v>
      </c>
      <c r="E3990">
        <v>0.49258879999999999</v>
      </c>
      <c r="F3990" t="s">
        <v>59</v>
      </c>
      <c r="G3990">
        <v>-420.79849999999999</v>
      </c>
      <c r="H3990" s="1">
        <v>-2.613643E-6</v>
      </c>
      <c r="I3990">
        <v>35.68609</v>
      </c>
      <c r="J3990">
        <v>-421.75979999999998</v>
      </c>
      <c r="K3990">
        <v>1.119124</v>
      </c>
      <c r="L3990">
        <v>112.3006</v>
      </c>
      <c r="M3990">
        <v>-5.5667139999999997E-2</v>
      </c>
      <c r="N3990">
        <v>-1.026694E-2</v>
      </c>
      <c r="O3990">
        <v>-0.99839659999999997</v>
      </c>
      <c r="P3990">
        <v>-4.2221460000000001E-4</v>
      </c>
      <c r="Q3990">
        <v>0.16515009999999999</v>
      </c>
      <c r="R3990">
        <v>-0.98626849999999999</v>
      </c>
      <c r="S3990">
        <v>3.6529539999999999E-2</v>
      </c>
      <c r="T3990">
        <v>-4.4164420000000003E-2</v>
      </c>
      <c r="U3990">
        <v>-3.0468139999999999</v>
      </c>
      <c r="V3990">
        <v>-5.3833270000000003E-2</v>
      </c>
      <c r="W3990">
        <v>0.17545279999999999</v>
      </c>
      <c r="X3990">
        <v>0.98301490000000002</v>
      </c>
      <c r="Y3990">
        <v>-6.7627329999999999E-2</v>
      </c>
      <c r="Z3990">
        <v>4.1728729999999997E-3</v>
      </c>
      <c r="AA3990">
        <v>0.99770190000000003</v>
      </c>
      <c r="AB3990">
        <v>35</v>
      </c>
      <c r="AC3990">
        <v>0.96129999999999405</v>
      </c>
      <c r="AD3990">
        <v>-1.119126613643</v>
      </c>
      <c r="AE3990">
        <v>-76.614509999999996</v>
      </c>
      <c r="AF3990">
        <v>-5.2238302230584299</v>
      </c>
      <c r="AG3990">
        <v>-1.119126613643</v>
      </c>
      <c r="AH3990">
        <v>76.425877493357206</v>
      </c>
      <c r="AI3990">
        <v>90.836986381638198</v>
      </c>
      <c r="AJ3990">
        <v>93.910175813687204</v>
      </c>
      <c r="AK3990">
        <v>76.612372350726403</v>
      </c>
      <c r="AL3990">
        <v>79.894990659115393</v>
      </c>
      <c r="AM3990">
        <v>93.134582476227493</v>
      </c>
      <c r="AN3990">
        <v>0.99999999980437104</v>
      </c>
    </row>
    <row r="3991" spans="1:40" x14ac:dyDescent="0.25">
      <c r="A3991" t="str">
        <f>"20190303162632662"</f>
        <v>20190303162632662</v>
      </c>
      <c r="B3991" t="str">
        <f>"1551601592658086"</f>
        <v>1551601592658086</v>
      </c>
      <c r="C3991" t="s">
        <v>40</v>
      </c>
      <c r="D3991">
        <v>5.3098210000000003</v>
      </c>
      <c r="E3991">
        <v>0.49301159999999999</v>
      </c>
      <c r="F3991" t="s">
        <v>59</v>
      </c>
      <c r="G3991">
        <v>-420.45150000000001</v>
      </c>
      <c r="H3991" s="1">
        <v>-7.8436899999999899E-6</v>
      </c>
      <c r="I3991">
        <v>24.48302</v>
      </c>
      <c r="J3991">
        <v>-421.78190000000001</v>
      </c>
      <c r="K3991">
        <v>1.1190169999999999</v>
      </c>
      <c r="L3991">
        <v>111.9376</v>
      </c>
      <c r="M3991">
        <v>-5.7739619999999998E-2</v>
      </c>
      <c r="N3991">
        <v>-1.026591E-2</v>
      </c>
      <c r="O3991">
        <v>-0.99827889999999997</v>
      </c>
      <c r="P3991">
        <v>1.8383729999999999E-3</v>
      </c>
      <c r="Q3991">
        <v>0.168258399999999</v>
      </c>
      <c r="R3991">
        <v>-0.98574130000000004</v>
      </c>
      <c r="S3991">
        <v>4.5410159999999998E-2</v>
      </c>
      <c r="T3991">
        <v>-3.8846730000000003E-2</v>
      </c>
      <c r="U3991">
        <v>-3.048279</v>
      </c>
      <c r="V3991">
        <v>-5.8040189999999998E-2</v>
      </c>
      <c r="W3991">
        <v>0.17858489999999999</v>
      </c>
      <c r="X3991">
        <v>0.98221119999999995</v>
      </c>
      <c r="Y3991">
        <v>-7.2598109999999993E-2</v>
      </c>
      <c r="Z3991">
        <v>2.4232110000000002E-3</v>
      </c>
      <c r="AA3991">
        <v>0.99735830000000003</v>
      </c>
      <c r="AB3991">
        <v>35</v>
      </c>
      <c r="AC3991">
        <v>1.33039999999999</v>
      </c>
      <c r="AD3991">
        <v>-1.1190248436900001</v>
      </c>
      <c r="AE3991">
        <v>-87.454580000000007</v>
      </c>
      <c r="AF3991">
        <v>-6.3769966833672598</v>
      </c>
      <c r="AG3991">
        <v>-1.1190248436900001</v>
      </c>
      <c r="AH3991">
        <v>87.217564870931795</v>
      </c>
      <c r="AI3991">
        <v>90.733123155092798</v>
      </c>
      <c r="AJ3991">
        <v>94.181795093984306</v>
      </c>
      <c r="AK3991">
        <v>87.457543558664398</v>
      </c>
      <c r="AL3991">
        <v>79.712655294942294</v>
      </c>
      <c r="AM3991">
        <v>93.381752743151594</v>
      </c>
      <c r="AN3991">
        <v>1.0000000357843399</v>
      </c>
    </row>
    <row r="3992" spans="1:40" x14ac:dyDescent="0.25">
      <c r="A3992" t="str">
        <f>"20190303162632685"</f>
        <v>20190303162632685</v>
      </c>
      <c r="B3992" t="str">
        <f>"1551601592677605"</f>
        <v>1551601592677605</v>
      </c>
      <c r="C3992" t="s">
        <v>40</v>
      </c>
      <c r="D3992">
        <v>5.3151900000000003</v>
      </c>
      <c r="E3992">
        <v>0.49710860000000001</v>
      </c>
      <c r="F3992" t="s">
        <v>59</v>
      </c>
      <c r="G3992">
        <v>-420.23140000000001</v>
      </c>
      <c r="H3992" s="1">
        <v>-1.056849E-5</v>
      </c>
      <c r="I3992">
        <v>13.9491</v>
      </c>
      <c r="J3992">
        <v>-421.80459999999999</v>
      </c>
      <c r="K3992">
        <v>1.1189469999999999</v>
      </c>
      <c r="L3992">
        <v>111.5806</v>
      </c>
      <c r="M3992">
        <v>-5.9841480000000002E-2</v>
      </c>
      <c r="N3992">
        <v>-1.0265130000000001E-2</v>
      </c>
      <c r="O3992">
        <v>-0.99815509999999996</v>
      </c>
      <c r="P3992">
        <v>2.4916890000000001E-3</v>
      </c>
      <c r="Q3992">
        <v>0.1710652</v>
      </c>
      <c r="R3992">
        <v>-0.98525649999999998</v>
      </c>
      <c r="S3992">
        <v>4.8248289999999999E-2</v>
      </c>
      <c r="T3992">
        <v>-3.482246E-2</v>
      </c>
      <c r="U3992">
        <v>-3.049255</v>
      </c>
      <c r="V3992">
        <v>-6.068569E-2</v>
      </c>
      <c r="W3992">
        <v>0.18140819999999999</v>
      </c>
      <c r="X3992">
        <v>0.98153360000000001</v>
      </c>
      <c r="Y3992">
        <v>-7.5621339999999995E-2</v>
      </c>
      <c r="Z3992">
        <v>1.1015510000000001E-3</v>
      </c>
      <c r="AA3992">
        <v>0.99713600000000002</v>
      </c>
      <c r="AB3992">
        <v>36</v>
      </c>
      <c r="AC3992">
        <v>1.5731999999999799</v>
      </c>
      <c r="AD3992">
        <v>-1.1189575684899999</v>
      </c>
      <c r="AE3992">
        <v>-97.631500000000003</v>
      </c>
      <c r="AF3992">
        <v>-7.4121283460670897</v>
      </c>
      <c r="AG3992">
        <v>-1.1189575684899999</v>
      </c>
      <c r="AH3992">
        <v>97.349583794554704</v>
      </c>
      <c r="AI3992">
        <v>90.656640896245506</v>
      </c>
      <c r="AJ3992">
        <v>94.354059258403794</v>
      </c>
      <c r="AK3992">
        <v>97.637765120017406</v>
      </c>
      <c r="AL3992">
        <v>79.548205229270195</v>
      </c>
      <c r="AM3992">
        <v>93.537946715833399</v>
      </c>
      <c r="AN3992">
        <v>0.99999994796348601</v>
      </c>
    </row>
    <row r="3993" spans="1:40" x14ac:dyDescent="0.25">
      <c r="A3993" t="str">
        <f>"20190303162632707"</f>
        <v>20190303162632707</v>
      </c>
      <c r="B3993" t="str">
        <f>"1551601592698102"</f>
        <v>1551601592698102</v>
      </c>
      <c r="C3993" t="s">
        <v>40</v>
      </c>
      <c r="D3993">
        <v>5.2403969999999997</v>
      </c>
      <c r="E3993">
        <v>0.49781189999999997</v>
      </c>
      <c r="F3993" t="s">
        <v>41</v>
      </c>
      <c r="G3993">
        <v>-421.55459999999999</v>
      </c>
      <c r="H3993" s="1">
        <v>-2.1768710000000001E-6</v>
      </c>
      <c r="I3993">
        <v>63.699240000000003</v>
      </c>
      <c r="J3993">
        <v>-421.8279</v>
      </c>
      <c r="K3993">
        <v>1.1188880000000001</v>
      </c>
      <c r="L3993">
        <v>111.2243</v>
      </c>
      <c r="M3993">
        <v>-6.1970200000000003E-2</v>
      </c>
      <c r="N3993">
        <v>-1.0265E-2</v>
      </c>
      <c r="O3993">
        <v>-0.9980253</v>
      </c>
      <c r="P3993">
        <v>2.2349869999999999E-3</v>
      </c>
      <c r="Q3993">
        <v>0.17226329999999901</v>
      </c>
      <c r="R3993">
        <v>-0.98504849999999999</v>
      </c>
      <c r="S3993">
        <v>1.596069E-2</v>
      </c>
      <c r="T3993">
        <v>-7.1446179999999998E-2</v>
      </c>
      <c r="U3993">
        <v>-3.0572810000000001</v>
      </c>
      <c r="V3993">
        <v>-6.247933E-2</v>
      </c>
      <c r="W3993">
        <v>0.18262020000000001</v>
      </c>
      <c r="X3993">
        <v>0.98119630000000002</v>
      </c>
      <c r="Y3993">
        <v>-6.7170999999999995E-2</v>
      </c>
      <c r="Z3993">
        <v>1.3003819999999999E-2</v>
      </c>
      <c r="AA3993">
        <v>0.99765680000000001</v>
      </c>
      <c r="AB3993">
        <v>36</v>
      </c>
      <c r="AC3993">
        <v>0.27330000000000598</v>
      </c>
      <c r="AD3993">
        <v>-1.11889017687099</v>
      </c>
      <c r="AE3993">
        <v>-47.525060000000003</v>
      </c>
      <c r="AF3993">
        <v>-3.2162843895676598</v>
      </c>
      <c r="AG3993">
        <v>-1.11889017687099</v>
      </c>
      <c r="AH3993">
        <v>47.390503112897399</v>
      </c>
      <c r="AI3993">
        <v>91.349399601802901</v>
      </c>
      <c r="AJ3993">
        <v>93.882578924107804</v>
      </c>
      <c r="AK3993">
        <v>47.512694996137697</v>
      </c>
      <c r="AL3993">
        <v>79.477583520927595</v>
      </c>
      <c r="AM3993">
        <v>93.6434863108814</v>
      </c>
      <c r="AN3993">
        <v>0.99999999162948905</v>
      </c>
    </row>
    <row r="3994" spans="1:40" x14ac:dyDescent="0.25">
      <c r="A3994" t="str">
        <f>"20190303162632730"</f>
        <v>20190303162632730</v>
      </c>
      <c r="B3994" t="str">
        <f>"1551601592717622"</f>
        <v>1551601592717622</v>
      </c>
      <c r="C3994" t="s">
        <v>40</v>
      </c>
      <c r="D3994">
        <v>5.1810109999999998</v>
      </c>
      <c r="E3994">
        <v>0.49821389999999999</v>
      </c>
      <c r="F3994" t="s">
        <v>41</v>
      </c>
      <c r="G3994">
        <v>-421.70010000000002</v>
      </c>
      <c r="H3994" s="1">
        <v>-2.3984000000000002E-6</v>
      </c>
      <c r="I3994">
        <v>64.125410000000002</v>
      </c>
      <c r="J3994">
        <v>-421.85250000000002</v>
      </c>
      <c r="K3994">
        <v>1.118846</v>
      </c>
      <c r="L3994">
        <v>110.8596</v>
      </c>
      <c r="M3994">
        <v>-6.4152730000000005E-2</v>
      </c>
      <c r="N3994">
        <v>-1.026549E-2</v>
      </c>
      <c r="O3994">
        <v>-0.99788759999999999</v>
      </c>
      <c r="P3994">
        <v>2.0012839999999999E-3</v>
      </c>
      <c r="Q3994">
        <v>0.17203009999999999</v>
      </c>
      <c r="R3994">
        <v>-0.98508980000000002</v>
      </c>
      <c r="S3994">
        <v>8.3007810000000001E-3</v>
      </c>
      <c r="T3994">
        <v>-7.2651859999999999E-2</v>
      </c>
      <c r="U3994">
        <v>-3.0582280000000002</v>
      </c>
      <c r="V3994">
        <v>-6.4376729999999993E-2</v>
      </c>
      <c r="W3994">
        <v>0.18240310000000001</v>
      </c>
      <c r="X3994">
        <v>0.98111400000000004</v>
      </c>
      <c r="Y3994">
        <v>-6.6852549999999997E-2</v>
      </c>
      <c r="Z3994">
        <v>1.3384770000000001E-2</v>
      </c>
      <c r="AA3994">
        <v>0.99767309999999998</v>
      </c>
      <c r="AB3994">
        <v>36</v>
      </c>
      <c r="AC3994">
        <v>0.15240000000000001</v>
      </c>
      <c r="AD3994">
        <v>-1.1188483983999999</v>
      </c>
      <c r="AE3994">
        <v>-46.734189999999998</v>
      </c>
      <c r="AF3994">
        <v>-3.1485643713760698</v>
      </c>
      <c r="AG3994">
        <v>-1.1188483983999999</v>
      </c>
      <c r="AH3994">
        <v>46.601424768348302</v>
      </c>
      <c r="AI3994">
        <v>91.372216528320806</v>
      </c>
      <c r="AJ3994">
        <v>93.865240200631405</v>
      </c>
      <c r="AK3994">
        <v>46.7210666592633</v>
      </c>
      <c r="AL3994">
        <v>79.490234676660606</v>
      </c>
      <c r="AM3994">
        <v>93.754135589200899</v>
      </c>
      <c r="AN3994">
        <v>0.99999996762555099</v>
      </c>
    </row>
    <row r="3995" spans="1:40" x14ac:dyDescent="0.25">
      <c r="A3995" t="str">
        <f>"20190303162632753"</f>
        <v>20190303162632753</v>
      </c>
      <c r="B3995" t="str">
        <f>"1551601592747878"</f>
        <v>1551601592747878</v>
      </c>
      <c r="C3995" t="s">
        <v>40</v>
      </c>
      <c r="D3995">
        <v>5.3004800000000003</v>
      </c>
      <c r="E3995">
        <v>0.49919330000000001</v>
      </c>
      <c r="F3995" t="s">
        <v>41</v>
      </c>
      <c r="G3995">
        <v>-421.78280000000001</v>
      </c>
      <c r="H3995" s="1">
        <v>-1.9287339999999999E-6</v>
      </c>
      <c r="I3995">
        <v>62.979309999999998</v>
      </c>
      <c r="J3995">
        <v>-421.87759999999997</v>
      </c>
      <c r="K3995">
        <v>1.1188119999999999</v>
      </c>
      <c r="L3995">
        <v>110.4999</v>
      </c>
      <c r="M3995">
        <v>-6.6281129999999994E-2</v>
      </c>
      <c r="N3995">
        <v>-1.0266340000000001E-2</v>
      </c>
      <c r="O3995">
        <v>-0.99774819999999997</v>
      </c>
      <c r="P3995">
        <v>1.507169E-3</v>
      </c>
      <c r="Q3995">
        <v>0.17210139999999999</v>
      </c>
      <c r="R3995">
        <v>-0.98507820000000001</v>
      </c>
      <c r="S3995">
        <v>4.4555659999999898E-3</v>
      </c>
      <c r="T3995">
        <v>-7.1455240000000003E-2</v>
      </c>
      <c r="U3995">
        <v>-3.057877</v>
      </c>
      <c r="V3995">
        <v>-6.5962939999999998E-2</v>
      </c>
      <c r="W3995">
        <v>0.18248710000000001</v>
      </c>
      <c r="X3995">
        <v>0.980993</v>
      </c>
      <c r="Y3995">
        <v>-6.772657E-2</v>
      </c>
      <c r="Z3995">
        <v>1.299207E-2</v>
      </c>
      <c r="AA3995">
        <v>0.99761929999999999</v>
      </c>
      <c r="AB3995">
        <v>36</v>
      </c>
      <c r="AC3995">
        <v>9.4799999999963802E-2</v>
      </c>
      <c r="AD3995">
        <v>-1.118813928734</v>
      </c>
      <c r="AE3995">
        <v>-47.520589999999999</v>
      </c>
      <c r="AF3995">
        <v>-3.2426783865353399</v>
      </c>
      <c r="AG3995">
        <v>-1.118813928734</v>
      </c>
      <c r="AH3995">
        <v>47.383531829849098</v>
      </c>
      <c r="AI3995">
        <v>91.349454235008807</v>
      </c>
      <c r="AJ3995">
        <v>93.9149162340873</v>
      </c>
      <c r="AK3995">
        <v>47.507534101402797</v>
      </c>
      <c r="AL3995">
        <v>79.485339577345599</v>
      </c>
      <c r="AM3995">
        <v>93.846834252684303</v>
      </c>
      <c r="AN3995">
        <v>0.99999995858442603</v>
      </c>
    </row>
    <row r="3996" spans="1:40" x14ac:dyDescent="0.25">
      <c r="A3996" t="str">
        <f>"20190303162632774"</f>
        <v>20190303162632774</v>
      </c>
      <c r="B3996" t="str">
        <f>"1551601592767398"</f>
        <v>1551601592767398</v>
      </c>
      <c r="C3996" t="s">
        <v>40</v>
      </c>
      <c r="D3996">
        <v>5.0793689999999998</v>
      </c>
      <c r="E3996">
        <v>0.54313109999999998</v>
      </c>
      <c r="F3996" t="s">
        <v>41</v>
      </c>
      <c r="G3996">
        <v>-421.9622</v>
      </c>
      <c r="H3996" s="1">
        <v>-2.1353769999999999E-6</v>
      </c>
      <c r="I3996">
        <v>63.349679999999999</v>
      </c>
      <c r="J3996">
        <v>-421.9024</v>
      </c>
      <c r="K3996">
        <v>1.118781</v>
      </c>
      <c r="L3996">
        <v>110.1544</v>
      </c>
      <c r="M3996">
        <v>-6.8271879999999993E-2</v>
      </c>
      <c r="N3996">
        <v>-1.0267480000000001E-2</v>
      </c>
      <c r="O3996">
        <v>-0.99761409999999995</v>
      </c>
      <c r="P3996">
        <v>8.4714130000000003E-4</v>
      </c>
      <c r="Q3996">
        <v>0.1710971</v>
      </c>
      <c r="R3996">
        <v>-0.98525419999999997</v>
      </c>
      <c r="S3996">
        <v>-5.493164E-3</v>
      </c>
      <c r="T3996">
        <v>-7.2565669999999999E-2</v>
      </c>
      <c r="U3996">
        <v>-3.0581360000000002</v>
      </c>
      <c r="V3996">
        <v>-6.7277770000000001E-2</v>
      </c>
      <c r="W3996">
        <v>0.1814926</v>
      </c>
      <c r="X3996">
        <v>0.98108819999999997</v>
      </c>
      <c r="Y3996">
        <v>-6.6471829999999996E-2</v>
      </c>
      <c r="Z3996">
        <v>1.334757E-2</v>
      </c>
      <c r="AA3996">
        <v>0.997699</v>
      </c>
      <c r="AB3996">
        <v>36</v>
      </c>
      <c r="AC3996">
        <v>-5.97999999999956E-2</v>
      </c>
      <c r="AD3996">
        <v>-1.1187831353769999</v>
      </c>
      <c r="AE3996">
        <v>-46.804719999999897</v>
      </c>
      <c r="AF3996">
        <v>-3.1341628932799099</v>
      </c>
      <c r="AG3996">
        <v>-1.1187831353769999</v>
      </c>
      <c r="AH3996">
        <v>46.672917261700498</v>
      </c>
      <c r="AI3996">
        <v>91.370073351262207</v>
      </c>
      <c r="AJ3996">
        <v>93.841737861593302</v>
      </c>
      <c r="AK3996">
        <v>46.791407955554803</v>
      </c>
      <c r="AL3996">
        <v>79.543287955647898</v>
      </c>
      <c r="AM3996">
        <v>93.922896023477094</v>
      </c>
      <c r="AN3996">
        <v>0.999999959185085</v>
      </c>
    </row>
    <row r="3997" spans="1:40" x14ac:dyDescent="0.25">
      <c r="A3997" t="str">
        <f>"20190303162632796"</f>
        <v>20190303162632796</v>
      </c>
      <c r="B3997" t="str">
        <f>"1551601592787894"</f>
        <v>1551601592787894</v>
      </c>
      <c r="C3997" t="s">
        <v>40</v>
      </c>
      <c r="D3997">
        <v>5.0663320000000001</v>
      </c>
      <c r="E3997">
        <v>0.55644989999999905</v>
      </c>
      <c r="F3997" t="s">
        <v>41</v>
      </c>
      <c r="G3997">
        <v>-424.85680000000002</v>
      </c>
      <c r="H3997" s="1">
        <v>-3.5556930000000001E-6</v>
      </c>
      <c r="I3997">
        <v>84.903719999999893</v>
      </c>
      <c r="J3997">
        <v>-421.9282</v>
      </c>
      <c r="K3997">
        <v>1.1187959999999999</v>
      </c>
      <c r="L3997">
        <v>109.803</v>
      </c>
      <c r="M3997">
        <v>-7.0195610000000006E-2</v>
      </c>
      <c r="N3997">
        <v>-1.026853E-2</v>
      </c>
      <c r="O3997">
        <v>-0.99748049999999999</v>
      </c>
      <c r="P3997">
        <v>3.7183410000000001E-4</v>
      </c>
      <c r="Q3997">
        <v>0.17015139999999901</v>
      </c>
      <c r="R3997">
        <v>-0.98541780000000001</v>
      </c>
      <c r="S3997">
        <v>-0.35906979999999999</v>
      </c>
      <c r="T3997">
        <v>-0.1359706</v>
      </c>
      <c r="U3997">
        <v>-3.0688170000000001</v>
      </c>
      <c r="V3997">
        <v>-6.8726480000000006E-2</v>
      </c>
      <c r="W3997">
        <v>0.1805504</v>
      </c>
      <c r="X3997">
        <v>0.98116170000000003</v>
      </c>
      <c r="Y3997">
        <v>4.6123780000000003E-2</v>
      </c>
      <c r="Z3997">
        <v>3.3708290000000002E-2</v>
      </c>
      <c r="AA3997">
        <v>0.9983668</v>
      </c>
      <c r="AB3997">
        <v>36</v>
      </c>
      <c r="AC3997">
        <v>-2.9286000000000101</v>
      </c>
      <c r="AD3997">
        <v>-1.1187995556929999</v>
      </c>
      <c r="AE3997">
        <v>-24.899280000000001</v>
      </c>
      <c r="AF3997">
        <v>1.17113076643763</v>
      </c>
      <c r="AG3997">
        <v>-1.1187995556929999</v>
      </c>
      <c r="AH3997">
        <v>24.993665769266102</v>
      </c>
      <c r="AI3997">
        <v>92.5602332244666</v>
      </c>
      <c r="AJ3997">
        <v>87.317248026885096</v>
      </c>
      <c r="AK3997">
        <v>25.046089281636402</v>
      </c>
      <c r="AL3997">
        <v>79.598179621017906</v>
      </c>
      <c r="AM3997">
        <v>94.0067972883013</v>
      </c>
      <c r="AN3997">
        <v>1.0000000287701101</v>
      </c>
    </row>
    <row r="3998" spans="1:40" x14ac:dyDescent="0.25">
      <c r="A3998" t="str">
        <f>"20190303162632820"</f>
        <v>20190303162632820</v>
      </c>
      <c r="B3998" t="str">
        <f>"1551601592807414"</f>
        <v>1551601592807414</v>
      </c>
      <c r="C3998" t="s">
        <v>40</v>
      </c>
      <c r="D3998">
        <v>5.0013459999999998</v>
      </c>
      <c r="E3998">
        <v>0.56155310000000003</v>
      </c>
      <c r="F3998" t="s">
        <v>41</v>
      </c>
      <c r="G3998">
        <v>-425.37400000000002</v>
      </c>
      <c r="H3998" s="1">
        <v>-4.411001E-6</v>
      </c>
      <c r="I3998">
        <v>87.147540000000006</v>
      </c>
      <c r="J3998">
        <v>-421.95569999999998</v>
      </c>
      <c r="K3998">
        <v>1.1188800000000001</v>
      </c>
      <c r="L3998">
        <v>109.4379</v>
      </c>
      <c r="M3998">
        <v>-7.2014209999999995E-2</v>
      </c>
      <c r="N3998">
        <v>-1.026902E-2</v>
      </c>
      <c r="O3998">
        <v>-0.99735099999999999</v>
      </c>
      <c r="P3998">
        <v>-2.1048519999999999E-4</v>
      </c>
      <c r="Q3998">
        <v>0.16947609999999999</v>
      </c>
      <c r="R3998">
        <v>-0.98553460000000004</v>
      </c>
      <c r="S3998">
        <v>-0.46704099999999998</v>
      </c>
      <c r="T3998">
        <v>-0.1516439</v>
      </c>
      <c r="U3998">
        <v>-3.0707550000000001</v>
      </c>
      <c r="V3998">
        <v>-6.9988270000000005E-2</v>
      </c>
      <c r="W3998">
        <v>0.1798661</v>
      </c>
      <c r="X3998">
        <v>0.98119809999999996</v>
      </c>
      <c r="Y3998">
        <v>7.8638550000000002E-2</v>
      </c>
      <c r="Z3998">
        <v>3.8571969999999997E-2</v>
      </c>
      <c r="AA3998">
        <v>0.99615670000000001</v>
      </c>
      <c r="AB3998">
        <v>36</v>
      </c>
      <c r="AC3998">
        <v>-3.4183000000000399</v>
      </c>
      <c r="AD3998">
        <v>-1.1188844110009999</v>
      </c>
      <c r="AE3998">
        <v>-22.29036</v>
      </c>
      <c r="AF3998">
        <v>1.79968656889571</v>
      </c>
      <c r="AG3998">
        <v>-1.1188844110009999</v>
      </c>
      <c r="AH3998">
        <v>22.423457867171599</v>
      </c>
      <c r="AI3998">
        <v>92.847431278763494</v>
      </c>
      <c r="AJ3998">
        <v>85.411328058905596</v>
      </c>
      <c r="AK3998">
        <v>22.5233709020711</v>
      </c>
      <c r="AL3998">
        <v>79.638038779949895</v>
      </c>
      <c r="AM3998">
        <v>94.079963377101805</v>
      </c>
      <c r="AN3998">
        <v>0.99999994165520401</v>
      </c>
    </row>
    <row r="3999" spans="1:40" x14ac:dyDescent="0.25">
      <c r="A3999" t="str">
        <f>"20190303162632841"</f>
        <v>20190303162632841</v>
      </c>
      <c r="B3999" t="str">
        <f>"1551601592827910"</f>
        <v>1551601592827910</v>
      </c>
      <c r="C3999" t="s">
        <v>40</v>
      </c>
      <c r="D3999">
        <v>4.9829210000000002</v>
      </c>
      <c r="E3999">
        <v>0.56426279999999995</v>
      </c>
      <c r="F3999" t="s">
        <v>41</v>
      </c>
      <c r="G3999">
        <v>-425.50310000000002</v>
      </c>
      <c r="H3999" s="1">
        <v>-4.7189970000000002E-6</v>
      </c>
      <c r="I3999">
        <v>87.985280000000003</v>
      </c>
      <c r="J3999">
        <v>-421.98259999999999</v>
      </c>
      <c r="K3999">
        <v>1.1190249999999999</v>
      </c>
      <c r="L3999">
        <v>109.08459999999999</v>
      </c>
      <c r="M3999">
        <v>-7.3521290000000003E-2</v>
      </c>
      <c r="N3999">
        <v>-1.026911E-2</v>
      </c>
      <c r="O3999">
        <v>-0.99724100000000004</v>
      </c>
      <c r="P3999">
        <v>-1.39257799999999E-3</v>
      </c>
      <c r="Q3999">
        <v>0.16622990000000001</v>
      </c>
      <c r="R3999">
        <v>-0.98608620000000002</v>
      </c>
      <c r="S3999">
        <v>-0.50790409999999997</v>
      </c>
      <c r="T3999">
        <v>-0.16019620000000001</v>
      </c>
      <c r="U3999">
        <v>-3.071472</v>
      </c>
      <c r="V3999">
        <v>-7.0415630000000007E-2</v>
      </c>
      <c r="W3999">
        <v>0.17660090000000001</v>
      </c>
      <c r="X3999">
        <v>0.98176059999999998</v>
      </c>
      <c r="Y3999">
        <v>8.9997309999999997E-2</v>
      </c>
      <c r="Z3999">
        <v>4.1224450000000003E-2</v>
      </c>
      <c r="AA3999">
        <v>0.99508850000000004</v>
      </c>
      <c r="AB3999">
        <v>36</v>
      </c>
      <c r="AC3999">
        <v>-3.5205000000000202</v>
      </c>
      <c r="AD3999">
        <v>-1.119029718997</v>
      </c>
      <c r="AE3999">
        <v>-21.099319999999899</v>
      </c>
      <c r="AF3999">
        <v>1.95429237500872</v>
      </c>
      <c r="AG3999">
        <v>-1.119029718997</v>
      </c>
      <c r="AH3999">
        <v>21.242922453758201</v>
      </c>
      <c r="AI3999">
        <v>93.002769705788097</v>
      </c>
      <c r="AJ3999">
        <v>84.743736144934701</v>
      </c>
      <c r="AK3999">
        <v>21.361957788915301</v>
      </c>
      <c r="AL3999">
        <v>79.828166517553299</v>
      </c>
      <c r="AM3999">
        <v>94.102447601109105</v>
      </c>
      <c r="AN3999">
        <v>1.0000000572707299</v>
      </c>
    </row>
    <row r="4000" spans="1:40" x14ac:dyDescent="0.25">
      <c r="A4000" t="str">
        <f>"20190303162632864"</f>
        <v>20190303162632864</v>
      </c>
      <c r="B4000" t="str">
        <f>"1551601592858166"</f>
        <v>1551601592858166</v>
      </c>
      <c r="C4000" t="s">
        <v>40</v>
      </c>
      <c r="D4000">
        <v>5.0031730000000003</v>
      </c>
      <c r="E4000">
        <v>0.56636379999999997</v>
      </c>
      <c r="F4000" t="s">
        <v>41</v>
      </c>
      <c r="G4000">
        <v>-425.41559999999998</v>
      </c>
      <c r="H4000" s="1">
        <v>-5.106025E-6</v>
      </c>
      <c r="I4000">
        <v>89.168169999999904</v>
      </c>
      <c r="J4000">
        <v>-422.0104</v>
      </c>
      <c r="K4000">
        <v>1.1191879999999901</v>
      </c>
      <c r="L4000">
        <v>108.72629999999999</v>
      </c>
      <c r="M4000">
        <v>-7.4815850000000003E-2</v>
      </c>
      <c r="N4000">
        <v>-1.0269820000000001E-2</v>
      </c>
      <c r="O4000">
        <v>-0.99714460000000005</v>
      </c>
      <c r="P4000">
        <v>-2.7960680000000001E-3</v>
      </c>
      <c r="Q4000">
        <v>0.159996</v>
      </c>
      <c r="R4000">
        <v>-0.98711389999999999</v>
      </c>
      <c r="S4000">
        <v>-0.52929689999999996</v>
      </c>
      <c r="T4000">
        <v>-0.17252970000000001</v>
      </c>
      <c r="U4000">
        <v>-3.0706790000000002</v>
      </c>
      <c r="V4000">
        <v>-7.047196E-2</v>
      </c>
      <c r="W4000">
        <v>0.1703462</v>
      </c>
      <c r="X4000">
        <v>0.98286099999999998</v>
      </c>
      <c r="Y4000">
        <v>9.5452309999999999E-2</v>
      </c>
      <c r="Z4000">
        <v>4.513665E-2</v>
      </c>
      <c r="AA4000">
        <v>0.99441020000000002</v>
      </c>
      <c r="AB4000">
        <v>36</v>
      </c>
      <c r="AC4000">
        <v>-3.4051999999999798</v>
      </c>
      <c r="AD4000">
        <v>-1.11919310602499</v>
      </c>
      <c r="AE4000">
        <v>-19.558129999999998</v>
      </c>
      <c r="AF4000">
        <v>1.92619843481985</v>
      </c>
      <c r="AG4000">
        <v>-1.11919310602499</v>
      </c>
      <c r="AH4000">
        <v>19.695489382348399</v>
      </c>
      <c r="AI4000">
        <v>93.236916019320404</v>
      </c>
      <c r="AJ4000">
        <v>84.414295403869104</v>
      </c>
      <c r="AK4000">
        <v>19.821078064249601</v>
      </c>
      <c r="AL4000">
        <v>80.192050898339104</v>
      </c>
      <c r="AM4000">
        <v>94.101137172732805</v>
      </c>
      <c r="AN4000">
        <v>0.99999993516083796</v>
      </c>
    </row>
    <row r="4001" spans="1:40" x14ac:dyDescent="0.25">
      <c r="A4001" t="str">
        <f>"20190303162632885"</f>
        <v>20190303162632885</v>
      </c>
      <c r="B4001" t="str">
        <f>"1551601592877686"</f>
        <v>1551601592877686</v>
      </c>
      <c r="C4001" t="s">
        <v>40</v>
      </c>
      <c r="D4001">
        <v>5.0263140000000002</v>
      </c>
      <c r="E4001">
        <v>0.56730159999999996</v>
      </c>
      <c r="F4001" t="s">
        <v>41</v>
      </c>
      <c r="G4001">
        <v>-425.10340000000002</v>
      </c>
      <c r="H4001" s="1">
        <v>-2.1372609999999998E-6</v>
      </c>
      <c r="I4001">
        <v>91.405860000000004</v>
      </c>
      <c r="J4001">
        <v>-422.03769999999997</v>
      </c>
      <c r="K4001">
        <v>1.1193930000000001</v>
      </c>
      <c r="L4001">
        <v>108.37479999999999</v>
      </c>
      <c r="M4001">
        <v>-7.5797459999999997E-2</v>
      </c>
      <c r="N4001">
        <v>-1.027138E-2</v>
      </c>
      <c r="O4001">
        <v>-0.99707040000000002</v>
      </c>
      <c r="P4001">
        <v>-4.5914659999999998E-3</v>
      </c>
      <c r="Q4001">
        <v>0.158102399999999</v>
      </c>
      <c r="R4001">
        <v>-0.98741210000000001</v>
      </c>
      <c r="S4001">
        <v>-0.54818730000000004</v>
      </c>
      <c r="T4001">
        <v>-0.19835939999999999</v>
      </c>
      <c r="U4001">
        <v>-3.0697779999999999</v>
      </c>
      <c r="V4001">
        <v>-6.9768940000000002E-2</v>
      </c>
      <c r="W4001">
        <v>0.16841900000000001</v>
      </c>
      <c r="X4001">
        <v>0.98324330000000004</v>
      </c>
      <c r="Y4001">
        <v>0.1003791</v>
      </c>
      <c r="Z4001">
        <v>5.3356929999999997E-2</v>
      </c>
      <c r="AA4001">
        <v>0.99351750000000005</v>
      </c>
      <c r="AB4001">
        <v>36</v>
      </c>
      <c r="AC4001">
        <v>-3.0657000000000401</v>
      </c>
      <c r="AD4001">
        <v>-1.119395137261</v>
      </c>
      <c r="AE4001">
        <v>-16.9689399999999</v>
      </c>
      <c r="AF4001">
        <v>1.76317917925562</v>
      </c>
      <c r="AG4001">
        <v>-1.119395137261</v>
      </c>
      <c r="AH4001">
        <v>17.080524067298001</v>
      </c>
      <c r="AI4001">
        <v>93.729830669835195</v>
      </c>
      <c r="AJ4001">
        <v>84.106376812004001</v>
      </c>
      <c r="AK4001">
        <v>17.207735141645699</v>
      </c>
      <c r="AL4001">
        <v>80.304091165602301</v>
      </c>
      <c r="AM4001">
        <v>94.058788781759205</v>
      </c>
      <c r="AN4001">
        <v>1.0000000257723001</v>
      </c>
    </row>
    <row r="4002" spans="1:40" x14ac:dyDescent="0.25">
      <c r="A4002" t="str">
        <f>"20190303162632908"</f>
        <v>20190303162632908</v>
      </c>
      <c r="B4002" t="str">
        <f>"1551601592898182"</f>
        <v>1551601592898182</v>
      </c>
      <c r="C4002" t="s">
        <v>40</v>
      </c>
      <c r="D4002">
        <v>5.0730440000000003</v>
      </c>
      <c r="E4002">
        <v>0.56762190000000001</v>
      </c>
      <c r="F4002" t="s">
        <v>41</v>
      </c>
      <c r="G4002">
        <v>-425.14080000000001</v>
      </c>
      <c r="H4002" s="1">
        <v>-2.1285430000000002E-6</v>
      </c>
      <c r="I4002">
        <v>91.362319999999997</v>
      </c>
      <c r="J4002">
        <v>-422.06599999999997</v>
      </c>
      <c r="K4002">
        <v>1.1196660000000001</v>
      </c>
      <c r="L4002">
        <v>108.0115</v>
      </c>
      <c r="M4002">
        <v>-7.6444100000000001E-2</v>
      </c>
      <c r="N4002">
        <v>-1.02738E-2</v>
      </c>
      <c r="O4002">
        <v>-0.99702100000000005</v>
      </c>
      <c r="P4002">
        <v>-6.4062019999999997E-3</v>
      </c>
      <c r="Q4002">
        <v>0.16129849999999901</v>
      </c>
      <c r="R4002">
        <v>-0.98688520000000002</v>
      </c>
      <c r="S4002">
        <v>-0.55960080000000001</v>
      </c>
      <c r="T4002">
        <v>-0.20186770000000001</v>
      </c>
      <c r="U4002">
        <v>-3.0679630000000002</v>
      </c>
      <c r="V4002">
        <v>-6.8658369999999996E-2</v>
      </c>
      <c r="W4002">
        <v>0.17156489999999999</v>
      </c>
      <c r="X4002">
        <v>0.98277740000000002</v>
      </c>
      <c r="Y4002">
        <v>0.10340199999999999</v>
      </c>
      <c r="Z4002">
        <v>5.4477940000000002E-2</v>
      </c>
      <c r="AA4002">
        <v>0.99314659999999999</v>
      </c>
      <c r="AB4002">
        <v>36</v>
      </c>
      <c r="AC4002">
        <v>-3.07480000000003</v>
      </c>
      <c r="AD4002">
        <v>-1.1196681285429999</v>
      </c>
      <c r="AE4002">
        <v>-16.649179999999902</v>
      </c>
      <c r="AF4002">
        <v>1.7851955861277899</v>
      </c>
      <c r="AG4002">
        <v>-1.1196681285429999</v>
      </c>
      <c r="AH4002">
        <v>16.7622106577439</v>
      </c>
      <c r="AI4002">
        <v>93.800091599732198</v>
      </c>
      <c r="AJ4002">
        <v>83.920845773838707</v>
      </c>
      <c r="AK4002">
        <v>16.894149464633799</v>
      </c>
      <c r="AL4002">
        <v>80.121181402881405</v>
      </c>
      <c r="AM4002">
        <v>93.996279961256803</v>
      </c>
      <c r="AN4002">
        <v>0.99999995231691197</v>
      </c>
    </row>
    <row r="4003" spans="1:40" x14ac:dyDescent="0.25">
      <c r="A4003" t="str">
        <f>"20190303162632930"</f>
        <v>20190303162632930</v>
      </c>
      <c r="B4003" t="str">
        <f>"1551601592917701"</f>
        <v>1551601592917701</v>
      </c>
      <c r="C4003" t="s">
        <v>40</v>
      </c>
      <c r="D4003">
        <v>5.0877359999999996</v>
      </c>
      <c r="E4003">
        <v>0.56807969999999997</v>
      </c>
      <c r="F4003" t="s">
        <v>41</v>
      </c>
      <c r="G4003">
        <v>-425.3229</v>
      </c>
      <c r="H4003" s="1">
        <v>-1.737503E-6</v>
      </c>
      <c r="I4003">
        <v>90.33784</v>
      </c>
      <c r="J4003">
        <v>-422.09359999999998</v>
      </c>
      <c r="K4003">
        <v>1.120001</v>
      </c>
      <c r="L4003">
        <v>107.6567</v>
      </c>
      <c r="M4003">
        <v>-7.6652079999999997E-2</v>
      </c>
      <c r="N4003">
        <v>-1.027746E-2</v>
      </c>
      <c r="O4003">
        <v>-0.99700509999999998</v>
      </c>
      <c r="P4003">
        <v>-9.6717899999999996E-3</v>
      </c>
      <c r="Q4003">
        <v>0.1669514</v>
      </c>
      <c r="R4003">
        <v>-0.98591779999999996</v>
      </c>
      <c r="S4003">
        <v>-0.56536869999999995</v>
      </c>
      <c r="T4003">
        <v>-0.1943648</v>
      </c>
      <c r="U4003">
        <v>-3.067993</v>
      </c>
      <c r="V4003">
        <v>-6.5653249999999996E-2</v>
      </c>
      <c r="W4003">
        <v>0.1771576</v>
      </c>
      <c r="X4003">
        <v>0.98199029999999998</v>
      </c>
      <c r="Y4003">
        <v>0.10502309999999999</v>
      </c>
      <c r="Z4003">
        <v>5.2062160000000003E-2</v>
      </c>
      <c r="AA4003">
        <v>0.99310609999999999</v>
      </c>
      <c r="AB4003">
        <v>36</v>
      </c>
      <c r="AC4003">
        <v>-3.2293000000000198</v>
      </c>
      <c r="AD4003">
        <v>-1.1200027375029999</v>
      </c>
      <c r="AE4003">
        <v>-17.318860000000001</v>
      </c>
      <c r="AF4003">
        <v>1.8845847484631399</v>
      </c>
      <c r="AG4003">
        <v>-1.1200027375029999</v>
      </c>
      <c r="AH4003">
        <v>17.4449404195224</v>
      </c>
      <c r="AI4003">
        <v>93.652278443820293</v>
      </c>
      <c r="AJ4003">
        <v>83.834223070952504</v>
      </c>
      <c r="AK4003">
        <v>17.582150381760499</v>
      </c>
      <c r="AL4003">
        <v>79.795758970515095</v>
      </c>
      <c r="AM4003">
        <v>93.824950590145406</v>
      </c>
      <c r="AN4003">
        <v>1.0000000568837</v>
      </c>
    </row>
    <row r="4004" spans="1:40" x14ac:dyDescent="0.25">
      <c r="A4004" t="str">
        <f>"20190303162632953"</f>
        <v>20190303162632953</v>
      </c>
      <c r="B4004" t="str">
        <f>"1551601592947959"</f>
        <v>1551601592947959</v>
      </c>
      <c r="C4004" t="s">
        <v>40</v>
      </c>
      <c r="D4004">
        <v>5.037458</v>
      </c>
      <c r="E4004">
        <v>0.5692005</v>
      </c>
      <c r="F4004" t="s">
        <v>41</v>
      </c>
      <c r="G4004">
        <v>-425.74759999999998</v>
      </c>
      <c r="H4004" s="1">
        <v>-4.8414890000000001E-6</v>
      </c>
      <c r="I4004">
        <v>88.217799999999997</v>
      </c>
      <c r="J4004">
        <v>-422.12200000000001</v>
      </c>
      <c r="K4004">
        <v>1.1203939999999999</v>
      </c>
      <c r="L4004">
        <v>107.2856</v>
      </c>
      <c r="M4004">
        <v>-7.6379799999999998E-2</v>
      </c>
      <c r="N4004">
        <v>-1.028364E-2</v>
      </c>
      <c r="O4004">
        <v>-0.99702590000000002</v>
      </c>
      <c r="P4004">
        <v>-1.160188E-2</v>
      </c>
      <c r="Q4004">
        <v>0.1696077</v>
      </c>
      <c r="R4004">
        <v>-0.98544339999999997</v>
      </c>
      <c r="S4004">
        <v>-0.57653809999999905</v>
      </c>
      <c r="T4004">
        <v>-0.17671779999999901</v>
      </c>
      <c r="U4004">
        <v>-3.067123</v>
      </c>
      <c r="V4004">
        <v>-6.3585779999999995E-2</v>
      </c>
      <c r="W4004">
        <v>0.179754</v>
      </c>
      <c r="X4004">
        <v>0.98165440000000004</v>
      </c>
      <c r="Y4004">
        <v>0.1088928</v>
      </c>
      <c r="Z4004">
        <v>4.6408249999999998E-2</v>
      </c>
      <c r="AA4004">
        <v>0.99296960000000001</v>
      </c>
      <c r="AB4004">
        <v>36</v>
      </c>
      <c r="AC4004">
        <v>-3.6256000000000199</v>
      </c>
      <c r="AD4004">
        <v>-1.120398841489</v>
      </c>
      <c r="AE4004">
        <v>-19.067799999999998</v>
      </c>
      <c r="AF4004">
        <v>2.1513675975010398</v>
      </c>
      <c r="AG4004">
        <v>-1.120398841489</v>
      </c>
      <c r="AH4004">
        <v>19.224970620374201</v>
      </c>
      <c r="AI4004">
        <v>93.314685485996904</v>
      </c>
      <c r="AJ4004">
        <v>83.614888472815394</v>
      </c>
      <c r="AK4004">
        <v>19.3773881485054</v>
      </c>
      <c r="AL4004">
        <v>79.644568734369201</v>
      </c>
      <c r="AM4004">
        <v>93.706105107169506</v>
      </c>
      <c r="AN4004">
        <v>1.00000000648678</v>
      </c>
    </row>
    <row r="4005" spans="1:40" x14ac:dyDescent="0.25">
      <c r="A4005" t="str">
        <f>"20190303162632978"</f>
        <v>20190303162632978</v>
      </c>
      <c r="B4005" t="str">
        <f>"1551601592967479"</f>
        <v>1551601592967479</v>
      </c>
      <c r="C4005" t="s">
        <v>40</v>
      </c>
      <c r="D4005">
        <v>5.1242099999999997</v>
      </c>
      <c r="E4005">
        <v>0.56954139999999998</v>
      </c>
      <c r="F4005" t="s">
        <v>41</v>
      </c>
      <c r="G4005">
        <v>-426.1112</v>
      </c>
      <c r="H4005" s="1">
        <v>-4.3310919999999997E-6</v>
      </c>
      <c r="I4005">
        <v>86.528450000000007</v>
      </c>
      <c r="J4005">
        <v>-422.15159999999997</v>
      </c>
      <c r="K4005">
        <v>1.1208499999999999</v>
      </c>
      <c r="L4005">
        <v>106.8921</v>
      </c>
      <c r="M4005">
        <v>-7.5544360000000005E-2</v>
      </c>
      <c r="N4005">
        <v>-1.0293429999999999E-2</v>
      </c>
      <c r="O4005">
        <v>-0.99708960000000002</v>
      </c>
      <c r="P4005">
        <v>-1.278411E-2</v>
      </c>
      <c r="Q4005">
        <v>0.1712525</v>
      </c>
      <c r="R4005">
        <v>-0.98514449999999998</v>
      </c>
      <c r="S4005">
        <v>-0.58920289999999997</v>
      </c>
      <c r="T4005">
        <v>-0.16548370000000001</v>
      </c>
      <c r="U4005">
        <v>-3.065842</v>
      </c>
      <c r="V4005">
        <v>-6.1755909999999997E-2</v>
      </c>
      <c r="W4005">
        <v>0.18133830000000001</v>
      </c>
      <c r="X4005">
        <v>0.98147980000000001</v>
      </c>
      <c r="Y4005">
        <v>0.1137894</v>
      </c>
      <c r="Z4005">
        <v>4.2801550000000001E-2</v>
      </c>
      <c r="AA4005">
        <v>0.99258250000000003</v>
      </c>
      <c r="AB4005">
        <v>36</v>
      </c>
      <c r="AC4005">
        <v>-3.95960000000002</v>
      </c>
      <c r="AD4005">
        <v>-1.1208543310919901</v>
      </c>
      <c r="AE4005">
        <v>-20.36365</v>
      </c>
      <c r="AF4005">
        <v>2.4028296143505399</v>
      </c>
      <c r="AG4005">
        <v>-1.1208543310919901</v>
      </c>
      <c r="AH4005">
        <v>20.544620080319699</v>
      </c>
      <c r="AI4005">
        <v>93.1016941028481</v>
      </c>
      <c r="AJ4005">
        <v>83.329184686062803</v>
      </c>
      <c r="AK4005">
        <v>20.715002264827302</v>
      </c>
      <c r="AL4005">
        <v>79.552278137422505</v>
      </c>
      <c r="AM4005">
        <v>93.600374172396101</v>
      </c>
      <c r="AN4005">
        <v>0.99999998463742801</v>
      </c>
    </row>
    <row r="4006" spans="1:40" x14ac:dyDescent="0.25">
      <c r="A4006" t="str">
        <f>"20190303162632995"</f>
        <v>20190303162632995</v>
      </c>
      <c r="B4006" t="str">
        <f>"1551601592987973"</f>
        <v>1551601592987973</v>
      </c>
      <c r="C4006" t="s">
        <v>40</v>
      </c>
      <c r="D4006">
        <v>5.1217519999999999</v>
      </c>
      <c r="E4006">
        <v>0.56972919999999905</v>
      </c>
      <c r="F4006" t="s">
        <v>41</v>
      </c>
      <c r="G4006">
        <v>-426.30029999999999</v>
      </c>
      <c r="H4006" s="1">
        <v>-4.015918E-6</v>
      </c>
      <c r="I4006">
        <v>85.503709999999998</v>
      </c>
      <c r="J4006">
        <v>-422.17320000000001</v>
      </c>
      <c r="K4006">
        <v>1.121205</v>
      </c>
      <c r="L4006">
        <v>106.5955</v>
      </c>
      <c r="M4006">
        <v>-7.4511859999999999E-2</v>
      </c>
      <c r="N4006">
        <v>-1.030638E-2</v>
      </c>
      <c r="O4006">
        <v>-0.99716709999999997</v>
      </c>
      <c r="P4006">
        <v>-1.316229E-2</v>
      </c>
      <c r="Q4006">
        <v>0.17260710000000001</v>
      </c>
      <c r="R4006">
        <v>-0.98490319999999998</v>
      </c>
      <c r="S4006">
        <v>-0.59460449999999998</v>
      </c>
      <c r="T4006">
        <v>-0.16064210000000001</v>
      </c>
      <c r="U4006">
        <v>-3.0654140000000001</v>
      </c>
      <c r="V4006">
        <v>-6.0495510000000002E-2</v>
      </c>
      <c r="W4006">
        <v>0.18265439999999999</v>
      </c>
      <c r="X4006">
        <v>0.98131420000000003</v>
      </c>
      <c r="Y4006">
        <v>0.1165421</v>
      </c>
      <c r="Z4006">
        <v>4.1237200000000002E-2</v>
      </c>
      <c r="AA4006">
        <v>0.99232929999999997</v>
      </c>
      <c r="AB4006">
        <v>36</v>
      </c>
      <c r="AC4006">
        <v>-4.12709999999998</v>
      </c>
      <c r="AD4006">
        <v>-1.1212090159179999</v>
      </c>
      <c r="AE4006">
        <v>-21.09179</v>
      </c>
      <c r="AF4006">
        <v>2.53704945972</v>
      </c>
      <c r="AG4006">
        <v>-1.1212090159179999</v>
      </c>
      <c r="AH4006">
        <v>21.282761746644599</v>
      </c>
      <c r="AI4006">
        <v>92.994480968400097</v>
      </c>
      <c r="AJ4006">
        <v>83.202033877639906</v>
      </c>
      <c r="AK4006">
        <v>21.462750923003401</v>
      </c>
      <c r="AL4006">
        <v>79.475590017014994</v>
      </c>
      <c r="AM4006">
        <v>93.527673885392005</v>
      </c>
      <c r="AN4006">
        <v>0.999999947845578</v>
      </c>
    </row>
    <row r="4007" spans="1:40" x14ac:dyDescent="0.25">
      <c r="A4007" t="str">
        <f>"20190303162633042"</f>
        <v>20190303162633042</v>
      </c>
      <c r="B4007" t="str">
        <f>"1551601593037750"</f>
        <v>1551601593037750</v>
      </c>
      <c r="C4007" t="s">
        <v>40</v>
      </c>
      <c r="D4007">
        <v>5.2305849999999996</v>
      </c>
      <c r="E4007">
        <v>0.51870349999999998</v>
      </c>
      <c r="F4007" t="s">
        <v>41</v>
      </c>
      <c r="G4007">
        <v>-426.49709999999999</v>
      </c>
      <c r="H4007" s="1">
        <v>-3.6762629999999999E-6</v>
      </c>
      <c r="I4007">
        <v>84.403030000000001</v>
      </c>
      <c r="J4007">
        <v>-422.2235</v>
      </c>
      <c r="K4007">
        <v>1.1218939999999999</v>
      </c>
      <c r="L4007">
        <v>105.8736</v>
      </c>
      <c r="M4007">
        <v>-7.1043389999999998E-2</v>
      </c>
      <c r="N4007">
        <v>-1.0342479999999999E-2</v>
      </c>
      <c r="O4007">
        <v>-0.99741999999999997</v>
      </c>
      <c r="P4007">
        <v>-8.0747490000000009E-3</v>
      </c>
      <c r="Q4007">
        <v>0.17239450000000001</v>
      </c>
      <c r="R4007">
        <v>-0.98499530000000002</v>
      </c>
      <c r="S4007">
        <v>-0.59719849999999997</v>
      </c>
      <c r="T4007">
        <v>-0.15485689999999999</v>
      </c>
      <c r="U4007">
        <v>-3.06514</v>
      </c>
      <c r="V4007">
        <v>-6.2464029999999997E-2</v>
      </c>
      <c r="W4007">
        <v>0.1823698</v>
      </c>
      <c r="X4007">
        <v>0.9812438</v>
      </c>
      <c r="Y4007">
        <v>0.1208351</v>
      </c>
      <c r="Z4007">
        <v>3.9355359999999999E-2</v>
      </c>
      <c r="AA4007">
        <v>0.9918922</v>
      </c>
      <c r="AB4007">
        <v>36</v>
      </c>
      <c r="AC4007">
        <v>-4.2735999999999796</v>
      </c>
      <c r="AD4007">
        <v>-1.121897676263</v>
      </c>
      <c r="AE4007">
        <v>-21.470569999999899</v>
      </c>
      <c r="AF4007">
        <v>2.7302070078310101</v>
      </c>
      <c r="AG4007">
        <v>-1.121897676263</v>
      </c>
      <c r="AH4007">
        <v>21.663046327971202</v>
      </c>
      <c r="AI4007">
        <v>92.941389876213805</v>
      </c>
      <c r="AJ4007">
        <v>82.816849728758001</v>
      </c>
      <c r="AK4007">
        <v>21.8632170759346</v>
      </c>
      <c r="AL4007">
        <v>79.492174955287595</v>
      </c>
      <c r="AM4007">
        <v>93.642420636923703</v>
      </c>
      <c r="AN4007">
        <v>0.999999947017159</v>
      </c>
    </row>
    <row r="4008" spans="1:40" x14ac:dyDescent="0.25">
      <c r="A4008" t="str">
        <f>"20190303162633065"</f>
        <v>20190303162633065</v>
      </c>
      <c r="B4008" t="str">
        <f>"1551601593057270"</f>
        <v>1551601593057270</v>
      </c>
      <c r="C4008" t="s">
        <v>40</v>
      </c>
      <c r="D4008">
        <v>5.1913830000000001</v>
      </c>
      <c r="E4008">
        <v>0.5051059</v>
      </c>
      <c r="F4008" t="s">
        <v>41</v>
      </c>
      <c r="G4008">
        <v>-424.51799999999997</v>
      </c>
      <c r="H4008" s="1">
        <v>-3.7680799999999998E-6</v>
      </c>
      <c r="I4008">
        <v>65.704459999999997</v>
      </c>
      <c r="J4008">
        <v>-422.24779999999998</v>
      </c>
      <c r="K4008">
        <v>1.122133</v>
      </c>
      <c r="L4008">
        <v>105.5051</v>
      </c>
      <c r="M4008">
        <v>-6.8898329999999994E-2</v>
      </c>
      <c r="N4008">
        <v>-1.0357170000000001E-2</v>
      </c>
      <c r="O4008">
        <v>-0.99756999999999996</v>
      </c>
      <c r="P4008">
        <v>-1.041761E-3</v>
      </c>
      <c r="Q4008">
        <v>0.17196069999999999</v>
      </c>
      <c r="R4008">
        <v>-0.98510339999999996</v>
      </c>
      <c r="S4008">
        <v>-0.1747437</v>
      </c>
      <c r="T4008">
        <v>-8.5441950000000003E-2</v>
      </c>
      <c r="U4008">
        <v>-3.0592190000000001</v>
      </c>
      <c r="V4008">
        <v>-6.7482280000000006E-2</v>
      </c>
      <c r="W4008">
        <v>0.18189250000000001</v>
      </c>
      <c r="X4008">
        <v>0.98100010000000004</v>
      </c>
      <c r="Y4008">
        <v>-1.1904390000000001E-2</v>
      </c>
      <c r="Z4008">
        <v>1.746112E-2</v>
      </c>
      <c r="AA4008">
        <v>0.99977669999999996</v>
      </c>
      <c r="AB4008">
        <v>36</v>
      </c>
      <c r="AC4008">
        <v>-2.27020000000004</v>
      </c>
      <c r="AD4008">
        <v>-1.1221367680800001</v>
      </c>
      <c r="AE4008">
        <v>-39.800640000000001</v>
      </c>
      <c r="AF4008">
        <v>-0.47716172657023398</v>
      </c>
      <c r="AG4008">
        <v>-1.1221367680800001</v>
      </c>
      <c r="AH4008">
        <v>39.830913586969601</v>
      </c>
      <c r="AI4008">
        <v>91.613623290644497</v>
      </c>
      <c r="AJ4008">
        <v>90.686352455397099</v>
      </c>
      <c r="AK4008">
        <v>39.849574043046204</v>
      </c>
      <c r="AL4008">
        <v>79.519987638716401</v>
      </c>
      <c r="AM4008">
        <v>93.935135643176906</v>
      </c>
      <c r="AN4008">
        <v>0.99999996793512802</v>
      </c>
    </row>
    <row r="4009" spans="1:40" x14ac:dyDescent="0.25">
      <c r="A4009" t="str">
        <f>"20190303162633087"</f>
        <v>20190303162633087</v>
      </c>
      <c r="B4009" t="str">
        <f>"1551601593077767"</f>
        <v>1551601593077767</v>
      </c>
      <c r="C4009" t="s">
        <v>40</v>
      </c>
      <c r="D4009">
        <v>5.340166</v>
      </c>
      <c r="E4009">
        <v>0.43254399999999998</v>
      </c>
      <c r="F4009" t="s">
        <v>41</v>
      </c>
      <c r="G4009">
        <v>-423.26310000000001</v>
      </c>
      <c r="H4009" s="1">
        <v>-1.0747709999999999E-6</v>
      </c>
      <c r="I4009">
        <v>40.07056</v>
      </c>
      <c r="J4009">
        <v>-422.27069999999998</v>
      </c>
      <c r="K4009">
        <v>1.122314</v>
      </c>
      <c r="L4009">
        <v>105.1451</v>
      </c>
      <c r="M4009">
        <v>-6.6672729999999999E-2</v>
      </c>
      <c r="N4009">
        <v>-1.037046E-2</v>
      </c>
      <c r="O4009">
        <v>-0.99772110000000003</v>
      </c>
      <c r="P4009">
        <v>5.3113519999999897E-3</v>
      </c>
      <c r="Q4009">
        <v>0.1722563</v>
      </c>
      <c r="R4009">
        <v>-0.98503830000000003</v>
      </c>
      <c r="S4009">
        <v>-4.73938E-2</v>
      </c>
      <c r="T4009">
        <v>-5.2381039999999997E-2</v>
      </c>
      <c r="U4009">
        <v>-3.0544739999999999</v>
      </c>
      <c r="V4009">
        <v>-7.1702639999999998E-2</v>
      </c>
      <c r="W4009">
        <v>0.1821527</v>
      </c>
      <c r="X4009">
        <v>0.98065239999999998</v>
      </c>
      <c r="Y4009">
        <v>-5.1181530000000003E-2</v>
      </c>
      <c r="Z4009">
        <v>6.7124649999999999E-3</v>
      </c>
      <c r="AA4009">
        <v>0.99866679999999997</v>
      </c>
      <c r="AB4009">
        <v>36</v>
      </c>
      <c r="AC4009">
        <v>-0.99240000000003203</v>
      </c>
      <c r="AD4009">
        <v>-1.122315074771</v>
      </c>
      <c r="AE4009">
        <v>-65.074539999999999</v>
      </c>
      <c r="AF4009">
        <v>-3.34774303068501</v>
      </c>
      <c r="AG4009">
        <v>-1.122315074771</v>
      </c>
      <c r="AH4009">
        <v>64.976574021645007</v>
      </c>
      <c r="AI4009">
        <v>90.988238766032097</v>
      </c>
      <c r="AJ4009">
        <v>92.949402841272303</v>
      </c>
      <c r="AK4009">
        <v>65.072437683837194</v>
      </c>
      <c r="AL4009">
        <v>79.504826354423002</v>
      </c>
      <c r="AM4009">
        <v>94.181870091377306</v>
      </c>
      <c r="AN4009">
        <v>1.000000002163</v>
      </c>
    </row>
    <row r="4010" spans="1:40" x14ac:dyDescent="0.25">
      <c r="A4010" t="str">
        <f>"20190303162633109"</f>
        <v>20190303162633109</v>
      </c>
      <c r="B4010" t="str">
        <f>"1551601593098261"</f>
        <v>1551601593098261</v>
      </c>
      <c r="C4010" t="s">
        <v>40</v>
      </c>
      <c r="D4010">
        <v>5.227652</v>
      </c>
      <c r="E4010">
        <v>0.42898199999999997</v>
      </c>
      <c r="F4010" t="s">
        <v>41</v>
      </c>
      <c r="G4010">
        <v>-416.09399999999999</v>
      </c>
      <c r="H4010" s="1">
        <v>-1.407259E-6</v>
      </c>
      <c r="I4010">
        <v>70.729369999999903</v>
      </c>
      <c r="J4010">
        <v>-422.29300000000001</v>
      </c>
      <c r="K4010">
        <v>1.1224289999999999</v>
      </c>
      <c r="L4010">
        <v>104.78100000000001</v>
      </c>
      <c r="M4010">
        <v>-6.4379749999999999E-2</v>
      </c>
      <c r="N4010">
        <v>-1.038651E-2</v>
      </c>
      <c r="O4010">
        <v>-0.99787150000000002</v>
      </c>
      <c r="P4010">
        <v>1.055177E-2</v>
      </c>
      <c r="Q4010">
        <v>0.17249990000000001</v>
      </c>
      <c r="R4010">
        <v>-0.98495310000000003</v>
      </c>
      <c r="S4010">
        <v>0.54919430000000002</v>
      </c>
      <c r="T4010">
        <v>-9.9790100000000007E-2</v>
      </c>
      <c r="U4010">
        <v>-3.0600589999999999</v>
      </c>
      <c r="V4010">
        <v>-7.4720369999999994E-2</v>
      </c>
      <c r="W4010">
        <v>0.18237639999999999</v>
      </c>
      <c r="X4010">
        <v>0.98038550000000002</v>
      </c>
      <c r="Y4010">
        <v>-0.23956050000000001</v>
      </c>
      <c r="Z4010">
        <v>2.1321050000000001E-2</v>
      </c>
      <c r="AA4010">
        <v>0.97064729999999999</v>
      </c>
      <c r="AB4010">
        <v>36</v>
      </c>
      <c r="AC4010">
        <v>6.1990000000000096</v>
      </c>
      <c r="AD4010">
        <v>-1.1224304072589999</v>
      </c>
      <c r="AE4010">
        <v>-34.051630000000003</v>
      </c>
      <c r="AF4010">
        <v>-8.3696898906404495</v>
      </c>
      <c r="AG4010">
        <v>-1.1224304072589999</v>
      </c>
      <c r="AH4010">
        <v>33.546589499705803</v>
      </c>
      <c r="AI4010">
        <v>91.859380720785396</v>
      </c>
      <c r="AJ4010">
        <v>104.008981426875</v>
      </c>
      <c r="AK4010">
        <v>34.593138422906897</v>
      </c>
      <c r="AL4010">
        <v>79.491790988357593</v>
      </c>
      <c r="AM4010">
        <v>94.358388803507907</v>
      </c>
      <c r="AN4010">
        <v>1.0000000067900701</v>
      </c>
    </row>
    <row r="4011" spans="1:40" x14ac:dyDescent="0.25">
      <c r="A4011" t="str">
        <f>"20190303162633132"</f>
        <v>20190303162633132</v>
      </c>
      <c r="B4011" t="str">
        <f>"1551601593127541"</f>
        <v>1551601593127541</v>
      </c>
      <c r="C4011" t="s">
        <v>40</v>
      </c>
      <c r="D4011">
        <v>5.129086</v>
      </c>
      <c r="E4011">
        <v>0.43136219999999997</v>
      </c>
      <c r="F4011" t="s">
        <v>41</v>
      </c>
      <c r="G4011">
        <v>-417.11099999999999</v>
      </c>
      <c r="H4011" s="1">
        <v>-4.1118119999999997E-6</v>
      </c>
      <c r="I4011">
        <v>78.022940000000006</v>
      </c>
      <c r="J4011">
        <v>-422.31490000000002</v>
      </c>
      <c r="K4011">
        <v>1.1224829999999999</v>
      </c>
      <c r="L4011">
        <v>104.4085</v>
      </c>
      <c r="M4011">
        <v>-6.2078309999999998E-2</v>
      </c>
      <c r="N4011">
        <v>-1.0406769999999999E-2</v>
      </c>
      <c r="O4011">
        <v>-0.99801719999999905</v>
      </c>
      <c r="P4011">
        <v>1.498649E-2</v>
      </c>
      <c r="Q4011">
        <v>0.1709765</v>
      </c>
      <c r="R4011">
        <v>-0.98516150000000002</v>
      </c>
      <c r="S4011">
        <v>0.59298709999999999</v>
      </c>
      <c r="T4011">
        <v>-0.12844249999999999</v>
      </c>
      <c r="U4011">
        <v>-3.0619809999999998</v>
      </c>
      <c r="V4011">
        <v>-7.6913170000000003E-2</v>
      </c>
      <c r="W4011">
        <v>0.18085390000000001</v>
      </c>
      <c r="X4011">
        <v>0.98049799999999998</v>
      </c>
      <c r="Y4011">
        <v>-0.25055630000000001</v>
      </c>
      <c r="Z4011">
        <v>3.028076E-2</v>
      </c>
      <c r="AA4011">
        <v>0.96762840000000006</v>
      </c>
      <c r="AB4011">
        <v>36</v>
      </c>
      <c r="AC4011">
        <v>5.2039000000000302</v>
      </c>
      <c r="AD4011">
        <v>-1.1224871118119999</v>
      </c>
      <c r="AE4011">
        <v>-26.385560000000002</v>
      </c>
      <c r="AF4011">
        <v>-6.8200406897198</v>
      </c>
      <c r="AG4011">
        <v>-1.1224871118119999</v>
      </c>
      <c r="AH4011">
        <v>25.966363079954601</v>
      </c>
      <c r="AI4011">
        <v>92.394166156966605</v>
      </c>
      <c r="AJ4011">
        <v>104.716293218202</v>
      </c>
      <c r="AK4011">
        <v>26.870521839474002</v>
      </c>
      <c r="AL4011">
        <v>79.5804995036778</v>
      </c>
      <c r="AM4011">
        <v>94.485266129415294</v>
      </c>
      <c r="AN4011">
        <v>1.0000000484343201</v>
      </c>
    </row>
    <row r="4012" spans="1:40" x14ac:dyDescent="0.25">
      <c r="A4012" t="str">
        <f>"20190303162633154"</f>
        <v>20190303162633154</v>
      </c>
      <c r="B4012" t="str">
        <f>"1551601593138278"</f>
        <v>1551601593138278</v>
      </c>
      <c r="C4012" t="s">
        <v>40</v>
      </c>
      <c r="D4012">
        <v>5.1533340000000001</v>
      </c>
      <c r="E4012">
        <v>0.43186989999999997</v>
      </c>
      <c r="F4012" t="s">
        <v>41</v>
      </c>
      <c r="G4012">
        <v>-417.13959999999997</v>
      </c>
      <c r="H4012" s="1">
        <v>-3.8639819999999997E-6</v>
      </c>
      <c r="I4012">
        <v>77.457089999999994</v>
      </c>
      <c r="J4012">
        <v>-422.3349</v>
      </c>
      <c r="K4012">
        <v>1.1224879999999999</v>
      </c>
      <c r="L4012">
        <v>104.05880000000001</v>
      </c>
      <c r="M4012">
        <v>-6.0027690000000002E-2</v>
      </c>
      <c r="N4012">
        <v>-1.0435170000000001E-2</v>
      </c>
      <c r="O4012">
        <v>-0.99814210000000003</v>
      </c>
      <c r="P4012">
        <v>1.965252E-2</v>
      </c>
      <c r="Q4012">
        <v>0.16979530000000001</v>
      </c>
      <c r="R4012">
        <v>-0.98528320000000003</v>
      </c>
      <c r="S4012">
        <v>0.58728029999999998</v>
      </c>
      <c r="T4012">
        <v>-0.1273772</v>
      </c>
      <c r="U4012">
        <v>-3.0583800000000001</v>
      </c>
      <c r="V4012">
        <v>-7.9555849999999997E-2</v>
      </c>
      <c r="W4012">
        <v>0.17968879999999901</v>
      </c>
      <c r="X4012">
        <v>0.98050130000000002</v>
      </c>
      <c r="Y4012">
        <v>-0.2470405</v>
      </c>
      <c r="Z4012">
        <v>2.9997389999999999E-2</v>
      </c>
      <c r="AA4012">
        <v>0.96854070000000003</v>
      </c>
      <c r="AB4012">
        <v>36</v>
      </c>
      <c r="AC4012">
        <v>5.1953000000000298</v>
      </c>
      <c r="AD4012">
        <v>-1.1224918639819901</v>
      </c>
      <c r="AE4012">
        <v>-26.601710000000001</v>
      </c>
      <c r="AF4012">
        <v>-6.7712432232369002</v>
      </c>
      <c r="AG4012">
        <v>-1.1224918639819901</v>
      </c>
      <c r="AH4012">
        <v>26.196924905336498</v>
      </c>
      <c r="AI4012">
        <v>92.375544616780104</v>
      </c>
      <c r="AJ4012">
        <v>104.49232816810699</v>
      </c>
      <c r="AK4012">
        <v>27.081148374261701</v>
      </c>
      <c r="AL4012">
        <v>79.648366170651698</v>
      </c>
      <c r="AM4012">
        <v>94.638699582995102</v>
      </c>
      <c r="AN4012">
        <v>0.99999999870817602</v>
      </c>
    </row>
    <row r="4013" spans="1:40" x14ac:dyDescent="0.25">
      <c r="A4013" t="str">
        <f>"20190303162633177"</f>
        <v>20190303162633177</v>
      </c>
      <c r="B4013" t="str">
        <f>"1551601593167558"</f>
        <v>1551601593167558</v>
      </c>
      <c r="C4013" t="s">
        <v>40</v>
      </c>
      <c r="D4013">
        <v>5.0721990000000003</v>
      </c>
      <c r="E4013">
        <v>0.43396659999999998</v>
      </c>
      <c r="F4013" t="s">
        <v>41</v>
      </c>
      <c r="G4013">
        <v>-417.44549999999998</v>
      </c>
      <c r="H4013" s="1">
        <v>-4.4940910000000003E-6</v>
      </c>
      <c r="I4013">
        <v>79.052369999999996</v>
      </c>
      <c r="J4013">
        <v>-422.35520000000002</v>
      </c>
      <c r="K4013">
        <v>1.122444</v>
      </c>
      <c r="L4013">
        <v>103.6927</v>
      </c>
      <c r="M4013">
        <v>-5.8044249999999999E-2</v>
      </c>
      <c r="N4013">
        <v>-1.0477480000000001E-2</v>
      </c>
      <c r="O4013">
        <v>-0.99825920000000001</v>
      </c>
      <c r="P4013">
        <v>2.4836E-2</v>
      </c>
      <c r="Q4013">
        <v>0.1701472</v>
      </c>
      <c r="R4013">
        <v>-0.98510589999999998</v>
      </c>
      <c r="S4013">
        <v>0.59762569999999904</v>
      </c>
      <c r="T4013">
        <v>-0.1372015</v>
      </c>
      <c r="U4013">
        <v>-3.0565190000000002</v>
      </c>
      <c r="V4013">
        <v>-8.2749809999999993E-2</v>
      </c>
      <c r="W4013">
        <v>0.18007390000000001</v>
      </c>
      <c r="X4013">
        <v>0.98016630000000005</v>
      </c>
      <c r="Y4013">
        <v>-0.2483601</v>
      </c>
      <c r="Z4013">
        <v>3.3086209999999998E-2</v>
      </c>
      <c r="AA4013">
        <v>0.96810260000000004</v>
      </c>
      <c r="AB4013">
        <v>36</v>
      </c>
      <c r="AC4013">
        <v>4.9097000000000399</v>
      </c>
      <c r="AD4013">
        <v>-1.122448494091</v>
      </c>
      <c r="AE4013">
        <v>-24.640329999999999</v>
      </c>
      <c r="AF4013">
        <v>-6.3191170409885302</v>
      </c>
      <c r="AG4013">
        <v>-1.122448494091</v>
      </c>
      <c r="AH4013">
        <v>24.265356351393301</v>
      </c>
      <c r="AI4013">
        <v>92.563091459813705</v>
      </c>
      <c r="AJ4013">
        <v>104.596606094965</v>
      </c>
      <c r="AK4013">
        <v>25.099773896585301</v>
      </c>
      <c r="AL4013">
        <v>79.625936309586095</v>
      </c>
      <c r="AM4013">
        <v>94.825710219691601</v>
      </c>
      <c r="AN4013">
        <v>1.00000005808596</v>
      </c>
    </row>
    <row r="4014" spans="1:40" x14ac:dyDescent="0.25">
      <c r="A4014" t="str">
        <f>"20190303162633198"</f>
        <v>20190303162633198</v>
      </c>
      <c r="B4014" t="str">
        <f>"1551601593188055"</f>
        <v>1551601593188055</v>
      </c>
      <c r="C4014" t="s">
        <v>40</v>
      </c>
      <c r="D4014">
        <v>4.975276</v>
      </c>
      <c r="E4014">
        <v>0.43499599999999999</v>
      </c>
      <c r="F4014" t="s">
        <v>41</v>
      </c>
      <c r="G4014">
        <v>-417.57440000000003</v>
      </c>
      <c r="H4014" s="1">
        <v>-4.5657210000000001E-6</v>
      </c>
      <c r="I4014">
        <v>79.272639999999996</v>
      </c>
      <c r="J4014">
        <v>-422.37360000000001</v>
      </c>
      <c r="K4014">
        <v>1.122369</v>
      </c>
      <c r="L4014">
        <v>103.35039999999999</v>
      </c>
      <c r="M4014">
        <v>-5.6378579999999998E-2</v>
      </c>
      <c r="N4014">
        <v>-1.052728E-2</v>
      </c>
      <c r="O4014">
        <v>-0.99835410000000002</v>
      </c>
      <c r="P4014">
        <v>2.9228259999999999E-2</v>
      </c>
      <c r="Q4014">
        <v>0.1691763</v>
      </c>
      <c r="R4014">
        <v>-0.98515240000000004</v>
      </c>
      <c r="S4014">
        <v>0.59799190000000002</v>
      </c>
      <c r="T4014">
        <v>-0.1403992</v>
      </c>
      <c r="U4014">
        <v>-3.054535</v>
      </c>
      <c r="V4014">
        <v>-8.5459419999999994E-2</v>
      </c>
      <c r="W4014">
        <v>0.17915639999999999</v>
      </c>
      <c r="X4014">
        <v>0.98010189999999997</v>
      </c>
      <c r="Y4014">
        <v>-0.24696599999999999</v>
      </c>
      <c r="Z4014">
        <v>3.4095170000000001E-2</v>
      </c>
      <c r="AA4014">
        <v>0.96842410000000001</v>
      </c>
      <c r="AB4014">
        <v>36</v>
      </c>
      <c r="AC4014">
        <v>4.7991999999999804</v>
      </c>
      <c r="AD4014">
        <v>-1.1223735657210001</v>
      </c>
      <c r="AE4014">
        <v>-24.077760000000001</v>
      </c>
      <c r="AF4014">
        <v>-6.1362866662725803</v>
      </c>
      <c r="AG4014">
        <v>-1.1223735657210001</v>
      </c>
      <c r="AH4014">
        <v>23.7193015167692</v>
      </c>
      <c r="AI4014">
        <v>92.622932347475</v>
      </c>
      <c r="AJ4014">
        <v>104.50465997402399</v>
      </c>
      <c r="AK4014">
        <v>24.525884304446802</v>
      </c>
      <c r="AL4014">
        <v>79.679373969882704</v>
      </c>
      <c r="AM4014">
        <v>94.983268914026695</v>
      </c>
      <c r="AN4014">
        <v>1.0000000312556501</v>
      </c>
    </row>
    <row r="4015" spans="1:40" x14ac:dyDescent="0.25">
      <c r="A4015" t="str">
        <f>"20190303162633221"</f>
        <v>20190303162633221</v>
      </c>
      <c r="B4015" t="str">
        <f>"1551601593207575"</f>
        <v>1551601593207575</v>
      </c>
      <c r="C4015" t="s">
        <v>40</v>
      </c>
      <c r="D4015">
        <v>4.9063400000000001</v>
      </c>
      <c r="E4015">
        <v>0.43570799999999998</v>
      </c>
      <c r="F4015" t="s">
        <v>41</v>
      </c>
      <c r="G4015">
        <v>-417.66789999999997</v>
      </c>
      <c r="H4015" s="1">
        <v>-4.6482940000000003E-6</v>
      </c>
      <c r="I4015">
        <v>79.503780000000006</v>
      </c>
      <c r="J4015">
        <v>-422.39240000000001</v>
      </c>
      <c r="K4015">
        <v>1.1222589999999999</v>
      </c>
      <c r="L4015">
        <v>102.9932</v>
      </c>
      <c r="M4015">
        <v>-5.4863210000000003E-2</v>
      </c>
      <c r="N4015">
        <v>-1.0587940000000001E-2</v>
      </c>
      <c r="O4015">
        <v>-0.99843800000000005</v>
      </c>
      <c r="P4015">
        <v>3.2529780000000001E-2</v>
      </c>
      <c r="Q4015">
        <v>0.16711809999999999</v>
      </c>
      <c r="R4015">
        <v>-0.98540059999999996</v>
      </c>
      <c r="S4015">
        <v>0.60226440000000003</v>
      </c>
      <c r="T4015">
        <v>-0.1436479</v>
      </c>
      <c r="U4015">
        <v>-3.0520320000000001</v>
      </c>
      <c r="V4015">
        <v>-8.7220240000000004E-2</v>
      </c>
      <c r="W4015">
        <v>0.17717729999999901</v>
      </c>
      <c r="X4015">
        <v>0.98030649999999997</v>
      </c>
      <c r="Y4015">
        <v>-0.24694160000000001</v>
      </c>
      <c r="Z4015">
        <v>3.51039E-2</v>
      </c>
      <c r="AA4015">
        <v>0.96839430000000004</v>
      </c>
      <c r="AB4015">
        <v>36</v>
      </c>
      <c r="AC4015">
        <v>4.7245000000000301</v>
      </c>
      <c r="AD4015">
        <v>-1.122263648294</v>
      </c>
      <c r="AE4015">
        <v>-23.489419999999999</v>
      </c>
      <c r="AF4015">
        <v>-5.9930122022331496</v>
      </c>
      <c r="AG4015">
        <v>-1.122263648294</v>
      </c>
      <c r="AH4015">
        <v>23.1440461230717</v>
      </c>
      <c r="AI4015">
        <v>92.687613136164401</v>
      </c>
      <c r="AJ4015">
        <v>104.517529154448</v>
      </c>
      <c r="AK4015">
        <v>23.933711410879599</v>
      </c>
      <c r="AL4015">
        <v>79.794611513532104</v>
      </c>
      <c r="AM4015">
        <v>95.084356190950103</v>
      </c>
      <c r="AN4015">
        <v>0.99999999992159805</v>
      </c>
    </row>
    <row r="4016" spans="1:40" x14ac:dyDescent="0.25">
      <c r="A4016" t="str">
        <f>"20190303162633243"</f>
        <v>20190303162633243</v>
      </c>
      <c r="B4016" t="str">
        <f>"1551601593228070"</f>
        <v>1551601593228070</v>
      </c>
      <c r="C4016" t="s">
        <v>40</v>
      </c>
      <c r="D4016">
        <v>4.8544960000000001</v>
      </c>
      <c r="E4016">
        <v>0.43640319999999999</v>
      </c>
      <c r="F4016" t="s">
        <v>41</v>
      </c>
      <c r="G4016">
        <v>-417.76440000000002</v>
      </c>
      <c r="H4016" s="1">
        <v>-6.1052650000000001E-7</v>
      </c>
      <c r="I4016">
        <v>79.694159999999997</v>
      </c>
      <c r="J4016">
        <v>-422.4119</v>
      </c>
      <c r="K4016">
        <v>1.1221159999999999</v>
      </c>
      <c r="L4016">
        <v>102.6146</v>
      </c>
      <c r="M4016">
        <v>-5.3491450000000003E-2</v>
      </c>
      <c r="N4016">
        <v>-1.0659399999999999E-2</v>
      </c>
      <c r="O4016">
        <v>-0.99851140000000005</v>
      </c>
      <c r="P4016">
        <v>3.5731039999999999E-2</v>
      </c>
      <c r="Q4016">
        <v>0.165467899999999</v>
      </c>
      <c r="R4016">
        <v>-0.98556779999999999</v>
      </c>
      <c r="S4016">
        <v>0.6057129</v>
      </c>
      <c r="T4016">
        <v>-0.14688109999999999</v>
      </c>
      <c r="U4016">
        <v>-3.0493769999999998</v>
      </c>
      <c r="V4016">
        <v>-8.9009439999999995E-2</v>
      </c>
      <c r="W4016">
        <v>0.17562230000000001</v>
      </c>
      <c r="X4016">
        <v>0.98042549999999995</v>
      </c>
      <c r="Y4016">
        <v>-0.24681549999999999</v>
      </c>
      <c r="Z4016">
        <v>3.6101729999999999E-2</v>
      </c>
      <c r="AA4016">
        <v>0.96838979999999997</v>
      </c>
      <c r="AB4016">
        <v>36</v>
      </c>
      <c r="AC4016">
        <v>4.6474999999999804</v>
      </c>
      <c r="AD4016">
        <v>-1.1221166105264999</v>
      </c>
      <c r="AE4016">
        <v>-22.920439999999999</v>
      </c>
      <c r="AF4016">
        <v>-5.8534871529565899</v>
      </c>
      <c r="AG4016">
        <v>-1.1221166105264999</v>
      </c>
      <c r="AH4016">
        <v>22.587007158757402</v>
      </c>
      <c r="AI4016">
        <v>92.753294421741302</v>
      </c>
      <c r="AJ4016">
        <v>104.528741822584</v>
      </c>
      <c r="AK4016">
        <v>23.3601230717478</v>
      </c>
      <c r="AL4016">
        <v>79.885126025309205</v>
      </c>
      <c r="AM4016">
        <v>95.187464800794402</v>
      </c>
      <c r="AN4016">
        <v>1.0000000168583201</v>
      </c>
    </row>
    <row r="4017" spans="1:40" x14ac:dyDescent="0.25">
      <c r="A4017" t="str">
        <f>"20190303162633266"</f>
        <v>20190303162633266</v>
      </c>
      <c r="B4017" t="str">
        <f>"1551601593257349"</f>
        <v>1551601593257349</v>
      </c>
      <c r="C4017" t="s">
        <v>40</v>
      </c>
      <c r="D4017">
        <v>4.7730739999999896</v>
      </c>
      <c r="E4017">
        <v>0.43757390000000002</v>
      </c>
      <c r="F4017" t="s">
        <v>41</v>
      </c>
      <c r="G4017">
        <v>-417.87549999999999</v>
      </c>
      <c r="H4017" s="1">
        <v>-6.5054019999999998E-7</v>
      </c>
      <c r="I4017">
        <v>79.898629999999997</v>
      </c>
      <c r="J4017">
        <v>-422.43020000000001</v>
      </c>
      <c r="K4017">
        <v>1.121988</v>
      </c>
      <c r="L4017">
        <v>102.2526</v>
      </c>
      <c r="M4017">
        <v>-5.2357819999999999E-2</v>
      </c>
      <c r="N4017">
        <v>-1.0731559999999999E-2</v>
      </c>
      <c r="O4017">
        <v>-0.99857079999999998</v>
      </c>
      <c r="P4017">
        <v>3.758761E-2</v>
      </c>
      <c r="Q4017">
        <v>0.164001799999999</v>
      </c>
      <c r="R4017">
        <v>-0.98574390000000001</v>
      </c>
      <c r="S4017">
        <v>0.60852050000000002</v>
      </c>
      <c r="T4017">
        <v>-0.15052219999999999</v>
      </c>
      <c r="U4017">
        <v>-3.0471499999999998</v>
      </c>
      <c r="V4017">
        <v>-8.9698199999999895E-2</v>
      </c>
      <c r="W4017">
        <v>0.17425460000000001</v>
      </c>
      <c r="X4017">
        <v>0.98060670000000005</v>
      </c>
      <c r="Y4017">
        <v>-0.24669859999999999</v>
      </c>
      <c r="Z4017">
        <v>3.7223510000000001E-2</v>
      </c>
      <c r="AA4017">
        <v>0.96837709999999999</v>
      </c>
      <c r="AB4017">
        <v>36</v>
      </c>
      <c r="AC4017">
        <v>4.55470000000002</v>
      </c>
      <c r="AD4017">
        <v>-1.1219886505401999</v>
      </c>
      <c r="AE4017">
        <v>-22.353969999999901</v>
      </c>
      <c r="AF4017">
        <v>-5.7051248374043899</v>
      </c>
      <c r="AG4017">
        <v>-1.1219886505401999</v>
      </c>
      <c r="AH4017">
        <v>22.0315275418215</v>
      </c>
      <c r="AI4017">
        <v>92.822417704295802</v>
      </c>
      <c r="AJ4017">
        <v>104.51799871113199</v>
      </c>
      <c r="AK4017">
        <v>22.785862146698499</v>
      </c>
      <c r="AL4017">
        <v>79.964716296724404</v>
      </c>
      <c r="AM4017">
        <v>95.226423573226398</v>
      </c>
      <c r="AN4017">
        <v>0.99999996639464395</v>
      </c>
    </row>
    <row r="4018" spans="1:40" x14ac:dyDescent="0.25">
      <c r="A4018" t="str">
        <f>"20190303162633287"</f>
        <v>20190303162633287</v>
      </c>
      <c r="B4018" t="str">
        <f>"1551601593277847"</f>
        <v>1551601593277847</v>
      </c>
      <c r="C4018" t="s">
        <v>40</v>
      </c>
      <c r="D4018">
        <v>4.7459660000000001</v>
      </c>
      <c r="E4018">
        <v>0.4382433</v>
      </c>
      <c r="F4018" t="s">
        <v>41</v>
      </c>
      <c r="G4018">
        <v>-418.0992</v>
      </c>
      <c r="H4018" s="1">
        <v>-7.573424E-7</v>
      </c>
      <c r="I4018">
        <v>80.387369999999905</v>
      </c>
      <c r="J4018">
        <v>-422.4477</v>
      </c>
      <c r="K4018">
        <v>1.1218859999999999</v>
      </c>
      <c r="L4018">
        <v>101.9037</v>
      </c>
      <c r="M4018">
        <v>-5.1405579999999999E-2</v>
      </c>
      <c r="N4018">
        <v>-1.081521E-2</v>
      </c>
      <c r="O4018">
        <v>-0.99861929999999999</v>
      </c>
      <c r="P4018">
        <v>3.9540640000000002E-2</v>
      </c>
      <c r="Q4018">
        <v>0.1638339</v>
      </c>
      <c r="R4018">
        <v>-0.98569519999999999</v>
      </c>
      <c r="S4018">
        <v>0.60342410000000002</v>
      </c>
      <c r="T4018">
        <v>-0.1563216</v>
      </c>
      <c r="U4018">
        <v>-3.0463870000000002</v>
      </c>
      <c r="V4018">
        <v>-9.0662000000000006E-2</v>
      </c>
      <c r="W4018">
        <v>0.17418939999999999</v>
      </c>
      <c r="X4018">
        <v>0.98052969999999895</v>
      </c>
      <c r="Y4018">
        <v>-0.2442462</v>
      </c>
      <c r="Z4018">
        <v>3.9026390000000001E-2</v>
      </c>
      <c r="AA4018">
        <v>0.9689276</v>
      </c>
      <c r="AB4018">
        <v>36</v>
      </c>
      <c r="AC4018">
        <v>4.3484999999999996</v>
      </c>
      <c r="AD4018">
        <v>-1.1218867573424001</v>
      </c>
      <c r="AE4018">
        <v>-21.51633</v>
      </c>
      <c r="AF4018">
        <v>-5.4346786537097698</v>
      </c>
      <c r="AG4018">
        <v>-1.1218867573424001</v>
      </c>
      <c r="AH4018">
        <v>21.208930795679599</v>
      </c>
      <c r="AI4018">
        <v>92.933347980682996</v>
      </c>
      <c r="AJ4018">
        <v>104.372500178639</v>
      </c>
      <c r="AK4018">
        <v>21.922890034420998</v>
      </c>
      <c r="AL4018">
        <v>79.968510533729201</v>
      </c>
      <c r="AM4018">
        <v>95.282677547033998</v>
      </c>
      <c r="AN4018">
        <v>1.00000001894922</v>
      </c>
    </row>
    <row r="4019" spans="1:40" x14ac:dyDescent="0.25">
      <c r="A4019" t="str">
        <f>"20190303162633312"</f>
        <v>20190303162633312</v>
      </c>
      <c r="B4019" t="str">
        <f>"1551601593297365"</f>
        <v>1551601593297365</v>
      </c>
      <c r="C4019" t="s">
        <v>40</v>
      </c>
      <c r="D4019">
        <v>4.6987969999999999</v>
      </c>
      <c r="E4019">
        <v>0.43897399999999998</v>
      </c>
      <c r="F4019" t="s">
        <v>41</v>
      </c>
      <c r="G4019">
        <v>-418.07749999999999</v>
      </c>
      <c r="H4019" s="1">
        <v>-5.8113870000000002E-7</v>
      </c>
      <c r="I4019">
        <v>79.852609999999999</v>
      </c>
      <c r="J4019">
        <v>-422.46710000000002</v>
      </c>
      <c r="K4019">
        <v>1.121807</v>
      </c>
      <c r="L4019">
        <v>101.508</v>
      </c>
      <c r="M4019">
        <v>-5.0449019999999997E-2</v>
      </c>
      <c r="N4019">
        <v>-1.095607E-2</v>
      </c>
      <c r="O4019">
        <v>-0.99866670000000002</v>
      </c>
      <c r="P4019">
        <v>4.0735689999999998E-2</v>
      </c>
      <c r="Q4019">
        <v>0.1639591</v>
      </c>
      <c r="R4019">
        <v>-0.985626</v>
      </c>
      <c r="S4019">
        <v>0.6034851</v>
      </c>
      <c r="T4019">
        <v>-0.15492339999999999</v>
      </c>
      <c r="U4019">
        <v>-3.0450740000000001</v>
      </c>
      <c r="V4019">
        <v>-9.0869140000000001E-2</v>
      </c>
      <c r="W4019">
        <v>0.17447389999999999</v>
      </c>
      <c r="X4019">
        <v>0.98045990000000005</v>
      </c>
      <c r="Y4019">
        <v>-0.24341960000000001</v>
      </c>
      <c r="Z4019">
        <v>3.8470320000000002E-2</v>
      </c>
      <c r="AA4019">
        <v>0.96915790000000002</v>
      </c>
      <c r="AB4019">
        <v>36</v>
      </c>
      <c r="AC4019">
        <v>4.3896000000000299</v>
      </c>
      <c r="AD4019">
        <v>-1.1218075811387</v>
      </c>
      <c r="AE4019">
        <v>-21.655390000000001</v>
      </c>
      <c r="AF4019">
        <v>-5.4624882201799396</v>
      </c>
      <c r="AG4019">
        <v>-1.1218075811387</v>
      </c>
      <c r="AH4019">
        <v>21.351311908572399</v>
      </c>
      <c r="AI4019">
        <v>92.913899473650901</v>
      </c>
      <c r="AJ4019">
        <v>104.35065359551299</v>
      </c>
      <c r="AK4019">
        <v>22.067527048173101</v>
      </c>
      <c r="AL4019">
        <v>79.951955984906505</v>
      </c>
      <c r="AM4019">
        <v>95.295053418012898</v>
      </c>
      <c r="AN4019">
        <v>0.99999997894677894</v>
      </c>
    </row>
    <row r="4020" spans="1:40" x14ac:dyDescent="0.25">
      <c r="A4020" t="str">
        <f>"20190303162633335"</f>
        <v>20190303162633335</v>
      </c>
      <c r="B4020" t="str">
        <f>"1551601593327623"</f>
        <v>1551601593327623</v>
      </c>
      <c r="C4020" t="s">
        <v>40</v>
      </c>
      <c r="D4020">
        <v>4.6262879999999997</v>
      </c>
      <c r="E4020">
        <v>0.43983159999999999</v>
      </c>
      <c r="F4020" t="s">
        <v>41</v>
      </c>
      <c r="G4020">
        <v>-418.0822</v>
      </c>
      <c r="H4020" s="1">
        <v>-4.4903799999999997E-6</v>
      </c>
      <c r="I4020">
        <v>79.306960000000004</v>
      </c>
      <c r="J4020">
        <v>-422.48509999999999</v>
      </c>
      <c r="K4020">
        <v>1.1217790000000001</v>
      </c>
      <c r="L4020">
        <v>101.1357</v>
      </c>
      <c r="M4020">
        <v>-4.9629090000000001E-2</v>
      </c>
      <c r="N4020">
        <v>-1.1157E-2</v>
      </c>
      <c r="O4020">
        <v>-0.99870570000000003</v>
      </c>
      <c r="P4020">
        <v>4.0732900000000002E-2</v>
      </c>
      <c r="Q4020">
        <v>0.1643194</v>
      </c>
      <c r="R4020">
        <v>-0.98556630000000001</v>
      </c>
      <c r="S4020">
        <v>0.60131840000000003</v>
      </c>
      <c r="T4020">
        <v>-0.15383720000000001</v>
      </c>
      <c r="U4020">
        <v>-3.044495</v>
      </c>
      <c r="V4020">
        <v>-9.0027120000000002E-2</v>
      </c>
      <c r="W4020">
        <v>0.17504910000000001</v>
      </c>
      <c r="X4020">
        <v>0.9804351</v>
      </c>
      <c r="Y4020">
        <v>-0.24199760000000001</v>
      </c>
      <c r="Z4020">
        <v>3.7947950000000001E-2</v>
      </c>
      <c r="AA4020">
        <v>0.96953449999999997</v>
      </c>
      <c r="AB4020">
        <v>36</v>
      </c>
      <c r="AC4020">
        <v>4.4028999999999803</v>
      </c>
      <c r="AD4020">
        <v>-1.1217834903799999</v>
      </c>
      <c r="AE4020">
        <v>-21.82874</v>
      </c>
      <c r="AF4020">
        <v>-5.46700763958063</v>
      </c>
      <c r="AG4020">
        <v>-1.1217834903799999</v>
      </c>
      <c r="AH4020">
        <v>21.5286784894822</v>
      </c>
      <c r="AI4020">
        <v>92.891182601327799</v>
      </c>
      <c r="AJ4020">
        <v>104.248549504397</v>
      </c>
      <c r="AK4020">
        <v>22.240291550112801</v>
      </c>
      <c r="AL4020">
        <v>79.918484844352605</v>
      </c>
      <c r="AM4020">
        <v>95.246394924255597</v>
      </c>
      <c r="AN4020">
        <v>1.0000000275291501</v>
      </c>
    </row>
    <row r="4021" spans="1:40" x14ac:dyDescent="0.25">
      <c r="A4021" t="str">
        <f>"20190303162633355"</f>
        <v>20190303162633355</v>
      </c>
      <c r="B4021" t="str">
        <f>"1551601593348118"</f>
        <v>1551601593348118</v>
      </c>
      <c r="C4021" t="s">
        <v>40</v>
      </c>
      <c r="D4021">
        <v>4.6175040000000003</v>
      </c>
      <c r="E4021">
        <v>0.44034489999999998</v>
      </c>
      <c r="F4021" t="s">
        <v>41</v>
      </c>
      <c r="G4021">
        <v>-417.93540000000002</v>
      </c>
      <c r="H4021" s="1">
        <v>-3.9115459999999997E-6</v>
      </c>
      <c r="I4021">
        <v>77.897009999999995</v>
      </c>
      <c r="J4021">
        <v>-422.50130000000001</v>
      </c>
      <c r="K4021">
        <v>1.1217900000000001</v>
      </c>
      <c r="L4021">
        <v>100.79389999999999</v>
      </c>
      <c r="M4021">
        <v>-4.8904169999999997E-2</v>
      </c>
      <c r="N4021">
        <v>-1.1412500000000001E-2</v>
      </c>
      <c r="O4021">
        <v>-0.99873829999999997</v>
      </c>
      <c r="P4021">
        <v>4.0815900000000002E-2</v>
      </c>
      <c r="Q4021">
        <v>0.16476250000000001</v>
      </c>
      <c r="R4021">
        <v>-0.98548849999999999</v>
      </c>
      <c r="S4021">
        <v>0.59591669999999997</v>
      </c>
      <c r="T4021">
        <v>-0.1469318</v>
      </c>
      <c r="U4021">
        <v>-3.0438230000000002</v>
      </c>
      <c r="V4021">
        <v>-8.9375209999999997E-2</v>
      </c>
      <c r="W4021">
        <v>0.1757542</v>
      </c>
      <c r="X4021">
        <v>0.98036860000000003</v>
      </c>
      <c r="Y4021">
        <v>-0.23969589999999999</v>
      </c>
      <c r="Z4021">
        <v>3.5524849999999997E-2</v>
      </c>
      <c r="AA4021">
        <v>0.97019789999999995</v>
      </c>
      <c r="AB4021">
        <v>36</v>
      </c>
      <c r="AC4021">
        <v>4.5658999999999903</v>
      </c>
      <c r="AD4021">
        <v>-1.1217939115459901</v>
      </c>
      <c r="AE4021">
        <v>-22.896889999999999</v>
      </c>
      <c r="AF4021">
        <v>-5.6671794457007696</v>
      </c>
      <c r="AG4021">
        <v>-1.1217939115459901</v>
      </c>
      <c r="AH4021">
        <v>22.5940243663022</v>
      </c>
      <c r="AI4021">
        <v>92.757132688373503</v>
      </c>
      <c r="AJ4021">
        <v>104.08080272077299</v>
      </c>
      <c r="AK4021">
        <v>23.320919396859399</v>
      </c>
      <c r="AL4021">
        <v>79.877449435849101</v>
      </c>
      <c r="AM4021">
        <v>95.208965483522803</v>
      </c>
      <c r="AN4021">
        <v>1.00000002942307</v>
      </c>
    </row>
    <row r="4022" spans="1:40" x14ac:dyDescent="0.25">
      <c r="A4022" t="str">
        <f>"20190303162633379"</f>
        <v>20190303162633379</v>
      </c>
      <c r="B4022" t="str">
        <f>"1551601593367637"</f>
        <v>1551601593367637</v>
      </c>
      <c r="C4022" t="s">
        <v>40</v>
      </c>
      <c r="D4022">
        <v>4.5614160000000004</v>
      </c>
      <c r="E4022">
        <v>0.44084770000000001</v>
      </c>
      <c r="F4022" t="s">
        <v>41</v>
      </c>
      <c r="G4022">
        <v>-417.80739999999997</v>
      </c>
      <c r="H4022" s="1">
        <v>-3.4321300000000001E-6</v>
      </c>
      <c r="I4022">
        <v>76.726550000000003</v>
      </c>
      <c r="J4022">
        <v>-422.51870000000002</v>
      </c>
      <c r="K4022">
        <v>1.121826</v>
      </c>
      <c r="L4022">
        <v>100.42189999999999</v>
      </c>
      <c r="M4022">
        <v>-4.8088930000000002E-2</v>
      </c>
      <c r="N4022">
        <v>-1.1739980000000001E-2</v>
      </c>
      <c r="O4022">
        <v>-0.99877419999999995</v>
      </c>
      <c r="P4022">
        <v>4.05219E-2</v>
      </c>
      <c r="Q4022">
        <v>0.1644177</v>
      </c>
      <c r="R4022">
        <v>-0.9855583</v>
      </c>
      <c r="S4022">
        <v>0.59353639999999996</v>
      </c>
      <c r="T4022">
        <v>-0.14185010000000001</v>
      </c>
      <c r="U4022">
        <v>-3.043304</v>
      </c>
      <c r="V4022">
        <v>-8.8271669999999997E-2</v>
      </c>
      <c r="W4022">
        <v>0.1757406</v>
      </c>
      <c r="X4022">
        <v>0.98047099999999998</v>
      </c>
      <c r="Y4022">
        <v>-0.2382165</v>
      </c>
      <c r="Z4022">
        <v>3.359707E-2</v>
      </c>
      <c r="AA4022">
        <v>0.97063080000000002</v>
      </c>
      <c r="AB4022">
        <v>36</v>
      </c>
      <c r="AC4022">
        <v>4.7113000000000502</v>
      </c>
      <c r="AD4022">
        <v>-1.12182943213</v>
      </c>
      <c r="AE4022">
        <v>-23.695349999999902</v>
      </c>
      <c r="AF4022">
        <v>-5.8328341899962401</v>
      </c>
      <c r="AG4022">
        <v>-1.12182943213</v>
      </c>
      <c r="AH4022">
        <v>23.390919594573699</v>
      </c>
      <c r="AI4022">
        <v>92.664339123937395</v>
      </c>
      <c r="AJ4022">
        <v>104.001897750393</v>
      </c>
      <c r="AK4022">
        <v>24.133287704798899</v>
      </c>
      <c r="AL4022">
        <v>79.878240821077796</v>
      </c>
      <c r="AM4022">
        <v>95.144461840563395</v>
      </c>
      <c r="AN4022">
        <v>1.00000001402697</v>
      </c>
    </row>
    <row r="4023" spans="1:40" x14ac:dyDescent="0.25">
      <c r="A4023" t="str">
        <f>"20190303162633400"</f>
        <v>20190303162633400</v>
      </c>
      <c r="B4023" t="str">
        <f>"1551601593388134"</f>
        <v>1551601593388134</v>
      </c>
      <c r="C4023" t="s">
        <v>40</v>
      </c>
      <c r="D4023">
        <v>4.5319710000000004</v>
      </c>
      <c r="E4023">
        <v>0.4412952</v>
      </c>
      <c r="F4023" t="s">
        <v>41</v>
      </c>
      <c r="G4023">
        <v>-417.76580000000001</v>
      </c>
      <c r="H4023" s="1">
        <v>-3.0733849999999999E-6</v>
      </c>
      <c r="I4023">
        <v>75.873090000000005</v>
      </c>
      <c r="J4023">
        <v>-422.53489999999999</v>
      </c>
      <c r="K4023">
        <v>1.12188</v>
      </c>
      <c r="L4023">
        <v>100.0667</v>
      </c>
      <c r="M4023">
        <v>-4.7239400000000001E-2</v>
      </c>
      <c r="N4023">
        <v>-1.205999E-2</v>
      </c>
      <c r="O4023">
        <v>-0.99881109999999995</v>
      </c>
      <c r="P4023">
        <v>4.0849450000000002E-2</v>
      </c>
      <c r="Q4023">
        <v>0.16340499999999999</v>
      </c>
      <c r="R4023">
        <v>-0.98571350000000002</v>
      </c>
      <c r="S4023">
        <v>0.58914180000000005</v>
      </c>
      <c r="T4023">
        <v>-0.1390557</v>
      </c>
      <c r="U4023">
        <v>-3.0429379999999999</v>
      </c>
      <c r="V4023">
        <v>-8.777124E-2</v>
      </c>
      <c r="W4023">
        <v>0.17504439999999999</v>
      </c>
      <c r="X4023">
        <v>0.98064039999999997</v>
      </c>
      <c r="Y4023">
        <v>-0.2360681</v>
      </c>
      <c r="Z4023">
        <v>3.2410469999999997E-2</v>
      </c>
      <c r="AA4023">
        <v>0.9711959</v>
      </c>
      <c r="AB4023">
        <v>36</v>
      </c>
      <c r="AC4023">
        <v>4.7690999999999804</v>
      </c>
      <c r="AD4023">
        <v>-1.121883073385</v>
      </c>
      <c r="AE4023">
        <v>-24.19361</v>
      </c>
      <c r="AF4023">
        <v>-5.8945485705915104</v>
      </c>
      <c r="AG4023">
        <v>-1.121883073385</v>
      </c>
      <c r="AH4023">
        <v>23.891838093267701</v>
      </c>
      <c r="AI4023">
        <v>92.610291486620298</v>
      </c>
      <c r="AJ4023">
        <v>103.859128617647</v>
      </c>
      <c r="AK4023">
        <v>24.633803034779799</v>
      </c>
      <c r="AL4023">
        <v>79.918757703521194</v>
      </c>
      <c r="AM4023">
        <v>95.114573042078703</v>
      </c>
      <c r="AN4023">
        <v>0.99999996332732799</v>
      </c>
    </row>
    <row r="4024" spans="1:40" x14ac:dyDescent="0.25">
      <c r="A4024" t="str">
        <f>"20190303162633422"</f>
        <v>20190303162633422</v>
      </c>
      <c r="B4024" t="str">
        <f>"1551601593417415"</f>
        <v>1551601593417415</v>
      </c>
      <c r="C4024" t="s">
        <v>40</v>
      </c>
      <c r="D4024">
        <v>4.5034010000000002</v>
      </c>
      <c r="E4024">
        <v>0.44182280000000002</v>
      </c>
      <c r="F4024" t="s">
        <v>41</v>
      </c>
      <c r="G4024">
        <v>-417.81360000000001</v>
      </c>
      <c r="H4024" s="1">
        <v>-2.9467659999999998E-6</v>
      </c>
      <c r="I4024">
        <v>75.597719999999995</v>
      </c>
      <c r="J4024">
        <v>-422.55059999999997</v>
      </c>
      <c r="K4024">
        <v>1.1219380000000001</v>
      </c>
      <c r="L4024">
        <v>99.713440000000006</v>
      </c>
      <c r="M4024">
        <v>-4.6329179999999998E-2</v>
      </c>
      <c r="N4024">
        <v>-1.236085E-2</v>
      </c>
      <c r="O4024">
        <v>-0.99884980000000001</v>
      </c>
      <c r="P4024">
        <v>4.1617300000000003E-2</v>
      </c>
      <c r="Q4024">
        <v>0.1634447</v>
      </c>
      <c r="R4024">
        <v>-0.98567470000000001</v>
      </c>
      <c r="S4024">
        <v>0.58700559999999902</v>
      </c>
      <c r="T4024">
        <v>-0.1394871</v>
      </c>
      <c r="U4024">
        <v>-3.042297</v>
      </c>
      <c r="V4024">
        <v>-8.7650489999999998E-2</v>
      </c>
      <c r="W4024">
        <v>0.17537529999999901</v>
      </c>
      <c r="X4024">
        <v>0.98059209999999997</v>
      </c>
      <c r="Y4024">
        <v>-0.2345621</v>
      </c>
      <c r="Z4024">
        <v>3.2270890000000003E-2</v>
      </c>
      <c r="AA4024">
        <v>0.97156540000000002</v>
      </c>
      <c r="AB4024">
        <v>36</v>
      </c>
      <c r="AC4024">
        <v>4.7369999999999601</v>
      </c>
      <c r="AD4024">
        <v>-1.121940946766</v>
      </c>
      <c r="AE4024">
        <v>-24.11572</v>
      </c>
      <c r="AF4024">
        <v>-5.8370950844497598</v>
      </c>
      <c r="AG4024">
        <v>-1.121940946766</v>
      </c>
      <c r="AH4024">
        <v>23.8207007878711</v>
      </c>
      <c r="AI4024">
        <v>92.619226498170704</v>
      </c>
      <c r="AJ4024">
        <v>103.76862283108299</v>
      </c>
      <c r="AK4024">
        <v>24.551093998806198</v>
      </c>
      <c r="AL4024">
        <v>79.899500869383004</v>
      </c>
      <c r="AM4024">
        <v>95.107824233539503</v>
      </c>
      <c r="AN4024">
        <v>0.99999998541486901</v>
      </c>
    </row>
    <row r="4025" spans="1:40" x14ac:dyDescent="0.25">
      <c r="A4025" t="str">
        <f>"20190303162633444"</f>
        <v>20190303162633444</v>
      </c>
      <c r="B4025" t="str">
        <f>"1551601593437911"</f>
        <v>1551601593437911</v>
      </c>
      <c r="C4025" t="s">
        <v>40</v>
      </c>
      <c r="D4025">
        <v>4.5096239999999996</v>
      </c>
      <c r="E4025">
        <v>0.44212449999999998</v>
      </c>
      <c r="F4025" t="s">
        <v>41</v>
      </c>
      <c r="G4025">
        <v>-417.67399999999998</v>
      </c>
      <c r="H4025" s="1">
        <v>-2.436037E-6</v>
      </c>
      <c r="I4025">
        <v>74.349490000000003</v>
      </c>
      <c r="J4025">
        <v>-422.56610000000001</v>
      </c>
      <c r="K4025">
        <v>1.1220060000000001</v>
      </c>
      <c r="L4025">
        <v>99.359009999999998</v>
      </c>
      <c r="M4025">
        <v>-4.5339810000000001E-2</v>
      </c>
      <c r="N4025">
        <v>-1.2639920000000001E-2</v>
      </c>
      <c r="O4025">
        <v>-0.9988918</v>
      </c>
      <c r="P4025">
        <v>4.2490800000000002E-2</v>
      </c>
      <c r="Q4025">
        <v>0.16439049999999999</v>
      </c>
      <c r="R4025">
        <v>-0.98547989999999996</v>
      </c>
      <c r="S4025">
        <v>0.58471680000000004</v>
      </c>
      <c r="T4025">
        <v>-0.1345247</v>
      </c>
      <c r="U4025">
        <v>-3.041229</v>
      </c>
      <c r="V4025">
        <v>-8.7559239999999997E-2</v>
      </c>
      <c r="W4025">
        <v>0.1765854</v>
      </c>
      <c r="X4025">
        <v>0.98038309999999995</v>
      </c>
      <c r="Y4025">
        <v>-0.23296910000000001</v>
      </c>
      <c r="Z4025">
        <v>3.0434220000000001E-2</v>
      </c>
      <c r="AA4025">
        <v>0.97200779999999998</v>
      </c>
      <c r="AB4025">
        <v>36</v>
      </c>
      <c r="AC4025">
        <v>4.8920999999999699</v>
      </c>
      <c r="AD4025">
        <v>-1.122008436037</v>
      </c>
      <c r="AE4025">
        <v>-25.009519999999899</v>
      </c>
      <c r="AF4025">
        <v>-6.0094360659329498</v>
      </c>
      <c r="AG4025">
        <v>-1.122008436037</v>
      </c>
      <c r="AH4025">
        <v>24.714062955354699</v>
      </c>
      <c r="AI4025">
        <v>92.525918243344407</v>
      </c>
      <c r="AJ4025">
        <v>103.666726324953</v>
      </c>
      <c r="AK4025">
        <v>25.458930309860001</v>
      </c>
      <c r="AL4025">
        <v>79.829068433809098</v>
      </c>
      <c r="AM4025">
        <v>95.103616758213505</v>
      </c>
      <c r="AN4025">
        <v>1.00000002338407</v>
      </c>
    </row>
    <row r="4026" spans="1:40" x14ac:dyDescent="0.25">
      <c r="A4026" t="str">
        <f>"20190303162633465"</f>
        <v>20190303162633465</v>
      </c>
      <c r="B4026" t="str">
        <f>"1551601593457430"</f>
        <v>1551601593457430</v>
      </c>
      <c r="C4026" t="s">
        <v>40</v>
      </c>
      <c r="D4026">
        <v>4.55565</v>
      </c>
      <c r="E4026">
        <v>0.44235869999999999</v>
      </c>
      <c r="F4026" t="s">
        <v>41</v>
      </c>
      <c r="G4026">
        <v>-417.45049999999998</v>
      </c>
      <c r="H4026" s="1">
        <v>-1.8137929999999999E-6</v>
      </c>
      <c r="I4026">
        <v>72.80659</v>
      </c>
      <c r="J4026">
        <v>-422.5804</v>
      </c>
      <c r="K4026">
        <v>1.1220749999999999</v>
      </c>
      <c r="L4026">
        <v>99.018519999999995</v>
      </c>
      <c r="M4026">
        <v>-4.4308519999999997E-2</v>
      </c>
      <c r="N4026">
        <v>-1.288566E-2</v>
      </c>
      <c r="O4026">
        <v>-0.99893469999999995</v>
      </c>
      <c r="P4026">
        <v>4.2885659999999999E-2</v>
      </c>
      <c r="Q4026">
        <v>0.16581589999999999</v>
      </c>
      <c r="R4026">
        <v>-0.98522359999999998</v>
      </c>
      <c r="S4026">
        <v>0.58575440000000001</v>
      </c>
      <c r="T4026">
        <v>-0.12847510000000001</v>
      </c>
      <c r="U4026">
        <v>-3.040375</v>
      </c>
      <c r="V4026">
        <v>-8.6951760000000003E-2</v>
      </c>
      <c r="W4026">
        <v>0.1782415</v>
      </c>
      <c r="X4026">
        <v>0.98013740000000005</v>
      </c>
      <c r="Y4026">
        <v>-0.2323491</v>
      </c>
      <c r="Z4026">
        <v>2.8268149999999999E-2</v>
      </c>
      <c r="AA4026">
        <v>0.97222160000000002</v>
      </c>
      <c r="AB4026">
        <v>36</v>
      </c>
      <c r="AC4026">
        <v>5.1299000000000197</v>
      </c>
      <c r="AD4026">
        <v>-1.1220768137929999</v>
      </c>
      <c r="AE4026">
        <v>-26.211929999999899</v>
      </c>
      <c r="AF4026">
        <v>-6.27529407029159</v>
      </c>
      <c r="AG4026">
        <v>-1.1220768137929999</v>
      </c>
      <c r="AH4026">
        <v>25.913131239584299</v>
      </c>
      <c r="AI4026">
        <v>92.409872244298299</v>
      </c>
      <c r="AJ4026">
        <v>103.613049897015</v>
      </c>
      <c r="AK4026">
        <v>26.6857404372562</v>
      </c>
      <c r="AL4026">
        <v>79.732650931471596</v>
      </c>
      <c r="AM4026">
        <v>95.069657204712101</v>
      </c>
      <c r="AN4026">
        <v>0.99999998188405304</v>
      </c>
    </row>
    <row r="4027" spans="1:40" x14ac:dyDescent="0.25">
      <c r="A4027" t="str">
        <f>"20190303162633488"</f>
        <v>20190303162633488</v>
      </c>
      <c r="B4027" t="str">
        <f>"1551601593477511"</f>
        <v>1551601593477511</v>
      </c>
      <c r="C4027" t="s">
        <v>40</v>
      </c>
      <c r="D4027">
        <v>4.552969</v>
      </c>
      <c r="E4027">
        <v>0.46750550000000002</v>
      </c>
      <c r="F4027" t="s">
        <v>41</v>
      </c>
      <c r="G4027">
        <v>-417.22539999999998</v>
      </c>
      <c r="H4027" s="1">
        <v>-1.2703769999999999E-6</v>
      </c>
      <c r="I4027">
        <v>71.211709999999997</v>
      </c>
      <c r="J4027">
        <v>-422.5951</v>
      </c>
      <c r="K4027">
        <v>1.1221570000000001</v>
      </c>
      <c r="L4027">
        <v>98.66104</v>
      </c>
      <c r="M4027">
        <v>-4.3139070000000002E-2</v>
      </c>
      <c r="N4027">
        <v>-1.31196E-2</v>
      </c>
      <c r="O4027">
        <v>-0.99898310000000001</v>
      </c>
      <c r="P4027">
        <v>4.3312879999999998E-2</v>
      </c>
      <c r="Q4027">
        <v>0.16574040000000001</v>
      </c>
      <c r="R4027">
        <v>-0.98521780000000003</v>
      </c>
      <c r="S4027">
        <v>0.58547969999999905</v>
      </c>
      <c r="T4027">
        <v>-0.1226783</v>
      </c>
      <c r="U4027">
        <v>-3.0401609999999999</v>
      </c>
      <c r="V4027">
        <v>-8.6252120000000002E-2</v>
      </c>
      <c r="W4027">
        <v>0.1783865</v>
      </c>
      <c r="X4027">
        <v>0.98017290000000001</v>
      </c>
      <c r="Y4027">
        <v>-0.23115060000000001</v>
      </c>
      <c r="Z4027">
        <v>2.6189819999999999E-2</v>
      </c>
      <c r="AA4027">
        <v>0.97256540000000002</v>
      </c>
      <c r="AB4027">
        <v>36</v>
      </c>
      <c r="AC4027">
        <v>5.3697000000000203</v>
      </c>
      <c r="AD4027">
        <v>-1.1221582703770001</v>
      </c>
      <c r="AE4027">
        <v>-27.44933</v>
      </c>
      <c r="AF4027">
        <v>-6.5384160015919104</v>
      </c>
      <c r="AG4027">
        <v>-1.1221582703770001</v>
      </c>
      <c r="AH4027">
        <v>27.148408815118898</v>
      </c>
      <c r="AI4027">
        <v>92.301204135041999</v>
      </c>
      <c r="AJ4027">
        <v>103.541218316791</v>
      </c>
      <c r="AK4027">
        <v>27.9472042284461</v>
      </c>
      <c r="AL4027">
        <v>79.724208361595402</v>
      </c>
      <c r="AM4027">
        <v>95.028894042886705</v>
      </c>
      <c r="AN4027">
        <v>1.00000004274057</v>
      </c>
    </row>
    <row r="4028" spans="1:40" x14ac:dyDescent="0.25">
      <c r="A4028" t="str">
        <f>"20190303162633510"</f>
        <v>20190303162633510</v>
      </c>
      <c r="B4028" t="str">
        <f>"1551601593498007"</f>
        <v>1551601593498007</v>
      </c>
      <c r="C4028" t="s">
        <v>40</v>
      </c>
      <c r="D4028">
        <v>4.570786</v>
      </c>
      <c r="E4028">
        <v>0.4763212</v>
      </c>
      <c r="F4028" t="s">
        <v>41</v>
      </c>
      <c r="G4028">
        <v>-418.85509999999999</v>
      </c>
      <c r="H4028" s="1">
        <v>-4.269056E-6</v>
      </c>
      <c r="I4028">
        <v>69.110640000000004</v>
      </c>
      <c r="J4028">
        <v>-422.60950000000003</v>
      </c>
      <c r="K4028">
        <v>1.1222179999999999</v>
      </c>
      <c r="L4028">
        <v>98.29974</v>
      </c>
      <c r="M4028">
        <v>-4.1879840000000002E-2</v>
      </c>
      <c r="N4028">
        <v>-1.333114E-2</v>
      </c>
      <c r="O4028">
        <v>-0.99903370000000002</v>
      </c>
      <c r="P4028">
        <v>4.349886E-2</v>
      </c>
      <c r="Q4028">
        <v>0.1651232</v>
      </c>
      <c r="R4028">
        <v>-0.98531340000000001</v>
      </c>
      <c r="S4028">
        <v>0.38571169999999999</v>
      </c>
      <c r="T4028">
        <v>-0.115729</v>
      </c>
      <c r="U4028">
        <v>-3.0475460000000001</v>
      </c>
      <c r="V4028">
        <v>-8.5226159999999995E-2</v>
      </c>
      <c r="W4028">
        <v>0.17797079999999901</v>
      </c>
      <c r="X4028">
        <v>0.98033820000000005</v>
      </c>
      <c r="Y4028">
        <v>-0.16691159999999999</v>
      </c>
      <c r="Z4028">
        <v>2.412152E-2</v>
      </c>
      <c r="AA4028">
        <v>0.98567680000000002</v>
      </c>
      <c r="AB4028">
        <v>36</v>
      </c>
      <c r="AC4028">
        <v>3.7544000000000302</v>
      </c>
      <c r="AD4028">
        <v>-1.122222269056</v>
      </c>
      <c r="AE4028">
        <v>-29.1891</v>
      </c>
      <c r="AF4028">
        <v>-4.9664273878267498</v>
      </c>
      <c r="AG4028">
        <v>-1.122222269056</v>
      </c>
      <c r="AH4028">
        <v>28.964122542401299</v>
      </c>
      <c r="AI4028">
        <v>92.1869446414468</v>
      </c>
      <c r="AJ4028">
        <v>99.729787015039193</v>
      </c>
      <c r="AK4028">
        <v>29.408250176965002</v>
      </c>
      <c r="AL4028">
        <v>79.748413569244505</v>
      </c>
      <c r="AM4028">
        <v>94.968543475888396</v>
      </c>
      <c r="AN4028">
        <v>1.0000000451901101</v>
      </c>
    </row>
    <row r="4029" spans="1:40" x14ac:dyDescent="0.25">
      <c r="A4029" t="str">
        <f>"20190303162633557"</f>
        <v>20190303162633557</v>
      </c>
      <c r="B4029" t="str">
        <f>"1551601593547783"</f>
        <v>1551601593547783</v>
      </c>
      <c r="C4029" t="s">
        <v>40</v>
      </c>
      <c r="D4029">
        <v>4.5912709999999999</v>
      </c>
      <c r="E4029">
        <v>0.47965039999999998</v>
      </c>
      <c r="F4029" t="s">
        <v>41</v>
      </c>
      <c r="G4029">
        <v>-419.85079999999999</v>
      </c>
      <c r="H4029" s="1">
        <v>-8.7465559999999899E-7</v>
      </c>
      <c r="I4029">
        <v>71.609909999999999</v>
      </c>
      <c r="J4029">
        <v>-422.63720000000001</v>
      </c>
      <c r="K4029">
        <v>1.1223080000000001</v>
      </c>
      <c r="L4029">
        <v>97.560059999999993</v>
      </c>
      <c r="M4029">
        <v>-3.9134700000000001E-2</v>
      </c>
      <c r="N4029">
        <v>-1.3690529999999999E-2</v>
      </c>
      <c r="O4029">
        <v>-0.99914040000000004</v>
      </c>
      <c r="P4029">
        <v>4.4662090000000002E-2</v>
      </c>
      <c r="Q4029">
        <v>0.16224059999999901</v>
      </c>
      <c r="R4029">
        <v>-0.98574030000000001</v>
      </c>
      <c r="S4029">
        <v>0.31549070000000001</v>
      </c>
      <c r="T4029">
        <v>-0.12833939999999999</v>
      </c>
      <c r="U4029">
        <v>-3.0523069999999999</v>
      </c>
      <c r="V4029">
        <v>-8.3733799999999997E-2</v>
      </c>
      <c r="W4029">
        <v>0.1754368</v>
      </c>
      <c r="X4029">
        <v>0.9809234</v>
      </c>
      <c r="Y4029">
        <v>-0.1415718</v>
      </c>
      <c r="Z4029">
        <v>2.7928950000000001E-2</v>
      </c>
      <c r="AA4029">
        <v>0.98953389999999997</v>
      </c>
      <c r="AB4029">
        <v>36</v>
      </c>
      <c r="AC4029">
        <v>2.7864000000000102</v>
      </c>
      <c r="AD4029">
        <v>-1.1223088746556</v>
      </c>
      <c r="AE4029">
        <v>-25.950149999999901</v>
      </c>
      <c r="AF4029">
        <v>-3.7928977867556899</v>
      </c>
      <c r="AG4029">
        <v>-1.1223088746556</v>
      </c>
      <c r="AH4029">
        <v>25.773553346506802</v>
      </c>
      <c r="AI4029">
        <v>92.466833056503603</v>
      </c>
      <c r="AJ4029">
        <v>98.371694515474303</v>
      </c>
      <c r="AK4029">
        <v>26.075308299924998</v>
      </c>
      <c r="AL4029">
        <v>79.895922534787005</v>
      </c>
      <c r="AM4029">
        <v>94.8790671495411</v>
      </c>
      <c r="AN4029">
        <v>1.00000006836211</v>
      </c>
    </row>
    <row r="4030" spans="1:40" x14ac:dyDescent="0.25">
      <c r="A4030" t="str">
        <f>"20190303162633581"</f>
        <v>20190303162633581</v>
      </c>
      <c r="B4030" t="str">
        <f>"1551601593567303"</f>
        <v>1551601593567303</v>
      </c>
      <c r="C4030" t="s">
        <v>40</v>
      </c>
      <c r="D4030">
        <v>4.5935269999999999</v>
      </c>
      <c r="E4030">
        <v>0.48000280000000001</v>
      </c>
      <c r="F4030" t="s">
        <v>41</v>
      </c>
      <c r="G4030">
        <v>-420.20389999999998</v>
      </c>
      <c r="H4030" s="1">
        <v>-1.172026E-6</v>
      </c>
      <c r="I4030">
        <v>72.194659999999999</v>
      </c>
      <c r="J4030">
        <v>-422.6508</v>
      </c>
      <c r="K4030">
        <v>1.1223339999999999</v>
      </c>
      <c r="L4030">
        <v>97.177189999999996</v>
      </c>
      <c r="M4030">
        <v>-3.7659209999999999E-2</v>
      </c>
      <c r="N4030">
        <v>-1.384025E-2</v>
      </c>
      <c r="O4030">
        <v>-0.99919500000000006</v>
      </c>
      <c r="P4030">
        <v>4.5855269999999997E-2</v>
      </c>
      <c r="Q4030">
        <v>0.16072229999999901</v>
      </c>
      <c r="R4030">
        <v>-0.98593399999999998</v>
      </c>
      <c r="S4030">
        <v>0.29281620000000003</v>
      </c>
      <c r="T4030">
        <v>-0.13505410000000001</v>
      </c>
      <c r="U4030">
        <v>-3.052368</v>
      </c>
      <c r="V4030">
        <v>-8.3487350000000002E-2</v>
      </c>
      <c r="W4030">
        <v>0.17406540000000001</v>
      </c>
      <c r="X4030">
        <v>0.98118859999999997</v>
      </c>
      <c r="Y4030">
        <v>-0.1328191</v>
      </c>
      <c r="Z4030">
        <v>3.0003169999999999E-2</v>
      </c>
      <c r="AA4030">
        <v>0.99068610000000001</v>
      </c>
      <c r="AB4030">
        <v>36</v>
      </c>
      <c r="AC4030">
        <v>2.4469000000000198</v>
      </c>
      <c r="AD4030">
        <v>-1.122335172026</v>
      </c>
      <c r="AE4030">
        <v>-24.982530000000001</v>
      </c>
      <c r="AF4030">
        <v>-3.3793207383856601</v>
      </c>
      <c r="AG4030">
        <v>-1.122335172026</v>
      </c>
      <c r="AH4030">
        <v>24.823025155352401</v>
      </c>
      <c r="AI4030">
        <v>92.565149095753696</v>
      </c>
      <c r="AJ4030">
        <v>97.752391460371797</v>
      </c>
      <c r="AK4030">
        <v>25.077121500573199</v>
      </c>
      <c r="AL4030">
        <v>79.975725086730705</v>
      </c>
      <c r="AM4030">
        <v>94.863467259133898</v>
      </c>
      <c r="AN4030">
        <v>0.99999998492857101</v>
      </c>
    </row>
    <row r="4031" spans="1:40" x14ac:dyDescent="0.25">
      <c r="A4031" t="str">
        <f>"20190303162633601"</f>
        <v>20190303162633601</v>
      </c>
      <c r="B4031" t="str">
        <f>"1551601593587800"</f>
        <v>1551601593587800</v>
      </c>
      <c r="C4031" t="s">
        <v>40</v>
      </c>
      <c r="D4031">
        <v>4.6702890000000004</v>
      </c>
      <c r="E4031">
        <v>0.4801706</v>
      </c>
      <c r="F4031" t="s">
        <v>41</v>
      </c>
      <c r="G4031">
        <v>-420.33519999999999</v>
      </c>
      <c r="H4031" s="1">
        <v>-1.5984260000000001E-6</v>
      </c>
      <c r="I4031">
        <v>73.107150000000004</v>
      </c>
      <c r="J4031">
        <v>-422.66210000000001</v>
      </c>
      <c r="K4031">
        <v>1.12235</v>
      </c>
      <c r="L4031">
        <v>96.843350000000001</v>
      </c>
      <c r="M4031">
        <v>-3.636342E-2</v>
      </c>
      <c r="N4031">
        <v>-1.395367E-2</v>
      </c>
      <c r="O4031">
        <v>-0.9992413</v>
      </c>
      <c r="P4031">
        <v>4.622412E-2</v>
      </c>
      <c r="Q4031">
        <v>0.159501799999999</v>
      </c>
      <c r="R4031">
        <v>-0.98611499999999996</v>
      </c>
      <c r="S4031">
        <v>0.29364010000000001</v>
      </c>
      <c r="T4031">
        <v>-0.14232410000000001</v>
      </c>
      <c r="U4031">
        <v>-3.0523380000000002</v>
      </c>
      <c r="V4031">
        <v>-8.2588960000000003E-2</v>
      </c>
      <c r="W4031">
        <v>0.17296</v>
      </c>
      <c r="X4031">
        <v>0.98146009999999995</v>
      </c>
      <c r="Y4031">
        <v>-0.13179070000000001</v>
      </c>
      <c r="Z4031">
        <v>3.2254020000000001E-2</v>
      </c>
      <c r="AA4031">
        <v>0.99075270000000004</v>
      </c>
      <c r="AB4031">
        <v>36</v>
      </c>
      <c r="AC4031">
        <v>2.3269000000000202</v>
      </c>
      <c r="AD4031">
        <v>-1.122351598426</v>
      </c>
      <c r="AE4031">
        <v>-23.7362</v>
      </c>
      <c r="AF4031">
        <v>-3.1815285430781599</v>
      </c>
      <c r="AG4031">
        <v>-1.122351598426</v>
      </c>
      <c r="AH4031">
        <v>23.583649591852499</v>
      </c>
      <c r="AI4031">
        <v>92.700240823702799</v>
      </c>
      <c r="AJ4031">
        <v>97.683045466953402</v>
      </c>
      <c r="AK4031">
        <v>23.823734490045801</v>
      </c>
      <c r="AL4031">
        <v>80.040035608899402</v>
      </c>
      <c r="AM4031">
        <v>94.810054792306005</v>
      </c>
      <c r="AN4031">
        <v>1.00000001290294</v>
      </c>
    </row>
    <row r="4032" spans="1:40" x14ac:dyDescent="0.25">
      <c r="A4032" t="str">
        <f>"20190303162633624"</f>
        <v>20190303162633624</v>
      </c>
      <c r="B4032" t="str">
        <f>"1551601593607319"</f>
        <v>1551601593607319</v>
      </c>
      <c r="C4032" t="s">
        <v>40</v>
      </c>
      <c r="D4032">
        <v>4.6891569999999998</v>
      </c>
      <c r="E4032">
        <v>0.4799929</v>
      </c>
      <c r="F4032" t="s">
        <v>41</v>
      </c>
      <c r="G4032">
        <v>-420.40379999999999</v>
      </c>
      <c r="H4032" s="1">
        <v>-1.766141E-6</v>
      </c>
      <c r="I4032">
        <v>73.455559999999906</v>
      </c>
      <c r="J4032">
        <v>-422.6739</v>
      </c>
      <c r="K4032">
        <v>1.122355</v>
      </c>
      <c r="L4032">
        <v>96.481080000000006</v>
      </c>
      <c r="M4032">
        <v>-3.4957420000000003E-2</v>
      </c>
      <c r="N4032">
        <v>-1.406054E-2</v>
      </c>
      <c r="O4032">
        <v>-0.99929000000000001</v>
      </c>
      <c r="P4032">
        <v>4.6210670000000002E-2</v>
      </c>
      <c r="Q4032">
        <v>0.15982070000000001</v>
      </c>
      <c r="R4032">
        <v>-0.9860641</v>
      </c>
      <c r="S4032">
        <v>0.29470829999999998</v>
      </c>
      <c r="T4032">
        <v>-0.14646770000000001</v>
      </c>
      <c r="U4032">
        <v>-3.0521240000000001</v>
      </c>
      <c r="V4032">
        <v>-8.1194130000000003E-2</v>
      </c>
      <c r="W4032">
        <v>0.17338729999999999</v>
      </c>
      <c r="X4032">
        <v>0.98150099999999996</v>
      </c>
      <c r="Y4032">
        <v>-0.13074079999999999</v>
      </c>
      <c r="Z4032">
        <v>3.3500729999999999E-2</v>
      </c>
      <c r="AA4032">
        <v>0.99085040000000002</v>
      </c>
      <c r="AB4032">
        <v>36</v>
      </c>
      <c r="AC4032">
        <v>2.27010000000001</v>
      </c>
      <c r="AD4032">
        <v>-1.1223567661410001</v>
      </c>
      <c r="AE4032">
        <v>-23.02552</v>
      </c>
      <c r="AF4032">
        <v>-3.0664887259639499</v>
      </c>
      <c r="AG4032">
        <v>-1.1223567661410001</v>
      </c>
      <c r="AH4032">
        <v>22.8782444138355</v>
      </c>
      <c r="AI4032">
        <v>92.783700140274604</v>
      </c>
      <c r="AJ4032">
        <v>97.6341480036549</v>
      </c>
      <c r="AK4032">
        <v>23.110108292177301</v>
      </c>
      <c r="AL4032">
        <v>80.015176690943605</v>
      </c>
      <c r="AM4032">
        <v>94.728994076843605</v>
      </c>
      <c r="AN4032">
        <v>0.99999992777436997</v>
      </c>
    </row>
    <row r="4033" spans="1:40" x14ac:dyDescent="0.25">
      <c r="A4033" t="str">
        <f>"20190303162633645"</f>
        <v>20190303162633645</v>
      </c>
      <c r="B4033" t="str">
        <f>"1551601593637575"</f>
        <v>1551601593637575</v>
      </c>
      <c r="C4033" t="s">
        <v>40</v>
      </c>
      <c r="D4033">
        <v>4.6692729999999996</v>
      </c>
      <c r="E4033">
        <v>0.48027150000000002</v>
      </c>
      <c r="F4033" t="s">
        <v>41</v>
      </c>
      <c r="G4033">
        <v>-420.36529999999999</v>
      </c>
      <c r="H4033" s="1">
        <v>-1.474758E-6</v>
      </c>
      <c r="I4033">
        <v>72.800209999999893</v>
      </c>
      <c r="J4033">
        <v>-422.68430000000001</v>
      </c>
      <c r="K4033">
        <v>1.1223719999999999</v>
      </c>
      <c r="L4033">
        <v>96.148470000000003</v>
      </c>
      <c r="M4033">
        <v>-3.3673210000000002E-2</v>
      </c>
      <c r="N4033">
        <v>-1.4145939999999999E-2</v>
      </c>
      <c r="O4033">
        <v>-0.99933300000000003</v>
      </c>
      <c r="P4033">
        <v>4.6051120000000001E-2</v>
      </c>
      <c r="Q4033">
        <v>0.15952439999999901</v>
      </c>
      <c r="R4033">
        <v>-0.98611959999999999</v>
      </c>
      <c r="S4033">
        <v>0.2975159</v>
      </c>
      <c r="T4033">
        <v>-0.1446441</v>
      </c>
      <c r="U4033">
        <v>-3.0518800000000001</v>
      </c>
      <c r="V4033">
        <v>-7.977331E-2</v>
      </c>
      <c r="W4033">
        <v>0.17318069999999999</v>
      </c>
      <c r="X4033">
        <v>0.98165400000000003</v>
      </c>
      <c r="Y4033">
        <v>-0.13037989999999999</v>
      </c>
      <c r="Z4033">
        <v>3.283047E-2</v>
      </c>
      <c r="AA4033">
        <v>0.99092040000000003</v>
      </c>
      <c r="AB4033">
        <v>36</v>
      </c>
      <c r="AC4033">
        <v>2.3190000000000102</v>
      </c>
      <c r="AD4033">
        <v>-1.1223734747580001</v>
      </c>
      <c r="AE4033">
        <v>-23.34826</v>
      </c>
      <c r="AF4033">
        <v>-3.0968875532517499</v>
      </c>
      <c r="AG4033">
        <v>-1.1223734747580001</v>
      </c>
      <c r="AH4033">
        <v>23.203824478433202</v>
      </c>
      <c r="AI4033">
        <v>92.744947616657996</v>
      </c>
      <c r="AJ4033">
        <v>97.602029016057003</v>
      </c>
      <c r="AK4033">
        <v>23.4364652872455</v>
      </c>
      <c r="AL4033">
        <v>80.027196108741094</v>
      </c>
      <c r="AM4033">
        <v>94.645885704270398</v>
      </c>
      <c r="AN4033">
        <v>0.99999995577842204</v>
      </c>
    </row>
    <row r="4034" spans="1:40" x14ac:dyDescent="0.25">
      <c r="A4034" t="str">
        <f>"20190303162633666"</f>
        <v>20190303162633666</v>
      </c>
      <c r="B4034" t="str">
        <f>"1551601593658072"</f>
        <v>1551601593658072</v>
      </c>
      <c r="C4034" t="s">
        <v>40</v>
      </c>
      <c r="D4034">
        <v>4.7161119999999999</v>
      </c>
      <c r="E4034">
        <v>0.4803383</v>
      </c>
      <c r="F4034" t="s">
        <v>41</v>
      </c>
      <c r="G4034">
        <v>-420.3913</v>
      </c>
      <c r="H4034" s="1">
        <v>-1.3128729999999899E-6</v>
      </c>
      <c r="I4034">
        <v>72.406729999999996</v>
      </c>
      <c r="J4034">
        <v>-422.69470000000001</v>
      </c>
      <c r="K4034">
        <v>1.122377</v>
      </c>
      <c r="L4034">
        <v>95.799379999999999</v>
      </c>
      <c r="M4034">
        <v>-3.2334710000000003E-2</v>
      </c>
      <c r="N4034">
        <v>-1.4223649999999999E-2</v>
      </c>
      <c r="O4034">
        <v>-0.99937619999999905</v>
      </c>
      <c r="P4034">
        <v>4.6492449999999998E-2</v>
      </c>
      <c r="Q4034">
        <v>0.1589131</v>
      </c>
      <c r="R4034">
        <v>-0.98619780000000001</v>
      </c>
      <c r="S4034">
        <v>0.29473880000000002</v>
      </c>
      <c r="T4034">
        <v>-0.1442724</v>
      </c>
      <c r="U4034">
        <v>-3.0518190000000001</v>
      </c>
      <c r="V4034">
        <v>-7.8896960000000002E-2</v>
      </c>
      <c r="W4034">
        <v>0.1726509</v>
      </c>
      <c r="X4034">
        <v>0.98181819999999997</v>
      </c>
      <c r="Y4034">
        <v>-0.12816159999999999</v>
      </c>
      <c r="Z4034">
        <v>3.2646179999999997E-2</v>
      </c>
      <c r="AA4034">
        <v>0.99121579999999998</v>
      </c>
      <c r="AB4034">
        <v>36</v>
      </c>
      <c r="AC4034">
        <v>2.3034000000000101</v>
      </c>
      <c r="AD4034">
        <v>-1.1223783128730001</v>
      </c>
      <c r="AE4034">
        <v>-23.3926499999999</v>
      </c>
      <c r="AF4034">
        <v>-3.0517083363253401</v>
      </c>
      <c r="AG4034">
        <v>-1.1223783128730001</v>
      </c>
      <c r="AH4034">
        <v>23.252912204722101</v>
      </c>
      <c r="AI4034">
        <v>92.739965111398703</v>
      </c>
      <c r="AJ4034">
        <v>97.476757697543306</v>
      </c>
      <c r="AK4034">
        <v>23.479152089624499</v>
      </c>
      <c r="AL4034">
        <v>80.0580163135497</v>
      </c>
      <c r="AM4034">
        <v>94.594302885509705</v>
      </c>
      <c r="AN4034">
        <v>1.00000002070964</v>
      </c>
    </row>
    <row r="4035" spans="1:40" x14ac:dyDescent="0.25">
      <c r="A4035" t="str">
        <f>"20190303162633689"</f>
        <v>20190303162633689</v>
      </c>
      <c r="B4035" t="str">
        <f>"1551601593677591"</f>
        <v>1551601593677591</v>
      </c>
      <c r="C4035" t="s">
        <v>40</v>
      </c>
      <c r="D4035">
        <v>4.8525070000000001</v>
      </c>
      <c r="E4035">
        <v>0.48027559999999903</v>
      </c>
      <c r="F4035" t="s">
        <v>41</v>
      </c>
      <c r="G4035">
        <v>-420.40050000000002</v>
      </c>
      <c r="H4035" s="1">
        <v>-1.1920749999999999E-6</v>
      </c>
      <c r="I4035">
        <v>72.119419999999906</v>
      </c>
      <c r="J4035">
        <v>-422.70479999999998</v>
      </c>
      <c r="K4035">
        <v>1.122377</v>
      </c>
      <c r="L4035">
        <v>95.446690000000004</v>
      </c>
      <c r="M4035">
        <v>-3.0993039999999999E-2</v>
      </c>
      <c r="N4035">
        <v>-1.429133E-2</v>
      </c>
      <c r="O4035">
        <v>-0.99941760000000002</v>
      </c>
      <c r="P4035">
        <v>4.7729510000000003E-2</v>
      </c>
      <c r="Q4035">
        <v>0.15912490000000001</v>
      </c>
      <c r="R4035">
        <v>-0.98610430000000004</v>
      </c>
      <c r="S4035">
        <v>0.29562379999999999</v>
      </c>
      <c r="T4035">
        <v>-0.144627799999999</v>
      </c>
      <c r="U4035">
        <v>-3.051361</v>
      </c>
      <c r="V4035">
        <v>-7.8809270000000001E-2</v>
      </c>
      <c r="W4035">
        <v>0.17292939999999901</v>
      </c>
      <c r="X4035">
        <v>0.98177619999999999</v>
      </c>
      <c r="Y4035">
        <v>-0.12712899999999999</v>
      </c>
      <c r="Z4035">
        <v>3.2707069999999998E-2</v>
      </c>
      <c r="AA4035">
        <v>0.99134679999999997</v>
      </c>
      <c r="AB4035">
        <v>36</v>
      </c>
      <c r="AC4035">
        <v>2.3042999999999498</v>
      </c>
      <c r="AD4035">
        <v>-1.122378192075</v>
      </c>
      <c r="AE4035">
        <v>-23.327269999999999</v>
      </c>
      <c r="AF4035">
        <v>-3.0193273266479599</v>
      </c>
      <c r="AG4035">
        <v>-1.122378192075</v>
      </c>
      <c r="AH4035">
        <v>23.191467372897201</v>
      </c>
      <c r="AI4035">
        <v>92.7475827972969</v>
      </c>
      <c r="AJ4035">
        <v>97.417690488616998</v>
      </c>
      <c r="AK4035">
        <v>23.414103211945601</v>
      </c>
      <c r="AL4035">
        <v>80.041815479012897</v>
      </c>
      <c r="AM4035">
        <v>94.589413859320601</v>
      </c>
      <c r="AN4035">
        <v>0.99999999265436601</v>
      </c>
    </row>
    <row r="4036" spans="1:40" x14ac:dyDescent="0.25">
      <c r="A4036" t="str">
        <f>"20190303162633712"</f>
        <v>20190303162633712</v>
      </c>
      <c r="B4036" t="str">
        <f>"1551601593698088"</f>
        <v>1551601593698088</v>
      </c>
      <c r="C4036" t="s">
        <v>40</v>
      </c>
      <c r="D4036">
        <v>4.7635430000000003</v>
      </c>
      <c r="E4036">
        <v>0.48012919999999998</v>
      </c>
      <c r="F4036" t="s">
        <v>41</v>
      </c>
      <c r="G4036">
        <v>-420.31540000000001</v>
      </c>
      <c r="H4036" s="1">
        <v>-7.6801209999999995E-7</v>
      </c>
      <c r="I4036">
        <v>71.183729999999997</v>
      </c>
      <c r="J4036">
        <v>-422.71480000000003</v>
      </c>
      <c r="K4036">
        <v>1.122379</v>
      </c>
      <c r="L4036">
        <v>95.078249999999997</v>
      </c>
      <c r="M4036">
        <v>-2.9600189999999998E-2</v>
      </c>
      <c r="N4036">
        <v>-1.4351900000000001E-2</v>
      </c>
      <c r="O4036">
        <v>-0.99945899999999999</v>
      </c>
      <c r="P4036">
        <v>4.8983819999999997E-2</v>
      </c>
      <c r="Q4036">
        <v>0.1595975</v>
      </c>
      <c r="R4036">
        <v>-0.98596640000000002</v>
      </c>
      <c r="S4036">
        <v>0.30041499999999999</v>
      </c>
      <c r="T4036">
        <v>-0.14111319999999999</v>
      </c>
      <c r="U4036">
        <v>-3.0505070000000001</v>
      </c>
      <c r="V4036">
        <v>-7.8688019999999997E-2</v>
      </c>
      <c r="W4036">
        <v>0.17346159999999999</v>
      </c>
      <c r="X4036">
        <v>0.98169209999999996</v>
      </c>
      <c r="Y4036">
        <v>-0.12732009999999999</v>
      </c>
      <c r="Z4036">
        <v>3.1518129999999998E-2</v>
      </c>
      <c r="AA4036">
        <v>0.99136080000000004</v>
      </c>
      <c r="AB4036">
        <v>36</v>
      </c>
      <c r="AC4036">
        <v>2.3994000000000102</v>
      </c>
      <c r="AD4036">
        <v>-1.1223797680120999</v>
      </c>
      <c r="AE4036">
        <v>-23.894519999999901</v>
      </c>
      <c r="AF4036">
        <v>-3.0989342275347198</v>
      </c>
      <c r="AG4036">
        <v>-1.1223797680120999</v>
      </c>
      <c r="AH4036">
        <v>23.761114695269999</v>
      </c>
      <c r="AI4036">
        <v>92.681734931763401</v>
      </c>
      <c r="AJ4036">
        <v>97.4305980350222</v>
      </c>
      <c r="AK4036">
        <v>23.9886160762142</v>
      </c>
      <c r="AL4036">
        <v>80.010855400744404</v>
      </c>
      <c r="AM4036">
        <v>94.582773920928801</v>
      </c>
      <c r="AN4036">
        <v>1.0000000551842401</v>
      </c>
    </row>
    <row r="4037" spans="1:40" x14ac:dyDescent="0.25">
      <c r="A4037" t="str">
        <f>"20190303162633736"</f>
        <v>20190303162633736</v>
      </c>
      <c r="B4037" t="str">
        <f>"1551601593727367"</f>
        <v>1551601593727367</v>
      </c>
      <c r="C4037" t="s">
        <v>40</v>
      </c>
      <c r="D4037">
        <v>4.843629</v>
      </c>
      <c r="E4037">
        <v>0.48013539999999999</v>
      </c>
      <c r="F4037" t="s">
        <v>41</v>
      </c>
      <c r="G4037">
        <v>-420.17169999999999</v>
      </c>
      <c r="H4037" s="1">
        <v>-1.0084389999999999E-7</v>
      </c>
      <c r="I4037">
        <v>69.717659999999995</v>
      </c>
      <c r="J4037">
        <v>-422.72449999999998</v>
      </c>
      <c r="K4037">
        <v>1.122377</v>
      </c>
      <c r="L4037">
        <v>94.705510000000004</v>
      </c>
      <c r="M4037">
        <v>-2.8197360000000001E-2</v>
      </c>
      <c r="N4037">
        <v>-1.440408E-2</v>
      </c>
      <c r="O4037">
        <v>-0.99949880000000002</v>
      </c>
      <c r="P4037">
        <v>4.9880819999999999E-2</v>
      </c>
      <c r="Q4037">
        <v>0.15863350000000001</v>
      </c>
      <c r="R4037">
        <v>-0.98607710000000004</v>
      </c>
      <c r="S4037">
        <v>0.30578610000000001</v>
      </c>
      <c r="T4037">
        <v>-0.13495579999999999</v>
      </c>
      <c r="U4037">
        <v>-3.0493769999999998</v>
      </c>
      <c r="V4037">
        <v>-7.8201670000000001E-2</v>
      </c>
      <c r="W4037">
        <v>0.1725537</v>
      </c>
      <c r="X4037">
        <v>0.98189090000000001</v>
      </c>
      <c r="Y4037">
        <v>-0.12770049999999999</v>
      </c>
      <c r="Z4037">
        <v>2.948139E-2</v>
      </c>
      <c r="AA4037">
        <v>0.99137450000000005</v>
      </c>
      <c r="AB4037">
        <v>36</v>
      </c>
      <c r="AC4037">
        <v>2.5527999999999902</v>
      </c>
      <c r="AD4037">
        <v>-1.1223771008439001</v>
      </c>
      <c r="AE4037">
        <v>-24.987850000000002</v>
      </c>
      <c r="AF4037">
        <v>-3.2499599311358498</v>
      </c>
      <c r="AG4037">
        <v>-1.1223771008439001</v>
      </c>
      <c r="AH4037">
        <v>24.856292181825999</v>
      </c>
      <c r="AI4037">
        <v>92.563623543198503</v>
      </c>
      <c r="AJ4037">
        <v>97.449165133795105</v>
      </c>
      <c r="AK4037">
        <v>25.092971743872699</v>
      </c>
      <c r="AL4037">
        <v>80.063670213715596</v>
      </c>
      <c r="AM4037">
        <v>94.553650270268193</v>
      </c>
      <c r="AN4037">
        <v>1.0000000100386399</v>
      </c>
    </row>
    <row r="4038" spans="1:40" x14ac:dyDescent="0.25">
      <c r="A4038" t="str">
        <f>"20190303162633760"</f>
        <v>20190303162633760</v>
      </c>
      <c r="B4038" t="str">
        <f>"1551601593747863"</f>
        <v>1551601593747863</v>
      </c>
      <c r="C4038" t="s">
        <v>40</v>
      </c>
      <c r="D4038">
        <v>4.8325839999999998</v>
      </c>
      <c r="E4038">
        <v>0.50757379999999996</v>
      </c>
      <c r="F4038" t="s">
        <v>41</v>
      </c>
      <c r="G4038">
        <v>-420.1302</v>
      </c>
      <c r="H4038" s="1">
        <v>-4.0907329999999999E-6</v>
      </c>
      <c r="I4038">
        <v>69.043970000000002</v>
      </c>
      <c r="J4038">
        <v>-422.73340000000002</v>
      </c>
      <c r="K4038">
        <v>1.1223730000000001</v>
      </c>
      <c r="L4038">
        <v>94.340029999999999</v>
      </c>
      <c r="M4038">
        <v>-2.682549E-2</v>
      </c>
      <c r="N4038">
        <v>-1.444576E-2</v>
      </c>
      <c r="O4038">
        <v>-0.99953590000000003</v>
      </c>
      <c r="P4038">
        <v>5.0121499999999999E-2</v>
      </c>
      <c r="Q4038">
        <v>0.15712679999999901</v>
      </c>
      <c r="R4038">
        <v>-0.98630609999999996</v>
      </c>
      <c r="S4038">
        <v>0.30816650000000001</v>
      </c>
      <c r="T4038">
        <v>-0.13332260000000001</v>
      </c>
      <c r="U4038">
        <v>-3.0482179999999999</v>
      </c>
      <c r="V4038">
        <v>-7.709125E-2</v>
      </c>
      <c r="W4038">
        <v>0.17109750000000001</v>
      </c>
      <c r="X4038">
        <v>0.98223349999999998</v>
      </c>
      <c r="Y4038">
        <v>-0.12714529999999999</v>
      </c>
      <c r="Z4038">
        <v>2.892875E-2</v>
      </c>
      <c r="AA4038">
        <v>0.99146219999999996</v>
      </c>
      <c r="AB4038">
        <v>36</v>
      </c>
      <c r="AC4038">
        <v>2.60320000000001</v>
      </c>
      <c r="AD4038">
        <v>-1.122377090733</v>
      </c>
      <c r="AE4038">
        <v>-25.296060000000001</v>
      </c>
      <c r="AF4038">
        <v>-3.2745340059755601</v>
      </c>
      <c r="AG4038">
        <v>-1.122377090733</v>
      </c>
      <c r="AH4038">
        <v>25.168087155352399</v>
      </c>
      <c r="AI4038">
        <v>92.532114299296296</v>
      </c>
      <c r="AJ4038">
        <v>97.412917729073996</v>
      </c>
      <c r="AK4038">
        <v>25.4050175034285</v>
      </c>
      <c r="AL4038">
        <v>80.1483641704978</v>
      </c>
      <c r="AM4038">
        <v>94.4876977390512</v>
      </c>
      <c r="AN4038">
        <v>1.00000003192753</v>
      </c>
    </row>
    <row r="4039" spans="1:40" x14ac:dyDescent="0.25">
      <c r="A4039" t="str">
        <f>"20190303162633782"</f>
        <v>20190303162633782</v>
      </c>
      <c r="B4039" t="str">
        <f>"1551601593767889"</f>
        <v>1551601593767889</v>
      </c>
      <c r="C4039" t="s">
        <v>40</v>
      </c>
      <c r="D4039">
        <v>5.0066389999999998</v>
      </c>
      <c r="E4039">
        <v>0.51554719999999998</v>
      </c>
      <c r="F4039" t="s">
        <v>41</v>
      </c>
      <c r="G4039">
        <v>-421.5453</v>
      </c>
      <c r="H4039" s="1">
        <v>-2.2786160000000001E-6</v>
      </c>
      <c r="I4039">
        <v>53.942189999999997</v>
      </c>
      <c r="J4039">
        <v>-422.74169999999998</v>
      </c>
      <c r="K4039">
        <v>1.1223650000000001</v>
      </c>
      <c r="L4039">
        <v>93.980530000000002</v>
      </c>
      <c r="M4039">
        <v>-2.5477920000000001E-2</v>
      </c>
      <c r="N4039">
        <v>-1.447318E-2</v>
      </c>
      <c r="O4039">
        <v>-0.99957090000000004</v>
      </c>
      <c r="P4039">
        <v>5.0029049999999999E-2</v>
      </c>
      <c r="Q4039">
        <v>0.15583440000000001</v>
      </c>
      <c r="R4039">
        <v>-0.98651580000000005</v>
      </c>
      <c r="S4039">
        <v>8.9721679999999998E-2</v>
      </c>
      <c r="T4039">
        <v>-8.4754940000000001E-2</v>
      </c>
      <c r="U4039">
        <v>-3.0505979999999999</v>
      </c>
      <c r="V4039">
        <v>-7.5671840000000004E-2</v>
      </c>
      <c r="W4039">
        <v>0.16984160000000001</v>
      </c>
      <c r="X4039">
        <v>0.98256180000000004</v>
      </c>
      <c r="Y4039">
        <v>-5.483913E-2</v>
      </c>
      <c r="Z4039">
        <v>1.3256E-2</v>
      </c>
      <c r="AA4039">
        <v>0.99840720000000005</v>
      </c>
      <c r="AB4039">
        <v>35</v>
      </c>
      <c r="AC4039">
        <v>1.1963999999999799</v>
      </c>
      <c r="AD4039">
        <v>-1.1223672786159999</v>
      </c>
      <c r="AE4039">
        <v>-40.038339999999998</v>
      </c>
      <c r="AF4039">
        <v>-2.2144731301562599</v>
      </c>
      <c r="AG4039">
        <v>-1.1223672786159999</v>
      </c>
      <c r="AH4039">
        <v>39.963479565465697</v>
      </c>
      <c r="AI4039">
        <v>91.606256143228705</v>
      </c>
      <c r="AJ4039">
        <v>93.171654248516504</v>
      </c>
      <c r="AK4039">
        <v>40.040520707549298</v>
      </c>
      <c r="AL4039">
        <v>80.221390953965795</v>
      </c>
      <c r="AM4039">
        <v>94.403932038652499</v>
      </c>
      <c r="AN4039">
        <v>1.0000000436393901</v>
      </c>
    </row>
    <row r="4040" spans="1:40" x14ac:dyDescent="0.25">
      <c r="A4040" t="str">
        <f>"20190303162633804"</f>
        <v>20190303162633804</v>
      </c>
      <c r="B4040" t="str">
        <f>"1551601593798145"</f>
        <v>1551601593798145</v>
      </c>
      <c r="C4040" t="s">
        <v>40</v>
      </c>
      <c r="D4040">
        <v>4.8226139999999997</v>
      </c>
      <c r="E4040">
        <v>0.51812460000000005</v>
      </c>
      <c r="F4040" t="s">
        <v>41</v>
      </c>
      <c r="G4040">
        <v>-422.48869999999999</v>
      </c>
      <c r="H4040" s="1">
        <v>-2.4400509999999999E-6</v>
      </c>
      <c r="I4040">
        <v>63.733359999999998</v>
      </c>
      <c r="J4040">
        <v>-422.74950000000001</v>
      </c>
      <c r="K4040">
        <v>1.122355</v>
      </c>
      <c r="L4040">
        <v>93.620999999999995</v>
      </c>
      <c r="M4040">
        <v>-2.4130329999999998E-2</v>
      </c>
      <c r="N4040">
        <v>-1.44911E-2</v>
      </c>
      <c r="O4040">
        <v>-0.99960400000000005</v>
      </c>
      <c r="P4040">
        <v>5.0196379999999999E-2</v>
      </c>
      <c r="Q4040">
        <v>0.1548166</v>
      </c>
      <c r="R4040">
        <v>-0.98666730000000002</v>
      </c>
      <c r="S4040">
        <v>2.5573729999999999E-2</v>
      </c>
      <c r="T4040">
        <v>-0.11345860000000001</v>
      </c>
      <c r="U4040">
        <v>-3.0576479999999999</v>
      </c>
      <c r="V4040">
        <v>-7.4511040000000001E-2</v>
      </c>
      <c r="W4040">
        <v>0.16884859999999999</v>
      </c>
      <c r="X4040">
        <v>0.98282159999999996</v>
      </c>
      <c r="Y4040">
        <v>-3.2478859999999998E-2</v>
      </c>
      <c r="Z4040">
        <v>2.256787E-2</v>
      </c>
      <c r="AA4040">
        <v>0.99921760000000004</v>
      </c>
      <c r="AB4040">
        <v>35</v>
      </c>
      <c r="AC4040">
        <v>0.26080000000001702</v>
      </c>
      <c r="AD4040">
        <v>-1.1223574400509999</v>
      </c>
      <c r="AE4040">
        <v>-29.887640000000001</v>
      </c>
      <c r="AF4040">
        <v>-0.98061548992161596</v>
      </c>
      <c r="AG4040">
        <v>-1.1223574400509999</v>
      </c>
      <c r="AH4040">
        <v>29.830577953273501</v>
      </c>
      <c r="AI4040">
        <v>92.1535405074316</v>
      </c>
      <c r="AJ4040">
        <v>91.882796363696798</v>
      </c>
      <c r="AK4040">
        <v>29.867786559915</v>
      </c>
      <c r="AL4040">
        <v>80.279119225256295</v>
      </c>
      <c r="AM4040">
        <v>94.335493800290806</v>
      </c>
      <c r="AN4040">
        <v>1.0000000211152</v>
      </c>
    </row>
    <row r="4041" spans="1:40" x14ac:dyDescent="0.25">
      <c r="A4041" t="str">
        <f>"20190303162633826"</f>
        <v>20190303162633826</v>
      </c>
      <c r="B4041" t="str">
        <f>"1551601593817666"</f>
        <v>1551601593817666</v>
      </c>
      <c r="C4041" t="s">
        <v>40</v>
      </c>
      <c r="D4041">
        <v>4.8360390000000004</v>
      </c>
      <c r="E4041">
        <v>0.51871690000000004</v>
      </c>
      <c r="F4041" t="s">
        <v>41</v>
      </c>
      <c r="G4041">
        <v>-422.6961</v>
      </c>
      <c r="H4041" s="1">
        <v>-4.2248580000000001E-6</v>
      </c>
      <c r="I4041">
        <v>67.996369999999999</v>
      </c>
      <c r="J4041">
        <v>-422.75639999999999</v>
      </c>
      <c r="K4041">
        <v>1.1223449999999999</v>
      </c>
      <c r="L4041">
        <v>93.282439999999994</v>
      </c>
      <c r="M4041">
        <v>-2.2861780000000002E-2</v>
      </c>
      <c r="N4041">
        <v>-1.450302E-2</v>
      </c>
      <c r="O4041">
        <v>-0.99963349999999995</v>
      </c>
      <c r="P4041">
        <v>5.1012219999999997E-2</v>
      </c>
      <c r="Q4041">
        <v>0.15340860000000001</v>
      </c>
      <c r="R4041">
        <v>-0.98684559999999999</v>
      </c>
      <c r="S4041">
        <v>6.3781740000000003E-3</v>
      </c>
      <c r="T4041">
        <v>-0.1340828</v>
      </c>
      <c r="U4041">
        <v>-3.0612490000000001</v>
      </c>
      <c r="V4041">
        <v>-7.4075199999999994E-2</v>
      </c>
      <c r="W4041">
        <v>0.16745869999999999</v>
      </c>
      <c r="X4041">
        <v>0.98309230000000003</v>
      </c>
      <c r="Y4041">
        <v>-2.493567E-2</v>
      </c>
      <c r="Z4041">
        <v>2.9239999999999999E-2</v>
      </c>
      <c r="AA4041">
        <v>0.99926130000000002</v>
      </c>
      <c r="AB4041">
        <v>35</v>
      </c>
      <c r="AC4041">
        <v>6.0299999999983797E-2</v>
      </c>
      <c r="AD4041">
        <v>-1.122349224858</v>
      </c>
      <c r="AE4041">
        <v>-25.286069999999999</v>
      </c>
      <c r="AF4041">
        <v>-0.63717426885799999</v>
      </c>
      <c r="AG4041">
        <v>-1.122349224858</v>
      </c>
      <c r="AH4041">
        <v>25.228378288574199</v>
      </c>
      <c r="AI4041">
        <v>92.5464594037132</v>
      </c>
      <c r="AJ4041">
        <v>91.446769052980599</v>
      </c>
      <c r="AK4041">
        <v>25.261368329978399</v>
      </c>
      <c r="AL4041">
        <v>80.359904859549403</v>
      </c>
      <c r="AM4041">
        <v>94.309047520032706</v>
      </c>
      <c r="AN4041">
        <v>1.00000001089001</v>
      </c>
    </row>
    <row r="4042" spans="1:40" x14ac:dyDescent="0.25">
      <c r="A4042" t="str">
        <f>"20190303162633849"</f>
        <v>20190303162633849</v>
      </c>
      <c r="B4042" t="str">
        <f>"1551601593838162"</f>
        <v>1551601593838162</v>
      </c>
      <c r="C4042" t="s">
        <v>40</v>
      </c>
      <c r="D4042">
        <v>4.8591670000000002</v>
      </c>
      <c r="E4042">
        <v>0.51897870000000002</v>
      </c>
      <c r="F4042" t="s">
        <v>41</v>
      </c>
      <c r="G4042">
        <v>-422.71960000000001</v>
      </c>
      <c r="H4042" s="1">
        <v>-4.6705660000000001E-6</v>
      </c>
      <c r="I4042">
        <v>69.293869999999998</v>
      </c>
      <c r="J4042">
        <v>-422.76350000000002</v>
      </c>
      <c r="K4042">
        <v>1.122341</v>
      </c>
      <c r="L4042">
        <v>92.908940000000001</v>
      </c>
      <c r="M4042">
        <v>-2.1460679999999999E-2</v>
      </c>
      <c r="N4042">
        <v>-1.451261E-2</v>
      </c>
      <c r="O4042">
        <v>-0.99966440000000001</v>
      </c>
      <c r="P4042">
        <v>5.2197029999999998E-2</v>
      </c>
      <c r="Q4042">
        <v>0.152188299999999</v>
      </c>
      <c r="R4042">
        <v>-0.98697230000000002</v>
      </c>
      <c r="S4042">
        <v>4.699707E-3</v>
      </c>
      <c r="T4042">
        <v>-0.1432619</v>
      </c>
      <c r="U4042">
        <v>-3.0620120000000002</v>
      </c>
      <c r="V4042">
        <v>-7.3876269999999994E-2</v>
      </c>
      <c r="W4042">
        <v>0.16625179999999901</v>
      </c>
      <c r="X4042">
        <v>0.98331210000000002</v>
      </c>
      <c r="Y4042">
        <v>-2.2986380000000001E-2</v>
      </c>
      <c r="Z4042">
        <v>3.2211480000000001E-2</v>
      </c>
      <c r="AA4042">
        <v>0.99921669999999996</v>
      </c>
      <c r="AB4042">
        <v>35</v>
      </c>
      <c r="AC4042">
        <v>4.3900000000007801E-2</v>
      </c>
      <c r="AD4042">
        <v>-1.122345670566</v>
      </c>
      <c r="AE4042">
        <v>-23.615069999999999</v>
      </c>
      <c r="AF4042">
        <v>-0.54949751106353695</v>
      </c>
      <c r="AG4042">
        <v>-1.122345670566</v>
      </c>
      <c r="AH4042">
        <v>23.5554813456916</v>
      </c>
      <c r="AI4042">
        <v>92.727162400301594</v>
      </c>
      <c r="AJ4042">
        <v>91.336342000693193</v>
      </c>
      <c r="AK4042">
        <v>23.588605485406099</v>
      </c>
      <c r="AL4042">
        <v>80.430038450071393</v>
      </c>
      <c r="AM4042">
        <v>94.296561895005098</v>
      </c>
      <c r="AN4042">
        <v>1.0000000251393799</v>
      </c>
    </row>
    <row r="4043" spans="1:40" x14ac:dyDescent="0.25">
      <c r="A4043" t="str">
        <f>"20190303162633870"</f>
        <v>20190303162633870</v>
      </c>
      <c r="B4043" t="str">
        <f>"1551601593858658"</f>
        <v>1551601593858658</v>
      </c>
      <c r="C4043" t="s">
        <v>40</v>
      </c>
      <c r="D4043">
        <v>4.7771400000000002</v>
      </c>
      <c r="E4043">
        <v>0.51920809999999995</v>
      </c>
      <c r="F4043" t="s">
        <v>41</v>
      </c>
      <c r="G4043">
        <v>-422.7165</v>
      </c>
      <c r="H4043" s="1">
        <v>-8.569136E-7</v>
      </c>
      <c r="I4043">
        <v>69.901730000000001</v>
      </c>
      <c r="J4043">
        <v>-422.76929999999999</v>
      </c>
      <c r="K4043">
        <v>1.1223350000000001</v>
      </c>
      <c r="L4043">
        <v>92.584440000000001</v>
      </c>
      <c r="M4043">
        <v>-2.0242199999999998E-2</v>
      </c>
      <c r="N4043">
        <v>-1.451857E-2</v>
      </c>
      <c r="O4043">
        <v>-0.99968959999999996</v>
      </c>
      <c r="P4043">
        <v>5.2471839999999999E-2</v>
      </c>
      <c r="Q4043">
        <v>0.15046670000000001</v>
      </c>
      <c r="R4043">
        <v>-0.98722169999999998</v>
      </c>
      <c r="S4043">
        <v>6.2561040000000002E-3</v>
      </c>
      <c r="T4043">
        <v>-0.14938650000000001</v>
      </c>
      <c r="U4043">
        <v>-3.0623170000000002</v>
      </c>
      <c r="V4043">
        <v>-7.2947919999999999E-2</v>
      </c>
      <c r="W4043">
        <v>0.1645442</v>
      </c>
      <c r="X4043">
        <v>0.9836686</v>
      </c>
      <c r="Y4043">
        <v>-2.2275380000000001E-2</v>
      </c>
      <c r="Z4043">
        <v>3.419643E-2</v>
      </c>
      <c r="AA4043">
        <v>0.99916680000000002</v>
      </c>
      <c r="AB4043">
        <v>35</v>
      </c>
      <c r="AC4043">
        <v>5.2799999999990598E-2</v>
      </c>
      <c r="AD4043">
        <v>-1.1223358569135999</v>
      </c>
      <c r="AE4043">
        <v>-22.68271</v>
      </c>
      <c r="AF4043">
        <v>-0.51073516886245696</v>
      </c>
      <c r="AG4043">
        <v>-1.1223358569135999</v>
      </c>
      <c r="AH4043">
        <v>22.621609500361199</v>
      </c>
      <c r="AI4043">
        <v>92.839589313054205</v>
      </c>
      <c r="AJ4043">
        <v>91.293365046533197</v>
      </c>
      <c r="AK4043">
        <v>22.655191559006099</v>
      </c>
      <c r="AL4043">
        <v>80.529243362177795</v>
      </c>
      <c r="AM4043">
        <v>94.241236446658306</v>
      </c>
      <c r="AN4043">
        <v>1.0000000537059599</v>
      </c>
    </row>
    <row r="4044" spans="1:40" x14ac:dyDescent="0.25">
      <c r="A4044" t="str">
        <f>"20190303162633890"</f>
        <v>20190303162633890</v>
      </c>
      <c r="B4044" t="str">
        <f>"1551601593878178"</f>
        <v>1551601593878178</v>
      </c>
      <c r="C4044" t="s">
        <v>40</v>
      </c>
      <c r="D4044">
        <v>4.932226</v>
      </c>
      <c r="E4044">
        <v>0.51955600000000002</v>
      </c>
      <c r="F4044" t="s">
        <v>41</v>
      </c>
      <c r="G4044">
        <v>-422.7294</v>
      </c>
      <c r="H4044" s="1">
        <v>-1.0089500000000001E-6</v>
      </c>
      <c r="I4044">
        <v>70.24812</v>
      </c>
      <c r="J4044">
        <v>-422.7747</v>
      </c>
      <c r="K4044">
        <v>1.122325</v>
      </c>
      <c r="L4044">
        <v>92.259950000000003</v>
      </c>
      <c r="M4044">
        <v>-1.902413E-2</v>
      </c>
      <c r="N4044">
        <v>-1.452266E-2</v>
      </c>
      <c r="O4044">
        <v>-0.99971370000000004</v>
      </c>
      <c r="P4044">
        <v>5.2635269999999998E-2</v>
      </c>
      <c r="Q4044">
        <v>0.14888299999999999</v>
      </c>
      <c r="R4044">
        <v>-0.98745329999999998</v>
      </c>
      <c r="S4044">
        <v>5.4626459999999998E-3</v>
      </c>
      <c r="T4044">
        <v>-0.1538572</v>
      </c>
      <c r="U4044">
        <v>-3.0620120000000002</v>
      </c>
      <c r="V4044">
        <v>-7.1908719999999995E-2</v>
      </c>
      <c r="W4044">
        <v>0.1629726</v>
      </c>
      <c r="X4044">
        <v>0.98400659999999895</v>
      </c>
      <c r="Y4044">
        <v>-2.0798870000000001E-2</v>
      </c>
      <c r="Z4044">
        <v>3.5654810000000002E-2</v>
      </c>
      <c r="AA4044">
        <v>0.99914769999999997</v>
      </c>
      <c r="AB4044">
        <v>35</v>
      </c>
      <c r="AC4044">
        <v>4.5299999999997398E-2</v>
      </c>
      <c r="AD4044">
        <v>-1.12232600895</v>
      </c>
      <c r="AE4044">
        <v>-22.01183</v>
      </c>
      <c r="AF4044">
        <v>-0.46288844465066598</v>
      </c>
      <c r="AG4044">
        <v>-1.12232600895</v>
      </c>
      <c r="AH4044">
        <v>21.949920385459698</v>
      </c>
      <c r="AI4044">
        <v>92.926404021158703</v>
      </c>
      <c r="AJ4044">
        <v>91.208096580335393</v>
      </c>
      <c r="AK4044">
        <v>21.9834684777124</v>
      </c>
      <c r="AL4044">
        <v>80.620520746724097</v>
      </c>
      <c r="AM4044">
        <v>94.179601460869193</v>
      </c>
      <c r="AN4044">
        <v>0.99999996060317797</v>
      </c>
    </row>
    <row r="4045" spans="1:40" x14ac:dyDescent="0.25">
      <c r="A4045" t="str">
        <f>"20190303162633913"</f>
        <v>20190303162633913</v>
      </c>
      <c r="B4045" t="str">
        <f>"1551601593908434"</f>
        <v>1551601593908434</v>
      </c>
      <c r="C4045" t="s">
        <v>40</v>
      </c>
      <c r="D4045">
        <v>5.0027689999999998</v>
      </c>
      <c r="E4045">
        <v>0.52325679999999997</v>
      </c>
      <c r="F4045" t="s">
        <v>41</v>
      </c>
      <c r="G4045">
        <v>-422.75170000000003</v>
      </c>
      <c r="H4045" s="1">
        <v>-1.2402020000000001E-6</v>
      </c>
      <c r="I4045">
        <v>70.773340000000005</v>
      </c>
      <c r="J4045">
        <v>-422.7801</v>
      </c>
      <c r="K4045">
        <v>1.1223240000000001</v>
      </c>
      <c r="L4045">
        <v>91.905429999999996</v>
      </c>
      <c r="M4045">
        <v>-1.769633E-2</v>
      </c>
      <c r="N4045">
        <v>-1.452549E-2</v>
      </c>
      <c r="O4045">
        <v>-0.99973789999999996</v>
      </c>
      <c r="P4045">
        <v>5.3084489999999998E-2</v>
      </c>
      <c r="Q4045">
        <v>0.1483391</v>
      </c>
      <c r="R4045">
        <v>-0.98751060000000002</v>
      </c>
      <c r="S4045">
        <v>3.2653809999999999E-3</v>
      </c>
      <c r="T4045">
        <v>-0.1599419</v>
      </c>
      <c r="U4045">
        <v>-3.0620419999999999</v>
      </c>
      <c r="V4045">
        <v>-7.1045129999999998E-2</v>
      </c>
      <c r="W4045">
        <v>0.16243769999999999</v>
      </c>
      <c r="X4045">
        <v>0.98415779999999997</v>
      </c>
      <c r="Y4045">
        <v>-1.875458E-2</v>
      </c>
      <c r="Z4045">
        <v>3.7634420000000002E-2</v>
      </c>
      <c r="AA4045">
        <v>0.99911559999999999</v>
      </c>
      <c r="AB4045">
        <v>35</v>
      </c>
      <c r="AC4045">
        <v>2.8399999999976399E-2</v>
      </c>
      <c r="AD4045">
        <v>-1.1223252402020001</v>
      </c>
      <c r="AE4045">
        <v>-21.132090000000002</v>
      </c>
      <c r="AF4045">
        <v>-0.401263612842303</v>
      </c>
      <c r="AG4045">
        <v>-1.1223252402020001</v>
      </c>
      <c r="AH4045">
        <v>21.068849348243099</v>
      </c>
      <c r="AI4045">
        <v>93.048678709407696</v>
      </c>
      <c r="AJ4045">
        <v>91.091086273460405</v>
      </c>
      <c r="AK4045">
        <v>21.102536323644799</v>
      </c>
      <c r="AL4045">
        <v>80.651582497119506</v>
      </c>
      <c r="AM4045">
        <v>94.128948862108601</v>
      </c>
      <c r="AN4045">
        <v>0.99999999608942303</v>
      </c>
    </row>
    <row r="4046" spans="1:40" x14ac:dyDescent="0.25">
      <c r="A4046" t="str">
        <f>"20190303162633936"</f>
        <v>20190303162633936</v>
      </c>
      <c r="B4046" t="str">
        <f>"1551601593927953"</f>
        <v>1551601593927953</v>
      </c>
      <c r="C4046" t="s">
        <v>40</v>
      </c>
      <c r="D4046">
        <v>4.9462699999999904</v>
      </c>
      <c r="E4046">
        <v>0.5224164</v>
      </c>
      <c r="F4046" t="s">
        <v>42</v>
      </c>
      <c r="G4046">
        <v>-422.78609999999998</v>
      </c>
      <c r="H4046">
        <v>0.98407129999999998</v>
      </c>
      <c r="I4046">
        <v>91.130139999999997</v>
      </c>
      <c r="J4046">
        <v>-422.78500000000003</v>
      </c>
      <c r="K4046">
        <v>1.1223240000000001</v>
      </c>
      <c r="L4046">
        <v>91.550200000000004</v>
      </c>
      <c r="M4046">
        <v>-1.6371090000000001E-2</v>
      </c>
      <c r="N4046">
        <v>-1.4526890000000001E-2</v>
      </c>
      <c r="O4046">
        <v>-0.99976069999999995</v>
      </c>
      <c r="P4046">
        <v>5.319256E-2</v>
      </c>
      <c r="Q4046">
        <v>0.14919769999999999</v>
      </c>
      <c r="R4046">
        <v>-0.98737600000000003</v>
      </c>
      <c r="S4046">
        <v>-2.377319E-2</v>
      </c>
      <c r="T4046">
        <v>-0.55693049999999999</v>
      </c>
      <c r="U4046">
        <v>-3.1228639999999999</v>
      </c>
      <c r="V4046">
        <v>-6.9843020000000006E-2</v>
      </c>
      <c r="W4046">
        <v>0.1633019</v>
      </c>
      <c r="X4046">
        <v>0.9841008</v>
      </c>
      <c r="Y4046">
        <v>-8.8483620000000002E-3</v>
      </c>
      <c r="Z4046">
        <v>0.16120979999999999</v>
      </c>
      <c r="AA4046">
        <v>0.98688050000000005</v>
      </c>
      <c r="AB4046">
        <v>35</v>
      </c>
      <c r="AC4046">
        <v>-1.09999999995125E-3</v>
      </c>
      <c r="AD4046">
        <v>-0.13825269999999901</v>
      </c>
      <c r="AE4046">
        <v>-0.42006000000000598</v>
      </c>
      <c r="AF4046">
        <v>-5.2130203107283299E-3</v>
      </c>
      <c r="AG4046">
        <v>-0.13825269999999901</v>
      </c>
      <c r="AH4046">
        <v>0.37897040475086802</v>
      </c>
      <c r="AI4046">
        <v>110.040797717922</v>
      </c>
      <c r="AJ4046">
        <v>90.788096436195104</v>
      </c>
      <c r="AK4046">
        <v>0.40343469399034898</v>
      </c>
      <c r="AL4046">
        <v>80.601397154087806</v>
      </c>
      <c r="AM4046">
        <v>94.059555397511801</v>
      </c>
      <c r="AN4046">
        <v>0.99999997127348395</v>
      </c>
    </row>
    <row r="4047" spans="1:40" x14ac:dyDescent="0.25">
      <c r="A4047" t="str">
        <f>"20190303162633961"</f>
        <v>20190303162633961</v>
      </c>
      <c r="B4047" t="str">
        <f>"1551601593958210"</f>
        <v>1551601593958210</v>
      </c>
      <c r="C4047" t="s">
        <v>40</v>
      </c>
      <c r="D4047">
        <v>4.9946679999999999</v>
      </c>
      <c r="E4047">
        <v>0.5216885</v>
      </c>
      <c r="F4047" t="s">
        <v>42</v>
      </c>
      <c r="G4047">
        <v>-422.78879999999998</v>
      </c>
      <c r="H4047">
        <v>0.89177390000000001</v>
      </c>
      <c r="I4047">
        <v>90.858670000000004</v>
      </c>
      <c r="J4047">
        <v>-422.78980000000001</v>
      </c>
      <c r="K4047">
        <v>1.1223209999999999</v>
      </c>
      <c r="L4047">
        <v>91.171109999999999</v>
      </c>
      <c r="M4047">
        <v>-1.496519E-2</v>
      </c>
      <c r="N4047">
        <v>-1.4527190000000001E-2</v>
      </c>
      <c r="O4047">
        <v>-0.99978259999999997</v>
      </c>
      <c r="P4047">
        <v>5.291804E-2</v>
      </c>
      <c r="Q4047">
        <v>0.1504461</v>
      </c>
      <c r="R4047">
        <v>-0.987201</v>
      </c>
      <c r="S4047">
        <v>-1.498413E-2</v>
      </c>
      <c r="T4047">
        <v>-1.067132</v>
      </c>
      <c r="U4047">
        <v>-3.2004090000000001</v>
      </c>
      <c r="V4047">
        <v>-6.8178589999999997E-2</v>
      </c>
      <c r="W4047">
        <v>0.16455549999999999</v>
      </c>
      <c r="X4047">
        <v>0.98400869999999996</v>
      </c>
      <c r="Y4047">
        <v>-1.0479189999999999E-2</v>
      </c>
      <c r="Z4047">
        <v>0.30243930000000002</v>
      </c>
      <c r="AA4047">
        <v>0.95311109999999999</v>
      </c>
      <c r="AB4047">
        <v>35</v>
      </c>
      <c r="AC4047">
        <v>1.0000000000331901E-3</v>
      </c>
      <c r="AD4047">
        <v>-0.23054709999999901</v>
      </c>
      <c r="AE4047">
        <v>-0.31244000000000899</v>
      </c>
      <c r="AF4047">
        <v>-3.6750921215787202E-3</v>
      </c>
      <c r="AG4047">
        <v>-0.23054709999999901</v>
      </c>
      <c r="AH4047">
        <v>0.20226232539958999</v>
      </c>
      <c r="AI4047">
        <v>138.73436407898501</v>
      </c>
      <c r="AJ4047">
        <v>91.040945709447001</v>
      </c>
      <c r="AK4047">
        <v>0.30671732897989601</v>
      </c>
      <c r="AL4047">
        <v>80.528586241165996</v>
      </c>
      <c r="AM4047">
        <v>93.963493851112304</v>
      </c>
      <c r="AN4047">
        <v>0.99999997719516298</v>
      </c>
    </row>
    <row r="4048" spans="1:40" x14ac:dyDescent="0.25">
      <c r="A4048" t="str">
        <f>"20190303162633982"</f>
        <v>20190303162633982</v>
      </c>
      <c r="B4048" t="str">
        <f>"1551601593977731"</f>
        <v>1551601593977731</v>
      </c>
      <c r="C4048" t="s">
        <v>40</v>
      </c>
      <c r="D4048">
        <v>4.9900650000000004</v>
      </c>
      <c r="E4048">
        <v>0.52133189999999996</v>
      </c>
      <c r="F4048" t="s">
        <v>42</v>
      </c>
      <c r="G4048">
        <v>-422.79300000000001</v>
      </c>
      <c r="H4048">
        <v>0.80762880000000004</v>
      </c>
      <c r="I4048">
        <v>90.268360000000001</v>
      </c>
      <c r="J4048">
        <v>-422.79360000000003</v>
      </c>
      <c r="K4048">
        <v>1.122325</v>
      </c>
      <c r="L4048">
        <v>90.829530000000005</v>
      </c>
      <c r="M4048">
        <v>-1.370845E-2</v>
      </c>
      <c r="N4048">
        <v>-1.452666E-2</v>
      </c>
      <c r="O4048">
        <v>-0.99980060000000004</v>
      </c>
      <c r="P4048">
        <v>5.3281170000000003E-2</v>
      </c>
      <c r="Q4048">
        <v>0.1510872</v>
      </c>
      <c r="R4048">
        <v>-0.98708359999999995</v>
      </c>
      <c r="S4048">
        <v>-1.0009769999999999E-2</v>
      </c>
      <c r="T4048">
        <v>-1.119081</v>
      </c>
      <c r="U4048">
        <v>-3.209991</v>
      </c>
      <c r="V4048">
        <v>-6.7298960000000005E-2</v>
      </c>
      <c r="W4048">
        <v>0.16519990000000001</v>
      </c>
      <c r="X4048">
        <v>0.98396130000000004</v>
      </c>
      <c r="Y4048">
        <v>-1.072383E-2</v>
      </c>
      <c r="Z4048">
        <v>0.315386</v>
      </c>
      <c r="AA4048">
        <v>0.94890289999999999</v>
      </c>
      <c r="AB4048">
        <v>35</v>
      </c>
      <c r="AC4048">
        <v>6.0000000001991696E-4</v>
      </c>
      <c r="AD4048">
        <v>-0.31469619999999998</v>
      </c>
      <c r="AE4048">
        <v>-0.56117000000000405</v>
      </c>
      <c r="AF4048">
        <v>-6.3093565104161203E-3</v>
      </c>
      <c r="AG4048">
        <v>-0.31469619999999998</v>
      </c>
      <c r="AH4048">
        <v>0.42686754728665999</v>
      </c>
      <c r="AI4048">
        <v>126.395472052598</v>
      </c>
      <c r="AJ4048">
        <v>90.846804073351095</v>
      </c>
      <c r="AK4048">
        <v>0.53036723993903001</v>
      </c>
      <c r="AL4048">
        <v>80.491152725966302</v>
      </c>
      <c r="AM4048">
        <v>93.912705186620698</v>
      </c>
      <c r="AN4048">
        <v>0.99999999843738996</v>
      </c>
    </row>
    <row r="4049" spans="1:40" x14ac:dyDescent="0.25">
      <c r="A4049" t="str">
        <f>"20190303162634006"</f>
        <v>20190303162634006</v>
      </c>
      <c r="B4049" t="str">
        <f>"1551601593997249"</f>
        <v>1551601593997249</v>
      </c>
      <c r="C4049" t="s">
        <v>40</v>
      </c>
      <c r="D4049">
        <v>5.0200659999999999</v>
      </c>
      <c r="E4049">
        <v>0.52227179999999995</v>
      </c>
      <c r="F4049" t="s">
        <v>42</v>
      </c>
      <c r="G4049">
        <v>-422.79570000000001</v>
      </c>
      <c r="H4049">
        <v>0.81697169999999997</v>
      </c>
      <c r="I4049">
        <v>89.951949999999997</v>
      </c>
      <c r="J4049">
        <v>-422.79739999999998</v>
      </c>
      <c r="K4049">
        <v>1.1223270000000001</v>
      </c>
      <c r="L4049">
        <v>90.452640000000002</v>
      </c>
      <c r="M4049">
        <v>-1.2333210000000001E-2</v>
      </c>
      <c r="N4049">
        <v>-1.452517E-2</v>
      </c>
      <c r="O4049">
        <v>-0.9998184</v>
      </c>
      <c r="P4049">
        <v>5.361726E-2</v>
      </c>
      <c r="Q4049">
        <v>0.1523052</v>
      </c>
      <c r="R4049">
        <v>-0.98687780000000003</v>
      </c>
      <c r="S4049">
        <v>-7.8125E-3</v>
      </c>
      <c r="T4049">
        <v>-1.117154</v>
      </c>
      <c r="U4049">
        <v>-3.210693</v>
      </c>
      <c r="V4049">
        <v>-6.6274509999999995E-2</v>
      </c>
      <c r="W4049">
        <v>0.1664196</v>
      </c>
      <c r="X4049">
        <v>0.98382530000000001</v>
      </c>
      <c r="Y4049">
        <v>-9.9997990000000002E-3</v>
      </c>
      <c r="Z4049">
        <v>0.31482510000000002</v>
      </c>
      <c r="AA4049">
        <v>0.94909699999999997</v>
      </c>
      <c r="AB4049">
        <v>35</v>
      </c>
      <c r="AC4049">
        <v>1.6999999999711599E-3</v>
      </c>
      <c r="AD4049">
        <v>-0.3053553</v>
      </c>
      <c r="AE4049">
        <v>-0.50069000000000496</v>
      </c>
      <c r="AF4049">
        <v>-5.7405287163230997E-3</v>
      </c>
      <c r="AG4049">
        <v>-0.3053553</v>
      </c>
      <c r="AH4049">
        <v>0.36490840968000299</v>
      </c>
      <c r="AI4049">
        <v>129.91909880512301</v>
      </c>
      <c r="AJ4049">
        <v>90.901269826767006</v>
      </c>
      <c r="AK4049">
        <v>0.47584972455936297</v>
      </c>
      <c r="AL4049">
        <v>80.420288220990301</v>
      </c>
      <c r="AM4049">
        <v>93.8538563969949</v>
      </c>
      <c r="AN4049">
        <v>1.00000000742999</v>
      </c>
    </row>
    <row r="4050" spans="1:40" x14ac:dyDescent="0.25">
      <c r="A4050" t="str">
        <f>"20190303162634028"</f>
        <v>20190303162634028</v>
      </c>
      <c r="B4050" t="str">
        <f>"1551601594017745"</f>
        <v>1551601594017745</v>
      </c>
      <c r="C4050" t="s">
        <v>40</v>
      </c>
      <c r="D4050">
        <v>5.0460989999999999</v>
      </c>
      <c r="E4050">
        <v>0.52306929999999996</v>
      </c>
      <c r="F4050" t="s">
        <v>42</v>
      </c>
      <c r="G4050">
        <v>-422.80149999999998</v>
      </c>
      <c r="H4050">
        <v>0.84005859999999899</v>
      </c>
      <c r="I4050">
        <v>89.630009999999999</v>
      </c>
      <c r="J4050">
        <v>-422.80040000000002</v>
      </c>
      <c r="K4050">
        <v>1.1223240000000001</v>
      </c>
      <c r="L4050">
        <v>90.108890000000002</v>
      </c>
      <c r="M4050">
        <v>-1.109567E-2</v>
      </c>
      <c r="N4050">
        <v>-1.452357E-2</v>
      </c>
      <c r="O4050">
        <v>-0.99983299999999997</v>
      </c>
      <c r="P4050">
        <v>5.4502630000000003E-2</v>
      </c>
      <c r="Q4050">
        <v>0.15332479999999901</v>
      </c>
      <c r="R4050">
        <v>-0.98667190000000005</v>
      </c>
      <c r="S4050">
        <v>-1.4892580000000001E-2</v>
      </c>
      <c r="T4050">
        <v>-1.1017509999999999</v>
      </c>
      <c r="U4050">
        <v>-3.2107239999999999</v>
      </c>
      <c r="V4050">
        <v>-6.5934580000000007E-2</v>
      </c>
      <c r="W4050">
        <v>0.16743839999999999</v>
      </c>
      <c r="X4050">
        <v>0.98367519999999997</v>
      </c>
      <c r="Y4050">
        <v>-6.6720340000000003E-3</v>
      </c>
      <c r="Z4050">
        <v>0.3107644</v>
      </c>
      <c r="AA4050">
        <v>0.95046350000000002</v>
      </c>
      <c r="AB4050">
        <v>35</v>
      </c>
      <c r="AC4050">
        <v>-1.09999999995125E-3</v>
      </c>
      <c r="AD4050">
        <v>-0.2822654</v>
      </c>
      <c r="AE4050">
        <v>-0.47888000000000303</v>
      </c>
      <c r="AF4050">
        <v>-3.12754040490087E-3</v>
      </c>
      <c r="AG4050">
        <v>-0.2822654</v>
      </c>
      <c r="AH4050">
        <v>0.35539131125425999</v>
      </c>
      <c r="AI4050">
        <v>128.45686882502901</v>
      </c>
      <c r="AJ4050">
        <v>90.504205460557401</v>
      </c>
      <c r="AK4050">
        <v>0.453857380309241</v>
      </c>
      <c r="AL4050">
        <v>80.361083959184597</v>
      </c>
      <c r="AM4050">
        <v>93.834731921655703</v>
      </c>
      <c r="AN4050">
        <v>0.99999994286468596</v>
      </c>
    </row>
    <row r="4051" spans="1:40" x14ac:dyDescent="0.25">
      <c r="A4051" t="str">
        <f>"20190303162634049"</f>
        <v>20190303162634049</v>
      </c>
      <c r="B4051" t="str">
        <f>"1551601594037265"</f>
        <v>1551601594037265</v>
      </c>
      <c r="C4051" t="s">
        <v>40</v>
      </c>
      <c r="D4051">
        <v>5.1070690000000001</v>
      </c>
      <c r="E4051">
        <v>0.5237967</v>
      </c>
      <c r="F4051" t="s">
        <v>42</v>
      </c>
      <c r="G4051">
        <v>-422.80430000000001</v>
      </c>
      <c r="H4051">
        <v>0.85204679999999999</v>
      </c>
      <c r="I4051">
        <v>89.312939999999998</v>
      </c>
      <c r="J4051">
        <v>-422.80279999999999</v>
      </c>
      <c r="K4051">
        <v>1.1223099999999999</v>
      </c>
      <c r="L4051">
        <v>89.784909999999996</v>
      </c>
      <c r="M4051">
        <v>-9.9498920000000001E-3</v>
      </c>
      <c r="N4051">
        <v>-1.4521890000000001E-2</v>
      </c>
      <c r="O4051">
        <v>-0.99984499999999998</v>
      </c>
      <c r="P4051">
        <v>5.5119210000000002E-2</v>
      </c>
      <c r="Q4051">
        <v>0.15373680000000001</v>
      </c>
      <c r="R4051">
        <v>-0.98657360000000005</v>
      </c>
      <c r="S4051">
        <v>-1.5991209999999999E-2</v>
      </c>
      <c r="T4051">
        <v>-1.090271</v>
      </c>
      <c r="U4051">
        <v>-3.2108150000000002</v>
      </c>
      <c r="V4051">
        <v>-6.5413940000000004E-2</v>
      </c>
      <c r="W4051">
        <v>0.16785259999999999</v>
      </c>
      <c r="X4051">
        <v>0.98363940000000005</v>
      </c>
      <c r="Y4051">
        <v>-5.1999480000000002E-3</v>
      </c>
      <c r="Z4051">
        <v>0.30771939999999998</v>
      </c>
      <c r="AA4051">
        <v>0.95146299999999995</v>
      </c>
      <c r="AB4051">
        <v>35</v>
      </c>
      <c r="AC4051">
        <v>-1.5000000000213701E-3</v>
      </c>
      <c r="AD4051">
        <v>-0.27026319999999998</v>
      </c>
      <c r="AE4051">
        <v>-0.471969999999998</v>
      </c>
      <c r="AF4051">
        <v>-2.4072758759193201E-3</v>
      </c>
      <c r="AG4051">
        <v>-0.27026319999999998</v>
      </c>
      <c r="AH4051">
        <v>0.35541965732597203</v>
      </c>
      <c r="AI4051">
        <v>127.248939072162</v>
      </c>
      <c r="AJ4051">
        <v>90.388061368959896</v>
      </c>
      <c r="AK4051">
        <v>0.44650993837214198</v>
      </c>
      <c r="AL4051">
        <v>80.337011658699396</v>
      </c>
      <c r="AM4051">
        <v>93.8046790255665</v>
      </c>
      <c r="AN4051">
        <v>0.99999997405272101</v>
      </c>
    </row>
    <row r="4052" spans="1:40" x14ac:dyDescent="0.25">
      <c r="A4052" t="str">
        <f>"20190303162634069"</f>
        <v>20190303162634069</v>
      </c>
      <c r="B4052" t="str">
        <f>"1551601594057762"</f>
        <v>1551601594057762</v>
      </c>
      <c r="C4052" t="s">
        <v>40</v>
      </c>
      <c r="D4052">
        <v>5.0598179999999999</v>
      </c>
      <c r="E4052">
        <v>0.52535379999999998</v>
      </c>
      <c r="F4052" t="s">
        <v>42</v>
      </c>
      <c r="G4052">
        <v>-422.80759999999998</v>
      </c>
      <c r="H4052">
        <v>0.85607239999999996</v>
      </c>
      <c r="I4052">
        <v>88.999690000000001</v>
      </c>
      <c r="J4052">
        <v>-422.8048</v>
      </c>
      <c r="K4052">
        <v>1.1222920000000001</v>
      </c>
      <c r="L4052">
        <v>89.476320000000001</v>
      </c>
      <c r="M4052">
        <v>-8.8810509999999992E-3</v>
      </c>
      <c r="N4052">
        <v>-1.451996E-2</v>
      </c>
      <c r="O4052">
        <v>-0.9998553</v>
      </c>
      <c r="P4052">
        <v>5.6195679999999998E-2</v>
      </c>
      <c r="Q4052">
        <v>0.15365780000000001</v>
      </c>
      <c r="R4052">
        <v>-0.98652499999999999</v>
      </c>
      <c r="S4052">
        <v>-1.8737790000000001E-2</v>
      </c>
      <c r="T4052">
        <v>-1.088967</v>
      </c>
      <c r="U4052">
        <v>-3.2115480000000001</v>
      </c>
      <c r="V4052">
        <v>-6.5426999999999999E-2</v>
      </c>
      <c r="W4052">
        <v>0.16777500000000001</v>
      </c>
      <c r="X4052">
        <v>0.98365179999999997</v>
      </c>
      <c r="Y4052">
        <v>-3.3223969999999999E-3</v>
      </c>
      <c r="Z4052">
        <v>0.30731409999999998</v>
      </c>
      <c r="AA4052">
        <v>0.95160230000000001</v>
      </c>
      <c r="AB4052">
        <v>35</v>
      </c>
      <c r="AC4052">
        <v>-2.7999999999792601E-3</v>
      </c>
      <c r="AD4052">
        <v>-0.2662196</v>
      </c>
      <c r="AE4052">
        <v>-0.47663</v>
      </c>
      <c r="AF4052">
        <v>-1.0926619078570801E-3</v>
      </c>
      <c r="AG4052">
        <v>-0.2662196</v>
      </c>
      <c r="AH4052">
        <v>0.36330008526975899</v>
      </c>
      <c r="AI4052">
        <v>126.23315002520501</v>
      </c>
      <c r="AJ4052">
        <v>90.172322356989596</v>
      </c>
      <c r="AK4052">
        <v>0.45040095613932601</v>
      </c>
      <c r="AL4052">
        <v>80.341522055691399</v>
      </c>
      <c r="AM4052">
        <v>93.805388573532795</v>
      </c>
      <c r="AN4052">
        <v>1.0000000032986101</v>
      </c>
    </row>
    <row r="4053" spans="1:40" x14ac:dyDescent="0.25">
      <c r="A4053" t="str">
        <f>"20190303162634092"</f>
        <v>20190303162634092</v>
      </c>
      <c r="B4053" t="str">
        <f>"1551601594088018"</f>
        <v>1551601594088018</v>
      </c>
      <c r="C4053" t="s">
        <v>40</v>
      </c>
      <c r="D4053">
        <v>5.0389999999999997</v>
      </c>
      <c r="E4053">
        <v>0.52718350000000003</v>
      </c>
      <c r="F4053" t="s">
        <v>42</v>
      </c>
      <c r="G4053">
        <v>-422.81209999999999</v>
      </c>
      <c r="H4053">
        <v>0.85567309999999996</v>
      </c>
      <c r="I4053">
        <v>88.688739999999996</v>
      </c>
      <c r="J4053">
        <v>-422.80680000000001</v>
      </c>
      <c r="K4053">
        <v>1.122263</v>
      </c>
      <c r="L4053">
        <v>89.119169999999997</v>
      </c>
      <c r="M4053">
        <v>-7.6715109999999998E-3</v>
      </c>
      <c r="N4053">
        <v>-1.451735E-2</v>
      </c>
      <c r="O4053">
        <v>-0.99986520000000001</v>
      </c>
      <c r="P4053">
        <v>5.7121390000000001E-2</v>
      </c>
      <c r="Q4053">
        <v>0.1533283</v>
      </c>
      <c r="R4053">
        <v>-0.98652300000000004</v>
      </c>
      <c r="S4053">
        <v>-2.963257E-2</v>
      </c>
      <c r="T4053">
        <v>-1.08739599999999</v>
      </c>
      <c r="U4053">
        <v>-3.2120359999999999</v>
      </c>
      <c r="V4053">
        <v>-6.5147830000000004E-2</v>
      </c>
      <c r="W4053">
        <v>0.16744970000000001</v>
      </c>
      <c r="X4053">
        <v>0.98372570000000004</v>
      </c>
      <c r="Y4053">
        <v>1.1038770000000001E-3</v>
      </c>
      <c r="Z4053">
        <v>0.3068572</v>
      </c>
      <c r="AA4053">
        <v>0.95175489999999996</v>
      </c>
      <c r="AB4053">
        <v>35</v>
      </c>
      <c r="AC4053">
        <v>-5.2999999999769898E-3</v>
      </c>
      <c r="AD4053">
        <v>-0.26658989999999999</v>
      </c>
      <c r="AE4053">
        <v>-0.43043000000000098</v>
      </c>
      <c r="AF4053">
        <v>1.44371694461125E-3</v>
      </c>
      <c r="AG4053">
        <v>-0.26658989999999999</v>
      </c>
      <c r="AH4053">
        <v>0.31112681785320601</v>
      </c>
      <c r="AI4053">
        <v>130.59140968887499</v>
      </c>
      <c r="AJ4053">
        <v>89.734133191704501</v>
      </c>
      <c r="AK4053">
        <v>0.40972204711009602</v>
      </c>
      <c r="AL4053">
        <v>80.360427288353193</v>
      </c>
      <c r="AM4053">
        <v>93.788914966908294</v>
      </c>
      <c r="AN4053">
        <v>0.99999994731214303</v>
      </c>
    </row>
    <row r="4054" spans="1:40" x14ac:dyDescent="0.25">
      <c r="A4054" t="str">
        <f>"20190303162634115"</f>
        <v>20190303162634115</v>
      </c>
      <c r="B4054" t="str">
        <f>"1551601594107537"</f>
        <v>1551601594107537</v>
      </c>
      <c r="C4054" t="s">
        <v>40</v>
      </c>
      <c r="D4054">
        <v>5.0926920000000004</v>
      </c>
      <c r="E4054">
        <v>0.52806509999999995</v>
      </c>
      <c r="F4054" t="s">
        <v>42</v>
      </c>
      <c r="G4054">
        <v>-422.81650000000002</v>
      </c>
      <c r="H4054">
        <v>0.86944439999999901</v>
      </c>
      <c r="I4054">
        <v>88.372010000000003</v>
      </c>
      <c r="J4054">
        <v>-422.80829999999997</v>
      </c>
      <c r="K4054">
        <v>1.1222289999999999</v>
      </c>
      <c r="L4054">
        <v>88.757509999999996</v>
      </c>
      <c r="M4054">
        <v>-6.4774619999999998E-3</v>
      </c>
      <c r="N4054">
        <v>-1.451799E-2</v>
      </c>
      <c r="O4054">
        <v>-0.99987380000000003</v>
      </c>
      <c r="P4054">
        <v>5.7894729999999998E-2</v>
      </c>
      <c r="Q4054">
        <v>0.1529356</v>
      </c>
      <c r="R4054">
        <v>-0.9865389</v>
      </c>
      <c r="S4054">
        <v>-4.0710450000000002E-2</v>
      </c>
      <c r="T4054">
        <v>-1.0870029999999999</v>
      </c>
      <c r="U4054">
        <v>-3.2122799999999998</v>
      </c>
      <c r="V4054">
        <v>-6.4730889999999999E-2</v>
      </c>
      <c r="W4054">
        <v>0.1670642</v>
      </c>
      <c r="X4054">
        <v>0.98381879999999999</v>
      </c>
      <c r="Y4054">
        <v>5.5681890000000003E-3</v>
      </c>
      <c r="Z4054">
        <v>0.30672650000000001</v>
      </c>
      <c r="AA4054">
        <v>0.9517814</v>
      </c>
      <c r="AB4054">
        <v>35</v>
      </c>
      <c r="AC4054">
        <v>-8.2000000000448294E-3</v>
      </c>
      <c r="AD4054">
        <v>-0.25278460000000003</v>
      </c>
      <c r="AE4054">
        <v>-0.38549999999999301</v>
      </c>
      <c r="AF4054">
        <v>3.9883512694668397E-3</v>
      </c>
      <c r="AG4054">
        <v>-0.25278460000000003</v>
      </c>
      <c r="AH4054">
        <v>0.26965156579708599</v>
      </c>
      <c r="AI4054">
        <v>133.14770881926199</v>
      </c>
      <c r="AJ4054">
        <v>89.152613734674404</v>
      </c>
      <c r="AK4054">
        <v>0.36963215211860101</v>
      </c>
      <c r="AL4054">
        <v>80.382830745517396</v>
      </c>
      <c r="AM4054">
        <v>93.764380987070297</v>
      </c>
      <c r="AN4054">
        <v>0.99999998313763505</v>
      </c>
    </row>
    <row r="4055" spans="1:40" x14ac:dyDescent="0.25">
      <c r="A4055" t="str">
        <f>"20190303162634136"</f>
        <v>20190303162634136</v>
      </c>
      <c r="B4055" t="str">
        <f>"1551601594128034"</f>
        <v>1551601594128034</v>
      </c>
      <c r="C4055" t="s">
        <v>40</v>
      </c>
      <c r="D4055">
        <v>5.0823919999999996</v>
      </c>
      <c r="E4055">
        <v>0.52922009999999997</v>
      </c>
      <c r="F4055" t="s">
        <v>42</v>
      </c>
      <c r="G4055">
        <v>-422.81819999999999</v>
      </c>
      <c r="H4055">
        <v>0.88444959999999995</v>
      </c>
      <c r="I4055">
        <v>88.054919999999996</v>
      </c>
      <c r="J4055">
        <v>-422.80939999999998</v>
      </c>
      <c r="K4055">
        <v>1.122207</v>
      </c>
      <c r="L4055">
        <v>88.432130000000001</v>
      </c>
      <c r="M4055">
        <v>-5.4295760000000002E-3</v>
      </c>
      <c r="N4055">
        <v>-1.4522699999999999E-2</v>
      </c>
      <c r="O4055">
        <v>-0.99987999999999999</v>
      </c>
      <c r="P4055">
        <v>5.8677359999999998E-2</v>
      </c>
      <c r="Q4055">
        <v>0.15287500000000001</v>
      </c>
      <c r="R4055">
        <v>-0.9865022</v>
      </c>
      <c r="S4055">
        <v>-4.3945310000000001E-2</v>
      </c>
      <c r="T4055">
        <v>-1.0871660000000001</v>
      </c>
      <c r="U4055">
        <v>-3.2120669999999998</v>
      </c>
      <c r="V4055">
        <v>-6.4469219999999994E-2</v>
      </c>
      <c r="W4055">
        <v>0.16701299999999999</v>
      </c>
      <c r="X4055">
        <v>0.98384470000000002</v>
      </c>
      <c r="Y4055">
        <v>7.56996199999999E-3</v>
      </c>
      <c r="Z4055">
        <v>0.30678339999999998</v>
      </c>
      <c r="AA4055">
        <v>0.95174930000000002</v>
      </c>
      <c r="AB4055">
        <v>35</v>
      </c>
      <c r="AC4055">
        <v>-8.8000000000079091E-3</v>
      </c>
      <c r="AD4055">
        <v>-0.23775740000000001</v>
      </c>
      <c r="AE4055">
        <v>-0.37721000000000499</v>
      </c>
      <c r="AF4055">
        <v>4.83266532377781E-3</v>
      </c>
      <c r="AG4055">
        <v>-0.23775740000000001</v>
      </c>
      <c r="AH4055">
        <v>0.27003130852429402</v>
      </c>
      <c r="AI4055">
        <v>131.358750600783</v>
      </c>
      <c r="AJ4055">
        <v>88.974704925589293</v>
      </c>
      <c r="AK4055">
        <v>0.35981779207292403</v>
      </c>
      <c r="AL4055">
        <v>80.385806334378103</v>
      </c>
      <c r="AM4055">
        <v>93.749108817620098</v>
      </c>
      <c r="AN4055">
        <v>1.00000000810724</v>
      </c>
    </row>
    <row r="4056" spans="1:40" x14ac:dyDescent="0.25">
      <c r="A4056" t="str">
        <f>"20190303162634204"</f>
        <v>20190303162634204</v>
      </c>
      <c r="B4056" t="str">
        <f>"1551601594198306"</f>
        <v>1551601594198306</v>
      </c>
      <c r="C4056" t="s">
        <v>40</v>
      </c>
      <c r="D4056">
        <v>5.0977379999999997</v>
      </c>
      <c r="E4056">
        <v>0.53223920000000002</v>
      </c>
      <c r="F4056" t="s">
        <v>42</v>
      </c>
      <c r="G4056">
        <v>-422.82810000000001</v>
      </c>
      <c r="H4056">
        <v>0.82430639999999999</v>
      </c>
      <c r="I4056">
        <v>86.841769999999997</v>
      </c>
      <c r="J4056">
        <v>-422.81049999999999</v>
      </c>
      <c r="K4056">
        <v>1.1221650000000001</v>
      </c>
      <c r="L4056">
        <v>87.382140000000007</v>
      </c>
      <c r="M4056">
        <v>-2.161699E-3</v>
      </c>
      <c r="N4056">
        <v>-1.454094E-2</v>
      </c>
      <c r="O4056">
        <v>-0.99989220000000001</v>
      </c>
      <c r="P4056">
        <v>6.1512039999999997E-2</v>
      </c>
      <c r="Q4056">
        <v>0.15503359999999999</v>
      </c>
      <c r="R4056">
        <v>-0.98599270000000006</v>
      </c>
      <c r="S4056">
        <v>-6.3446039999999995E-2</v>
      </c>
      <c r="T4056">
        <v>-1.0755699999999999</v>
      </c>
      <c r="U4056">
        <v>-3.2142940000000002</v>
      </c>
      <c r="V4056">
        <v>-6.4061750000000001E-2</v>
      </c>
      <c r="W4056">
        <v>0.1691945</v>
      </c>
      <c r="X4056">
        <v>0.98349850000000005</v>
      </c>
      <c r="Y4056">
        <v>1.6599340000000001E-2</v>
      </c>
      <c r="Z4056">
        <v>0.30345299999999997</v>
      </c>
      <c r="AA4056">
        <v>0.95270180000000004</v>
      </c>
      <c r="AB4056">
        <v>35</v>
      </c>
      <c r="AC4056">
        <v>-1.7600000000015801E-2</v>
      </c>
      <c r="AD4056">
        <v>-0.29785859999999897</v>
      </c>
      <c r="AE4056">
        <v>-0.54037000000001001</v>
      </c>
      <c r="AF4056">
        <v>1.26057183951402E-2</v>
      </c>
      <c r="AG4056">
        <v>-0.29785859999999897</v>
      </c>
      <c r="AH4056">
        <v>0.414577198907983</v>
      </c>
      <c r="AI4056">
        <v>125.68332358348999</v>
      </c>
      <c r="AJ4056">
        <v>88.2583895029302</v>
      </c>
      <c r="AK4056">
        <v>0.51063970036083794</v>
      </c>
      <c r="AL4056">
        <v>80.259011034084907</v>
      </c>
      <c r="AM4056">
        <v>93.7267876725072</v>
      </c>
      <c r="AN4056">
        <v>0.99999999307278098</v>
      </c>
    </row>
    <row r="4057" spans="1:40" x14ac:dyDescent="0.25">
      <c r="A4057" t="str">
        <f>"20190303162634225"</f>
        <v>20190303162634225</v>
      </c>
      <c r="B4057" t="str">
        <f>"1551601594217826"</f>
        <v>1551601594217826</v>
      </c>
      <c r="C4057" t="s">
        <v>40</v>
      </c>
      <c r="D4057">
        <v>5.1382810000000001</v>
      </c>
      <c r="E4057">
        <v>0.53284010000000004</v>
      </c>
      <c r="F4057" t="s">
        <v>42</v>
      </c>
      <c r="G4057">
        <v>-422.82839999999999</v>
      </c>
      <c r="H4057">
        <v>0.83731659999999997</v>
      </c>
      <c r="I4057">
        <v>86.527540000000002</v>
      </c>
      <c r="J4057">
        <v>-422.81020000000001</v>
      </c>
      <c r="K4057">
        <v>1.1221620000000001</v>
      </c>
      <c r="L4057">
        <v>87.043149999999997</v>
      </c>
      <c r="M4057">
        <v>-1.1246909999999999E-3</v>
      </c>
      <c r="N4057">
        <v>-1.454633E-2</v>
      </c>
      <c r="O4057">
        <v>-0.99989349999999999</v>
      </c>
      <c r="P4057">
        <v>6.2497200000000003E-2</v>
      </c>
      <c r="Q4057">
        <v>0.1557519</v>
      </c>
      <c r="R4057">
        <v>-0.98581739999999995</v>
      </c>
      <c r="S4057">
        <v>-6.6040039999999994E-2</v>
      </c>
      <c r="T4057">
        <v>-1.0717449999999999</v>
      </c>
      <c r="U4057">
        <v>-3.215271</v>
      </c>
      <c r="V4057">
        <v>-6.4021770000000006E-2</v>
      </c>
      <c r="W4057">
        <v>0.1699186</v>
      </c>
      <c r="X4057">
        <v>0.98337629999999998</v>
      </c>
      <c r="Y4057">
        <v>1.8401770000000001E-2</v>
      </c>
      <c r="Z4057">
        <v>0.30233450000000001</v>
      </c>
      <c r="AA4057">
        <v>0.95302430000000005</v>
      </c>
      <c r="AB4057">
        <v>35</v>
      </c>
      <c r="AC4057">
        <v>-1.81999999999789E-2</v>
      </c>
      <c r="AD4057">
        <v>-0.28484540000000003</v>
      </c>
      <c r="AE4057">
        <v>-0.51560999999999502</v>
      </c>
      <c r="AF4057">
        <v>1.35038591288794E-2</v>
      </c>
      <c r="AG4057">
        <v>-0.28484540000000003</v>
      </c>
      <c r="AH4057">
        <v>0.395175193115614</v>
      </c>
      <c r="AI4057">
        <v>125.768503474632</v>
      </c>
      <c r="AJ4057">
        <v>88.042859975509401</v>
      </c>
      <c r="AK4057">
        <v>0.48732195658157601</v>
      </c>
      <c r="AL4057">
        <v>80.216913997255801</v>
      </c>
      <c r="AM4057">
        <v>93.724929908302101</v>
      </c>
      <c r="AN4057">
        <v>1.0000000325307901</v>
      </c>
    </row>
    <row r="4058" spans="1:40" x14ac:dyDescent="0.25">
      <c r="A4058" t="str">
        <f>"20190303162634247"</f>
        <v>20190303162634247</v>
      </c>
      <c r="B4058" t="str">
        <f>"1551601594238322"</f>
        <v>1551601594238322</v>
      </c>
      <c r="C4058" t="s">
        <v>40</v>
      </c>
      <c r="D4058">
        <v>5.1260180000000002</v>
      </c>
      <c r="E4058">
        <v>0.533340699999999</v>
      </c>
      <c r="F4058" t="s">
        <v>42</v>
      </c>
      <c r="G4058">
        <v>-422.82769999999999</v>
      </c>
      <c r="H4058">
        <v>0.84706809999999999</v>
      </c>
      <c r="I4058">
        <v>86.214979999999997</v>
      </c>
      <c r="J4058">
        <v>-422.80950000000001</v>
      </c>
      <c r="K4058">
        <v>1.122161</v>
      </c>
      <c r="L4058">
        <v>86.70993</v>
      </c>
      <c r="M4058">
        <v>-1.07352E-4</v>
      </c>
      <c r="N4058">
        <v>-1.455271E-2</v>
      </c>
      <c r="O4058">
        <v>-0.99989419999999996</v>
      </c>
      <c r="P4058">
        <v>6.4163659999999997E-2</v>
      </c>
      <c r="Q4058">
        <v>0.1567828</v>
      </c>
      <c r="R4058">
        <v>-0.9855469</v>
      </c>
      <c r="S4058">
        <v>-6.7260739999999999E-2</v>
      </c>
      <c r="T4058">
        <v>-1.068387</v>
      </c>
      <c r="U4058">
        <v>-3.2162169999999999</v>
      </c>
      <c r="V4058">
        <v>-6.4684309999999995E-2</v>
      </c>
      <c r="W4058">
        <v>0.17095189999999999</v>
      </c>
      <c r="X4058">
        <v>0.98315379999999997</v>
      </c>
      <c r="Y4058">
        <v>1.977808E-2</v>
      </c>
      <c r="Z4058">
        <v>0.30134309999999997</v>
      </c>
      <c r="AA4058">
        <v>0.95331069999999996</v>
      </c>
      <c r="AB4058">
        <v>35</v>
      </c>
      <c r="AC4058">
        <v>-1.81999999999789E-2</v>
      </c>
      <c r="AD4058">
        <v>-0.27509289999999897</v>
      </c>
      <c r="AE4058">
        <v>-0.49494999999998801</v>
      </c>
      <c r="AF4058">
        <v>1.3868489438596599E-2</v>
      </c>
      <c r="AG4058">
        <v>-0.27509289999999897</v>
      </c>
      <c r="AH4058">
        <v>0.378260247539427</v>
      </c>
      <c r="AI4058">
        <v>126.008528477309</v>
      </c>
      <c r="AJ4058">
        <v>87.900254763719204</v>
      </c>
      <c r="AK4058">
        <v>0.46792013581198499</v>
      </c>
      <c r="AL4058">
        <v>80.156830897455805</v>
      </c>
      <c r="AM4058">
        <v>93.764217006625202</v>
      </c>
      <c r="AN4058">
        <v>1.0000000032641101</v>
      </c>
    </row>
    <row r="4059" spans="1:40" x14ac:dyDescent="0.25">
      <c r="A4059" t="str">
        <f>"20190303162634270"</f>
        <v>20190303162634270</v>
      </c>
      <c r="B4059" t="str">
        <f>"1551601594267602"</f>
        <v>1551601594267602</v>
      </c>
      <c r="C4059" t="s">
        <v>40</v>
      </c>
      <c r="D4059">
        <v>5.1564930000000002</v>
      </c>
      <c r="E4059">
        <v>0.5339583</v>
      </c>
      <c r="F4059" t="s">
        <v>42</v>
      </c>
      <c r="G4059">
        <v>-422.82690000000002</v>
      </c>
      <c r="H4059">
        <v>0.85538549999999902</v>
      </c>
      <c r="I4059">
        <v>85.903229999999994</v>
      </c>
      <c r="J4059">
        <v>-422.80840000000001</v>
      </c>
      <c r="K4059">
        <v>1.1221669999999999</v>
      </c>
      <c r="L4059">
        <v>86.361419999999995</v>
      </c>
      <c r="M4059">
        <v>9.5703100000000001E-4</v>
      </c>
      <c r="N4059">
        <v>-1.455972E-2</v>
      </c>
      <c r="O4059">
        <v>-0.9998937</v>
      </c>
      <c r="P4059">
        <v>6.6569130000000004E-2</v>
      </c>
      <c r="Q4059">
        <v>0.15904649999999901</v>
      </c>
      <c r="R4059">
        <v>-0.98502449999999997</v>
      </c>
      <c r="S4059">
        <v>-6.7871089999999995E-2</v>
      </c>
      <c r="T4059">
        <v>-1.0641780000000001</v>
      </c>
      <c r="U4059">
        <v>-3.2176819999999999</v>
      </c>
      <c r="V4059">
        <v>-6.6043519999999994E-2</v>
      </c>
      <c r="W4059">
        <v>0.17321400000000001</v>
      </c>
      <c r="X4059">
        <v>0.98266739999999997</v>
      </c>
      <c r="Y4059">
        <v>2.101956E-2</v>
      </c>
      <c r="Z4059">
        <v>0.30007739999999999</v>
      </c>
      <c r="AA4059">
        <v>0.95368330000000001</v>
      </c>
      <c r="AB4059">
        <v>35</v>
      </c>
      <c r="AC4059">
        <v>-1.8500000000017201E-2</v>
      </c>
      <c r="AD4059">
        <v>-0.2667815</v>
      </c>
      <c r="AE4059">
        <v>-0.458189999999987</v>
      </c>
      <c r="AF4059">
        <v>1.4149455433042199E-2</v>
      </c>
      <c r="AG4059">
        <v>-0.2667815</v>
      </c>
      <c r="AH4059">
        <v>0.34231178747303997</v>
      </c>
      <c r="AI4059">
        <v>127.90744327532499</v>
      </c>
      <c r="AJ4059">
        <v>87.633026781188903</v>
      </c>
      <c r="AK4059">
        <v>0.43422337071407002</v>
      </c>
      <c r="AL4059">
        <v>80.025259606659205</v>
      </c>
      <c r="AM4059">
        <v>93.844976359929305</v>
      </c>
      <c r="AN4059">
        <v>1.0000000276763701</v>
      </c>
    </row>
    <row r="4060" spans="1:40" x14ac:dyDescent="0.25">
      <c r="A4060" t="str">
        <f>"20190303162634293"</f>
        <v>20190303162634293</v>
      </c>
      <c r="B4060" t="str">
        <f>"1551601594288098"</f>
        <v>1551601594288098</v>
      </c>
      <c r="C4060" t="s">
        <v>40</v>
      </c>
      <c r="D4060">
        <v>5.1558929999999998</v>
      </c>
      <c r="E4060">
        <v>0.53420669999999904</v>
      </c>
      <c r="F4060" t="s">
        <v>42</v>
      </c>
      <c r="G4060">
        <v>-422.82420000000002</v>
      </c>
      <c r="H4060">
        <v>0.86890389999999995</v>
      </c>
      <c r="I4060">
        <v>85.589469999999906</v>
      </c>
      <c r="J4060">
        <v>-422.80700000000002</v>
      </c>
      <c r="K4060">
        <v>1.1221840000000001</v>
      </c>
      <c r="L4060">
        <v>86.007930000000002</v>
      </c>
      <c r="M4060">
        <v>2.0383469999999998E-3</v>
      </c>
      <c r="N4060">
        <v>-1.456613E-2</v>
      </c>
      <c r="O4060">
        <v>-0.99989189999999994</v>
      </c>
      <c r="P4060">
        <v>6.8534310000000001E-2</v>
      </c>
      <c r="Q4060">
        <v>0.161252799999999</v>
      </c>
      <c r="R4060">
        <v>-0.98453060000000003</v>
      </c>
      <c r="S4060">
        <v>-6.5338129999999994E-2</v>
      </c>
      <c r="T4060">
        <v>-1.0566469999999999</v>
      </c>
      <c r="U4060">
        <v>-3.220612</v>
      </c>
      <c r="V4060">
        <v>-6.6947069999999997E-2</v>
      </c>
      <c r="W4060">
        <v>0.17541899999999999</v>
      </c>
      <c r="X4060">
        <v>0.98221499999999995</v>
      </c>
      <c r="Y4060">
        <v>2.1346850000000001E-2</v>
      </c>
      <c r="Z4060">
        <v>0.29780030000000002</v>
      </c>
      <c r="AA4060">
        <v>0.9543895</v>
      </c>
      <c r="AB4060">
        <v>35</v>
      </c>
      <c r="AC4060">
        <v>-1.72000000000593E-2</v>
      </c>
      <c r="AD4060">
        <v>-0.25328010000000001</v>
      </c>
      <c r="AE4060">
        <v>-0.41846000000000999</v>
      </c>
      <c r="AF4060">
        <v>1.3218582974841299E-2</v>
      </c>
      <c r="AG4060">
        <v>-0.25328010000000001</v>
      </c>
      <c r="AH4060">
        <v>0.306373826948665</v>
      </c>
      <c r="AI4060">
        <v>129.554472552535</v>
      </c>
      <c r="AJ4060">
        <v>87.529490047698204</v>
      </c>
      <c r="AK4060">
        <v>0.397731645498624</v>
      </c>
      <c r="AL4060">
        <v>79.896957980808295</v>
      </c>
      <c r="AM4060">
        <v>93.899208535360401</v>
      </c>
      <c r="AN4060">
        <v>1.00000002098379</v>
      </c>
    </row>
    <row r="4061" spans="1:40" x14ac:dyDescent="0.25">
      <c r="A4061" t="str">
        <f>"20190303162634316"</f>
        <v>20190303162634316</v>
      </c>
      <c r="B4061" t="str">
        <f>"1551601594307618"</f>
        <v>1551601594307618</v>
      </c>
      <c r="C4061" t="s">
        <v>40</v>
      </c>
      <c r="D4061">
        <v>5.1747610000000002</v>
      </c>
      <c r="E4061">
        <v>0.53441949999999905</v>
      </c>
      <c r="F4061" t="s">
        <v>42</v>
      </c>
      <c r="G4061">
        <v>-422.82089999999999</v>
      </c>
      <c r="H4061">
        <v>0.88327730000000004</v>
      </c>
      <c r="I4061">
        <v>85.275700000000001</v>
      </c>
      <c r="J4061">
        <v>-422.80520000000001</v>
      </c>
      <c r="K4061">
        <v>1.122187</v>
      </c>
      <c r="L4061">
        <v>85.657809999999998</v>
      </c>
      <c r="M4061">
        <v>3.1110209999999998E-3</v>
      </c>
      <c r="N4061">
        <v>-1.4571550000000001E-2</v>
      </c>
      <c r="O4061">
        <v>-0.99988929999999998</v>
      </c>
      <c r="P4061">
        <v>6.9622450000000002E-2</v>
      </c>
      <c r="Q4061">
        <v>0.163026</v>
      </c>
      <c r="R4061">
        <v>-0.98416250000000005</v>
      </c>
      <c r="S4061">
        <v>-5.963135E-2</v>
      </c>
      <c r="T4061">
        <v>-1.0518379999999901</v>
      </c>
      <c r="U4061">
        <v>-3.2235719999999999</v>
      </c>
      <c r="V4061">
        <v>-6.6981639999999995E-2</v>
      </c>
      <c r="W4061">
        <v>0.17719370000000001</v>
      </c>
      <c r="X4061">
        <v>0.98189400000000004</v>
      </c>
      <c r="Y4061">
        <v>2.0723519999999999E-2</v>
      </c>
      <c r="Z4061">
        <v>0.29625430000000003</v>
      </c>
      <c r="AA4061">
        <v>0.95488419999999896</v>
      </c>
      <c r="AB4061">
        <v>34</v>
      </c>
      <c r="AC4061">
        <v>-1.5699999999981101E-2</v>
      </c>
      <c r="AD4061">
        <v>-0.238909699999999</v>
      </c>
      <c r="AE4061">
        <v>-0.38210999999999701</v>
      </c>
      <c r="AF4061">
        <v>1.2147912369229E-2</v>
      </c>
      <c r="AG4061">
        <v>-0.238909699999999</v>
      </c>
      <c r="AH4061">
        <v>0.27481066432898898</v>
      </c>
      <c r="AI4061">
        <v>130.97473780277201</v>
      </c>
      <c r="AJ4061">
        <v>87.468907237099003</v>
      </c>
      <c r="AK4061">
        <v>0.36434368082616803</v>
      </c>
      <c r="AL4061">
        <v>79.793656626144198</v>
      </c>
      <c r="AM4061">
        <v>93.902487227644599</v>
      </c>
      <c r="AN4061">
        <v>0.99999998732638895</v>
      </c>
    </row>
    <row r="4062" spans="1:40" x14ac:dyDescent="0.25">
      <c r="A4062" t="str">
        <f>"20190303162634337"</f>
        <v>20190303162634337</v>
      </c>
      <c r="B4062" t="str">
        <f>"1551601594328114"</f>
        <v>1551601594328114</v>
      </c>
      <c r="C4062" t="s">
        <v>40</v>
      </c>
      <c r="D4062">
        <v>5.2096099999999996</v>
      </c>
      <c r="E4062">
        <v>0.5346204</v>
      </c>
      <c r="F4062" t="s">
        <v>42</v>
      </c>
      <c r="G4062">
        <v>-422.81760000000003</v>
      </c>
      <c r="H4062">
        <v>0.89633379999999996</v>
      </c>
      <c r="I4062">
        <v>84.962879999999998</v>
      </c>
      <c r="J4062">
        <v>-422.80309999999997</v>
      </c>
      <c r="K4062">
        <v>1.1221939999999999</v>
      </c>
      <c r="L4062">
        <v>85.327209999999994</v>
      </c>
      <c r="M4062">
        <v>4.1246750000000004E-3</v>
      </c>
      <c r="N4062">
        <v>-1.457582E-2</v>
      </c>
      <c r="O4062">
        <v>-0.99988520000000003</v>
      </c>
      <c r="P4062">
        <v>7.0240349999999993E-2</v>
      </c>
      <c r="Q4062">
        <v>0.16459499999999999</v>
      </c>
      <c r="R4062">
        <v>-0.98385719999999999</v>
      </c>
      <c r="S4062">
        <v>-5.6915279999999999E-2</v>
      </c>
      <c r="T4062">
        <v>-1.0485009999999999</v>
      </c>
      <c r="U4062">
        <v>-3.2259829999999998</v>
      </c>
      <c r="V4062">
        <v>-6.6604689999999994E-2</v>
      </c>
      <c r="W4062">
        <v>0.1787646</v>
      </c>
      <c r="X4062">
        <v>0.98163489999999998</v>
      </c>
      <c r="Y4062">
        <v>2.0925989999999998E-2</v>
      </c>
      <c r="Z4062">
        <v>0.29514590000000002</v>
      </c>
      <c r="AA4062">
        <v>0.95522300000000004</v>
      </c>
      <c r="AB4062">
        <v>34</v>
      </c>
      <c r="AC4062">
        <v>-1.4500000000055E-2</v>
      </c>
      <c r="AD4062">
        <v>-0.22586020000000001</v>
      </c>
      <c r="AE4062">
        <v>-0.36432999999999499</v>
      </c>
      <c r="AF4062">
        <v>1.1565131961783701E-2</v>
      </c>
      <c r="AG4062">
        <v>-0.22586020000000001</v>
      </c>
      <c r="AH4062">
        <v>0.26325407989053301</v>
      </c>
      <c r="AI4062">
        <v>130.60081898566699</v>
      </c>
      <c r="AJ4062">
        <v>87.484531079928402</v>
      </c>
      <c r="AK4062">
        <v>0.34705805393384098</v>
      </c>
      <c r="AL4062">
        <v>79.7021907076156</v>
      </c>
      <c r="AM4062">
        <v>93.881613782190797</v>
      </c>
      <c r="AN4062">
        <v>1.00000002192058</v>
      </c>
    </row>
    <row r="4063" spans="1:40" x14ac:dyDescent="0.25">
      <c r="A4063" t="str">
        <f>"20190303162634362"</f>
        <v>20190303162634362</v>
      </c>
      <c r="B4063" t="str">
        <f>"1551601594347634"</f>
        <v>1551601594347634</v>
      </c>
      <c r="C4063" t="s">
        <v>40</v>
      </c>
      <c r="D4063">
        <v>5.265326</v>
      </c>
      <c r="E4063">
        <v>0.53475589999999995</v>
      </c>
      <c r="F4063" t="s">
        <v>42</v>
      </c>
      <c r="G4063">
        <v>-422.81479999999999</v>
      </c>
      <c r="H4063">
        <v>0.90383150000000001</v>
      </c>
      <c r="I4063">
        <v>84.652829999999994</v>
      </c>
      <c r="J4063">
        <v>-422.80040000000002</v>
      </c>
      <c r="K4063">
        <v>1.1222129999999999</v>
      </c>
      <c r="L4063">
        <v>84.956909999999993</v>
      </c>
      <c r="M4063">
        <v>5.2608300000000002E-3</v>
      </c>
      <c r="N4063">
        <v>-1.45796E-2</v>
      </c>
      <c r="O4063">
        <v>-0.99988010000000005</v>
      </c>
      <c r="P4063">
        <v>7.1002869999999996E-2</v>
      </c>
      <c r="Q4063">
        <v>0.16574169999999999</v>
      </c>
      <c r="R4063">
        <v>-0.98360999999999998</v>
      </c>
      <c r="S4063">
        <v>-5.5328370000000002E-2</v>
      </c>
      <c r="T4063">
        <v>-1.0452889999999999</v>
      </c>
      <c r="U4063">
        <v>-3.228027</v>
      </c>
      <c r="V4063">
        <v>-6.6250729999999994E-2</v>
      </c>
      <c r="W4063">
        <v>0.1799144</v>
      </c>
      <c r="X4063">
        <v>0.98144880000000001</v>
      </c>
      <c r="Y4063">
        <v>2.1586029999999999E-2</v>
      </c>
      <c r="Z4063">
        <v>0.2941009</v>
      </c>
      <c r="AA4063">
        <v>0.95553060000000001</v>
      </c>
      <c r="AB4063">
        <v>34</v>
      </c>
      <c r="AC4063">
        <v>-1.43999999999664E-2</v>
      </c>
      <c r="AD4063">
        <v>-0.21838149999999901</v>
      </c>
      <c r="AE4063">
        <v>-0.30407999999998397</v>
      </c>
      <c r="AF4063">
        <v>1.05635260522113E-2</v>
      </c>
      <c r="AG4063">
        <v>-0.21838149999999901</v>
      </c>
      <c r="AH4063">
        <v>0.200710982534961</v>
      </c>
      <c r="AI4063">
        <v>137.37489203856501</v>
      </c>
      <c r="AJ4063">
        <v>86.987272240865806</v>
      </c>
      <c r="AK4063">
        <v>0.29679448467762198</v>
      </c>
      <c r="AL4063">
        <v>79.635226622382504</v>
      </c>
      <c r="AM4063">
        <v>93.861778032327095</v>
      </c>
      <c r="AN4063">
        <v>1.0000000487871601</v>
      </c>
    </row>
    <row r="4064" spans="1:40" x14ac:dyDescent="0.25">
      <c r="A4064" t="str">
        <f>"20190303162634384"</f>
        <v>20190303162634384</v>
      </c>
      <c r="B4064" t="str">
        <f>"1551601594377890"</f>
        <v>1551601594377890</v>
      </c>
      <c r="C4064" t="s">
        <v>40</v>
      </c>
      <c r="D4064">
        <v>5.4341860000000004</v>
      </c>
      <c r="E4064">
        <v>0.53461150000000002</v>
      </c>
      <c r="F4064" t="s">
        <v>42</v>
      </c>
      <c r="G4064">
        <v>-422.81540000000001</v>
      </c>
      <c r="H4064">
        <v>0.83540199999999998</v>
      </c>
      <c r="I4064">
        <v>84.069789999999998</v>
      </c>
      <c r="J4064">
        <v>-422.79739999999998</v>
      </c>
      <c r="K4064">
        <v>1.122217</v>
      </c>
      <c r="L4064">
        <v>84.610410000000002</v>
      </c>
      <c r="M4064">
        <v>6.3244909999999998E-3</v>
      </c>
      <c r="N4064">
        <v>-1.458217E-2</v>
      </c>
      <c r="O4064">
        <v>-0.99987389999999998</v>
      </c>
      <c r="P4064">
        <v>7.2512969999999996E-2</v>
      </c>
      <c r="Q4064">
        <v>0.1676115</v>
      </c>
      <c r="R4064">
        <v>-0.98318309999999998</v>
      </c>
      <c r="S4064">
        <v>-5.2948000000000002E-2</v>
      </c>
      <c r="T4064">
        <v>-1.044324</v>
      </c>
      <c r="U4064">
        <v>-3.2297669999999998</v>
      </c>
      <c r="V4064">
        <v>-6.6720249999999995E-2</v>
      </c>
      <c r="W4064">
        <v>0.1817809</v>
      </c>
      <c r="X4064">
        <v>0.98107299999999997</v>
      </c>
      <c r="Y4064">
        <v>2.1938079999999999E-2</v>
      </c>
      <c r="Z4064">
        <v>0.29368650000000002</v>
      </c>
      <c r="AA4064">
        <v>0.95565</v>
      </c>
      <c r="AB4064">
        <v>34</v>
      </c>
      <c r="AC4064">
        <v>-1.80000000000291E-2</v>
      </c>
      <c r="AD4064">
        <v>-0.28681499999999899</v>
      </c>
      <c r="AE4064">
        <v>-0.54062000000000399</v>
      </c>
      <c r="AF4064">
        <v>1.6718687471929901E-2</v>
      </c>
      <c r="AG4064">
        <v>-0.28681499999999899</v>
      </c>
      <c r="AH4064">
        <v>0.421882891838265</v>
      </c>
      <c r="AI4064">
        <v>124.18873272206</v>
      </c>
      <c r="AJ4064">
        <v>87.730627916602401</v>
      </c>
      <c r="AK4064">
        <v>0.51041897805783099</v>
      </c>
      <c r="AL4064">
        <v>79.526491222926595</v>
      </c>
      <c r="AM4064">
        <v>93.890547956033899</v>
      </c>
      <c r="AN4064">
        <v>1.00000005934693</v>
      </c>
    </row>
    <row r="4065" spans="1:40" x14ac:dyDescent="0.25">
      <c r="A4065" t="str">
        <f>"20190303162634409"</f>
        <v>20190303162634409</v>
      </c>
      <c r="B4065" t="str">
        <f>"1551601594397411"</f>
        <v>1551601594397411</v>
      </c>
      <c r="C4065" t="s">
        <v>40</v>
      </c>
      <c r="D4065">
        <v>5.4617310000000003</v>
      </c>
      <c r="E4065">
        <v>0.48100419999999999</v>
      </c>
      <c r="F4065" t="s">
        <v>42</v>
      </c>
      <c r="G4065">
        <v>-422.80930000000001</v>
      </c>
      <c r="H4065">
        <v>0.85087009999999996</v>
      </c>
      <c r="I4065">
        <v>83.757639999999995</v>
      </c>
      <c r="J4065">
        <v>-422.79379999999998</v>
      </c>
      <c r="K4065">
        <v>1.12222</v>
      </c>
      <c r="L4065">
        <v>84.234679999999997</v>
      </c>
      <c r="M4065">
        <v>7.4778709999999997E-3</v>
      </c>
      <c r="N4065">
        <v>-1.458418E-2</v>
      </c>
      <c r="O4065">
        <v>-0.99986600000000003</v>
      </c>
      <c r="P4065">
        <v>7.4588790000000002E-2</v>
      </c>
      <c r="Q4065">
        <v>0.16946149999999999</v>
      </c>
      <c r="R4065">
        <v>-0.98271050000000004</v>
      </c>
      <c r="S4065">
        <v>-4.5043949999999999E-2</v>
      </c>
      <c r="T4065">
        <v>-1.027706</v>
      </c>
      <c r="U4065">
        <v>-3.2298580000000001</v>
      </c>
      <c r="V4065">
        <v>-6.76678E-2</v>
      </c>
      <c r="W4065">
        <v>0.18362529999999999</v>
      </c>
      <c r="X4065">
        <v>0.98066450000000005</v>
      </c>
      <c r="Y4065">
        <v>2.0775559999999998E-2</v>
      </c>
      <c r="Z4065">
        <v>0.28922059999999999</v>
      </c>
      <c r="AA4065">
        <v>0.95703700000000003</v>
      </c>
      <c r="AB4065">
        <v>34</v>
      </c>
      <c r="AC4065">
        <v>-1.55000000000313E-2</v>
      </c>
      <c r="AD4065">
        <v>-0.27134989999999998</v>
      </c>
      <c r="AE4065">
        <v>-0.47704000000000202</v>
      </c>
      <c r="AF4065">
        <v>1.44097434573843E-2</v>
      </c>
      <c r="AG4065">
        <v>-0.27134989999999998</v>
      </c>
      <c r="AH4065">
        <v>0.36041818360422201</v>
      </c>
      <c r="AI4065">
        <v>126.953198881967</v>
      </c>
      <c r="AJ4065">
        <v>87.710498415124704</v>
      </c>
      <c r="AK4065">
        <v>0.45137531612737097</v>
      </c>
      <c r="AL4065">
        <v>79.4190052921263</v>
      </c>
      <c r="AM4065">
        <v>93.947265949131506</v>
      </c>
      <c r="AN4065">
        <v>1.00000002175858</v>
      </c>
    </row>
    <row r="4066" spans="1:40" x14ac:dyDescent="0.25">
      <c r="A4066" t="str">
        <f>"20190303162634449"</f>
        <v>20190303162634449</v>
      </c>
      <c r="B4066" t="str">
        <f>"1551601594437426"</f>
        <v>1551601594437426</v>
      </c>
      <c r="C4066" t="s">
        <v>40</v>
      </c>
      <c r="D4066">
        <v>5.4092370000000001</v>
      </c>
      <c r="E4066">
        <v>0.47712650000000001</v>
      </c>
      <c r="F4066" t="s">
        <v>61</v>
      </c>
      <c r="G4066">
        <v>-412.28620000000001</v>
      </c>
      <c r="H4066">
        <v>0.90864299999999998</v>
      </c>
      <c r="I4066">
        <v>0.55583950000000004</v>
      </c>
      <c r="J4066">
        <v>-422.78719999999998</v>
      </c>
      <c r="K4066">
        <v>1.1222160000000001</v>
      </c>
      <c r="L4066">
        <v>83.630769999999998</v>
      </c>
      <c r="M4066">
        <v>9.3324949999999997E-3</v>
      </c>
      <c r="N4066">
        <v>-1.458572E-2</v>
      </c>
      <c r="O4066">
        <v>-0.99985020000000002</v>
      </c>
      <c r="P4066">
        <v>7.6502520000000004E-2</v>
      </c>
      <c r="Q4066">
        <v>0.1698141</v>
      </c>
      <c r="R4066">
        <v>-0.98250230000000005</v>
      </c>
      <c r="S4066">
        <v>0.37988280000000002</v>
      </c>
      <c r="T4066">
        <v>-7.7224969999999896E-3</v>
      </c>
      <c r="U4066">
        <v>-3.0252690000000002</v>
      </c>
      <c r="V4066">
        <v>-6.7757700000000004E-2</v>
      </c>
      <c r="W4066">
        <v>0.1839787</v>
      </c>
      <c r="X4066">
        <v>0.98059200000000002</v>
      </c>
      <c r="Y4066">
        <v>-0.1153019</v>
      </c>
      <c r="Z4066">
        <v>-1.2043389999999999E-2</v>
      </c>
      <c r="AA4066">
        <v>0.99325750000000002</v>
      </c>
      <c r="AB4066">
        <v>34</v>
      </c>
      <c r="AC4066">
        <v>10.5009999999999</v>
      </c>
      <c r="AD4066">
        <v>-0.21357299999999901</v>
      </c>
      <c r="AE4066">
        <v>-83.074930499999994</v>
      </c>
      <c r="AF4066">
        <v>-9.7251005783196494</v>
      </c>
      <c r="AG4066">
        <v>-0.21357299999999901</v>
      </c>
      <c r="AH4066">
        <v>83.168781831639905</v>
      </c>
      <c r="AI4066">
        <v>90.146136510833301</v>
      </c>
      <c r="AJ4066">
        <v>96.669428755694298</v>
      </c>
      <c r="AK4066">
        <v>83.735712011325703</v>
      </c>
      <c r="AL4066">
        <v>79.398405456601594</v>
      </c>
      <c r="AM4066">
        <v>93.9527847766782</v>
      </c>
      <c r="AN4066">
        <v>0.99999996921348899</v>
      </c>
    </row>
    <row r="4067" spans="1:40" x14ac:dyDescent="0.25">
      <c r="A4067" t="str">
        <f>"20190303162634471"</f>
        <v>20190303162634471</v>
      </c>
      <c r="B4067" t="str">
        <f>"1551601594457922"</f>
        <v>1551601594457922</v>
      </c>
      <c r="C4067" t="s">
        <v>40</v>
      </c>
      <c r="D4067">
        <v>5.405513</v>
      </c>
      <c r="E4067">
        <v>0.47793170000000001</v>
      </c>
      <c r="F4067" t="s">
        <v>61</v>
      </c>
      <c r="G4067">
        <v>-411.3426</v>
      </c>
      <c r="H4067">
        <v>1.404657</v>
      </c>
      <c r="I4067">
        <v>0.56543730000000003</v>
      </c>
      <c r="J4067">
        <v>-422.78280000000001</v>
      </c>
      <c r="K4067">
        <v>1.1222179999999999</v>
      </c>
      <c r="L4067">
        <v>83.282869999999903</v>
      </c>
      <c r="M4067">
        <v>1.0401240000000001E-2</v>
      </c>
      <c r="N4067">
        <v>-1.4585799999999999E-2</v>
      </c>
      <c r="O4067">
        <v>-0.99983940000000004</v>
      </c>
      <c r="P4067">
        <v>7.7004379999999997E-2</v>
      </c>
      <c r="Q4067">
        <v>0.17042689999999999</v>
      </c>
      <c r="R4067">
        <v>-0.98235669999999997</v>
      </c>
      <c r="S4067">
        <v>0.4159851</v>
      </c>
      <c r="T4067">
        <v>1.0265109999999999E-2</v>
      </c>
      <c r="U4067">
        <v>-3.0192570000000001</v>
      </c>
      <c r="V4067">
        <v>-6.7211170000000001E-2</v>
      </c>
      <c r="W4067">
        <v>0.18459210000000001</v>
      </c>
      <c r="X4067">
        <v>0.98051429999999995</v>
      </c>
      <c r="Y4067">
        <v>-0.12614330000000001</v>
      </c>
      <c r="Z4067">
        <v>-1.7945039999999999E-2</v>
      </c>
      <c r="AA4067">
        <v>0.99184969999999995</v>
      </c>
      <c r="AB4067">
        <v>34</v>
      </c>
      <c r="AC4067">
        <v>11.440200000000001</v>
      </c>
      <c r="AD4067">
        <v>0.282439</v>
      </c>
      <c r="AE4067">
        <v>-82.717432699999904</v>
      </c>
      <c r="AF4067">
        <v>-10.5790044858353</v>
      </c>
      <c r="AG4067">
        <v>0.282439</v>
      </c>
      <c r="AH4067">
        <v>82.831014552328</v>
      </c>
      <c r="AI4067">
        <v>89.806206519556994</v>
      </c>
      <c r="AJ4067">
        <v>97.278294004983394</v>
      </c>
      <c r="AK4067">
        <v>83.504323717206503</v>
      </c>
      <c r="AL4067">
        <v>79.362647465039402</v>
      </c>
      <c r="AM4067">
        <v>93.921311425535293</v>
      </c>
      <c r="AN4067">
        <v>0.99999993862983205</v>
      </c>
    </row>
    <row r="4068" spans="1:40" x14ac:dyDescent="0.25">
      <c r="A4068" t="str">
        <f>"20190303162634494"</f>
        <v>20190303162634494</v>
      </c>
      <c r="B4068" t="str">
        <f>"1551601594488178"</f>
        <v>1551601594488178</v>
      </c>
      <c r="C4068" t="s">
        <v>40</v>
      </c>
      <c r="D4068">
        <v>5.4576269999999996</v>
      </c>
      <c r="E4068">
        <v>0.47904439999999998</v>
      </c>
      <c r="F4068" t="s">
        <v>61</v>
      </c>
      <c r="G4068">
        <v>-411.50389999999999</v>
      </c>
      <c r="H4068">
        <v>1.1321369999999999</v>
      </c>
      <c r="I4068">
        <v>0.56379509999999999</v>
      </c>
      <c r="J4068">
        <v>-422.77809999999999</v>
      </c>
      <c r="K4068">
        <v>1.122212</v>
      </c>
      <c r="L4068">
        <v>82.93674</v>
      </c>
      <c r="M4068">
        <v>1.1465400000000001E-2</v>
      </c>
      <c r="N4068">
        <v>-1.458538E-2</v>
      </c>
      <c r="O4068">
        <v>-0.99982819999999994</v>
      </c>
      <c r="P4068">
        <v>7.7330040000000003E-2</v>
      </c>
      <c r="Q4068">
        <v>0.17032520000000001</v>
      </c>
      <c r="R4068">
        <v>-0.98234949999999999</v>
      </c>
      <c r="S4068">
        <v>0.4119873</v>
      </c>
      <c r="T4068">
        <v>3.6156179999999999E-4</v>
      </c>
      <c r="U4068">
        <v>-3.021515</v>
      </c>
      <c r="V4068">
        <v>-6.6488179999999994E-2</v>
      </c>
      <c r="W4068">
        <v>0.1844933</v>
      </c>
      <c r="X4068">
        <v>0.98058219999999996</v>
      </c>
      <c r="Y4068">
        <v>-0.1237032</v>
      </c>
      <c r="Z4068">
        <v>-1.469265E-2</v>
      </c>
      <c r="AA4068">
        <v>0.9922105</v>
      </c>
      <c r="AB4068">
        <v>34</v>
      </c>
      <c r="AC4068">
        <v>11.2742</v>
      </c>
      <c r="AD4068">
        <v>9.9250000000001802E-3</v>
      </c>
      <c r="AE4068">
        <v>-82.372944899999993</v>
      </c>
      <c r="AF4068">
        <v>-10.328919700757</v>
      </c>
      <c r="AG4068">
        <v>9.9250000000001802E-3</v>
      </c>
      <c r="AH4068">
        <v>82.496805137790005</v>
      </c>
      <c r="AI4068">
        <v>89.9931602784999</v>
      </c>
      <c r="AJ4068">
        <v>97.136517542095703</v>
      </c>
      <c r="AK4068">
        <v>83.140901718906207</v>
      </c>
      <c r="AL4068">
        <v>79.368407373778794</v>
      </c>
      <c r="AM4068">
        <v>93.878991601005595</v>
      </c>
      <c r="AN4068">
        <v>0.99999995339072001</v>
      </c>
    </row>
    <row r="4069" spans="1:40" x14ac:dyDescent="0.25">
      <c r="A4069" t="str">
        <f>"20190303162634516"</f>
        <v>20190303162634516</v>
      </c>
      <c r="B4069" t="str">
        <f>"1551601594507699"</f>
        <v>1551601594507699</v>
      </c>
      <c r="C4069" t="s">
        <v>40</v>
      </c>
      <c r="D4069">
        <v>5.4537240000000002</v>
      </c>
      <c r="E4069">
        <v>0.47959190000000002</v>
      </c>
      <c r="F4069" t="s">
        <v>61</v>
      </c>
      <c r="G4069">
        <v>-411.7749</v>
      </c>
      <c r="H4069">
        <v>0.74637319999999996</v>
      </c>
      <c r="I4069">
        <v>0.56103709999999996</v>
      </c>
      <c r="J4069">
        <v>-422.77319999999997</v>
      </c>
      <c r="K4069">
        <v>1.1222110000000001</v>
      </c>
      <c r="L4069">
        <v>82.597290000000001</v>
      </c>
      <c r="M4069">
        <v>1.2509309999999999E-2</v>
      </c>
      <c r="N4069">
        <v>-1.458446E-2</v>
      </c>
      <c r="O4069">
        <v>-0.99981549999999997</v>
      </c>
      <c r="P4069">
        <v>7.8317810000000002E-2</v>
      </c>
      <c r="Q4069">
        <v>0.1701831</v>
      </c>
      <c r="R4069">
        <v>-0.98229549999999999</v>
      </c>
      <c r="S4069">
        <v>0.40399170000000001</v>
      </c>
      <c r="T4069">
        <v>-1.3800379999999999E-2</v>
      </c>
      <c r="U4069">
        <v>-3.0245060000000001</v>
      </c>
      <c r="V4069">
        <v>-6.644883E-2</v>
      </c>
      <c r="W4069">
        <v>0.1843513</v>
      </c>
      <c r="X4069">
        <v>0.98061160000000003</v>
      </c>
      <c r="Y4069">
        <v>-0.11996270000000001</v>
      </c>
      <c r="Z4069">
        <v>-1.0046950000000001E-2</v>
      </c>
      <c r="AA4069">
        <v>0.99272760000000004</v>
      </c>
      <c r="AB4069">
        <v>34</v>
      </c>
      <c r="AC4069">
        <v>10.998299999999899</v>
      </c>
      <c r="AD4069">
        <v>-0.3758378</v>
      </c>
      <c r="AE4069">
        <v>-82.036252899999994</v>
      </c>
      <c r="AF4069">
        <v>-9.9709077147227205</v>
      </c>
      <c r="AG4069">
        <v>-0.3758378</v>
      </c>
      <c r="AH4069">
        <v>82.165734298066297</v>
      </c>
      <c r="AI4069">
        <v>90.260168640280199</v>
      </c>
      <c r="AJ4069">
        <v>96.919078349455006</v>
      </c>
      <c r="AK4069">
        <v>82.769367204587596</v>
      </c>
      <c r="AL4069">
        <v>79.376685646395401</v>
      </c>
      <c r="AM4069">
        <v>93.876587007976099</v>
      </c>
      <c r="AN4069">
        <v>0.99999997943730901</v>
      </c>
    </row>
    <row r="4070" spans="1:40" x14ac:dyDescent="0.25">
      <c r="A4070" t="str">
        <f>"20190303162634538"</f>
        <v>20190303162634538</v>
      </c>
      <c r="B4070" t="str">
        <f>"1551601594528195"</f>
        <v>1551601594528195</v>
      </c>
      <c r="C4070" t="s">
        <v>40</v>
      </c>
      <c r="D4070">
        <v>5.454561</v>
      </c>
      <c r="E4070">
        <v>0.47999399999999998</v>
      </c>
      <c r="F4070" t="s">
        <v>61</v>
      </c>
      <c r="G4070">
        <v>-411.85329999999999</v>
      </c>
      <c r="H4070">
        <v>0.51109249999999995</v>
      </c>
      <c r="I4070">
        <v>0.56023979999999995</v>
      </c>
      <c r="J4070">
        <v>-422.7679</v>
      </c>
      <c r="K4070">
        <v>1.1222110000000001</v>
      </c>
      <c r="L4070">
        <v>82.26437</v>
      </c>
      <c r="M4070">
        <v>1.353275E-2</v>
      </c>
      <c r="N4070">
        <v>-1.458314E-2</v>
      </c>
      <c r="O4070">
        <v>-0.99980219999999997</v>
      </c>
      <c r="P4070">
        <v>7.9781770000000002E-2</v>
      </c>
      <c r="Q4070">
        <v>0.17045370000000001</v>
      </c>
      <c r="R4070">
        <v>-0.98213079999999997</v>
      </c>
      <c r="S4070">
        <v>0.40277099999999999</v>
      </c>
      <c r="T4070">
        <v>-2.2541760000000001E-2</v>
      </c>
      <c r="U4070">
        <v>-3.0258790000000002</v>
      </c>
      <c r="V4070">
        <v>-6.6908330000000002E-2</v>
      </c>
      <c r="W4070">
        <v>0.1846188</v>
      </c>
      <c r="X4070">
        <v>0.98053000000000001</v>
      </c>
      <c r="Y4070">
        <v>-0.11849469999999999</v>
      </c>
      <c r="Z4070">
        <v>-7.1808459999999899E-3</v>
      </c>
      <c r="AA4070">
        <v>0.9929287</v>
      </c>
      <c r="AB4070">
        <v>34</v>
      </c>
      <c r="AC4070">
        <v>10.9146</v>
      </c>
      <c r="AD4070">
        <v>-0.61111850000000001</v>
      </c>
      <c r="AE4070">
        <v>-81.704130199999994</v>
      </c>
      <c r="AF4070">
        <v>-9.8072622436154209</v>
      </c>
      <c r="AG4070">
        <v>-0.61111850000000001</v>
      </c>
      <c r="AH4070">
        <v>81.839868781168093</v>
      </c>
      <c r="AI4070">
        <v>90.424794655485101</v>
      </c>
      <c r="AJ4070">
        <v>96.8334409081084</v>
      </c>
      <c r="AK4070">
        <v>82.427665141352193</v>
      </c>
      <c r="AL4070">
        <v>79.361091073919695</v>
      </c>
      <c r="AM4070">
        <v>93.903635225042805</v>
      </c>
      <c r="AN4070">
        <v>0.99999995341841297</v>
      </c>
    </row>
    <row r="4071" spans="1:40" x14ac:dyDescent="0.25">
      <c r="A4071" t="str">
        <f>"20190303162634563"</f>
        <v>20190303162634563</v>
      </c>
      <c r="B4071" t="str">
        <f>"1551601594557474"</f>
        <v>1551601594557474</v>
      </c>
      <c r="C4071" t="s">
        <v>40</v>
      </c>
      <c r="D4071">
        <v>5.4499440000000003</v>
      </c>
      <c r="E4071">
        <v>0.48054010000000003</v>
      </c>
      <c r="F4071" t="s">
        <v>61</v>
      </c>
      <c r="G4071">
        <v>-411.8612</v>
      </c>
      <c r="H4071">
        <v>0.37015749999999997</v>
      </c>
      <c r="I4071">
        <v>0.56016160000000004</v>
      </c>
      <c r="J4071">
        <v>-422.76179999999999</v>
      </c>
      <c r="K4071">
        <v>1.1222179999999999</v>
      </c>
      <c r="L4071">
        <v>81.899319999999904</v>
      </c>
      <c r="M4071">
        <v>1.465554E-2</v>
      </c>
      <c r="N4071">
        <v>-1.458137E-2</v>
      </c>
      <c r="O4071">
        <v>-0.99978639999999996</v>
      </c>
      <c r="P4071">
        <v>8.1376870000000004E-2</v>
      </c>
      <c r="Q4071">
        <v>0.17133779999999901</v>
      </c>
      <c r="R4071">
        <v>-0.98184570000000004</v>
      </c>
      <c r="S4071">
        <v>0.4040222</v>
      </c>
      <c r="T4071">
        <v>-2.7859689999999999E-2</v>
      </c>
      <c r="U4071">
        <v>-3.0266109999999999</v>
      </c>
      <c r="V4071">
        <v>-6.7403790000000005E-2</v>
      </c>
      <c r="W4071">
        <v>0.185498</v>
      </c>
      <c r="X4071">
        <v>0.98033020000000004</v>
      </c>
      <c r="Y4071">
        <v>-0.1177516</v>
      </c>
      <c r="Z4071">
        <v>-5.4370039999999996E-3</v>
      </c>
      <c r="AA4071">
        <v>0.99302820000000003</v>
      </c>
      <c r="AB4071">
        <v>34</v>
      </c>
      <c r="AC4071">
        <v>10.900599999999899</v>
      </c>
      <c r="AD4071">
        <v>-0.75206049999999902</v>
      </c>
      <c r="AE4071">
        <v>-81.339158399999903</v>
      </c>
      <c r="AF4071">
        <v>-9.7064180128644892</v>
      </c>
      <c r="AG4071">
        <v>-0.75206049999999902</v>
      </c>
      <c r="AH4071">
        <v>81.483349044012996</v>
      </c>
      <c r="AI4071">
        <v>90.525091193951297</v>
      </c>
      <c r="AJ4071">
        <v>96.793147930714099</v>
      </c>
      <c r="AK4071">
        <v>82.062880263031005</v>
      </c>
      <c r="AL4071">
        <v>79.309832172171994</v>
      </c>
      <c r="AM4071">
        <v>93.933250457361098</v>
      </c>
      <c r="AN4071">
        <v>1.0000000399711999</v>
      </c>
    </row>
    <row r="4072" spans="1:40" x14ac:dyDescent="0.25">
      <c r="A4072" t="str">
        <f>"20190303162634587"</f>
        <v>20190303162634587</v>
      </c>
      <c r="B4072" t="str">
        <f>"1551601594577970"</f>
        <v>1551601594577970</v>
      </c>
      <c r="C4072" t="s">
        <v>40</v>
      </c>
      <c r="D4072">
        <v>5.4484940000000002</v>
      </c>
      <c r="E4072">
        <v>0.48064119999999999</v>
      </c>
      <c r="F4072" t="s">
        <v>61</v>
      </c>
      <c r="G4072">
        <v>-411.88709999999998</v>
      </c>
      <c r="H4072">
        <v>0.23616500000000001</v>
      </c>
      <c r="I4072">
        <v>0.55989460000000002</v>
      </c>
      <c r="J4072">
        <v>-422.75510000000003</v>
      </c>
      <c r="K4072">
        <v>1.122215</v>
      </c>
      <c r="L4072">
        <v>81.524600000000007</v>
      </c>
      <c r="M4072">
        <v>1.580809E-2</v>
      </c>
      <c r="N4072">
        <v>-1.457923E-2</v>
      </c>
      <c r="O4072">
        <v>-0.99976900000000002</v>
      </c>
      <c r="P4072">
        <v>8.3009810000000003E-2</v>
      </c>
      <c r="Q4072">
        <v>0.172432</v>
      </c>
      <c r="R4072">
        <v>-0.98151790000000005</v>
      </c>
      <c r="S4072">
        <v>0.40478520000000001</v>
      </c>
      <c r="T4072">
        <v>-3.2982230000000001E-2</v>
      </c>
      <c r="U4072">
        <v>-3.027679</v>
      </c>
      <c r="V4072">
        <v>-6.7910289999999998E-2</v>
      </c>
      <c r="W4072">
        <v>0.18658540000000001</v>
      </c>
      <c r="X4072">
        <v>0.98008879999999998</v>
      </c>
      <c r="Y4072">
        <v>-0.1168064</v>
      </c>
      <c r="Z4072">
        <v>-3.758651E-3</v>
      </c>
      <c r="AA4072">
        <v>0.99314760000000002</v>
      </c>
      <c r="AB4072">
        <v>34</v>
      </c>
      <c r="AC4072">
        <v>10.868</v>
      </c>
      <c r="AD4072">
        <v>-0.88605</v>
      </c>
      <c r="AE4072">
        <v>-80.9647054</v>
      </c>
      <c r="AF4072">
        <v>-9.5854809471457703</v>
      </c>
      <c r="AG4072">
        <v>-0.88605</v>
      </c>
      <c r="AH4072">
        <v>81.116863890029293</v>
      </c>
      <c r="AI4072">
        <v>90.621500437223602</v>
      </c>
      <c r="AJ4072">
        <v>96.739319426412294</v>
      </c>
      <c r="AK4072">
        <v>81.686058400097394</v>
      </c>
      <c r="AL4072">
        <v>79.246421139511995</v>
      </c>
      <c r="AM4072">
        <v>93.963685639242598</v>
      </c>
      <c r="AN4072">
        <v>0.99999998743324203</v>
      </c>
    </row>
    <row r="4073" spans="1:40" x14ac:dyDescent="0.25">
      <c r="A4073" t="str">
        <f>"20190303162634611"</f>
        <v>20190303162634611</v>
      </c>
      <c r="B4073" t="str">
        <f>"1551601594597491"</f>
        <v>1551601594597491</v>
      </c>
      <c r="C4073" t="s">
        <v>40</v>
      </c>
      <c r="D4073">
        <v>5.507015</v>
      </c>
      <c r="E4073">
        <v>0.48083589999999998</v>
      </c>
      <c r="F4073" t="s">
        <v>61</v>
      </c>
      <c r="G4073">
        <v>-411.80720000000002</v>
      </c>
      <c r="H4073">
        <v>0.177839</v>
      </c>
      <c r="I4073">
        <v>0.56070710000000001</v>
      </c>
      <c r="J4073">
        <v>-422.74829999999997</v>
      </c>
      <c r="K4073">
        <v>1.122215</v>
      </c>
      <c r="L4073">
        <v>81.166499999999999</v>
      </c>
      <c r="M4073">
        <v>1.6910499999999998E-2</v>
      </c>
      <c r="N4073">
        <v>-1.45769E-2</v>
      </c>
      <c r="O4073">
        <v>-0.99975080000000005</v>
      </c>
      <c r="P4073">
        <v>8.4515370000000006E-2</v>
      </c>
      <c r="Q4073">
        <v>0.1732475</v>
      </c>
      <c r="R4073">
        <v>-0.98124520000000004</v>
      </c>
      <c r="S4073">
        <v>0.40945429999999999</v>
      </c>
      <c r="T4073">
        <v>-3.532076E-2</v>
      </c>
      <c r="U4073">
        <v>-3.028076</v>
      </c>
      <c r="V4073">
        <v>-6.833699E-2</v>
      </c>
      <c r="W4073">
        <v>0.1873958</v>
      </c>
      <c r="X4073">
        <v>0.97990449999999996</v>
      </c>
      <c r="Y4073">
        <v>-0.117198</v>
      </c>
      <c r="Z4073">
        <v>-2.9922569999999999E-3</v>
      </c>
      <c r="AA4073">
        <v>0.99310399999999999</v>
      </c>
      <c r="AB4073">
        <v>34</v>
      </c>
      <c r="AC4073">
        <v>10.941099999999899</v>
      </c>
      <c r="AD4073">
        <v>-0.94437599999999999</v>
      </c>
      <c r="AE4073">
        <v>-80.605792899999997</v>
      </c>
      <c r="AF4073">
        <v>-9.5750156148368699</v>
      </c>
      <c r="AG4073">
        <v>-0.94437599999999999</v>
      </c>
      <c r="AH4073">
        <v>80.768417483020201</v>
      </c>
      <c r="AI4073">
        <v>90.665236349747502</v>
      </c>
      <c r="AJ4073">
        <v>96.760803732226705</v>
      </c>
      <c r="AK4073">
        <v>81.339474013330005</v>
      </c>
      <c r="AL4073">
        <v>79.199154856778406</v>
      </c>
      <c r="AM4073">
        <v>93.989258227602207</v>
      </c>
      <c r="AN4073">
        <v>0.99999997959007403</v>
      </c>
    </row>
    <row r="4074" spans="1:40" x14ac:dyDescent="0.25">
      <c r="A4074" t="str">
        <f>"20190303162634651"</f>
        <v>20190303162634651</v>
      </c>
      <c r="B4074" t="str">
        <f>"1551601594637507"</f>
        <v>1551601594637507</v>
      </c>
      <c r="C4074" t="s">
        <v>40</v>
      </c>
      <c r="D4074">
        <v>5.4478839999999904</v>
      </c>
      <c r="E4074">
        <v>0.48110120000000001</v>
      </c>
      <c r="F4074" t="s">
        <v>61</v>
      </c>
      <c r="G4074">
        <v>-411.75979999999998</v>
      </c>
      <c r="H4074">
        <v>0.1258823</v>
      </c>
      <c r="I4074">
        <v>0.56118769999999996</v>
      </c>
      <c r="J4074">
        <v>-422.73610000000002</v>
      </c>
      <c r="K4074">
        <v>1.122231</v>
      </c>
      <c r="L4074">
        <v>80.575649999999996</v>
      </c>
      <c r="M4074">
        <v>1.8731109999999999E-2</v>
      </c>
      <c r="N4074">
        <v>-1.456648E-2</v>
      </c>
      <c r="O4074">
        <v>-0.99971829999999995</v>
      </c>
      <c r="P4074">
        <v>8.7233350000000001E-2</v>
      </c>
      <c r="Q4074">
        <v>0.17606620000000001</v>
      </c>
      <c r="R4074">
        <v>-0.98050559999999998</v>
      </c>
      <c r="S4074">
        <v>0.41284179999999998</v>
      </c>
      <c r="T4074">
        <v>-3.7433620000000001E-2</v>
      </c>
      <c r="U4074">
        <v>-3.028381</v>
      </c>
      <c r="V4074">
        <v>-6.9283490000000003E-2</v>
      </c>
      <c r="W4074">
        <v>0.1901941</v>
      </c>
      <c r="X4074">
        <v>0.97929869999999997</v>
      </c>
      <c r="Y4074">
        <v>-0.1164668</v>
      </c>
      <c r="Z4074">
        <v>-2.2901789999999998E-3</v>
      </c>
      <c r="AA4074">
        <v>0.99319199999999996</v>
      </c>
      <c r="AB4074">
        <v>34</v>
      </c>
      <c r="AC4074">
        <v>10.9763</v>
      </c>
      <c r="AD4074">
        <v>-0.99634869999999898</v>
      </c>
      <c r="AE4074">
        <v>-80.014462299999906</v>
      </c>
      <c r="AF4074">
        <v>-9.4740130816618997</v>
      </c>
      <c r="AG4074">
        <v>-0.99634869999999898</v>
      </c>
      <c r="AH4074">
        <v>80.193836712466407</v>
      </c>
      <c r="AI4074">
        <v>90.706905295345805</v>
      </c>
      <c r="AJ4074">
        <v>96.737631931758102</v>
      </c>
      <c r="AK4074">
        <v>80.757668869706805</v>
      </c>
      <c r="AL4074">
        <v>79.035887808943698</v>
      </c>
      <c r="AM4074">
        <v>94.046822794679002</v>
      </c>
      <c r="AN4074">
        <v>0.99999997074153901</v>
      </c>
    </row>
    <row r="4075" spans="1:40" x14ac:dyDescent="0.25">
      <c r="A4075" t="str">
        <f>"20190303162634672"</f>
        <v>20190303162634672</v>
      </c>
      <c r="B4075" t="str">
        <f>"1551601594667762"</f>
        <v>1551601594667762</v>
      </c>
      <c r="C4075" t="s">
        <v>40</v>
      </c>
      <c r="D4075">
        <v>5.1527129999999897</v>
      </c>
      <c r="E4075">
        <v>0.48128339999999997</v>
      </c>
      <c r="F4075" t="s">
        <v>61</v>
      </c>
      <c r="G4075">
        <v>-411.6703</v>
      </c>
      <c r="H4075">
        <v>0.21047009999999999</v>
      </c>
      <c r="I4075">
        <v>0.56210329999999997</v>
      </c>
      <c r="J4075">
        <v>-422.7287</v>
      </c>
      <c r="K4075">
        <v>1.122236</v>
      </c>
      <c r="L4075">
        <v>80.236879999999999</v>
      </c>
      <c r="M4075">
        <v>1.977566E-2</v>
      </c>
      <c r="N4075">
        <v>-1.4552829999999999E-2</v>
      </c>
      <c r="O4075">
        <v>-0.99969850000000005</v>
      </c>
      <c r="P4075">
        <v>8.7931330000000002E-2</v>
      </c>
      <c r="Q4075">
        <v>0.1768836</v>
      </c>
      <c r="R4075">
        <v>-0.9802961</v>
      </c>
      <c r="S4075">
        <v>0.4188538</v>
      </c>
      <c r="T4075">
        <v>-3.4511920000000001E-2</v>
      </c>
      <c r="U4075">
        <v>-3.0285950000000001</v>
      </c>
      <c r="V4075">
        <v>-6.8960610000000006E-2</v>
      </c>
      <c r="W4075">
        <v>0.19099730000000001</v>
      </c>
      <c r="X4075">
        <v>0.97916519999999996</v>
      </c>
      <c r="Y4075">
        <v>-0.117355</v>
      </c>
      <c r="Z4075">
        <v>-3.23515E-3</v>
      </c>
      <c r="AA4075">
        <v>0.99308479999999999</v>
      </c>
      <c r="AB4075">
        <v>34</v>
      </c>
      <c r="AC4075">
        <v>11.058400000000001</v>
      </c>
      <c r="AD4075">
        <v>-0.91176590000000002</v>
      </c>
      <c r="AE4075">
        <v>-79.674776699999995</v>
      </c>
      <c r="AF4075">
        <v>-9.4792308844152</v>
      </c>
      <c r="AG4075">
        <v>-0.91176590000000002</v>
      </c>
      <c r="AH4075">
        <v>79.867641262604295</v>
      </c>
      <c r="AI4075">
        <v>90.6494997764499</v>
      </c>
      <c r="AJ4075">
        <v>96.768586454239596</v>
      </c>
      <c r="AK4075">
        <v>80.433371532396293</v>
      </c>
      <c r="AL4075">
        <v>78.989008928765003</v>
      </c>
      <c r="AM4075">
        <v>94.028573093320801</v>
      </c>
      <c r="AN4075">
        <v>1.0000000116149499</v>
      </c>
    </row>
    <row r="4076" spans="1:40" x14ac:dyDescent="0.25">
      <c r="A4076" t="str">
        <f>"20190303162634695"</f>
        <v>20190303162634695</v>
      </c>
      <c r="B4076" t="str">
        <f>"1551601594688257"</f>
        <v>1551601594688257</v>
      </c>
      <c r="C4076" t="s">
        <v>40</v>
      </c>
      <c r="D4076">
        <v>5.3172670000000002</v>
      </c>
      <c r="E4076">
        <v>0.49255700000000002</v>
      </c>
      <c r="F4076" t="s">
        <v>61</v>
      </c>
      <c r="G4076">
        <v>-411.70699999999999</v>
      </c>
      <c r="H4076">
        <v>0.2077899</v>
      </c>
      <c r="I4076">
        <v>0.56172749999999905</v>
      </c>
      <c r="J4076">
        <v>-422.72089999999997</v>
      </c>
      <c r="K4076">
        <v>1.122236</v>
      </c>
      <c r="L4076">
        <v>79.898499999999999</v>
      </c>
      <c r="M4076">
        <v>2.0818960000000001E-2</v>
      </c>
      <c r="N4076">
        <v>-1.4537019999999999E-2</v>
      </c>
      <c r="O4076">
        <v>-0.99967779999999995</v>
      </c>
      <c r="P4076">
        <v>8.7478909999999993E-2</v>
      </c>
      <c r="Q4076">
        <v>0.17772879999999899</v>
      </c>
      <c r="R4076">
        <v>-0.98018380000000005</v>
      </c>
      <c r="S4076">
        <v>0.4190063</v>
      </c>
      <c r="T4076">
        <v>-3.4765360000000002E-2</v>
      </c>
      <c r="U4076">
        <v>-3.0289920000000001</v>
      </c>
      <c r="V4076">
        <v>-6.748701E-2</v>
      </c>
      <c r="W4076">
        <v>0.19182949999999999</v>
      </c>
      <c r="X4076">
        <v>0.97910520000000001</v>
      </c>
      <c r="Y4076">
        <v>-0.1163502</v>
      </c>
      <c r="Z4076">
        <v>-3.1365429999999999E-3</v>
      </c>
      <c r="AA4076">
        <v>0.99320330000000001</v>
      </c>
      <c r="AB4076">
        <v>34</v>
      </c>
      <c r="AC4076">
        <v>11.0138999999999</v>
      </c>
      <c r="AD4076">
        <v>-0.91444609999999904</v>
      </c>
      <c r="AE4076">
        <v>-79.336772499999995</v>
      </c>
      <c r="AF4076">
        <v>-9.35840932620372</v>
      </c>
      <c r="AG4076">
        <v>-0.91444609999999904</v>
      </c>
      <c r="AH4076">
        <v>79.538528666228501</v>
      </c>
      <c r="AI4076">
        <v>90.654182372514995</v>
      </c>
      <c r="AJ4076">
        <v>96.710501401185994</v>
      </c>
      <c r="AK4076">
        <v>80.092406501334693</v>
      </c>
      <c r="AL4076">
        <v>78.940429244221406</v>
      </c>
      <c r="AM4076">
        <v>93.943002950245898</v>
      </c>
      <c r="AN4076">
        <v>1.00000002312801</v>
      </c>
    </row>
    <row r="4077" spans="1:40" x14ac:dyDescent="0.25">
      <c r="A4077" t="str">
        <f>"20190303162634717"</f>
        <v>20190303162634717</v>
      </c>
      <c r="B4077" t="str">
        <f>"1551601594707778"</f>
        <v>1551601594707778</v>
      </c>
      <c r="C4077" t="s">
        <v>40</v>
      </c>
      <c r="D4077">
        <v>5.1965709999999996</v>
      </c>
      <c r="E4077">
        <v>0.49314259999999899</v>
      </c>
      <c r="F4077" t="s">
        <v>41</v>
      </c>
      <c r="G4077">
        <v>-419.33600000000001</v>
      </c>
      <c r="H4077" s="1">
        <v>-3.9404030000000003E-6</v>
      </c>
      <c r="I4077">
        <v>48.543379999999999</v>
      </c>
      <c r="J4077">
        <v>-422.7131</v>
      </c>
      <c r="K4077">
        <v>1.1222319999999999</v>
      </c>
      <c r="L4077">
        <v>79.573179999999994</v>
      </c>
      <c r="M4077">
        <v>2.1821460000000001E-2</v>
      </c>
      <c r="N4077">
        <v>-1.452195E-2</v>
      </c>
      <c r="O4077">
        <v>-0.99965649999999995</v>
      </c>
      <c r="P4077">
        <v>8.6719270000000001E-2</v>
      </c>
      <c r="Q4077">
        <v>0.17788970000000001</v>
      </c>
      <c r="R4077">
        <v>-0.98022220000000004</v>
      </c>
      <c r="S4077">
        <v>0.32937620000000001</v>
      </c>
      <c r="T4077">
        <v>-0.1092012</v>
      </c>
      <c r="U4077">
        <v>-3.051056</v>
      </c>
      <c r="V4077">
        <v>-6.5741629999999995E-2</v>
      </c>
      <c r="W4077">
        <v>0.19198109999999999</v>
      </c>
      <c r="X4077">
        <v>0.97919420000000001</v>
      </c>
      <c r="Y4077">
        <v>-8.5553039999999997E-2</v>
      </c>
      <c r="Z4077">
        <v>2.1087370000000001E-2</v>
      </c>
      <c r="AA4077">
        <v>0.99611039999999995</v>
      </c>
      <c r="AB4077">
        <v>34</v>
      </c>
      <c r="AC4077">
        <v>3.37709999999998</v>
      </c>
      <c r="AD4077">
        <v>-1.12223594040299</v>
      </c>
      <c r="AE4077">
        <v>-31.029800000000002</v>
      </c>
      <c r="AF4077">
        <v>-2.6956241776180199</v>
      </c>
      <c r="AG4077">
        <v>-1.12223594040299</v>
      </c>
      <c r="AH4077">
        <v>31.0559648287344</v>
      </c>
      <c r="AI4077">
        <v>92.061789848518004</v>
      </c>
      <c r="AJ4077">
        <v>94.9607784052602</v>
      </c>
      <c r="AK4077">
        <v>31.192927959017901</v>
      </c>
      <c r="AL4077">
        <v>78.931578365445304</v>
      </c>
      <c r="AM4077">
        <v>93.840988440222105</v>
      </c>
      <c r="AN4077">
        <v>0.99999999299295295</v>
      </c>
    </row>
    <row r="4078" spans="1:40" x14ac:dyDescent="0.25">
      <c r="A4078" t="str">
        <f>"20190303162634739"</f>
        <v>20190303162634739</v>
      </c>
      <c r="B4078" t="str">
        <f>"1551601594728274"</f>
        <v>1551601594728274</v>
      </c>
      <c r="C4078" t="s">
        <v>40</v>
      </c>
      <c r="D4078">
        <v>5.1984490000000001</v>
      </c>
      <c r="E4078">
        <v>0.4934289</v>
      </c>
      <c r="F4078" t="s">
        <v>41</v>
      </c>
      <c r="G4078">
        <v>-419.4323</v>
      </c>
      <c r="H4078" s="1">
        <v>-3.9344300000000004E-6</v>
      </c>
      <c r="I4078">
        <v>48.569270000000003</v>
      </c>
      <c r="J4078">
        <v>-422.70490000000001</v>
      </c>
      <c r="K4078">
        <v>1.1222289999999999</v>
      </c>
      <c r="L4078">
        <v>79.243409999999997</v>
      </c>
      <c r="M4078">
        <v>2.2838339999999999E-2</v>
      </c>
      <c r="N4078">
        <v>-1.450737E-2</v>
      </c>
      <c r="O4078">
        <v>-0.99963409999999997</v>
      </c>
      <c r="P4078">
        <v>8.663622E-2</v>
      </c>
      <c r="Q4078">
        <v>0.178370899999999</v>
      </c>
      <c r="R4078">
        <v>-0.98014190000000001</v>
      </c>
      <c r="S4078">
        <v>0.32296750000000002</v>
      </c>
      <c r="T4078">
        <v>-0.1104721</v>
      </c>
      <c r="U4078">
        <v>-3.0520019999999999</v>
      </c>
      <c r="V4078">
        <v>-6.4661620000000003E-2</v>
      </c>
      <c r="W4078">
        <v>0.19245039999999999</v>
      </c>
      <c r="X4078">
        <v>0.97917399999999999</v>
      </c>
      <c r="Y4078">
        <v>-8.2438129999999998E-2</v>
      </c>
      <c r="Z4078">
        <v>2.1512610000000001E-2</v>
      </c>
      <c r="AA4078">
        <v>0.99636400000000003</v>
      </c>
      <c r="AB4078">
        <v>34</v>
      </c>
      <c r="AC4078">
        <v>3.2726000000000099</v>
      </c>
      <c r="AD4078">
        <v>-1.1222329344299999</v>
      </c>
      <c r="AE4078">
        <v>-30.674139999999898</v>
      </c>
      <c r="AF4078">
        <v>-2.5677279521005598</v>
      </c>
      <c r="AG4078">
        <v>-1.1222329344299999</v>
      </c>
      <c r="AH4078">
        <v>30.700256132508201</v>
      </c>
      <c r="AI4078">
        <v>92.086209456876404</v>
      </c>
      <c r="AJ4078">
        <v>94.781013916599406</v>
      </c>
      <c r="AK4078">
        <v>30.827882836755499</v>
      </c>
      <c r="AL4078">
        <v>78.904178622609706</v>
      </c>
      <c r="AM4078">
        <v>93.778150285450394</v>
      </c>
      <c r="AN4078">
        <v>1.00000000191859</v>
      </c>
    </row>
    <row r="4079" spans="1:40" x14ac:dyDescent="0.25">
      <c r="A4079" t="str">
        <f>"20190303162634763"</f>
        <v>20190303162634763</v>
      </c>
      <c r="B4079" t="str">
        <f>"1551601594757556"</f>
        <v>1551601594757556</v>
      </c>
      <c r="C4079" t="s">
        <v>40</v>
      </c>
      <c r="D4079">
        <v>5.1450050000000003</v>
      </c>
      <c r="E4079">
        <v>0.49371680000000001</v>
      </c>
      <c r="F4079" t="s">
        <v>41</v>
      </c>
      <c r="G4079">
        <v>-419.43689999999998</v>
      </c>
      <c r="H4079" s="1">
        <v>-3.7157740000000002E-6</v>
      </c>
      <c r="I4079">
        <v>48.061500000000002</v>
      </c>
      <c r="J4079">
        <v>-422.69549999999998</v>
      </c>
      <c r="K4079">
        <v>1.122225</v>
      </c>
      <c r="L4079">
        <v>78.883790000000005</v>
      </c>
      <c r="M4079">
        <v>2.3947940000000001E-2</v>
      </c>
      <c r="N4079">
        <v>-1.449228E-2</v>
      </c>
      <c r="O4079">
        <v>-0.99960800000000005</v>
      </c>
      <c r="P4079">
        <v>8.7106030000000001E-2</v>
      </c>
      <c r="Q4079">
        <v>0.178390299999999</v>
      </c>
      <c r="R4079">
        <v>-0.980097</v>
      </c>
      <c r="S4079">
        <v>0.31991579999999997</v>
      </c>
      <c r="T4079">
        <v>-0.10985880000000001</v>
      </c>
      <c r="U4079">
        <v>-3.0524900000000001</v>
      </c>
      <c r="V4079">
        <v>-6.4041459999999995E-2</v>
      </c>
      <c r="W4079">
        <v>0.19245789999999999</v>
      </c>
      <c r="X4079">
        <v>0.97921329999999995</v>
      </c>
      <c r="Y4079">
        <v>-8.0331159999999999E-2</v>
      </c>
      <c r="Z4079">
        <v>2.132653E-2</v>
      </c>
      <c r="AA4079">
        <v>0.99654010000000004</v>
      </c>
      <c r="AB4079">
        <v>34</v>
      </c>
      <c r="AC4079">
        <v>3.2585999999999999</v>
      </c>
      <c r="AD4079">
        <v>-1.1222287157740001</v>
      </c>
      <c r="AE4079">
        <v>-30.822289999999999</v>
      </c>
      <c r="AF4079">
        <v>-2.5161585589900399</v>
      </c>
      <c r="AG4079">
        <v>-1.1222287157740001</v>
      </c>
      <c r="AH4079">
        <v>30.851047485112598</v>
      </c>
      <c r="AI4079">
        <v>92.076367825152801</v>
      </c>
      <c r="AJ4079">
        <v>94.662625642362798</v>
      </c>
      <c r="AK4079">
        <v>30.973820915624199</v>
      </c>
      <c r="AL4079">
        <v>78.903740914323805</v>
      </c>
      <c r="AM4079">
        <v>93.741868300096399</v>
      </c>
      <c r="AN4079">
        <v>1.0000000193841101</v>
      </c>
    </row>
    <row r="4080" spans="1:40" x14ac:dyDescent="0.25">
      <c r="A4080" t="str">
        <f>"20190303162634786"</f>
        <v>20190303162634786</v>
      </c>
      <c r="B4080" t="str">
        <f>"1551601594777581"</f>
        <v>1551601594777581</v>
      </c>
      <c r="C4080" t="s">
        <v>40</v>
      </c>
      <c r="D4080">
        <v>4.9196359999999997</v>
      </c>
      <c r="E4080">
        <v>0.49377409999999999</v>
      </c>
      <c r="F4080" t="s">
        <v>41</v>
      </c>
      <c r="G4080">
        <v>-419.49209999999999</v>
      </c>
      <c r="H4080" s="1">
        <v>-3.780344E-6</v>
      </c>
      <c r="I4080">
        <v>48.234819999999999</v>
      </c>
      <c r="J4080">
        <v>-422.68599999999998</v>
      </c>
      <c r="K4080">
        <v>1.1222209999999999</v>
      </c>
      <c r="L4080">
        <v>78.535489999999996</v>
      </c>
      <c r="M4080">
        <v>2.5023150000000001E-2</v>
      </c>
      <c r="N4080">
        <v>-1.447853E-2</v>
      </c>
      <c r="O4080">
        <v>-0.99958230000000003</v>
      </c>
      <c r="P4080">
        <v>8.7708670000000002E-2</v>
      </c>
      <c r="Q4080">
        <v>0.17928450000000001</v>
      </c>
      <c r="R4080">
        <v>-0.97987999999999997</v>
      </c>
      <c r="S4080">
        <v>0.31909179999999998</v>
      </c>
      <c r="T4080">
        <v>-0.1117842</v>
      </c>
      <c r="U4080">
        <v>-3.0529169999999999</v>
      </c>
      <c r="V4080">
        <v>-6.3594129999999999E-2</v>
      </c>
      <c r="W4080">
        <v>0.19333800000000001</v>
      </c>
      <c r="X4080">
        <v>0.97906910000000003</v>
      </c>
      <c r="Y4080">
        <v>-7.8977179999999994E-2</v>
      </c>
      <c r="Z4080">
        <v>2.196381E-2</v>
      </c>
      <c r="AA4080">
        <v>0.99663440000000003</v>
      </c>
      <c r="AB4080">
        <v>34</v>
      </c>
      <c r="AC4080">
        <v>3.1938999999999802</v>
      </c>
      <c r="AD4080">
        <v>-1.122224780344</v>
      </c>
      <c r="AE4080">
        <v>-30.30067</v>
      </c>
      <c r="AF4080">
        <v>-2.43130386585851</v>
      </c>
      <c r="AG4080">
        <v>-1.122224780344</v>
      </c>
      <c r="AH4080">
        <v>30.329963740753598</v>
      </c>
      <c r="AI4080">
        <v>92.112238156142197</v>
      </c>
      <c r="AJ4080">
        <v>94.583131478216501</v>
      </c>
      <c r="AK4080">
        <v>30.4479445523206</v>
      </c>
      <c r="AL4080">
        <v>78.852350046116797</v>
      </c>
      <c r="AM4080">
        <v>93.716350548305996</v>
      </c>
      <c r="AN4080">
        <v>1.0000000490946299</v>
      </c>
    </row>
    <row r="4081" spans="1:40" x14ac:dyDescent="0.25">
      <c r="A4081" t="str">
        <f>"20190303162634810"</f>
        <v>20190303162634810</v>
      </c>
      <c r="B4081" t="str">
        <f>"1551601594798077"</f>
        <v>1551601594798077</v>
      </c>
      <c r="C4081" t="s">
        <v>40</v>
      </c>
      <c r="D4081">
        <v>5.1428669999999999</v>
      </c>
      <c r="E4081">
        <v>0.4939578</v>
      </c>
      <c r="F4081" t="s">
        <v>41</v>
      </c>
      <c r="G4081">
        <v>-419.30770000000001</v>
      </c>
      <c r="H4081" s="1">
        <v>-3.0220329999999999E-6</v>
      </c>
      <c r="I4081">
        <v>46.390940000000001</v>
      </c>
      <c r="J4081">
        <v>-422.67570000000001</v>
      </c>
      <c r="K4081">
        <v>1.1222209999999999</v>
      </c>
      <c r="L4081">
        <v>78.171999999999997</v>
      </c>
      <c r="M4081">
        <v>2.6145689999999999E-2</v>
      </c>
      <c r="N4081">
        <v>-1.4465189999999999E-2</v>
      </c>
      <c r="O4081">
        <v>-0.99955360000000004</v>
      </c>
      <c r="P4081">
        <v>8.8685420000000001E-2</v>
      </c>
      <c r="Q4081">
        <v>0.17969689999999999</v>
      </c>
      <c r="R4081">
        <v>-0.97971660000000005</v>
      </c>
      <c r="S4081">
        <v>0.3208008</v>
      </c>
      <c r="T4081">
        <v>-0.1065648</v>
      </c>
      <c r="U4081">
        <v>-3.0523989999999999</v>
      </c>
      <c r="V4081">
        <v>-6.3471849999999996E-2</v>
      </c>
      <c r="W4081">
        <v>0.19373660000000001</v>
      </c>
      <c r="X4081">
        <v>0.97899820000000004</v>
      </c>
      <c r="Y4081">
        <v>-7.8432009999999996E-2</v>
      </c>
      <c r="Z4081">
        <v>2.028317E-2</v>
      </c>
      <c r="AA4081">
        <v>0.99671310000000002</v>
      </c>
      <c r="AB4081">
        <v>34</v>
      </c>
      <c r="AC4081">
        <v>3.3679999999999901</v>
      </c>
      <c r="AD4081">
        <v>-1.122224022033</v>
      </c>
      <c r="AE4081">
        <v>-31.78106</v>
      </c>
      <c r="AF4081">
        <v>-2.5327009089970902</v>
      </c>
      <c r="AG4081">
        <v>-1.122224022033</v>
      </c>
      <c r="AH4081">
        <v>31.819027361617898</v>
      </c>
      <c r="AI4081">
        <v>92.0135620240858</v>
      </c>
      <c r="AJ4081">
        <v>94.550980363993105</v>
      </c>
      <c r="AK4081">
        <v>31.939387328022601</v>
      </c>
      <c r="AL4081">
        <v>78.829071392462396</v>
      </c>
      <c r="AM4081">
        <v>93.709492522711699</v>
      </c>
      <c r="AN4081">
        <v>1.0000000107626099</v>
      </c>
    </row>
    <row r="4082" spans="1:40" x14ac:dyDescent="0.25">
      <c r="A4082" t="str">
        <f>"20190303162634851"</f>
        <v>20190303162634851</v>
      </c>
      <c r="B4082" t="str">
        <f>"1551601594847853"</f>
        <v>1551601594847853</v>
      </c>
      <c r="C4082" t="s">
        <v>40</v>
      </c>
      <c r="D4082">
        <v>5.0432649999999999</v>
      </c>
      <c r="E4082">
        <v>0.4939886</v>
      </c>
      <c r="F4082" t="s">
        <v>41</v>
      </c>
      <c r="G4082">
        <v>-419.23970000000003</v>
      </c>
      <c r="H4082" s="1">
        <v>-2.6736449999999999E-6</v>
      </c>
      <c r="I4082">
        <v>45.550710000000002</v>
      </c>
      <c r="J4082">
        <v>-422.6576</v>
      </c>
      <c r="K4082">
        <v>1.122223</v>
      </c>
      <c r="L4082">
        <v>77.562529999999995</v>
      </c>
      <c r="M4082">
        <v>2.8028339999999999E-2</v>
      </c>
      <c r="N4082">
        <v>-1.44452E-2</v>
      </c>
      <c r="O4082">
        <v>-0.99950309999999998</v>
      </c>
      <c r="P4082">
        <v>9.0948390000000004E-2</v>
      </c>
      <c r="Q4082">
        <v>0.1806557</v>
      </c>
      <c r="R4082">
        <v>-0.97933269999999994</v>
      </c>
      <c r="S4082">
        <v>0.32150269999999997</v>
      </c>
      <c r="T4082">
        <v>-0.1050031</v>
      </c>
      <c r="U4082">
        <v>-3.0522770000000001</v>
      </c>
      <c r="V4082">
        <v>-6.3895789999999994E-2</v>
      </c>
      <c r="W4082">
        <v>0.1946726</v>
      </c>
      <c r="X4082">
        <v>0.97878489999999996</v>
      </c>
      <c r="Y4082">
        <v>-7.6786960000000001E-2</v>
      </c>
      <c r="Z4082">
        <v>1.9796680000000001E-2</v>
      </c>
      <c r="AA4082">
        <v>0.99685100000000004</v>
      </c>
      <c r="AB4082">
        <v>33</v>
      </c>
      <c r="AC4082">
        <v>3.4178999999999702</v>
      </c>
      <c r="AD4082">
        <v>-1.122225673645</v>
      </c>
      <c r="AE4082">
        <v>-32.01182</v>
      </c>
      <c r="AF4082">
        <v>-2.5161680104375899</v>
      </c>
      <c r="AG4082">
        <v>-1.122225673645</v>
      </c>
      <c r="AH4082">
        <v>32.056097098996901</v>
      </c>
      <c r="AI4082">
        <v>91.998859122517999</v>
      </c>
      <c r="AJ4082">
        <v>94.488095467615807</v>
      </c>
      <c r="AK4082">
        <v>32.1742731563536</v>
      </c>
      <c r="AL4082">
        <v>78.774401414876294</v>
      </c>
      <c r="AM4082">
        <v>93.735010491846595</v>
      </c>
      <c r="AN4082">
        <v>0.99999998681924696</v>
      </c>
    </row>
    <row r="4083" spans="1:40" x14ac:dyDescent="0.25">
      <c r="A4083" t="str">
        <f>"20190303162634875"</f>
        <v>20190303162634875</v>
      </c>
      <c r="B4083" t="str">
        <f>"1551601594867373"</f>
        <v>1551601594867373</v>
      </c>
      <c r="C4083" t="s">
        <v>40</v>
      </c>
      <c r="D4083">
        <v>4.8650029999999997</v>
      </c>
      <c r="E4083">
        <v>0.51173559999999996</v>
      </c>
      <c r="F4083" t="s">
        <v>41</v>
      </c>
      <c r="G4083">
        <v>-419.07069999999999</v>
      </c>
      <c r="H4083" s="1">
        <v>-2.1706780000000001E-6</v>
      </c>
      <c r="I4083">
        <v>44.308439999999997</v>
      </c>
      <c r="J4083">
        <v>-422.64710000000002</v>
      </c>
      <c r="K4083">
        <v>1.1222209999999999</v>
      </c>
      <c r="L4083">
        <v>77.228610000000003</v>
      </c>
      <c r="M4083">
        <v>2.9059990000000001E-2</v>
      </c>
      <c r="N4083">
        <v>-1.443554E-2</v>
      </c>
      <c r="O4083">
        <v>-0.99947350000000001</v>
      </c>
      <c r="P4083">
        <v>9.0884069999999997E-2</v>
      </c>
      <c r="Q4083">
        <v>0.1796257</v>
      </c>
      <c r="R4083">
        <v>-0.97952799999999995</v>
      </c>
      <c r="S4083">
        <v>0.32916260000000003</v>
      </c>
      <c r="T4083">
        <v>-0.1029866</v>
      </c>
      <c r="U4083">
        <v>-3.0517270000000001</v>
      </c>
      <c r="V4083">
        <v>-6.2809729999999994E-2</v>
      </c>
      <c r="W4083">
        <v>0.19363929999999999</v>
      </c>
      <c r="X4083">
        <v>0.97906009999999999</v>
      </c>
      <c r="Y4083">
        <v>-7.8251650000000006E-2</v>
      </c>
      <c r="Z4083">
        <v>1.914917E-2</v>
      </c>
      <c r="AA4083">
        <v>0.99674969999999996</v>
      </c>
      <c r="AB4083">
        <v>33</v>
      </c>
      <c r="AC4083">
        <v>3.5764000000000302</v>
      </c>
      <c r="AD4083">
        <v>-1.1222231706779999</v>
      </c>
      <c r="AE4083">
        <v>-32.920169999999999</v>
      </c>
      <c r="AF4083">
        <v>-2.6151263025441001</v>
      </c>
      <c r="AG4083">
        <v>-1.1222231706779999</v>
      </c>
      <c r="AH4083">
        <v>32.972335482528699</v>
      </c>
      <c r="AI4083">
        <v>91.943228631391605</v>
      </c>
      <c r="AJ4083">
        <v>94.534792495618305</v>
      </c>
      <c r="AK4083">
        <v>33.094911657163898</v>
      </c>
      <c r="AL4083">
        <v>78.834753306447496</v>
      </c>
      <c r="AM4083">
        <v>93.670671078537595</v>
      </c>
      <c r="AN4083">
        <v>0.99999996004958502</v>
      </c>
    </row>
    <row r="4084" spans="1:40" x14ac:dyDescent="0.25">
      <c r="A4084" t="str">
        <f>"20190303162634895"</f>
        <v>20190303162634895</v>
      </c>
      <c r="B4084" t="str">
        <f>"1551601594887869"</f>
        <v>1551601594887869</v>
      </c>
      <c r="C4084" t="s">
        <v>40</v>
      </c>
      <c r="D4084">
        <v>4.8827420000000004</v>
      </c>
      <c r="E4084">
        <v>0.55325809999999997</v>
      </c>
      <c r="F4084" t="s">
        <v>41</v>
      </c>
      <c r="G4084">
        <v>-421.4538</v>
      </c>
      <c r="H4084" s="1">
        <v>-3.918561E-6</v>
      </c>
      <c r="I4084">
        <v>57.821660000000001</v>
      </c>
      <c r="J4084">
        <v>-422.63639999999998</v>
      </c>
      <c r="K4084">
        <v>1.122212</v>
      </c>
      <c r="L4084">
        <v>76.898830000000004</v>
      </c>
      <c r="M4084">
        <v>3.0077489999999998E-2</v>
      </c>
      <c r="N4084">
        <v>-1.4426700000000001E-2</v>
      </c>
      <c r="O4084">
        <v>-0.99944370000000005</v>
      </c>
      <c r="P4084">
        <v>9.0193570000000001E-2</v>
      </c>
      <c r="Q4084">
        <v>0.17745139999999901</v>
      </c>
      <c r="R4084">
        <v>-0.97998819999999998</v>
      </c>
      <c r="S4084">
        <v>0.1892395</v>
      </c>
      <c r="T4084">
        <v>-0.1779742</v>
      </c>
      <c r="U4084">
        <v>-3.0777589999999999</v>
      </c>
      <c r="V4084">
        <v>-6.1099920000000002E-2</v>
      </c>
      <c r="W4084">
        <v>0.19146820000000001</v>
      </c>
      <c r="X4084">
        <v>0.9795952</v>
      </c>
      <c r="Y4084">
        <v>-3.1244910000000001E-2</v>
      </c>
      <c r="Z4084">
        <v>4.3226670000000002E-2</v>
      </c>
      <c r="AA4084">
        <v>0.99857660000000004</v>
      </c>
      <c r="AB4084">
        <v>33</v>
      </c>
      <c r="AC4084">
        <v>1.1825999999999699</v>
      </c>
      <c r="AD4084">
        <v>-1.1222159185609999</v>
      </c>
      <c r="AE4084">
        <v>-19.077169999999999</v>
      </c>
      <c r="AF4084">
        <v>-0.60612248546752101</v>
      </c>
      <c r="AG4084">
        <v>-1.1222159185609999</v>
      </c>
      <c r="AH4084">
        <v>19.038482093703099</v>
      </c>
      <c r="AI4084">
        <v>93.371669804249606</v>
      </c>
      <c r="AJ4084">
        <v>91.823492755649298</v>
      </c>
      <c r="AK4084">
        <v>19.081157026436198</v>
      </c>
      <c r="AL4084">
        <v>78.9615210746678</v>
      </c>
      <c r="AM4084">
        <v>93.569064427926094</v>
      </c>
      <c r="AN4084">
        <v>1.0000000138491401</v>
      </c>
    </row>
    <row r="4085" spans="1:40" x14ac:dyDescent="0.25">
      <c r="A4085" t="str">
        <f>"20190303162634918"</f>
        <v>20190303162634918</v>
      </c>
      <c r="B4085" t="str">
        <f>"1551601594908364"</f>
        <v>1551601594908364</v>
      </c>
      <c r="C4085" t="s">
        <v>40</v>
      </c>
      <c r="D4085">
        <v>4.8515199999999998</v>
      </c>
      <c r="E4085">
        <v>0.55509119999999901</v>
      </c>
      <c r="F4085" t="s">
        <v>41</v>
      </c>
      <c r="G4085">
        <v>-423.69799999999998</v>
      </c>
      <c r="H4085" s="1">
        <v>-2.865642E-6</v>
      </c>
      <c r="I4085">
        <v>53.9754</v>
      </c>
      <c r="J4085">
        <v>-422.62580000000003</v>
      </c>
      <c r="K4085">
        <v>1.122198</v>
      </c>
      <c r="L4085">
        <v>76.579219999999907</v>
      </c>
      <c r="M4085">
        <v>3.1056179999999999E-2</v>
      </c>
      <c r="N4085">
        <v>-1.441871E-2</v>
      </c>
      <c r="O4085">
        <v>-0.99941380000000002</v>
      </c>
      <c r="P4085">
        <v>8.9992639999999999E-2</v>
      </c>
      <c r="Q4085">
        <v>0.17555479999999901</v>
      </c>
      <c r="R4085">
        <v>-0.98034790000000005</v>
      </c>
      <c r="S4085">
        <v>-0.1436462</v>
      </c>
      <c r="T4085">
        <v>-0.1518562</v>
      </c>
      <c r="U4085">
        <v>-3.1019589999999999</v>
      </c>
      <c r="V4085">
        <v>-5.9919050000000001E-2</v>
      </c>
      <c r="W4085">
        <v>0.1895733</v>
      </c>
      <c r="X4085">
        <v>0.98003660000000004</v>
      </c>
      <c r="Y4085">
        <v>7.7199899999999905E-2</v>
      </c>
      <c r="Z4085">
        <v>3.4345050000000002E-2</v>
      </c>
      <c r="AA4085">
        <v>0.99642390000000003</v>
      </c>
      <c r="AB4085">
        <v>33</v>
      </c>
      <c r="AC4085">
        <v>-1.0722</v>
      </c>
      <c r="AD4085">
        <v>-1.1222008656419999</v>
      </c>
      <c r="AE4085">
        <v>-22.603819999999899</v>
      </c>
      <c r="AF4085">
        <v>1.76939251045824</v>
      </c>
      <c r="AG4085">
        <v>-1.1222008656419999</v>
      </c>
      <c r="AH4085">
        <v>22.5042692098522</v>
      </c>
      <c r="AI4085">
        <v>92.8459855783005</v>
      </c>
      <c r="AJ4085">
        <v>85.504382260878401</v>
      </c>
      <c r="AK4085">
        <v>22.601597671589801</v>
      </c>
      <c r="AL4085">
        <v>79.072116836150599</v>
      </c>
      <c r="AM4085">
        <v>93.498686206254007</v>
      </c>
      <c r="AN4085">
        <v>1.0000000329826699</v>
      </c>
    </row>
    <row r="4086" spans="1:40" x14ac:dyDescent="0.25">
      <c r="A4086" t="str">
        <f>"20190303162634940"</f>
        <v>20190303162634940</v>
      </c>
      <c r="B4086" t="str">
        <f>"1551601594927885"</f>
        <v>1551601594927885</v>
      </c>
      <c r="C4086" t="s">
        <v>40</v>
      </c>
      <c r="D4086">
        <v>4.8494289999999998</v>
      </c>
      <c r="E4086">
        <v>0.55547460000000004</v>
      </c>
      <c r="F4086" t="s">
        <v>41</v>
      </c>
      <c r="G4086">
        <v>-423.68880000000001</v>
      </c>
      <c r="H4086" s="1">
        <v>-3.6737570000000002E-6</v>
      </c>
      <c r="I4086">
        <v>55.864820000000002</v>
      </c>
      <c r="J4086">
        <v>-422.61439999999999</v>
      </c>
      <c r="K4086">
        <v>1.1221760000000001</v>
      </c>
      <c r="L4086">
        <v>76.247159999999994</v>
      </c>
      <c r="M4086">
        <v>3.2055729999999998E-2</v>
      </c>
      <c r="N4086">
        <v>-1.4410849999999999E-2</v>
      </c>
      <c r="O4086">
        <v>-0.99938229999999995</v>
      </c>
      <c r="P4086">
        <v>8.8501560000000007E-2</v>
      </c>
      <c r="Q4086">
        <v>0.175368</v>
      </c>
      <c r="R4086">
        <v>-0.98051710000000003</v>
      </c>
      <c r="S4086">
        <v>-0.15933229999999901</v>
      </c>
      <c r="T4086">
        <v>-0.1682072</v>
      </c>
      <c r="U4086">
        <v>-3.104889</v>
      </c>
      <c r="V4086">
        <v>-5.743434E-2</v>
      </c>
      <c r="W4086">
        <v>0.1893888</v>
      </c>
      <c r="X4086">
        <v>0.98022100000000001</v>
      </c>
      <c r="Y4086">
        <v>8.3158560000000006E-2</v>
      </c>
      <c r="Z4086">
        <v>3.951764E-2</v>
      </c>
      <c r="AA4086">
        <v>0.99575250000000004</v>
      </c>
      <c r="AB4086">
        <v>33</v>
      </c>
      <c r="AC4086">
        <v>-1.07440000000002</v>
      </c>
      <c r="AD4086">
        <v>-1.122179673757</v>
      </c>
      <c r="AE4086">
        <v>-20.382339999999999</v>
      </c>
      <c r="AF4086">
        <v>1.72208076911497</v>
      </c>
      <c r="AG4086">
        <v>-1.122179673757</v>
      </c>
      <c r="AH4086">
        <v>20.276127750286701</v>
      </c>
      <c r="AI4086">
        <v>93.156455035037993</v>
      </c>
      <c r="AJ4086">
        <v>85.145437007639899</v>
      </c>
      <c r="AK4086">
        <v>20.380044306661699</v>
      </c>
      <c r="AL4086">
        <v>79.082882742090405</v>
      </c>
      <c r="AM4086">
        <v>93.353312287651207</v>
      </c>
      <c r="AN4086">
        <v>1.0000000149088299</v>
      </c>
    </row>
    <row r="4087" spans="1:40" x14ac:dyDescent="0.25">
      <c r="A4087" t="str">
        <f>"20190303162634963"</f>
        <v>20190303162634963</v>
      </c>
      <c r="B4087" t="str">
        <f>"1551601594947404"</f>
        <v>1551601594947404</v>
      </c>
      <c r="C4087" t="s">
        <v>40</v>
      </c>
      <c r="D4087">
        <v>4.8663939999999997</v>
      </c>
      <c r="E4087">
        <v>0.55544959999999999</v>
      </c>
      <c r="F4087" t="s">
        <v>41</v>
      </c>
      <c r="G4087">
        <v>-423.71600000000001</v>
      </c>
      <c r="H4087" s="1">
        <v>-3.6823610000000001E-6</v>
      </c>
      <c r="I4087">
        <v>55.870600000000003</v>
      </c>
      <c r="J4087">
        <v>-422.60219999999998</v>
      </c>
      <c r="K4087">
        <v>1.122152</v>
      </c>
      <c r="L4087">
        <v>75.899439999999998</v>
      </c>
      <c r="M4087">
        <v>3.307276E-2</v>
      </c>
      <c r="N4087">
        <v>-1.440307E-2</v>
      </c>
      <c r="O4087">
        <v>-0.99934920000000005</v>
      </c>
      <c r="P4087">
        <v>8.6176890000000006E-2</v>
      </c>
      <c r="Q4087">
        <v>0.17601329999999901</v>
      </c>
      <c r="R4087">
        <v>-0.98060879999999995</v>
      </c>
      <c r="S4087">
        <v>-0.1678772</v>
      </c>
      <c r="T4087">
        <v>-0.171017899999999</v>
      </c>
      <c r="U4087">
        <v>-3.1053470000000001</v>
      </c>
      <c r="V4087">
        <v>-5.4098710000000001E-2</v>
      </c>
      <c r="W4087">
        <v>0.1900377</v>
      </c>
      <c r="X4087">
        <v>0.98028519999999997</v>
      </c>
      <c r="Y4087">
        <v>8.6892689999999995E-2</v>
      </c>
      <c r="Z4087">
        <v>4.0399879999999999E-2</v>
      </c>
      <c r="AA4087">
        <v>0.99539820000000001</v>
      </c>
      <c r="AB4087">
        <v>33</v>
      </c>
      <c r="AC4087">
        <v>-1.1138000000000201</v>
      </c>
      <c r="AD4087">
        <v>-1.1221556823609999</v>
      </c>
      <c r="AE4087">
        <v>-20.028839999999899</v>
      </c>
      <c r="AF4087">
        <v>1.7701289292131701</v>
      </c>
      <c r="AG4087">
        <v>-1.1221556823609999</v>
      </c>
      <c r="AH4087">
        <v>19.918708080802901</v>
      </c>
      <c r="AI4087">
        <v>93.211819753798295</v>
      </c>
      <c r="AJ4087">
        <v>84.921599070265898</v>
      </c>
      <c r="AK4087">
        <v>20.028667489619401</v>
      </c>
      <c r="AL4087">
        <v>79.0450160594403</v>
      </c>
      <c r="AM4087">
        <v>93.158761128059396</v>
      </c>
      <c r="AN4087">
        <v>1.00000003559199</v>
      </c>
    </row>
    <row r="4088" spans="1:40" x14ac:dyDescent="0.25">
      <c r="A4088" t="str">
        <f>"20190303162634988"</f>
        <v>20190303162634988</v>
      </c>
      <c r="B4088" t="str">
        <f>"1551601594977661"</f>
        <v>1551601594977661</v>
      </c>
      <c r="C4088" t="s">
        <v>40</v>
      </c>
      <c r="D4088">
        <v>4.9499050000000002</v>
      </c>
      <c r="E4088">
        <v>0.5554559</v>
      </c>
      <c r="F4088" t="s">
        <v>41</v>
      </c>
      <c r="G4088">
        <v>-423.74709999999999</v>
      </c>
      <c r="H4088" s="1">
        <v>-3.579379E-6</v>
      </c>
      <c r="I4088">
        <v>55.608669999999996</v>
      </c>
      <c r="J4088">
        <v>-422.58929999999998</v>
      </c>
      <c r="K4088">
        <v>1.122126</v>
      </c>
      <c r="L4088">
        <v>75.541809999999998</v>
      </c>
      <c r="M4088">
        <v>3.4085230000000001E-2</v>
      </c>
      <c r="N4088">
        <v>-1.4393410000000001E-2</v>
      </c>
      <c r="O4088">
        <v>-0.99931519999999996</v>
      </c>
      <c r="P4088">
        <v>8.4992280000000003E-2</v>
      </c>
      <c r="Q4088">
        <v>0.175903799999999</v>
      </c>
      <c r="R4088">
        <v>-0.98073149999999998</v>
      </c>
      <c r="S4088">
        <v>-0.1752319</v>
      </c>
      <c r="T4088">
        <v>-0.17174900000000001</v>
      </c>
      <c r="U4088">
        <v>-3.1055600000000001</v>
      </c>
      <c r="V4088">
        <v>-5.1901330000000002E-2</v>
      </c>
      <c r="W4088">
        <v>0.18992909999999999</v>
      </c>
      <c r="X4088">
        <v>0.98042499999999999</v>
      </c>
      <c r="Y4088">
        <v>9.0245690000000003E-2</v>
      </c>
      <c r="Z4088">
        <v>4.0623899999999998E-2</v>
      </c>
      <c r="AA4088">
        <v>0.99509069999999999</v>
      </c>
      <c r="AB4088">
        <v>33</v>
      </c>
      <c r="AC4088">
        <v>-1.1577999999999999</v>
      </c>
      <c r="AD4088">
        <v>-1.122129579379</v>
      </c>
      <c r="AE4088">
        <v>-19.933139999999899</v>
      </c>
      <c r="AF4088">
        <v>1.8308406120660301</v>
      </c>
      <c r="AG4088">
        <v>-1.122129579379</v>
      </c>
      <c r="AH4088">
        <v>19.8194885196969</v>
      </c>
      <c r="AI4088">
        <v>93.226774321738205</v>
      </c>
      <c r="AJ4088">
        <v>84.722236173158194</v>
      </c>
      <c r="AK4088">
        <v>19.935477855374</v>
      </c>
      <c r="AL4088">
        <v>79.051353367918395</v>
      </c>
      <c r="AM4088">
        <v>93.030271541484893</v>
      </c>
      <c r="AN4088">
        <v>0.99999999585378896</v>
      </c>
    </row>
    <row r="4089" spans="1:40" x14ac:dyDescent="0.25">
      <c r="A4089" t="str">
        <f>"20190303162635010"</f>
        <v>20190303162635010</v>
      </c>
      <c r="B4089" t="str">
        <f>"1551601594998157"</f>
        <v>1551601594998157</v>
      </c>
      <c r="C4089" t="s">
        <v>40</v>
      </c>
      <c r="D4089">
        <v>4.9341920000000004</v>
      </c>
      <c r="E4089">
        <v>0.55543109999999996</v>
      </c>
      <c r="F4089" t="s">
        <v>41</v>
      </c>
      <c r="G4089">
        <v>-423.76229999999998</v>
      </c>
      <c r="H4089" s="1">
        <v>-3.4513669999999998E-6</v>
      </c>
      <c r="I4089">
        <v>55.300870000000003</v>
      </c>
      <c r="J4089">
        <v>-422.57679999999999</v>
      </c>
      <c r="K4089">
        <v>1.1220810000000001</v>
      </c>
      <c r="L4089">
        <v>75.203190000000006</v>
      </c>
      <c r="M4089">
        <v>3.4994570000000003E-2</v>
      </c>
      <c r="N4089">
        <v>-1.437943E-2</v>
      </c>
      <c r="O4089">
        <v>-0.99928399999999995</v>
      </c>
      <c r="P4089">
        <v>8.4127240000000006E-2</v>
      </c>
      <c r="Q4089">
        <v>0.17540620000000001</v>
      </c>
      <c r="R4089">
        <v>-0.98089530000000003</v>
      </c>
      <c r="S4089">
        <v>-0.17996219999999999</v>
      </c>
      <c r="T4089">
        <v>-0.17216110000000001</v>
      </c>
      <c r="U4089">
        <v>-3.1054379999999999</v>
      </c>
      <c r="V4089">
        <v>-5.011939E-2</v>
      </c>
      <c r="W4089">
        <v>0.18942819999999999</v>
      </c>
      <c r="X4089">
        <v>0.9806146</v>
      </c>
      <c r="Y4089">
        <v>9.2663060000000005E-2</v>
      </c>
      <c r="Z4089">
        <v>4.075985E-2</v>
      </c>
      <c r="AA4089">
        <v>0.99486289999999999</v>
      </c>
      <c r="AB4089">
        <v>33</v>
      </c>
      <c r="AC4089">
        <v>-1.18549999999999</v>
      </c>
      <c r="AD4089">
        <v>-1.1220844513670001</v>
      </c>
      <c r="AE4089">
        <v>-19.90232</v>
      </c>
      <c r="AF4089">
        <v>1.8753788042209301</v>
      </c>
      <c r="AG4089">
        <v>-1.1220844513670001</v>
      </c>
      <c r="AH4089">
        <v>19.7859665584682</v>
      </c>
      <c r="AI4089">
        <v>93.231379684913705</v>
      </c>
      <c r="AJ4089">
        <v>84.585493843254696</v>
      </c>
      <c r="AK4089">
        <v>19.9062952813462</v>
      </c>
      <c r="AL4089">
        <v>79.080583451118002</v>
      </c>
      <c r="AM4089">
        <v>92.925851765391101</v>
      </c>
      <c r="AN4089">
        <v>0.99999999497118597</v>
      </c>
    </row>
    <row r="4090" spans="1:40" x14ac:dyDescent="0.25">
      <c r="A4090" t="str">
        <f>"20190303162635033"</f>
        <v>20190303162635033</v>
      </c>
      <c r="B4090" t="str">
        <f>"1551601595027437"</f>
        <v>1551601595027437</v>
      </c>
      <c r="C4090" t="s">
        <v>40</v>
      </c>
      <c r="D4090">
        <v>4.9377559999999896</v>
      </c>
      <c r="E4090">
        <v>0.55523400000000001</v>
      </c>
      <c r="F4090" t="s">
        <v>41</v>
      </c>
      <c r="G4090">
        <v>-423.77809999999999</v>
      </c>
      <c r="H4090" s="1">
        <v>-3.316509E-6</v>
      </c>
      <c r="I4090">
        <v>54.976689999999998</v>
      </c>
      <c r="J4090">
        <v>-422.5643</v>
      </c>
      <c r="K4090">
        <v>1.122036</v>
      </c>
      <c r="L4090">
        <v>74.873630000000006</v>
      </c>
      <c r="M4090">
        <v>3.5808149999999997E-2</v>
      </c>
      <c r="N4090">
        <v>-1.436373E-2</v>
      </c>
      <c r="O4090">
        <v>-0.99925560000000002</v>
      </c>
      <c r="P4090">
        <v>8.2321580000000005E-2</v>
      </c>
      <c r="Q4090">
        <v>0.17522209999999999</v>
      </c>
      <c r="R4090">
        <v>-0.98108139999999999</v>
      </c>
      <c r="S4090">
        <v>-0.18441769999999999</v>
      </c>
      <c r="T4090">
        <v>-0.1722552</v>
      </c>
      <c r="U4090">
        <v>-3.1050420000000001</v>
      </c>
      <c r="V4090">
        <v>-4.748467E-2</v>
      </c>
      <c r="W4090">
        <v>0.18924179999999999</v>
      </c>
      <c r="X4090">
        <v>0.98078169999999998</v>
      </c>
      <c r="Y4090">
        <v>9.490229E-2</v>
      </c>
      <c r="Z4090">
        <v>4.0801379999999998E-2</v>
      </c>
      <c r="AA4090">
        <v>0.99465009999999998</v>
      </c>
      <c r="AB4090">
        <v>33</v>
      </c>
      <c r="AC4090">
        <v>-1.21379999999999</v>
      </c>
      <c r="AD4090">
        <v>-1.1220393165089999</v>
      </c>
      <c r="AE4090">
        <v>-19.896940000000001</v>
      </c>
      <c r="AF4090">
        <v>1.9194858609307199</v>
      </c>
      <c r="AG4090">
        <v>-1.1220393165089999</v>
      </c>
      <c r="AH4090">
        <v>19.7780453417808</v>
      </c>
      <c r="AI4090">
        <v>93.231846106314705</v>
      </c>
      <c r="AJ4090">
        <v>84.456728112431605</v>
      </c>
      <c r="AK4090">
        <v>19.902624845473099</v>
      </c>
      <c r="AL4090">
        <v>79.091460147987505</v>
      </c>
      <c r="AM4090">
        <v>92.771818024358595</v>
      </c>
      <c r="AN4090">
        <v>0.99999999790356897</v>
      </c>
    </row>
    <row r="4091" spans="1:40" x14ac:dyDescent="0.25">
      <c r="A4091" t="str">
        <f>"20190303162635052"</f>
        <v>20190303162635052</v>
      </c>
      <c r="B4091" t="str">
        <f>"1551601595038173"</f>
        <v>1551601595038173</v>
      </c>
      <c r="C4091" t="s">
        <v>40</v>
      </c>
      <c r="D4091">
        <v>4.9692100000000003</v>
      </c>
      <c r="E4091">
        <v>0.55519839999999998</v>
      </c>
      <c r="F4091" t="s">
        <v>41</v>
      </c>
      <c r="G4091">
        <v>-423.79320000000001</v>
      </c>
      <c r="H4091" s="1">
        <v>-3.2391189999999999E-6</v>
      </c>
      <c r="I4091">
        <v>54.786940000000001</v>
      </c>
      <c r="J4091">
        <v>-422.55340000000001</v>
      </c>
      <c r="K4091">
        <v>1.1219859999999999</v>
      </c>
      <c r="L4091">
        <v>74.587100000000007</v>
      </c>
      <c r="M4091">
        <v>3.6440390000000003E-2</v>
      </c>
      <c r="N4091">
        <v>-1.4350160000000001E-2</v>
      </c>
      <c r="O4091">
        <v>-0.99923300000000004</v>
      </c>
      <c r="P4091">
        <v>8.0274970000000001E-2</v>
      </c>
      <c r="Q4091">
        <v>0.17715249999999999</v>
      </c>
      <c r="R4091">
        <v>-0.98090440000000001</v>
      </c>
      <c r="S4091">
        <v>-0.18994140000000001</v>
      </c>
      <c r="T4091">
        <v>-0.1734318</v>
      </c>
      <c r="U4091">
        <v>-3.1047669999999998</v>
      </c>
      <c r="V4091">
        <v>-4.4800800000000002E-2</v>
      </c>
      <c r="W4091">
        <v>0.1911668</v>
      </c>
      <c r="X4091">
        <v>0.98053460000000003</v>
      </c>
      <c r="Y4091">
        <v>9.7297850000000005E-2</v>
      </c>
      <c r="Z4091">
        <v>4.118368E-2</v>
      </c>
      <c r="AA4091">
        <v>0.99440280000000003</v>
      </c>
      <c r="AB4091">
        <v>33</v>
      </c>
      <c r="AC4091">
        <v>-1.2398</v>
      </c>
      <c r="AD4091">
        <v>-1.1219892391190001</v>
      </c>
      <c r="AE4091">
        <v>-19.800160000000002</v>
      </c>
      <c r="AF4091">
        <v>1.9543252688541599</v>
      </c>
      <c r="AG4091">
        <v>-1.1219892391190001</v>
      </c>
      <c r="AH4091">
        <v>19.678881091779299</v>
      </c>
      <c r="AI4091">
        <v>93.247240306358506</v>
      </c>
      <c r="AJ4091">
        <v>84.328507251225105</v>
      </c>
      <c r="AK4091">
        <v>19.8074886882101</v>
      </c>
      <c r="AL4091">
        <v>78.979114630255495</v>
      </c>
      <c r="AM4091">
        <v>92.616034948161101</v>
      </c>
      <c r="AN4091">
        <v>0.99999997945001895</v>
      </c>
    </row>
    <row r="4092" spans="1:40" x14ac:dyDescent="0.25">
      <c r="A4092" t="str">
        <f>"20190303162635076"</f>
        <v>20190303162635076</v>
      </c>
      <c r="B4092" t="str">
        <f>"1551601595067453"</f>
        <v>1551601595067453</v>
      </c>
      <c r="C4092" t="s">
        <v>40</v>
      </c>
      <c r="D4092">
        <v>4.9794989999999997</v>
      </c>
      <c r="E4092">
        <v>0.55508429999999997</v>
      </c>
      <c r="F4092" t="s">
        <v>41</v>
      </c>
      <c r="G4092">
        <v>-423.85919999999999</v>
      </c>
      <c r="H4092" s="1">
        <v>-2.861344E-6</v>
      </c>
      <c r="I4092">
        <v>53.865389999999998</v>
      </c>
      <c r="J4092">
        <v>-422.53989999999999</v>
      </c>
      <c r="K4092">
        <v>1.121915</v>
      </c>
      <c r="L4092">
        <v>74.236760000000004</v>
      </c>
      <c r="M4092">
        <v>3.7113449999999999E-2</v>
      </c>
      <c r="N4092">
        <v>-1.4334329999999999E-2</v>
      </c>
      <c r="O4092">
        <v>-0.9992084</v>
      </c>
      <c r="P4092">
        <v>7.8748940000000003E-2</v>
      </c>
      <c r="Q4092">
        <v>0.1795369</v>
      </c>
      <c r="R4092">
        <v>-0.98059450000000004</v>
      </c>
      <c r="S4092">
        <v>-0.19564819999999999</v>
      </c>
      <c r="T4092">
        <v>-0.16810939999999999</v>
      </c>
      <c r="U4092">
        <v>-3.1047669999999998</v>
      </c>
      <c r="V4092">
        <v>-4.2588559999999998E-2</v>
      </c>
      <c r="W4092">
        <v>0.1935433</v>
      </c>
      <c r="X4092">
        <v>0.98016689999999995</v>
      </c>
      <c r="Y4092">
        <v>9.979304E-2</v>
      </c>
      <c r="Z4092">
        <v>3.9486670000000001E-2</v>
      </c>
      <c r="AA4092">
        <v>0.99422440000000001</v>
      </c>
      <c r="AB4092">
        <v>33</v>
      </c>
      <c r="AC4092">
        <v>-1.3192999999999899</v>
      </c>
      <c r="AD4092">
        <v>-1.121917861344</v>
      </c>
      <c r="AE4092">
        <v>-20.371369999999999</v>
      </c>
      <c r="AF4092">
        <v>2.0682732793563101</v>
      </c>
      <c r="AG4092">
        <v>-1.121917861344</v>
      </c>
      <c r="AH4092">
        <v>20.247209042018198</v>
      </c>
      <c r="AI4092">
        <v>93.155186672647801</v>
      </c>
      <c r="AJ4092">
        <v>84.167408276607304</v>
      </c>
      <c r="AK4092">
        <v>20.383471932840202</v>
      </c>
      <c r="AL4092">
        <v>78.840359910899096</v>
      </c>
      <c r="AM4092">
        <v>92.487954728243906</v>
      </c>
      <c r="AN4092">
        <v>0.99999997313668598</v>
      </c>
    </row>
    <row r="4093" spans="1:40" x14ac:dyDescent="0.25">
      <c r="A4093" t="str">
        <f>"20190303162635096"</f>
        <v>20190303162635096</v>
      </c>
      <c r="B4093" t="str">
        <f>"1551601595087950"</f>
        <v>1551601595087950</v>
      </c>
      <c r="C4093" t="s">
        <v>40</v>
      </c>
      <c r="D4093">
        <v>5.0352540000000001</v>
      </c>
      <c r="E4093">
        <v>0.55500919999999998</v>
      </c>
      <c r="F4093" t="s">
        <v>41</v>
      </c>
      <c r="G4093">
        <v>-423.9221</v>
      </c>
      <c r="H4093" s="1">
        <v>-2.3977660000000001E-6</v>
      </c>
      <c r="I4093">
        <v>52.745780000000003</v>
      </c>
      <c r="J4093">
        <v>-422.52820000000003</v>
      </c>
      <c r="K4093">
        <v>1.121845</v>
      </c>
      <c r="L4093">
        <v>73.93759</v>
      </c>
      <c r="M4093">
        <v>3.7586189999999998E-2</v>
      </c>
      <c r="N4093">
        <v>-1.432158E-2</v>
      </c>
      <c r="O4093">
        <v>-0.99919069999999999</v>
      </c>
      <c r="P4093">
        <v>7.8074619999999997E-2</v>
      </c>
      <c r="Q4093">
        <v>0.18243090000000001</v>
      </c>
      <c r="R4093">
        <v>-0.98011389999999998</v>
      </c>
      <c r="S4093">
        <v>-0.199707</v>
      </c>
      <c r="T4093">
        <v>-0.1620992</v>
      </c>
      <c r="U4093">
        <v>-3.1051030000000002</v>
      </c>
      <c r="V4093">
        <v>-4.1432780000000002E-2</v>
      </c>
      <c r="W4093">
        <v>0.19642760000000001</v>
      </c>
      <c r="X4093">
        <v>0.97964260000000003</v>
      </c>
      <c r="Y4093">
        <v>0.1015566</v>
      </c>
      <c r="Z4093">
        <v>3.756491E-2</v>
      </c>
      <c r="AA4093">
        <v>0.99412029999999996</v>
      </c>
      <c r="AB4093">
        <v>33</v>
      </c>
      <c r="AC4093">
        <v>-1.3938999999999699</v>
      </c>
      <c r="AD4093">
        <v>-1.121847397766</v>
      </c>
      <c r="AE4093">
        <v>-21.19181</v>
      </c>
      <c r="AF4093">
        <v>2.1834235088776901</v>
      </c>
      <c r="AG4093">
        <v>-1.121847397766</v>
      </c>
      <c r="AH4093">
        <v>21.065655534620198</v>
      </c>
      <c r="AI4093">
        <v>93.032182651326394</v>
      </c>
      <c r="AJ4093">
        <v>84.082508828103698</v>
      </c>
      <c r="AK4093">
        <v>21.208199426313101</v>
      </c>
      <c r="AL4093">
        <v>78.671868492408095</v>
      </c>
      <c r="AM4093">
        <v>92.421811263122507</v>
      </c>
      <c r="AN4093">
        <v>1.0000000505175199</v>
      </c>
    </row>
    <row r="4094" spans="1:40" x14ac:dyDescent="0.25">
      <c r="A4094" t="str">
        <f>"20190303162635120"</f>
        <v>20190303162635120</v>
      </c>
      <c r="B4094" t="str">
        <f>"1551601595107469"</f>
        <v>1551601595107469</v>
      </c>
      <c r="C4094" t="s">
        <v>40</v>
      </c>
      <c r="D4094">
        <v>5.0145559999999998</v>
      </c>
      <c r="E4094">
        <v>0.55454700000000001</v>
      </c>
      <c r="F4094" t="s">
        <v>41</v>
      </c>
      <c r="G4094">
        <v>-424</v>
      </c>
      <c r="H4094" s="1">
        <v>-1.811058E-6</v>
      </c>
      <c r="I4094">
        <v>51.329839999999997</v>
      </c>
      <c r="J4094">
        <v>-422.5154</v>
      </c>
      <c r="K4094">
        <v>1.1217600000000001</v>
      </c>
      <c r="L4094">
        <v>73.609009999999998</v>
      </c>
      <c r="M4094">
        <v>3.7994750000000001E-2</v>
      </c>
      <c r="N4094">
        <v>-1.4308410000000001E-2</v>
      </c>
      <c r="O4094">
        <v>-0.9991757</v>
      </c>
      <c r="P4094">
        <v>7.8075740000000005E-2</v>
      </c>
      <c r="Q4094">
        <v>0.1842704</v>
      </c>
      <c r="R4094">
        <v>-0.97976989999999997</v>
      </c>
      <c r="S4094">
        <v>-0.202179</v>
      </c>
      <c r="T4094">
        <v>-0.1541092</v>
      </c>
      <c r="U4094">
        <v>-3.1056520000000001</v>
      </c>
      <c r="V4094">
        <v>-4.1002070000000002E-2</v>
      </c>
      <c r="W4094">
        <v>0.19825909999999999</v>
      </c>
      <c r="X4094">
        <v>0.97929169999999999</v>
      </c>
      <c r="Y4094">
        <v>0.1027474</v>
      </c>
      <c r="Z4094">
        <v>3.5010699999999999E-2</v>
      </c>
      <c r="AA4094">
        <v>0.99409119999999995</v>
      </c>
      <c r="AB4094">
        <v>33</v>
      </c>
      <c r="AC4094">
        <v>-1.4845999999999999</v>
      </c>
      <c r="AD4094">
        <v>-1.1217618110580001</v>
      </c>
      <c r="AE4094">
        <v>-22.279169999999901</v>
      </c>
      <c r="AF4094">
        <v>2.3242395513281999</v>
      </c>
      <c r="AG4094">
        <v>-1.1217618110580001</v>
      </c>
      <c r="AH4094">
        <v>22.150759817003699</v>
      </c>
      <c r="AI4094">
        <v>92.883301935137197</v>
      </c>
      <c r="AJ4094">
        <v>84.009975558579995</v>
      </c>
      <c r="AK4094">
        <v>22.300596393892501</v>
      </c>
      <c r="AL4094">
        <v>78.564826057917202</v>
      </c>
      <c r="AM4094">
        <v>92.397522867292693</v>
      </c>
      <c r="AN4094">
        <v>1.00000003708299</v>
      </c>
    </row>
    <row r="4095" spans="1:40" x14ac:dyDescent="0.25">
      <c r="A4095" t="str">
        <f>"20190303162635142"</f>
        <v>20190303162635142</v>
      </c>
      <c r="B4095" t="str">
        <f>"1551601595137726"</f>
        <v>1551601595137726</v>
      </c>
      <c r="C4095" t="s">
        <v>40</v>
      </c>
      <c r="D4095">
        <v>5.0461390000000002</v>
      </c>
      <c r="E4095">
        <v>0.55423809999999996</v>
      </c>
      <c r="F4095" t="s">
        <v>41</v>
      </c>
      <c r="G4095">
        <v>-423.97620000000001</v>
      </c>
      <c r="H4095" s="1">
        <v>-1.501855E-6</v>
      </c>
      <c r="I4095">
        <v>50.623820000000002</v>
      </c>
      <c r="J4095">
        <v>-422.50229999999999</v>
      </c>
      <c r="K4095">
        <v>1.121677</v>
      </c>
      <c r="L4095">
        <v>73.275729999999996</v>
      </c>
      <c r="M4095">
        <v>3.8286319999999999E-2</v>
      </c>
      <c r="N4095">
        <v>-1.4296079999999999E-2</v>
      </c>
      <c r="O4095">
        <v>-0.99916490000000002</v>
      </c>
      <c r="P4095">
        <v>7.768224E-2</v>
      </c>
      <c r="Q4095">
        <v>0.1854673</v>
      </c>
      <c r="R4095">
        <v>-0.97957550000000004</v>
      </c>
      <c r="S4095">
        <v>-0.19741819999999999</v>
      </c>
      <c r="T4095">
        <v>-0.15159400000000001</v>
      </c>
      <c r="U4095">
        <v>-3.106201</v>
      </c>
      <c r="V4095">
        <v>-4.0284670000000002E-2</v>
      </c>
      <c r="W4095">
        <v>0.19945080000000001</v>
      </c>
      <c r="X4095">
        <v>0.97907940000000004</v>
      </c>
      <c r="Y4095">
        <v>0.1015118</v>
      </c>
      <c r="Z4095">
        <v>3.4215870000000002E-2</v>
      </c>
      <c r="AA4095">
        <v>0.99424579999999996</v>
      </c>
      <c r="AB4095">
        <v>33</v>
      </c>
      <c r="AC4095">
        <v>-1.47390000000001</v>
      </c>
      <c r="AD4095">
        <v>-1.121678501855</v>
      </c>
      <c r="AE4095">
        <v>-22.651910000000001</v>
      </c>
      <c r="AF4095">
        <v>2.3344656675157598</v>
      </c>
      <c r="AG4095">
        <v>-1.121678501855</v>
      </c>
      <c r="AH4095">
        <v>22.523865983375401</v>
      </c>
      <c r="AI4095">
        <v>92.835783643434496</v>
      </c>
      <c r="AJ4095">
        <v>84.082758390796002</v>
      </c>
      <c r="AK4095">
        <v>22.672283331226001</v>
      </c>
      <c r="AL4095">
        <v>78.495154538432601</v>
      </c>
      <c r="AM4095">
        <v>92.356132066301001</v>
      </c>
      <c r="AN4095">
        <v>0.99999997388100403</v>
      </c>
    </row>
    <row r="4096" spans="1:40" x14ac:dyDescent="0.25">
      <c r="A4096" t="str">
        <f>"20190303162635166"</f>
        <v>20190303162635166</v>
      </c>
      <c r="B4096" t="str">
        <f>"1551601595158222"</f>
        <v>1551601595158222</v>
      </c>
      <c r="C4096" t="s">
        <v>40</v>
      </c>
      <c r="D4096">
        <v>5.0413389999999998</v>
      </c>
      <c r="E4096">
        <v>0.5541874</v>
      </c>
      <c r="F4096" t="s">
        <v>41</v>
      </c>
      <c r="G4096">
        <v>-423.96749999999997</v>
      </c>
      <c r="H4096" s="1">
        <v>-1.2523700000000001E-6</v>
      </c>
      <c r="I4096">
        <v>50.047649999999997</v>
      </c>
      <c r="J4096">
        <v>-422.48849999999999</v>
      </c>
      <c r="K4096">
        <v>1.121599</v>
      </c>
      <c r="L4096">
        <v>72.923029999999997</v>
      </c>
      <c r="M4096">
        <v>3.8493720000000002E-2</v>
      </c>
      <c r="N4096">
        <v>-1.4284E-2</v>
      </c>
      <c r="O4096">
        <v>-0.99915690000000001</v>
      </c>
      <c r="P4096">
        <v>7.7127020000000004E-2</v>
      </c>
      <c r="Q4096">
        <v>0.18701570000000001</v>
      </c>
      <c r="R4096">
        <v>-0.97932470000000005</v>
      </c>
      <c r="S4096">
        <v>-0.1959534</v>
      </c>
      <c r="T4096">
        <v>-0.1500109</v>
      </c>
      <c r="U4096">
        <v>-3.1064759999999998</v>
      </c>
      <c r="V4096">
        <v>-3.9494630000000003E-2</v>
      </c>
      <c r="W4096">
        <v>0.20099249999999999</v>
      </c>
      <c r="X4096">
        <v>0.97879629999999995</v>
      </c>
      <c r="Y4096">
        <v>0.1012474</v>
      </c>
      <c r="Z4096">
        <v>3.371876E-2</v>
      </c>
      <c r="AA4096">
        <v>0.99428970000000005</v>
      </c>
      <c r="AB4096">
        <v>33</v>
      </c>
      <c r="AC4096">
        <v>-1.4789999999999801</v>
      </c>
      <c r="AD4096">
        <v>-1.1216002523699999</v>
      </c>
      <c r="AE4096">
        <v>-22.87538</v>
      </c>
      <c r="AF4096">
        <v>2.3529188488434798</v>
      </c>
      <c r="AG4096">
        <v>-1.1216002523699999</v>
      </c>
      <c r="AH4096">
        <v>22.747027409549101</v>
      </c>
      <c r="AI4096">
        <v>92.807871182059799</v>
      </c>
      <c r="AJ4096">
        <v>84.094411939993805</v>
      </c>
      <c r="AK4096">
        <v>22.8958832589209</v>
      </c>
      <c r="AL4096">
        <v>78.404996320565303</v>
      </c>
      <c r="AM4096">
        <v>92.310642897586803</v>
      </c>
      <c r="AN4096">
        <v>1.0000000038743799</v>
      </c>
    </row>
    <row r="4097" spans="1:40" x14ac:dyDescent="0.25">
      <c r="A4097" t="str">
        <f>"20190303162635189"</f>
        <v>20190303162635189</v>
      </c>
      <c r="B4097" t="str">
        <f>"1551601595177742"</f>
        <v>1551601595177742</v>
      </c>
      <c r="C4097" t="s">
        <v>40</v>
      </c>
      <c r="D4097">
        <v>5.0687879999999996</v>
      </c>
      <c r="E4097">
        <v>0.55413979999999996</v>
      </c>
      <c r="F4097" t="s">
        <v>41</v>
      </c>
      <c r="G4097">
        <v>-423.99180000000001</v>
      </c>
      <c r="H4097" s="1">
        <v>-4.8527449999999999E-6</v>
      </c>
      <c r="I4097">
        <v>49.166060000000002</v>
      </c>
      <c r="J4097">
        <v>-422.47519999999997</v>
      </c>
      <c r="K4097">
        <v>1.121523</v>
      </c>
      <c r="L4097">
        <v>72.582239999999999</v>
      </c>
      <c r="M4097">
        <v>3.8610440000000003E-2</v>
      </c>
      <c r="N4097">
        <v>-1.4273299999999999E-2</v>
      </c>
      <c r="O4097">
        <v>-0.9991525</v>
      </c>
      <c r="P4097">
        <v>7.7947710000000003E-2</v>
      </c>
      <c r="Q4097">
        <v>0.18819830000000001</v>
      </c>
      <c r="R4097">
        <v>-0.97903340000000005</v>
      </c>
      <c r="S4097">
        <v>-0.1965942</v>
      </c>
      <c r="T4097">
        <v>-0.14667740000000001</v>
      </c>
      <c r="U4097">
        <v>-3.1068120000000001</v>
      </c>
      <c r="V4097">
        <v>-4.0175910000000002E-2</v>
      </c>
      <c r="W4097">
        <v>0.20216799999999999</v>
      </c>
      <c r="X4097">
        <v>0.97852640000000002</v>
      </c>
      <c r="Y4097">
        <v>0.1015641</v>
      </c>
      <c r="Z4097">
        <v>3.265784E-2</v>
      </c>
      <c r="AA4097">
        <v>0.99429279999999998</v>
      </c>
      <c r="AB4097">
        <v>33</v>
      </c>
      <c r="AC4097">
        <v>-1.5166000000000299</v>
      </c>
      <c r="AD4097">
        <v>-1.1215278527449899</v>
      </c>
      <c r="AE4097">
        <v>-23.416180000000001</v>
      </c>
      <c r="AF4097">
        <v>2.41415505795278</v>
      </c>
      <c r="AG4097">
        <v>-1.1215278527449899</v>
      </c>
      <c r="AH4097">
        <v>23.286956889252899</v>
      </c>
      <c r="AI4097">
        <v>92.742627023755801</v>
      </c>
      <c r="AJ4097">
        <v>84.081298985318</v>
      </c>
      <c r="AK4097">
        <v>23.4386076918029</v>
      </c>
      <c r="AL4097">
        <v>78.336233043684004</v>
      </c>
      <c r="AM4097">
        <v>92.351104606314706</v>
      </c>
      <c r="AN4097">
        <v>0.999999959732643</v>
      </c>
    </row>
    <row r="4098" spans="1:40" x14ac:dyDescent="0.25">
      <c r="A4098" t="str">
        <f>"20190303162635231"</f>
        <v>20190303162635231</v>
      </c>
      <c r="B4098" t="str">
        <f>"1551601595217757"</f>
        <v>1551601595217757</v>
      </c>
      <c r="C4098" t="s">
        <v>40</v>
      </c>
      <c r="D4098">
        <v>5.0892670000000004</v>
      </c>
      <c r="E4098">
        <v>0.55395030000000001</v>
      </c>
      <c r="F4098" t="s">
        <v>41</v>
      </c>
      <c r="G4098">
        <v>-423.98450000000003</v>
      </c>
      <c r="H4098" s="1">
        <v>-4.5982019999999999E-6</v>
      </c>
      <c r="I4098">
        <v>48.421889999999998</v>
      </c>
      <c r="J4098">
        <v>-422.45139999999998</v>
      </c>
      <c r="K4098">
        <v>1.121435</v>
      </c>
      <c r="L4098">
        <v>71.971409999999906</v>
      </c>
      <c r="M4098">
        <v>3.8681350000000003E-2</v>
      </c>
      <c r="N4098">
        <v>-1.425617E-2</v>
      </c>
      <c r="O4098">
        <v>-0.99915019999999999</v>
      </c>
      <c r="P4098">
        <v>7.9973199999999994E-2</v>
      </c>
      <c r="Q4098">
        <v>0.1891245</v>
      </c>
      <c r="R4098">
        <v>-0.97869119999999998</v>
      </c>
      <c r="S4098">
        <v>-0.1941223</v>
      </c>
      <c r="T4098">
        <v>-0.1442485</v>
      </c>
      <c r="U4098">
        <v>-3.1074519999999999</v>
      </c>
      <c r="V4098">
        <v>-4.2095689999999998E-2</v>
      </c>
      <c r="W4098">
        <v>0.20308229999999999</v>
      </c>
      <c r="X4098">
        <v>0.97825640000000003</v>
      </c>
      <c r="Y4098">
        <v>0.10083640000000001</v>
      </c>
      <c r="Z4098">
        <v>3.1892360000000002E-2</v>
      </c>
      <c r="AA4098">
        <v>0.99439169999999999</v>
      </c>
      <c r="AB4098">
        <v>33</v>
      </c>
      <c r="AC4098">
        <v>-1.5331000000000401</v>
      </c>
      <c r="AD4098">
        <v>-1.121439598202</v>
      </c>
      <c r="AE4098">
        <v>-23.549519999999902</v>
      </c>
      <c r="AF4098">
        <v>2.4374677761230599</v>
      </c>
      <c r="AG4098">
        <v>-1.121439598202</v>
      </c>
      <c r="AH4098">
        <v>23.419698530296799</v>
      </c>
      <c r="AI4098">
        <v>92.726777101122494</v>
      </c>
      <c r="AJ4098">
        <v>84.058181097622494</v>
      </c>
      <c r="AK4098">
        <v>23.572890259406901</v>
      </c>
      <c r="AL4098">
        <v>78.282738609830702</v>
      </c>
      <c r="AM4098">
        <v>92.463994427931496</v>
      </c>
      <c r="AN4098">
        <v>1.00000002591541</v>
      </c>
    </row>
    <row r="4099" spans="1:40" x14ac:dyDescent="0.25">
      <c r="A4099" t="str">
        <f>"20190303162635253"</f>
        <v>20190303162635253</v>
      </c>
      <c r="B4099" t="str">
        <f>"1551601595248013"</f>
        <v>1551601595248013</v>
      </c>
      <c r="C4099" t="s">
        <v>40</v>
      </c>
      <c r="D4099">
        <v>5.1641579999999996</v>
      </c>
      <c r="E4099">
        <v>0.5539094</v>
      </c>
      <c r="F4099" t="s">
        <v>41</v>
      </c>
      <c r="G4099">
        <v>-423.87560000000002</v>
      </c>
      <c r="H4099" s="1">
        <v>-4.4728749999999999E-6</v>
      </c>
      <c r="I4099">
        <v>48.110390000000002</v>
      </c>
      <c r="J4099">
        <v>-422.43869999999998</v>
      </c>
      <c r="K4099">
        <v>1.1213949999999999</v>
      </c>
      <c r="L4099">
        <v>71.642700000000005</v>
      </c>
      <c r="M4099">
        <v>3.8681750000000001E-2</v>
      </c>
      <c r="N4099">
        <v>-1.424798E-2</v>
      </c>
      <c r="O4099">
        <v>-0.99915039999999999</v>
      </c>
      <c r="P4099">
        <v>8.1466289999999997E-2</v>
      </c>
      <c r="Q4099">
        <v>0.1891803</v>
      </c>
      <c r="R4099">
        <v>-0.97855780000000003</v>
      </c>
      <c r="S4099">
        <v>-0.18554689999999999</v>
      </c>
      <c r="T4099">
        <v>-0.14610680000000001</v>
      </c>
      <c r="U4099">
        <v>-3.1087340000000001</v>
      </c>
      <c r="V4099">
        <v>-4.3575290000000003E-2</v>
      </c>
      <c r="W4099">
        <v>0.20313229999999999</v>
      </c>
      <c r="X4099">
        <v>0.97818119999999997</v>
      </c>
      <c r="Y4099">
        <v>9.8077700000000004E-2</v>
      </c>
      <c r="Z4099">
        <v>3.2486149999999998E-2</v>
      </c>
      <c r="AA4099">
        <v>0.99464839999999999</v>
      </c>
      <c r="AB4099">
        <v>33</v>
      </c>
      <c r="AC4099">
        <v>-1.43690000000003</v>
      </c>
      <c r="AD4099">
        <v>-1.1213994728749901</v>
      </c>
      <c r="AE4099">
        <v>-23.532309999999999</v>
      </c>
      <c r="AF4099">
        <v>2.3408912490174001</v>
      </c>
      <c r="AG4099">
        <v>-1.1213994728749901</v>
      </c>
      <c r="AH4099">
        <v>23.4061521773015</v>
      </c>
      <c r="AI4099">
        <v>92.729374194883206</v>
      </c>
      <c r="AJ4099">
        <v>84.288737858001994</v>
      </c>
      <c r="AK4099">
        <v>23.5496341450241</v>
      </c>
      <c r="AL4099">
        <v>78.279812513084593</v>
      </c>
      <c r="AM4099">
        <v>92.550683505830094</v>
      </c>
      <c r="AN4099">
        <v>0.99999999861765698</v>
      </c>
    </row>
    <row r="4100" spans="1:40" x14ac:dyDescent="0.25">
      <c r="A4100" t="str">
        <f>"20190303162635276"</f>
        <v>20190303162635276</v>
      </c>
      <c r="B4100" t="str">
        <f>"1551601595267534"</f>
        <v>1551601595267534</v>
      </c>
      <c r="C4100" t="s">
        <v>40</v>
      </c>
      <c r="D4100">
        <v>5.2861529999999997</v>
      </c>
      <c r="E4100">
        <v>0.54193780000000003</v>
      </c>
      <c r="F4100" t="s">
        <v>41</v>
      </c>
      <c r="G4100">
        <v>-423.8</v>
      </c>
      <c r="H4100" s="1">
        <v>-4.4701359999999999E-6</v>
      </c>
      <c r="I4100">
        <v>48.141759999999998</v>
      </c>
      <c r="J4100">
        <v>-422.42599999999999</v>
      </c>
      <c r="K4100">
        <v>1.121372</v>
      </c>
      <c r="L4100">
        <v>71.317750000000004</v>
      </c>
      <c r="M4100">
        <v>3.8672169999999999E-2</v>
      </c>
      <c r="N4100">
        <v>-1.424046E-2</v>
      </c>
      <c r="O4100">
        <v>-0.9991506</v>
      </c>
      <c r="P4100">
        <v>8.3460359999999997E-2</v>
      </c>
      <c r="Q4100">
        <v>0.18890009999999999</v>
      </c>
      <c r="R4100">
        <v>-0.97844330000000002</v>
      </c>
      <c r="S4100">
        <v>-0.18011469999999999</v>
      </c>
      <c r="T4100">
        <v>-0.14837359999999999</v>
      </c>
      <c r="U4100">
        <v>-3.1094360000000001</v>
      </c>
      <c r="V4100">
        <v>-4.5570550000000001E-2</v>
      </c>
      <c r="W4100">
        <v>0.20284650000000001</v>
      </c>
      <c r="X4100">
        <v>0.97814959999999995</v>
      </c>
      <c r="Y4100">
        <v>9.632193E-2</v>
      </c>
      <c r="Z4100">
        <v>3.3213930000000003E-2</v>
      </c>
      <c r="AA4100">
        <v>0.99479589999999996</v>
      </c>
      <c r="AB4100">
        <v>33</v>
      </c>
      <c r="AC4100">
        <v>-1.3740000000000201</v>
      </c>
      <c r="AD4100">
        <v>-1.1213764701360001</v>
      </c>
      <c r="AE4100">
        <v>-23.175989999999999</v>
      </c>
      <c r="AF4100">
        <v>2.2640467058151499</v>
      </c>
      <c r="AG4100">
        <v>-1.1213764701360001</v>
      </c>
      <c r="AH4100">
        <v>23.051730612112099</v>
      </c>
      <c r="AI4100">
        <v>92.771704535023602</v>
      </c>
      <c r="AJ4100">
        <v>84.390633361558201</v>
      </c>
      <c r="AK4100">
        <v>23.189775265993301</v>
      </c>
      <c r="AL4100">
        <v>78.296535931046193</v>
      </c>
      <c r="AM4100">
        <v>92.667397288344603</v>
      </c>
      <c r="AN4100">
        <v>1.00000000878485</v>
      </c>
    </row>
    <row r="4101" spans="1:40" x14ac:dyDescent="0.25">
      <c r="A4101" t="str">
        <f>"20190303162635300"</f>
        <v>20190303162635300</v>
      </c>
      <c r="B4101" t="str">
        <f>"1551601595288695"</f>
        <v>1551601595288695</v>
      </c>
      <c r="C4101" t="s">
        <v>40</v>
      </c>
      <c r="D4101">
        <v>5.1825679999999998</v>
      </c>
      <c r="E4101">
        <v>0.485018</v>
      </c>
      <c r="F4101" t="s">
        <v>41</v>
      </c>
      <c r="G4101">
        <v>-422.80779999999999</v>
      </c>
      <c r="H4101" s="1">
        <v>-3.6184669999999999E-6</v>
      </c>
      <c r="I4101">
        <v>56.282380000000003</v>
      </c>
      <c r="J4101">
        <v>-422.41250000000002</v>
      </c>
      <c r="K4101">
        <v>1.1213519999999999</v>
      </c>
      <c r="L4101">
        <v>70.968260000000001</v>
      </c>
      <c r="M4101">
        <v>3.8658829999999998E-2</v>
      </c>
      <c r="N4101">
        <v>-1.4233010000000001E-2</v>
      </c>
      <c r="O4101">
        <v>-0.99915109999999996</v>
      </c>
      <c r="P4101">
        <v>8.6096019999999995E-2</v>
      </c>
      <c r="Q4101">
        <v>0.18734980000000001</v>
      </c>
      <c r="R4101">
        <v>-0.97851310000000002</v>
      </c>
      <c r="S4101">
        <v>-7.91626E-2</v>
      </c>
      <c r="T4101">
        <v>-0.2325286</v>
      </c>
      <c r="U4101">
        <v>-3.117737</v>
      </c>
      <c r="V4101">
        <v>-4.8206489999999998E-2</v>
      </c>
      <c r="W4101">
        <v>0.20129379999999999</v>
      </c>
      <c r="X4101">
        <v>0.97834399999999999</v>
      </c>
      <c r="Y4101">
        <v>6.3927910000000004E-2</v>
      </c>
      <c r="Z4101">
        <v>5.9996500000000001E-2</v>
      </c>
      <c r="AA4101">
        <v>0.99614939999999996</v>
      </c>
      <c r="AB4101">
        <v>33</v>
      </c>
      <c r="AC4101">
        <v>-0.39529999999996301</v>
      </c>
      <c r="AD4101">
        <v>-1.1213556184669999</v>
      </c>
      <c r="AE4101">
        <v>-14.6858799999999</v>
      </c>
      <c r="AF4101">
        <v>0.957224082406256</v>
      </c>
      <c r="AG4101">
        <v>-1.1213556184669999</v>
      </c>
      <c r="AH4101">
        <v>14.5747036602384</v>
      </c>
      <c r="AI4101">
        <v>94.390161823704801</v>
      </c>
      <c r="AJ4101">
        <v>86.242376705930994</v>
      </c>
      <c r="AK4101">
        <v>14.649085403217899</v>
      </c>
      <c r="AL4101">
        <v>78.387373113714801</v>
      </c>
      <c r="AM4101">
        <v>92.820885474107897</v>
      </c>
      <c r="AN4101">
        <v>1.0000000209662701</v>
      </c>
    </row>
    <row r="4102" spans="1:40" x14ac:dyDescent="0.25">
      <c r="A4102" t="str">
        <f>"20190303162635323"</f>
        <v>20190303162635323</v>
      </c>
      <c r="B4102" t="str">
        <f>"1551601595317977"</f>
        <v>1551601595317977</v>
      </c>
      <c r="C4102" t="s">
        <v>40</v>
      </c>
      <c r="D4102">
        <v>5.2732679999999998</v>
      </c>
      <c r="E4102">
        <v>0.46312589999999998</v>
      </c>
      <c r="F4102" t="s">
        <v>59</v>
      </c>
      <c r="G4102">
        <v>-418.22250000000003</v>
      </c>
      <c r="H4102" s="1">
        <v>-1.9092069999999998E-6</v>
      </c>
      <c r="I4102">
        <v>37.336559999999999</v>
      </c>
      <c r="J4102">
        <v>-422.39909999999998</v>
      </c>
      <c r="K4102">
        <v>1.1213340000000001</v>
      </c>
      <c r="L4102">
        <v>70.623319999999893</v>
      </c>
      <c r="M4102">
        <v>3.8647729999999998E-2</v>
      </c>
      <c r="N4102">
        <v>-1.4226010000000001E-2</v>
      </c>
      <c r="O4102">
        <v>-0.99915160000000003</v>
      </c>
      <c r="P4102">
        <v>8.8662290000000005E-2</v>
      </c>
      <c r="Q4102">
        <v>0.18656239999999999</v>
      </c>
      <c r="R4102">
        <v>-0.97843440000000004</v>
      </c>
      <c r="S4102">
        <v>0.38021850000000001</v>
      </c>
      <c r="T4102">
        <v>-0.10175729999999999</v>
      </c>
      <c r="U4102">
        <v>-3.0519099999999999</v>
      </c>
      <c r="V4102">
        <v>-5.0780100000000002E-2</v>
      </c>
      <c r="W4102">
        <v>0.2005005</v>
      </c>
      <c r="X4102">
        <v>0.97837669999999999</v>
      </c>
      <c r="Y4102">
        <v>-8.512989E-2</v>
      </c>
      <c r="Z4102">
        <v>1.891062E-2</v>
      </c>
      <c r="AA4102">
        <v>0.99619040000000003</v>
      </c>
      <c r="AB4102">
        <v>33</v>
      </c>
      <c r="AC4102">
        <v>4.1765999999999499</v>
      </c>
      <c r="AD4102">
        <v>-1.1213359092069899</v>
      </c>
      <c r="AE4102">
        <v>-33.286759999999902</v>
      </c>
      <c r="AF4102">
        <v>-2.8836693407070402</v>
      </c>
      <c r="AG4102">
        <v>-1.1213359092069899</v>
      </c>
      <c r="AH4102">
        <v>33.386018775707299</v>
      </c>
      <c r="AI4102">
        <v>91.916539256737593</v>
      </c>
      <c r="AJ4102">
        <v>94.936588558961304</v>
      </c>
      <c r="AK4102">
        <v>33.529079808126099</v>
      </c>
      <c r="AL4102">
        <v>78.433771783183403</v>
      </c>
      <c r="AM4102">
        <v>92.971122520091299</v>
      </c>
      <c r="AN4102">
        <v>1.0000000180795701</v>
      </c>
    </row>
    <row r="4103" spans="1:40" x14ac:dyDescent="0.25">
      <c r="A4103" t="str">
        <f>"20190303162635366"</f>
        <v>20190303162635366</v>
      </c>
      <c r="B4103" t="str">
        <f>"1551601595357409"</f>
        <v>1551601595357409</v>
      </c>
      <c r="C4103" t="s">
        <v>40</v>
      </c>
      <c r="D4103">
        <v>5.1380429999999997</v>
      </c>
      <c r="E4103">
        <v>0.45783790000000002</v>
      </c>
      <c r="F4103" t="s">
        <v>41</v>
      </c>
      <c r="G4103">
        <v>-418.86290000000002</v>
      </c>
      <c r="H4103" s="1">
        <v>-9.8199529999999998E-7</v>
      </c>
      <c r="I4103">
        <v>51.451680000000003</v>
      </c>
      <c r="J4103">
        <v>-422.37520000000001</v>
      </c>
      <c r="K4103">
        <v>1.1213139999999999</v>
      </c>
      <c r="L4103">
        <v>70.006929999999997</v>
      </c>
      <c r="M4103">
        <v>3.8636869999999997E-2</v>
      </c>
      <c r="N4103">
        <v>-1.4215119999999999E-2</v>
      </c>
      <c r="O4103">
        <v>-0.99915259999999995</v>
      </c>
      <c r="P4103">
        <v>9.4244380000000003E-2</v>
      </c>
      <c r="Q4103">
        <v>0.18629799999999999</v>
      </c>
      <c r="R4103">
        <v>-0.97796309999999997</v>
      </c>
      <c r="S4103">
        <v>0.56240840000000003</v>
      </c>
      <c r="T4103">
        <v>-0.17834330000000001</v>
      </c>
      <c r="U4103">
        <v>-3.0491640000000002</v>
      </c>
      <c r="V4103">
        <v>-5.6382210000000002E-2</v>
      </c>
      <c r="W4103">
        <v>0.2002236</v>
      </c>
      <c r="X4103">
        <v>0.97812659999999996</v>
      </c>
      <c r="Y4103">
        <v>-0.14300879999999999</v>
      </c>
      <c r="Z4103">
        <v>4.3393609999999999E-2</v>
      </c>
      <c r="AA4103">
        <v>0.98876969999999997</v>
      </c>
      <c r="AB4103">
        <v>33</v>
      </c>
      <c r="AC4103">
        <v>3.5122999999999802</v>
      </c>
      <c r="AD4103">
        <v>-1.1213149819953001</v>
      </c>
      <c r="AE4103">
        <v>-18.555250000000001</v>
      </c>
      <c r="AF4103">
        <v>-2.7828766469076101</v>
      </c>
      <c r="AG4103">
        <v>-1.1213149819953001</v>
      </c>
      <c r="AH4103">
        <v>18.6114935809514</v>
      </c>
      <c r="AI4103">
        <v>93.410000270938298</v>
      </c>
      <c r="AJ4103">
        <v>98.504126265814307</v>
      </c>
      <c r="AK4103">
        <v>18.851775593682</v>
      </c>
      <c r="AL4103">
        <v>78.449965669544</v>
      </c>
      <c r="AM4103">
        <v>93.299053325087797</v>
      </c>
      <c r="AN4103">
        <v>1.0000000446145001</v>
      </c>
    </row>
    <row r="4104" spans="1:40" x14ac:dyDescent="0.25">
      <c r="A4104" t="str">
        <f>"20190303162635388"</f>
        <v>20190303162635388</v>
      </c>
      <c r="B4104" t="str">
        <f>"1551601595377906"</f>
        <v>1551601595377906</v>
      </c>
      <c r="C4104" t="s">
        <v>40</v>
      </c>
      <c r="D4104">
        <v>5.2358960000000003</v>
      </c>
      <c r="E4104">
        <v>0.45694370000000001</v>
      </c>
      <c r="F4104" t="s">
        <v>41</v>
      </c>
      <c r="G4104">
        <v>-418.8381</v>
      </c>
      <c r="H4104" s="1">
        <v>-1.513554E-6</v>
      </c>
      <c r="I4104">
        <v>52.680480000000003</v>
      </c>
      <c r="J4104">
        <v>-422.36270000000002</v>
      </c>
      <c r="K4104">
        <v>1.1213109999999999</v>
      </c>
      <c r="L4104">
        <v>69.683040000000005</v>
      </c>
      <c r="M4104">
        <v>3.8635339999999997E-2</v>
      </c>
      <c r="N4104">
        <v>-1.421009E-2</v>
      </c>
      <c r="O4104">
        <v>-0.99915259999999995</v>
      </c>
      <c r="P4104">
        <v>9.8173689999999994E-2</v>
      </c>
      <c r="Q4104">
        <v>0.18545030000000001</v>
      </c>
      <c r="R4104">
        <v>-0.97773759999999998</v>
      </c>
      <c r="S4104">
        <v>0.62167359999999905</v>
      </c>
      <c r="T4104">
        <v>-0.1970799</v>
      </c>
      <c r="U4104">
        <v>-3.045258</v>
      </c>
      <c r="V4104">
        <v>-6.0317269999999999E-2</v>
      </c>
      <c r="W4104">
        <v>0.19936989999999999</v>
      </c>
      <c r="X4104">
        <v>0.9780662</v>
      </c>
      <c r="Y4104">
        <v>-0.161680399999999</v>
      </c>
      <c r="Z4104">
        <v>4.9301539999999998E-2</v>
      </c>
      <c r="AA4104">
        <v>0.98561089999999996</v>
      </c>
      <c r="AB4104">
        <v>33</v>
      </c>
      <c r="AC4104">
        <v>3.5246000000000199</v>
      </c>
      <c r="AD4104">
        <v>-1.1213125135539901</v>
      </c>
      <c r="AE4104">
        <v>-17.002559999999999</v>
      </c>
      <c r="AF4104">
        <v>-2.8531042001711802</v>
      </c>
      <c r="AG4104">
        <v>-1.1213125135539901</v>
      </c>
      <c r="AH4104">
        <v>17.054929127360399</v>
      </c>
      <c r="AI4104">
        <v>93.710207724830695</v>
      </c>
      <c r="AJ4104">
        <v>99.497019135147696</v>
      </c>
      <c r="AK4104">
        <v>17.328247253238601</v>
      </c>
      <c r="AL4104">
        <v>78.499885199485306</v>
      </c>
      <c r="AM4104">
        <v>93.528957247574397</v>
      </c>
      <c r="AN4104">
        <v>1.0000000108343501</v>
      </c>
    </row>
    <row r="4105" spans="1:40" x14ac:dyDescent="0.25">
      <c r="A4105" t="str">
        <f>"20190303162635414"</f>
        <v>20190303162635414</v>
      </c>
      <c r="B4105" t="str">
        <f>"1551601595408163"</f>
        <v>1551601595408163</v>
      </c>
      <c r="C4105" t="s">
        <v>40</v>
      </c>
      <c r="D4105">
        <v>5.2921950000000004</v>
      </c>
      <c r="E4105">
        <v>0.45651530000000001</v>
      </c>
      <c r="F4105" t="s">
        <v>41</v>
      </c>
      <c r="G4105">
        <v>-418.73820000000001</v>
      </c>
      <c r="H4105" s="1">
        <v>-1.44235E-6</v>
      </c>
      <c r="I4105">
        <v>52.473190000000002</v>
      </c>
      <c r="J4105">
        <v>-422.34800000000001</v>
      </c>
      <c r="K4105">
        <v>1.1213070000000001</v>
      </c>
      <c r="L4105">
        <v>69.303709999999995</v>
      </c>
      <c r="M4105">
        <v>3.8635309999999999E-2</v>
      </c>
      <c r="N4105">
        <v>-1.420458E-2</v>
      </c>
      <c r="O4105">
        <v>-0.99915240000000005</v>
      </c>
      <c r="P4105">
        <v>0.10208929999999999</v>
      </c>
      <c r="Q4105">
        <v>0.1835746</v>
      </c>
      <c r="R4105">
        <v>-0.97768999999999995</v>
      </c>
      <c r="S4105">
        <v>0.64056400000000002</v>
      </c>
      <c r="T4105">
        <v>-0.19817399999999999</v>
      </c>
      <c r="U4105">
        <v>-3.0415649999999999</v>
      </c>
      <c r="V4105">
        <v>-6.4230839999999997E-2</v>
      </c>
      <c r="W4105">
        <v>0.19749120000000001</v>
      </c>
      <c r="X4105">
        <v>0.97819820000000002</v>
      </c>
      <c r="Y4105">
        <v>-0.16777310000000001</v>
      </c>
      <c r="Z4105">
        <v>4.9662919999999999E-2</v>
      </c>
      <c r="AA4105">
        <v>0.9845739</v>
      </c>
      <c r="AB4105">
        <v>32</v>
      </c>
      <c r="AC4105">
        <v>3.6097999999999999</v>
      </c>
      <c r="AD4105">
        <v>-1.1213084423499999</v>
      </c>
      <c r="AE4105">
        <v>-16.8305199999999</v>
      </c>
      <c r="AF4105">
        <v>-2.9442922574131001</v>
      </c>
      <c r="AG4105">
        <v>-1.1213084423499999</v>
      </c>
      <c r="AH4105">
        <v>16.8857766686682</v>
      </c>
      <c r="AI4105">
        <v>93.742869549760499</v>
      </c>
      <c r="AJ4105">
        <v>99.890952540843003</v>
      </c>
      <c r="AK4105">
        <v>17.17718379782</v>
      </c>
      <c r="AL4105">
        <v>78.6097110966884</v>
      </c>
      <c r="AM4105">
        <v>93.756785309330795</v>
      </c>
      <c r="AN4105">
        <v>1.0000000466838901</v>
      </c>
    </row>
    <row r="4106" spans="1:40" x14ac:dyDescent="0.25">
      <c r="A4106" t="str">
        <f>"20190303162635434"</f>
        <v>20190303162635434</v>
      </c>
      <c r="B4106" t="str">
        <f>"1551601595427682"</f>
        <v>1551601595427682</v>
      </c>
      <c r="C4106" t="s">
        <v>40</v>
      </c>
      <c r="D4106">
        <v>5.2897530000000001</v>
      </c>
      <c r="E4106">
        <v>0.45651340000000001</v>
      </c>
      <c r="F4106" t="s">
        <v>41</v>
      </c>
      <c r="G4106">
        <v>-418.71699999999998</v>
      </c>
      <c r="H4106" s="1">
        <v>-1.4467939999999999E-6</v>
      </c>
      <c r="I4106">
        <v>52.474780000000003</v>
      </c>
      <c r="J4106">
        <v>-422.33670000000001</v>
      </c>
      <c r="K4106">
        <v>1.1213029999999999</v>
      </c>
      <c r="L4106">
        <v>69.011960000000002</v>
      </c>
      <c r="M4106">
        <v>3.8635070000000001E-2</v>
      </c>
      <c r="N4106">
        <v>-1.4200600000000001E-2</v>
      </c>
      <c r="O4106">
        <v>-0.99915259999999995</v>
      </c>
      <c r="P4106">
        <v>0.10622769999999999</v>
      </c>
      <c r="Q4106">
        <v>0.1837106</v>
      </c>
      <c r="R4106">
        <v>-0.97722370000000003</v>
      </c>
      <c r="S4106">
        <v>0.65548709999999999</v>
      </c>
      <c r="T4106">
        <v>-0.20242299999999999</v>
      </c>
      <c r="U4106">
        <v>-3.0380250000000002</v>
      </c>
      <c r="V4106">
        <v>-6.8383509999999995E-2</v>
      </c>
      <c r="W4106">
        <v>0.19761919999999999</v>
      </c>
      <c r="X4106">
        <v>0.97789079999999995</v>
      </c>
      <c r="Y4106">
        <v>-0.1726094</v>
      </c>
      <c r="Z4106">
        <v>5.1044859999999997E-2</v>
      </c>
      <c r="AA4106">
        <v>0.98366679999999995</v>
      </c>
      <c r="AB4106">
        <v>32</v>
      </c>
      <c r="AC4106">
        <v>3.6197000000000199</v>
      </c>
      <c r="AD4106">
        <v>-1.1213044467939901</v>
      </c>
      <c r="AE4106">
        <v>-16.537179999999999</v>
      </c>
      <c r="AF4106">
        <v>-2.9650090053590099</v>
      </c>
      <c r="AG4106">
        <v>-1.1213044467939901</v>
      </c>
      <c r="AH4106">
        <v>16.591897942096299</v>
      </c>
      <c r="AI4106">
        <v>93.806138219325106</v>
      </c>
      <c r="AJ4106">
        <v>100.13193374235</v>
      </c>
      <c r="AK4106">
        <v>16.892000455399</v>
      </c>
      <c r="AL4106">
        <v>78.602229655408195</v>
      </c>
      <c r="AM4106">
        <v>94.000158821484007</v>
      </c>
      <c r="AN4106">
        <v>1.00000003468659</v>
      </c>
    </row>
    <row r="4107" spans="1:40" x14ac:dyDescent="0.25">
      <c r="A4107" t="str">
        <f>"20190303162635455"</f>
        <v>20190303162635455</v>
      </c>
      <c r="B4107" t="str">
        <f>"1551601595448178"</f>
        <v>1551601595448178</v>
      </c>
      <c r="C4107" t="s">
        <v>40</v>
      </c>
      <c r="D4107">
        <v>5.2936870000000003</v>
      </c>
      <c r="E4107">
        <v>0.45659440000000001</v>
      </c>
      <c r="F4107" t="s">
        <v>41</v>
      </c>
      <c r="G4107">
        <v>-418.57350000000002</v>
      </c>
      <c r="H4107" s="1">
        <v>-1.2446070000000001E-6</v>
      </c>
      <c r="I4107">
        <v>51.94415</v>
      </c>
      <c r="J4107">
        <v>-422.32490000000001</v>
      </c>
      <c r="K4107">
        <v>1.1213</v>
      </c>
      <c r="L4107">
        <v>68.706879999999998</v>
      </c>
      <c r="M4107">
        <v>3.8631579999999999E-2</v>
      </c>
      <c r="N4107">
        <v>-1.419657E-2</v>
      </c>
      <c r="O4107">
        <v>-0.99915279999999995</v>
      </c>
      <c r="P4107">
        <v>0.1109938</v>
      </c>
      <c r="Q4107">
        <v>0.18455050000000001</v>
      </c>
      <c r="R4107">
        <v>-0.97653559999999995</v>
      </c>
      <c r="S4107">
        <v>0.66909790000000002</v>
      </c>
      <c r="T4107">
        <v>-0.1993685</v>
      </c>
      <c r="U4107">
        <v>-3.0346679999999999</v>
      </c>
      <c r="V4107">
        <v>-7.3174859999999994E-2</v>
      </c>
      <c r="W4107">
        <v>0.19844890000000001</v>
      </c>
      <c r="X4107">
        <v>0.97737580000000002</v>
      </c>
      <c r="Y4107">
        <v>-0.17705599999999999</v>
      </c>
      <c r="Z4107">
        <v>5.0083500000000003E-2</v>
      </c>
      <c r="AA4107">
        <v>0.98292570000000001</v>
      </c>
      <c r="AB4107">
        <v>32</v>
      </c>
      <c r="AC4107">
        <v>3.7513999999999799</v>
      </c>
      <c r="AD4107">
        <v>-1.1213012446070001</v>
      </c>
      <c r="AE4107">
        <v>-16.762729999999902</v>
      </c>
      <c r="AF4107">
        <v>-3.0878054373364598</v>
      </c>
      <c r="AG4107">
        <v>-1.1213012446070001</v>
      </c>
      <c r="AH4107">
        <v>16.8234635494019</v>
      </c>
      <c r="AI4107">
        <v>93.7507136163197</v>
      </c>
      <c r="AJ4107">
        <v>100.400402223062</v>
      </c>
      <c r="AK4107">
        <v>17.1412013784932</v>
      </c>
      <c r="AL4107">
        <v>78.553730319317097</v>
      </c>
      <c r="AM4107">
        <v>94.281672658549397</v>
      </c>
      <c r="AN4107">
        <v>0.99999999023643404</v>
      </c>
    </row>
    <row r="4108" spans="1:40" x14ac:dyDescent="0.25">
      <c r="A4108" t="str">
        <f>"20190303162635478"</f>
        <v>20190303162635478</v>
      </c>
      <c r="B4108" t="str">
        <f>"1551601595467698"</f>
        <v>1551601595467698</v>
      </c>
      <c r="C4108" t="s">
        <v>40</v>
      </c>
      <c r="D4108">
        <v>5.3493409999999999</v>
      </c>
      <c r="E4108">
        <v>0.45682349999999999</v>
      </c>
      <c r="F4108" t="s">
        <v>41</v>
      </c>
      <c r="G4108">
        <v>-418.43169999999998</v>
      </c>
      <c r="H4108" s="1">
        <v>-1.0462879999999999E-6</v>
      </c>
      <c r="I4108">
        <v>51.423209999999997</v>
      </c>
      <c r="J4108">
        <v>-422.31220000000002</v>
      </c>
      <c r="K4108">
        <v>1.1212979999999999</v>
      </c>
      <c r="L4108">
        <v>68.378230000000002</v>
      </c>
      <c r="M4108">
        <v>3.8621299999999997E-2</v>
      </c>
      <c r="N4108">
        <v>-1.4192430000000001E-2</v>
      </c>
      <c r="O4108">
        <v>-0.99915330000000002</v>
      </c>
      <c r="P4108">
        <v>0.1157681</v>
      </c>
      <c r="Q4108">
        <v>0.18500159999999999</v>
      </c>
      <c r="R4108">
        <v>-0.97589579999999998</v>
      </c>
      <c r="S4108">
        <v>0.68289180000000005</v>
      </c>
      <c r="T4108">
        <v>-0.1966821</v>
      </c>
      <c r="U4108">
        <v>-3.031647</v>
      </c>
      <c r="V4108">
        <v>-7.7978309999999995E-2</v>
      </c>
      <c r="W4108">
        <v>0.1988905</v>
      </c>
      <c r="X4108">
        <v>0.97691450000000002</v>
      </c>
      <c r="Y4108">
        <v>-0.1815387</v>
      </c>
      <c r="Z4108">
        <v>4.9231160000000003E-2</v>
      </c>
      <c r="AA4108">
        <v>0.98215070000000004</v>
      </c>
      <c r="AB4108">
        <v>32</v>
      </c>
      <c r="AC4108">
        <v>3.88050000000004</v>
      </c>
      <c r="AD4108">
        <v>-1.1212990462879999</v>
      </c>
      <c r="AE4108">
        <v>-16.955020000000001</v>
      </c>
      <c r="AF4108">
        <v>-3.2093754042356202</v>
      </c>
      <c r="AG4108">
        <v>-1.1212990462879999</v>
      </c>
      <c r="AH4108">
        <v>17.021511669540899</v>
      </c>
      <c r="AI4108">
        <v>93.703861864627598</v>
      </c>
      <c r="AJ4108">
        <v>100.677662050021</v>
      </c>
      <c r="AK4108">
        <v>17.3576859504035</v>
      </c>
      <c r="AL4108">
        <v>78.527913935411604</v>
      </c>
      <c r="AM4108">
        <v>94.563731422369003</v>
      </c>
      <c r="AN4108">
        <v>0.99999999406547802</v>
      </c>
    </row>
    <row r="4109" spans="1:40" x14ac:dyDescent="0.25">
      <c r="A4109" t="str">
        <f>"20190303162635501"</f>
        <v>20190303162635501</v>
      </c>
      <c r="B4109" t="str">
        <f>"1551601595488261"</f>
        <v>1551601595488261</v>
      </c>
      <c r="C4109" t="s">
        <v>40</v>
      </c>
      <c r="D4109">
        <v>5.2878639999999999</v>
      </c>
      <c r="E4109">
        <v>0.45714640000000001</v>
      </c>
      <c r="F4109" t="s">
        <v>41</v>
      </c>
      <c r="G4109">
        <v>-418.3073</v>
      </c>
      <c r="H4109" s="1">
        <v>-8.7916809999999999E-7</v>
      </c>
      <c r="I4109">
        <v>50.908099999999997</v>
      </c>
      <c r="J4109">
        <v>-422.29930000000002</v>
      </c>
      <c r="K4109">
        <v>1.121294</v>
      </c>
      <c r="L4109">
        <v>68.045680000000004</v>
      </c>
      <c r="M4109">
        <v>3.8599380000000003E-2</v>
      </c>
      <c r="N4109">
        <v>-1.418817E-2</v>
      </c>
      <c r="O4109">
        <v>-0.99915430000000005</v>
      </c>
      <c r="P4109">
        <v>0.1202382</v>
      </c>
      <c r="Q4109">
        <v>0.18513299999999999</v>
      </c>
      <c r="R4109">
        <v>-0.97533040000000004</v>
      </c>
      <c r="S4109">
        <v>0.69427490000000003</v>
      </c>
      <c r="T4109">
        <v>-0.19438659999999999</v>
      </c>
      <c r="U4109">
        <v>-3.0285950000000001</v>
      </c>
      <c r="V4109">
        <v>-8.2484119999999994E-2</v>
      </c>
      <c r="W4109">
        <v>0.19901340000000001</v>
      </c>
      <c r="X4109">
        <v>0.97651929999999998</v>
      </c>
      <c r="Y4109">
        <v>-0.1852878</v>
      </c>
      <c r="Z4109">
        <v>4.8513140000000003E-2</v>
      </c>
      <c r="AA4109">
        <v>0.98148610000000003</v>
      </c>
      <c r="AB4109">
        <v>32</v>
      </c>
      <c r="AC4109">
        <v>3.9920000000000102</v>
      </c>
      <c r="AD4109">
        <v>-1.1212948791680999</v>
      </c>
      <c r="AE4109">
        <v>-17.13758</v>
      </c>
      <c r="AF4109">
        <v>-3.3140011364468198</v>
      </c>
      <c r="AG4109">
        <v>-1.1212948791680999</v>
      </c>
      <c r="AH4109">
        <v>17.209030713628199</v>
      </c>
      <c r="AI4109">
        <v>93.660896224347496</v>
      </c>
      <c r="AJ4109">
        <v>100.90020597974301</v>
      </c>
      <c r="AK4109">
        <v>17.561054747395399</v>
      </c>
      <c r="AL4109">
        <v>78.520728170963693</v>
      </c>
      <c r="AM4109">
        <v>94.828169014938197</v>
      </c>
      <c r="AN4109">
        <v>0.999999953352111</v>
      </c>
    </row>
    <row r="4110" spans="1:40" x14ac:dyDescent="0.25">
      <c r="A4110" t="str">
        <f>"20190303162635522"</f>
        <v>20190303162635522</v>
      </c>
      <c r="B4110" t="str">
        <f>"1551601595507784"</f>
        <v>1551601595507784</v>
      </c>
      <c r="C4110" t="s">
        <v>40</v>
      </c>
      <c r="D4110">
        <v>5.3457759999999999</v>
      </c>
      <c r="E4110">
        <v>0.4574916</v>
      </c>
      <c r="F4110" t="s">
        <v>41</v>
      </c>
      <c r="G4110">
        <v>-418.1927</v>
      </c>
      <c r="H4110" s="1">
        <v>-7.4157239999999996E-7</v>
      </c>
      <c r="I4110">
        <v>50.414169999999999</v>
      </c>
      <c r="J4110">
        <v>-422.28789999999998</v>
      </c>
      <c r="K4110">
        <v>1.121294</v>
      </c>
      <c r="L4110">
        <v>67.750029999999995</v>
      </c>
      <c r="M4110">
        <v>3.8569529999999998E-2</v>
      </c>
      <c r="N4110">
        <v>-1.4184510000000001E-2</v>
      </c>
      <c r="O4110">
        <v>-0.99915520000000002</v>
      </c>
      <c r="P4110">
        <v>0.1237415</v>
      </c>
      <c r="Q4110">
        <v>0.18621119999999999</v>
      </c>
      <c r="R4110">
        <v>-0.9746861</v>
      </c>
      <c r="S4110">
        <v>0.70468140000000001</v>
      </c>
      <c r="T4110">
        <v>-0.19241249999999999</v>
      </c>
      <c r="U4110">
        <v>-3.0255429999999999</v>
      </c>
      <c r="V4110">
        <v>-8.6034509999999995E-2</v>
      </c>
      <c r="W4110">
        <v>0.20008290000000001</v>
      </c>
      <c r="X4110">
        <v>0.97599429999999998</v>
      </c>
      <c r="Y4110">
        <v>-0.18874189999999999</v>
      </c>
      <c r="Z4110">
        <v>4.7900390000000001E-2</v>
      </c>
      <c r="AA4110">
        <v>0.9808578</v>
      </c>
      <c r="AB4110">
        <v>32</v>
      </c>
      <c r="AC4110">
        <v>4.09519999999997</v>
      </c>
      <c r="AD4110">
        <v>-1.1212947415723999</v>
      </c>
      <c r="AE4110">
        <v>-17.33586</v>
      </c>
      <c r="AF4110">
        <v>-3.40993718408177</v>
      </c>
      <c r="AG4110">
        <v>-1.1212947415723999</v>
      </c>
      <c r="AH4110">
        <v>17.411929734143399</v>
      </c>
      <c r="AI4110">
        <v>93.616144908838194</v>
      </c>
      <c r="AJ4110">
        <v>101.080519124004</v>
      </c>
      <c r="AK4110">
        <v>17.778083995853098</v>
      </c>
      <c r="AL4110">
        <v>78.458193028330797</v>
      </c>
      <c r="AM4110">
        <v>95.037637470569294</v>
      </c>
      <c r="AN4110">
        <v>0.99999998870791895</v>
      </c>
    </row>
    <row r="4111" spans="1:40" x14ac:dyDescent="0.25">
      <c r="A4111" t="str">
        <f>"20190303162635544"</f>
        <v>20190303162635544</v>
      </c>
      <c r="B4111" t="str">
        <f>"1551601595538038"</f>
        <v>1551601595538038</v>
      </c>
      <c r="C4111" t="s">
        <v>40</v>
      </c>
      <c r="D4111">
        <v>5.342657</v>
      </c>
      <c r="E4111">
        <v>0.4580224</v>
      </c>
      <c r="F4111" t="s">
        <v>41</v>
      </c>
      <c r="G4111">
        <v>-418.03500000000003</v>
      </c>
      <c r="H4111" s="1">
        <v>-5.4091119999999995E-7</v>
      </c>
      <c r="I4111">
        <v>49.701160000000002</v>
      </c>
      <c r="J4111">
        <v>-422.27530000000002</v>
      </c>
      <c r="K4111">
        <v>1.121297</v>
      </c>
      <c r="L4111">
        <v>67.422060000000002</v>
      </c>
      <c r="M4111">
        <v>3.8524559999999999E-2</v>
      </c>
      <c r="N4111">
        <v>-1.418064E-2</v>
      </c>
      <c r="O4111">
        <v>-0.99915710000000002</v>
      </c>
      <c r="P4111">
        <v>0.12673599999999999</v>
      </c>
      <c r="Q4111">
        <v>0.18871740000000001</v>
      </c>
      <c r="R4111">
        <v>-0.97381910000000005</v>
      </c>
      <c r="S4111">
        <v>0.71240230000000004</v>
      </c>
      <c r="T4111">
        <v>-0.18782679999999999</v>
      </c>
      <c r="U4111">
        <v>-3.0233460000000001</v>
      </c>
      <c r="V4111">
        <v>-8.9099029999999996E-2</v>
      </c>
      <c r="W4111">
        <v>0.2025766</v>
      </c>
      <c r="X4111">
        <v>0.97520459999999998</v>
      </c>
      <c r="Y4111">
        <v>-0.1913338</v>
      </c>
      <c r="Z4111">
        <v>4.6441820000000002E-2</v>
      </c>
      <c r="AA4111">
        <v>0.98042569999999996</v>
      </c>
      <c r="AB4111">
        <v>32</v>
      </c>
      <c r="AC4111">
        <v>4.2402999999999897</v>
      </c>
      <c r="AD4111">
        <v>-1.12129754091119</v>
      </c>
      <c r="AE4111">
        <v>-17.7209</v>
      </c>
      <c r="AF4111">
        <v>-3.5409835765623598</v>
      </c>
      <c r="AG4111">
        <v>-1.12129754091119</v>
      </c>
      <c r="AH4111">
        <v>17.803692655715601</v>
      </c>
      <c r="AI4111">
        <v>93.534741930930906</v>
      </c>
      <c r="AJ4111">
        <v>101.24878933138299</v>
      </c>
      <c r="AK4111">
        <v>18.187010338258499</v>
      </c>
      <c r="AL4111">
        <v>78.312327395933494</v>
      </c>
      <c r="AM4111">
        <v>95.220304032301598</v>
      </c>
      <c r="AN4111">
        <v>0.99999996393782897</v>
      </c>
    </row>
    <row r="4112" spans="1:40" x14ac:dyDescent="0.25">
      <c r="A4112" t="str">
        <f>"20190303162635570"</f>
        <v>20190303162635570</v>
      </c>
      <c r="B4112" t="str">
        <f>"1551601595557558"</f>
        <v>1551601595557558</v>
      </c>
      <c r="C4112" t="s">
        <v>40</v>
      </c>
      <c r="D4112">
        <v>5.2771309999999998</v>
      </c>
      <c r="E4112">
        <v>0.45845069999999999</v>
      </c>
      <c r="F4112" t="s">
        <v>41</v>
      </c>
      <c r="G4112">
        <v>-417.75490000000002</v>
      </c>
      <c r="H4112" s="1">
        <v>-4.1434370000000004E-6</v>
      </c>
      <c r="I4112">
        <v>48.362900000000003</v>
      </c>
      <c r="J4112">
        <v>-422.26139999999998</v>
      </c>
      <c r="K4112">
        <v>1.1212959999999901</v>
      </c>
      <c r="L4112">
        <v>67.061709999999906</v>
      </c>
      <c r="M4112">
        <v>3.8460279999999999E-2</v>
      </c>
      <c r="N4112">
        <v>-1.417648E-2</v>
      </c>
      <c r="O4112">
        <v>-0.99915980000000004</v>
      </c>
      <c r="P4112">
        <v>0.12952959999999999</v>
      </c>
      <c r="Q4112">
        <v>0.18998319999999999</v>
      </c>
      <c r="R4112">
        <v>-0.9732054</v>
      </c>
      <c r="S4112">
        <v>0.71670529999999999</v>
      </c>
      <c r="T4112">
        <v>-0.17778169999999999</v>
      </c>
      <c r="U4112">
        <v>-3.02182</v>
      </c>
      <c r="V4112">
        <v>-9.1972090000000006E-2</v>
      </c>
      <c r="W4112">
        <v>0.2038335</v>
      </c>
      <c r="X4112">
        <v>0.97467590000000004</v>
      </c>
      <c r="Y4112">
        <v>-0.19286629999999999</v>
      </c>
      <c r="Z4112">
        <v>4.3227719999999997E-2</v>
      </c>
      <c r="AA4112">
        <v>0.98027240000000004</v>
      </c>
      <c r="AB4112">
        <v>32</v>
      </c>
      <c r="AC4112">
        <v>4.50649999999996</v>
      </c>
      <c r="AD4112">
        <v>-1.12130014343699</v>
      </c>
      <c r="AE4112">
        <v>-18.698809999999899</v>
      </c>
      <c r="AF4112">
        <v>-3.77111513851488</v>
      </c>
      <c r="AG4112">
        <v>-1.12130014343699</v>
      </c>
      <c r="AH4112">
        <v>18.794436985806101</v>
      </c>
      <c r="AI4112">
        <v>93.347722808827498</v>
      </c>
      <c r="AJ4112">
        <v>101.345771139212</v>
      </c>
      <c r="AK4112">
        <v>19.2018094202875</v>
      </c>
      <c r="AL4112">
        <v>78.238778652931501</v>
      </c>
      <c r="AM4112">
        <v>95.390566419626694</v>
      </c>
      <c r="AN4112">
        <v>1.0000000355510099</v>
      </c>
    </row>
    <row r="4113" spans="1:40" x14ac:dyDescent="0.25">
      <c r="A4113" t="str">
        <f>"20190303162635592"</f>
        <v>20190303162635592</v>
      </c>
      <c r="B4113" t="str">
        <f>"1551601595577584"</f>
        <v>1551601595577584</v>
      </c>
      <c r="C4113" t="s">
        <v>40</v>
      </c>
      <c r="D4113">
        <v>5.2812099999999997</v>
      </c>
      <c r="E4113">
        <v>0.45887909999999998</v>
      </c>
      <c r="F4113" t="s">
        <v>41</v>
      </c>
      <c r="G4113">
        <v>-417.601</v>
      </c>
      <c r="H4113" s="1">
        <v>-3.802723E-6</v>
      </c>
      <c r="I4113">
        <v>47.505070000000003</v>
      </c>
      <c r="J4113">
        <v>-422.24919999999997</v>
      </c>
      <c r="K4113">
        <v>1.1212930000000001</v>
      </c>
      <c r="L4113">
        <v>66.742369999999994</v>
      </c>
      <c r="M4113">
        <v>3.8390340000000002E-2</v>
      </c>
      <c r="N4113">
        <v>-1.4172880000000001E-2</v>
      </c>
      <c r="O4113">
        <v>-0.99916240000000001</v>
      </c>
      <c r="P4113">
        <v>0.13199530000000001</v>
      </c>
      <c r="Q4113">
        <v>0.19082399999999999</v>
      </c>
      <c r="R4113">
        <v>-0.97270939999999995</v>
      </c>
      <c r="S4113">
        <v>0.71981809999999902</v>
      </c>
      <c r="T4113">
        <v>-0.17318919999999999</v>
      </c>
      <c r="U4113">
        <v>-3.0205989999999998</v>
      </c>
      <c r="V4113">
        <v>-9.4518569999999996E-2</v>
      </c>
      <c r="W4113">
        <v>0.20466809999999999</v>
      </c>
      <c r="X4113">
        <v>0.97425720000000005</v>
      </c>
      <c r="Y4113">
        <v>-0.1939958</v>
      </c>
      <c r="Z4113">
        <v>4.1763689999999999E-2</v>
      </c>
      <c r="AA4113">
        <v>0.98011300000000001</v>
      </c>
      <c r="AB4113">
        <v>32</v>
      </c>
      <c r="AC4113">
        <v>4.6481999999999699</v>
      </c>
      <c r="AD4113">
        <v>-1.1212968027229999</v>
      </c>
      <c r="AE4113">
        <v>-19.237299999999902</v>
      </c>
      <c r="AF4113">
        <v>-3.8936733009562801</v>
      </c>
      <c r="AG4113">
        <v>-1.1212968027229999</v>
      </c>
      <c r="AH4113">
        <v>19.3394991173557</v>
      </c>
      <c r="AI4113">
        <v>93.253139174645199</v>
      </c>
      <c r="AJ4113">
        <v>101.38333408033</v>
      </c>
      <c r="AK4113">
        <v>19.7594085034087</v>
      </c>
      <c r="AL4113">
        <v>78.189928665912007</v>
      </c>
      <c r="AM4113">
        <v>95.541267726385001</v>
      </c>
      <c r="AN4113">
        <v>0.99999994149214499</v>
      </c>
    </row>
    <row r="4114" spans="1:40" x14ac:dyDescent="0.25">
      <c r="A4114" t="str">
        <f>"20190303162635623"</f>
        <v>20190303162635623</v>
      </c>
      <c r="B4114" t="str">
        <f>"1551601595607840"</f>
        <v>1551601595607840</v>
      </c>
      <c r="C4114" t="s">
        <v>40</v>
      </c>
      <c r="D4114">
        <v>5.3955460000000004</v>
      </c>
      <c r="E4114">
        <v>0.45942889999999997</v>
      </c>
      <c r="F4114" t="s">
        <v>41</v>
      </c>
      <c r="G4114">
        <v>-417.49630000000002</v>
      </c>
      <c r="H4114" s="1">
        <v>-3.5323340000000001E-6</v>
      </c>
      <c r="I4114">
        <v>46.831490000000002</v>
      </c>
      <c r="J4114">
        <v>-422.23219999999998</v>
      </c>
      <c r="K4114">
        <v>1.121294</v>
      </c>
      <c r="L4114">
        <v>66.297849999999997</v>
      </c>
      <c r="M4114">
        <v>3.8276650000000002E-2</v>
      </c>
      <c r="N4114">
        <v>-1.4167920000000001E-2</v>
      </c>
      <c r="O4114">
        <v>-0.99916669999999996</v>
      </c>
      <c r="P4114">
        <v>0.13385279999999899</v>
      </c>
      <c r="Q4114">
        <v>0.1945337</v>
      </c>
      <c r="R4114">
        <v>-0.97172029999999998</v>
      </c>
      <c r="S4114">
        <v>0.72082519999999894</v>
      </c>
      <c r="T4114">
        <v>-0.1700575</v>
      </c>
      <c r="U4114">
        <v>-3.019714</v>
      </c>
      <c r="V4114">
        <v>-9.651709E-2</v>
      </c>
      <c r="W4114">
        <v>0.2083623</v>
      </c>
      <c r="X4114">
        <v>0.97327770000000002</v>
      </c>
      <c r="Y4114">
        <v>-0.1944921</v>
      </c>
      <c r="Z4114">
        <v>4.0772120000000002E-2</v>
      </c>
      <c r="AA4114">
        <v>0.98005629999999999</v>
      </c>
      <c r="AB4114">
        <v>32</v>
      </c>
      <c r="AC4114">
        <v>4.7358999999999503</v>
      </c>
      <c r="AD4114">
        <v>-1.121297532334</v>
      </c>
      <c r="AE4114">
        <v>-19.466359999999899</v>
      </c>
      <c r="AF4114">
        <v>-3.9747955966331499</v>
      </c>
      <c r="AG4114">
        <v>-1.121297532334</v>
      </c>
      <c r="AH4114">
        <v>19.572073746144799</v>
      </c>
      <c r="AI4114">
        <v>93.213473982985505</v>
      </c>
      <c r="AJ4114">
        <v>101.47979313105</v>
      </c>
      <c r="AK4114">
        <v>20.003059238915501</v>
      </c>
      <c r="AL4114">
        <v>77.973603168397204</v>
      </c>
      <c r="AM4114">
        <v>95.663337931196395</v>
      </c>
      <c r="AN4114">
        <v>0.99999993902032203</v>
      </c>
    </row>
    <row r="4115" spans="1:40" x14ac:dyDescent="0.25">
      <c r="A4115" t="str">
        <f>"20190303162635649"</f>
        <v>20190303162635649</v>
      </c>
      <c r="B4115" t="str">
        <f>"1551601595638096"</f>
        <v>1551601595638096</v>
      </c>
      <c r="C4115" t="s">
        <v>40</v>
      </c>
      <c r="D4115">
        <v>5.0054470000000002</v>
      </c>
      <c r="E4115">
        <v>0.48849389999999998</v>
      </c>
      <c r="F4115" t="s">
        <v>41</v>
      </c>
      <c r="G4115">
        <v>-417.17259999999999</v>
      </c>
      <c r="H4115" s="1">
        <v>-2.807064E-6</v>
      </c>
      <c r="I4115">
        <v>45.00703</v>
      </c>
      <c r="J4115">
        <v>-422.21789999999999</v>
      </c>
      <c r="K4115">
        <v>1.121286</v>
      </c>
      <c r="L4115">
        <v>65.923159999999996</v>
      </c>
      <c r="M4115">
        <v>3.8170999999999997E-2</v>
      </c>
      <c r="N4115">
        <v>-1.4163729999999999E-2</v>
      </c>
      <c r="O4115">
        <v>-0.99917100000000003</v>
      </c>
      <c r="P4115">
        <v>0.13411310000000001</v>
      </c>
      <c r="Q4115">
        <v>0.19623950000000001</v>
      </c>
      <c r="R4115">
        <v>-0.97134140000000002</v>
      </c>
      <c r="S4115">
        <v>0.71774289999999996</v>
      </c>
      <c r="T4115">
        <v>-0.15906600000000001</v>
      </c>
      <c r="U4115">
        <v>-3.0202939999999998</v>
      </c>
      <c r="V4115">
        <v>-9.6890400000000002E-2</v>
      </c>
      <c r="W4115">
        <v>0.21006050000000001</v>
      </c>
      <c r="X4115">
        <v>0.9728755</v>
      </c>
      <c r="Y4115">
        <v>-0.1936438</v>
      </c>
      <c r="Z4115">
        <v>3.7238540000000001E-2</v>
      </c>
      <c r="AA4115">
        <v>0.98036489999999998</v>
      </c>
      <c r="AB4115">
        <v>32</v>
      </c>
      <c r="AC4115">
        <v>5.0452999999999903</v>
      </c>
      <c r="AD4115">
        <v>-1.1212888070639999</v>
      </c>
      <c r="AE4115">
        <v>-20.9161299999999</v>
      </c>
      <c r="AF4115">
        <v>-4.23166011050645</v>
      </c>
      <c r="AG4115">
        <v>-1.1212888070639999</v>
      </c>
      <c r="AH4115">
        <v>21.0363549306031</v>
      </c>
      <c r="AI4115">
        <v>92.991307337409694</v>
      </c>
      <c r="AJ4115">
        <v>101.37379087119599</v>
      </c>
      <c r="AK4115">
        <v>21.487030149511298</v>
      </c>
      <c r="AL4115">
        <v>77.874101673688799</v>
      </c>
      <c r="AM4115">
        <v>95.687434335540004</v>
      </c>
      <c r="AN4115">
        <v>0.99999995088632798</v>
      </c>
    </row>
    <row r="4116" spans="1:40" x14ac:dyDescent="0.25">
      <c r="A4116" t="str">
        <f>"20190303162635669"</f>
        <v>20190303162635669</v>
      </c>
      <c r="B4116" t="str">
        <f>"1551601595657616"</f>
        <v>1551601595657616</v>
      </c>
      <c r="C4116" t="s">
        <v>40</v>
      </c>
      <c r="D4116">
        <v>5.2103950000000001</v>
      </c>
      <c r="E4116">
        <v>0.48938530000000002</v>
      </c>
      <c r="F4116" t="s">
        <v>59</v>
      </c>
      <c r="G4116">
        <v>-417.93400000000003</v>
      </c>
      <c r="H4116" s="1">
        <v>-8.6340049999999998E-7</v>
      </c>
      <c r="I4116">
        <v>39.10266</v>
      </c>
      <c r="J4116">
        <v>-422.20699999999999</v>
      </c>
      <c r="K4116">
        <v>1.1212879999999901</v>
      </c>
      <c r="L4116">
        <v>65.635890000000003</v>
      </c>
      <c r="M4116">
        <v>3.8086759999999997E-2</v>
      </c>
      <c r="N4116">
        <v>-1.4160600000000001E-2</v>
      </c>
      <c r="O4116">
        <v>-0.99917440000000002</v>
      </c>
      <c r="P4116">
        <v>0.13504479999999999</v>
      </c>
      <c r="Q4116">
        <v>0.19730400000000001</v>
      </c>
      <c r="R4116">
        <v>-0.97099669999999905</v>
      </c>
      <c r="S4116">
        <v>0.48669430000000002</v>
      </c>
      <c r="T4116">
        <v>-0.12738740000000001</v>
      </c>
      <c r="U4116">
        <v>-3.0470280000000001</v>
      </c>
      <c r="V4116">
        <v>-9.7914550000000003E-2</v>
      </c>
      <c r="W4116">
        <v>0.21111820000000001</v>
      </c>
      <c r="X4116">
        <v>0.97254399999999996</v>
      </c>
      <c r="Y4116">
        <v>-0.1198948</v>
      </c>
      <c r="Z4116">
        <v>2.7203390000000001E-2</v>
      </c>
      <c r="AA4116">
        <v>0.99241380000000001</v>
      </c>
      <c r="AB4116">
        <v>32</v>
      </c>
      <c r="AC4116">
        <v>4.2729999999999597</v>
      </c>
      <c r="AD4116">
        <v>-1.1212888634004901</v>
      </c>
      <c r="AE4116">
        <v>-26.53323</v>
      </c>
      <c r="AF4116">
        <v>-3.2535696203697002</v>
      </c>
      <c r="AG4116">
        <v>-1.1212888634004901</v>
      </c>
      <c r="AH4116">
        <v>26.630378915360598</v>
      </c>
      <c r="AI4116">
        <v>92.393275849467798</v>
      </c>
      <c r="AJ4116">
        <v>96.965597436360994</v>
      </c>
      <c r="AK4116">
        <v>26.851817166915499</v>
      </c>
      <c r="AL4116">
        <v>77.812110245398102</v>
      </c>
      <c r="AM4116">
        <v>95.749097095550994</v>
      </c>
      <c r="AN4116">
        <v>0.99999999270447104</v>
      </c>
    </row>
    <row r="4117" spans="1:40" x14ac:dyDescent="0.25">
      <c r="A4117" t="str">
        <f>"20190303162635688"</f>
        <v>20190303162635688</v>
      </c>
      <c r="B4117" t="str">
        <f>"1551601595677644"</f>
        <v>1551601595677644</v>
      </c>
      <c r="C4117" t="s">
        <v>40</v>
      </c>
      <c r="D4117">
        <v>5.2695280000000002</v>
      </c>
      <c r="E4117">
        <v>0.48991279999999998</v>
      </c>
      <c r="F4117" t="s">
        <v>59</v>
      </c>
      <c r="G4117">
        <v>-417.90620000000001</v>
      </c>
      <c r="H4117" s="1">
        <v>-1.350077E-6</v>
      </c>
      <c r="I4117">
        <v>38.348610000000001</v>
      </c>
      <c r="J4117">
        <v>-422.19670000000002</v>
      </c>
      <c r="K4117">
        <v>1.1213</v>
      </c>
      <c r="L4117">
        <v>65.361689999999996</v>
      </c>
      <c r="M4117">
        <v>3.8004339999999998E-2</v>
      </c>
      <c r="N4117">
        <v>-1.4157629999999999E-2</v>
      </c>
      <c r="O4117">
        <v>-0.99917719999999999</v>
      </c>
      <c r="P4117">
        <v>0.13684950000000001</v>
      </c>
      <c r="Q4117">
        <v>0.1988557</v>
      </c>
      <c r="R4117">
        <v>-0.97042720000000005</v>
      </c>
      <c r="S4117">
        <v>0.48043819999999998</v>
      </c>
      <c r="T4117">
        <v>-0.1252587</v>
      </c>
      <c r="U4117">
        <v>-3.0482480000000001</v>
      </c>
      <c r="V4117">
        <v>-9.9818630000000005E-2</v>
      </c>
      <c r="W4117">
        <v>0.21266119999999999</v>
      </c>
      <c r="X4117">
        <v>0.97201409999999999</v>
      </c>
      <c r="Y4117">
        <v>-0.117932</v>
      </c>
      <c r="Z4117">
        <v>2.651158E-2</v>
      </c>
      <c r="AA4117">
        <v>0.99266770000000004</v>
      </c>
      <c r="AB4117">
        <v>32</v>
      </c>
      <c r="AC4117">
        <v>4.2904999999999998</v>
      </c>
      <c r="AD4117">
        <v>-1.1213013500769999</v>
      </c>
      <c r="AE4117">
        <v>-27.013079999999899</v>
      </c>
      <c r="AF4117">
        <v>-3.2552116911128</v>
      </c>
      <c r="AG4117">
        <v>-1.1213013500769999</v>
      </c>
      <c r="AH4117">
        <v>27.1110709837596</v>
      </c>
      <c r="AI4117">
        <v>92.351506451957704</v>
      </c>
      <c r="AJ4117">
        <v>96.846696729463403</v>
      </c>
      <c r="AK4117">
        <v>27.328810617333701</v>
      </c>
      <c r="AL4117">
        <v>77.721648604703802</v>
      </c>
      <c r="AM4117">
        <v>95.863297741844306</v>
      </c>
      <c r="AN4117">
        <v>0.99999997773966298</v>
      </c>
    </row>
    <row r="4118" spans="1:40" x14ac:dyDescent="0.25">
      <c r="A4118" t="str">
        <f>"20190303162635723"</f>
        <v>20190303162635723</v>
      </c>
      <c r="B4118" t="str">
        <f>"1551601595717659"</f>
        <v>1551601595717659</v>
      </c>
      <c r="C4118" t="s">
        <v>40</v>
      </c>
      <c r="D4118">
        <v>4.9861909999999998</v>
      </c>
      <c r="E4118">
        <v>0.4901953</v>
      </c>
      <c r="F4118" t="s">
        <v>59</v>
      </c>
      <c r="G4118">
        <v>-417.83980000000003</v>
      </c>
      <c r="H4118" s="1">
        <v>-1.7893519999999999E-6</v>
      </c>
      <c r="I4118">
        <v>37.685310000000001</v>
      </c>
      <c r="J4118">
        <v>-422.17840000000001</v>
      </c>
      <c r="K4118">
        <v>1.1213070000000001</v>
      </c>
      <c r="L4118">
        <v>64.877899999999997</v>
      </c>
      <c r="M4118">
        <v>3.7856769999999998E-2</v>
      </c>
      <c r="N4118">
        <v>-1.415246E-2</v>
      </c>
      <c r="O4118">
        <v>-0.99918320000000005</v>
      </c>
      <c r="P4118">
        <v>0.1391696</v>
      </c>
      <c r="Q4118">
        <v>0.20129440000000001</v>
      </c>
      <c r="R4118">
        <v>-0.96959419999999996</v>
      </c>
      <c r="S4118">
        <v>0.47998049999999998</v>
      </c>
      <c r="T4118">
        <v>-0.1235311</v>
      </c>
      <c r="U4118">
        <v>-3.049042</v>
      </c>
      <c r="V4118">
        <v>-0.1023101</v>
      </c>
      <c r="W4118">
        <v>0.21508469999999999</v>
      </c>
      <c r="X4118">
        <v>0.97122149999999996</v>
      </c>
      <c r="Y4118">
        <v>-0.1178964</v>
      </c>
      <c r="Z4118">
        <v>2.594755E-2</v>
      </c>
      <c r="AA4118">
        <v>0.99268690000000004</v>
      </c>
      <c r="AB4118">
        <v>32</v>
      </c>
      <c r="AC4118">
        <v>4.33859999999998</v>
      </c>
      <c r="AD4118">
        <v>-1.121308789352</v>
      </c>
      <c r="AE4118">
        <v>-27.192589999999999</v>
      </c>
      <c r="AF4118">
        <v>-3.3004900730241298</v>
      </c>
      <c r="AG4118">
        <v>-1.121308789352</v>
      </c>
      <c r="AH4118">
        <v>27.292100326010999</v>
      </c>
      <c r="AI4118">
        <v>92.335702597744799</v>
      </c>
      <c r="AJ4118">
        <v>96.895412938594802</v>
      </c>
      <c r="AK4118">
        <v>27.5138021423477</v>
      </c>
      <c r="AL4118">
        <v>77.579503403267495</v>
      </c>
      <c r="AM4118">
        <v>96.013455342045305</v>
      </c>
      <c r="AN4118">
        <v>0.999999993399175</v>
      </c>
    </row>
    <row r="4119" spans="1:40" x14ac:dyDescent="0.25">
      <c r="A4119" t="str">
        <f>"20190303162635766"</f>
        <v>20190303162635766</v>
      </c>
      <c r="B4119" t="str">
        <f>"1551601595757675"</f>
        <v>1551601595757675</v>
      </c>
      <c r="C4119" t="s">
        <v>40</v>
      </c>
      <c r="D4119">
        <v>4.9906579999999998</v>
      </c>
      <c r="E4119">
        <v>0.49044490000000002</v>
      </c>
      <c r="F4119" t="s">
        <v>59</v>
      </c>
      <c r="G4119">
        <v>-417.62619999999998</v>
      </c>
      <c r="H4119" s="1">
        <v>-2.762446E-6</v>
      </c>
      <c r="I4119">
        <v>36.243839999999999</v>
      </c>
      <c r="J4119">
        <v>-422.1549</v>
      </c>
      <c r="K4119">
        <v>1.1213040000000001</v>
      </c>
      <c r="L4119">
        <v>64.252110000000002</v>
      </c>
      <c r="M4119">
        <v>3.7667939999999997E-2</v>
      </c>
      <c r="N4119">
        <v>-1.414583E-2</v>
      </c>
      <c r="O4119">
        <v>-0.99919009999999997</v>
      </c>
      <c r="P4119">
        <v>0.14128579999999999</v>
      </c>
      <c r="Q4119">
        <v>0.20067550000000001</v>
      </c>
      <c r="R4119">
        <v>-0.9694161</v>
      </c>
      <c r="S4119">
        <v>0.48477170000000003</v>
      </c>
      <c r="T4119">
        <v>-0.11941</v>
      </c>
      <c r="U4119">
        <v>-3.0492859999999999</v>
      </c>
      <c r="V4119">
        <v>-0.1046146</v>
      </c>
      <c r="W4119">
        <v>0.2144588</v>
      </c>
      <c r="X4119">
        <v>0.97111440000000004</v>
      </c>
      <c r="Y4119">
        <v>-0.1195992</v>
      </c>
      <c r="Z4119">
        <v>2.4608339999999999E-2</v>
      </c>
      <c r="AA4119">
        <v>0.99251719999999999</v>
      </c>
      <c r="AB4119">
        <v>32</v>
      </c>
      <c r="AC4119">
        <v>4.5287000000000104</v>
      </c>
      <c r="AD4119">
        <v>-1.121306762446</v>
      </c>
      <c r="AE4119">
        <v>-28.00827</v>
      </c>
      <c r="AF4119">
        <v>-3.4649538004017102</v>
      </c>
      <c r="AG4119">
        <v>-1.121306762446</v>
      </c>
      <c r="AH4119">
        <v>28.115078320223699</v>
      </c>
      <c r="AI4119">
        <v>92.2667715428707</v>
      </c>
      <c r="AJ4119">
        <v>97.025809236162303</v>
      </c>
      <c r="AK4119">
        <v>28.349971122502701</v>
      </c>
      <c r="AL4119">
        <v>77.616221570480207</v>
      </c>
      <c r="AM4119">
        <v>96.148553203271007</v>
      </c>
      <c r="AN4119">
        <v>0.99999998465897899</v>
      </c>
    </row>
    <row r="4120" spans="1:40" x14ac:dyDescent="0.25">
      <c r="A4120" t="str">
        <f>"20190303162635789"</f>
        <v>20190303162635789</v>
      </c>
      <c r="B4120" t="str">
        <f>"1551601595777701"</f>
        <v>1551601595777701</v>
      </c>
      <c r="C4120" t="s">
        <v>40</v>
      </c>
      <c r="D4120">
        <v>4.9436859999999996</v>
      </c>
      <c r="E4120">
        <v>0.49063839999999997</v>
      </c>
      <c r="F4120" t="s">
        <v>59</v>
      </c>
      <c r="G4120">
        <v>-417.68729999999999</v>
      </c>
      <c r="H4120" s="1">
        <v>-2.6051010000000001E-6</v>
      </c>
      <c r="I4120">
        <v>36.465780000000002</v>
      </c>
      <c r="J4120">
        <v>-422.14280000000002</v>
      </c>
      <c r="K4120">
        <v>1.121308</v>
      </c>
      <c r="L4120">
        <v>63.930239999999998</v>
      </c>
      <c r="M4120">
        <v>3.7572229999999998E-2</v>
      </c>
      <c r="N4120">
        <v>-1.4142429999999999E-2</v>
      </c>
      <c r="O4120">
        <v>-0.99919409999999997</v>
      </c>
      <c r="P4120">
        <v>0.1417891</v>
      </c>
      <c r="Q4120">
        <v>0.20095759999999999</v>
      </c>
      <c r="R4120">
        <v>-0.96928479999999995</v>
      </c>
      <c r="S4120">
        <v>0.49017329999999998</v>
      </c>
      <c r="T4120">
        <v>-0.1230282</v>
      </c>
      <c r="U4120">
        <v>-3.0486759999999999</v>
      </c>
      <c r="V4120">
        <v>-0.105216</v>
      </c>
      <c r="W4120">
        <v>0.21473639999999999</v>
      </c>
      <c r="X4120">
        <v>0.97098810000000002</v>
      </c>
      <c r="Y4120">
        <v>-0.12143320000000001</v>
      </c>
      <c r="Z4120">
        <v>2.5781660000000001E-2</v>
      </c>
      <c r="AA4120">
        <v>0.9922647</v>
      </c>
      <c r="AB4120">
        <v>32</v>
      </c>
      <c r="AC4120">
        <v>4.4555000000000202</v>
      </c>
      <c r="AD4120">
        <v>-1.121310605101</v>
      </c>
      <c r="AE4120">
        <v>-27.464459999999999</v>
      </c>
      <c r="AF4120">
        <v>-3.4148032894504401</v>
      </c>
      <c r="AG4120">
        <v>-1.121310605101</v>
      </c>
      <c r="AH4120">
        <v>27.567709371432301</v>
      </c>
      <c r="AI4120">
        <v>92.311562407916597</v>
      </c>
      <c r="AJ4120">
        <v>97.061241185015504</v>
      </c>
      <c r="AK4120">
        <v>27.801021905075899</v>
      </c>
      <c r="AL4120">
        <v>77.599937179432501</v>
      </c>
      <c r="AM4120">
        <v>96.184424548363097</v>
      </c>
      <c r="AN4120">
        <v>1.00000000924128</v>
      </c>
    </row>
    <row r="4121" spans="1:40" x14ac:dyDescent="0.25">
      <c r="A4121" t="str">
        <f>"20190303162635816"</f>
        <v>20190303162635816</v>
      </c>
      <c r="B4121" t="str">
        <f>"1551601595807957"</f>
        <v>1551601595807957</v>
      </c>
      <c r="C4121" t="s">
        <v>40</v>
      </c>
      <c r="D4121">
        <v>5.0327120000000001</v>
      </c>
      <c r="E4121">
        <v>0.49117899999999998</v>
      </c>
      <c r="F4121" t="s">
        <v>59</v>
      </c>
      <c r="G4121">
        <v>-417.6773</v>
      </c>
      <c r="H4121" s="1">
        <v>-2.786527E-6</v>
      </c>
      <c r="I4121">
        <v>36.184550000000002</v>
      </c>
      <c r="J4121">
        <v>-422.12860000000001</v>
      </c>
      <c r="K4121">
        <v>1.121297</v>
      </c>
      <c r="L4121">
        <v>63.547939999999997</v>
      </c>
      <c r="M4121">
        <v>3.7458579999999998E-2</v>
      </c>
      <c r="N4121">
        <v>-1.413848E-2</v>
      </c>
      <c r="O4121">
        <v>-0.99919840000000004</v>
      </c>
      <c r="P4121">
        <v>0.1412487</v>
      </c>
      <c r="Q4121">
        <v>0.20081940000000001</v>
      </c>
      <c r="R4121">
        <v>-0.96939200000000003</v>
      </c>
      <c r="S4121">
        <v>0.49069210000000002</v>
      </c>
      <c r="T4121">
        <v>-0.12321500000000001</v>
      </c>
      <c r="U4121">
        <v>-3.0488279999999999</v>
      </c>
      <c r="V4121">
        <v>-0.10478229999999999</v>
      </c>
      <c r="W4121">
        <v>0.21459529999999999</v>
      </c>
      <c r="X4121">
        <v>0.97106619999999999</v>
      </c>
      <c r="Y4121">
        <v>-0.12170259999999999</v>
      </c>
      <c r="Z4121">
        <v>2.5843080000000001E-2</v>
      </c>
      <c r="AA4121">
        <v>0.9922301</v>
      </c>
      <c r="AB4121">
        <v>32</v>
      </c>
      <c r="AC4121">
        <v>4.4512999999999998</v>
      </c>
      <c r="AD4121">
        <v>-1.121299786527</v>
      </c>
      <c r="AE4121">
        <v>-27.363389999999999</v>
      </c>
      <c r="AF4121">
        <v>-3.4174887053213099</v>
      </c>
      <c r="AG4121">
        <v>-1.121299786527</v>
      </c>
      <c r="AH4121">
        <v>27.466006000984802</v>
      </c>
      <c r="AI4121">
        <v>92.319932487939496</v>
      </c>
      <c r="AJ4121">
        <v>97.092639324980496</v>
      </c>
      <c r="AK4121">
        <v>27.700505914304099</v>
      </c>
      <c r="AL4121">
        <v>77.608214702919398</v>
      </c>
      <c r="AM4121">
        <v>96.158637149729202</v>
      </c>
      <c r="AN4121">
        <v>1.0000000189789</v>
      </c>
    </row>
    <row r="4122" spans="1:40" x14ac:dyDescent="0.25">
      <c r="A4122" t="str">
        <f>"20190303162635842"</f>
        <v>20190303162635842</v>
      </c>
      <c r="B4122" t="str">
        <f>"1551601595827477"</f>
        <v>1551601595827477</v>
      </c>
      <c r="C4122" t="s">
        <v>40</v>
      </c>
      <c r="D4122">
        <v>4.8758689999999998</v>
      </c>
      <c r="E4122">
        <v>0.49146210000000001</v>
      </c>
      <c r="F4122" t="s">
        <v>59</v>
      </c>
      <c r="G4122">
        <v>-417.73919999999998</v>
      </c>
      <c r="H4122" s="1">
        <v>-2.9193810000000001E-6</v>
      </c>
      <c r="I4122">
        <v>35.949620000000003</v>
      </c>
      <c r="J4122">
        <v>-422.11540000000002</v>
      </c>
      <c r="K4122">
        <v>1.121291</v>
      </c>
      <c r="L4122">
        <v>63.193539999999999</v>
      </c>
      <c r="M4122">
        <v>3.7353230000000001E-2</v>
      </c>
      <c r="N4122">
        <v>-1.4134870000000001E-2</v>
      </c>
      <c r="O4122">
        <v>-0.99920229999999999</v>
      </c>
      <c r="P4122">
        <v>0.14031740000000001</v>
      </c>
      <c r="Q4122">
        <v>0.2000219</v>
      </c>
      <c r="R4122">
        <v>-0.96969179999999999</v>
      </c>
      <c r="S4122">
        <v>0.48504639999999999</v>
      </c>
      <c r="T4122">
        <v>-0.1239077</v>
      </c>
      <c r="U4122">
        <v>-3.0497130000000001</v>
      </c>
      <c r="V4122">
        <v>-0.1039433</v>
      </c>
      <c r="W4122">
        <v>0.21379790000000001</v>
      </c>
      <c r="X4122">
        <v>0.97133219999999998</v>
      </c>
      <c r="Y4122">
        <v>-0.1199704</v>
      </c>
      <c r="Z4122">
        <v>2.6069129999999999E-2</v>
      </c>
      <c r="AA4122">
        <v>0.99243519999999996</v>
      </c>
      <c r="AB4122">
        <v>32</v>
      </c>
      <c r="AC4122">
        <v>4.3762000000000398</v>
      </c>
      <c r="AD4122">
        <v>-1.1212939193809901</v>
      </c>
      <c r="AE4122">
        <v>-27.243919999999999</v>
      </c>
      <c r="AF4122">
        <v>-3.3498636531413601</v>
      </c>
      <c r="AG4122">
        <v>-1.1212939193809901</v>
      </c>
      <c r="AH4122">
        <v>27.343231919492801</v>
      </c>
      <c r="AI4122">
        <v>92.330867637973697</v>
      </c>
      <c r="AJ4122">
        <v>96.984593423257095</v>
      </c>
      <c r="AK4122">
        <v>27.570477296402501</v>
      </c>
      <c r="AL4122">
        <v>77.654987665203393</v>
      </c>
      <c r="AM4122">
        <v>96.108038425782198</v>
      </c>
      <c r="AN4122">
        <v>0.99999999720806998</v>
      </c>
    </row>
    <row r="4123" spans="1:40" x14ac:dyDescent="0.25">
      <c r="A4123" t="str">
        <f>"20190303162635866"</f>
        <v>20190303162635866</v>
      </c>
      <c r="B4123" t="str">
        <f>"1551601595857734"</f>
        <v>1551601595857734</v>
      </c>
      <c r="C4123" t="s">
        <v>40</v>
      </c>
      <c r="D4123">
        <v>5.1265199999999904</v>
      </c>
      <c r="E4123">
        <v>0.51445419999999997</v>
      </c>
      <c r="F4123" t="s">
        <v>59</v>
      </c>
      <c r="G4123">
        <v>-417.86840000000001</v>
      </c>
      <c r="H4123" s="1">
        <v>-2.7166060000000001E-6</v>
      </c>
      <c r="I4123">
        <v>36.21454</v>
      </c>
      <c r="J4123">
        <v>-422.10230000000001</v>
      </c>
      <c r="K4123">
        <v>1.121289</v>
      </c>
      <c r="L4123">
        <v>62.839289999999998</v>
      </c>
      <c r="M4123">
        <v>3.7247259999999997E-2</v>
      </c>
      <c r="N4123">
        <v>-1.413127E-2</v>
      </c>
      <c r="O4123">
        <v>-0.99920629999999999</v>
      </c>
      <c r="P4123">
        <v>0.13917179999999901</v>
      </c>
      <c r="Q4123">
        <v>0.19895270000000001</v>
      </c>
      <c r="R4123">
        <v>-0.97007699999999997</v>
      </c>
      <c r="S4123">
        <v>0.48019410000000001</v>
      </c>
      <c r="T4123">
        <v>-0.12678049999999999</v>
      </c>
      <c r="U4123">
        <v>-3.0504150000000001</v>
      </c>
      <c r="V4123">
        <v>-0.1028881</v>
      </c>
      <c r="W4123">
        <v>0.21273010000000001</v>
      </c>
      <c r="X4123">
        <v>0.97167890000000001</v>
      </c>
      <c r="Y4123">
        <v>-0.118496</v>
      </c>
      <c r="Z4123">
        <v>2.70017E-2</v>
      </c>
      <c r="AA4123">
        <v>0.99258729999999995</v>
      </c>
      <c r="AB4123">
        <v>32</v>
      </c>
      <c r="AC4123">
        <v>4.2339000000000002</v>
      </c>
      <c r="AD4123">
        <v>-1.1212917166059999</v>
      </c>
      <c r="AE4123">
        <v>-26.624749999999999</v>
      </c>
      <c r="AF4123">
        <v>-3.23356980299718</v>
      </c>
      <c r="AG4123">
        <v>-1.1212917166059999</v>
      </c>
      <c r="AH4123">
        <v>26.717768765969701</v>
      </c>
      <c r="AI4123">
        <v>92.385790767391697</v>
      </c>
      <c r="AJ4123">
        <v>96.900770428248194</v>
      </c>
      <c r="AK4123">
        <v>26.936080572652202</v>
      </c>
      <c r="AL4123">
        <v>77.717608392707405</v>
      </c>
      <c r="AM4123">
        <v>96.044351753483795</v>
      </c>
      <c r="AN4123">
        <v>0.99999997063641399</v>
      </c>
    </row>
    <row r="4124" spans="1:40" x14ac:dyDescent="0.25">
      <c r="A4124" t="str">
        <f>"20190303162635900"</f>
        <v>20190303162635900</v>
      </c>
      <c r="B4124" t="str">
        <f>"1551601595887989"</f>
        <v>1551601595887989</v>
      </c>
      <c r="C4124" t="s">
        <v>40</v>
      </c>
      <c r="D4124">
        <v>5.095453</v>
      </c>
      <c r="E4124">
        <v>0.51289649999999998</v>
      </c>
      <c r="F4124" t="s">
        <v>41</v>
      </c>
      <c r="G4124">
        <v>-420.73610000000002</v>
      </c>
      <c r="H4124" s="1">
        <v>-3.971737E-6</v>
      </c>
      <c r="I4124">
        <v>48.390790000000003</v>
      </c>
      <c r="J4124">
        <v>-422.08429999999998</v>
      </c>
      <c r="K4124">
        <v>1.1212879999999901</v>
      </c>
      <c r="L4124">
        <v>62.351900000000001</v>
      </c>
      <c r="M4124">
        <v>3.7102290000000003E-2</v>
      </c>
      <c r="N4124">
        <v>-1.412628E-2</v>
      </c>
      <c r="O4124">
        <v>-0.99921179999999998</v>
      </c>
      <c r="P4124">
        <v>0.1383345</v>
      </c>
      <c r="Q4124">
        <v>0.198992</v>
      </c>
      <c r="R4124">
        <v>-0.97018890000000002</v>
      </c>
      <c r="S4124">
        <v>0.29312129999999997</v>
      </c>
      <c r="T4124">
        <v>-0.24056549999999999</v>
      </c>
      <c r="U4124">
        <v>-3.0998230000000002</v>
      </c>
      <c r="V4124">
        <v>-0.1021886</v>
      </c>
      <c r="W4124">
        <v>0.2127646</v>
      </c>
      <c r="X4124">
        <v>0.97174519999999998</v>
      </c>
      <c r="Y4124">
        <v>-5.6910919999999997E-2</v>
      </c>
      <c r="Z4124">
        <v>6.2993209999999994E-2</v>
      </c>
      <c r="AA4124">
        <v>0.99639</v>
      </c>
      <c r="AB4124">
        <v>32</v>
      </c>
      <c r="AC4124">
        <v>1.3481999999999601</v>
      </c>
      <c r="AD4124">
        <v>-1.12129197173699</v>
      </c>
      <c r="AE4124">
        <v>-13.9611099999999</v>
      </c>
      <c r="AF4124">
        <v>-0.82396486275659797</v>
      </c>
      <c r="AG4124">
        <v>-1.12129197173699</v>
      </c>
      <c r="AH4124">
        <v>13.9126068157967</v>
      </c>
      <c r="AI4124">
        <v>94.599790852392601</v>
      </c>
      <c r="AJ4124">
        <v>93.389345306715498</v>
      </c>
      <c r="AK4124">
        <v>13.9820185306661</v>
      </c>
      <c r="AL4124">
        <v>77.715585858855903</v>
      </c>
      <c r="AM4124">
        <v>96.003152852341699</v>
      </c>
      <c r="AN4124">
        <v>1.0000000093530701</v>
      </c>
    </row>
    <row r="4125" spans="1:40" x14ac:dyDescent="0.25">
      <c r="A4125" t="str">
        <f>"20190303162635924"</f>
        <v>20190303162635924</v>
      </c>
      <c r="B4125" t="str">
        <f>"1551601595918244"</f>
        <v>1551601595918244</v>
      </c>
      <c r="C4125" t="s">
        <v>40</v>
      </c>
      <c r="D4125">
        <v>4.885751</v>
      </c>
      <c r="E4125">
        <v>0.51072740000000005</v>
      </c>
      <c r="F4125" t="s">
        <v>41</v>
      </c>
      <c r="G4125">
        <v>-420.48930000000001</v>
      </c>
      <c r="H4125" s="1">
        <v>-2.8796010000000002E-6</v>
      </c>
      <c r="I4125">
        <v>45.998049999999999</v>
      </c>
      <c r="J4125">
        <v>-422.07229999999998</v>
      </c>
      <c r="K4125">
        <v>1.121289</v>
      </c>
      <c r="L4125">
        <v>62.024540000000002</v>
      </c>
      <c r="M4125">
        <v>3.7005259999999998E-2</v>
      </c>
      <c r="N4125">
        <v>-1.41229999999999E-2</v>
      </c>
      <c r="O4125">
        <v>-0.99921539999999998</v>
      </c>
      <c r="P4125">
        <v>0.13783129999999999</v>
      </c>
      <c r="Q4125">
        <v>0.1991994</v>
      </c>
      <c r="R4125">
        <v>-0.97021760000000001</v>
      </c>
      <c r="S4125">
        <v>0.30163570000000001</v>
      </c>
      <c r="T4125">
        <v>-0.21204780000000001</v>
      </c>
      <c r="U4125">
        <v>-3.0926819999999999</v>
      </c>
      <c r="V4125">
        <v>-0.10177899999999999</v>
      </c>
      <c r="W4125">
        <v>0.21296870000000001</v>
      </c>
      <c r="X4125">
        <v>0.97174349999999998</v>
      </c>
      <c r="Y4125">
        <v>-5.9994079999999998E-2</v>
      </c>
      <c r="Z4125">
        <v>5.4039749999999998E-2</v>
      </c>
      <c r="AA4125">
        <v>0.99673489999999998</v>
      </c>
      <c r="AB4125">
        <v>32</v>
      </c>
      <c r="AC4125">
        <v>1.58299999999997</v>
      </c>
      <c r="AD4125">
        <v>-1.1212918796009901</v>
      </c>
      <c r="AE4125">
        <v>-16.026489999999999</v>
      </c>
      <c r="AF4125">
        <v>-0.98402170281177503</v>
      </c>
      <c r="AG4125">
        <v>-1.1212918796009901</v>
      </c>
      <c r="AH4125">
        <v>15.996548030451899</v>
      </c>
      <c r="AI4125">
        <v>94.002098543130501</v>
      </c>
      <c r="AJ4125">
        <v>93.520092970734197</v>
      </c>
      <c r="AK4125">
        <v>16.0659622519604</v>
      </c>
      <c r="AL4125">
        <v>77.703617759601499</v>
      </c>
      <c r="AM4125">
        <v>95.979275617832101</v>
      </c>
      <c r="AN4125">
        <v>1.0000000309064601</v>
      </c>
    </row>
    <row r="4126" spans="1:40" x14ac:dyDescent="0.25">
      <c r="A4126" t="str">
        <f>"20190303162635945"</f>
        <v>20190303162635945</v>
      </c>
      <c r="B4126" t="str">
        <f>"1551601595937765"</f>
        <v>1551601595937765</v>
      </c>
      <c r="C4126" t="s">
        <v>40</v>
      </c>
      <c r="D4126">
        <v>5.0601419999999999</v>
      </c>
      <c r="E4126">
        <v>0.51136919999999997</v>
      </c>
      <c r="F4126" t="s">
        <v>41</v>
      </c>
      <c r="G4126">
        <v>-420.20679999999999</v>
      </c>
      <c r="H4126" s="1">
        <v>-1.903529E-6</v>
      </c>
      <c r="I4126">
        <v>43.897979999999997</v>
      </c>
      <c r="J4126">
        <v>-422.0609</v>
      </c>
      <c r="K4126">
        <v>1.121294</v>
      </c>
      <c r="L4126">
        <v>61.71649</v>
      </c>
      <c r="M4126">
        <v>3.6914339999999997E-2</v>
      </c>
      <c r="N4126">
        <v>-1.4119919999999999E-2</v>
      </c>
      <c r="O4126">
        <v>-0.99921870000000002</v>
      </c>
      <c r="P4126">
        <v>0.1379195</v>
      </c>
      <c r="Q4126">
        <v>0.1993819</v>
      </c>
      <c r="R4126">
        <v>-0.97016760000000002</v>
      </c>
      <c r="S4126">
        <v>0.3175964</v>
      </c>
      <c r="T4126">
        <v>-0.1909063</v>
      </c>
      <c r="U4126">
        <v>-3.0861510000000001</v>
      </c>
      <c r="V4126">
        <v>-0.1019579</v>
      </c>
      <c r="W4126">
        <v>0.213148</v>
      </c>
      <c r="X4126">
        <v>0.97168540000000003</v>
      </c>
      <c r="Y4126">
        <v>-6.5425839999999999E-2</v>
      </c>
      <c r="Z4126">
        <v>4.737769E-2</v>
      </c>
      <c r="AA4126">
        <v>0.99673210000000001</v>
      </c>
      <c r="AB4126">
        <v>32</v>
      </c>
      <c r="AC4126">
        <v>1.8541000000000101</v>
      </c>
      <c r="AD4126">
        <v>-1.121295903529</v>
      </c>
      <c r="AE4126">
        <v>-17.81851</v>
      </c>
      <c r="AF4126">
        <v>-1.19034864030928</v>
      </c>
      <c r="AG4126">
        <v>-1.121295903529</v>
      </c>
      <c r="AH4126">
        <v>17.805059578581901</v>
      </c>
      <c r="AI4126">
        <v>93.595509542502995</v>
      </c>
      <c r="AJ4126">
        <v>93.824790050236899</v>
      </c>
      <c r="AK4126">
        <v>17.8799994682776</v>
      </c>
      <c r="AL4126">
        <v>77.693102819761506</v>
      </c>
      <c r="AM4126">
        <v>95.9900647692089</v>
      </c>
      <c r="AN4126">
        <v>0.99999999992478505</v>
      </c>
    </row>
    <row r="4127" spans="1:40" x14ac:dyDescent="0.25">
      <c r="A4127" t="str">
        <f>"20190303162635968"</f>
        <v>20190303162635968</v>
      </c>
      <c r="B4127" t="str">
        <f>"1551601595958261"</f>
        <v>1551601595958261</v>
      </c>
      <c r="C4127" t="s">
        <v>40</v>
      </c>
      <c r="D4127">
        <v>5.0686030000000004</v>
      </c>
      <c r="E4127">
        <v>0.51222159999999906</v>
      </c>
      <c r="F4127" t="s">
        <v>41</v>
      </c>
      <c r="G4127">
        <v>-420.11770000000001</v>
      </c>
      <c r="H4127" s="1">
        <v>-1.3265740000000001E-6</v>
      </c>
      <c r="I4127">
        <v>42.60839</v>
      </c>
      <c r="J4127">
        <v>-422.04939999999999</v>
      </c>
      <c r="K4127">
        <v>1.121299</v>
      </c>
      <c r="L4127">
        <v>61.401490000000003</v>
      </c>
      <c r="M4127">
        <v>3.6820779999999997E-2</v>
      </c>
      <c r="N4127">
        <v>-1.411681E-2</v>
      </c>
      <c r="O4127">
        <v>-0.99922230000000001</v>
      </c>
      <c r="P4127">
        <v>0.1375815</v>
      </c>
      <c r="Q4127">
        <v>0.2000603</v>
      </c>
      <c r="R4127">
        <v>-0.97007600000000005</v>
      </c>
      <c r="S4127">
        <v>0.31372070000000002</v>
      </c>
      <c r="T4127">
        <v>-0.1810234</v>
      </c>
      <c r="U4127">
        <v>-3.0848390000000001</v>
      </c>
      <c r="V4127">
        <v>-0.1017142</v>
      </c>
      <c r="W4127">
        <v>0.2138217</v>
      </c>
      <c r="X4127">
        <v>0.97156290000000001</v>
      </c>
      <c r="Y4127">
        <v>-6.43397E-2</v>
      </c>
      <c r="Z4127">
        <v>4.4238659999999999E-2</v>
      </c>
      <c r="AA4127">
        <v>0.99694700000000003</v>
      </c>
      <c r="AB4127">
        <v>32</v>
      </c>
      <c r="AC4127">
        <v>1.93169999999997</v>
      </c>
      <c r="AD4127">
        <v>-1.121300326574</v>
      </c>
      <c r="AE4127">
        <v>-18.793099999999999</v>
      </c>
      <c r="AF4127">
        <v>-1.2339972810934801</v>
      </c>
      <c r="AG4127">
        <v>-1.121300326574</v>
      </c>
      <c r="AH4127">
        <v>18.7853112794471</v>
      </c>
      <c r="AI4127">
        <v>93.408618561035198</v>
      </c>
      <c r="AJ4127">
        <v>93.7583301548501</v>
      </c>
      <c r="AK4127">
        <v>18.859161794147798</v>
      </c>
      <c r="AL4127">
        <v>77.653591570565297</v>
      </c>
      <c r="AM4127">
        <v>95.976599046398107</v>
      </c>
      <c r="AN4127">
        <v>0.99999998326446904</v>
      </c>
    </row>
    <row r="4128" spans="1:40" x14ac:dyDescent="0.25">
      <c r="A4128" t="str">
        <f>"20190303162635992"</f>
        <v>20190303162635992</v>
      </c>
      <c r="B4128" t="str">
        <f>"1551601595987542"</f>
        <v>1551601595987542</v>
      </c>
      <c r="C4128" t="s">
        <v>40</v>
      </c>
      <c r="D4128">
        <v>4.8675069999999998</v>
      </c>
      <c r="E4128">
        <v>0.51400409999999996</v>
      </c>
      <c r="F4128" t="s">
        <v>41</v>
      </c>
      <c r="G4128">
        <v>-420.03269999999998</v>
      </c>
      <c r="H4128" s="1">
        <v>-6.5459349999999998E-7</v>
      </c>
      <c r="I4128">
        <v>41.094700000000003</v>
      </c>
      <c r="J4128">
        <v>-422.03710000000001</v>
      </c>
      <c r="K4128">
        <v>1.1212949999999999</v>
      </c>
      <c r="L4128">
        <v>61.062530000000002</v>
      </c>
      <c r="M4128">
        <v>3.6719750000000002E-2</v>
      </c>
      <c r="N4128">
        <v>-1.411344E-2</v>
      </c>
      <c r="O4128">
        <v>-0.99922610000000001</v>
      </c>
      <c r="P4128">
        <v>0.13749890000000001</v>
      </c>
      <c r="Q4128">
        <v>0.2008364</v>
      </c>
      <c r="R4128">
        <v>-0.96992750000000005</v>
      </c>
      <c r="S4128">
        <v>0.30630489999999999</v>
      </c>
      <c r="T4128">
        <v>-0.17030479999999901</v>
      </c>
      <c r="U4128">
        <v>-3.0842290000000001</v>
      </c>
      <c r="V4128">
        <v>-0.10173550000000001</v>
      </c>
      <c r="W4128">
        <v>0.21459149999999999</v>
      </c>
      <c r="X4128">
        <v>0.971391</v>
      </c>
      <c r="Y4128">
        <v>-6.210425E-2</v>
      </c>
      <c r="Z4128">
        <v>4.0818559999999997E-2</v>
      </c>
      <c r="AA4128">
        <v>0.99723459999999997</v>
      </c>
      <c r="AB4128">
        <v>32</v>
      </c>
      <c r="AC4128">
        <v>2.0044000000000302</v>
      </c>
      <c r="AD4128">
        <v>-1.1212956545935</v>
      </c>
      <c r="AE4128">
        <v>-19.967829999999999</v>
      </c>
      <c r="AF4128">
        <v>-1.26580954936487</v>
      </c>
      <c r="AG4128">
        <v>-1.1212956545935</v>
      </c>
      <c r="AH4128">
        <v>19.965637966577699</v>
      </c>
      <c r="AI4128">
        <v>93.207999957893307</v>
      </c>
      <c r="AJ4128">
        <v>93.627663031775199</v>
      </c>
      <c r="AK4128">
        <v>20.037122477359901</v>
      </c>
      <c r="AL4128">
        <v>77.6084380024827</v>
      </c>
      <c r="AM4128">
        <v>95.978891738992203</v>
      </c>
      <c r="AN4128">
        <v>1.00000004935674</v>
      </c>
    </row>
    <row r="4129" spans="1:40" x14ac:dyDescent="0.25">
      <c r="A4129" t="str">
        <f>"20190303162636018"</f>
        <v>20190303162636018</v>
      </c>
      <c r="B4129" t="str">
        <f>"1551601596008037"</f>
        <v>1551601596008037</v>
      </c>
      <c r="C4129" t="s">
        <v>40</v>
      </c>
      <c r="D4129">
        <v>4.9028019999999897</v>
      </c>
      <c r="E4129">
        <v>0.51482589999999995</v>
      </c>
      <c r="F4129" t="s">
        <v>41</v>
      </c>
      <c r="G4129">
        <v>-420.14580000000001</v>
      </c>
      <c r="H4129" s="1">
        <v>-6.9240239999999995E-7</v>
      </c>
      <c r="I4129">
        <v>41.112670000000001</v>
      </c>
      <c r="J4129">
        <v>-422.02370000000002</v>
      </c>
      <c r="K4129">
        <v>1.1213089999999999</v>
      </c>
      <c r="L4129">
        <v>60.695650000000001</v>
      </c>
      <c r="M4129">
        <v>3.6609469999999998E-2</v>
      </c>
      <c r="N4129">
        <v>-1.410963E-2</v>
      </c>
      <c r="O4129">
        <v>-0.99923010000000001</v>
      </c>
      <c r="P4129">
        <v>0.13729179999999999</v>
      </c>
      <c r="Q4129">
        <v>0.20147809999999999</v>
      </c>
      <c r="R4129">
        <v>-0.96982349999999995</v>
      </c>
      <c r="S4129">
        <v>0.29269410000000001</v>
      </c>
      <c r="T4129">
        <v>-0.1735331</v>
      </c>
      <c r="U4129">
        <v>-3.0874630000000001</v>
      </c>
      <c r="V4129">
        <v>-0.10163990000000001</v>
      </c>
      <c r="W4129">
        <v>0.21522769999999999</v>
      </c>
      <c r="X4129">
        <v>0.97126020000000002</v>
      </c>
      <c r="Y4129">
        <v>-5.7753609999999997E-2</v>
      </c>
      <c r="Z4129">
        <v>4.1820419999999997E-2</v>
      </c>
      <c r="AA4129">
        <v>0.99745450000000002</v>
      </c>
      <c r="AB4129">
        <v>31</v>
      </c>
      <c r="AC4129">
        <v>1.8779000000000099</v>
      </c>
      <c r="AD4129">
        <v>-1.1213096924024</v>
      </c>
      <c r="AE4129">
        <v>-19.582979999999999</v>
      </c>
      <c r="AF4129">
        <v>-1.1558918300193399</v>
      </c>
      <c r="AG4129">
        <v>-1.1213096924024</v>
      </c>
      <c r="AH4129">
        <v>19.5750110806202</v>
      </c>
      <c r="AI4129">
        <v>93.272786356340603</v>
      </c>
      <c r="AJ4129">
        <v>93.3793548793779</v>
      </c>
      <c r="AK4129">
        <v>19.641142536914298</v>
      </c>
      <c r="AL4129">
        <v>77.571113750212106</v>
      </c>
      <c r="AM4129">
        <v>95.974112675994803</v>
      </c>
      <c r="AN4129">
        <v>1.0000000041116699</v>
      </c>
    </row>
    <row r="4130" spans="1:40" x14ac:dyDescent="0.25">
      <c r="A4130" t="str">
        <f>"20190303162636043"</f>
        <v>20190303162636043</v>
      </c>
      <c r="B4130" t="str">
        <f>"1551601596037317"</f>
        <v>1551601596037317</v>
      </c>
      <c r="C4130" t="s">
        <v>40</v>
      </c>
      <c r="D4130">
        <v>4.7596080000000001</v>
      </c>
      <c r="E4130">
        <v>0.51550059999999998</v>
      </c>
      <c r="F4130" t="s">
        <v>41</v>
      </c>
      <c r="G4130">
        <v>-420.2208</v>
      </c>
      <c r="H4130" s="1">
        <v>-7.4262350000000001E-7</v>
      </c>
      <c r="I4130">
        <v>41.183230000000002</v>
      </c>
      <c r="J4130">
        <v>-422.01179999999999</v>
      </c>
      <c r="K4130">
        <v>1.1213089999999999</v>
      </c>
      <c r="L4130">
        <v>60.368409999999997</v>
      </c>
      <c r="M4130">
        <v>3.6507009999999999E-2</v>
      </c>
      <c r="N4130">
        <v>-1.4106469999999999E-2</v>
      </c>
      <c r="O4130">
        <v>-0.99923399999999996</v>
      </c>
      <c r="P4130">
        <v>0.13764199999999999</v>
      </c>
      <c r="Q4130">
        <v>0.20209379999999999</v>
      </c>
      <c r="R4130">
        <v>-0.96964589999999995</v>
      </c>
      <c r="S4130">
        <v>0.28549190000000002</v>
      </c>
      <c r="T4130">
        <v>-0.17756060000000001</v>
      </c>
      <c r="U4130">
        <v>-3.0898129999999999</v>
      </c>
      <c r="V4130">
        <v>-0.1020954</v>
      </c>
      <c r="W4130">
        <v>0.21583859999999999</v>
      </c>
      <c r="X4130">
        <v>0.97107679999999996</v>
      </c>
      <c r="Y4130">
        <v>-5.5475429999999999E-2</v>
      </c>
      <c r="Z4130">
        <v>4.3083719999999999E-2</v>
      </c>
      <c r="AA4130">
        <v>0.99753009999999998</v>
      </c>
      <c r="AB4130">
        <v>31</v>
      </c>
      <c r="AC4130">
        <v>1.7909999999999899</v>
      </c>
      <c r="AD4130">
        <v>-1.1213097426234999</v>
      </c>
      <c r="AE4130">
        <v>-19.1851799999999</v>
      </c>
      <c r="AF4130">
        <v>-1.08566613313608</v>
      </c>
      <c r="AG4130">
        <v>-1.1213097426234999</v>
      </c>
      <c r="AH4130">
        <v>19.172850259299</v>
      </c>
      <c r="AI4130">
        <v>93.341746898947093</v>
      </c>
      <c r="AJ4130">
        <v>93.240922982240306</v>
      </c>
      <c r="AK4130">
        <v>19.2362728603294</v>
      </c>
      <c r="AL4130">
        <v>77.535268751719101</v>
      </c>
      <c r="AM4130">
        <v>96.001815824249604</v>
      </c>
      <c r="AN4130">
        <v>0.99999996172467898</v>
      </c>
    </row>
    <row r="4131" spans="1:40" x14ac:dyDescent="0.25">
      <c r="A4131" t="str">
        <f>"20190303162636064"</f>
        <v>20190303162636064</v>
      </c>
      <c r="B4131" t="str">
        <f>"1551601596057813"</f>
        <v>1551601596057813</v>
      </c>
      <c r="C4131" t="s">
        <v>40</v>
      </c>
      <c r="D4131">
        <v>4.6647869999999996</v>
      </c>
      <c r="E4131">
        <v>0.51579520000000001</v>
      </c>
      <c r="F4131" t="s">
        <v>41</v>
      </c>
      <c r="G4131">
        <v>-420.30610000000001</v>
      </c>
      <c r="H4131" s="1">
        <v>-9.1169059999999999E-7</v>
      </c>
      <c r="I4131">
        <v>41.524459999999998</v>
      </c>
      <c r="J4131">
        <v>-422.00049999999999</v>
      </c>
      <c r="K4131">
        <v>1.1213089999999999</v>
      </c>
      <c r="L4131">
        <v>60.055019999999899</v>
      </c>
      <c r="M4131">
        <v>3.6402810000000001E-2</v>
      </c>
      <c r="N4131">
        <v>-1.4103610000000001E-2</v>
      </c>
      <c r="O4131">
        <v>-0.99923779999999995</v>
      </c>
      <c r="P4131">
        <v>0.13779089999999999</v>
      </c>
      <c r="Q4131">
        <v>0.202456</v>
      </c>
      <c r="R4131">
        <v>-0.9695492</v>
      </c>
      <c r="S4131">
        <v>0.27993770000000001</v>
      </c>
      <c r="T4131">
        <v>-0.18402109999999999</v>
      </c>
      <c r="U4131">
        <v>-3.0925289999999999</v>
      </c>
      <c r="V4131">
        <v>-0.1023468</v>
      </c>
      <c r="W4131">
        <v>0.216198</v>
      </c>
      <c r="X4131">
        <v>0.97097040000000001</v>
      </c>
      <c r="Y4131">
        <v>-5.3714499999999998E-2</v>
      </c>
      <c r="Z4131">
        <v>4.5116070000000001E-2</v>
      </c>
      <c r="AA4131">
        <v>0.9975366</v>
      </c>
      <c r="AB4131">
        <v>31</v>
      </c>
      <c r="AC4131">
        <v>1.6943999999999699</v>
      </c>
      <c r="AD4131">
        <v>-1.1213099116906</v>
      </c>
      <c r="AE4131">
        <v>-18.530559999999902</v>
      </c>
      <c r="AF4131">
        <v>-1.0149596678102899</v>
      </c>
      <c r="AG4131">
        <v>-1.1213099116906</v>
      </c>
      <c r="AH4131">
        <v>18.512737816460302</v>
      </c>
      <c r="AI4131">
        <v>93.460965413988703</v>
      </c>
      <c r="AJ4131">
        <v>93.1380958315317</v>
      </c>
      <c r="AK4131">
        <v>18.574416289787798</v>
      </c>
      <c r="AL4131">
        <v>77.514178931045507</v>
      </c>
      <c r="AM4131">
        <v>96.017140899548806</v>
      </c>
      <c r="AN4131">
        <v>0.99999998017519898</v>
      </c>
    </row>
    <row r="4132" spans="1:40" x14ac:dyDescent="0.25">
      <c r="A4132" t="str">
        <f>"20190303162636082"</f>
        <v>20190303162636082</v>
      </c>
      <c r="B4132" t="str">
        <f>"1551601596078309"</f>
        <v>1551601596078309</v>
      </c>
      <c r="C4132" t="s">
        <v>40</v>
      </c>
      <c r="D4132">
        <v>4.6304040000000004</v>
      </c>
      <c r="E4132">
        <v>0.51616879999999998</v>
      </c>
      <c r="F4132" t="s">
        <v>41</v>
      </c>
      <c r="G4132">
        <v>-420.33330000000001</v>
      </c>
      <c r="H4132" s="1">
        <v>-9.0079420000000005E-7</v>
      </c>
      <c r="I4132">
        <v>41.48216</v>
      </c>
      <c r="J4132">
        <v>-421.99119999999999</v>
      </c>
      <c r="K4132">
        <v>1.121299</v>
      </c>
      <c r="L4132">
        <v>59.799259999999997</v>
      </c>
      <c r="M4132">
        <v>3.6312379999999998E-2</v>
      </c>
      <c r="N4132">
        <v>-1.4101249999999999E-2</v>
      </c>
      <c r="O4132">
        <v>-0.99924109999999999</v>
      </c>
      <c r="P4132">
        <v>0.1383027</v>
      </c>
      <c r="Q4132">
        <v>0.202906</v>
      </c>
      <c r="R4132">
        <v>-0.96938230000000003</v>
      </c>
      <c r="S4132">
        <v>0.27771000000000001</v>
      </c>
      <c r="T4132">
        <v>-0.18678069999999999</v>
      </c>
      <c r="U4132">
        <v>-3.09375</v>
      </c>
      <c r="V4132">
        <v>-0.10295029999999999</v>
      </c>
      <c r="W4132">
        <v>0.21664449999999999</v>
      </c>
      <c r="X4132">
        <v>0.97080710000000003</v>
      </c>
      <c r="Y4132">
        <v>-5.3053490000000002E-2</v>
      </c>
      <c r="Z4132">
        <v>4.5982830000000002E-2</v>
      </c>
      <c r="AA4132">
        <v>0.99753239999999999</v>
      </c>
      <c r="AB4132">
        <v>31</v>
      </c>
      <c r="AC4132">
        <v>1.6578999999999799</v>
      </c>
      <c r="AD4132">
        <v>-1.1212999007941999</v>
      </c>
      <c r="AE4132">
        <v>-18.3171</v>
      </c>
      <c r="AF4132">
        <v>-0.98793072284649497</v>
      </c>
      <c r="AG4132">
        <v>-1.1212999007941999</v>
      </c>
      <c r="AH4132">
        <v>18.297215682345701</v>
      </c>
      <c r="AI4132">
        <v>93.501757497337096</v>
      </c>
      <c r="AJ4132">
        <v>93.090598688341998</v>
      </c>
      <c r="AK4132">
        <v>18.358143215122301</v>
      </c>
      <c r="AL4132">
        <v>77.487975778502999</v>
      </c>
      <c r="AM4132">
        <v>96.053369604850801</v>
      </c>
      <c r="AN4132">
        <v>1.00000001453037</v>
      </c>
    </row>
    <row r="4133" spans="1:40" x14ac:dyDescent="0.25">
      <c r="A4133" t="str">
        <f>"20190303162636102"</f>
        <v>20190303162636102</v>
      </c>
      <c r="B4133" t="str">
        <f>"1551601596097830"</f>
        <v>1551601596097830</v>
      </c>
      <c r="C4133" t="s">
        <v>40</v>
      </c>
      <c r="D4133">
        <v>4.6456520000000001</v>
      </c>
      <c r="E4133">
        <v>0.51652949999999997</v>
      </c>
      <c r="F4133" t="s">
        <v>41</v>
      </c>
      <c r="G4133">
        <v>-420.34109999999998</v>
      </c>
      <c r="H4133" s="1">
        <v>-8.1990629999999996E-7</v>
      </c>
      <c r="I4133">
        <v>41.288780000000003</v>
      </c>
      <c r="J4133">
        <v>-421.98129999999998</v>
      </c>
      <c r="K4133">
        <v>1.1212959999999901</v>
      </c>
      <c r="L4133">
        <v>59.520690000000002</v>
      </c>
      <c r="M4133">
        <v>3.6206160000000001E-2</v>
      </c>
      <c r="N4133">
        <v>-1.4098670000000001E-2</v>
      </c>
      <c r="O4133">
        <v>-0.99924489999999999</v>
      </c>
      <c r="P4133">
        <v>0.138876</v>
      </c>
      <c r="Q4133">
        <v>0.20223820000000001</v>
      </c>
      <c r="R4133">
        <v>-0.96943990000000002</v>
      </c>
      <c r="S4133">
        <v>0.27587889999999998</v>
      </c>
      <c r="T4133">
        <v>-0.1874622</v>
      </c>
      <c r="U4133">
        <v>-3.0946349999999998</v>
      </c>
      <c r="V4133">
        <v>-0.1036219</v>
      </c>
      <c r="W4133">
        <v>0.2159769</v>
      </c>
      <c r="X4133">
        <v>0.97088439999999998</v>
      </c>
      <c r="Y4133">
        <v>-5.2548020000000001E-2</v>
      </c>
      <c r="Z4133">
        <v>4.6189239999999999E-2</v>
      </c>
      <c r="AA4133">
        <v>0.99754969999999998</v>
      </c>
      <c r="AB4133">
        <v>31</v>
      </c>
      <c r="AC4133">
        <v>1.6401999999999901</v>
      </c>
      <c r="AD4133">
        <v>-1.12129681990629</v>
      </c>
      <c r="AE4133">
        <v>-18.231909999999999</v>
      </c>
      <c r="AF4133">
        <v>-0.97529191254307501</v>
      </c>
      <c r="AG4133">
        <v>-1.12129681990629</v>
      </c>
      <c r="AH4133">
        <v>18.211015157280698</v>
      </c>
      <c r="AI4133">
        <v>93.518364138295993</v>
      </c>
      <c r="AJ4133">
        <v>93.065550030190593</v>
      </c>
      <c r="AK4133">
        <v>18.271550944889999</v>
      </c>
      <c r="AL4133">
        <v>77.527154056637499</v>
      </c>
      <c r="AM4133">
        <v>96.092081496974103</v>
      </c>
      <c r="AN4133">
        <v>1.00000001882828</v>
      </c>
    </row>
    <row r="4134" spans="1:40" x14ac:dyDescent="0.25">
      <c r="A4134" t="str">
        <f>"20190303162636125"</f>
        <v>20190303162636125</v>
      </c>
      <c r="B4134" t="str">
        <f>"1551601596117349"</f>
        <v>1551601596117349</v>
      </c>
      <c r="C4134" t="s">
        <v>40</v>
      </c>
      <c r="D4134">
        <v>4.6145969999999998</v>
      </c>
      <c r="E4134">
        <v>0.5168372</v>
      </c>
      <c r="F4134" t="s">
        <v>41</v>
      </c>
      <c r="G4134">
        <v>-420.36959999999999</v>
      </c>
      <c r="H4134" s="1">
        <v>-8.7298119999999898E-7</v>
      </c>
      <c r="I4134">
        <v>41.394840000000002</v>
      </c>
      <c r="J4134">
        <v>-421.9699</v>
      </c>
      <c r="K4134">
        <v>1.1212899999999999</v>
      </c>
      <c r="L4134">
        <v>59.203949999999999</v>
      </c>
      <c r="M4134">
        <v>3.6074429999999998E-2</v>
      </c>
      <c r="N4134">
        <v>-1.4095750000000001E-2</v>
      </c>
      <c r="O4134">
        <v>-0.99924999999999997</v>
      </c>
      <c r="P4134">
        <v>0.1392854</v>
      </c>
      <c r="Q4134">
        <v>0.2019474</v>
      </c>
      <c r="R4134">
        <v>-0.96944169999999996</v>
      </c>
      <c r="S4134">
        <v>0.27520749999999999</v>
      </c>
      <c r="T4134">
        <v>-0.1914679</v>
      </c>
      <c r="U4134">
        <v>-3.0950929999999999</v>
      </c>
      <c r="V4134">
        <v>-0.1041551</v>
      </c>
      <c r="W4134">
        <v>0.2156854</v>
      </c>
      <c r="X4134">
        <v>0.97089210000000004</v>
      </c>
      <c r="Y4134">
        <v>-5.2446220000000002E-2</v>
      </c>
      <c r="Z4134">
        <v>4.7467639999999998E-2</v>
      </c>
      <c r="AA4134">
        <v>0.99749500000000002</v>
      </c>
      <c r="AB4134">
        <v>31</v>
      </c>
      <c r="AC4134">
        <v>1.6003000000000001</v>
      </c>
      <c r="AD4134">
        <v>-1.1212908729811999</v>
      </c>
      <c r="AE4134">
        <v>-17.809109999999901</v>
      </c>
      <c r="AF4134">
        <v>-0.95299347282827596</v>
      </c>
      <c r="AG4134">
        <v>-1.1212908729811999</v>
      </c>
      <c r="AH4134">
        <v>17.785312234825401</v>
      </c>
      <c r="AI4134">
        <v>93.602334825007603</v>
      </c>
      <c r="AJ4134">
        <v>93.067156514948095</v>
      </c>
      <c r="AK4134">
        <v>17.846086996070401</v>
      </c>
      <c r="AL4134">
        <v>77.544258348870102</v>
      </c>
      <c r="AM4134">
        <v>96.123143366318303</v>
      </c>
      <c r="AN4134">
        <v>0.99999997323578904</v>
      </c>
    </row>
    <row r="4135" spans="1:40" x14ac:dyDescent="0.25">
      <c r="A4135" t="str">
        <f>"20190303162636147"</f>
        <v>20190303162636147</v>
      </c>
      <c r="B4135" t="str">
        <f>"1551601596137846"</f>
        <v>1551601596137846</v>
      </c>
      <c r="C4135" t="s">
        <v>40</v>
      </c>
      <c r="D4135">
        <v>4.5806149999999999</v>
      </c>
      <c r="E4135">
        <v>0.51713999999999904</v>
      </c>
      <c r="F4135" t="s">
        <v>41</v>
      </c>
      <c r="G4135">
        <v>-420.3888</v>
      </c>
      <c r="H4135" s="1">
        <v>-8.67824E-7</v>
      </c>
      <c r="I4135">
        <v>41.370910000000002</v>
      </c>
      <c r="J4135">
        <v>-421.95870000000002</v>
      </c>
      <c r="K4135">
        <v>1.1212819999999999</v>
      </c>
      <c r="L4135">
        <v>58.8885199999999</v>
      </c>
      <c r="M4135">
        <v>3.593263E-2</v>
      </c>
      <c r="N4135">
        <v>-1.409288E-2</v>
      </c>
      <c r="O4135">
        <v>-0.999255</v>
      </c>
      <c r="P4135">
        <v>0.13891619999999999</v>
      </c>
      <c r="Q4135">
        <v>0.20120099999999999</v>
      </c>
      <c r="R4135">
        <v>-0.96965000000000001</v>
      </c>
      <c r="S4135">
        <v>0.27447510000000003</v>
      </c>
      <c r="T4135">
        <v>-0.19464709999999999</v>
      </c>
      <c r="U4135">
        <v>-3.0956730000000001</v>
      </c>
      <c r="V4135">
        <v>-0.1039129</v>
      </c>
      <c r="W4135">
        <v>0.21494079999999999</v>
      </c>
      <c r="X4135">
        <v>0.97108320000000004</v>
      </c>
      <c r="Y4135">
        <v>-5.2332700000000003E-2</v>
      </c>
      <c r="Z4135">
        <v>4.8478359999999998E-2</v>
      </c>
      <c r="AA4135">
        <v>0.99745229999999996</v>
      </c>
      <c r="AB4135">
        <v>31</v>
      </c>
      <c r="AC4135">
        <v>1.5699000000000101</v>
      </c>
      <c r="AD4135">
        <v>-1.1212828678240001</v>
      </c>
      <c r="AE4135">
        <v>-17.517609999999902</v>
      </c>
      <c r="AF4135">
        <v>-0.93556715689400505</v>
      </c>
      <c r="AG4135">
        <v>-1.1212828678240001</v>
      </c>
      <c r="AH4135">
        <v>17.4916167801358</v>
      </c>
      <c r="AI4135">
        <v>93.662649794958995</v>
      </c>
      <c r="AJ4135">
        <v>93.061639221686704</v>
      </c>
      <c r="AK4135">
        <v>17.552470446004602</v>
      </c>
      <c r="AL4135">
        <v>77.587945928239407</v>
      </c>
      <c r="AM4135">
        <v>96.107819425965999</v>
      </c>
      <c r="AN4135">
        <v>1.0000000098066399</v>
      </c>
    </row>
    <row r="4136" spans="1:40" x14ac:dyDescent="0.25">
      <c r="A4136" t="str">
        <f>"20190303162636170"</f>
        <v>20190303162636170</v>
      </c>
      <c r="B4136" t="str">
        <f>"1551601596158341"</f>
        <v>1551601596158341</v>
      </c>
      <c r="C4136" t="s">
        <v>40</v>
      </c>
      <c r="D4136">
        <v>4.5703849999999999</v>
      </c>
      <c r="E4136">
        <v>0.51728869999999905</v>
      </c>
      <c r="F4136" t="s">
        <v>41</v>
      </c>
      <c r="G4136">
        <v>-420.43259999999998</v>
      </c>
      <c r="H4136" s="1">
        <v>-9.0292100000000002E-7</v>
      </c>
      <c r="I4136">
        <v>41.425550000000001</v>
      </c>
      <c r="J4136">
        <v>-421.94779999999997</v>
      </c>
      <c r="K4136">
        <v>1.1212740000000001</v>
      </c>
      <c r="L4136">
        <v>58.580570000000002</v>
      </c>
      <c r="M4136">
        <v>3.5785690000000002E-2</v>
      </c>
      <c r="N4136">
        <v>-1.409002E-2</v>
      </c>
      <c r="O4136">
        <v>-0.99926020000000004</v>
      </c>
      <c r="P4136">
        <v>0.13799239999999999</v>
      </c>
      <c r="Q4136">
        <v>0.20040430000000001</v>
      </c>
      <c r="R4136">
        <v>-0.96994659999999999</v>
      </c>
      <c r="S4136">
        <v>0.27059939999999999</v>
      </c>
      <c r="T4136">
        <v>-0.19881760000000001</v>
      </c>
      <c r="U4136">
        <v>-3.0964049999999999</v>
      </c>
      <c r="V4136">
        <v>-0.1031186</v>
      </c>
      <c r="W4136">
        <v>0.21414630000000001</v>
      </c>
      <c r="X4136">
        <v>0.97134330000000002</v>
      </c>
      <c r="Y4136">
        <v>-5.1214290000000003E-2</v>
      </c>
      <c r="Z4136">
        <v>4.9806999999999997E-2</v>
      </c>
      <c r="AA4136">
        <v>0.99744489999999997</v>
      </c>
      <c r="AB4136">
        <v>31</v>
      </c>
      <c r="AC4136">
        <v>1.5151999999999901</v>
      </c>
      <c r="AD4136">
        <v>-1.1212749029209901</v>
      </c>
      <c r="AE4136">
        <v>-17.155019999999901</v>
      </c>
      <c r="AF4136">
        <v>-0.89646401322810398</v>
      </c>
      <c r="AG4136">
        <v>-1.1212749029209901</v>
      </c>
      <c r="AH4136">
        <v>17.125661402590101</v>
      </c>
      <c r="AI4136">
        <v>93.740894408387703</v>
      </c>
      <c r="AJ4136">
        <v>92.996483809635805</v>
      </c>
      <c r="AK4136">
        <v>17.1857261589697</v>
      </c>
      <c r="AL4136">
        <v>77.634551876862702</v>
      </c>
      <c r="AM4136">
        <v>96.059869727887602</v>
      </c>
      <c r="AN4136">
        <v>0.99999994496226796</v>
      </c>
    </row>
    <row r="4137" spans="1:40" x14ac:dyDescent="0.25">
      <c r="A4137" t="str">
        <f>"20190303162636191"</f>
        <v>20190303162636191</v>
      </c>
      <c r="B4137" t="str">
        <f>"1551601596187622"</f>
        <v>1551601596187622</v>
      </c>
      <c r="C4137" t="s">
        <v>40</v>
      </c>
      <c r="D4137">
        <v>4.5088290000000004</v>
      </c>
      <c r="E4137">
        <v>0.51762319999999995</v>
      </c>
      <c r="F4137" t="s">
        <v>41</v>
      </c>
      <c r="G4137">
        <v>-420.46390000000002</v>
      </c>
      <c r="H4137" s="1">
        <v>-8.9275949999999999E-7</v>
      </c>
      <c r="I4137">
        <v>41.382429999999999</v>
      </c>
      <c r="J4137">
        <v>-421.93729999999999</v>
      </c>
      <c r="K4137">
        <v>1.1212610000000001</v>
      </c>
      <c r="L4137">
        <v>58.283200000000001</v>
      </c>
      <c r="M4137">
        <v>3.5638120000000002E-2</v>
      </c>
      <c r="N4137">
        <v>-1.4087219999999999E-2</v>
      </c>
      <c r="O4137">
        <v>-0.99926570000000003</v>
      </c>
      <c r="P4137">
        <v>0.1367187</v>
      </c>
      <c r="Q4137">
        <v>0.19915359999999999</v>
      </c>
      <c r="R4137">
        <v>-0.97038449999999998</v>
      </c>
      <c r="S4137">
        <v>0.26718140000000001</v>
      </c>
      <c r="T4137">
        <v>-0.20189380000000001</v>
      </c>
      <c r="U4137">
        <v>-3.0966490000000002</v>
      </c>
      <c r="V4137">
        <v>-0.1019724</v>
      </c>
      <c r="W4137">
        <v>0.21289920000000001</v>
      </c>
      <c r="X4137">
        <v>0.9717384</v>
      </c>
      <c r="Y4137">
        <v>-5.0258129999999998E-2</v>
      </c>
      <c r="Z4137">
        <v>5.0794150000000003E-2</v>
      </c>
      <c r="AA4137">
        <v>0.99744379999999999</v>
      </c>
      <c r="AB4137">
        <v>31</v>
      </c>
      <c r="AC4137">
        <v>1.4733999999999601</v>
      </c>
      <c r="AD4137">
        <v>-1.1212618927594999</v>
      </c>
      <c r="AE4137">
        <v>-16.900770000000001</v>
      </c>
      <c r="AF4137">
        <v>-0.86630825206315598</v>
      </c>
      <c r="AG4137">
        <v>-1.1212618927594999</v>
      </c>
      <c r="AH4137">
        <v>16.868857937813502</v>
      </c>
      <c r="AI4137">
        <v>93.797828665703193</v>
      </c>
      <c r="AJ4137">
        <v>92.939869400766298</v>
      </c>
      <c r="AK4137">
        <v>16.928262945319702</v>
      </c>
      <c r="AL4137">
        <v>77.707692632205294</v>
      </c>
      <c r="AM4137">
        <v>95.990586077936101</v>
      </c>
      <c r="AN4137">
        <v>0.99999997887847902</v>
      </c>
    </row>
    <row r="4138" spans="1:40" x14ac:dyDescent="0.25">
      <c r="A4138" t="str">
        <f>"20190303162636215"</f>
        <v>20190303162636215</v>
      </c>
      <c r="B4138" t="str">
        <f>"1551601596208117"</f>
        <v>1551601596208117</v>
      </c>
      <c r="C4138" t="s">
        <v>40</v>
      </c>
      <c r="D4138">
        <v>4.5223129999999996</v>
      </c>
      <c r="E4138">
        <v>0.51784439999999998</v>
      </c>
      <c r="F4138" t="s">
        <v>41</v>
      </c>
      <c r="G4138">
        <v>-420.52420000000001</v>
      </c>
      <c r="H4138" s="1">
        <v>-9.7827660000000005E-7</v>
      </c>
      <c r="I4138">
        <v>41.544370000000001</v>
      </c>
      <c r="J4138">
        <v>-421.92520000000002</v>
      </c>
      <c r="K4138">
        <v>1.1212500000000001</v>
      </c>
      <c r="L4138">
        <v>57.94</v>
      </c>
      <c r="M4138">
        <v>3.5462479999999998E-2</v>
      </c>
      <c r="N4138">
        <v>-1.408385E-2</v>
      </c>
      <c r="O4138">
        <v>-0.99927189999999999</v>
      </c>
      <c r="P4138">
        <v>0.13459749999999901</v>
      </c>
      <c r="Q4138">
        <v>0.19759989999999999</v>
      </c>
      <c r="R4138">
        <v>-0.9709989</v>
      </c>
      <c r="S4138">
        <v>0.2614746</v>
      </c>
      <c r="T4138">
        <v>-0.20747599999999999</v>
      </c>
      <c r="U4138">
        <v>-3.097321</v>
      </c>
      <c r="V4138">
        <v>-0.1000002</v>
      </c>
      <c r="W4138">
        <v>0.2113498</v>
      </c>
      <c r="X4138">
        <v>0.97228150000000002</v>
      </c>
      <c r="Y4138">
        <v>-4.8583149999999999E-2</v>
      </c>
      <c r="Z4138">
        <v>5.2577470000000001E-2</v>
      </c>
      <c r="AA4138">
        <v>0.99743440000000005</v>
      </c>
      <c r="AB4138">
        <v>31</v>
      </c>
      <c r="AC4138">
        <v>1.40100000000001</v>
      </c>
      <c r="AD4138">
        <v>-1.1212509782766</v>
      </c>
      <c r="AE4138">
        <v>-16.395629999999901</v>
      </c>
      <c r="AF4138">
        <v>-0.81484805007747596</v>
      </c>
      <c r="AG4138">
        <v>-1.1212509782766</v>
      </c>
      <c r="AH4138">
        <v>16.359049565873601</v>
      </c>
      <c r="AI4138">
        <v>93.916086711340398</v>
      </c>
      <c r="AJ4138">
        <v>92.851559318260698</v>
      </c>
      <c r="AK4138">
        <v>16.417663774109599</v>
      </c>
      <c r="AL4138">
        <v>77.798534874221104</v>
      </c>
      <c r="AM4138">
        <v>95.872284404958407</v>
      </c>
      <c r="AN4138">
        <v>1.00000004660116</v>
      </c>
    </row>
    <row r="4139" spans="1:40" x14ac:dyDescent="0.25">
      <c r="A4139" t="str">
        <f>"20190303162636243"</f>
        <v>20190303162636243</v>
      </c>
      <c r="B4139" t="str">
        <f>"1551601596237397"</f>
        <v>1551601596237397</v>
      </c>
      <c r="C4139" t="s">
        <v>40</v>
      </c>
      <c r="D4139">
        <v>4.6376910000000002</v>
      </c>
      <c r="E4139">
        <v>0.52377399999999996</v>
      </c>
      <c r="F4139" t="s">
        <v>41</v>
      </c>
      <c r="G4139">
        <v>-420.59219999999999</v>
      </c>
      <c r="H4139" s="1">
        <v>-1.040191E-6</v>
      </c>
      <c r="I4139">
        <v>41.646520000000002</v>
      </c>
      <c r="J4139">
        <v>-421.91239999999999</v>
      </c>
      <c r="K4139">
        <v>1.1212409999999999</v>
      </c>
      <c r="L4139">
        <v>57.571899999999999</v>
      </c>
      <c r="M4139">
        <v>3.5271039999999997E-2</v>
      </c>
      <c r="N4139">
        <v>-1.4080219999999999E-2</v>
      </c>
      <c r="O4139">
        <v>-0.99927860000000002</v>
      </c>
      <c r="P4139">
        <v>0.1324678</v>
      </c>
      <c r="Q4139">
        <v>0.1964013</v>
      </c>
      <c r="R4139">
        <v>-0.97153440000000002</v>
      </c>
      <c r="S4139">
        <v>0.25344850000000002</v>
      </c>
      <c r="T4139">
        <v>-0.2131808</v>
      </c>
      <c r="U4139">
        <v>-3.097839</v>
      </c>
      <c r="V4139">
        <v>-9.8039260000000003E-2</v>
      </c>
      <c r="W4139">
        <v>0.21015420000000001</v>
      </c>
      <c r="X4139">
        <v>0.97274020000000005</v>
      </c>
      <c r="Y4139">
        <v>-4.6186629999999999E-2</v>
      </c>
      <c r="Z4139">
        <v>5.440557E-2</v>
      </c>
      <c r="AA4139">
        <v>0.99745019999999995</v>
      </c>
      <c r="AB4139">
        <v>31</v>
      </c>
      <c r="AC4139">
        <v>1.32019999999999</v>
      </c>
      <c r="AD4139">
        <v>-1.1212420401909999</v>
      </c>
      <c r="AE4139">
        <v>-15.925379999999899</v>
      </c>
      <c r="AF4139">
        <v>-0.75390638035352997</v>
      </c>
      <c r="AG4139">
        <v>-1.1212420401909999</v>
      </c>
      <c r="AH4139">
        <v>15.8838396105676</v>
      </c>
      <c r="AI4139">
        <v>94.033292151261406</v>
      </c>
      <c r="AJ4139">
        <v>92.717432398457305</v>
      </c>
      <c r="AK4139">
        <v>15.9412019407968</v>
      </c>
      <c r="AL4139">
        <v>77.868610974082898</v>
      </c>
      <c r="AM4139">
        <v>95.755217101237307</v>
      </c>
      <c r="AN4139">
        <v>0.99999999048751298</v>
      </c>
    </row>
    <row r="4140" spans="1:40" x14ac:dyDescent="0.25">
      <c r="A4140" t="str">
        <f>"20190303162636281"</f>
        <v>20190303162636281</v>
      </c>
      <c r="B4140" t="str">
        <f>"1551601596267654"</f>
        <v>1551601596267654</v>
      </c>
      <c r="C4140" t="s">
        <v>40</v>
      </c>
      <c r="D4140">
        <v>4.5883710000000004</v>
      </c>
      <c r="E4140">
        <v>0.54197469999999903</v>
      </c>
      <c r="F4140" t="s">
        <v>41</v>
      </c>
      <c r="G4140">
        <v>-421.16660000000002</v>
      </c>
      <c r="H4140" s="1">
        <v>-3.0058329999999999E-6</v>
      </c>
      <c r="I4140">
        <v>45.872210000000003</v>
      </c>
      <c r="J4140">
        <v>-421.89370000000002</v>
      </c>
      <c r="K4140">
        <v>1.1212340000000001</v>
      </c>
      <c r="L4140">
        <v>57.032440000000001</v>
      </c>
      <c r="M4140">
        <v>3.499037E-2</v>
      </c>
      <c r="N4140">
        <v>-1.4075030000000001E-2</v>
      </c>
      <c r="O4140">
        <v>-0.99928859999999997</v>
      </c>
      <c r="P4140">
        <v>0.13008049999999999</v>
      </c>
      <c r="Q4140">
        <v>0.19447880000000001</v>
      </c>
      <c r="R4140">
        <v>-0.97224310000000003</v>
      </c>
      <c r="S4140">
        <v>0.1989746</v>
      </c>
      <c r="T4140">
        <v>-0.2991259</v>
      </c>
      <c r="U4140">
        <v>-3.1212460000000002</v>
      </c>
      <c r="V4140">
        <v>-9.5902950000000001E-2</v>
      </c>
      <c r="W4140">
        <v>0.20823449999999999</v>
      </c>
      <c r="X4140">
        <v>0.97336579999999995</v>
      </c>
      <c r="Y4140">
        <v>-2.8425200000000001E-2</v>
      </c>
      <c r="Z4140">
        <v>8.1191239999999998E-2</v>
      </c>
      <c r="AA4140">
        <v>0.99629310000000004</v>
      </c>
      <c r="AB4140">
        <v>31</v>
      </c>
      <c r="AC4140">
        <v>0.72710000000000696</v>
      </c>
      <c r="AD4140">
        <v>-1.1212370058329999</v>
      </c>
      <c r="AE4140">
        <v>-11.16023</v>
      </c>
      <c r="AF4140">
        <v>-0.33277075874339901</v>
      </c>
      <c r="AG4140">
        <v>-1.1212370058329999</v>
      </c>
      <c r="AH4140">
        <v>11.067598322715099</v>
      </c>
      <c r="AI4140">
        <v>95.782192893313507</v>
      </c>
      <c r="AJ4140">
        <v>91.722199979652103</v>
      </c>
      <c r="AK4140">
        <v>11.1292246555675</v>
      </c>
      <c r="AL4140">
        <v>77.981090306764798</v>
      </c>
      <c r="AM4140">
        <v>95.627027970593204</v>
      </c>
      <c r="AN4140">
        <v>0.99999998170929605</v>
      </c>
    </row>
    <row r="4141" spans="1:40" x14ac:dyDescent="0.25">
      <c r="A4141" t="str">
        <f>"20190303162636303"</f>
        <v>20190303162636303</v>
      </c>
      <c r="B4141" t="str">
        <f>"1551601596297910"</f>
        <v>1551601596297910</v>
      </c>
      <c r="C4141" t="s">
        <v>40</v>
      </c>
      <c r="D4141">
        <v>4.5945799999999997</v>
      </c>
      <c r="E4141">
        <v>0.54146859999999997</v>
      </c>
      <c r="F4141" t="s">
        <v>42</v>
      </c>
      <c r="G4141">
        <v>-421.88170000000002</v>
      </c>
      <c r="H4141">
        <v>0.92611379999999999</v>
      </c>
      <c r="I4141">
        <v>56.12115</v>
      </c>
      <c r="J4141">
        <v>-421.88310000000001</v>
      </c>
      <c r="K4141">
        <v>1.1212329999999999</v>
      </c>
      <c r="L4141">
        <v>56.725949999999997</v>
      </c>
      <c r="M4141">
        <v>3.4831929999999997E-2</v>
      </c>
      <c r="N4141">
        <v>-1.4072029999999999E-2</v>
      </c>
      <c r="O4141">
        <v>-0.99929409999999996</v>
      </c>
      <c r="P4141">
        <v>0.12950829999999999</v>
      </c>
      <c r="Q4141">
        <v>0.19416149999999999</v>
      </c>
      <c r="R4141">
        <v>-0.97238309999999994</v>
      </c>
      <c r="S4141">
        <v>4.3579100000000003E-2</v>
      </c>
      <c r="T4141">
        <v>-0.68893719999999903</v>
      </c>
      <c r="U4141">
        <v>-3.2176209999999998</v>
      </c>
      <c r="V4141">
        <v>-9.5480700000000002E-2</v>
      </c>
      <c r="W4141">
        <v>0.20791599999999999</v>
      </c>
      <c r="X4141">
        <v>0.97347539999999999</v>
      </c>
      <c r="Y4141">
        <v>2.1524979999999999E-2</v>
      </c>
      <c r="Z4141">
        <v>0.1953686</v>
      </c>
      <c r="AA4141">
        <v>0.98049370000000002</v>
      </c>
      <c r="AB4141">
        <v>31</v>
      </c>
      <c r="AC4141">
        <v>1.39999999998963E-3</v>
      </c>
      <c r="AD4141">
        <v>-0.19511919999999899</v>
      </c>
      <c r="AE4141">
        <v>-0.60479999999999701</v>
      </c>
      <c r="AF4141">
        <v>1.7815065994971398E-2</v>
      </c>
      <c r="AG4141">
        <v>-0.19511919999999899</v>
      </c>
      <c r="AH4141">
        <v>0.54749728049396496</v>
      </c>
      <c r="AI4141">
        <v>109.605662752955</v>
      </c>
      <c r="AJ4141">
        <v>88.136304760205306</v>
      </c>
      <c r="AK4141">
        <v>0.58149991481799201</v>
      </c>
      <c r="AL4141">
        <v>77.999747473629498</v>
      </c>
      <c r="AM4141">
        <v>95.601784011670603</v>
      </c>
      <c r="AN4141">
        <v>0.999999990766825</v>
      </c>
    </row>
    <row r="4142" spans="1:40" x14ac:dyDescent="0.25">
      <c r="A4142" t="str">
        <f>"20190303162636335"</f>
        <v>20190303162636335</v>
      </c>
      <c r="B4142" t="str">
        <f>"1551601596328166"</f>
        <v>1551601596328166</v>
      </c>
      <c r="C4142" t="s">
        <v>40</v>
      </c>
      <c r="D4142">
        <v>4.6443070000000004</v>
      </c>
      <c r="E4142">
        <v>0.54100700000000002</v>
      </c>
      <c r="F4142" t="s">
        <v>42</v>
      </c>
      <c r="G4142">
        <v>-421.87060000000002</v>
      </c>
      <c r="H4142">
        <v>0.91947999999999996</v>
      </c>
      <c r="I4142">
        <v>55.847630000000002</v>
      </c>
      <c r="J4142">
        <v>-421.86759999999998</v>
      </c>
      <c r="K4142">
        <v>1.1212329999999999</v>
      </c>
      <c r="L4142">
        <v>56.271120000000003</v>
      </c>
      <c r="M4142">
        <v>3.4597780000000002E-2</v>
      </c>
      <c r="N4142">
        <v>-1.406759E-2</v>
      </c>
      <c r="O4142">
        <v>-0.99930240000000004</v>
      </c>
      <c r="P4142">
        <v>0.13037489999999999</v>
      </c>
      <c r="Q4142">
        <v>0.1941821</v>
      </c>
      <c r="R4142">
        <v>-0.9722634</v>
      </c>
      <c r="S4142">
        <v>4.5684809999999999E-2</v>
      </c>
      <c r="T4142">
        <v>-0.74127980000000004</v>
      </c>
      <c r="U4142">
        <v>-3.2271420000000002</v>
      </c>
      <c r="V4142">
        <v>-9.6579529999999997E-2</v>
      </c>
      <c r="W4142">
        <v>0.2079309</v>
      </c>
      <c r="X4142">
        <v>0.9733638</v>
      </c>
      <c r="Y4142">
        <v>2.073204E-2</v>
      </c>
      <c r="Z4142">
        <v>0.2099087</v>
      </c>
      <c r="AA4142">
        <v>0.97750119999999896</v>
      </c>
      <c r="AB4142">
        <v>31</v>
      </c>
      <c r="AC4142">
        <v>-3.0000000000427402E-3</v>
      </c>
      <c r="AD4142">
        <v>-0.20175299999999999</v>
      </c>
      <c r="AE4142">
        <v>-0.42348999999999298</v>
      </c>
      <c r="AF4142">
        <v>1.4386448712845799E-2</v>
      </c>
      <c r="AG4142">
        <v>-0.20175299999999999</v>
      </c>
      <c r="AH4142">
        <v>0.34486515621686697</v>
      </c>
      <c r="AI4142">
        <v>120.306780707759</v>
      </c>
      <c r="AJ4142">
        <v>87.611225350296095</v>
      </c>
      <c r="AK4142">
        <v>0.39980397557809599</v>
      </c>
      <c r="AL4142">
        <v>77.998874511730904</v>
      </c>
      <c r="AM4142">
        <v>95.666479869381504</v>
      </c>
      <c r="AN4142">
        <v>0.99999997597013501</v>
      </c>
    </row>
    <row r="4143" spans="1:40" x14ac:dyDescent="0.25">
      <c r="A4143" t="str">
        <f>"20190303162636358"</f>
        <v>20190303162636358</v>
      </c>
      <c r="B4143" t="str">
        <f>"1551601596347686"</f>
        <v>1551601596347686</v>
      </c>
      <c r="C4143" t="s">
        <v>40</v>
      </c>
      <c r="D4143">
        <v>4.6635949999999999</v>
      </c>
      <c r="E4143">
        <v>0.54085859999999997</v>
      </c>
      <c r="F4143" t="s">
        <v>42</v>
      </c>
      <c r="G4143">
        <v>-421.85610000000003</v>
      </c>
      <c r="H4143">
        <v>0.95455849999999998</v>
      </c>
      <c r="I4143">
        <v>55.555120000000002</v>
      </c>
      <c r="J4143">
        <v>-421.8571</v>
      </c>
      <c r="K4143">
        <v>1.121221</v>
      </c>
      <c r="L4143">
        <v>55.965969999999999</v>
      </c>
      <c r="M4143">
        <v>3.4440930000000002E-2</v>
      </c>
      <c r="N4143">
        <v>-1.406456E-2</v>
      </c>
      <c r="O4143">
        <v>-0.99930770000000002</v>
      </c>
      <c r="P4143">
        <v>0.13042010000000001</v>
      </c>
      <c r="Q4143">
        <v>0.19345499999999999</v>
      </c>
      <c r="R4143">
        <v>-0.97240199999999999</v>
      </c>
      <c r="S4143">
        <v>5.2551269999999997E-2</v>
      </c>
      <c r="T4143">
        <v>-0.75158249999999904</v>
      </c>
      <c r="U4143">
        <v>-3.2286380000000001</v>
      </c>
      <c r="V4143">
        <v>-9.6773479999999995E-2</v>
      </c>
      <c r="W4143">
        <v>0.20720269999999999</v>
      </c>
      <c r="X4143">
        <v>0.97349980000000003</v>
      </c>
      <c r="Y4143">
        <v>1.8516669999999999E-2</v>
      </c>
      <c r="Z4143">
        <v>0.2127744</v>
      </c>
      <c r="AA4143">
        <v>0.97692590000000001</v>
      </c>
      <c r="AB4143">
        <v>31</v>
      </c>
      <c r="AC4143">
        <v>9.9999999997635292E-4</v>
      </c>
      <c r="AD4143">
        <v>-0.16666249999999999</v>
      </c>
      <c r="AE4143">
        <v>-0.41085000000000299</v>
      </c>
      <c r="AF4143">
        <v>1.12936436607129E-2</v>
      </c>
      <c r="AG4143">
        <v>-0.16666249999999999</v>
      </c>
      <c r="AH4143">
        <v>0.35261644861500901</v>
      </c>
      <c r="AI4143">
        <v>115.286193025918</v>
      </c>
      <c r="AJ4143">
        <v>88.165550705426497</v>
      </c>
      <c r="AK4143">
        <v>0.39018238700285601</v>
      </c>
      <c r="AL4143">
        <v>78.041526060717402</v>
      </c>
      <c r="AM4143">
        <v>95.6769969405468</v>
      </c>
      <c r="AN4143">
        <v>0.99999996295931903</v>
      </c>
    </row>
    <row r="4144" spans="1:40" x14ac:dyDescent="0.25">
      <c r="A4144" t="str">
        <f>"20190303162636381"</f>
        <v>20190303162636381</v>
      </c>
      <c r="B4144" t="str">
        <f>"1551601596377942"</f>
        <v>1551601596377942</v>
      </c>
      <c r="C4144" t="s">
        <v>40</v>
      </c>
      <c r="D4144">
        <v>4.7196470000000001</v>
      </c>
      <c r="E4144">
        <v>0.54087949999999996</v>
      </c>
      <c r="F4144" t="s">
        <v>42</v>
      </c>
      <c r="G4144">
        <v>-421.84530000000001</v>
      </c>
      <c r="H4144">
        <v>0.95993689999999998</v>
      </c>
      <c r="I4144">
        <v>55.276620000000001</v>
      </c>
      <c r="J4144">
        <v>-421.84660000000002</v>
      </c>
      <c r="K4144">
        <v>1.121213</v>
      </c>
      <c r="L4144">
        <v>55.652799999999999</v>
      </c>
      <c r="M4144">
        <v>3.4279730000000001E-2</v>
      </c>
      <c r="N4144">
        <v>-1.404912E-2</v>
      </c>
      <c r="O4144">
        <v>-0.99931349999999997</v>
      </c>
      <c r="P4144">
        <v>0.12977169999999999</v>
      </c>
      <c r="Q4144">
        <v>0.19153719999999999</v>
      </c>
      <c r="R4144">
        <v>-0.97286859999999997</v>
      </c>
      <c r="S4144">
        <v>5.5267330000000003E-2</v>
      </c>
      <c r="T4144">
        <v>-0.75522449999999997</v>
      </c>
      <c r="U4144">
        <v>-3.2279969999999998</v>
      </c>
      <c r="V4144">
        <v>-9.6267530000000004E-2</v>
      </c>
      <c r="W4144">
        <v>0.20527570000000001</v>
      </c>
      <c r="X4144">
        <v>0.97395810000000005</v>
      </c>
      <c r="Y4144">
        <v>1.753619E-2</v>
      </c>
      <c r="Z4144">
        <v>0.21387909999999999</v>
      </c>
      <c r="AA4144">
        <v>0.97670270000000003</v>
      </c>
      <c r="AB4144">
        <v>31</v>
      </c>
      <c r="AC4144">
        <v>1.3000000000147299E-3</v>
      </c>
      <c r="AD4144">
        <v>-0.16127609999999901</v>
      </c>
      <c r="AE4144">
        <v>-0.37618000000000501</v>
      </c>
      <c r="AF4144">
        <v>9.7967517818150704E-3</v>
      </c>
      <c r="AG4144">
        <v>-0.16127609999999901</v>
      </c>
      <c r="AH4144">
        <v>0.31762435668373701</v>
      </c>
      <c r="AI4144">
        <v>116.90852211852101</v>
      </c>
      <c r="AJ4144">
        <v>88.233338786135405</v>
      </c>
      <c r="AK4144">
        <v>0.356358230907386</v>
      </c>
      <c r="AL4144">
        <v>78.154360848362401</v>
      </c>
      <c r="AM4144">
        <v>95.644868605897699</v>
      </c>
      <c r="AN4144">
        <v>0.9999999654492</v>
      </c>
    </row>
    <row r="4145" spans="1:40" x14ac:dyDescent="0.25">
      <c r="A4145" t="str">
        <f>"20190303162636404"</f>
        <v>20190303162636404</v>
      </c>
      <c r="B4145" t="str">
        <f>"1551601596398438"</f>
        <v>1551601596398438</v>
      </c>
      <c r="C4145" t="s">
        <v>40</v>
      </c>
      <c r="D4145">
        <v>4.8095189999999999</v>
      </c>
      <c r="E4145">
        <v>0.54121889999999995</v>
      </c>
      <c r="F4145" t="s">
        <v>42</v>
      </c>
      <c r="G4145">
        <v>-421.83179999999999</v>
      </c>
      <c r="H4145">
        <v>0.90692989999999996</v>
      </c>
      <c r="I4145">
        <v>54.749879999999997</v>
      </c>
      <c r="J4145">
        <v>-421.83580000000001</v>
      </c>
      <c r="K4145">
        <v>1.1211990000000001</v>
      </c>
      <c r="L4145">
        <v>55.333530000000003</v>
      </c>
      <c r="M4145">
        <v>3.4115529999999998E-2</v>
      </c>
      <c r="N4145">
        <v>-1.402014E-2</v>
      </c>
      <c r="O4145">
        <v>-0.99931950000000003</v>
      </c>
      <c r="P4145">
        <v>0.12850690000000001</v>
      </c>
      <c r="Q4145">
        <v>0.19026960000000001</v>
      </c>
      <c r="R4145">
        <v>-0.97328499999999996</v>
      </c>
      <c r="S4145">
        <v>5.3497309999999999E-2</v>
      </c>
      <c r="T4145">
        <v>-0.76591239999999905</v>
      </c>
      <c r="U4145">
        <v>-3.227325</v>
      </c>
      <c r="V4145">
        <v>-9.5150289999999998E-2</v>
      </c>
      <c r="W4145">
        <v>0.20398469999999999</v>
      </c>
      <c r="X4145">
        <v>0.97433910000000001</v>
      </c>
      <c r="Y4145">
        <v>1.7914409999999999E-2</v>
      </c>
      <c r="Z4145">
        <v>0.21701490000000001</v>
      </c>
      <c r="AA4145">
        <v>0.97600390000000004</v>
      </c>
      <c r="AB4145">
        <v>31</v>
      </c>
      <c r="AC4145">
        <v>4.0000000000190898E-3</v>
      </c>
      <c r="AD4145">
        <v>-0.21426909999999999</v>
      </c>
      <c r="AE4145">
        <v>-0.583649999999998</v>
      </c>
      <c r="AF4145">
        <v>1.4025585901906701E-2</v>
      </c>
      <c r="AG4145">
        <v>-0.21426909999999999</v>
      </c>
      <c r="AH4145">
        <v>0.51415404556567401</v>
      </c>
      <c r="AI4145">
        <v>112.61593085883899</v>
      </c>
      <c r="AJ4145">
        <v>88.4374184335298</v>
      </c>
      <c r="AK4145">
        <v>0.55719148131163199</v>
      </c>
      <c r="AL4145">
        <v>78.229929290380298</v>
      </c>
      <c r="AM4145">
        <v>95.577604364889694</v>
      </c>
      <c r="AN4145">
        <v>1.0000000086549901</v>
      </c>
    </row>
    <row r="4146" spans="1:40" x14ac:dyDescent="0.25">
      <c r="A4146" t="str">
        <f>"20190303162636448"</f>
        <v>20190303162636448</v>
      </c>
      <c r="B4146" t="str">
        <f>"1551601596437478"</f>
        <v>1551601596437478</v>
      </c>
      <c r="C4146" t="s">
        <v>40</v>
      </c>
      <c r="D4146">
        <v>4.7925829999999996</v>
      </c>
      <c r="E4146">
        <v>0.52917340000000002</v>
      </c>
      <c r="F4146" t="s">
        <v>42</v>
      </c>
      <c r="G4146">
        <v>-421.82380000000001</v>
      </c>
      <c r="H4146">
        <v>0.91315139999999995</v>
      </c>
      <c r="I4146">
        <v>54.471969999999999</v>
      </c>
      <c r="J4146">
        <v>-421.81580000000002</v>
      </c>
      <c r="K4146">
        <v>1.1211899999999999</v>
      </c>
      <c r="L4146">
        <v>54.736240000000002</v>
      </c>
      <c r="M4146">
        <v>3.3809730000000003E-2</v>
      </c>
      <c r="N4146">
        <v>-1.3946490000000001E-2</v>
      </c>
      <c r="O4146">
        <v>-0.99933119999999998</v>
      </c>
      <c r="P4146">
        <v>0.12638179999999999</v>
      </c>
      <c r="Q4146">
        <v>0.18965280000000001</v>
      </c>
      <c r="R4146">
        <v>-0.97368390000000005</v>
      </c>
      <c r="S4146">
        <v>4.605103E-2</v>
      </c>
      <c r="T4146">
        <v>-0.77965589999999996</v>
      </c>
      <c r="U4146">
        <v>-3.2286990000000002</v>
      </c>
      <c r="V4146">
        <v>-9.3312259999999994E-2</v>
      </c>
      <c r="W4146">
        <v>0.20329990000000001</v>
      </c>
      <c r="X4146">
        <v>0.97465990000000002</v>
      </c>
      <c r="Y4146">
        <v>1.9874300000000001E-2</v>
      </c>
      <c r="Z4146">
        <v>0.22092049999999999</v>
      </c>
      <c r="AA4146">
        <v>0.97508930000000005</v>
      </c>
      <c r="AB4146">
        <v>31</v>
      </c>
      <c r="AC4146">
        <v>-7.9999999999813502E-3</v>
      </c>
      <c r="AD4146">
        <v>-0.20803859999999899</v>
      </c>
      <c r="AE4146">
        <v>-0.264270000000003</v>
      </c>
      <c r="AF4146">
        <v>1.04568527705528E-2</v>
      </c>
      <c r="AG4146">
        <v>-0.20803859999999899</v>
      </c>
      <c r="AH4146">
        <v>0.162955096182022</v>
      </c>
      <c r="AI4146">
        <v>141.871501459787</v>
      </c>
      <c r="AJ4146">
        <v>86.328355489673598</v>
      </c>
      <c r="AK4146">
        <v>0.26446884170260399</v>
      </c>
      <c r="AL4146">
        <v>78.270004804405005</v>
      </c>
      <c r="AM4146">
        <v>95.468731419095903</v>
      </c>
      <c r="AN4146">
        <v>0.999999973937163</v>
      </c>
    </row>
    <row r="4147" spans="1:40" x14ac:dyDescent="0.25">
      <c r="A4147" t="str">
        <f>"20190303162636469"</f>
        <v>20190303162636469</v>
      </c>
      <c r="B4147" t="str">
        <f>"1551601596457974"</f>
        <v>1551601596457974</v>
      </c>
      <c r="C4147" t="s">
        <v>40</v>
      </c>
      <c r="D4147">
        <v>4.8238519999999996</v>
      </c>
      <c r="E4147">
        <v>0.52913580000000004</v>
      </c>
      <c r="F4147" t="s">
        <v>42</v>
      </c>
      <c r="G4147">
        <v>-421.7851</v>
      </c>
      <c r="H4147">
        <v>0.84683949999999997</v>
      </c>
      <c r="I4147">
        <v>53.950609999999998</v>
      </c>
      <c r="J4147">
        <v>-421.8057</v>
      </c>
      <c r="K4147">
        <v>1.121176</v>
      </c>
      <c r="L4147">
        <v>54.43188</v>
      </c>
      <c r="M4147">
        <v>3.3653750000000003E-2</v>
      </c>
      <c r="N4147">
        <v>-1.3893529999999999E-2</v>
      </c>
      <c r="O4147">
        <v>-0.99933709999999998</v>
      </c>
      <c r="P4147">
        <v>0.12553810000000001</v>
      </c>
      <c r="Q4147">
        <v>0.1890908</v>
      </c>
      <c r="R4147">
        <v>-0.97390220000000005</v>
      </c>
      <c r="S4147">
        <v>0.13027949999999999</v>
      </c>
      <c r="T4147">
        <v>-1.148115</v>
      </c>
      <c r="U4147">
        <v>-3.287811</v>
      </c>
      <c r="V4147">
        <v>-9.2614550000000004E-2</v>
      </c>
      <c r="W4147">
        <v>0.2026887</v>
      </c>
      <c r="X4147">
        <v>0.97485379999999999</v>
      </c>
      <c r="Y4147">
        <v>-3.8942960000000002E-3</v>
      </c>
      <c r="Z4147">
        <v>0.3161544</v>
      </c>
      <c r="AA4147">
        <v>0.94869979999999998</v>
      </c>
      <c r="AB4147">
        <v>31</v>
      </c>
      <c r="AC4147">
        <v>2.06000000000017E-2</v>
      </c>
      <c r="AD4147">
        <v>-0.27433649999999898</v>
      </c>
      <c r="AE4147">
        <v>-0.48127000000000902</v>
      </c>
      <c r="AF4147">
        <v>-3.31504124410039E-3</v>
      </c>
      <c r="AG4147">
        <v>-0.27433649999999898</v>
      </c>
      <c r="AH4147">
        <v>0.36372250321507299</v>
      </c>
      <c r="AI4147">
        <v>127.024160203723</v>
      </c>
      <c r="AJ4147">
        <v>90.522190987588601</v>
      </c>
      <c r="AK4147">
        <v>0.45559363919587198</v>
      </c>
      <c r="AL4147">
        <v>78.305769465878299</v>
      </c>
      <c r="AM4147">
        <v>95.42701281347</v>
      </c>
      <c r="AN4147">
        <v>1.00000004767691</v>
      </c>
    </row>
    <row r="4148" spans="1:40" x14ac:dyDescent="0.25">
      <c r="A4148" t="str">
        <f>"20190303162636493"</f>
        <v>20190303162636493</v>
      </c>
      <c r="B4148" t="str">
        <f>"1551601596488229"</f>
        <v>1551601596488229</v>
      </c>
      <c r="C4148" t="s">
        <v>40</v>
      </c>
      <c r="D4148">
        <v>4.8037269999999896</v>
      </c>
      <c r="E4148">
        <v>0.52991100000000002</v>
      </c>
      <c r="F4148" t="s">
        <v>42</v>
      </c>
      <c r="G4148">
        <v>-421.77600000000001</v>
      </c>
      <c r="H4148">
        <v>0.85475979999999996</v>
      </c>
      <c r="I4148">
        <v>53.672519999999999</v>
      </c>
      <c r="J4148">
        <v>-421.79509999999999</v>
      </c>
      <c r="K4148">
        <v>1.1211679999999999</v>
      </c>
      <c r="L4148">
        <v>54.111939999999997</v>
      </c>
      <c r="M4148">
        <v>3.3490550000000001E-2</v>
      </c>
      <c r="N4148">
        <v>-1.383123E-2</v>
      </c>
      <c r="O4148">
        <v>-0.99934330000000005</v>
      </c>
      <c r="P4148">
        <v>0.12532489999999999</v>
      </c>
      <c r="Q4148">
        <v>0.1881235</v>
      </c>
      <c r="R4148">
        <v>-0.97411650000000005</v>
      </c>
      <c r="S4148">
        <v>0.12799070000000001</v>
      </c>
      <c r="T4148">
        <v>-1.153521</v>
      </c>
      <c r="U4148">
        <v>-3.2878720000000001</v>
      </c>
      <c r="V4148">
        <v>-9.2554109999999995E-2</v>
      </c>
      <c r="W4148">
        <v>0.2016636</v>
      </c>
      <c r="X4148">
        <v>0.9750721</v>
      </c>
      <c r="Y4148">
        <v>-3.3800060000000001E-3</v>
      </c>
      <c r="Z4148">
        <v>0.3176022</v>
      </c>
      <c r="AA4148">
        <v>0.94821800000000001</v>
      </c>
      <c r="AB4148">
        <v>31</v>
      </c>
      <c r="AC4148">
        <v>1.9099999999980299E-2</v>
      </c>
      <c r="AD4148">
        <v>-0.26640819999999998</v>
      </c>
      <c r="AE4148">
        <v>-0.43942000000000497</v>
      </c>
      <c r="AF4148">
        <v>-3.19814475480319E-3</v>
      </c>
      <c r="AG4148">
        <v>-0.26640819999999998</v>
      </c>
      <c r="AH4148">
        <v>0.32176593889523403</v>
      </c>
      <c r="AI4148">
        <v>129.62188773117001</v>
      </c>
      <c r="AJ4148">
        <v>90.569464137708295</v>
      </c>
      <c r="AK4148">
        <v>0.41775217125736602</v>
      </c>
      <c r="AL4148">
        <v>78.365741705408098</v>
      </c>
      <c r="AM4148">
        <v>95.422285305901795</v>
      </c>
      <c r="AN4148">
        <v>1.00000003552063</v>
      </c>
    </row>
    <row r="4149" spans="1:40" x14ac:dyDescent="0.25">
      <c r="A4149" t="str">
        <f>"20190303162636514"</f>
        <v>20190303162636514</v>
      </c>
      <c r="B4149" t="str">
        <f>"1551601596507751"</f>
        <v>1551601596507751</v>
      </c>
      <c r="C4149" t="s">
        <v>40</v>
      </c>
      <c r="D4149">
        <v>4.8665339999999997</v>
      </c>
      <c r="E4149">
        <v>0.53026209999999996</v>
      </c>
      <c r="F4149" t="s">
        <v>42</v>
      </c>
      <c r="G4149">
        <v>-421.7688</v>
      </c>
      <c r="H4149">
        <v>0.869063699999999</v>
      </c>
      <c r="I4149">
        <v>53.391849999999998</v>
      </c>
      <c r="J4149">
        <v>-421.78519999999997</v>
      </c>
      <c r="K4149">
        <v>1.121159</v>
      </c>
      <c r="L4149">
        <v>53.811219999999999</v>
      </c>
      <c r="M4149">
        <v>3.3337800000000001E-2</v>
      </c>
      <c r="N4149">
        <v>-1.3770569999999999E-2</v>
      </c>
      <c r="O4149">
        <v>-0.9993495</v>
      </c>
      <c r="P4149">
        <v>0.12530669999999999</v>
      </c>
      <c r="Q4149">
        <v>0.18849250000000001</v>
      </c>
      <c r="R4149">
        <v>-0.97404800000000002</v>
      </c>
      <c r="S4149">
        <v>0.1208801</v>
      </c>
      <c r="T4149">
        <v>-1.1505449999999999</v>
      </c>
      <c r="U4149">
        <v>-3.2863769999999999</v>
      </c>
      <c r="V4149">
        <v>-9.268759E-2</v>
      </c>
      <c r="W4149">
        <v>0.20197190000000001</v>
      </c>
      <c r="X4149">
        <v>0.97499559999999996</v>
      </c>
      <c r="Y4149">
        <v>-1.5127599999999999E-3</v>
      </c>
      <c r="Z4149">
        <v>0.31704500000000002</v>
      </c>
      <c r="AA4149">
        <v>0.94840930000000001</v>
      </c>
      <c r="AB4149">
        <v>31</v>
      </c>
      <c r="AC4149">
        <v>1.6399999999975899E-2</v>
      </c>
      <c r="AD4149">
        <v>-0.25209530000000002</v>
      </c>
      <c r="AE4149">
        <v>-0.41937000000000002</v>
      </c>
      <c r="AF4149">
        <v>-1.7700468093669499E-3</v>
      </c>
      <c r="AG4149">
        <v>-0.25209530000000002</v>
      </c>
      <c r="AH4149">
        <v>0.30840862794478002</v>
      </c>
      <c r="AI4149">
        <v>129.26233409984101</v>
      </c>
      <c r="AJ4149">
        <v>90.328833531290698</v>
      </c>
      <c r="AK4149">
        <v>0.39833535512000301</v>
      </c>
      <c r="AL4149">
        <v>78.347706225864599</v>
      </c>
      <c r="AM4149">
        <v>95.4304820341398</v>
      </c>
      <c r="AN4149">
        <v>1.0000000288744799</v>
      </c>
    </row>
    <row r="4150" spans="1:40" x14ac:dyDescent="0.25">
      <c r="A4150" t="str">
        <f>"20190303162636537"</f>
        <v>20190303162636537</v>
      </c>
      <c r="B4150" t="str">
        <f>"1551601596528245"</f>
        <v>1551601596528245</v>
      </c>
      <c r="C4150" t="s">
        <v>40</v>
      </c>
      <c r="D4150">
        <v>4.8704619999999998</v>
      </c>
      <c r="E4150">
        <v>0.53069569999999999</v>
      </c>
      <c r="F4150" t="s">
        <v>42</v>
      </c>
      <c r="G4150">
        <v>-421.75970000000001</v>
      </c>
      <c r="H4150">
        <v>0.87809530000000002</v>
      </c>
      <c r="I4150">
        <v>53.113610000000001</v>
      </c>
      <c r="J4150">
        <v>-421.77530000000002</v>
      </c>
      <c r="K4150">
        <v>1.1211580000000001</v>
      </c>
      <c r="L4150">
        <v>53.507930000000002</v>
      </c>
      <c r="M4150">
        <v>3.3183329999999997E-2</v>
      </c>
      <c r="N4150">
        <v>-1.37115E-2</v>
      </c>
      <c r="O4150">
        <v>-0.99935529999999995</v>
      </c>
      <c r="P4150">
        <v>0.12552349999999901</v>
      </c>
      <c r="Q4150">
        <v>0.18932360000000001</v>
      </c>
      <c r="R4150">
        <v>-0.97385840000000001</v>
      </c>
      <c r="S4150">
        <v>0.1193237</v>
      </c>
      <c r="T4150">
        <v>-1.1449879999999999</v>
      </c>
      <c r="U4150">
        <v>-3.2861630000000002</v>
      </c>
      <c r="V4150">
        <v>-9.3061580000000005E-2</v>
      </c>
      <c r="W4150">
        <v>0.2027429</v>
      </c>
      <c r="X4150">
        <v>0.97479990000000005</v>
      </c>
      <c r="Y4150">
        <v>-1.2381989999999999E-3</v>
      </c>
      <c r="Z4150">
        <v>0.3156967</v>
      </c>
      <c r="AA4150">
        <v>0.94885929999999996</v>
      </c>
      <c r="AB4150">
        <v>31</v>
      </c>
      <c r="AC4150">
        <v>1.5600000000006199E-2</v>
      </c>
      <c r="AD4150">
        <v>-0.24306269999999999</v>
      </c>
      <c r="AE4150">
        <v>-0.394320000000007</v>
      </c>
      <c r="AF4150">
        <v>-1.81628738358147E-3</v>
      </c>
      <c r="AG4150">
        <v>-0.24306269999999999</v>
      </c>
      <c r="AH4150">
        <v>0.28608806734115799</v>
      </c>
      <c r="AI4150">
        <v>130.35092390374001</v>
      </c>
      <c r="AJ4150">
        <v>90.363748842470699</v>
      </c>
      <c r="AK4150">
        <v>0.375405324024778</v>
      </c>
      <c r="AL4150">
        <v>78.302597544206705</v>
      </c>
      <c r="AM4150">
        <v>95.453349985629103</v>
      </c>
      <c r="AN4150">
        <v>0.99999999310625798</v>
      </c>
    </row>
    <row r="4151" spans="1:40" x14ac:dyDescent="0.25">
      <c r="A4151" t="str">
        <f>"20190303162636564"</f>
        <v>20190303162636564</v>
      </c>
      <c r="B4151" t="str">
        <f>"1551601596557527"</f>
        <v>1551601596557527</v>
      </c>
      <c r="C4151" t="s">
        <v>40</v>
      </c>
      <c r="D4151">
        <v>4.8694350000000002</v>
      </c>
      <c r="E4151">
        <v>0.5312616</v>
      </c>
      <c r="F4151" t="s">
        <v>42</v>
      </c>
      <c r="G4151">
        <v>-421.7516</v>
      </c>
      <c r="H4151">
        <v>0.88850339999999906</v>
      </c>
      <c r="I4151">
        <v>52.834949999999999</v>
      </c>
      <c r="J4151">
        <v>-421.7636</v>
      </c>
      <c r="K4151">
        <v>1.1211500000000001</v>
      </c>
      <c r="L4151">
        <v>53.147640000000003</v>
      </c>
      <c r="M4151">
        <v>3.299912E-2</v>
      </c>
      <c r="N4151">
        <v>-1.364579E-2</v>
      </c>
      <c r="O4151">
        <v>-0.99936219999999998</v>
      </c>
      <c r="P4151">
        <v>0.12567500000000001</v>
      </c>
      <c r="Q4151">
        <v>0.18992729999999999</v>
      </c>
      <c r="R4151">
        <v>-0.97372139999999996</v>
      </c>
      <c r="S4151">
        <v>0.1166382</v>
      </c>
      <c r="T4151">
        <v>-1.1361129999999999</v>
      </c>
      <c r="U4151">
        <v>-3.2863769999999999</v>
      </c>
      <c r="V4151">
        <v>-9.3398170000000003E-2</v>
      </c>
      <c r="W4151">
        <v>0.20328019999999999</v>
      </c>
      <c r="X4151">
        <v>0.97465579999999996</v>
      </c>
      <c r="Y4151">
        <v>-6.7382469999999997E-4</v>
      </c>
      <c r="Z4151">
        <v>0.31346160000000001</v>
      </c>
      <c r="AA4151">
        <v>0.94960060000000002</v>
      </c>
      <c r="AB4151">
        <v>31</v>
      </c>
      <c r="AC4151">
        <v>1.2000000000000399E-2</v>
      </c>
      <c r="AD4151">
        <v>-0.23264660000000001</v>
      </c>
      <c r="AE4151">
        <v>-0.31269000000000302</v>
      </c>
      <c r="AF4151">
        <v>-1.0780942485332701E-3</v>
      </c>
      <c r="AG4151">
        <v>-0.23264660000000001</v>
      </c>
      <c r="AH4151">
        <v>0.20152395995917799</v>
      </c>
      <c r="AI4151">
        <v>139.09971337912799</v>
      </c>
      <c r="AJ4151">
        <v>90.306512739753998</v>
      </c>
      <c r="AK4151">
        <v>0.30779458932280901</v>
      </c>
      <c r="AL4151">
        <v>78.271157832207905</v>
      </c>
      <c r="AM4151">
        <v>95.473758648364395</v>
      </c>
      <c r="AN4151">
        <v>0.99999999317251398</v>
      </c>
    </row>
    <row r="4152" spans="1:40" x14ac:dyDescent="0.25">
      <c r="A4152" t="str">
        <f>"20190303162636584"</f>
        <v>20190303162636584</v>
      </c>
      <c r="B4152" t="str">
        <f>"1551601596578024"</f>
        <v>1551601596578024</v>
      </c>
      <c r="C4152" t="s">
        <v>40</v>
      </c>
      <c r="D4152">
        <v>4.8623839999999996</v>
      </c>
      <c r="E4152">
        <v>0.53158689999999997</v>
      </c>
      <c r="F4152" t="s">
        <v>42</v>
      </c>
      <c r="G4152">
        <v>-421.7346</v>
      </c>
      <c r="H4152">
        <v>0.83433760000000001</v>
      </c>
      <c r="I4152">
        <v>52.310600000000001</v>
      </c>
      <c r="J4152">
        <v>-421.75400000000002</v>
      </c>
      <c r="K4152">
        <v>1.1211519999999999</v>
      </c>
      <c r="L4152">
        <v>52.85474</v>
      </c>
      <c r="M4152">
        <v>3.2848790000000003E-2</v>
      </c>
      <c r="N4152">
        <v>-1.359164E-2</v>
      </c>
      <c r="O4152">
        <v>-0.99936809999999998</v>
      </c>
      <c r="P4152">
        <v>0.12577639999999901</v>
      </c>
      <c r="Q4152">
        <v>0.19015199999999999</v>
      </c>
      <c r="R4152">
        <v>-0.97366470000000005</v>
      </c>
      <c r="S4152">
        <v>0.113647499999999</v>
      </c>
      <c r="T4152">
        <v>-1.12592</v>
      </c>
      <c r="U4152">
        <v>-3.2859189999999998</v>
      </c>
      <c r="V4152">
        <v>-9.3648529999999994E-2</v>
      </c>
      <c r="W4152">
        <v>0.2034512</v>
      </c>
      <c r="X4152">
        <v>0.97459609999999997</v>
      </c>
      <c r="Y4152" s="1">
        <v>3.6195849999999998E-6</v>
      </c>
      <c r="Z4152">
        <v>0.3109285</v>
      </c>
      <c r="AA4152">
        <v>0.95043330000000004</v>
      </c>
      <c r="AB4152">
        <v>31</v>
      </c>
      <c r="AC4152">
        <v>1.9400000000018701E-2</v>
      </c>
      <c r="AD4152">
        <v>-0.28681440000000002</v>
      </c>
      <c r="AE4152">
        <v>-0.54413999999999796</v>
      </c>
      <c r="AF4152">
        <v>-1.18478737007645E-3</v>
      </c>
      <c r="AG4152">
        <v>-0.28681440000000002</v>
      </c>
      <c r="AH4152">
        <v>0.42621753070950902</v>
      </c>
      <c r="AI4152">
        <v>123.937675565563</v>
      </c>
      <c r="AJ4152">
        <v>90.1592687681472</v>
      </c>
      <c r="AK4152">
        <v>0.51373659325824095</v>
      </c>
      <c r="AL4152">
        <v>78.261151200536702</v>
      </c>
      <c r="AM4152">
        <v>95.488676092099297</v>
      </c>
      <c r="AN4152">
        <v>0.99999999804390505</v>
      </c>
    </row>
    <row r="4153" spans="1:40" x14ac:dyDescent="0.25">
      <c r="A4153" t="str">
        <f>"20190303162636611"</f>
        <v>20190303162636611</v>
      </c>
      <c r="B4153" t="str">
        <f>"1551601596598517"</f>
        <v>1551601596598517</v>
      </c>
      <c r="C4153" t="s">
        <v>40</v>
      </c>
      <c r="D4153">
        <v>4.8974489999999999</v>
      </c>
      <c r="E4153">
        <v>0.53183789999999997</v>
      </c>
      <c r="F4153" t="s">
        <v>42</v>
      </c>
      <c r="G4153">
        <v>-421.72620000000001</v>
      </c>
      <c r="H4153">
        <v>0.84097250000000001</v>
      </c>
      <c r="I4153">
        <v>52.034129999999998</v>
      </c>
      <c r="J4153">
        <v>-421.74290000000002</v>
      </c>
      <c r="K4153">
        <v>1.121148</v>
      </c>
      <c r="L4153">
        <v>52.50864</v>
      </c>
      <c r="M4153">
        <v>3.267221E-2</v>
      </c>
      <c r="N4153">
        <v>-1.3529879999999999E-2</v>
      </c>
      <c r="O4153">
        <v>-0.9993746</v>
      </c>
      <c r="P4153">
        <v>0.1263532</v>
      </c>
      <c r="Q4153">
        <v>0.19102279999999999</v>
      </c>
      <c r="R4153">
        <v>-0.97341949999999999</v>
      </c>
      <c r="S4153">
        <v>0.1115112</v>
      </c>
      <c r="T4153">
        <v>-1.1218760000000001</v>
      </c>
      <c r="U4153">
        <v>-3.285828</v>
      </c>
      <c r="V4153">
        <v>-9.440606E-2</v>
      </c>
      <c r="W4153">
        <v>0.2042583</v>
      </c>
      <c r="X4153">
        <v>0.9743541</v>
      </c>
      <c r="Y4153">
        <v>4.3123340000000002E-4</v>
      </c>
      <c r="Z4153">
        <v>0.30995460000000002</v>
      </c>
      <c r="AA4153">
        <v>0.95075120000000002</v>
      </c>
      <c r="AB4153">
        <v>31</v>
      </c>
      <c r="AC4153">
        <v>1.6700000000014301E-2</v>
      </c>
      <c r="AD4153">
        <v>-0.28017550000000002</v>
      </c>
      <c r="AE4153">
        <v>-0.47451000000000199</v>
      </c>
      <c r="AF4153">
        <v>-8.7996714857796303E-4</v>
      </c>
      <c r="AG4153">
        <v>-0.28017550000000002</v>
      </c>
      <c r="AH4153">
        <v>0.35217430107265302</v>
      </c>
      <c r="AI4153">
        <v>128.504238370927</v>
      </c>
      <c r="AJ4153">
        <v>90.143162912920999</v>
      </c>
      <c r="AK4153">
        <v>0.45002869183913602</v>
      </c>
      <c r="AL4153">
        <v>78.213915130942695</v>
      </c>
      <c r="AM4153">
        <v>95.534165657222005</v>
      </c>
      <c r="AN4153">
        <v>0.99999993473520898</v>
      </c>
    </row>
    <row r="4154" spans="1:40" x14ac:dyDescent="0.25">
      <c r="A4154" t="str">
        <f>"20190303162636633"</f>
        <v>20190303162636633</v>
      </c>
      <c r="B4154" t="str">
        <f>"1551601596627798"</f>
        <v>1551601596627798</v>
      </c>
      <c r="C4154" t="s">
        <v>40</v>
      </c>
      <c r="D4154">
        <v>4.9716490000000002</v>
      </c>
      <c r="E4154">
        <v>0.53205669999999905</v>
      </c>
      <c r="F4154" t="s">
        <v>42</v>
      </c>
      <c r="G4154">
        <v>-421.71679999999998</v>
      </c>
      <c r="H4154">
        <v>0.86351509999999998</v>
      </c>
      <c r="I4154">
        <v>51.750770000000003</v>
      </c>
      <c r="J4154">
        <v>-421.73270000000002</v>
      </c>
      <c r="K4154">
        <v>1.1211469999999999</v>
      </c>
      <c r="L4154">
        <v>52.192500000000003</v>
      </c>
      <c r="M4154">
        <v>3.2512279999999998E-2</v>
      </c>
      <c r="N4154">
        <v>-1.347491E-2</v>
      </c>
      <c r="O4154">
        <v>-0.9993805</v>
      </c>
      <c r="P4154">
        <v>0.1268214</v>
      </c>
      <c r="Q4154">
        <v>0.19145390000000001</v>
      </c>
      <c r="R4154">
        <v>-0.97327390000000003</v>
      </c>
      <c r="S4154">
        <v>0.113647499999999</v>
      </c>
      <c r="T4154">
        <v>-1.1172010000000001</v>
      </c>
      <c r="U4154">
        <v>-3.2864070000000001</v>
      </c>
      <c r="V4154">
        <v>-9.5034450000000006E-2</v>
      </c>
      <c r="W4154">
        <v>0.20463400000000001</v>
      </c>
      <c r="X4154">
        <v>0.97421429999999998</v>
      </c>
      <c r="Y4154">
        <v>-3.5220139999999999E-4</v>
      </c>
      <c r="Z4154">
        <v>0.30874420000000002</v>
      </c>
      <c r="AA4154">
        <v>0.95114509999999997</v>
      </c>
      <c r="AB4154">
        <v>31</v>
      </c>
      <c r="AC4154">
        <v>1.5900000000044601E-2</v>
      </c>
      <c r="AD4154">
        <v>-0.25763189999999903</v>
      </c>
      <c r="AE4154">
        <v>-0.44172999999999901</v>
      </c>
      <c r="AF4154">
        <v>-1.14101264519898E-3</v>
      </c>
      <c r="AG4154">
        <v>-0.25763189999999903</v>
      </c>
      <c r="AH4154">
        <v>0.32992930972597301</v>
      </c>
      <c r="AI4154">
        <v>127.985043459262</v>
      </c>
      <c r="AJ4154">
        <v>90.198148349909204</v>
      </c>
      <c r="AK4154">
        <v>0.41860344865244897</v>
      </c>
      <c r="AL4154">
        <v>78.191926135419493</v>
      </c>
      <c r="AM4154">
        <v>95.571565848357693</v>
      </c>
      <c r="AN4154">
        <v>1.00000006148364</v>
      </c>
    </row>
    <row r="4155" spans="1:40" x14ac:dyDescent="0.25">
      <c r="A4155" t="str">
        <f>"20190303162636657"</f>
        <v>20190303162636657</v>
      </c>
      <c r="B4155" t="str">
        <f>"1551601596648294"</f>
        <v>1551601596648294</v>
      </c>
      <c r="C4155" t="s">
        <v>40</v>
      </c>
      <c r="D4155">
        <v>5.0881169999999996</v>
      </c>
      <c r="E4155">
        <v>0.53216790000000003</v>
      </c>
      <c r="F4155" t="s">
        <v>42</v>
      </c>
      <c r="G4155">
        <v>-421.70749999999998</v>
      </c>
      <c r="H4155">
        <v>0.87655629999999995</v>
      </c>
      <c r="I4155">
        <v>51.471690000000002</v>
      </c>
      <c r="J4155">
        <v>-421.72280000000001</v>
      </c>
      <c r="K4155">
        <v>1.12114</v>
      </c>
      <c r="L4155">
        <v>51.880800000000001</v>
      </c>
      <c r="M4155">
        <v>3.2354229999999998E-2</v>
      </c>
      <c r="N4155">
        <v>-1.3412439999999999E-2</v>
      </c>
      <c r="O4155">
        <v>-0.99938649999999996</v>
      </c>
      <c r="P4155">
        <v>0.12802539999999901</v>
      </c>
      <c r="Q4155">
        <v>0.19144330000000001</v>
      </c>
      <c r="R4155">
        <v>-0.97311840000000005</v>
      </c>
      <c r="S4155">
        <v>0.11373900000000001</v>
      </c>
      <c r="T4155">
        <v>-1.115364</v>
      </c>
      <c r="U4155">
        <v>-3.2869570000000001</v>
      </c>
      <c r="V4155">
        <v>-9.6396969999999998E-2</v>
      </c>
      <c r="W4155">
        <v>0.20456170000000001</v>
      </c>
      <c r="X4155">
        <v>0.9740955</v>
      </c>
      <c r="Y4155">
        <v>-5.3616779999999999E-4</v>
      </c>
      <c r="Z4155">
        <v>0.30828139999999998</v>
      </c>
      <c r="AA4155">
        <v>0.95129509999999995</v>
      </c>
      <c r="AB4155">
        <v>31</v>
      </c>
      <c r="AC4155">
        <v>1.53000000000247E-2</v>
      </c>
      <c r="AD4155">
        <v>-0.24458369999999999</v>
      </c>
      <c r="AE4155">
        <v>-0.40910999999999798</v>
      </c>
      <c r="AF4155">
        <v>-1.5139897181385799E-3</v>
      </c>
      <c r="AG4155">
        <v>-0.24458369999999999</v>
      </c>
      <c r="AH4155">
        <v>0.301706510005818</v>
      </c>
      <c r="AI4155">
        <v>129.03020983024899</v>
      </c>
      <c r="AJ4155">
        <v>90.287512831488101</v>
      </c>
      <c r="AK4155">
        <v>0.38839451161215899</v>
      </c>
      <c r="AL4155">
        <v>78.196156856751699</v>
      </c>
      <c r="AM4155">
        <v>95.651617368301999</v>
      </c>
      <c r="AN4155">
        <v>0.99999995402615904</v>
      </c>
    </row>
    <row r="4156" spans="1:40" x14ac:dyDescent="0.25">
      <c r="A4156" t="str">
        <f>"20190303162636695"</f>
        <v>20190303162636695</v>
      </c>
      <c r="B4156" t="str">
        <f>"1551601596688310"</f>
        <v>1551601596688310</v>
      </c>
      <c r="C4156" t="s">
        <v>40</v>
      </c>
      <c r="D4156">
        <v>5.0362660000000004</v>
      </c>
      <c r="E4156">
        <v>0.49824590000000002</v>
      </c>
      <c r="F4156" t="s">
        <v>42</v>
      </c>
      <c r="G4156">
        <v>-421.69909999999999</v>
      </c>
      <c r="H4156">
        <v>0.88834709999999995</v>
      </c>
      <c r="I4156">
        <v>51.193249999999999</v>
      </c>
      <c r="J4156">
        <v>-421.70600000000002</v>
      </c>
      <c r="K4156">
        <v>1.1210929999999999</v>
      </c>
      <c r="L4156">
        <v>51.35098</v>
      </c>
      <c r="M4156">
        <v>3.2082859999999998E-2</v>
      </c>
      <c r="N4156">
        <v>-1.326685E-2</v>
      </c>
      <c r="O4156">
        <v>-0.99939750000000005</v>
      </c>
      <c r="P4156">
        <v>0.12962939999999901</v>
      </c>
      <c r="Q4156">
        <v>0.19181819999999999</v>
      </c>
      <c r="R4156">
        <v>-0.97283229999999998</v>
      </c>
      <c r="S4156">
        <v>0.11450200000000001</v>
      </c>
      <c r="T4156">
        <v>-1.1128279999999999</v>
      </c>
      <c r="U4156">
        <v>-3.286743</v>
      </c>
      <c r="V4156">
        <v>-9.8271689999999995E-2</v>
      </c>
      <c r="W4156">
        <v>0.2047937</v>
      </c>
      <c r="X4156">
        <v>0.97385940000000004</v>
      </c>
      <c r="Y4156">
        <v>-1.0350170000000001E-3</v>
      </c>
      <c r="Z4156">
        <v>0.30778359999999999</v>
      </c>
      <c r="AA4156">
        <v>0.95145579999999996</v>
      </c>
      <c r="AB4156">
        <v>31</v>
      </c>
      <c r="AC4156">
        <v>6.89999999997326E-3</v>
      </c>
      <c r="AD4156">
        <v>-0.23274590000000001</v>
      </c>
      <c r="AE4156">
        <v>-0.15773000000000001</v>
      </c>
      <c r="AF4156">
        <v>-5.78456552577572E-4</v>
      </c>
      <c r="AG4156">
        <v>-0.23274590000000001</v>
      </c>
      <c r="AH4156">
        <v>4.9750667478526203E-2</v>
      </c>
      <c r="AI4156">
        <v>167.93351122824001</v>
      </c>
      <c r="AJ4156">
        <v>90.666154392672198</v>
      </c>
      <c r="AK4156">
        <v>0.238004448473872</v>
      </c>
      <c r="AL4156">
        <v>78.182576781384896</v>
      </c>
      <c r="AM4156">
        <v>95.762184492497497</v>
      </c>
      <c r="AN4156">
        <v>0.99999995779175199</v>
      </c>
    </row>
    <row r="4157" spans="1:40" x14ac:dyDescent="0.25">
      <c r="A4157" t="str">
        <f>"20190303162636715"</f>
        <v>20190303162636715</v>
      </c>
      <c r="B4157" t="str">
        <f>"1551601596707831"</f>
        <v>1551601596707831</v>
      </c>
      <c r="C4157" t="s">
        <v>40</v>
      </c>
      <c r="D4157">
        <v>5.2376500000000004</v>
      </c>
      <c r="E4157">
        <v>0.4914734</v>
      </c>
      <c r="F4157" t="s">
        <v>41</v>
      </c>
      <c r="G4157">
        <v>-420.46809999999999</v>
      </c>
      <c r="H4157" s="1">
        <v>-9.8132400000000006E-7</v>
      </c>
      <c r="I4157">
        <v>41.586269999999999</v>
      </c>
      <c r="J4157">
        <v>-421.69690000000003</v>
      </c>
      <c r="K4157">
        <v>1.1210739999999999</v>
      </c>
      <c r="L4157">
        <v>51.064329999999998</v>
      </c>
      <c r="M4157">
        <v>3.192627E-2</v>
      </c>
      <c r="N4157">
        <v>-1.3176149999999999E-2</v>
      </c>
      <c r="O4157">
        <v>-0.99940340000000005</v>
      </c>
      <c r="P4157">
        <v>0.1303028</v>
      </c>
      <c r="Q4157">
        <v>0.1908464</v>
      </c>
      <c r="R4157">
        <v>-0.9729333</v>
      </c>
      <c r="S4157">
        <v>0.3931885</v>
      </c>
      <c r="T4157">
        <v>-0.35609629999999998</v>
      </c>
      <c r="U4157">
        <v>-3.1015929999999998</v>
      </c>
      <c r="V4157">
        <v>-9.9095039999999995E-2</v>
      </c>
      <c r="W4157">
        <v>0.203735</v>
      </c>
      <c r="X4157">
        <v>0.97399809999999998</v>
      </c>
      <c r="Y4157">
        <v>-9.331267E-2</v>
      </c>
      <c r="Z4157">
        <v>0.10020469999999999</v>
      </c>
      <c r="AA4157">
        <v>0.9905815</v>
      </c>
      <c r="AB4157">
        <v>31</v>
      </c>
      <c r="AC4157">
        <v>1.2288000000000301</v>
      </c>
      <c r="AD4157">
        <v>-1.121074981324</v>
      </c>
      <c r="AE4157">
        <v>-9.4780599999999993</v>
      </c>
      <c r="AF4157">
        <v>-0.91298621017649695</v>
      </c>
      <c r="AG4157">
        <v>-1.121074981324</v>
      </c>
      <c r="AH4157">
        <v>9.3833549957309597</v>
      </c>
      <c r="AI4157">
        <v>96.781386395658103</v>
      </c>
      <c r="AJ4157">
        <v>95.5572995302294</v>
      </c>
      <c r="AK4157">
        <v>9.4940878397891506</v>
      </c>
      <c r="AL4157">
        <v>78.244543281476595</v>
      </c>
      <c r="AM4157">
        <v>95.809311175450603</v>
      </c>
      <c r="AN4157">
        <v>1.0000000379906</v>
      </c>
    </row>
    <row r="4158" spans="1:40" x14ac:dyDescent="0.25">
      <c r="A4158" t="str">
        <f>"20190303162636738"</f>
        <v>20190303162636738</v>
      </c>
      <c r="B4158" t="str">
        <f>"1551601596728326"</f>
        <v>1551601596728326</v>
      </c>
      <c r="C4158" t="s">
        <v>40</v>
      </c>
      <c r="D4158">
        <v>4.954923</v>
      </c>
      <c r="E4158">
        <v>0.4885504</v>
      </c>
      <c r="F4158" t="s">
        <v>59</v>
      </c>
      <c r="G4158">
        <v>-419.99979999999999</v>
      </c>
      <c r="H4158" s="1">
        <v>-1.2921729999999999E-7</v>
      </c>
      <c r="I4158">
        <v>39.419759999999997</v>
      </c>
      <c r="J4158">
        <v>-421.6875</v>
      </c>
      <c r="K4158">
        <v>1.121059</v>
      </c>
      <c r="L4158">
        <v>50.764159999999997</v>
      </c>
      <c r="M4158">
        <v>3.1762020000000002E-2</v>
      </c>
      <c r="N4158">
        <v>-1.306585E-2</v>
      </c>
      <c r="O4158">
        <v>-0.99941009999999997</v>
      </c>
      <c r="P4158">
        <v>0.1314408</v>
      </c>
      <c r="Q4158">
        <v>0.1905953</v>
      </c>
      <c r="R4158">
        <v>-0.97282919999999995</v>
      </c>
      <c r="S4158">
        <v>0.44909670000000002</v>
      </c>
      <c r="T4158">
        <v>-0.29666779999999998</v>
      </c>
      <c r="U4158">
        <v>-3.0814819999999998</v>
      </c>
      <c r="V4158">
        <v>-0.1003984</v>
      </c>
      <c r="W4158">
        <v>0.20337459999999999</v>
      </c>
      <c r="X4158">
        <v>0.97393989999999997</v>
      </c>
      <c r="Y4158">
        <v>-0.1121471</v>
      </c>
      <c r="Z4158">
        <v>8.1975679999999995E-2</v>
      </c>
      <c r="AA4158">
        <v>0.99030450000000003</v>
      </c>
      <c r="AB4158">
        <v>31</v>
      </c>
      <c r="AC4158">
        <v>1.6877</v>
      </c>
      <c r="AD4158">
        <v>-1.1210591292173</v>
      </c>
      <c r="AE4158">
        <v>-11.3444</v>
      </c>
      <c r="AF4158">
        <v>-1.3139430797076801</v>
      </c>
      <c r="AG4158">
        <v>-1.1210591292173</v>
      </c>
      <c r="AH4158">
        <v>11.2844724030506</v>
      </c>
      <c r="AI4158">
        <v>95.635622498239002</v>
      </c>
      <c r="AJ4158">
        <v>96.641507430421697</v>
      </c>
      <c r="AK4158">
        <v>11.415889689512801</v>
      </c>
      <c r="AL4158">
        <v>78.265633770483305</v>
      </c>
      <c r="AM4158">
        <v>95.885535233347994</v>
      </c>
      <c r="AN4158">
        <v>0.99999999772986403</v>
      </c>
    </row>
    <row r="4159" spans="1:40" x14ac:dyDescent="0.25">
      <c r="A4159" t="str">
        <f>"20190303162636761"</f>
        <v>20190303162636761</v>
      </c>
      <c r="B4159" t="str">
        <f>"1551601596747846"</f>
        <v>1551601596747846</v>
      </c>
      <c r="C4159" t="s">
        <v>40</v>
      </c>
      <c r="D4159">
        <v>5.1078839999999897</v>
      </c>
      <c r="E4159">
        <v>0.48667470000000002</v>
      </c>
      <c r="F4159" t="s">
        <v>59</v>
      </c>
      <c r="G4159">
        <v>-419.64879999999999</v>
      </c>
      <c r="H4159" s="1">
        <v>-1.3710390000000001E-6</v>
      </c>
      <c r="I4159">
        <v>37.586199999999998</v>
      </c>
      <c r="J4159">
        <v>-421.67770000000002</v>
      </c>
      <c r="K4159">
        <v>1.1210519999999999</v>
      </c>
      <c r="L4159">
        <v>50.447629999999997</v>
      </c>
      <c r="M4159">
        <v>3.158963E-2</v>
      </c>
      <c r="N4159">
        <v>-1.292626E-2</v>
      </c>
      <c r="O4159">
        <v>-0.99941769999999996</v>
      </c>
      <c r="P4159">
        <v>0.13284189999999901</v>
      </c>
      <c r="Q4159">
        <v>0.19033320000000001</v>
      </c>
      <c r="R4159">
        <v>-0.97269070000000002</v>
      </c>
      <c r="S4159">
        <v>0.47506710000000002</v>
      </c>
      <c r="T4159">
        <v>-0.26123289999999999</v>
      </c>
      <c r="U4159">
        <v>-3.07077</v>
      </c>
      <c r="V4159">
        <v>-0.1019743</v>
      </c>
      <c r="W4159">
        <v>0.2029745</v>
      </c>
      <c r="X4159">
        <v>0.97385969999999999</v>
      </c>
      <c r="Y4159">
        <v>-0.1211285</v>
      </c>
      <c r="Z4159">
        <v>7.1038160000000003E-2</v>
      </c>
      <c r="AA4159">
        <v>0.99009159999999996</v>
      </c>
      <c r="AB4159">
        <v>31</v>
      </c>
      <c r="AC4159">
        <v>2.0289000000000201</v>
      </c>
      <c r="AD4159">
        <v>-1.121053371039</v>
      </c>
      <c r="AE4159">
        <v>-12.86143</v>
      </c>
      <c r="AF4159">
        <v>-1.60963329741397</v>
      </c>
      <c r="AG4159">
        <v>-1.121053371039</v>
      </c>
      <c r="AH4159">
        <v>12.8240419475619</v>
      </c>
      <c r="AI4159">
        <v>94.957286620198801</v>
      </c>
      <c r="AJ4159">
        <v>97.1541719965429</v>
      </c>
      <c r="AK4159">
        <v>12.973192817717999</v>
      </c>
      <c r="AL4159">
        <v>78.289046878977601</v>
      </c>
      <c r="AM4159">
        <v>95.977742300788293</v>
      </c>
      <c r="AN4159">
        <v>1.00000006039741</v>
      </c>
    </row>
    <row r="4160" spans="1:40" x14ac:dyDescent="0.25">
      <c r="A4160" t="str">
        <f>"20190303162636785"</f>
        <v>20190303162636785</v>
      </c>
      <c r="B4160" t="str">
        <f>"1551601596778103"</f>
        <v>1551601596778103</v>
      </c>
      <c r="C4160" t="s">
        <v>40</v>
      </c>
      <c r="D4160">
        <v>4.9380759999999997</v>
      </c>
      <c r="E4160">
        <v>0.48478529999999997</v>
      </c>
      <c r="F4160" t="s">
        <v>59</v>
      </c>
      <c r="G4160">
        <v>-419.36450000000002</v>
      </c>
      <c r="H4160" s="1">
        <v>-2.3733179999999999E-6</v>
      </c>
      <c r="I4160">
        <v>36.12838</v>
      </c>
      <c r="J4160">
        <v>-421.66730000000001</v>
      </c>
      <c r="K4160">
        <v>1.121035</v>
      </c>
      <c r="L4160">
        <v>50.113309999999998</v>
      </c>
      <c r="M4160">
        <v>3.1409600000000003E-2</v>
      </c>
      <c r="N4160">
        <v>-1.2764569999999999E-2</v>
      </c>
      <c r="O4160">
        <v>-0.99942509999999996</v>
      </c>
      <c r="P4160">
        <v>0.1343859</v>
      </c>
      <c r="Q4160">
        <v>0.19080759999999999</v>
      </c>
      <c r="R4160">
        <v>-0.97238519999999995</v>
      </c>
      <c r="S4160">
        <v>0.4949036</v>
      </c>
      <c r="T4160">
        <v>-0.2398467</v>
      </c>
      <c r="U4160">
        <v>-3.0635680000000001</v>
      </c>
      <c r="V4160">
        <v>-0.10370500000000001</v>
      </c>
      <c r="W4160">
        <v>0.20328769999999999</v>
      </c>
      <c r="X4160">
        <v>0.97361149999999996</v>
      </c>
      <c r="Y4160">
        <v>-0.12798370000000001</v>
      </c>
      <c r="Z4160">
        <v>6.4475309999999994E-2</v>
      </c>
      <c r="AA4160">
        <v>0.98967830000000001</v>
      </c>
      <c r="AB4160">
        <v>31</v>
      </c>
      <c r="AC4160">
        <v>2.3027999999999902</v>
      </c>
      <c r="AD4160">
        <v>-1.1210373733179999</v>
      </c>
      <c r="AE4160">
        <v>-13.98493</v>
      </c>
      <c r="AF4160">
        <v>-1.85078812128133</v>
      </c>
      <c r="AG4160">
        <v>-1.1210373733179999</v>
      </c>
      <c r="AH4160">
        <v>13.963011133511801</v>
      </c>
      <c r="AI4160">
        <v>94.550583812320198</v>
      </c>
      <c r="AJ4160">
        <v>97.550504806354994</v>
      </c>
      <c r="AK4160">
        <v>14.129678742874001</v>
      </c>
      <c r="AL4160">
        <v>78.270718846327796</v>
      </c>
      <c r="AM4160">
        <v>96.079980783807102</v>
      </c>
      <c r="AN4160">
        <v>0.99999998446426897</v>
      </c>
    </row>
    <row r="4161" spans="1:40" x14ac:dyDescent="0.25">
      <c r="A4161" t="str">
        <f>"20190303162636806"</f>
        <v>20190303162636806</v>
      </c>
      <c r="B4161" t="str">
        <f>"1551601596797623"</f>
        <v>1551601596797623</v>
      </c>
      <c r="C4161" t="s">
        <v>40</v>
      </c>
      <c r="D4161">
        <v>5.0929979999999997</v>
      </c>
      <c r="E4161">
        <v>0.484379</v>
      </c>
      <c r="F4161" t="s">
        <v>59</v>
      </c>
      <c r="G4161">
        <v>-419.13260000000002</v>
      </c>
      <c r="H4161" s="1">
        <v>-3.1042650000000002E-6</v>
      </c>
      <c r="I4161">
        <v>35.075490000000002</v>
      </c>
      <c r="J4161">
        <v>-421.6585</v>
      </c>
      <c r="K4161">
        <v>1.121016</v>
      </c>
      <c r="L4161">
        <v>49.83023</v>
      </c>
      <c r="M4161">
        <v>3.1260620000000003E-2</v>
      </c>
      <c r="N4161">
        <v>-1.262664E-2</v>
      </c>
      <c r="O4161">
        <v>-0.99943150000000003</v>
      </c>
      <c r="P4161">
        <v>0.1356918</v>
      </c>
      <c r="Q4161">
        <v>0.1912838</v>
      </c>
      <c r="R4161">
        <v>-0.97211020000000004</v>
      </c>
      <c r="S4161">
        <v>0.51556400000000002</v>
      </c>
      <c r="T4161">
        <v>-0.22802069999999999</v>
      </c>
      <c r="U4161">
        <v>-3.058716</v>
      </c>
      <c r="V4161">
        <v>-0.1051643</v>
      </c>
      <c r="W4161">
        <v>0.20362669999999999</v>
      </c>
      <c r="X4161">
        <v>0.97338409999999997</v>
      </c>
      <c r="Y4161">
        <v>-0.1349207</v>
      </c>
      <c r="Z4161">
        <v>6.0867400000000002E-2</v>
      </c>
      <c r="AA4161">
        <v>0.98898509999999995</v>
      </c>
      <c r="AB4161">
        <v>31</v>
      </c>
      <c r="AC4161">
        <v>2.5258999999999698</v>
      </c>
      <c r="AD4161">
        <v>-1.121019104265</v>
      </c>
      <c r="AE4161">
        <v>-14.7547399999999</v>
      </c>
      <c r="AF4161">
        <v>-2.0518790125639099</v>
      </c>
      <c r="AG4161">
        <v>-1.121019104265</v>
      </c>
      <c r="AH4161">
        <v>14.743810025667401</v>
      </c>
      <c r="AI4161">
        <v>94.306668540881503</v>
      </c>
      <c r="AJ4161">
        <v>97.922898843732</v>
      </c>
      <c r="AK4161">
        <v>14.9280549766973</v>
      </c>
      <c r="AL4161">
        <v>78.250880638422998</v>
      </c>
      <c r="AM4161">
        <v>96.166310965449696</v>
      </c>
      <c r="AN4161">
        <v>0.99999998454009398</v>
      </c>
    </row>
    <row r="4162" spans="1:40" x14ac:dyDescent="0.25">
      <c r="A4162" t="str">
        <f>"20190303162636850"</f>
        <v>20190303162636850</v>
      </c>
      <c r="B4162" t="str">
        <f>"1551601596837638"</f>
        <v>1551601596837638</v>
      </c>
      <c r="C4162" t="s">
        <v>40</v>
      </c>
      <c r="D4162">
        <v>5.1555280000000003</v>
      </c>
      <c r="E4162">
        <v>0.48361379999999998</v>
      </c>
      <c r="F4162" t="s">
        <v>59</v>
      </c>
      <c r="G4162">
        <v>-418.94709999999998</v>
      </c>
      <c r="H4162" s="1">
        <v>-3.717661E-6</v>
      </c>
      <c r="I4162">
        <v>33.994160000000001</v>
      </c>
      <c r="J4162">
        <v>-421.64010000000002</v>
      </c>
      <c r="K4162">
        <v>1.1209720000000001</v>
      </c>
      <c r="L4162">
        <v>49.229680000000002</v>
      </c>
      <c r="M4162">
        <v>3.0952739999999999E-2</v>
      </c>
      <c r="N4162">
        <v>-1.2315009999999999E-2</v>
      </c>
      <c r="O4162">
        <v>-0.99944529999999998</v>
      </c>
      <c r="P4162">
        <v>0.13836289999999901</v>
      </c>
      <c r="Q4162">
        <v>0.19127540000000001</v>
      </c>
      <c r="R4162">
        <v>-0.97173580000000004</v>
      </c>
      <c r="S4162">
        <v>0.52316279999999904</v>
      </c>
      <c r="T4162">
        <v>-0.216303</v>
      </c>
      <c r="U4162">
        <v>-3.0556030000000001</v>
      </c>
      <c r="V4162">
        <v>-0.1081453</v>
      </c>
      <c r="W4162">
        <v>0.20331299999999999</v>
      </c>
      <c r="X4162">
        <v>0.97312299999999996</v>
      </c>
      <c r="Y4162">
        <v>-0.13781879999999999</v>
      </c>
      <c r="Z4162">
        <v>5.7462520000000003E-2</v>
      </c>
      <c r="AA4162">
        <v>0.98878920000000003</v>
      </c>
      <c r="AB4162">
        <v>31</v>
      </c>
      <c r="AC4162">
        <v>2.69300000000004</v>
      </c>
      <c r="AD4162">
        <v>-1.12097571766099</v>
      </c>
      <c r="AE4162">
        <v>-15.235519999999999</v>
      </c>
      <c r="AF4162">
        <v>-2.2084992663480998</v>
      </c>
      <c r="AG4162">
        <v>-1.12097571766099</v>
      </c>
      <c r="AH4162">
        <v>15.2316226393982</v>
      </c>
      <c r="AI4162">
        <v>94.165706284618395</v>
      </c>
      <c r="AJ4162">
        <v>98.250070329432603</v>
      </c>
      <c r="AK4162">
        <v>15.4316682117675</v>
      </c>
      <c r="AL4162">
        <v>78.269238262118606</v>
      </c>
      <c r="AM4162">
        <v>96.341385320163894</v>
      </c>
      <c r="AN4162">
        <v>0.99999997750504399</v>
      </c>
    </row>
    <row r="4163" spans="1:40" x14ac:dyDescent="0.25">
      <c r="A4163" t="str">
        <f>"20190303162636872"</f>
        <v>20190303162636872</v>
      </c>
      <c r="B4163" t="str">
        <f>"1551601596867894"</f>
        <v>1551601596867894</v>
      </c>
      <c r="C4163" t="s">
        <v>40</v>
      </c>
      <c r="D4163">
        <v>5.2710790000000003</v>
      </c>
      <c r="E4163">
        <v>0.48325489999999999</v>
      </c>
      <c r="F4163" t="s">
        <v>59</v>
      </c>
      <c r="G4163">
        <v>-418.67660000000001</v>
      </c>
      <c r="H4163" s="1">
        <v>-4.5947509999999997E-6</v>
      </c>
      <c r="I4163">
        <v>32.390509999999999</v>
      </c>
      <c r="J4163">
        <v>-421.63069999999999</v>
      </c>
      <c r="K4163">
        <v>1.120943</v>
      </c>
      <c r="L4163">
        <v>48.920229999999997</v>
      </c>
      <c r="M4163">
        <v>3.079426E-2</v>
      </c>
      <c r="N4163">
        <v>-1.2147160000000001E-2</v>
      </c>
      <c r="O4163">
        <v>-0.99945200000000001</v>
      </c>
      <c r="P4163">
        <v>0.1397764</v>
      </c>
      <c r="Q4163">
        <v>0.19186790000000001</v>
      </c>
      <c r="R4163">
        <v>-0.97141650000000002</v>
      </c>
      <c r="S4163">
        <v>0.53689580000000003</v>
      </c>
      <c r="T4163">
        <v>-0.2030894</v>
      </c>
      <c r="U4163">
        <v>-3.0507810000000002</v>
      </c>
      <c r="V4163">
        <v>-0.10972170000000001</v>
      </c>
      <c r="W4163">
        <v>0.20373920000000001</v>
      </c>
      <c r="X4163">
        <v>0.97285739999999998</v>
      </c>
      <c r="Y4163">
        <v>-0.14259579999999999</v>
      </c>
      <c r="Z4163">
        <v>5.3441919999999997E-2</v>
      </c>
      <c r="AA4163">
        <v>0.98833720000000003</v>
      </c>
      <c r="AB4163">
        <v>31</v>
      </c>
      <c r="AC4163">
        <v>2.95409999999998</v>
      </c>
      <c r="AD4163">
        <v>-1.1209475947509999</v>
      </c>
      <c r="AE4163">
        <v>-16.529719999999902</v>
      </c>
      <c r="AF4163">
        <v>-2.4327992132638498</v>
      </c>
      <c r="AG4163">
        <v>-1.1209475947509999</v>
      </c>
      <c r="AH4163">
        <v>16.539150237073901</v>
      </c>
      <c r="AI4163">
        <v>93.836161904256898</v>
      </c>
      <c r="AJ4163">
        <v>98.367823133382103</v>
      </c>
      <c r="AK4163">
        <v>16.7546568477763</v>
      </c>
      <c r="AL4163">
        <v>78.244297232301307</v>
      </c>
      <c r="AM4163">
        <v>96.434793851345702</v>
      </c>
      <c r="AN4163">
        <v>1.00000001690114</v>
      </c>
    </row>
    <row r="4164" spans="1:40" x14ac:dyDescent="0.25">
      <c r="A4164" t="str">
        <f>"20190303162636895"</f>
        <v>20190303162636895</v>
      </c>
      <c r="B4164" t="str">
        <f>"1551601596888390"</f>
        <v>1551601596888390</v>
      </c>
      <c r="C4164" t="s">
        <v>40</v>
      </c>
      <c r="D4164">
        <v>5.2104949999999999</v>
      </c>
      <c r="E4164">
        <v>0.48294890000000001</v>
      </c>
      <c r="F4164" t="s">
        <v>59</v>
      </c>
      <c r="G4164">
        <v>-418.57010000000002</v>
      </c>
      <c r="H4164" s="1">
        <v>-4.9130119999999997E-6</v>
      </c>
      <c r="I4164">
        <v>31.812270000000002</v>
      </c>
      <c r="J4164">
        <v>-421.62119999999999</v>
      </c>
      <c r="K4164">
        <v>1.1209229999999999</v>
      </c>
      <c r="L4164">
        <v>48.606900000000003</v>
      </c>
      <c r="M4164">
        <v>3.0632719999999999E-2</v>
      </c>
      <c r="N4164">
        <v>-1.1978559999999999E-2</v>
      </c>
      <c r="O4164">
        <v>-0.99945910000000004</v>
      </c>
      <c r="P4164">
        <v>0.1419887</v>
      </c>
      <c r="Q4164">
        <v>0.1921609</v>
      </c>
      <c r="R4164">
        <v>-0.97103799999999996</v>
      </c>
      <c r="S4164">
        <v>0.54550169999999998</v>
      </c>
      <c r="T4164">
        <v>-0.1997913</v>
      </c>
      <c r="U4164">
        <v>-3.0492249999999999</v>
      </c>
      <c r="V4164">
        <v>-0.1121018</v>
      </c>
      <c r="W4164">
        <v>0.20386570000000001</v>
      </c>
      <c r="X4164">
        <v>0.97255950000000002</v>
      </c>
      <c r="Y4164">
        <v>-0.1455545</v>
      </c>
      <c r="Z4164">
        <v>5.2552769999999999E-2</v>
      </c>
      <c r="AA4164">
        <v>0.98795350000000004</v>
      </c>
      <c r="AB4164">
        <v>31</v>
      </c>
      <c r="AC4164">
        <v>3.05109999999996</v>
      </c>
      <c r="AD4164">
        <v>-1.12092791301199</v>
      </c>
      <c r="AE4164">
        <v>-16.794629999999898</v>
      </c>
      <c r="AF4164">
        <v>-2.5242803768780102</v>
      </c>
      <c r="AG4164">
        <v>-1.12092791301199</v>
      </c>
      <c r="AH4164">
        <v>16.8077369078934</v>
      </c>
      <c r="AI4164">
        <v>93.773280554010597</v>
      </c>
      <c r="AJ4164">
        <v>98.541166503756301</v>
      </c>
      <c r="AK4164">
        <v>17.0331585671073</v>
      </c>
      <c r="AL4164">
        <v>78.236893843344106</v>
      </c>
      <c r="AM4164">
        <v>96.575165409400498</v>
      </c>
      <c r="AN4164">
        <v>1.0000000091199801</v>
      </c>
    </row>
    <row r="4165" spans="1:40" x14ac:dyDescent="0.25">
      <c r="A4165" t="str">
        <f>"20190303162636917"</f>
        <v>20190303162636917</v>
      </c>
      <c r="B4165" t="str">
        <f>"1551601596907911"</f>
        <v>1551601596907911</v>
      </c>
      <c r="C4165" t="s">
        <v>40</v>
      </c>
      <c r="D4165">
        <v>5.2718350000000003</v>
      </c>
      <c r="E4165">
        <v>0.48270750000000001</v>
      </c>
      <c r="F4165" t="s">
        <v>59</v>
      </c>
      <c r="G4165">
        <v>-418.4427</v>
      </c>
      <c r="H4165" s="1">
        <v>-5.2821190000000001E-6</v>
      </c>
      <c r="I4165">
        <v>31.14331</v>
      </c>
      <c r="J4165">
        <v>-421.6121</v>
      </c>
      <c r="K4165">
        <v>1.120895</v>
      </c>
      <c r="L4165">
        <v>48.30527</v>
      </c>
      <c r="M4165">
        <v>3.047528E-2</v>
      </c>
      <c r="N4165">
        <v>-1.1812110000000001E-2</v>
      </c>
      <c r="O4165">
        <v>-0.99946579999999996</v>
      </c>
      <c r="P4165">
        <v>0.14514089999999999</v>
      </c>
      <c r="Q4165">
        <v>0.19211610000000001</v>
      </c>
      <c r="R4165">
        <v>-0.97058040000000001</v>
      </c>
      <c r="S4165">
        <v>0.55459590000000003</v>
      </c>
      <c r="T4165">
        <v>-0.19558229999999999</v>
      </c>
      <c r="U4165">
        <v>-3.0470890000000002</v>
      </c>
      <c r="V4165">
        <v>-0.1154203</v>
      </c>
      <c r="W4165">
        <v>0.20365520000000001</v>
      </c>
      <c r="X4165">
        <v>0.97221539999999995</v>
      </c>
      <c r="Y4165">
        <v>-0.148697</v>
      </c>
      <c r="Z4165">
        <v>5.1377619999999999E-2</v>
      </c>
      <c r="AA4165">
        <v>0.98754719999999996</v>
      </c>
      <c r="AB4165">
        <v>31</v>
      </c>
      <c r="AC4165">
        <v>3.1693999999999898</v>
      </c>
      <c r="AD4165">
        <v>-1.1209002821189999</v>
      </c>
      <c r="AE4165">
        <v>-17.161960000000001</v>
      </c>
      <c r="AF4165">
        <v>-2.6340101074139399</v>
      </c>
      <c r="AG4165">
        <v>-1.1209002821189999</v>
      </c>
      <c r="AH4165">
        <v>17.179714397170901</v>
      </c>
      <c r="AI4165">
        <v>93.690006837224502</v>
      </c>
      <c r="AJ4165">
        <v>98.716763668371598</v>
      </c>
      <c r="AK4165">
        <v>17.416572953849901</v>
      </c>
      <c r="AL4165">
        <v>78.249213361551696</v>
      </c>
      <c r="AM4165">
        <v>96.770400348865394</v>
      </c>
      <c r="AN4165">
        <v>1.0000000350681399</v>
      </c>
    </row>
    <row r="4166" spans="1:40" x14ac:dyDescent="0.25">
      <c r="A4166" t="str">
        <f>"20190303162636940"</f>
        <v>20190303162636940</v>
      </c>
      <c r="B4166" t="str">
        <f>"1551601596928405"</f>
        <v>1551601596928405</v>
      </c>
      <c r="C4166" t="s">
        <v>40</v>
      </c>
      <c r="D4166">
        <v>5.3377809999999997</v>
      </c>
      <c r="E4166">
        <v>0.48245130000000003</v>
      </c>
      <c r="F4166" t="s">
        <v>59</v>
      </c>
      <c r="G4166">
        <v>-418.33179999999999</v>
      </c>
      <c r="H4166" s="1">
        <v>-5.56139E-6</v>
      </c>
      <c r="I4166">
        <v>30.643460000000001</v>
      </c>
      <c r="J4166">
        <v>-421.60289999999998</v>
      </c>
      <c r="K4166">
        <v>1.1208750000000001</v>
      </c>
      <c r="L4166">
        <v>48.0015</v>
      </c>
      <c r="M4166">
        <v>3.031648E-2</v>
      </c>
      <c r="N4166">
        <v>-1.1642339999999999E-2</v>
      </c>
      <c r="O4166">
        <v>-0.99947249999999999</v>
      </c>
      <c r="P4166">
        <v>0.1491487</v>
      </c>
      <c r="Q4166">
        <v>0.19228590000000001</v>
      </c>
      <c r="R4166">
        <v>-0.96993859999999998</v>
      </c>
      <c r="S4166">
        <v>0.56546019999999997</v>
      </c>
      <c r="T4166">
        <v>-0.19322549999999999</v>
      </c>
      <c r="U4166">
        <v>-3.0446170000000001</v>
      </c>
      <c r="V4166">
        <v>-0.1195999</v>
      </c>
      <c r="W4166">
        <v>0.20365610000000001</v>
      </c>
      <c r="X4166">
        <v>0.97170979999999996</v>
      </c>
      <c r="Y4166">
        <v>-0.1524085</v>
      </c>
      <c r="Z4166">
        <v>5.0801329999999999E-2</v>
      </c>
      <c r="AA4166">
        <v>0.98701110000000003</v>
      </c>
      <c r="AB4166">
        <v>31</v>
      </c>
      <c r="AC4166">
        <v>3.2710999999999899</v>
      </c>
      <c r="AD4166">
        <v>-1.1208805613899999</v>
      </c>
      <c r="AE4166">
        <v>-17.358039999999999</v>
      </c>
      <c r="AF4166">
        <v>-2.7323233077631</v>
      </c>
      <c r="AG4166">
        <v>-1.1208805613899999</v>
      </c>
      <c r="AH4166">
        <v>17.379252204793499</v>
      </c>
      <c r="AI4166">
        <v>93.645542989552197</v>
      </c>
      <c r="AJ4166">
        <v>98.934766039675694</v>
      </c>
      <c r="AK4166">
        <v>17.6283967248546</v>
      </c>
      <c r="AL4166">
        <v>78.249159549900696</v>
      </c>
      <c r="AM4166">
        <v>97.016783318042201</v>
      </c>
      <c r="AN4166">
        <v>0.999999939281628</v>
      </c>
    </row>
    <row r="4167" spans="1:40" x14ac:dyDescent="0.25">
      <c r="A4167" t="str">
        <f>"20190303162636962"</f>
        <v>20190303162636962</v>
      </c>
      <c r="B4167" t="str">
        <f>"1551601596947926"</f>
        <v>1551601596947926</v>
      </c>
      <c r="C4167" t="s">
        <v>40</v>
      </c>
      <c r="D4167">
        <v>5.2763749999999998</v>
      </c>
      <c r="E4167">
        <v>0.48230699999999999</v>
      </c>
      <c r="F4167" t="s">
        <v>59</v>
      </c>
      <c r="G4167">
        <v>-418.2115</v>
      </c>
      <c r="H4167" s="1">
        <v>-5.7786809999999999E-6</v>
      </c>
      <c r="I4167">
        <v>30.19312</v>
      </c>
      <c r="J4167">
        <v>-421.59339999999997</v>
      </c>
      <c r="K4167">
        <v>1.1208560000000001</v>
      </c>
      <c r="L4167">
        <v>47.680999999999997</v>
      </c>
      <c r="M4167">
        <v>3.0149249999999999E-2</v>
      </c>
      <c r="N4167">
        <v>-1.146785E-2</v>
      </c>
      <c r="O4167">
        <v>-0.99947989999999998</v>
      </c>
      <c r="P4167">
        <v>0.15314630000000001</v>
      </c>
      <c r="Q4167">
        <v>0.19227</v>
      </c>
      <c r="R4167">
        <v>-0.96931889999999998</v>
      </c>
      <c r="S4167">
        <v>0.57928469999999999</v>
      </c>
      <c r="T4167">
        <v>-0.19145889999999999</v>
      </c>
      <c r="U4167">
        <v>-3.0418699999999999</v>
      </c>
      <c r="V4167">
        <v>-0.1237771</v>
      </c>
      <c r="W4167">
        <v>0.20346610000000001</v>
      </c>
      <c r="X4167">
        <v>0.97122649999999999</v>
      </c>
      <c r="Y4167">
        <v>-0.15706789999999901</v>
      </c>
      <c r="Z4167">
        <v>5.0413939999999997E-2</v>
      </c>
      <c r="AA4167">
        <v>0.98630019999999996</v>
      </c>
      <c r="AB4167">
        <v>31</v>
      </c>
      <c r="AC4167">
        <v>3.3818999999999702</v>
      </c>
      <c r="AD4167">
        <v>-1.12086177868099</v>
      </c>
      <c r="AE4167">
        <v>-17.487880000000001</v>
      </c>
      <c r="AF4167">
        <v>-2.8418280621652499</v>
      </c>
      <c r="AG4167">
        <v>-1.12086177868099</v>
      </c>
      <c r="AH4167">
        <v>17.512549555867398</v>
      </c>
      <c r="AI4167">
        <v>93.6149675803224</v>
      </c>
      <c r="AJ4167">
        <v>99.217259227413194</v>
      </c>
      <c r="AK4167">
        <v>17.776999460216299</v>
      </c>
      <c r="AL4167">
        <v>78.260280104061295</v>
      </c>
      <c r="AM4167">
        <v>97.262857567736404</v>
      </c>
      <c r="AN4167">
        <v>1.0000000693179301</v>
      </c>
    </row>
    <row r="4168" spans="1:40" x14ac:dyDescent="0.25">
      <c r="A4168" t="str">
        <f>"20190303162636985"</f>
        <v>20190303162636985</v>
      </c>
      <c r="B4168" t="str">
        <f>"1551601596978182"</f>
        <v>1551601596978182</v>
      </c>
      <c r="C4168" t="s">
        <v>40</v>
      </c>
      <c r="D4168">
        <v>5.2263650000000004</v>
      </c>
      <c r="E4168">
        <v>0.43828679999999898</v>
      </c>
      <c r="F4168" t="s">
        <v>59</v>
      </c>
      <c r="G4168">
        <v>-418.0804</v>
      </c>
      <c r="H4168" s="1">
        <v>-5.9953260000000003E-6</v>
      </c>
      <c r="I4168">
        <v>29.674790000000002</v>
      </c>
      <c r="J4168">
        <v>-421.58429999999998</v>
      </c>
      <c r="K4168">
        <v>1.1208400000000001</v>
      </c>
      <c r="L4168">
        <v>47.373690000000003</v>
      </c>
      <c r="M4168">
        <v>2.9988509999999999E-2</v>
      </c>
      <c r="N4168">
        <v>-1.13087E-2</v>
      </c>
      <c r="O4168">
        <v>-0.9994866</v>
      </c>
      <c r="P4168">
        <v>0.15895049999999999</v>
      </c>
      <c r="Q4168">
        <v>0.19263440000000001</v>
      </c>
      <c r="R4168">
        <v>-0.96831149999999999</v>
      </c>
      <c r="S4168">
        <v>0.59286499999999998</v>
      </c>
      <c r="T4168">
        <v>-0.18916050000000001</v>
      </c>
      <c r="U4168">
        <v>-3.0387879999999998</v>
      </c>
      <c r="V4168">
        <v>-0.12976509999999999</v>
      </c>
      <c r="W4168">
        <v>0.2036683</v>
      </c>
      <c r="X4168">
        <v>0.97040210000000005</v>
      </c>
      <c r="Y4168">
        <v>-0.1616638</v>
      </c>
      <c r="Z4168">
        <v>4.9845840000000002E-2</v>
      </c>
      <c r="AA4168">
        <v>0.98558619999999997</v>
      </c>
      <c r="AB4168">
        <v>31</v>
      </c>
      <c r="AC4168">
        <v>3.5038999999999798</v>
      </c>
      <c r="AD4168">
        <v>-1.1208459953259999</v>
      </c>
      <c r="AE4168">
        <v>-17.698899999999998</v>
      </c>
      <c r="AF4168">
        <v>-2.9601027117149399</v>
      </c>
      <c r="AG4168">
        <v>-1.1208459953259999</v>
      </c>
      <c r="AH4168">
        <v>17.727606929956899</v>
      </c>
      <c r="AI4168">
        <v>93.568493570590803</v>
      </c>
      <c r="AJ4168">
        <v>99.479621846279699</v>
      </c>
      <c r="AK4168">
        <v>18.007957998401601</v>
      </c>
      <c r="AL4168">
        <v>78.2484462610592</v>
      </c>
      <c r="AM4168">
        <v>97.616579683989599</v>
      </c>
      <c r="AN4168">
        <v>0.99999999664365502</v>
      </c>
    </row>
    <row r="4169" spans="1:40" x14ac:dyDescent="0.25">
      <c r="A4169" t="str">
        <f>"20190303162637008"</f>
        <v>20190303162637008</v>
      </c>
      <c r="B4169" t="str">
        <f>"1551601596997702"</f>
        <v>1551601596997702</v>
      </c>
      <c r="C4169" t="s">
        <v>40</v>
      </c>
      <c r="D4169">
        <v>4.9830500000000004</v>
      </c>
      <c r="E4169">
        <v>0.4202746</v>
      </c>
      <c r="F4169" t="s">
        <v>59</v>
      </c>
      <c r="G4169">
        <v>-416.93259999999998</v>
      </c>
      <c r="H4169" s="1">
        <v>-4.7442369999999998E-6</v>
      </c>
      <c r="I4169">
        <v>32.856079999999999</v>
      </c>
      <c r="J4169">
        <v>-421.57499999999999</v>
      </c>
      <c r="K4169">
        <v>1.1208260000000001</v>
      </c>
      <c r="L4169">
        <v>47.060519999999997</v>
      </c>
      <c r="M4169">
        <v>2.9825359999999999E-2</v>
      </c>
      <c r="N4169">
        <v>-1.11486E-2</v>
      </c>
      <c r="O4169">
        <v>-0.99949299999999996</v>
      </c>
      <c r="P4169">
        <v>0.16569539999999999</v>
      </c>
      <c r="Q4169">
        <v>0.1924495</v>
      </c>
      <c r="R4169">
        <v>-0.96721679999999999</v>
      </c>
      <c r="S4169">
        <v>0.95706179999999996</v>
      </c>
      <c r="T4169">
        <v>-0.23060910000000001</v>
      </c>
      <c r="U4169">
        <v>-2.9869379999999999</v>
      </c>
      <c r="V4169">
        <v>-0.1366984</v>
      </c>
      <c r="W4169">
        <v>0.20332040000000001</v>
      </c>
      <c r="X4169">
        <v>0.96952280000000002</v>
      </c>
      <c r="Y4169">
        <v>-0.27587119999999998</v>
      </c>
      <c r="Z4169">
        <v>6.2530630000000004E-2</v>
      </c>
      <c r="AA4169">
        <v>0.95915850000000002</v>
      </c>
      <c r="AB4169">
        <v>31</v>
      </c>
      <c r="AC4169">
        <v>4.6424000000000003</v>
      </c>
      <c r="AD4169">
        <v>-1.120830744237</v>
      </c>
      <c r="AE4169">
        <v>-14.20444</v>
      </c>
      <c r="AF4169">
        <v>-4.1930677664321196</v>
      </c>
      <c r="AG4169">
        <v>-1.120830744237</v>
      </c>
      <c r="AH4169">
        <v>14.256391416505201</v>
      </c>
      <c r="AI4169">
        <v>94.313358237534402</v>
      </c>
      <c r="AJ4169">
        <v>106.389582751855</v>
      </c>
      <c r="AK4169">
        <v>14.9024419164016</v>
      </c>
      <c r="AL4169">
        <v>78.268806075286804</v>
      </c>
      <c r="AM4169">
        <v>98.025547010511801</v>
      </c>
      <c r="AN4169">
        <v>1.0000000486692699</v>
      </c>
    </row>
    <row r="4170" spans="1:40" x14ac:dyDescent="0.25">
      <c r="A4170" t="str">
        <f>"20190303162637033"</f>
        <v>20190303162637033</v>
      </c>
      <c r="B4170" t="str">
        <f>"1551601597027959"</f>
        <v>1551601597027959</v>
      </c>
      <c r="C4170" t="s">
        <v>40</v>
      </c>
      <c r="D4170">
        <v>5.0101620000000002</v>
      </c>
      <c r="E4170">
        <v>0.3558712</v>
      </c>
      <c r="F4170" t="s">
        <v>59</v>
      </c>
      <c r="G4170">
        <v>-416.51859999999999</v>
      </c>
      <c r="H4170" s="1">
        <v>-4.4084839999999998E-6</v>
      </c>
      <c r="I4170">
        <v>33.695149999999998</v>
      </c>
      <c r="J4170">
        <v>-421.56470000000002</v>
      </c>
      <c r="K4170">
        <v>1.1208049999999901</v>
      </c>
      <c r="L4170">
        <v>46.711730000000003</v>
      </c>
      <c r="M4170">
        <v>2.9643800000000001E-2</v>
      </c>
      <c r="N4170">
        <v>-1.0976029999999999E-2</v>
      </c>
      <c r="O4170">
        <v>-0.99950039999999996</v>
      </c>
      <c r="P4170">
        <v>0.17190830000000001</v>
      </c>
      <c r="Q4170">
        <v>0.1910259</v>
      </c>
      <c r="R4170">
        <v>-0.96641469999999896</v>
      </c>
      <c r="S4170">
        <v>1.119537</v>
      </c>
      <c r="T4170">
        <v>-0.248166</v>
      </c>
      <c r="U4170">
        <v>-2.9592589999999999</v>
      </c>
      <c r="V4170">
        <v>-0.14310909999999999</v>
      </c>
      <c r="W4170">
        <v>0.20172580000000001</v>
      </c>
      <c r="X4170">
        <v>0.96893059999999998</v>
      </c>
      <c r="Y4170">
        <v>-0.32499519999999998</v>
      </c>
      <c r="Z4170">
        <v>6.766192E-2</v>
      </c>
      <c r="AA4170">
        <v>0.94329209999999997</v>
      </c>
      <c r="AB4170">
        <v>31</v>
      </c>
      <c r="AC4170">
        <v>5.0461000000000196</v>
      </c>
      <c r="AD4170">
        <v>-1.1208094084839999</v>
      </c>
      <c r="AE4170">
        <v>-13.0165799999999</v>
      </c>
      <c r="AF4170">
        <v>-4.6281666624715498</v>
      </c>
      <c r="AG4170">
        <v>-1.1208094084839999</v>
      </c>
      <c r="AH4170">
        <v>13.076169549502801</v>
      </c>
      <c r="AI4170">
        <v>94.619579429918801</v>
      </c>
      <c r="AJ4170">
        <v>109.49085830244999</v>
      </c>
      <c r="AK4170">
        <v>13.916262086965199</v>
      </c>
      <c r="AL4170">
        <v>78.362102831467098</v>
      </c>
      <c r="AM4170">
        <v>98.401729019875106</v>
      </c>
      <c r="AN4170">
        <v>1.0000000102524</v>
      </c>
    </row>
    <row r="4171" spans="1:40" x14ac:dyDescent="0.25">
      <c r="A4171" t="str">
        <f>"20190303162637056"</f>
        <v>20190303162637056</v>
      </c>
      <c r="B4171" t="str">
        <f>"1551601597048455"</f>
        <v>1551601597048455</v>
      </c>
      <c r="C4171" t="s">
        <v>40</v>
      </c>
      <c r="D4171">
        <v>5.0786639999999998</v>
      </c>
      <c r="E4171">
        <v>0.3588925</v>
      </c>
      <c r="F4171" t="s">
        <v>42</v>
      </c>
      <c r="G4171">
        <v>-421.11380000000003</v>
      </c>
      <c r="H4171">
        <v>1.0239659999999999</v>
      </c>
      <c r="I4171">
        <v>45.920949999999998</v>
      </c>
      <c r="J4171">
        <v>-421.55540000000002</v>
      </c>
      <c r="K4171">
        <v>1.120781</v>
      </c>
      <c r="L4171">
        <v>46.392940000000003</v>
      </c>
      <c r="M4171">
        <v>2.9478150000000002E-2</v>
      </c>
      <c r="N4171">
        <v>-1.083161E-2</v>
      </c>
      <c r="O4171">
        <v>-0.99950680000000003</v>
      </c>
      <c r="P4171">
        <v>0.17744450000000001</v>
      </c>
      <c r="Q4171">
        <v>0.18952939999999999</v>
      </c>
      <c r="R4171">
        <v>-0.96570840000000002</v>
      </c>
      <c r="S4171">
        <v>1.6434629999999999</v>
      </c>
      <c r="T4171">
        <v>-0.35289860000000001</v>
      </c>
      <c r="U4171">
        <v>-2.8816830000000002</v>
      </c>
      <c r="V4171">
        <v>-0.14882479999999901</v>
      </c>
      <c r="W4171">
        <v>0.20008570000000001</v>
      </c>
      <c r="X4171">
        <v>0.96840950000000003</v>
      </c>
      <c r="Y4171">
        <v>-0.46703699999999998</v>
      </c>
      <c r="Z4171">
        <v>9.5822099999999993E-2</v>
      </c>
      <c r="AA4171">
        <v>0.87903050000000005</v>
      </c>
      <c r="AB4171">
        <v>31</v>
      </c>
      <c r="AC4171">
        <v>0.441599999999993</v>
      </c>
      <c r="AD4171">
        <v>-9.6815000000000095E-2</v>
      </c>
      <c r="AE4171">
        <v>-0.47199000000000502</v>
      </c>
      <c r="AF4171">
        <v>-0.418113353510499</v>
      </c>
      <c r="AG4171">
        <v>-9.6815000000000095E-2</v>
      </c>
      <c r="AH4171">
        <v>0.47416512685939999</v>
      </c>
      <c r="AI4171">
        <v>98.706897820839103</v>
      </c>
      <c r="AJ4171">
        <v>131.405476925621</v>
      </c>
      <c r="AK4171">
        <v>0.63955022331196698</v>
      </c>
      <c r="AL4171">
        <v>78.458029819831395</v>
      </c>
      <c r="AM4171">
        <v>98.736840730700095</v>
      </c>
      <c r="AN4171">
        <v>1.00000003406488</v>
      </c>
    </row>
    <row r="4172" spans="1:40" x14ac:dyDescent="0.25">
      <c r="A4172" t="str">
        <f>"20190303162637080"</f>
        <v>20190303162637080</v>
      </c>
      <c r="B4172" t="str">
        <f>"1551601597067974"</f>
        <v>1551601597067974</v>
      </c>
      <c r="C4172" t="s">
        <v>40</v>
      </c>
      <c r="D4172">
        <v>5.0900160000000003</v>
      </c>
      <c r="E4172">
        <v>0.36178149999999998</v>
      </c>
      <c r="F4172" t="s">
        <v>42</v>
      </c>
      <c r="G4172">
        <v>-421.10079999999999</v>
      </c>
      <c r="H4172">
        <v>1.0243469999999999</v>
      </c>
      <c r="I4172">
        <v>45.59346</v>
      </c>
      <c r="J4172">
        <v>-421.54579999999999</v>
      </c>
      <c r="K4172">
        <v>1.120763</v>
      </c>
      <c r="L4172">
        <v>46.064880000000002</v>
      </c>
      <c r="M4172">
        <v>2.930731E-2</v>
      </c>
      <c r="N4172">
        <v>-1.0699169999999999E-2</v>
      </c>
      <c r="O4172">
        <v>-0.99951330000000005</v>
      </c>
      <c r="P4172">
        <v>0.18225730000000001</v>
      </c>
      <c r="Q4172">
        <v>0.18770339999999999</v>
      </c>
      <c r="R4172">
        <v>-0.96516849999999998</v>
      </c>
      <c r="S4172">
        <v>1.634644</v>
      </c>
      <c r="T4172">
        <v>-0.34669489999999997</v>
      </c>
      <c r="U4172">
        <v>-2.8742369999999999</v>
      </c>
      <c r="V4172">
        <v>-0.15381739999999999</v>
      </c>
      <c r="W4172">
        <v>0.19812869999999999</v>
      </c>
      <c r="X4172">
        <v>0.96803159999999999</v>
      </c>
      <c r="Y4172">
        <v>-0.46620489999999998</v>
      </c>
      <c r="Z4172">
        <v>9.4432240000000001E-2</v>
      </c>
      <c r="AA4172">
        <v>0.87962240000000003</v>
      </c>
      <c r="AB4172">
        <v>31</v>
      </c>
      <c r="AC4172">
        <v>0.44499999999999301</v>
      </c>
      <c r="AD4172">
        <v>-9.6416000000000002E-2</v>
      </c>
      <c r="AE4172">
        <v>-0.471420000000002</v>
      </c>
      <c r="AF4172">
        <v>-0.42166490550048602</v>
      </c>
      <c r="AG4172">
        <v>-9.6416000000000002E-2</v>
      </c>
      <c r="AH4172">
        <v>0.47378012430153399</v>
      </c>
      <c r="AI4172">
        <v>98.643729599222596</v>
      </c>
      <c r="AJ4172">
        <v>131.66912276227899</v>
      </c>
      <c r="AK4172">
        <v>0.64153327565287699</v>
      </c>
      <c r="AL4172">
        <v>78.572447935481904</v>
      </c>
      <c r="AM4172">
        <v>99.028651344311697</v>
      </c>
      <c r="AN4172">
        <v>0.99999997645250405</v>
      </c>
    </row>
    <row r="4173" spans="1:40" x14ac:dyDescent="0.25">
      <c r="A4173" t="str">
        <f>"20190303162637117"</f>
        <v>20190303162637117</v>
      </c>
      <c r="B4173" t="str">
        <f>"1551601597107990"</f>
        <v>1551601597107990</v>
      </c>
      <c r="C4173" t="s">
        <v>40</v>
      </c>
      <c r="D4173">
        <v>5.1156739999999896</v>
      </c>
      <c r="E4173">
        <v>0.36602689999999999</v>
      </c>
      <c r="F4173" t="s">
        <v>42</v>
      </c>
      <c r="G4173">
        <v>-421.00540000000001</v>
      </c>
      <c r="H4173">
        <v>1.0041739999999999</v>
      </c>
      <c r="I4173">
        <v>45.109479999999998</v>
      </c>
      <c r="J4173">
        <v>-421.53059999999999</v>
      </c>
      <c r="K4173">
        <v>1.120719</v>
      </c>
      <c r="L4173">
        <v>45.535550000000001</v>
      </c>
      <c r="M4173">
        <v>2.903182E-2</v>
      </c>
      <c r="N4173">
        <v>-1.051767E-2</v>
      </c>
      <c r="O4173">
        <v>-0.9995233</v>
      </c>
      <c r="P4173">
        <v>0.18652469999999999</v>
      </c>
      <c r="Q4173">
        <v>0.18252860000000001</v>
      </c>
      <c r="R4173">
        <v>-0.96534549999999997</v>
      </c>
      <c r="S4173">
        <v>1.62381</v>
      </c>
      <c r="T4173">
        <v>-0.3502073</v>
      </c>
      <c r="U4173">
        <v>-2.8697509999999999</v>
      </c>
      <c r="V4173">
        <v>-0.1583475</v>
      </c>
      <c r="W4173">
        <v>0.1927836</v>
      </c>
      <c r="X4173">
        <v>0.96838040000000003</v>
      </c>
      <c r="Y4173">
        <v>-0.4644587</v>
      </c>
      <c r="Z4173">
        <v>9.5948339999999993E-2</v>
      </c>
      <c r="AA4173">
        <v>0.88038179999999999</v>
      </c>
      <c r="AB4173">
        <v>31</v>
      </c>
      <c r="AC4173">
        <v>0.52519999999998301</v>
      </c>
      <c r="AD4173">
        <v>-0.116545</v>
      </c>
      <c r="AE4173">
        <v>-0.426070000000002</v>
      </c>
      <c r="AF4173">
        <v>-0.49782422400568799</v>
      </c>
      <c r="AG4173">
        <v>-0.116545</v>
      </c>
      <c r="AH4173">
        <v>0.42841588583454598</v>
      </c>
      <c r="AI4173">
        <v>100.062235704445</v>
      </c>
      <c r="AJ4173">
        <v>139.28548285950299</v>
      </c>
      <c r="AK4173">
        <v>0.667047124472675</v>
      </c>
      <c r="AL4173">
        <v>78.884723588589097</v>
      </c>
      <c r="AM4173">
        <v>99.286696320839994</v>
      </c>
      <c r="AN4173">
        <v>1.00000002314468</v>
      </c>
    </row>
    <row r="4174" spans="1:40" x14ac:dyDescent="0.25">
      <c r="A4174" t="str">
        <f>"20190303162637140"</f>
        <v>20190303162637140</v>
      </c>
      <c r="B4174" t="str">
        <f>"1551601597128486"</f>
        <v>1551601597128486</v>
      </c>
      <c r="C4174" t="s">
        <v>40</v>
      </c>
      <c r="D4174">
        <v>5.1039709999999996</v>
      </c>
      <c r="E4174">
        <v>0.36772450000000001</v>
      </c>
      <c r="F4174" t="s">
        <v>59</v>
      </c>
      <c r="G4174">
        <v>-416.5575</v>
      </c>
      <c r="H4174" s="1">
        <v>-2.8119749999999999E-6</v>
      </c>
      <c r="I4174">
        <v>36.613259999999997</v>
      </c>
      <c r="J4174">
        <v>-421.52159999999998</v>
      </c>
      <c r="K4174">
        <v>1.1206910000000001</v>
      </c>
      <c r="L4174">
        <v>45.221499999999999</v>
      </c>
      <c r="M4174">
        <v>2.887021E-2</v>
      </c>
      <c r="N4174">
        <v>-1.042745E-2</v>
      </c>
      <c r="O4174">
        <v>-0.9995288</v>
      </c>
      <c r="P4174">
        <v>0.18479470000000001</v>
      </c>
      <c r="Q4174">
        <v>0.17921229999999999</v>
      </c>
      <c r="R4174">
        <v>-0.96629929999999997</v>
      </c>
      <c r="S4174">
        <v>1.5980219999999901</v>
      </c>
      <c r="T4174">
        <v>-0.3601259</v>
      </c>
      <c r="U4174">
        <v>-2.867035</v>
      </c>
      <c r="V4174">
        <v>-0.15674850000000001</v>
      </c>
      <c r="W4174">
        <v>0.18938840000000001</v>
      </c>
      <c r="X4174">
        <v>0.96931</v>
      </c>
      <c r="Y4174">
        <v>-0.45876030000000001</v>
      </c>
      <c r="Z4174">
        <v>9.9495219999999995E-2</v>
      </c>
      <c r="AA4174">
        <v>0.88297209999999904</v>
      </c>
      <c r="AB4174">
        <v>31</v>
      </c>
      <c r="AC4174">
        <v>4.96409999999997</v>
      </c>
      <c r="AD4174">
        <v>-1.1206938119749901</v>
      </c>
      <c r="AE4174">
        <v>-8.6082400000000003</v>
      </c>
      <c r="AF4174">
        <v>-4.6542960392276997</v>
      </c>
      <c r="AG4174">
        <v>-1.1206938119749901</v>
      </c>
      <c r="AH4174">
        <v>8.6381032855118001</v>
      </c>
      <c r="AI4174">
        <v>96.515763175299796</v>
      </c>
      <c r="AJ4174">
        <v>118.316229244504</v>
      </c>
      <c r="AK4174">
        <v>9.8759938543996508</v>
      </c>
      <c r="AL4174">
        <v>79.082905555617103</v>
      </c>
      <c r="AM4174">
        <v>99.185861051192603</v>
      </c>
      <c r="AN4174">
        <v>0.99999996720340401</v>
      </c>
    </row>
    <row r="4175" spans="1:40" x14ac:dyDescent="0.25">
      <c r="A4175" t="str">
        <f>"20190303162637164"</f>
        <v>20190303162637164</v>
      </c>
      <c r="B4175" t="str">
        <f>"1551601597157767"</f>
        <v>1551601597157767</v>
      </c>
      <c r="C4175" t="s">
        <v>40</v>
      </c>
      <c r="D4175">
        <v>5.0879640000000004</v>
      </c>
      <c r="E4175">
        <v>0.37002699999999999</v>
      </c>
      <c r="F4175" t="s">
        <v>42</v>
      </c>
      <c r="G4175">
        <v>-420.99860000000001</v>
      </c>
      <c r="H4175">
        <v>1.0006999999999999</v>
      </c>
      <c r="I4175">
        <v>44.270029999999998</v>
      </c>
      <c r="J4175">
        <v>-421.51179999999999</v>
      </c>
      <c r="K4175">
        <v>1.120676</v>
      </c>
      <c r="L4175">
        <v>44.877139999999997</v>
      </c>
      <c r="M4175">
        <v>2.8705379999999999E-2</v>
      </c>
      <c r="N4175">
        <v>-1.034213E-2</v>
      </c>
      <c r="O4175">
        <v>-0.9995347</v>
      </c>
      <c r="P4175">
        <v>0.1824461</v>
      </c>
      <c r="Q4175">
        <v>0.17700450000000001</v>
      </c>
      <c r="R4175">
        <v>-0.96715220000000002</v>
      </c>
      <c r="S4175">
        <v>1.577728</v>
      </c>
      <c r="T4175">
        <v>-0.3619462</v>
      </c>
      <c r="U4175">
        <v>-2.8700260000000002</v>
      </c>
      <c r="V4175">
        <v>-0.15454010000000001</v>
      </c>
      <c r="W4175">
        <v>0.18710299999999999</v>
      </c>
      <c r="X4175">
        <v>0.97010819999999998</v>
      </c>
      <c r="Y4175">
        <v>-0.45368979999999998</v>
      </c>
      <c r="Z4175">
        <v>0.10035380000000001</v>
      </c>
      <c r="AA4175">
        <v>0.88549120000000003</v>
      </c>
      <c r="AB4175">
        <v>31</v>
      </c>
      <c r="AC4175">
        <v>0.513199999999983</v>
      </c>
      <c r="AD4175">
        <v>-0.119976</v>
      </c>
      <c r="AE4175">
        <v>-0.60711000000000503</v>
      </c>
      <c r="AF4175">
        <v>-0.48452411646489901</v>
      </c>
      <c r="AG4175">
        <v>-0.119976</v>
      </c>
      <c r="AH4175">
        <v>0.60774931679273103</v>
      </c>
      <c r="AI4175">
        <v>98.774860399626405</v>
      </c>
      <c r="AJ4175">
        <v>128.563371973101</v>
      </c>
      <c r="AK4175">
        <v>0.78645857619719794</v>
      </c>
      <c r="AL4175">
        <v>79.216233875240903</v>
      </c>
      <c r="AM4175">
        <v>99.051274072692394</v>
      </c>
      <c r="AN4175">
        <v>1.00000004741212</v>
      </c>
    </row>
    <row r="4176" spans="1:40" x14ac:dyDescent="0.25">
      <c r="A4176" t="str">
        <f>"20190303162637186"</f>
        <v>20190303162637186</v>
      </c>
      <c r="B4176" t="str">
        <f>"1551601597178262"</f>
        <v>1551601597178262</v>
      </c>
      <c r="C4176" t="s">
        <v>40</v>
      </c>
      <c r="D4176">
        <v>5.0550670000000002</v>
      </c>
      <c r="E4176">
        <v>0.37085230000000002</v>
      </c>
      <c r="F4176" t="s">
        <v>42</v>
      </c>
      <c r="G4176">
        <v>-421.02850000000001</v>
      </c>
      <c r="H4176">
        <v>1.010526</v>
      </c>
      <c r="I4176">
        <v>43.981619999999999</v>
      </c>
      <c r="J4176">
        <v>-421.50349999999997</v>
      </c>
      <c r="K4176">
        <v>1.120681</v>
      </c>
      <c r="L4176">
        <v>44.581629999999997</v>
      </c>
      <c r="M4176">
        <v>2.857558E-2</v>
      </c>
      <c r="N4176">
        <v>-1.027842E-2</v>
      </c>
      <c r="O4176">
        <v>-0.99953879999999995</v>
      </c>
      <c r="P4176">
        <v>0.18265310000000001</v>
      </c>
      <c r="Q4176">
        <v>0.17719960000000001</v>
      </c>
      <c r="R4176">
        <v>-0.96707710000000002</v>
      </c>
      <c r="S4176">
        <v>1.551636</v>
      </c>
      <c r="T4176">
        <v>-0.35349550000000002</v>
      </c>
      <c r="U4176">
        <v>-2.873901</v>
      </c>
      <c r="V4176">
        <v>-0.1548785</v>
      </c>
      <c r="W4176">
        <v>0.1872327</v>
      </c>
      <c r="X4176">
        <v>0.97002909999999998</v>
      </c>
      <c r="Y4176">
        <v>-0.4472024</v>
      </c>
      <c r="Z4176">
        <v>9.8143129999999995E-2</v>
      </c>
      <c r="AA4176">
        <v>0.88903199999999905</v>
      </c>
      <c r="AB4176">
        <v>31</v>
      </c>
      <c r="AC4176">
        <v>0.47499999999996501</v>
      </c>
      <c r="AD4176">
        <v>-0.110154999999999</v>
      </c>
      <c r="AE4176">
        <v>-0.60000999999999705</v>
      </c>
      <c r="AF4176">
        <v>-0.44836946168820702</v>
      </c>
      <c r="AG4176">
        <v>-0.110154999999999</v>
      </c>
      <c r="AH4176">
        <v>0.60088893137073096</v>
      </c>
      <c r="AI4176">
        <v>98.358393795165597</v>
      </c>
      <c r="AJ4176">
        <v>126.72945112093799</v>
      </c>
      <c r="AK4176">
        <v>0.75778414211662704</v>
      </c>
      <c r="AL4176">
        <v>79.208667798502404</v>
      </c>
      <c r="AM4176">
        <v>99.071492059411398</v>
      </c>
      <c r="AN4176">
        <v>0.99999994427917305</v>
      </c>
    </row>
    <row r="4177" spans="1:40" x14ac:dyDescent="0.25">
      <c r="A4177" t="str">
        <f>"20190303162637210"</f>
        <v>20190303162637210</v>
      </c>
      <c r="B4177" t="str">
        <f>"1551601597197782"</f>
        <v>1551601597197782</v>
      </c>
      <c r="C4177" t="s">
        <v>40</v>
      </c>
      <c r="D4177">
        <v>5.0976689999999998</v>
      </c>
      <c r="E4177">
        <v>0.37162070000000003</v>
      </c>
      <c r="F4177" t="s">
        <v>42</v>
      </c>
      <c r="G4177">
        <v>-421.02949999999998</v>
      </c>
      <c r="H4177">
        <v>1.0131059999999901</v>
      </c>
      <c r="I4177">
        <v>43.69999</v>
      </c>
      <c r="J4177">
        <v>-421.4939</v>
      </c>
      <c r="K4177">
        <v>1.1207100000000001</v>
      </c>
      <c r="L4177">
        <v>44.242710000000002</v>
      </c>
      <c r="M4177">
        <v>2.8449539999999999E-2</v>
      </c>
      <c r="N4177">
        <v>-1.0218100000000001E-2</v>
      </c>
      <c r="O4177">
        <v>-0.99954330000000002</v>
      </c>
      <c r="P4177">
        <v>0.18382660000000001</v>
      </c>
      <c r="Q4177">
        <v>0.1791046</v>
      </c>
      <c r="R4177">
        <v>-0.96650400000000003</v>
      </c>
      <c r="S4177">
        <v>1.545258</v>
      </c>
      <c r="T4177">
        <v>-0.35073470000000001</v>
      </c>
      <c r="U4177">
        <v>-2.8745419999999999</v>
      </c>
      <c r="V4177">
        <v>-0.15619710000000001</v>
      </c>
      <c r="W4177">
        <v>0.1890676</v>
      </c>
      <c r="X4177">
        <v>0.96946169999999998</v>
      </c>
      <c r="Y4177">
        <v>-0.4457393</v>
      </c>
      <c r="Z4177">
        <v>9.7439830000000005E-2</v>
      </c>
      <c r="AA4177">
        <v>0.88984379999999996</v>
      </c>
      <c r="AB4177">
        <v>31</v>
      </c>
      <c r="AC4177">
        <v>0.46440000000001103</v>
      </c>
      <c r="AD4177">
        <v>-0.10760400000000001</v>
      </c>
      <c r="AE4177">
        <v>-0.54271999999999498</v>
      </c>
      <c r="AF4177">
        <v>-0.43881277141905201</v>
      </c>
      <c r="AG4177">
        <v>-0.10760400000000001</v>
      </c>
      <c r="AH4177">
        <v>0.54338159805789399</v>
      </c>
      <c r="AI4177">
        <v>98.758302366656494</v>
      </c>
      <c r="AJ4177">
        <v>128.92292541221499</v>
      </c>
      <c r="AK4177">
        <v>0.70668156215117195</v>
      </c>
      <c r="AL4177">
        <v>79.101625027945303</v>
      </c>
      <c r="AM4177">
        <v>99.152687465488398</v>
      </c>
      <c r="AN4177">
        <v>1.0000000395925199</v>
      </c>
    </row>
    <row r="4178" spans="1:40" x14ac:dyDescent="0.25">
      <c r="A4178" t="str">
        <f>"20190303162637253"</f>
        <v>20190303162637253</v>
      </c>
      <c r="B4178" t="str">
        <f>"1551601597248535"</f>
        <v>1551601597248535</v>
      </c>
      <c r="C4178" t="s">
        <v>40</v>
      </c>
      <c r="D4178">
        <v>4.9537069999999996</v>
      </c>
      <c r="E4178">
        <v>0.37295729999999999</v>
      </c>
      <c r="F4178" t="s">
        <v>42</v>
      </c>
      <c r="G4178">
        <v>-421.04860000000002</v>
      </c>
      <c r="H4178">
        <v>1.022251</v>
      </c>
      <c r="I4178">
        <v>43.412579999999998</v>
      </c>
      <c r="J4178">
        <v>-421.47710000000001</v>
      </c>
      <c r="K4178">
        <v>1.1207579999999999</v>
      </c>
      <c r="L4178">
        <v>43.646479999999997</v>
      </c>
      <c r="M4178">
        <v>2.8313439999999999E-2</v>
      </c>
      <c r="N4178">
        <v>-1.014845E-2</v>
      </c>
      <c r="O4178">
        <v>-0.99954750000000003</v>
      </c>
      <c r="P4178">
        <v>0.1884081</v>
      </c>
      <c r="Q4178">
        <v>0.17953229999999901</v>
      </c>
      <c r="R4178">
        <v>-0.96554150000000005</v>
      </c>
      <c r="S4178">
        <v>1.5422359999999999</v>
      </c>
      <c r="T4178">
        <v>-0.34085389999999999</v>
      </c>
      <c r="U4178">
        <v>-2.8738100000000002</v>
      </c>
      <c r="V4178">
        <v>-0.16095619999999999</v>
      </c>
      <c r="W4178">
        <v>0.1894033</v>
      </c>
      <c r="X4178">
        <v>0.96861730000000001</v>
      </c>
      <c r="Y4178">
        <v>-0.4453685</v>
      </c>
      <c r="Z4178">
        <v>9.4571009999999997E-2</v>
      </c>
      <c r="AA4178">
        <v>0.89033879999999999</v>
      </c>
      <c r="AB4178">
        <v>31</v>
      </c>
      <c r="AC4178">
        <v>0.428499999999985</v>
      </c>
      <c r="AD4178">
        <v>-9.85069999999999E-2</v>
      </c>
      <c r="AE4178">
        <v>-0.233899999999998</v>
      </c>
      <c r="AF4178">
        <v>-0.40520671701271499</v>
      </c>
      <c r="AG4178">
        <v>-9.85069999999999E-2</v>
      </c>
      <c r="AH4178">
        <v>0.23631713345986499</v>
      </c>
      <c r="AI4178">
        <v>101.85974426209199</v>
      </c>
      <c r="AJ4178">
        <v>149.74920227307899</v>
      </c>
      <c r="AK4178">
        <v>0.47931398908013301</v>
      </c>
      <c r="AL4178">
        <v>79.082036376522495</v>
      </c>
      <c r="AM4178">
        <v>99.434693385727797</v>
      </c>
      <c r="AN4178">
        <v>0.99999999111430904</v>
      </c>
    </row>
    <row r="4179" spans="1:40" x14ac:dyDescent="0.25">
      <c r="A4179" t="str">
        <f>"20190303162637274"</f>
        <v>20190303162637274</v>
      </c>
      <c r="B4179" t="str">
        <f>"1551601597268055"</f>
        <v>1551601597268055</v>
      </c>
      <c r="C4179" t="s">
        <v>40</v>
      </c>
      <c r="D4179">
        <v>5.0056250000000002</v>
      </c>
      <c r="E4179">
        <v>0.3732453</v>
      </c>
      <c r="F4179" t="s">
        <v>42</v>
      </c>
      <c r="G4179">
        <v>-421.02170000000001</v>
      </c>
      <c r="H4179">
        <v>1.023569</v>
      </c>
      <c r="I4179">
        <v>42.801650000000002</v>
      </c>
      <c r="J4179">
        <v>-421.46850000000001</v>
      </c>
      <c r="K4179">
        <v>1.1207750000000001</v>
      </c>
      <c r="L4179">
        <v>43.342289999999998</v>
      </c>
      <c r="M4179">
        <v>2.8279680000000001E-2</v>
      </c>
      <c r="N4179">
        <v>-1.012889E-2</v>
      </c>
      <c r="O4179">
        <v>-0.99954869999999996</v>
      </c>
      <c r="P4179">
        <v>0.19174099999999999</v>
      </c>
      <c r="Q4179">
        <v>0.17963689999999999</v>
      </c>
      <c r="R4179">
        <v>-0.964866</v>
      </c>
      <c r="S4179">
        <v>1.54599</v>
      </c>
      <c r="T4179">
        <v>-0.32977509999999999</v>
      </c>
      <c r="U4179">
        <v>-2.8666990000000001</v>
      </c>
      <c r="V4179">
        <v>-0.1643491</v>
      </c>
      <c r="W4179">
        <v>0.18947549999999999</v>
      </c>
      <c r="X4179">
        <v>0.96803329999999999</v>
      </c>
      <c r="Y4179">
        <v>-0.44736900000000002</v>
      </c>
      <c r="Z4179">
        <v>9.1363009999999995E-2</v>
      </c>
      <c r="AA4179">
        <v>0.88967059999999998</v>
      </c>
      <c r="AB4179">
        <v>31</v>
      </c>
      <c r="AC4179">
        <v>0.44679999999999598</v>
      </c>
      <c r="AD4179">
        <v>-9.7206000000000098E-2</v>
      </c>
      <c r="AE4179">
        <v>-0.54064000000000301</v>
      </c>
      <c r="AF4179">
        <v>-0.42320235450608001</v>
      </c>
      <c r="AG4179">
        <v>-9.7206000000000098E-2</v>
      </c>
      <c r="AH4179">
        <v>0.542636605231408</v>
      </c>
      <c r="AI4179">
        <v>98.040198130128701</v>
      </c>
      <c r="AJ4179">
        <v>127.95067275696699</v>
      </c>
      <c r="AK4179">
        <v>0.69498469381171002</v>
      </c>
      <c r="AL4179">
        <v>79.077823772383695</v>
      </c>
      <c r="AM4179">
        <v>99.635587111398493</v>
      </c>
      <c r="AN4179">
        <v>1.0000000308399699</v>
      </c>
    </row>
    <row r="4180" spans="1:40" x14ac:dyDescent="0.25">
      <c r="A4180" t="str">
        <f>"20190303162637297"</f>
        <v>20190303162637297</v>
      </c>
      <c r="B4180" t="str">
        <f>"1551601597287575"</f>
        <v>1551601597287575</v>
      </c>
      <c r="C4180" t="s">
        <v>40</v>
      </c>
      <c r="D4180">
        <v>4.9650239999999997</v>
      </c>
      <c r="E4180">
        <v>0.37354690000000002</v>
      </c>
      <c r="F4180" t="s">
        <v>42</v>
      </c>
      <c r="G4180">
        <v>-421.00630000000001</v>
      </c>
      <c r="H4180">
        <v>1.0230399999999999</v>
      </c>
      <c r="I4180">
        <v>42.490200000000002</v>
      </c>
      <c r="J4180">
        <v>-421.45960000000002</v>
      </c>
      <c r="K4180">
        <v>1.120811</v>
      </c>
      <c r="L4180">
        <v>43.029719999999998</v>
      </c>
      <c r="M4180">
        <v>2.8315409999999999E-2</v>
      </c>
      <c r="N4180">
        <v>-1.0115209999999999E-2</v>
      </c>
      <c r="O4180">
        <v>-0.9995482</v>
      </c>
      <c r="P4180">
        <v>0.19599230000000001</v>
      </c>
      <c r="Q4180">
        <v>0.17849019999999999</v>
      </c>
      <c r="R4180">
        <v>-0.96422450000000004</v>
      </c>
      <c r="S4180">
        <v>1.5526120000000001</v>
      </c>
      <c r="T4180">
        <v>-0.32825460000000001</v>
      </c>
      <c r="U4180">
        <v>-2.8618160000000001</v>
      </c>
      <c r="V4180">
        <v>-0.16860039999999901</v>
      </c>
      <c r="W4180">
        <v>0.1882955</v>
      </c>
      <c r="X4180">
        <v>0.96753230000000001</v>
      </c>
      <c r="Y4180">
        <v>-0.44957970000000003</v>
      </c>
      <c r="Z4180">
        <v>9.0953480000000003E-2</v>
      </c>
      <c r="AA4180">
        <v>0.88859750000000004</v>
      </c>
      <c r="AB4180">
        <v>31</v>
      </c>
      <c r="AC4180">
        <v>0.45330000000001203</v>
      </c>
      <c r="AD4180">
        <v>-9.7770999999999997E-2</v>
      </c>
      <c r="AE4180">
        <v>-0.539520000000003</v>
      </c>
      <c r="AF4180">
        <v>-0.42957118323910598</v>
      </c>
      <c r="AG4180">
        <v>-9.7770999999999997E-2</v>
      </c>
      <c r="AH4180">
        <v>0.54171136838428402</v>
      </c>
      <c r="AI4180">
        <v>98.049265989376295</v>
      </c>
      <c r="AJ4180">
        <v>128.41403148557399</v>
      </c>
      <c r="AK4180">
        <v>0.69824191835439098</v>
      </c>
      <c r="AL4180">
        <v>79.146672016143995</v>
      </c>
      <c r="AM4180">
        <v>99.884999127008996</v>
      </c>
      <c r="AN4180">
        <v>1.00000002087184</v>
      </c>
    </row>
    <row r="4181" spans="1:40" x14ac:dyDescent="0.25">
      <c r="A4181" t="str">
        <f>"20190303162637319"</f>
        <v>20190303162637319</v>
      </c>
      <c r="B4181" t="str">
        <f>"1551601597308070"</f>
        <v>1551601597308070</v>
      </c>
      <c r="C4181" t="s">
        <v>40</v>
      </c>
      <c r="D4181">
        <v>4.9415100000000001</v>
      </c>
      <c r="E4181">
        <v>0.37324950000000001</v>
      </c>
      <c r="F4181" t="s">
        <v>59</v>
      </c>
      <c r="G4181">
        <v>-416.15589999999997</v>
      </c>
      <c r="H4181" s="1">
        <v>-4.6721419999999996E-6</v>
      </c>
      <c r="I4181">
        <v>33.335560000000001</v>
      </c>
      <c r="J4181">
        <v>-421.45069999999998</v>
      </c>
      <c r="K4181">
        <v>1.1208830000000001</v>
      </c>
      <c r="L4181">
        <v>42.720669999999998</v>
      </c>
      <c r="M4181">
        <v>2.8482420000000001E-2</v>
      </c>
      <c r="N4181">
        <v>-1.0106240000000001E-2</v>
      </c>
      <c r="O4181">
        <v>-0.99954339999999997</v>
      </c>
      <c r="P4181">
        <v>0.19961899999999999</v>
      </c>
      <c r="Q4181">
        <v>0.17756820000000001</v>
      </c>
      <c r="R4181">
        <v>-0.96365060000000002</v>
      </c>
      <c r="S4181">
        <v>1.5619510000000001</v>
      </c>
      <c r="T4181">
        <v>-0.33007880000000001</v>
      </c>
      <c r="U4181">
        <v>-2.8549190000000002</v>
      </c>
      <c r="V4181">
        <v>-0.17211580000000001</v>
      </c>
      <c r="W4181">
        <v>0.18732789999999999</v>
      </c>
      <c r="X4181">
        <v>0.96710099999999999</v>
      </c>
      <c r="Y4181">
        <v>-0.45253739999999998</v>
      </c>
      <c r="Z4181">
        <v>9.1576930000000001E-2</v>
      </c>
      <c r="AA4181">
        <v>0.88703080000000001</v>
      </c>
      <c r="AB4181">
        <v>31</v>
      </c>
      <c r="AC4181">
        <v>5.2948000000000004</v>
      </c>
      <c r="AD4181">
        <v>-1.120887672142</v>
      </c>
      <c r="AE4181">
        <v>-9.3851099999999903</v>
      </c>
      <c r="AF4181">
        <v>-4.9715344263517798</v>
      </c>
      <c r="AG4181">
        <v>-1.120887672142</v>
      </c>
      <c r="AH4181">
        <v>9.4300830571132206</v>
      </c>
      <c r="AI4181">
        <v>96.002349172292895</v>
      </c>
      <c r="AJ4181">
        <v>117.79817269756001</v>
      </c>
      <c r="AK4181">
        <v>10.719095586382901</v>
      </c>
      <c r="AL4181">
        <v>79.203115244802305</v>
      </c>
      <c r="AM4181">
        <v>100.09132169064399</v>
      </c>
      <c r="AN4181">
        <v>0.99999996746452402</v>
      </c>
    </row>
    <row r="4182" spans="1:40" x14ac:dyDescent="0.25">
      <c r="A4182" t="str">
        <f>"20190303162637341"</f>
        <v>20190303162637341</v>
      </c>
      <c r="B4182" t="str">
        <f>"1551601597327590"</f>
        <v>1551601597327590</v>
      </c>
      <c r="C4182" t="s">
        <v>40</v>
      </c>
      <c r="D4182">
        <v>4.8922679999999996</v>
      </c>
      <c r="E4182">
        <v>0.34326309999999999</v>
      </c>
      <c r="F4182" t="s">
        <v>42</v>
      </c>
      <c r="G4182">
        <v>-420.9144</v>
      </c>
      <c r="H4182">
        <v>1.00793</v>
      </c>
      <c r="I4182">
        <v>41.750450000000001</v>
      </c>
      <c r="J4182">
        <v>-421.44139999999999</v>
      </c>
      <c r="K4182">
        <v>1.121016</v>
      </c>
      <c r="L4182">
        <v>42.40381</v>
      </c>
      <c r="M4182">
        <v>2.8847939999999999E-2</v>
      </c>
      <c r="N4182">
        <v>-1.010657E-2</v>
      </c>
      <c r="O4182">
        <v>-0.9995328</v>
      </c>
      <c r="P4182">
        <v>0.20264499999999999</v>
      </c>
      <c r="Q4182">
        <v>0.17750669999999999</v>
      </c>
      <c r="R4182">
        <v>-0.96302969999999999</v>
      </c>
      <c r="S4182">
        <v>1.575348</v>
      </c>
      <c r="T4182">
        <v>-0.33157520000000001</v>
      </c>
      <c r="U4182">
        <v>-2.847931</v>
      </c>
      <c r="V4182">
        <v>-0.17486399999999999</v>
      </c>
      <c r="W4182">
        <v>0.1872056</v>
      </c>
      <c r="X4182">
        <v>0.96663160000000004</v>
      </c>
      <c r="Y4182">
        <v>-0.45630159999999997</v>
      </c>
      <c r="Z4182">
        <v>9.2038499999999995E-2</v>
      </c>
      <c r="AA4182">
        <v>0.88505239999999996</v>
      </c>
      <c r="AB4182">
        <v>31</v>
      </c>
      <c r="AC4182">
        <v>0.52699999999998604</v>
      </c>
      <c r="AD4182">
        <v>-0.11308600000000001</v>
      </c>
      <c r="AE4182">
        <v>-0.65335999999999905</v>
      </c>
      <c r="AF4182">
        <v>-0.49887711501203102</v>
      </c>
      <c r="AG4182">
        <v>-0.11308600000000001</v>
      </c>
      <c r="AH4182">
        <v>0.65637860293754702</v>
      </c>
      <c r="AI4182">
        <v>97.810296467989403</v>
      </c>
      <c r="AJ4182">
        <v>127.23645940359501</v>
      </c>
      <c r="AK4182">
        <v>0.83216566239720202</v>
      </c>
      <c r="AL4182">
        <v>79.2102491005422</v>
      </c>
      <c r="AM4182">
        <v>100.253933481383</v>
      </c>
      <c r="AN4182">
        <v>1.0000000026429601</v>
      </c>
    </row>
    <row r="4183" spans="1:40" x14ac:dyDescent="0.25">
      <c r="A4183" t="str">
        <f>"20190303162637364"</f>
        <v>20190303162637364</v>
      </c>
      <c r="B4183" t="str">
        <f>"1551601597357848"</f>
        <v>1551601597357848</v>
      </c>
      <c r="C4183" t="s">
        <v>40</v>
      </c>
      <c r="D4183">
        <v>4.8433089999999996</v>
      </c>
      <c r="E4183">
        <v>0.34144629999999998</v>
      </c>
      <c r="F4183" t="s">
        <v>42</v>
      </c>
      <c r="G4183">
        <v>-420.84589999999997</v>
      </c>
      <c r="H4183">
        <v>0.9813269</v>
      </c>
      <c r="I4183">
        <v>41.483919999999998</v>
      </c>
      <c r="J4183">
        <v>-421.43150000000003</v>
      </c>
      <c r="K4183">
        <v>1.1211709999999999</v>
      </c>
      <c r="L4183">
        <v>42.07687</v>
      </c>
      <c r="M4183">
        <v>2.940856E-2</v>
      </c>
      <c r="N4183">
        <v>-1.0113759999999999E-2</v>
      </c>
      <c r="O4183">
        <v>-0.99951619999999997</v>
      </c>
      <c r="P4183">
        <v>0.2047795</v>
      </c>
      <c r="Q4183">
        <v>0.17768829999999999</v>
      </c>
      <c r="R4183">
        <v>-0.96254439999999997</v>
      </c>
      <c r="S4183">
        <v>1.8193969999999999</v>
      </c>
      <c r="T4183">
        <v>-0.42686180000000001</v>
      </c>
      <c r="U4183">
        <v>-2.8110050000000002</v>
      </c>
      <c r="V4183">
        <v>-0.17654120000000001</v>
      </c>
      <c r="W4183">
        <v>0.18732170000000001</v>
      </c>
      <c r="X4183">
        <v>0.96630419999999995</v>
      </c>
      <c r="Y4183">
        <v>-0.51435640000000005</v>
      </c>
      <c r="Z4183">
        <v>0.11749270000000001</v>
      </c>
      <c r="AA4183">
        <v>0.84948979999999996</v>
      </c>
      <c r="AB4183">
        <v>31</v>
      </c>
      <c r="AC4183">
        <v>0.58560000000005596</v>
      </c>
      <c r="AD4183">
        <v>-0.139844099999999</v>
      </c>
      <c r="AE4183">
        <v>-0.59295000000000098</v>
      </c>
      <c r="AF4183">
        <v>-0.55235465744194501</v>
      </c>
      <c r="AG4183">
        <v>-0.139844099999999</v>
      </c>
      <c r="AH4183">
        <v>0.59321223576755799</v>
      </c>
      <c r="AI4183">
        <v>99.788829161888302</v>
      </c>
      <c r="AJ4183">
        <v>132.95736507342701</v>
      </c>
      <c r="AK4183">
        <v>0.82252829529868698</v>
      </c>
      <c r="AL4183">
        <v>79.203477353393694</v>
      </c>
      <c r="AM4183">
        <v>100.353598661079</v>
      </c>
      <c r="AN4183">
        <v>1.0000000107629801</v>
      </c>
    </row>
    <row r="4184" spans="1:40" x14ac:dyDescent="0.25">
      <c r="A4184" t="str">
        <f>"20190303162637387"</f>
        <v>20190303162637387</v>
      </c>
      <c r="B4184" t="str">
        <f>"1551601597378342"</f>
        <v>1551601597378342</v>
      </c>
      <c r="C4184" t="s">
        <v>40</v>
      </c>
      <c r="D4184">
        <v>4.8260300000000003</v>
      </c>
      <c r="E4184">
        <v>0.34151209999999999</v>
      </c>
      <c r="F4184" t="s">
        <v>42</v>
      </c>
      <c r="G4184">
        <v>-420.85449999999997</v>
      </c>
      <c r="H4184">
        <v>0.98636999999999997</v>
      </c>
      <c r="I4184">
        <v>41.19811</v>
      </c>
      <c r="J4184">
        <v>-421.42129999999997</v>
      </c>
      <c r="K4184">
        <v>1.1213390000000001</v>
      </c>
      <c r="L4184">
        <v>41.755980000000001</v>
      </c>
      <c r="M4184">
        <v>3.0203170000000001E-2</v>
      </c>
      <c r="N4184">
        <v>-1.012355E-2</v>
      </c>
      <c r="O4184">
        <v>-0.99949259999999995</v>
      </c>
      <c r="P4184">
        <v>0.20762369999999999</v>
      </c>
      <c r="Q4184">
        <v>0.176922</v>
      </c>
      <c r="R4184">
        <v>-0.96207619999999905</v>
      </c>
      <c r="S4184">
        <v>1.841583</v>
      </c>
      <c r="T4184">
        <v>-0.43019659999999899</v>
      </c>
      <c r="U4184">
        <v>-2.8043520000000002</v>
      </c>
      <c r="V4184">
        <v>-0.17871010000000001</v>
      </c>
      <c r="W4184">
        <v>0.1864818</v>
      </c>
      <c r="X4184">
        <v>0.96606789999999998</v>
      </c>
      <c r="Y4184">
        <v>-0.51924429999999999</v>
      </c>
      <c r="Z4184">
        <v>0.1182578</v>
      </c>
      <c r="AA4184">
        <v>0.84640439999999995</v>
      </c>
      <c r="AB4184">
        <v>32</v>
      </c>
      <c r="AC4184">
        <v>0.56679999999999997</v>
      </c>
      <c r="AD4184">
        <v>-0.13496899999999901</v>
      </c>
      <c r="AE4184">
        <v>-0.55787000000000098</v>
      </c>
      <c r="AF4184">
        <v>-0.534302189656783</v>
      </c>
      <c r="AG4184">
        <v>-0.13496899999999901</v>
      </c>
      <c r="AH4184">
        <v>0.55864546952584404</v>
      </c>
      <c r="AI4184">
        <v>99.903955888268897</v>
      </c>
      <c r="AJ4184">
        <v>133.724059098254</v>
      </c>
      <c r="AK4184">
        <v>0.78471665042535199</v>
      </c>
      <c r="AL4184">
        <v>79.252462885283194</v>
      </c>
      <c r="AM4184">
        <v>100.480503530538</v>
      </c>
      <c r="AN4184">
        <v>0.99999997449182898</v>
      </c>
    </row>
    <row r="4185" spans="1:40" x14ac:dyDescent="0.25">
      <c r="A4185" t="str">
        <f>"20190303162637409"</f>
        <v>20190303162637409</v>
      </c>
      <c r="B4185" t="str">
        <f>"1551601597397867"</f>
        <v>1551601597397867</v>
      </c>
      <c r="C4185" t="s">
        <v>40</v>
      </c>
      <c r="D4185">
        <v>4.8234130000000004</v>
      </c>
      <c r="E4185">
        <v>0.34162290000000001</v>
      </c>
      <c r="F4185" t="s">
        <v>42</v>
      </c>
      <c r="G4185">
        <v>-420.86320000000001</v>
      </c>
      <c r="H4185">
        <v>0.99076319999999996</v>
      </c>
      <c r="I4185">
        <v>40.912039999999998</v>
      </c>
      <c r="J4185">
        <v>-421.41109999999998</v>
      </c>
      <c r="K4185">
        <v>1.1215520000000001</v>
      </c>
      <c r="L4185">
        <v>41.45102</v>
      </c>
      <c r="M4185">
        <v>3.1261200000000003E-2</v>
      </c>
      <c r="N4185">
        <v>-1.013494E-2</v>
      </c>
      <c r="O4185">
        <v>-0.99946020000000002</v>
      </c>
      <c r="P4185">
        <v>0.21163979999999999</v>
      </c>
      <c r="Q4185">
        <v>0.17646889999999901</v>
      </c>
      <c r="R4185">
        <v>-0.96128460000000004</v>
      </c>
      <c r="S4185">
        <v>1.8506769999999999</v>
      </c>
      <c r="T4185">
        <v>-0.43299949999999998</v>
      </c>
      <c r="U4185">
        <v>-2.798492</v>
      </c>
      <c r="V4185">
        <v>-0.18181929999999999</v>
      </c>
      <c r="W4185">
        <v>0.1859374</v>
      </c>
      <c r="X4185">
        <v>0.96559260000000002</v>
      </c>
      <c r="Y4185">
        <v>-0.52101109999999995</v>
      </c>
      <c r="Z4185">
        <v>0.1191074</v>
      </c>
      <c r="AA4185">
        <v>0.84519869999999997</v>
      </c>
      <c r="AB4185">
        <v>32</v>
      </c>
      <c r="AC4185">
        <v>0.54789999999996997</v>
      </c>
      <c r="AD4185">
        <v>-0.13078880000000001</v>
      </c>
      <c r="AE4185">
        <v>-0.53897999999999502</v>
      </c>
      <c r="AF4185">
        <v>-0.515844006750523</v>
      </c>
      <c r="AG4185">
        <v>-0.13078880000000001</v>
      </c>
      <c r="AH4185">
        <v>0.54020190134739399</v>
      </c>
      <c r="AI4185">
        <v>99.931829760813201</v>
      </c>
      <c r="AJ4185">
        <v>133.67869650552501</v>
      </c>
      <c r="AK4185">
        <v>0.75829996948780998</v>
      </c>
      <c r="AL4185">
        <v>79.284210477683402</v>
      </c>
      <c r="AM4185">
        <v>100.663826378972</v>
      </c>
      <c r="AN4185">
        <v>1.0000000218730001</v>
      </c>
    </row>
    <row r="4186" spans="1:40" x14ac:dyDescent="0.25">
      <c r="A4186" t="str">
        <f>"20190303162637433"</f>
        <v>20190303162637433</v>
      </c>
      <c r="B4186" t="str">
        <f>"1551601597428123"</f>
        <v>1551601597428123</v>
      </c>
      <c r="C4186" t="s">
        <v>40</v>
      </c>
      <c r="D4186">
        <v>4.8415530000000002</v>
      </c>
      <c r="E4186">
        <v>0.3419335</v>
      </c>
      <c r="F4186" t="s">
        <v>42</v>
      </c>
      <c r="G4186">
        <v>-420.86250000000001</v>
      </c>
      <c r="H4186">
        <v>0.99302780000000002</v>
      </c>
      <c r="I4186">
        <v>40.628140000000002</v>
      </c>
      <c r="J4186">
        <v>-421.39870000000002</v>
      </c>
      <c r="K4186">
        <v>1.1218589999999999</v>
      </c>
      <c r="L4186">
        <v>41.102600000000002</v>
      </c>
      <c r="M4186">
        <v>3.2904719999999998E-2</v>
      </c>
      <c r="N4186">
        <v>-1.015164E-2</v>
      </c>
      <c r="O4186">
        <v>-0.99940709999999999</v>
      </c>
      <c r="P4186">
        <v>0.21834729999999999</v>
      </c>
      <c r="Q4186">
        <v>0.1760284</v>
      </c>
      <c r="R4186">
        <v>-0.95986400000000005</v>
      </c>
      <c r="S4186">
        <v>1.8615109999999999</v>
      </c>
      <c r="T4186">
        <v>-0.43595620000000002</v>
      </c>
      <c r="U4186">
        <v>-2.7910159999999999</v>
      </c>
      <c r="V4186">
        <v>-0.18711639999999999</v>
      </c>
      <c r="W4186">
        <v>0.18535509999999999</v>
      </c>
      <c r="X4186">
        <v>0.9646922</v>
      </c>
      <c r="Y4186">
        <v>-0.52286120000000003</v>
      </c>
      <c r="Z4186">
        <v>0.12003170000000001</v>
      </c>
      <c r="AA4186">
        <v>0.84392449999999997</v>
      </c>
      <c r="AB4186">
        <v>32</v>
      </c>
      <c r="AC4186">
        <v>0.536200000000008</v>
      </c>
      <c r="AD4186">
        <v>-0.12883119999999901</v>
      </c>
      <c r="AE4186">
        <v>-0.47445999999999999</v>
      </c>
      <c r="AF4186">
        <v>-0.50397921666032997</v>
      </c>
      <c r="AG4186">
        <v>-0.12883119999999901</v>
      </c>
      <c r="AH4186">
        <v>0.47642207846794798</v>
      </c>
      <c r="AI4186">
        <v>100.523517079458</v>
      </c>
      <c r="AJ4186">
        <v>136.61004693458699</v>
      </c>
      <c r="AK4186">
        <v>0.705386791604946</v>
      </c>
      <c r="AL4186">
        <v>79.318164345973003</v>
      </c>
      <c r="AM4186">
        <v>100.977062087543</v>
      </c>
      <c r="AN4186">
        <v>1.0000000504929001</v>
      </c>
    </row>
    <row r="4187" spans="1:40" x14ac:dyDescent="0.25">
      <c r="A4187" t="str">
        <f>"20190303162637462"</f>
        <v>20190303162637462</v>
      </c>
      <c r="B4187" t="str">
        <f>"1551601597447643"</f>
        <v>1551601597447643</v>
      </c>
      <c r="C4187" t="s">
        <v>40</v>
      </c>
      <c r="D4187">
        <v>4.8199839999999998</v>
      </c>
      <c r="E4187">
        <v>0.34199970000000002</v>
      </c>
      <c r="F4187" t="s">
        <v>42</v>
      </c>
      <c r="G4187">
        <v>-420.88200000000001</v>
      </c>
      <c r="H4187">
        <v>1.002437</v>
      </c>
      <c r="I4187">
        <v>40.339010000000002</v>
      </c>
      <c r="J4187">
        <v>-421.38350000000003</v>
      </c>
      <c r="K4187">
        <v>1.1222780000000001</v>
      </c>
      <c r="L4187">
        <v>40.715519999999998</v>
      </c>
      <c r="M4187">
        <v>3.5380549999999997E-2</v>
      </c>
      <c r="N4187">
        <v>-1.017625E-2</v>
      </c>
      <c r="O4187">
        <v>-0.99932200000000004</v>
      </c>
      <c r="P4187">
        <v>0.22922680000000001</v>
      </c>
      <c r="Q4187">
        <v>0.17632879999999901</v>
      </c>
      <c r="R4187">
        <v>-0.95726840000000002</v>
      </c>
      <c r="S4187">
        <v>1.8788149999999999</v>
      </c>
      <c r="T4187">
        <v>-0.4344114</v>
      </c>
      <c r="U4187">
        <v>-2.7777099999999999</v>
      </c>
      <c r="V4187">
        <v>-0.19587860000000001</v>
      </c>
      <c r="W4187">
        <v>0.18543699999999999</v>
      </c>
      <c r="X4187">
        <v>0.9629354</v>
      </c>
      <c r="Y4187">
        <v>-0.52625310000000003</v>
      </c>
      <c r="Z4187">
        <v>0.11970509999999999</v>
      </c>
      <c r="AA4187">
        <v>0.8418601</v>
      </c>
      <c r="AB4187">
        <v>32</v>
      </c>
      <c r="AC4187">
        <v>0.50150000000007799</v>
      </c>
      <c r="AD4187">
        <v>-0.119841</v>
      </c>
      <c r="AE4187">
        <v>-0.37651000000000301</v>
      </c>
      <c r="AF4187">
        <v>-0.47067518147701798</v>
      </c>
      <c r="AG4187">
        <v>-0.119841</v>
      </c>
      <c r="AH4187">
        <v>0.380136008552108</v>
      </c>
      <c r="AI4187">
        <v>101.204152071961</v>
      </c>
      <c r="AJ4187">
        <v>141.07427722175501</v>
      </c>
      <c r="AK4187">
        <v>0.61676606321793703</v>
      </c>
      <c r="AL4187">
        <v>79.3133879039287</v>
      </c>
      <c r="AM4187">
        <v>101.498124703625</v>
      </c>
      <c r="AN4187">
        <v>0.99999994574005802</v>
      </c>
    </row>
    <row r="4188" spans="1:40" x14ac:dyDescent="0.25">
      <c r="A4188" t="str">
        <f>"20190303162637480"</f>
        <v>20190303162637480</v>
      </c>
      <c r="B4188" t="str">
        <f>"1551601597468140"</f>
        <v>1551601597468140</v>
      </c>
      <c r="C4188" t="s">
        <v>40</v>
      </c>
      <c r="D4188">
        <v>4.8387510000000002</v>
      </c>
      <c r="E4188">
        <v>0.34200160000000002</v>
      </c>
      <c r="F4188" t="s">
        <v>42</v>
      </c>
      <c r="G4188">
        <v>-420.7525</v>
      </c>
      <c r="H4188">
        <v>0.97826760000000001</v>
      </c>
      <c r="I4188">
        <v>39.802860000000003</v>
      </c>
      <c r="J4188">
        <v>-421.37130000000002</v>
      </c>
      <c r="K4188">
        <v>1.122635</v>
      </c>
      <c r="L4188">
        <v>40.431240000000003</v>
      </c>
      <c r="M4188">
        <v>3.7696199999999999E-2</v>
      </c>
      <c r="N4188">
        <v>-1.019845E-2</v>
      </c>
      <c r="O4188">
        <v>-0.99923720000000005</v>
      </c>
      <c r="P4188">
        <v>0.24050440000000001</v>
      </c>
      <c r="Q4188">
        <v>0.17573469999999999</v>
      </c>
      <c r="R4188">
        <v>-0.95460719999999999</v>
      </c>
      <c r="S4188">
        <v>1.906525</v>
      </c>
      <c r="T4188">
        <v>-0.43512329999999999</v>
      </c>
      <c r="U4188">
        <v>-2.7575379999999998</v>
      </c>
      <c r="V4188">
        <v>-0.2051714</v>
      </c>
      <c r="W4188">
        <v>0.18463479999999999</v>
      </c>
      <c r="X4188">
        <v>0.96115280000000003</v>
      </c>
      <c r="Y4188">
        <v>-0.53284699999999996</v>
      </c>
      <c r="Z4188">
        <v>0.1200355</v>
      </c>
      <c r="AA4188">
        <v>0.83765480000000003</v>
      </c>
      <c r="AB4188">
        <v>32</v>
      </c>
      <c r="AC4188">
        <v>0.618800000000021</v>
      </c>
      <c r="AD4188">
        <v>-0.14436740000000001</v>
      </c>
      <c r="AE4188">
        <v>-0.62838000000000704</v>
      </c>
      <c r="AF4188">
        <v>-0.57915190047321696</v>
      </c>
      <c r="AG4188">
        <v>-0.14436740000000001</v>
      </c>
      <c r="AH4188">
        <v>0.63426463297617197</v>
      </c>
      <c r="AI4188">
        <v>99.5413240294519</v>
      </c>
      <c r="AJ4188">
        <v>132.399443489715</v>
      </c>
      <c r="AK4188">
        <v>0.87094804359898403</v>
      </c>
      <c r="AL4188">
        <v>79.360158902551106</v>
      </c>
      <c r="AM4188">
        <v>102.049728790852</v>
      </c>
      <c r="AN4188">
        <v>1.00000000884842</v>
      </c>
    </row>
    <row r="4189" spans="1:40" x14ac:dyDescent="0.25">
      <c r="A4189" t="str">
        <f>"20190303162637500"</f>
        <v>20190303162637500</v>
      </c>
      <c r="B4189" t="str">
        <f>"1551601597488253"</f>
        <v>1551601597488253</v>
      </c>
      <c r="C4189" t="s">
        <v>40</v>
      </c>
      <c r="D4189">
        <v>4.873767</v>
      </c>
      <c r="E4189">
        <v>0.3420339</v>
      </c>
      <c r="F4189" t="s">
        <v>42</v>
      </c>
      <c r="G4189">
        <v>-420.72989999999999</v>
      </c>
      <c r="H4189">
        <v>0.97526109999999999</v>
      </c>
      <c r="I4189">
        <v>39.523090000000003</v>
      </c>
      <c r="J4189">
        <v>-421.35829999999999</v>
      </c>
      <c r="K4189">
        <v>1.1229720000000001</v>
      </c>
      <c r="L4189">
        <v>40.152920000000002</v>
      </c>
      <c r="M4189">
        <v>4.0320689999999999E-2</v>
      </c>
      <c r="N4189">
        <v>-1.0221890000000001E-2</v>
      </c>
      <c r="O4189">
        <v>-0.99913450000000004</v>
      </c>
      <c r="P4189">
        <v>0.25258039999999998</v>
      </c>
      <c r="Q4189">
        <v>0.1750767</v>
      </c>
      <c r="R4189">
        <v>-0.95160469999999997</v>
      </c>
      <c r="S4189">
        <v>1.9336549999999999</v>
      </c>
      <c r="T4189">
        <v>-0.44419809999999998</v>
      </c>
      <c r="U4189">
        <v>-2.737244</v>
      </c>
      <c r="V4189">
        <v>-0.2149798</v>
      </c>
      <c r="W4189">
        <v>0.18375559999999999</v>
      </c>
      <c r="X4189">
        <v>0.95917549999999996</v>
      </c>
      <c r="Y4189">
        <v>-0.53887119999999999</v>
      </c>
      <c r="Z4189">
        <v>0.1228426</v>
      </c>
      <c r="AA4189">
        <v>0.83338319999999999</v>
      </c>
      <c r="AB4189">
        <v>32</v>
      </c>
      <c r="AC4189">
        <v>0.62839999999999896</v>
      </c>
      <c r="AD4189">
        <v>-0.14771089999999901</v>
      </c>
      <c r="AE4189">
        <v>-0.629829999999998</v>
      </c>
      <c r="AF4189">
        <v>-0.58633107854950095</v>
      </c>
      <c r="AG4189">
        <v>-0.14771089999999901</v>
      </c>
      <c r="AH4189">
        <v>0.637096008690755</v>
      </c>
      <c r="AI4189">
        <v>99.681385425085594</v>
      </c>
      <c r="AJ4189">
        <v>132.623929788152</v>
      </c>
      <c r="AK4189">
        <v>0.87834729346740903</v>
      </c>
      <c r="AL4189">
        <v>79.411410586123907</v>
      </c>
      <c r="AM4189">
        <v>102.632917607227</v>
      </c>
      <c r="AN4189">
        <v>1.0000000373698199</v>
      </c>
    </row>
    <row r="4190" spans="1:40" x14ac:dyDescent="0.25">
      <c r="A4190" t="str">
        <f>"20190303162637524"</f>
        <v>20190303162637524</v>
      </c>
      <c r="B4190" t="str">
        <f>"1551601597518510"</f>
        <v>1551601597518510</v>
      </c>
      <c r="C4190" t="s">
        <v>40</v>
      </c>
      <c r="D4190">
        <v>4.870851</v>
      </c>
      <c r="E4190">
        <v>0.34243479999999998</v>
      </c>
      <c r="F4190" t="s">
        <v>59</v>
      </c>
      <c r="G4190">
        <v>-416.4307</v>
      </c>
      <c r="H4190" s="1">
        <v>-4.6030949999999997E-6</v>
      </c>
      <c r="I4190">
        <v>33.351489999999998</v>
      </c>
      <c r="J4190">
        <v>-421.34160000000003</v>
      </c>
      <c r="K4190">
        <v>1.1233569999999999</v>
      </c>
      <c r="L4190">
        <v>39.827030000000001</v>
      </c>
      <c r="M4190">
        <v>4.3919569999999998E-2</v>
      </c>
      <c r="N4190">
        <v>-1.0249350000000001E-2</v>
      </c>
      <c r="O4190">
        <v>-0.9989825</v>
      </c>
      <c r="P4190">
        <v>0.26542729999999998</v>
      </c>
      <c r="Q4190">
        <v>0.1704996</v>
      </c>
      <c r="R4190">
        <v>-0.94893539999999998</v>
      </c>
      <c r="S4190">
        <v>1.9657290000000001</v>
      </c>
      <c r="T4190">
        <v>-0.44797720000000002</v>
      </c>
      <c r="U4190">
        <v>-2.7132260000000001</v>
      </c>
      <c r="V4190">
        <v>-0.22461980000000001</v>
      </c>
      <c r="W4190">
        <v>0.17891989999999999</v>
      </c>
      <c r="X4190">
        <v>0.9578797</v>
      </c>
      <c r="Y4190">
        <v>-0.545691699999999</v>
      </c>
      <c r="Z4190">
        <v>0.12412289999999999</v>
      </c>
      <c r="AA4190">
        <v>0.82874239999999999</v>
      </c>
      <c r="AB4190">
        <v>32</v>
      </c>
      <c r="AC4190">
        <v>4.9109000000000202</v>
      </c>
      <c r="AD4190">
        <v>-1.123361603095</v>
      </c>
      <c r="AE4190">
        <v>-6.4755399999999899</v>
      </c>
      <c r="AF4190">
        <v>-4.5350955291701096</v>
      </c>
      <c r="AG4190">
        <v>-1.123361603095</v>
      </c>
      <c r="AH4190">
        <v>6.5596581705386701</v>
      </c>
      <c r="AI4190">
        <v>98.018228584338601</v>
      </c>
      <c r="AJ4190">
        <v>124.658491894235</v>
      </c>
      <c r="AK4190">
        <v>8.0534556597973292</v>
      </c>
      <c r="AL4190">
        <v>79.693146142122004</v>
      </c>
      <c r="AM4190">
        <v>103.197230057479</v>
      </c>
      <c r="AN4190">
        <v>0.99999995242006801</v>
      </c>
    </row>
    <row r="4191" spans="1:40" x14ac:dyDescent="0.25">
      <c r="A4191" t="str">
        <f>"20190303162637544"</f>
        <v>20190303162637544</v>
      </c>
      <c r="B4191" t="str">
        <f>"1551601597538030"</f>
        <v>1551601597538030</v>
      </c>
      <c r="C4191" t="s">
        <v>40</v>
      </c>
      <c r="D4191">
        <v>4.9474479999999996</v>
      </c>
      <c r="E4191">
        <v>0.34294049999999998</v>
      </c>
      <c r="F4191" t="s">
        <v>42</v>
      </c>
      <c r="G4191">
        <v>-420.69909999999999</v>
      </c>
      <c r="H4191">
        <v>0.97453270000000003</v>
      </c>
      <c r="I4191">
        <v>38.962539999999997</v>
      </c>
      <c r="J4191">
        <v>-421.32499999999999</v>
      </c>
      <c r="K4191">
        <v>1.123712</v>
      </c>
      <c r="L4191">
        <v>39.53116</v>
      </c>
      <c r="M4191">
        <v>4.7683740000000002E-2</v>
      </c>
      <c r="N4191">
        <v>-1.0276560000000001E-2</v>
      </c>
      <c r="O4191">
        <v>-0.99880979999999997</v>
      </c>
      <c r="P4191">
        <v>0.27920109999999998</v>
      </c>
      <c r="Q4191">
        <v>0.16384189999999901</v>
      </c>
      <c r="R4191">
        <v>-0.94615159999999998</v>
      </c>
      <c r="S4191">
        <v>1.996826</v>
      </c>
      <c r="T4191">
        <v>-0.4624026</v>
      </c>
      <c r="U4191">
        <v>-2.6860050000000002</v>
      </c>
      <c r="V4191">
        <v>-0.23501140000000001</v>
      </c>
      <c r="W4191">
        <v>0.171991899999999</v>
      </c>
      <c r="X4191">
        <v>0.95665480000000003</v>
      </c>
      <c r="Y4191">
        <v>-0.55235780000000001</v>
      </c>
      <c r="Z4191">
        <v>0.12866179999999999</v>
      </c>
      <c r="AA4191">
        <v>0.82361819999999897</v>
      </c>
      <c r="AB4191">
        <v>32</v>
      </c>
      <c r="AC4191">
        <v>0.62590000000000101</v>
      </c>
      <c r="AD4191">
        <v>-0.14917929999999999</v>
      </c>
      <c r="AE4191">
        <v>-0.56861999999999502</v>
      </c>
      <c r="AF4191">
        <v>-0.58002136881599997</v>
      </c>
      <c r="AG4191">
        <v>-0.14917929999999999</v>
      </c>
      <c r="AH4191">
        <v>0.57977633707624199</v>
      </c>
      <c r="AI4191">
        <v>100.30958420337301</v>
      </c>
      <c r="AJ4191">
        <v>135.01210494231401</v>
      </c>
      <c r="AK4191">
        <v>0.83355854795282402</v>
      </c>
      <c r="AL4191">
        <v>80.096347322590205</v>
      </c>
      <c r="AM4191">
        <v>103.80194550970801</v>
      </c>
      <c r="AN4191">
        <v>0.99999998907930499</v>
      </c>
    </row>
    <row r="4192" spans="1:40" x14ac:dyDescent="0.25">
      <c r="A4192" t="str">
        <f>"20190303162637571"</f>
        <v>20190303162637571</v>
      </c>
      <c r="B4192" t="str">
        <f>"1551601597557550"</f>
        <v>1551601597557550</v>
      </c>
      <c r="C4192" t="s">
        <v>40</v>
      </c>
      <c r="D4192">
        <v>4.9534469999999997</v>
      </c>
      <c r="E4192">
        <v>0.34343659999999998</v>
      </c>
      <c r="F4192" t="s">
        <v>42</v>
      </c>
      <c r="G4192">
        <v>-420.67669999999998</v>
      </c>
      <c r="H4192">
        <v>0.9692674</v>
      </c>
      <c r="I4192">
        <v>38.682429999999997</v>
      </c>
      <c r="J4192">
        <v>-421.3023</v>
      </c>
      <c r="K4192">
        <v>1.1242099999999999</v>
      </c>
      <c r="L4192">
        <v>39.164700000000003</v>
      </c>
      <c r="M4192">
        <v>5.3074940000000001E-2</v>
      </c>
      <c r="N4192">
        <v>-1.031787E-2</v>
      </c>
      <c r="O4192">
        <v>-0.99853740000000002</v>
      </c>
      <c r="P4192">
        <v>0.29438740000000002</v>
      </c>
      <c r="Q4192">
        <v>0.15941939999999999</v>
      </c>
      <c r="R4192">
        <v>-0.94229609999999997</v>
      </c>
      <c r="S4192">
        <v>2.0290530000000002</v>
      </c>
      <c r="T4192">
        <v>-0.48325800000000002</v>
      </c>
      <c r="U4192">
        <v>-2.6556700000000002</v>
      </c>
      <c r="V4192">
        <v>-0.24538509999999999</v>
      </c>
      <c r="W4192">
        <v>0.16720479999999999</v>
      </c>
      <c r="X4192">
        <v>0.9548972</v>
      </c>
      <c r="Y4192">
        <v>-0.55814759999999997</v>
      </c>
      <c r="Z4192">
        <v>0.13521349999999999</v>
      </c>
      <c r="AA4192">
        <v>0.8186504</v>
      </c>
      <c r="AB4192">
        <v>32</v>
      </c>
      <c r="AC4192">
        <v>0.62560000000001903</v>
      </c>
      <c r="AD4192">
        <v>-0.15494259999999899</v>
      </c>
      <c r="AE4192">
        <v>-0.48227000000000603</v>
      </c>
      <c r="AF4192">
        <v>-0.57692289319383105</v>
      </c>
      <c r="AG4192">
        <v>-0.15494259999999899</v>
      </c>
      <c r="AH4192">
        <v>0.495722422280581</v>
      </c>
      <c r="AI4192">
        <v>101.513571240708</v>
      </c>
      <c r="AJ4192">
        <v>139.329098769518</v>
      </c>
      <c r="AK4192">
        <v>0.77626538885720398</v>
      </c>
      <c r="AL4192">
        <v>80.3746599756291</v>
      </c>
      <c r="AM4192">
        <v>104.41177381353199</v>
      </c>
      <c r="AN4192">
        <v>0.99999997750644398</v>
      </c>
    </row>
    <row r="4193" spans="1:40" x14ac:dyDescent="0.25">
      <c r="A4193" t="str">
        <f>"20190303162637592"</f>
        <v>20190303162637592</v>
      </c>
      <c r="B4193" t="str">
        <f>"1551601597587806"</f>
        <v>1551601597587806</v>
      </c>
      <c r="C4193" t="s">
        <v>40</v>
      </c>
      <c r="D4193">
        <v>4.9914420000000002</v>
      </c>
      <c r="E4193">
        <v>0.35253699999999999</v>
      </c>
      <c r="F4193" t="s">
        <v>42</v>
      </c>
      <c r="G4193">
        <v>-420.69439999999997</v>
      </c>
      <c r="H4193">
        <v>0.97864799999999996</v>
      </c>
      <c r="I4193">
        <v>38.39331</v>
      </c>
      <c r="J4193">
        <v>-421.28120000000001</v>
      </c>
      <c r="K4193">
        <v>1.124709</v>
      </c>
      <c r="L4193">
        <v>38.858580000000003</v>
      </c>
      <c r="M4193">
        <v>5.8252760000000001E-2</v>
      </c>
      <c r="N4193">
        <v>-1.0361799999999999E-2</v>
      </c>
      <c r="O4193">
        <v>-0.99824820000000003</v>
      </c>
      <c r="P4193">
        <v>0.30894339999999998</v>
      </c>
      <c r="Q4193">
        <v>0.15865109999999999</v>
      </c>
      <c r="R4193">
        <v>-0.93775500000000001</v>
      </c>
      <c r="S4193">
        <v>2.0672000000000001</v>
      </c>
      <c r="T4193">
        <v>-0.49471080000000001</v>
      </c>
      <c r="U4193">
        <v>-2.6215820000000001</v>
      </c>
      <c r="V4193">
        <v>-0.255411</v>
      </c>
      <c r="W4193">
        <v>0.16606080000000001</v>
      </c>
      <c r="X4193">
        <v>0.95246470000000005</v>
      </c>
      <c r="Y4193">
        <v>-0.5660115</v>
      </c>
      <c r="Z4193">
        <v>0.13895950000000001</v>
      </c>
      <c r="AA4193">
        <v>0.81260140000000003</v>
      </c>
      <c r="AB4193">
        <v>32</v>
      </c>
      <c r="AC4193">
        <v>0.58680000000003896</v>
      </c>
      <c r="AD4193">
        <v>-0.146061</v>
      </c>
      <c r="AE4193">
        <v>-0.46526999999999602</v>
      </c>
      <c r="AF4193">
        <v>-0.53822410548285604</v>
      </c>
      <c r="AG4193">
        <v>-0.146061</v>
      </c>
      <c r="AH4193">
        <v>0.48038984256940098</v>
      </c>
      <c r="AI4193">
        <v>101.445433954118</v>
      </c>
      <c r="AJ4193">
        <v>138.24961712376501</v>
      </c>
      <c r="AK4193">
        <v>0.73606616841672201</v>
      </c>
      <c r="AL4193">
        <v>80.441135835888801</v>
      </c>
      <c r="AM4193">
        <v>105.011160158747</v>
      </c>
      <c r="AN4193">
        <v>0.99999998648186395</v>
      </c>
    </row>
    <row r="4194" spans="1:40" x14ac:dyDescent="0.25">
      <c r="A4194" t="str">
        <f>"20190303162637613"</f>
        <v>20190303162637613</v>
      </c>
      <c r="B4194" t="str">
        <f>"1551601597608303"</f>
        <v>1551601597608303</v>
      </c>
      <c r="C4194" t="s">
        <v>40</v>
      </c>
      <c r="D4194">
        <v>4.9375600000000004</v>
      </c>
      <c r="E4194">
        <v>0.32121179999999999</v>
      </c>
      <c r="F4194" t="s">
        <v>42</v>
      </c>
      <c r="G4194">
        <v>-420.69220000000001</v>
      </c>
      <c r="H4194">
        <v>0.99573029999999996</v>
      </c>
      <c r="I4194">
        <v>38.108089999999997</v>
      </c>
      <c r="J4194">
        <v>-421.25920000000002</v>
      </c>
      <c r="K4194">
        <v>1.125256</v>
      </c>
      <c r="L4194">
        <v>38.569890000000001</v>
      </c>
      <c r="M4194">
        <v>6.3772250000000003E-2</v>
      </c>
      <c r="N4194">
        <v>-1.0413199999999999E-2</v>
      </c>
      <c r="O4194">
        <v>-0.99791030000000003</v>
      </c>
      <c r="P4194">
        <v>0.32339440000000003</v>
      </c>
      <c r="Q4194">
        <v>0.1626388</v>
      </c>
      <c r="R4194">
        <v>-0.93218299999999998</v>
      </c>
      <c r="S4194">
        <v>2.041595</v>
      </c>
      <c r="T4194">
        <v>-0.44719490000000001</v>
      </c>
      <c r="U4194">
        <v>-2.6021730000000001</v>
      </c>
      <c r="V4194">
        <v>-0.26516390000000001</v>
      </c>
      <c r="W4194">
        <v>0.16963149999999999</v>
      </c>
      <c r="X4194">
        <v>0.94916449999999997</v>
      </c>
      <c r="Y4194">
        <v>-0.56055129999999997</v>
      </c>
      <c r="Z4194">
        <v>0.12625989999999901</v>
      </c>
      <c r="AA4194">
        <v>0.81843789999999905</v>
      </c>
      <c r="AB4194">
        <v>32</v>
      </c>
      <c r="AC4194">
        <v>0.56700000000000705</v>
      </c>
      <c r="AD4194">
        <v>-0.12952569999999999</v>
      </c>
      <c r="AE4194">
        <v>-0.46179999999999599</v>
      </c>
      <c r="AF4194">
        <v>-0.52007748244927499</v>
      </c>
      <c r="AG4194">
        <v>-0.12952569999999999</v>
      </c>
      <c r="AH4194">
        <v>0.48190178488188001</v>
      </c>
      <c r="AI4194">
        <v>100.35278266679801</v>
      </c>
      <c r="AJ4194">
        <v>137.18193026031099</v>
      </c>
      <c r="AK4194">
        <v>0.72075434440841701</v>
      </c>
      <c r="AL4194">
        <v>80.233605553156906</v>
      </c>
      <c r="AM4194">
        <v>105.608534445996</v>
      </c>
      <c r="AN4194">
        <v>0.99999999385785499</v>
      </c>
    </row>
    <row r="4195" spans="1:40" x14ac:dyDescent="0.25">
      <c r="A4195" t="str">
        <f>"20190303162637637"</f>
        <v>20190303162637637</v>
      </c>
      <c r="B4195" t="str">
        <f>"1551601597627822"</f>
        <v>1551601597627822</v>
      </c>
      <c r="C4195" t="s">
        <v>40</v>
      </c>
      <c r="D4195">
        <v>4.9969590000000004</v>
      </c>
      <c r="E4195">
        <v>0.309405599999999</v>
      </c>
      <c r="F4195" t="s">
        <v>59</v>
      </c>
      <c r="G4195">
        <v>-414.98570000000001</v>
      </c>
      <c r="H4195" s="1">
        <v>-5.6506910000000003E-6</v>
      </c>
      <c r="I4195">
        <v>31.86261</v>
      </c>
      <c r="J4195">
        <v>-421.2303</v>
      </c>
      <c r="K4195">
        <v>1.1259570000000001</v>
      </c>
      <c r="L4195">
        <v>38.226559999999999</v>
      </c>
      <c r="M4195">
        <v>7.1158890000000002E-2</v>
      </c>
      <c r="N4195">
        <v>-1.0487130000000001E-2</v>
      </c>
      <c r="O4195">
        <v>-0.99741009999999997</v>
      </c>
      <c r="P4195">
        <v>0.33858389999999999</v>
      </c>
      <c r="Q4195">
        <v>0.16623399999999999</v>
      </c>
      <c r="R4195">
        <v>-0.92613579999999995</v>
      </c>
      <c r="S4195">
        <v>2.324036</v>
      </c>
      <c r="T4195">
        <v>-0.41685840000000002</v>
      </c>
      <c r="U4195">
        <v>-2.4847410000000001</v>
      </c>
      <c r="V4195">
        <v>-0.27402530000000003</v>
      </c>
      <c r="W4195">
        <v>0.172713899999999</v>
      </c>
      <c r="X4195">
        <v>0.94608669999999995</v>
      </c>
      <c r="Y4195">
        <v>-0.62458519999999995</v>
      </c>
      <c r="Z4195">
        <v>0.11424280000000001</v>
      </c>
      <c r="AA4195">
        <v>0.77255549999999995</v>
      </c>
      <c r="AB4195">
        <v>32</v>
      </c>
      <c r="AC4195">
        <v>6.2445999999999904</v>
      </c>
      <c r="AD4195">
        <v>-1.1259626506910001</v>
      </c>
      <c r="AE4195">
        <v>-6.36395</v>
      </c>
      <c r="AF4195">
        <v>-5.6852232746646001</v>
      </c>
      <c r="AG4195">
        <v>-1.1259626506910001</v>
      </c>
      <c r="AH4195">
        <v>6.6855765127522799</v>
      </c>
      <c r="AI4195">
        <v>97.311094748962304</v>
      </c>
      <c r="AJ4195">
        <v>130.37688931668899</v>
      </c>
      <c r="AK4195">
        <v>8.8479652396132398</v>
      </c>
      <c r="AL4195">
        <v>80.054351419964306</v>
      </c>
      <c r="AM4195">
        <v>106.15317262581</v>
      </c>
      <c r="AN4195">
        <v>1.0000000001050899</v>
      </c>
    </row>
    <row r="4196" spans="1:40" x14ac:dyDescent="0.25">
      <c r="A4196" t="str">
        <f>"20190303162637662"</f>
        <v>20190303162637662</v>
      </c>
      <c r="B4196" t="str">
        <f>"1551601597659054"</f>
        <v>1551601597659054</v>
      </c>
      <c r="C4196" t="s">
        <v>40</v>
      </c>
      <c r="D4196">
        <v>5.0055719999999999</v>
      </c>
      <c r="E4196">
        <v>0.30512640000000002</v>
      </c>
      <c r="F4196" t="s">
        <v>59</v>
      </c>
      <c r="G4196">
        <v>-414.41149999999999</v>
      </c>
      <c r="H4196" s="1">
        <v>-5.8656049999999997E-6</v>
      </c>
      <c r="I4196">
        <v>31.531739999999999</v>
      </c>
      <c r="J4196">
        <v>-421.19779999999997</v>
      </c>
      <c r="K4196">
        <v>1.126698</v>
      </c>
      <c r="L4196">
        <v>37.88467</v>
      </c>
      <c r="M4196">
        <v>7.9582910000000007E-2</v>
      </c>
      <c r="N4196">
        <v>-1.0577939999999999E-2</v>
      </c>
      <c r="O4196">
        <v>-0.99677229999999994</v>
      </c>
      <c r="P4196">
        <v>0.3514718</v>
      </c>
      <c r="Q4196">
        <v>0.1678888</v>
      </c>
      <c r="R4196">
        <v>-0.9210218</v>
      </c>
      <c r="S4196">
        <v>2.4581599999999999</v>
      </c>
      <c r="T4196">
        <v>-0.4059044</v>
      </c>
      <c r="U4196">
        <v>-2.4134519999999999</v>
      </c>
      <c r="V4196">
        <v>-0.27959070000000003</v>
      </c>
      <c r="W4196">
        <v>0.17387429999999901</v>
      </c>
      <c r="X4196">
        <v>0.94424399999999997</v>
      </c>
      <c r="Y4196">
        <v>-0.650891199999999</v>
      </c>
      <c r="Z4196">
        <v>0.109956</v>
      </c>
      <c r="AA4196">
        <v>0.751166</v>
      </c>
      <c r="AB4196">
        <v>32</v>
      </c>
      <c r="AC4196">
        <v>6.7862999999999802</v>
      </c>
      <c r="AD4196">
        <v>-1.1267038656049999</v>
      </c>
      <c r="AE4196">
        <v>-6.35292999999999</v>
      </c>
      <c r="AF4196">
        <v>-6.1685411403667896</v>
      </c>
      <c r="AG4196">
        <v>-1.1267038656049999</v>
      </c>
      <c r="AH4196">
        <v>6.7733769560656203</v>
      </c>
      <c r="AI4196">
        <v>97.011317147791004</v>
      </c>
      <c r="AJ4196">
        <v>132.324249594973</v>
      </c>
      <c r="AK4196">
        <v>9.2303302644124106</v>
      </c>
      <c r="AL4196">
        <v>79.986843827445796</v>
      </c>
      <c r="AM4196">
        <v>106.494024456663</v>
      </c>
      <c r="AN4196">
        <v>0.99999998163148895</v>
      </c>
    </row>
    <row r="4197" spans="1:40" x14ac:dyDescent="0.25">
      <c r="A4197" t="str">
        <f>"20190303162637699"</f>
        <v>20190303162637699</v>
      </c>
      <c r="B4197" t="str">
        <f>"1551601597687863"</f>
        <v>1551601597687863</v>
      </c>
      <c r="C4197" t="s">
        <v>40</v>
      </c>
      <c r="D4197">
        <v>5.0666140000000004</v>
      </c>
      <c r="E4197">
        <v>0.30498540000000002</v>
      </c>
      <c r="F4197" t="s">
        <v>59</v>
      </c>
      <c r="G4197">
        <v>-414.0521</v>
      </c>
      <c r="H4197" s="1">
        <v>-6.0506460000000001E-6</v>
      </c>
      <c r="I4197">
        <v>31.191109999999998</v>
      </c>
      <c r="J4197">
        <v>-421.14060000000001</v>
      </c>
      <c r="K4197">
        <v>1.1278429999999999</v>
      </c>
      <c r="L4197">
        <v>37.36215</v>
      </c>
      <c r="M4197">
        <v>9.4271079999999993E-2</v>
      </c>
      <c r="N4197">
        <v>-1.0735959999999999E-2</v>
      </c>
      <c r="O4197">
        <v>-0.9954887</v>
      </c>
      <c r="P4197">
        <v>0.37082090000000001</v>
      </c>
      <c r="Q4197">
        <v>0.1729831</v>
      </c>
      <c r="R4197">
        <v>-0.91245200000000004</v>
      </c>
      <c r="S4197">
        <v>2.5257869999999998</v>
      </c>
      <c r="T4197">
        <v>-0.3982599</v>
      </c>
      <c r="U4197">
        <v>-2.3659970000000001</v>
      </c>
      <c r="V4197">
        <v>-0.28624270000000002</v>
      </c>
      <c r="W4197">
        <v>0.17822180000000001</v>
      </c>
      <c r="X4197">
        <v>0.94143619999999995</v>
      </c>
      <c r="Y4197">
        <v>-0.65755160000000001</v>
      </c>
      <c r="Z4197">
        <v>0.1076416</v>
      </c>
      <c r="AA4197">
        <v>0.74568040000000002</v>
      </c>
      <c r="AB4197">
        <v>32</v>
      </c>
      <c r="AC4197">
        <v>7.0885000000000096</v>
      </c>
      <c r="AD4197">
        <v>-1.1278490506459999</v>
      </c>
      <c r="AE4197">
        <v>-6.1710399999999996</v>
      </c>
      <c r="AF4197">
        <v>-6.3832176250329598</v>
      </c>
      <c r="AG4197">
        <v>-1.1278490506459999</v>
      </c>
      <c r="AH4197">
        <v>6.7151271951589697</v>
      </c>
      <c r="AI4197">
        <v>96.940666510719794</v>
      </c>
      <c r="AJ4197">
        <v>133.54844645921901</v>
      </c>
      <c r="AK4197">
        <v>9.3332975939235006</v>
      </c>
      <c r="AL4197">
        <v>79.733798275074307</v>
      </c>
      <c r="AM4197">
        <v>106.91183980139201</v>
      </c>
      <c r="AN4197">
        <v>1.00000000598448</v>
      </c>
    </row>
    <row r="4198" spans="1:40" x14ac:dyDescent="0.25">
      <c r="A4198" t="str">
        <f>"20190303162637724"</f>
        <v>20190303162637724</v>
      </c>
      <c r="B4198" t="str">
        <f>"1551601597708360"</f>
        <v>1551601597708360</v>
      </c>
      <c r="C4198" t="s">
        <v>40</v>
      </c>
      <c r="D4198">
        <v>5.1087600000000002</v>
      </c>
      <c r="E4198">
        <v>0.30565879999999901</v>
      </c>
      <c r="F4198" t="s">
        <v>59</v>
      </c>
      <c r="G4198">
        <v>-413.60340000000002</v>
      </c>
      <c r="H4198" s="1">
        <v>-6.3473519999999999E-6</v>
      </c>
      <c r="I4198">
        <v>30.592310000000001</v>
      </c>
      <c r="J4198">
        <v>-421.09620000000001</v>
      </c>
      <c r="K4198">
        <v>1.1285529999999999</v>
      </c>
      <c r="L4198">
        <v>37.009770000000003</v>
      </c>
      <c r="M4198">
        <v>0.105435</v>
      </c>
      <c r="N4198">
        <v>-1.0845789999999999E-2</v>
      </c>
      <c r="O4198">
        <v>-0.99436709999999995</v>
      </c>
      <c r="P4198">
        <v>0.3842621</v>
      </c>
      <c r="Q4198">
        <v>0.17487659999999999</v>
      </c>
      <c r="R4198">
        <v>-0.90651040000000005</v>
      </c>
      <c r="S4198">
        <v>2.5762330000000002</v>
      </c>
      <c r="T4198">
        <v>-0.38549949999999999</v>
      </c>
      <c r="U4198">
        <v>-2.3139340000000002</v>
      </c>
      <c r="V4198">
        <v>-0.2899717</v>
      </c>
      <c r="W4198">
        <v>0.17965320000000001</v>
      </c>
      <c r="X4198">
        <v>0.94002189999999997</v>
      </c>
      <c r="Y4198">
        <v>-0.66499600000000003</v>
      </c>
      <c r="Z4198">
        <v>0.10420939999999999</v>
      </c>
      <c r="AA4198">
        <v>0.73954089999999995</v>
      </c>
      <c r="AB4198">
        <v>32</v>
      </c>
      <c r="AC4198">
        <v>7.4927999999999804</v>
      </c>
      <c r="AD4198">
        <v>-1.1285593473519999</v>
      </c>
      <c r="AE4198">
        <v>-6.4174600000000002</v>
      </c>
      <c r="AF4198">
        <v>-6.6868600113926204</v>
      </c>
      <c r="AG4198">
        <v>-1.1285593473519999</v>
      </c>
      <c r="AH4198">
        <v>7.0790959480236504</v>
      </c>
      <c r="AI4198">
        <v>96.610682495398194</v>
      </c>
      <c r="AJ4198">
        <v>133.36790230998199</v>
      </c>
      <c r="AK4198">
        <v>9.8031292174377693</v>
      </c>
      <c r="AL4198">
        <v>79.650439821101898</v>
      </c>
      <c r="AM4198">
        <v>107.143599855857</v>
      </c>
      <c r="AN4198">
        <v>1.0000000157753699</v>
      </c>
    </row>
    <row r="4199" spans="1:40" x14ac:dyDescent="0.25">
      <c r="A4199" t="str">
        <f>"20190303162637744"</f>
        <v>20190303162637744</v>
      </c>
      <c r="B4199" t="str">
        <f>"1551601597728855"</f>
        <v>1551601597728855</v>
      </c>
      <c r="C4199" t="s">
        <v>40</v>
      </c>
      <c r="D4199">
        <v>5.1052770000000001</v>
      </c>
      <c r="E4199">
        <v>0.30612640000000002</v>
      </c>
      <c r="F4199" t="s">
        <v>59</v>
      </c>
      <c r="G4199">
        <v>-413.30919999999998</v>
      </c>
      <c r="H4199" s="1">
        <v>-6.5398009999999999E-6</v>
      </c>
      <c r="I4199">
        <v>30.205190000000002</v>
      </c>
      <c r="J4199">
        <v>-421.05799999999999</v>
      </c>
      <c r="K4199">
        <v>1.129043</v>
      </c>
      <c r="L4199">
        <v>36.732329999999997</v>
      </c>
      <c r="M4199">
        <v>0.1147917</v>
      </c>
      <c r="N4199">
        <v>-1.092917E-2</v>
      </c>
      <c r="O4199">
        <v>-0.99332960000000003</v>
      </c>
      <c r="P4199">
        <v>0.39770610000000001</v>
      </c>
      <c r="Q4199">
        <v>0.17289499999999999</v>
      </c>
      <c r="R4199">
        <v>-0.90107590000000004</v>
      </c>
      <c r="S4199">
        <v>2.6062620000000001</v>
      </c>
      <c r="T4199">
        <v>-0.37772480000000003</v>
      </c>
      <c r="U4199">
        <v>-2.277466</v>
      </c>
      <c r="V4199">
        <v>-0.29525380000000001</v>
      </c>
      <c r="W4199">
        <v>0.1772744</v>
      </c>
      <c r="X4199">
        <v>0.93882849999999995</v>
      </c>
      <c r="Y4199">
        <v>-0.66823429999999995</v>
      </c>
      <c r="Z4199">
        <v>0.1022607</v>
      </c>
      <c r="AA4199">
        <v>0.73688920000000002</v>
      </c>
      <c r="AB4199">
        <v>32</v>
      </c>
      <c r="AC4199">
        <v>7.7488000000000703</v>
      </c>
      <c r="AD4199">
        <v>-1.1290495398010001</v>
      </c>
      <c r="AE4199">
        <v>-6.5271399999999904</v>
      </c>
      <c r="AF4199">
        <v>-6.8630346428628304</v>
      </c>
      <c r="AG4199">
        <v>-1.1290495398010001</v>
      </c>
      <c r="AH4199">
        <v>7.2830917828472002</v>
      </c>
      <c r="AI4199">
        <v>96.437082386136694</v>
      </c>
      <c r="AJ4199">
        <v>133.299150558007</v>
      </c>
      <c r="AK4199">
        <v>10.0707210908572</v>
      </c>
      <c r="AL4199">
        <v>79.788958463922697</v>
      </c>
      <c r="AM4199">
        <v>107.457930551906</v>
      </c>
      <c r="AN4199">
        <v>0.99999998586102401</v>
      </c>
    </row>
    <row r="4200" spans="1:40" x14ac:dyDescent="0.25">
      <c r="A4200" t="str">
        <f>"20190303162637766"</f>
        <v>20190303162637766</v>
      </c>
      <c r="B4200" t="str">
        <f>"1551601597758136"</f>
        <v>1551601597758136</v>
      </c>
      <c r="C4200" t="s">
        <v>40</v>
      </c>
      <c r="D4200">
        <v>5.1262650000000001</v>
      </c>
      <c r="E4200">
        <v>0.30668570000000001</v>
      </c>
      <c r="F4200" t="s">
        <v>59</v>
      </c>
      <c r="G4200">
        <v>-413.42020000000002</v>
      </c>
      <c r="H4200" s="1">
        <v>-6.5119719999999997E-6</v>
      </c>
      <c r="I4200">
        <v>30.232939999999999</v>
      </c>
      <c r="J4200">
        <v>-421.01029999999997</v>
      </c>
      <c r="K4200">
        <v>1.12958799999999</v>
      </c>
      <c r="L4200">
        <v>36.414250000000003</v>
      </c>
      <c r="M4200">
        <v>0.1262258</v>
      </c>
      <c r="N4200">
        <v>-1.1028049999999999E-2</v>
      </c>
      <c r="O4200">
        <v>-0.9919403</v>
      </c>
      <c r="P4200">
        <v>0.41390329999999897</v>
      </c>
      <c r="Q4200">
        <v>0.16764679999999901</v>
      </c>
      <c r="R4200">
        <v>-0.89475079999999996</v>
      </c>
      <c r="S4200">
        <v>2.634064</v>
      </c>
      <c r="T4200">
        <v>-0.38937759999999999</v>
      </c>
      <c r="U4200">
        <v>-2.2414550000000002</v>
      </c>
      <c r="V4200">
        <v>-0.3013998</v>
      </c>
      <c r="W4200">
        <v>0.17156640000000001</v>
      </c>
      <c r="X4200">
        <v>0.93793559999999998</v>
      </c>
      <c r="Y4200">
        <v>-0.66906679999999996</v>
      </c>
      <c r="Z4200">
        <v>0.1060971</v>
      </c>
      <c r="AA4200">
        <v>0.73559019999999897</v>
      </c>
      <c r="AB4200">
        <v>32</v>
      </c>
      <c r="AC4200">
        <v>7.5900999999999499</v>
      </c>
      <c r="AD4200">
        <v>-1.1295945119719999</v>
      </c>
      <c r="AE4200">
        <v>-6.1813099999999999</v>
      </c>
      <c r="AF4200">
        <v>-6.6604005998611999</v>
      </c>
      <c r="AG4200">
        <v>-1.1295945119719999</v>
      </c>
      <c r="AH4200">
        <v>6.9968130681238101</v>
      </c>
      <c r="AI4200">
        <v>96.669580779005202</v>
      </c>
      <c r="AJ4200">
        <v>133.58894222268501</v>
      </c>
      <c r="AK4200">
        <v>9.7258579581637399</v>
      </c>
      <c r="AL4200">
        <v>80.121094934830595</v>
      </c>
      <c r="AM4200">
        <v>107.814487143778</v>
      </c>
      <c r="AN4200">
        <v>1.0000000293981699</v>
      </c>
    </row>
    <row r="4201" spans="1:40" x14ac:dyDescent="0.25">
      <c r="A4201" t="str">
        <f>"20190303162637788"</f>
        <v>20190303162637788</v>
      </c>
      <c r="B4201" t="str">
        <f>"1551601597777655"</f>
        <v>1551601597777655</v>
      </c>
      <c r="C4201" t="s">
        <v>40</v>
      </c>
      <c r="D4201">
        <v>5.1614209999999998</v>
      </c>
      <c r="E4201">
        <v>0.30752020000000002</v>
      </c>
      <c r="F4201" t="s">
        <v>59</v>
      </c>
      <c r="G4201">
        <v>-413.80619999999999</v>
      </c>
      <c r="H4201" s="1">
        <v>-6.3623839999999998E-6</v>
      </c>
      <c r="I4201">
        <v>30.468889999999998</v>
      </c>
      <c r="J4201">
        <v>-420.96120000000002</v>
      </c>
      <c r="K4201">
        <v>1.1301129999999999</v>
      </c>
      <c r="L4201">
        <v>36.11356</v>
      </c>
      <c r="M4201">
        <v>0.1376908</v>
      </c>
      <c r="N4201">
        <v>-1.1130879999999999E-2</v>
      </c>
      <c r="O4201">
        <v>-0.99041279999999998</v>
      </c>
      <c r="P4201">
        <v>0.42996820000000002</v>
      </c>
      <c r="Q4201">
        <v>0.1636946</v>
      </c>
      <c r="R4201">
        <v>-0.88788009999999995</v>
      </c>
      <c r="S4201">
        <v>2.6641849999999998</v>
      </c>
      <c r="T4201">
        <v>-0.41774420000000001</v>
      </c>
      <c r="U4201">
        <v>-2.1987000000000001</v>
      </c>
      <c r="V4201">
        <v>-0.3075039</v>
      </c>
      <c r="W4201">
        <v>0.167163899999999</v>
      </c>
      <c r="X4201">
        <v>0.93674840000000004</v>
      </c>
      <c r="Y4201">
        <v>-0.67082240000000004</v>
      </c>
      <c r="Z4201">
        <v>0.1149782</v>
      </c>
      <c r="AA4201">
        <v>0.73265089999999999</v>
      </c>
      <c r="AB4201">
        <v>32</v>
      </c>
      <c r="AC4201">
        <v>7.1550000000000296</v>
      </c>
      <c r="AD4201">
        <v>-1.130119362384</v>
      </c>
      <c r="AE4201">
        <v>-5.6446699999999899</v>
      </c>
      <c r="AF4201">
        <v>-6.2140208604228002</v>
      </c>
      <c r="AG4201">
        <v>-1.130119362384</v>
      </c>
      <c r="AH4201">
        <v>6.4765470837722301</v>
      </c>
      <c r="AI4201">
        <v>97.176431406038205</v>
      </c>
      <c r="AJ4201">
        <v>133.81490729304099</v>
      </c>
      <c r="AK4201">
        <v>9.0463742546571506</v>
      </c>
      <c r="AL4201">
        <v>80.377036961040105</v>
      </c>
      <c r="AM4201">
        <v>108.173318676116</v>
      </c>
      <c r="AN4201">
        <v>0.99999999144048901</v>
      </c>
    </row>
    <row r="4202" spans="1:40" x14ac:dyDescent="0.25">
      <c r="A4202" t="str">
        <f>"20190303162637810"</f>
        <v>20190303162637810</v>
      </c>
      <c r="B4202" t="str">
        <f>"1551601597807912"</f>
        <v>1551601597807912</v>
      </c>
      <c r="C4202" t="s">
        <v>40</v>
      </c>
      <c r="D4202">
        <v>5.1205910000000001</v>
      </c>
      <c r="E4202">
        <v>0.30863580000000002</v>
      </c>
      <c r="F4202" t="s">
        <v>59</v>
      </c>
      <c r="G4202">
        <v>-413.93990000000002</v>
      </c>
      <c r="H4202" s="1">
        <v>-6.3299860000000004E-6</v>
      </c>
      <c r="I4202">
        <v>30.499320000000001</v>
      </c>
      <c r="J4202">
        <v>-420.90660000000003</v>
      </c>
      <c r="K4202">
        <v>1.1306659999999999</v>
      </c>
      <c r="L4202">
        <v>35.805300000000003</v>
      </c>
      <c r="M4202">
        <v>0.15006249999999999</v>
      </c>
      <c r="N4202">
        <v>-1.124402E-2</v>
      </c>
      <c r="O4202">
        <v>-0.98861270000000001</v>
      </c>
      <c r="P4202">
        <v>0.4470401</v>
      </c>
      <c r="Q4202">
        <v>0.16585469999999999</v>
      </c>
      <c r="R4202">
        <v>-0.87900389999999995</v>
      </c>
      <c r="S4202">
        <v>2.6940309999999998</v>
      </c>
      <c r="T4202">
        <v>-0.43361899999999998</v>
      </c>
      <c r="U4202">
        <v>-2.1541440000000001</v>
      </c>
      <c r="V4202">
        <v>-0.31422909999999998</v>
      </c>
      <c r="W4202">
        <v>0.1688373</v>
      </c>
      <c r="X4202">
        <v>0.93421299999999996</v>
      </c>
      <c r="Y4202">
        <v>-0.67244289999999995</v>
      </c>
      <c r="Z4202">
        <v>0.1202323</v>
      </c>
      <c r="AA4202">
        <v>0.73031829999999998</v>
      </c>
      <c r="AB4202">
        <v>32</v>
      </c>
      <c r="AC4202">
        <v>6.9667000000000003</v>
      </c>
      <c r="AD4202">
        <v>-1.130672329986</v>
      </c>
      <c r="AE4202">
        <v>-5.3059799999999999</v>
      </c>
      <c r="AF4202">
        <v>-5.9916411426482599</v>
      </c>
      <c r="AG4202">
        <v>-1.130672329986</v>
      </c>
      <c r="AH4202">
        <v>6.1882366004956602</v>
      </c>
      <c r="AI4202">
        <v>97.478231769668994</v>
      </c>
      <c r="AJ4202">
        <v>134.075268883825</v>
      </c>
      <c r="AK4202">
        <v>8.6874884589152401</v>
      </c>
      <c r="AL4202">
        <v>80.279775353847896</v>
      </c>
      <c r="AM4202">
        <v>108.590727127411</v>
      </c>
      <c r="AN4202">
        <v>0.99999994526354796</v>
      </c>
    </row>
    <row r="4203" spans="1:40" x14ac:dyDescent="0.25">
      <c r="A4203" t="str">
        <f>"20190303162637841"</f>
        <v>20190303162637841</v>
      </c>
      <c r="B4203" t="str">
        <f>"1551601597828407"</f>
        <v>1551601597828407</v>
      </c>
      <c r="C4203" t="s">
        <v>40</v>
      </c>
      <c r="D4203">
        <v>5.1660779999999997</v>
      </c>
      <c r="E4203">
        <v>0.30956499999999998</v>
      </c>
      <c r="F4203" t="s">
        <v>59</v>
      </c>
      <c r="G4203">
        <v>-413.64229999999998</v>
      </c>
      <c r="H4203" s="1">
        <v>-6.4894070000000001E-6</v>
      </c>
      <c r="I4203">
        <v>30.200880000000002</v>
      </c>
      <c r="J4203">
        <v>-420.82909999999998</v>
      </c>
      <c r="K4203">
        <v>1.1313219999999999</v>
      </c>
      <c r="L4203">
        <v>35.403199999999998</v>
      </c>
      <c r="M4203">
        <v>0.16702879999999901</v>
      </c>
      <c r="N4203">
        <v>-1.139224E-2</v>
      </c>
      <c r="O4203">
        <v>-0.98588629999999999</v>
      </c>
      <c r="P4203">
        <v>0.46961890000000001</v>
      </c>
      <c r="Q4203">
        <v>0.1669291</v>
      </c>
      <c r="R4203">
        <v>-0.86694490000000002</v>
      </c>
      <c r="S4203">
        <v>2.7288209999999999</v>
      </c>
      <c r="T4203">
        <v>-0.42473460000000002</v>
      </c>
      <c r="U4203">
        <v>-2.105286</v>
      </c>
      <c r="V4203">
        <v>-0.322677299999999</v>
      </c>
      <c r="W4203">
        <v>0.16928940000000001</v>
      </c>
      <c r="X4203">
        <v>0.93124680000000004</v>
      </c>
      <c r="Y4203">
        <v>-0.67270390000000002</v>
      </c>
      <c r="Z4203">
        <v>0.1181437</v>
      </c>
      <c r="AA4203">
        <v>0.73041869999999998</v>
      </c>
      <c r="AB4203">
        <v>32</v>
      </c>
      <c r="AC4203">
        <v>7.1867999999999999</v>
      </c>
      <c r="AD4203">
        <v>-1.1313284894069999</v>
      </c>
      <c r="AE4203">
        <v>-5.2023199999999896</v>
      </c>
      <c r="AF4203">
        <v>-6.1173640272206304</v>
      </c>
      <c r="AG4203">
        <v>-1.1313284894069999</v>
      </c>
      <c r="AH4203">
        <v>6.2284335373998703</v>
      </c>
      <c r="AI4203">
        <v>97.383734483055406</v>
      </c>
      <c r="AJ4203">
        <v>134.484549908595</v>
      </c>
      <c r="AK4203">
        <v>8.8031489321880994</v>
      </c>
      <c r="AL4203">
        <v>80.253494853743007</v>
      </c>
      <c r="AM4203">
        <v>109.11121667509801</v>
      </c>
      <c r="AN4203">
        <v>1.0000000716989399</v>
      </c>
    </row>
    <row r="4204" spans="1:40" x14ac:dyDescent="0.25">
      <c r="A4204" t="str">
        <f>"20190303162637861"</f>
        <v>20190303162637861</v>
      </c>
      <c r="B4204" t="str">
        <f>"1551601597857688"</f>
        <v>1551601597857688</v>
      </c>
      <c r="C4204" t="s">
        <v>40</v>
      </c>
      <c r="D4204">
        <v>5.1779699999999904</v>
      </c>
      <c r="E4204">
        <v>0.32468399999999997</v>
      </c>
      <c r="F4204" t="s">
        <v>59</v>
      </c>
      <c r="G4204">
        <v>-413.34699999999998</v>
      </c>
      <c r="H4204" s="1">
        <v>-6.6447199999999998E-6</v>
      </c>
      <c r="I4204">
        <v>29.912379999999999</v>
      </c>
      <c r="J4204">
        <v>-420.76510000000002</v>
      </c>
      <c r="K4204">
        <v>1.131737</v>
      </c>
      <c r="L4204">
        <v>35.100920000000002</v>
      </c>
      <c r="M4204">
        <v>0.1804047</v>
      </c>
      <c r="N4204">
        <v>-1.150057E-2</v>
      </c>
      <c r="O4204">
        <v>-0.98352539999999999</v>
      </c>
      <c r="P4204">
        <v>0.49018200000000001</v>
      </c>
      <c r="Q4204">
        <v>0.16209379999999901</v>
      </c>
      <c r="R4204">
        <v>-0.85641559999999906</v>
      </c>
      <c r="S4204">
        <v>2.7762760000000002</v>
      </c>
      <c r="T4204">
        <v>-0.41978870000000001</v>
      </c>
      <c r="U4204">
        <v>-2.0374150000000002</v>
      </c>
      <c r="V4204">
        <v>-0.33215699999999998</v>
      </c>
      <c r="W4204">
        <v>0.1639111</v>
      </c>
      <c r="X4204">
        <v>0.9288729</v>
      </c>
      <c r="Y4204">
        <v>-0.68031830000000004</v>
      </c>
      <c r="Z4204">
        <v>0.1172489</v>
      </c>
      <c r="AA4204">
        <v>0.7234775</v>
      </c>
      <c r="AB4204">
        <v>32</v>
      </c>
      <c r="AC4204">
        <v>7.4181000000000301</v>
      </c>
      <c r="AD4204">
        <v>-1.13174364472</v>
      </c>
      <c r="AE4204">
        <v>-5.1885399999999997</v>
      </c>
      <c r="AF4204">
        <v>-6.2623927947891698</v>
      </c>
      <c r="AG4204">
        <v>-1.13174364472</v>
      </c>
      <c r="AH4204">
        <v>6.3426125718705304</v>
      </c>
      <c r="AI4204">
        <v>97.236292169308499</v>
      </c>
      <c r="AJ4204">
        <v>134.63536765947299</v>
      </c>
      <c r="AK4204">
        <v>8.9848284029491392</v>
      </c>
      <c r="AL4204">
        <v>80.566016029585597</v>
      </c>
      <c r="AM4204">
        <v>109.676615383285</v>
      </c>
      <c r="AN4204">
        <v>0.99999999285330998</v>
      </c>
    </row>
    <row r="4205" spans="1:40" x14ac:dyDescent="0.25">
      <c r="A4205" t="str">
        <f>"20190303162637900"</f>
        <v>20190303162637900</v>
      </c>
      <c r="B4205" t="str">
        <f>"1551601597887944"</f>
        <v>1551601597887944</v>
      </c>
      <c r="C4205" t="s">
        <v>40</v>
      </c>
      <c r="D4205">
        <v>5.1893529999999997</v>
      </c>
      <c r="E4205">
        <v>0.32787460000000002</v>
      </c>
      <c r="F4205" t="s">
        <v>59</v>
      </c>
      <c r="G4205">
        <v>-413.44369999999998</v>
      </c>
      <c r="H4205" s="1">
        <v>-6.7351739999999899E-6</v>
      </c>
      <c r="I4205">
        <v>29.63345</v>
      </c>
      <c r="J4205">
        <v>-420.64159999999998</v>
      </c>
      <c r="K4205">
        <v>1.1323209999999999</v>
      </c>
      <c r="L4205">
        <v>34.569609999999997</v>
      </c>
      <c r="M4205">
        <v>0.20486579999999999</v>
      </c>
      <c r="N4205">
        <v>-1.1671000000000001E-2</v>
      </c>
      <c r="O4205">
        <v>-0.9787207</v>
      </c>
      <c r="P4205">
        <v>0.52508180000000004</v>
      </c>
      <c r="Q4205">
        <v>0.14961549999999901</v>
      </c>
      <c r="R4205">
        <v>-0.83779749999999997</v>
      </c>
      <c r="S4205">
        <v>2.7156980000000002</v>
      </c>
      <c r="T4205">
        <v>-0.41979709999999998</v>
      </c>
      <c r="U4205">
        <v>-2.0280459999999998</v>
      </c>
      <c r="V4205">
        <v>-0.346744</v>
      </c>
      <c r="W4205">
        <v>0.15057570000000001</v>
      </c>
      <c r="X4205">
        <v>0.92579449999999996</v>
      </c>
      <c r="Y4205">
        <v>-0.65555319999999995</v>
      </c>
      <c r="Z4205">
        <v>0.11935220000000001</v>
      </c>
      <c r="AA4205">
        <v>0.74565740000000003</v>
      </c>
      <c r="AB4205">
        <v>32</v>
      </c>
      <c r="AC4205">
        <v>7.1978999999999997</v>
      </c>
      <c r="AD4205">
        <v>-1.132327735174</v>
      </c>
      <c r="AE4205">
        <v>-4.9361599999999903</v>
      </c>
      <c r="AF4205">
        <v>-5.9340132226776596</v>
      </c>
      <c r="AG4205">
        <v>-1.132327735174</v>
      </c>
      <c r="AH4205">
        <v>6.20176709556765</v>
      </c>
      <c r="AI4205">
        <v>97.515118416288601</v>
      </c>
      <c r="AJ4205">
        <v>133.73607811675001</v>
      </c>
      <c r="AK4205">
        <v>8.6577476363326298</v>
      </c>
      <c r="AL4205">
        <v>81.339708880438195</v>
      </c>
      <c r="AM4205">
        <v>110.532768311016</v>
      </c>
      <c r="AN4205">
        <v>0.99999994959836802</v>
      </c>
    </row>
    <row r="4206" spans="1:40" x14ac:dyDescent="0.25">
      <c r="A4206" t="str">
        <f>"20190303162637923"</f>
        <v>20190303162637923</v>
      </c>
      <c r="B4206" t="str">
        <f>"1551601597918200"</f>
        <v>1551601597918200</v>
      </c>
      <c r="C4206" t="s">
        <v>40</v>
      </c>
      <c r="D4206">
        <v>5.2075009999999997</v>
      </c>
      <c r="E4206">
        <v>0.32932739999999999</v>
      </c>
      <c r="F4206" t="s">
        <v>59</v>
      </c>
      <c r="G4206">
        <v>-413.66199999999998</v>
      </c>
      <c r="H4206" s="1">
        <v>-6.6687829999999997E-6</v>
      </c>
      <c r="I4206">
        <v>29.718820000000001</v>
      </c>
      <c r="J4206">
        <v>-420.56200000000001</v>
      </c>
      <c r="K4206">
        <v>1.132617</v>
      </c>
      <c r="L4206">
        <v>34.258090000000003</v>
      </c>
      <c r="M4206">
        <v>0.21973500000000001</v>
      </c>
      <c r="N4206">
        <v>-1.1760799999999899E-2</v>
      </c>
      <c r="O4206">
        <v>-0.97548880000000004</v>
      </c>
      <c r="P4206">
        <v>0.54320190000000002</v>
      </c>
      <c r="Q4206">
        <v>0.1461539</v>
      </c>
      <c r="R4206">
        <v>-0.82678349999999901</v>
      </c>
      <c r="S4206">
        <v>2.7698969999999998</v>
      </c>
      <c r="T4206">
        <v>-0.44936749999999998</v>
      </c>
      <c r="U4206">
        <v>-1.925049</v>
      </c>
      <c r="V4206">
        <v>-0.35271049999999998</v>
      </c>
      <c r="W4206">
        <v>0.1467137</v>
      </c>
      <c r="X4206">
        <v>0.92415930000000002</v>
      </c>
      <c r="Y4206">
        <v>-0.66834259999999901</v>
      </c>
      <c r="Z4206">
        <v>0.12967970000000001</v>
      </c>
      <c r="AA4206">
        <v>0.73246259999999996</v>
      </c>
      <c r="AB4206">
        <v>32</v>
      </c>
      <c r="AC4206">
        <v>6.8999999999999702</v>
      </c>
      <c r="AD4206">
        <v>-1.132623668783</v>
      </c>
      <c r="AE4206">
        <v>-4.5392700000000001</v>
      </c>
      <c r="AF4206">
        <v>-5.6279933933302697</v>
      </c>
      <c r="AG4206">
        <v>-1.132623668783</v>
      </c>
      <c r="AH4206">
        <v>5.8348599791013003</v>
      </c>
      <c r="AI4206">
        <v>97.953488588433203</v>
      </c>
      <c r="AJ4206">
        <v>133.96611293674201</v>
      </c>
      <c r="AK4206">
        <v>8.1855199582051394</v>
      </c>
      <c r="AL4206">
        <v>81.563471698601305</v>
      </c>
      <c r="AM4206">
        <v>110.889631138144</v>
      </c>
      <c r="AN4206">
        <v>1.0000000091772101</v>
      </c>
    </row>
    <row r="4207" spans="1:40" x14ac:dyDescent="0.25">
      <c r="A4207" t="str">
        <f>"20190303162637945"</f>
        <v>20190303162637945</v>
      </c>
      <c r="B4207" t="str">
        <f>"1551601597937720"</f>
        <v>1551601597937720</v>
      </c>
      <c r="C4207" t="s">
        <v>40</v>
      </c>
      <c r="D4207">
        <v>5.2234600000000002</v>
      </c>
      <c r="E4207">
        <v>0.32827009999999901</v>
      </c>
      <c r="F4207" t="s">
        <v>59</v>
      </c>
      <c r="G4207">
        <v>-413.4384</v>
      </c>
      <c r="H4207" s="1">
        <v>-9.5639300000000004E-6</v>
      </c>
      <c r="I4207">
        <v>29.51558</v>
      </c>
      <c r="J4207">
        <v>-420.47989999999999</v>
      </c>
      <c r="K4207">
        <v>1.132852</v>
      </c>
      <c r="L4207">
        <v>33.95581</v>
      </c>
      <c r="M4207">
        <v>0.2344523</v>
      </c>
      <c r="N4207">
        <v>-1.184169E-2</v>
      </c>
      <c r="O4207">
        <v>-0.97205560000000002</v>
      </c>
      <c r="P4207">
        <v>0.56186130000000001</v>
      </c>
      <c r="Q4207">
        <v>0.1409791</v>
      </c>
      <c r="R4207">
        <v>-0.81512989999999996</v>
      </c>
      <c r="S4207">
        <v>2.8027039999999999</v>
      </c>
      <c r="T4207">
        <v>-0.44562390000000002</v>
      </c>
      <c r="U4207">
        <v>-1.8659060000000001</v>
      </c>
      <c r="V4207">
        <v>-0.35949579999999998</v>
      </c>
      <c r="W4207">
        <v>0.14113619999999999</v>
      </c>
      <c r="X4207">
        <v>0.92241169999999995</v>
      </c>
      <c r="Y4207">
        <v>-0.67187240000000004</v>
      </c>
      <c r="Z4207">
        <v>0.12920779999999901</v>
      </c>
      <c r="AA4207">
        <v>0.72930989999999996</v>
      </c>
      <c r="AB4207">
        <v>32</v>
      </c>
      <c r="AC4207">
        <v>7.0414999999999797</v>
      </c>
      <c r="AD4207">
        <v>-1.1328615639299999</v>
      </c>
      <c r="AE4207">
        <v>-4.4402299999999997</v>
      </c>
      <c r="AF4207">
        <v>-5.6985785830606597</v>
      </c>
      <c r="AG4207">
        <v>-1.1328615639299999</v>
      </c>
      <c r="AH4207">
        <v>5.8589587852574896</v>
      </c>
      <c r="AI4207">
        <v>97.891308809314793</v>
      </c>
      <c r="AJ4207">
        <v>134.20497605555201</v>
      </c>
      <c r="AK4207">
        <v>8.2513375423438795</v>
      </c>
      <c r="AL4207">
        <v>81.886401436195001</v>
      </c>
      <c r="AM4207">
        <v>111.292586094911</v>
      </c>
      <c r="AN4207">
        <v>1.0000000007324801</v>
      </c>
    </row>
    <row r="4208" spans="1:40" x14ac:dyDescent="0.25">
      <c r="A4208" t="str">
        <f>"20190303162637967"</f>
        <v>20190303162637967</v>
      </c>
      <c r="B4208" t="str">
        <f>"1551601597958216"</f>
        <v>1551601597958216</v>
      </c>
      <c r="C4208" t="s">
        <v>40</v>
      </c>
      <c r="D4208">
        <v>5.230105</v>
      </c>
      <c r="E4208">
        <v>0.32826430000000001</v>
      </c>
      <c r="F4208" t="s">
        <v>59</v>
      </c>
      <c r="G4208">
        <v>-413.50920000000002</v>
      </c>
      <c r="H4208" s="1">
        <v>-9.5439349999999993E-6</v>
      </c>
      <c r="I4208">
        <v>29.558689999999999</v>
      </c>
      <c r="J4208">
        <v>-420.39510000000001</v>
      </c>
      <c r="K4208">
        <v>1.133073</v>
      </c>
      <c r="L4208">
        <v>33.662260000000003</v>
      </c>
      <c r="M4208">
        <v>0.24900520000000001</v>
      </c>
      <c r="N4208">
        <v>-1.191619E-2</v>
      </c>
      <c r="O4208">
        <v>-0.96842899999999998</v>
      </c>
      <c r="P4208">
        <v>0.57920349999999998</v>
      </c>
      <c r="Q4208">
        <v>0.13575209999999999</v>
      </c>
      <c r="R4208">
        <v>-0.80380010000000002</v>
      </c>
      <c r="S4208">
        <v>2.848633</v>
      </c>
      <c r="T4208">
        <v>-0.46295760000000002</v>
      </c>
      <c r="U4208">
        <v>-1.7969360000000001</v>
      </c>
      <c r="V4208">
        <v>-0.36513980000000001</v>
      </c>
      <c r="W4208">
        <v>0.1355585</v>
      </c>
      <c r="X4208">
        <v>0.92103029999999997</v>
      </c>
      <c r="Y4208">
        <v>-0.67809390000000003</v>
      </c>
      <c r="Z4208">
        <v>0.13502239999999999</v>
      </c>
      <c r="AA4208">
        <v>0.72246650000000001</v>
      </c>
      <c r="AB4208">
        <v>32</v>
      </c>
      <c r="AC4208">
        <v>6.8858999999999897</v>
      </c>
      <c r="AD4208">
        <v>-1.1330825439350001</v>
      </c>
      <c r="AE4208">
        <v>-4.1035699999999897</v>
      </c>
      <c r="AF4208">
        <v>-5.5364709228160098</v>
      </c>
      <c r="AG4208">
        <v>-1.1330825439350001</v>
      </c>
      <c r="AH4208">
        <v>5.5775982460506501</v>
      </c>
      <c r="AI4208">
        <v>98.204282149187094</v>
      </c>
      <c r="AJ4208">
        <v>134.78797942927901</v>
      </c>
      <c r="AK4208">
        <v>7.9401504094635902</v>
      </c>
      <c r="AL4208">
        <v>82.209083508590098</v>
      </c>
      <c r="AM4208">
        <v>111.625707154162</v>
      </c>
      <c r="AN4208">
        <v>0.999999996992189</v>
      </c>
    </row>
    <row r="4209" spans="1:40" x14ac:dyDescent="0.25">
      <c r="A4209" t="str">
        <f>"20190303162637990"</f>
        <v>20190303162637990</v>
      </c>
      <c r="B4209" t="str">
        <f>"1551601597977737"</f>
        <v>1551601597977737</v>
      </c>
      <c r="C4209" t="s">
        <v>40</v>
      </c>
      <c r="D4209">
        <v>5.2192020000000001</v>
      </c>
      <c r="E4209">
        <v>0.3288025</v>
      </c>
      <c r="F4209" t="s">
        <v>59</v>
      </c>
      <c r="G4209">
        <v>-413.56319999999999</v>
      </c>
      <c r="H4209" s="1">
        <v>-9.5240110000000007E-6</v>
      </c>
      <c r="I4209">
        <v>29.549890000000001</v>
      </c>
      <c r="J4209">
        <v>-420.30099999999999</v>
      </c>
      <c r="K4209">
        <v>1.1333070000000001</v>
      </c>
      <c r="L4209">
        <v>33.353999999999999</v>
      </c>
      <c r="M4209">
        <v>0.26454809999999901</v>
      </c>
      <c r="N4209">
        <v>-1.1992849999999999E-2</v>
      </c>
      <c r="O4209">
        <v>-0.96429799999999999</v>
      </c>
      <c r="P4209">
        <v>0.59433369999999996</v>
      </c>
      <c r="Q4209">
        <v>0.13409270000000001</v>
      </c>
      <c r="R4209">
        <v>-0.79296080000000002</v>
      </c>
      <c r="S4209">
        <v>2.8831790000000002</v>
      </c>
      <c r="T4209">
        <v>-0.47817539999999997</v>
      </c>
      <c r="U4209">
        <v>-1.735474</v>
      </c>
      <c r="V4209">
        <v>-0.3677454</v>
      </c>
      <c r="W4209">
        <v>0.13365239999999901</v>
      </c>
      <c r="X4209">
        <v>0.92027190000000003</v>
      </c>
      <c r="Y4209">
        <v>-0.68084560000000005</v>
      </c>
      <c r="Z4209">
        <v>0.14028189999999999</v>
      </c>
      <c r="AA4209">
        <v>0.71886740000000005</v>
      </c>
      <c r="AB4209">
        <v>32</v>
      </c>
      <c r="AC4209">
        <v>6.7377999999999902</v>
      </c>
      <c r="AD4209">
        <v>-1.1333165240109999</v>
      </c>
      <c r="AE4209">
        <v>-3.8041099999999899</v>
      </c>
      <c r="AF4209">
        <v>-5.3759385558249404</v>
      </c>
      <c r="AG4209">
        <v>-1.1333165240109999</v>
      </c>
      <c r="AH4209">
        <v>5.3366690063946303</v>
      </c>
      <c r="AI4209">
        <v>98.509055166263195</v>
      </c>
      <c r="AJ4209">
        <v>135.210030037472</v>
      </c>
      <c r="AK4209">
        <v>7.6593183628450001</v>
      </c>
      <c r="AL4209">
        <v>82.319298118373993</v>
      </c>
      <c r="AM4209">
        <v>111.78190454198401</v>
      </c>
      <c r="AN4209">
        <v>1.0000000065882599</v>
      </c>
    </row>
    <row r="4210" spans="1:40" x14ac:dyDescent="0.25">
      <c r="A4210" t="str">
        <f>"20190303162638012"</f>
        <v>20190303162638012</v>
      </c>
      <c r="B4210" t="str">
        <f>"1551601598007992"</f>
        <v>1551601598007992</v>
      </c>
      <c r="C4210" t="s">
        <v>40</v>
      </c>
      <c r="D4210">
        <v>5.2674310000000002</v>
      </c>
      <c r="E4210">
        <v>0.34410970000000002</v>
      </c>
      <c r="F4210" t="s">
        <v>59</v>
      </c>
      <c r="G4210">
        <v>-413.37139999999999</v>
      </c>
      <c r="H4210" s="1">
        <v>-9.5692330000000001E-6</v>
      </c>
      <c r="I4210">
        <v>29.353380000000001</v>
      </c>
      <c r="J4210">
        <v>-420.2011</v>
      </c>
      <c r="K4210">
        <v>1.1335459999999999</v>
      </c>
      <c r="L4210">
        <v>33.045169999999999</v>
      </c>
      <c r="M4210">
        <v>0.28037099999999998</v>
      </c>
      <c r="N4210">
        <v>-1.2069420000000001E-2</v>
      </c>
      <c r="O4210">
        <v>-0.95981590000000006</v>
      </c>
      <c r="P4210">
        <v>0.60849830000000005</v>
      </c>
      <c r="Q4210">
        <v>0.13538829999999999</v>
      </c>
      <c r="R4210">
        <v>-0.78192069999999902</v>
      </c>
      <c r="S4210">
        <v>2.9120789999999999</v>
      </c>
      <c r="T4210">
        <v>-0.47626259999999998</v>
      </c>
      <c r="U4210">
        <v>-1.6812130000000001</v>
      </c>
      <c r="V4210">
        <v>-0.36934860000000003</v>
      </c>
      <c r="W4210">
        <v>0.13473969999999999</v>
      </c>
      <c r="X4210">
        <v>0.91947100000000004</v>
      </c>
      <c r="Y4210">
        <v>-0.68205459999999996</v>
      </c>
      <c r="Z4210">
        <v>0.1401704</v>
      </c>
      <c r="AA4210">
        <v>0.71774209999999905</v>
      </c>
      <c r="AB4210">
        <v>32</v>
      </c>
      <c r="AC4210">
        <v>6.8296999999999999</v>
      </c>
      <c r="AD4210">
        <v>-1.1335555692329999</v>
      </c>
      <c r="AE4210">
        <v>-3.6917900000000001</v>
      </c>
      <c r="AF4210">
        <v>-5.4053520429989499</v>
      </c>
      <c r="AG4210">
        <v>-1.1335555692329999</v>
      </c>
      <c r="AH4210">
        <v>5.3447443597594102</v>
      </c>
      <c r="AI4210">
        <v>98.481499595383198</v>
      </c>
      <c r="AJ4210">
        <v>135.32302293242299</v>
      </c>
      <c r="AK4210">
        <v>7.6856405854341201</v>
      </c>
      <c r="AL4210">
        <v>82.256432094363703</v>
      </c>
      <c r="AM4210">
        <v>111.885172545782</v>
      </c>
      <c r="AN4210">
        <v>1.0000000474595201</v>
      </c>
    </row>
    <row r="4211" spans="1:40" x14ac:dyDescent="0.25">
      <c r="A4211" t="str">
        <f>"20190303162638036"</f>
        <v>20190303162638036</v>
      </c>
      <c r="B4211" t="str">
        <f>"1551601598027512"</f>
        <v>1551601598027512</v>
      </c>
      <c r="C4211" t="s">
        <v>40</v>
      </c>
      <c r="D4211">
        <v>5.2842370000000001</v>
      </c>
      <c r="E4211">
        <v>0.3464872</v>
      </c>
      <c r="F4211" t="s">
        <v>59</v>
      </c>
      <c r="G4211">
        <v>-411.91410000000002</v>
      </c>
      <c r="H4211" s="1">
        <v>-9.9414969999999997E-6</v>
      </c>
      <c r="I4211">
        <v>28.115349999999999</v>
      </c>
      <c r="J4211">
        <v>-420.0942</v>
      </c>
      <c r="K4211">
        <v>1.1337900000000001</v>
      </c>
      <c r="L4211">
        <v>32.732239999999997</v>
      </c>
      <c r="M4211">
        <v>0.29665059999999999</v>
      </c>
      <c r="N4211">
        <v>-1.214726E-2</v>
      </c>
      <c r="O4211">
        <v>-0.95490900000000001</v>
      </c>
      <c r="P4211">
        <v>0.62243289999999996</v>
      </c>
      <c r="Q4211">
        <v>0.13770079999999901</v>
      </c>
      <c r="R4211">
        <v>-0.77046490000000001</v>
      </c>
      <c r="S4211">
        <v>2.8432620000000002</v>
      </c>
      <c r="T4211">
        <v>-0.38891959999999998</v>
      </c>
      <c r="U4211">
        <v>-1.691406</v>
      </c>
      <c r="V4211">
        <v>-0.37049510000000002</v>
      </c>
      <c r="W4211">
        <v>0.13686229999999999</v>
      </c>
      <c r="X4211">
        <v>0.91869590000000001</v>
      </c>
      <c r="Y4211">
        <v>-0.66296480000000002</v>
      </c>
      <c r="Z4211">
        <v>0.1145907</v>
      </c>
      <c r="AA4211">
        <v>0.73982879999999995</v>
      </c>
      <c r="AB4211">
        <v>32</v>
      </c>
      <c r="AC4211">
        <v>8.1800999999999799</v>
      </c>
      <c r="AD4211">
        <v>-1.1337999414969999</v>
      </c>
      <c r="AE4211">
        <v>-4.6168899999999997</v>
      </c>
      <c r="AF4211">
        <v>-6.34960868418184</v>
      </c>
      <c r="AG4211">
        <v>-1.1337999414969999</v>
      </c>
      <c r="AH4211">
        <v>6.7376769963345202</v>
      </c>
      <c r="AI4211">
        <v>96.981946046517095</v>
      </c>
      <c r="AJ4211">
        <v>133.30154519874699</v>
      </c>
      <c r="AK4211">
        <v>9.3273428186440892</v>
      </c>
      <c r="AL4211">
        <v>82.133678766297294</v>
      </c>
      <c r="AM4211">
        <v>111.96341810104001</v>
      </c>
      <c r="AN4211">
        <v>1.0000000324810501</v>
      </c>
    </row>
    <row r="4212" spans="1:40" x14ac:dyDescent="0.25">
      <c r="A4212" t="str">
        <f>"20190303162638057"</f>
        <v>20190303162638057</v>
      </c>
      <c r="B4212" t="str">
        <f>"1551601598048009"</f>
        <v>1551601598048009</v>
      </c>
      <c r="C4212" t="s">
        <v>40</v>
      </c>
      <c r="D4212">
        <v>5.3063669999999998</v>
      </c>
      <c r="E4212">
        <v>0.34871180000000002</v>
      </c>
      <c r="F4212" t="s">
        <v>59</v>
      </c>
      <c r="G4212">
        <v>-411.40710000000001</v>
      </c>
      <c r="H4212" s="1">
        <v>-1.008012E-5</v>
      </c>
      <c r="I4212">
        <v>27.715019999999999</v>
      </c>
      <c r="J4212">
        <v>-419.99189999999999</v>
      </c>
      <c r="K4212">
        <v>1.1340170000000001</v>
      </c>
      <c r="L4212">
        <v>32.448609999999903</v>
      </c>
      <c r="M4212">
        <v>0.31163249999999998</v>
      </c>
      <c r="N4212">
        <v>-1.221882E-2</v>
      </c>
      <c r="O4212">
        <v>-0.95012430000000003</v>
      </c>
      <c r="P4212">
        <v>0.63496790000000003</v>
      </c>
      <c r="Q4212">
        <v>0.1389503</v>
      </c>
      <c r="R4212">
        <v>-0.75994019999999995</v>
      </c>
      <c r="S4212">
        <v>2.8586429999999998</v>
      </c>
      <c r="T4212">
        <v>-0.37309560000000003</v>
      </c>
      <c r="U4212">
        <v>-1.6510009999999999</v>
      </c>
      <c r="V4212">
        <v>-0.37127979999999999</v>
      </c>
      <c r="W4212">
        <v>0.1379514</v>
      </c>
      <c r="X4212">
        <v>0.91821600000000003</v>
      </c>
      <c r="Y4212">
        <v>-0.66127179999999997</v>
      </c>
      <c r="Z4212">
        <v>0.109946699999999</v>
      </c>
      <c r="AA4212">
        <v>0.74204539999999997</v>
      </c>
      <c r="AB4212">
        <v>32</v>
      </c>
      <c r="AC4212">
        <v>8.5847999999999693</v>
      </c>
      <c r="AD4212">
        <v>-1.1340270801200001</v>
      </c>
      <c r="AE4212">
        <v>-4.7335899999999898</v>
      </c>
      <c r="AF4212">
        <v>-6.5937515526388903</v>
      </c>
      <c r="AG4212">
        <v>-1.1340270801200001</v>
      </c>
      <c r="AH4212">
        <v>7.0786150288723801</v>
      </c>
      <c r="AI4212">
        <v>96.686007524752199</v>
      </c>
      <c r="AJ4212">
        <v>132.968969486004</v>
      </c>
      <c r="AK4212">
        <v>9.7401420771645402</v>
      </c>
      <c r="AL4212">
        <v>82.070679719466298</v>
      </c>
      <c r="AM4212">
        <v>112.015900822673</v>
      </c>
      <c r="AN4212">
        <v>0.99999995065299796</v>
      </c>
    </row>
    <row r="4213" spans="1:40" x14ac:dyDescent="0.25">
      <c r="A4213" t="str">
        <f>"20190303162638080"</f>
        <v>20190303162638080</v>
      </c>
      <c r="B4213" t="str">
        <f>"1551601598068504"</f>
        <v>1551601598068504</v>
      </c>
      <c r="C4213" t="s">
        <v>40</v>
      </c>
      <c r="D4213">
        <v>5.174817</v>
      </c>
      <c r="E4213">
        <v>0.3487634</v>
      </c>
      <c r="F4213" t="s">
        <v>59</v>
      </c>
      <c r="G4213">
        <v>-411.16300000000001</v>
      </c>
      <c r="H4213" s="1">
        <v>-1.0144910000000001E-5</v>
      </c>
      <c r="I4213">
        <v>27.475380000000001</v>
      </c>
      <c r="J4213">
        <v>-419.88150000000002</v>
      </c>
      <c r="K4213">
        <v>1.1342399999999999</v>
      </c>
      <c r="L4213">
        <v>32.15802</v>
      </c>
      <c r="M4213">
        <v>0.32720579999999999</v>
      </c>
      <c r="N4213">
        <v>-1.229354E-2</v>
      </c>
      <c r="O4213">
        <v>-0.94487310000000002</v>
      </c>
      <c r="P4213">
        <v>0.64627809999999997</v>
      </c>
      <c r="Q4213">
        <v>0.1411097</v>
      </c>
      <c r="R4213">
        <v>-0.74994189999999905</v>
      </c>
      <c r="S4213">
        <v>2.8702999999999999</v>
      </c>
      <c r="T4213">
        <v>-0.36867759999999999</v>
      </c>
      <c r="U4213">
        <v>-1.6168209999999901</v>
      </c>
      <c r="V4213">
        <v>-0.37021920000000003</v>
      </c>
      <c r="W4213">
        <v>0.14002110000000001</v>
      </c>
      <c r="X4213">
        <v>0.91833100000000001</v>
      </c>
      <c r="Y4213">
        <v>-0.65708829999999996</v>
      </c>
      <c r="Z4213">
        <v>0.1088042</v>
      </c>
      <c r="AA4213">
        <v>0.74592009999999997</v>
      </c>
      <c r="AB4213">
        <v>32</v>
      </c>
      <c r="AC4213">
        <v>8.7185000000000006</v>
      </c>
      <c r="AD4213">
        <v>-1.13425014491</v>
      </c>
      <c r="AE4213">
        <v>-4.6826400000000001</v>
      </c>
      <c r="AF4213">
        <v>-6.6192462513001402</v>
      </c>
      <c r="AG4213">
        <v>-1.13425014491</v>
      </c>
      <c r="AH4213">
        <v>7.1834335301733896</v>
      </c>
      <c r="AI4213">
        <v>96.623384437042603</v>
      </c>
      <c r="AJ4213">
        <v>132.659326631429</v>
      </c>
      <c r="AK4213">
        <v>9.8337511463834897</v>
      </c>
      <c r="AL4213">
        <v>81.950932744935599</v>
      </c>
      <c r="AM4213">
        <v>111.956509031575</v>
      </c>
      <c r="AN4213">
        <v>0.99999999502742498</v>
      </c>
    </row>
    <row r="4214" spans="1:40" x14ac:dyDescent="0.25">
      <c r="A4214" t="str">
        <f>"20190303162638101"</f>
        <v>20190303162638101</v>
      </c>
      <c r="B4214" t="str">
        <f>"1551601598097784"</f>
        <v>1551601598097784</v>
      </c>
      <c r="C4214" t="s">
        <v>40</v>
      </c>
      <c r="D4214">
        <v>5.1661760000000001</v>
      </c>
      <c r="E4214">
        <v>0.35078589999999998</v>
      </c>
      <c r="F4214" t="s">
        <v>59</v>
      </c>
      <c r="G4214">
        <v>-410.89359999999999</v>
      </c>
      <c r="H4214" s="1">
        <v>-1.0222E-5</v>
      </c>
      <c r="I4214">
        <v>27.266279999999998</v>
      </c>
      <c r="J4214">
        <v>-419.76850000000002</v>
      </c>
      <c r="K4214">
        <v>1.1344430000000001</v>
      </c>
      <c r="L4214">
        <v>31.875119999999999</v>
      </c>
      <c r="M4214">
        <v>0.34257149999999997</v>
      </c>
      <c r="N4214">
        <v>-1.2366469999999999E-2</v>
      </c>
      <c r="O4214">
        <v>-0.93941039999999998</v>
      </c>
      <c r="P4214">
        <v>0.65661400000000003</v>
      </c>
      <c r="Q4214">
        <v>0.14164740000000001</v>
      </c>
      <c r="R4214">
        <v>-0.74080630000000003</v>
      </c>
      <c r="S4214">
        <v>2.8939819999999998</v>
      </c>
      <c r="T4214">
        <v>-0.36521330000000002</v>
      </c>
      <c r="U4214">
        <v>-1.5750729999999999</v>
      </c>
      <c r="V4214">
        <v>-0.36809829999999999</v>
      </c>
      <c r="W4214">
        <v>0.14052200000000001</v>
      </c>
      <c r="X4214">
        <v>0.9191068</v>
      </c>
      <c r="Y4214">
        <v>-0.65582379999999996</v>
      </c>
      <c r="Z4214">
        <v>0.1077581</v>
      </c>
      <c r="AA4214">
        <v>0.74718370000000001</v>
      </c>
      <c r="AB4214">
        <v>32</v>
      </c>
      <c r="AC4214">
        <v>8.8749000000000198</v>
      </c>
      <c r="AD4214">
        <v>-1.1344532220000001</v>
      </c>
      <c r="AE4214">
        <v>-4.6088399999999998</v>
      </c>
      <c r="AF4214">
        <v>-6.6729573630747501</v>
      </c>
      <c r="AG4214">
        <v>-1.1344532220000001</v>
      </c>
      <c r="AH4214">
        <v>7.2767971059162901</v>
      </c>
      <c r="AI4214">
        <v>96.554668725400504</v>
      </c>
      <c r="AJ4214">
        <v>132.521398375015</v>
      </c>
      <c r="AK4214">
        <v>9.9381648307417105</v>
      </c>
      <c r="AL4214">
        <v>81.921947155677699</v>
      </c>
      <c r="AM4214">
        <v>111.82588822655801</v>
      </c>
      <c r="AN4214">
        <v>1.00000005037656</v>
      </c>
    </row>
    <row r="4215" spans="1:40" x14ac:dyDescent="0.25">
      <c r="A4215" t="str">
        <f>"20190303162638125"</f>
        <v>20190303162638125</v>
      </c>
      <c r="B4215" t="str">
        <f>"1551601598118280"</f>
        <v>1551601598118280</v>
      </c>
      <c r="C4215" t="s">
        <v>40</v>
      </c>
      <c r="D4215">
        <v>5.209257</v>
      </c>
      <c r="E4215">
        <v>0.35214210000000001</v>
      </c>
      <c r="F4215" t="s">
        <v>59</v>
      </c>
      <c r="G4215">
        <v>-410.55950000000001</v>
      </c>
      <c r="H4215" s="1">
        <v>-1.031487E-5</v>
      </c>
      <c r="I4215">
        <v>26.980049999999999</v>
      </c>
      <c r="J4215">
        <v>-419.64010000000002</v>
      </c>
      <c r="K4215">
        <v>1.1346290000000001</v>
      </c>
      <c r="L4215">
        <v>31.569240000000001</v>
      </c>
      <c r="M4215">
        <v>0.35938439999999999</v>
      </c>
      <c r="N4215">
        <v>-1.2442369999999999E-2</v>
      </c>
      <c r="O4215">
        <v>-0.93310680000000001</v>
      </c>
      <c r="P4215">
        <v>0.66864959999999996</v>
      </c>
      <c r="Q4215">
        <v>0.13990859999999999</v>
      </c>
      <c r="R4215">
        <v>-0.73029690000000003</v>
      </c>
      <c r="S4215">
        <v>2.9042970000000001</v>
      </c>
      <c r="T4215">
        <v>-0.3577803</v>
      </c>
      <c r="U4215">
        <v>-1.543793</v>
      </c>
      <c r="V4215">
        <v>-0.36652750000000001</v>
      </c>
      <c r="W4215">
        <v>0.13873199999999999</v>
      </c>
      <c r="X4215">
        <v>0.92000599999999999</v>
      </c>
      <c r="Y4215">
        <v>-0.64989569999999997</v>
      </c>
      <c r="Z4215">
        <v>0.1054874</v>
      </c>
      <c r="AA4215">
        <v>0.75266739999999999</v>
      </c>
      <c r="AB4215">
        <v>32</v>
      </c>
      <c r="AC4215">
        <v>9.0806000000000004</v>
      </c>
      <c r="AD4215">
        <v>-1.13463931487</v>
      </c>
      <c r="AE4215">
        <v>-4.5891900000000003</v>
      </c>
      <c r="AF4215">
        <v>-6.7405840842188702</v>
      </c>
      <c r="AG4215">
        <v>-1.13463931487</v>
      </c>
      <c r="AH4215">
        <v>7.4535174966250297</v>
      </c>
      <c r="AI4215">
        <v>96.441768323184903</v>
      </c>
      <c r="AJ4215">
        <v>132.124595958296</v>
      </c>
      <c r="AK4215">
        <v>10.113248896559799</v>
      </c>
      <c r="AL4215">
        <v>82.025520864506802</v>
      </c>
      <c r="AM4215">
        <v>111.722181899183</v>
      </c>
      <c r="AN4215">
        <v>1.0000000080581199</v>
      </c>
    </row>
    <row r="4216" spans="1:40" x14ac:dyDescent="0.25">
      <c r="A4216" t="str">
        <f>"20190303162638146"</f>
        <v>20190303162638146</v>
      </c>
      <c r="B4216" t="str">
        <f>"1551601598137800"</f>
        <v>1551601598137800</v>
      </c>
      <c r="C4216" t="s">
        <v>40</v>
      </c>
      <c r="D4216">
        <v>5.2039179999999998</v>
      </c>
      <c r="E4216">
        <v>0.35309990000000002</v>
      </c>
      <c r="F4216" t="s">
        <v>59</v>
      </c>
      <c r="G4216">
        <v>-410.2817</v>
      </c>
      <c r="H4216" s="1">
        <v>-1.0393859999999999E-5</v>
      </c>
      <c r="I4216">
        <v>26.759609999999999</v>
      </c>
      <c r="J4216">
        <v>-419.51519999999999</v>
      </c>
      <c r="K4216">
        <v>1.1347929999999999</v>
      </c>
      <c r="L4216">
        <v>31.285609999999998</v>
      </c>
      <c r="M4216">
        <v>0.37513469999999999</v>
      </c>
      <c r="N4216">
        <v>-1.2508109999999999E-2</v>
      </c>
      <c r="O4216">
        <v>-0.92688599999999999</v>
      </c>
      <c r="P4216">
        <v>0.68209180000000003</v>
      </c>
      <c r="Q4216">
        <v>0.13687489999999999</v>
      </c>
      <c r="R4216">
        <v>-0.71834279999999995</v>
      </c>
      <c r="S4216">
        <v>2.9210820000000002</v>
      </c>
      <c r="T4216">
        <v>-0.35415940000000001</v>
      </c>
      <c r="U4216">
        <v>-1.5012509999999999</v>
      </c>
      <c r="V4216">
        <v>-0.3677648</v>
      </c>
      <c r="W4216">
        <v>0.1355547</v>
      </c>
      <c r="X4216">
        <v>0.91998579999999996</v>
      </c>
      <c r="Y4216">
        <v>-0.64758970000000005</v>
      </c>
      <c r="Z4216">
        <v>0.1044795</v>
      </c>
      <c r="AA4216">
        <v>0.75479249999999998</v>
      </c>
      <c r="AB4216">
        <v>32</v>
      </c>
      <c r="AC4216">
        <v>9.2334999999999905</v>
      </c>
      <c r="AD4216">
        <v>-1.13480339386</v>
      </c>
      <c r="AE4216">
        <v>-4.5259999999999998</v>
      </c>
      <c r="AF4216">
        <v>-6.7785263275411003</v>
      </c>
      <c r="AG4216">
        <v>-1.13480339386</v>
      </c>
      <c r="AH4216">
        <v>7.5673323311269396</v>
      </c>
      <c r="AI4216">
        <v>96.373524536908505</v>
      </c>
      <c r="AJ4216">
        <v>131.85276486614299</v>
      </c>
      <c r="AK4216">
        <v>10.2225591964831</v>
      </c>
      <c r="AL4216">
        <v>82.209302880870695</v>
      </c>
      <c r="AM4216">
        <v>111.789085778028</v>
      </c>
      <c r="AN4216">
        <v>0.99999994850638296</v>
      </c>
    </row>
    <row r="4217" spans="1:40" x14ac:dyDescent="0.25">
      <c r="A4217" t="str">
        <f>"20190303162638169"</f>
        <v>20190303162638169</v>
      </c>
      <c r="B4217" t="str">
        <f>"1551601598158296"</f>
        <v>1551601598158296</v>
      </c>
      <c r="C4217" t="s">
        <v>40</v>
      </c>
      <c r="D4217">
        <v>5.2649699999999999</v>
      </c>
      <c r="E4217">
        <v>0.3543366</v>
      </c>
      <c r="F4217" t="s">
        <v>59</v>
      </c>
      <c r="G4217">
        <v>-410.17880000000002</v>
      </c>
      <c r="H4217" s="1">
        <v>-1.042295E-5</v>
      </c>
      <c r="I4217">
        <v>26.67642</v>
      </c>
      <c r="J4217">
        <v>-419.38760000000002</v>
      </c>
      <c r="K4217">
        <v>1.1349320000000001</v>
      </c>
      <c r="L4217">
        <v>31.00854</v>
      </c>
      <c r="M4217">
        <v>0.39065879999999997</v>
      </c>
      <c r="N4217">
        <v>-1.2567760000000001E-2</v>
      </c>
      <c r="O4217">
        <v>-0.92044979999999998</v>
      </c>
      <c r="P4217">
        <v>0.69591429999999999</v>
      </c>
      <c r="Q4217">
        <v>0.13384939999999901</v>
      </c>
      <c r="R4217">
        <v>-0.70554069999999902</v>
      </c>
      <c r="S4217">
        <v>2.9409179999999999</v>
      </c>
      <c r="T4217">
        <v>-0.35745749999999998</v>
      </c>
      <c r="U4217">
        <v>-1.4518740000000001</v>
      </c>
      <c r="V4217">
        <v>-0.36989309999999997</v>
      </c>
      <c r="W4217">
        <v>0.13236129999999999</v>
      </c>
      <c r="X4217">
        <v>0.91959749999999996</v>
      </c>
      <c r="Y4217">
        <v>-0.6469049</v>
      </c>
      <c r="Z4217">
        <v>0.1057014</v>
      </c>
      <c r="AA4217">
        <v>0.75520940000000003</v>
      </c>
      <c r="AB4217">
        <v>32</v>
      </c>
      <c r="AC4217">
        <v>9.2087999999999894</v>
      </c>
      <c r="AD4217">
        <v>-1.13494242295</v>
      </c>
      <c r="AE4217">
        <v>-4.3321199999999997</v>
      </c>
      <c r="AF4217">
        <v>-6.70105165722343</v>
      </c>
      <c r="AG4217">
        <v>-1.13494242295</v>
      </c>
      <c r="AH4217">
        <v>7.4924131404605001</v>
      </c>
      <c r="AI4217">
        <v>96.441895180588901</v>
      </c>
      <c r="AJ4217">
        <v>131.80875831068701</v>
      </c>
      <c r="AK4217">
        <v>10.115752185751299</v>
      </c>
      <c r="AL4217">
        <v>82.393935729310698</v>
      </c>
      <c r="AM4217">
        <v>111.911653121688</v>
      </c>
      <c r="AN4217">
        <v>0.99999999058577405</v>
      </c>
    </row>
    <row r="4218" spans="1:40" x14ac:dyDescent="0.25">
      <c r="A4218" t="str">
        <f>"20190303162638191"</f>
        <v>20190303162638191</v>
      </c>
      <c r="B4218" t="str">
        <f>"1551601598177816"</f>
        <v>1551601598177816</v>
      </c>
      <c r="C4218" t="s">
        <v>40</v>
      </c>
      <c r="D4218">
        <v>5.2963300000000002</v>
      </c>
      <c r="E4218">
        <v>0.35503059999999997</v>
      </c>
      <c r="F4218" t="s">
        <v>59</v>
      </c>
      <c r="G4218">
        <v>-410.13240000000002</v>
      </c>
      <c r="H4218" s="1">
        <v>-1.0434680000000001E-5</v>
      </c>
      <c r="I4218">
        <v>26.62481</v>
      </c>
      <c r="J4218">
        <v>-419.24990000000003</v>
      </c>
      <c r="K4218">
        <v>1.1350450000000001</v>
      </c>
      <c r="L4218">
        <v>30.722380000000001</v>
      </c>
      <c r="M4218">
        <v>0.40681400000000001</v>
      </c>
      <c r="N4218">
        <v>-1.262425E-2</v>
      </c>
      <c r="O4218">
        <v>-0.91342380000000001</v>
      </c>
      <c r="P4218">
        <v>0.71075699999999997</v>
      </c>
      <c r="Q4218">
        <v>0.13124820000000001</v>
      </c>
      <c r="R4218">
        <v>-0.69108480000000005</v>
      </c>
      <c r="S4218">
        <v>2.9595639999999999</v>
      </c>
      <c r="T4218">
        <v>-0.36292219999999997</v>
      </c>
      <c r="U4218">
        <v>-1.401794</v>
      </c>
      <c r="V4218">
        <v>-0.37299769999999999</v>
      </c>
      <c r="W4218">
        <v>0.12955700000000001</v>
      </c>
      <c r="X4218">
        <v>0.91874239999999996</v>
      </c>
      <c r="Y4218">
        <v>-0.6455864</v>
      </c>
      <c r="Z4218">
        <v>0.1075863</v>
      </c>
      <c r="AA4218">
        <v>0.75607100000000005</v>
      </c>
      <c r="AB4218">
        <v>32</v>
      </c>
      <c r="AC4218">
        <v>9.1174999999999997</v>
      </c>
      <c r="AD4218">
        <v>-1.1350554346799999</v>
      </c>
      <c r="AE4218">
        <v>-4.0975700000000002</v>
      </c>
      <c r="AF4218">
        <v>-6.5769207843690802</v>
      </c>
      <c r="AG4218">
        <v>-1.1350554346799999</v>
      </c>
      <c r="AH4218">
        <v>7.35766879890895</v>
      </c>
      <c r="AI4218">
        <v>96.561086267097707</v>
      </c>
      <c r="AJ4218">
        <v>131.79309942748</v>
      </c>
      <c r="AK4218">
        <v>9.9337569931069396</v>
      </c>
      <c r="AL4218">
        <v>82.556005818778502</v>
      </c>
      <c r="AM4218">
        <v>112.096525281491</v>
      </c>
      <c r="AN4218">
        <v>0.99999994900602296</v>
      </c>
    </row>
    <row r="4219" spans="1:40" x14ac:dyDescent="0.25">
      <c r="A4219" t="str">
        <f>"20190303162638214"</f>
        <v>20190303162638214</v>
      </c>
      <c r="B4219" t="str">
        <f>"1551601598208072"</f>
        <v>1551601598208072</v>
      </c>
      <c r="C4219" t="s">
        <v>40</v>
      </c>
      <c r="D4219">
        <v>5.2504549999999997</v>
      </c>
      <c r="E4219">
        <v>0.37038320000000002</v>
      </c>
      <c r="F4219" t="s">
        <v>59</v>
      </c>
      <c r="G4219">
        <v>-410.02519999999998</v>
      </c>
      <c r="H4219" s="1">
        <v>-1.0468539999999999E-5</v>
      </c>
      <c r="I4219">
        <v>26.57367</v>
      </c>
      <c r="J4219">
        <v>-419.09789999999998</v>
      </c>
      <c r="K4219">
        <v>1.1351500000000001</v>
      </c>
      <c r="L4219">
        <v>30.420439999999999</v>
      </c>
      <c r="M4219">
        <v>0.42397210000000002</v>
      </c>
      <c r="N4219">
        <v>-1.267793E-2</v>
      </c>
      <c r="O4219">
        <v>-0.90558669999999997</v>
      </c>
      <c r="P4219">
        <v>0.72616819999999904</v>
      </c>
      <c r="Q4219">
        <v>0.12768679999999999</v>
      </c>
      <c r="R4219">
        <v>-0.67555609999999999</v>
      </c>
      <c r="S4219">
        <v>2.9838260000000001</v>
      </c>
      <c r="T4219">
        <v>-0.3671468</v>
      </c>
      <c r="U4219">
        <v>-1.3419490000000001</v>
      </c>
      <c r="V4219">
        <v>-0.37602370000000002</v>
      </c>
      <c r="W4219">
        <v>0.12580139999999901</v>
      </c>
      <c r="X4219">
        <v>0.91803060000000003</v>
      </c>
      <c r="Y4219">
        <v>-0.64598269999999902</v>
      </c>
      <c r="Z4219">
        <v>0.1090376</v>
      </c>
      <c r="AA4219">
        <v>0.75552450000000004</v>
      </c>
      <c r="AB4219">
        <v>32</v>
      </c>
      <c r="AC4219">
        <v>9.0726999999999904</v>
      </c>
      <c r="AD4219">
        <v>-1.1351604685400001</v>
      </c>
      <c r="AE4219">
        <v>-3.8467699999999998</v>
      </c>
      <c r="AF4219">
        <v>-6.4994787659768001</v>
      </c>
      <c r="AG4219">
        <v>-1.1351604685400001</v>
      </c>
      <c r="AH4219">
        <v>7.2347442752898896</v>
      </c>
      <c r="AI4219">
        <v>96.657461370546102</v>
      </c>
      <c r="AJ4219">
        <v>131.935579598255</v>
      </c>
      <c r="AK4219">
        <v>9.7914931572033002</v>
      </c>
      <c r="AL4219">
        <v>82.772962027918894</v>
      </c>
      <c r="AM4219">
        <v>112.27391892652</v>
      </c>
      <c r="AN4219">
        <v>0.99999999887000501</v>
      </c>
    </row>
    <row r="4220" spans="1:40" x14ac:dyDescent="0.25">
      <c r="A4220" t="str">
        <f>"20190303162638236"</f>
        <v>20190303162638236</v>
      </c>
      <c r="B4220" t="str">
        <f>"1551601598227592"</f>
        <v>1551601598227592</v>
      </c>
      <c r="C4220" t="s">
        <v>40</v>
      </c>
      <c r="D4220">
        <v>5.2403019999999998</v>
      </c>
      <c r="E4220">
        <v>0.3604887</v>
      </c>
      <c r="F4220" t="s">
        <v>59</v>
      </c>
      <c r="G4220">
        <v>-408.93509999999998</v>
      </c>
      <c r="H4220" s="1">
        <v>-2.83253E-6</v>
      </c>
      <c r="I4220">
        <v>25.705359999999999</v>
      </c>
      <c r="J4220">
        <v>-418.95589999999999</v>
      </c>
      <c r="K4220">
        <v>1.135232</v>
      </c>
      <c r="L4220">
        <v>30.150729999999999</v>
      </c>
      <c r="M4220">
        <v>0.43938670000000002</v>
      </c>
      <c r="N4220">
        <v>-1.272092E-2</v>
      </c>
      <c r="O4220">
        <v>-0.89820809999999995</v>
      </c>
      <c r="P4220">
        <v>0.73980729999999995</v>
      </c>
      <c r="Q4220">
        <v>0.12531510000000001</v>
      </c>
      <c r="R4220">
        <v>-0.66104600000000002</v>
      </c>
      <c r="S4220">
        <v>2.9259029999999999</v>
      </c>
      <c r="T4220">
        <v>-0.32681300000000002</v>
      </c>
      <c r="U4220">
        <v>-1.357483</v>
      </c>
      <c r="V4220">
        <v>-0.3788243</v>
      </c>
      <c r="W4220">
        <v>0.1232598</v>
      </c>
      <c r="X4220">
        <v>0.91722360000000003</v>
      </c>
      <c r="Y4220">
        <v>-0.62507959999999996</v>
      </c>
      <c r="Z4220">
        <v>9.6809859999999998E-2</v>
      </c>
      <c r="AA4220">
        <v>0.77453430000000001</v>
      </c>
      <c r="AB4220">
        <v>32</v>
      </c>
      <c r="AC4220">
        <v>10.020799999999999</v>
      </c>
      <c r="AD4220">
        <v>-1.1352348325299999</v>
      </c>
      <c r="AE4220">
        <v>-4.4453699999999996</v>
      </c>
      <c r="AF4220">
        <v>-6.9733163431771699</v>
      </c>
      <c r="AG4220">
        <v>-1.1352348325299999</v>
      </c>
      <c r="AH4220">
        <v>8.3074644778388098</v>
      </c>
      <c r="AI4220">
        <v>95.9751714240859</v>
      </c>
      <c r="AJ4220">
        <v>130.010221724541</v>
      </c>
      <c r="AK4220">
        <v>10.9054970082782</v>
      </c>
      <c r="AL4220">
        <v>82.9197273484981</v>
      </c>
      <c r="AM4220">
        <v>112.441209776601</v>
      </c>
      <c r="AN4220">
        <v>0.99999998048174399</v>
      </c>
    </row>
    <row r="4221" spans="1:40" x14ac:dyDescent="0.25">
      <c r="A4221" t="str">
        <f>"20190303162638259"</f>
        <v>20190303162638259</v>
      </c>
      <c r="B4221" t="str">
        <f>"1551601598248088"</f>
        <v>1551601598248088</v>
      </c>
      <c r="C4221" t="s">
        <v>40</v>
      </c>
      <c r="D4221">
        <v>5.2990240000000002</v>
      </c>
      <c r="E4221">
        <v>0.3589754</v>
      </c>
      <c r="F4221" t="s">
        <v>59</v>
      </c>
      <c r="G4221">
        <v>-409.8571</v>
      </c>
      <c r="H4221" s="1">
        <v>-2.439105E-6</v>
      </c>
      <c r="I4221">
        <v>26.390550000000001</v>
      </c>
      <c r="J4221">
        <v>-418.80410000000001</v>
      </c>
      <c r="K4221">
        <v>1.1353009999999999</v>
      </c>
      <c r="L4221">
        <v>29.873899999999999</v>
      </c>
      <c r="M4221">
        <v>0.45527719999999999</v>
      </c>
      <c r="N4221">
        <v>-1.2760580000000001E-2</v>
      </c>
      <c r="O4221">
        <v>-0.89025829999999995</v>
      </c>
      <c r="P4221">
        <v>0.75212179999999995</v>
      </c>
      <c r="Q4221">
        <v>0.1240609</v>
      </c>
      <c r="R4221">
        <v>-0.64724169999999903</v>
      </c>
      <c r="S4221">
        <v>3.007965</v>
      </c>
      <c r="T4221">
        <v>-0.37529600000000002</v>
      </c>
      <c r="U4221">
        <v>-1.2430730000000001</v>
      </c>
      <c r="V4221">
        <v>-0.3796698</v>
      </c>
      <c r="W4221">
        <v>0.1219201</v>
      </c>
      <c r="X4221">
        <v>0.91705300000000001</v>
      </c>
      <c r="Y4221">
        <v>-0.64237730000000004</v>
      </c>
      <c r="Z4221">
        <v>0.1119708</v>
      </c>
      <c r="AA4221">
        <v>0.75816490000000003</v>
      </c>
      <c r="AB4221">
        <v>32</v>
      </c>
      <c r="AC4221">
        <v>8.9469999999999992</v>
      </c>
      <c r="AD4221">
        <v>-1.1353034391050001</v>
      </c>
      <c r="AE4221">
        <v>-3.48334999999999</v>
      </c>
      <c r="AF4221">
        <v>-6.2917974880332599</v>
      </c>
      <c r="AG4221">
        <v>-1.1353034391050001</v>
      </c>
      <c r="AH4221">
        <v>7.0760912730546499</v>
      </c>
      <c r="AI4221">
        <v>96.837105948042407</v>
      </c>
      <c r="AJ4221">
        <v>131.642306731491</v>
      </c>
      <c r="AK4221">
        <v>9.5365977808579903</v>
      </c>
      <c r="AL4221">
        <v>82.997069564285496</v>
      </c>
      <c r="AM4221">
        <v>112.490080731285</v>
      </c>
      <c r="AN4221">
        <v>0.99999993631252204</v>
      </c>
    </row>
    <row r="4222" spans="1:40" x14ac:dyDescent="0.25">
      <c r="A4222" t="str">
        <f>"20190303162638281"</f>
        <v>20190303162638281</v>
      </c>
      <c r="B4222" t="str">
        <f>"1551601598267608"</f>
        <v>1551601598267608</v>
      </c>
      <c r="C4222" t="s">
        <v>40</v>
      </c>
      <c r="D4222">
        <v>5.4172399999999996</v>
      </c>
      <c r="E4222">
        <v>0.35882160000000002</v>
      </c>
      <c r="F4222" t="s">
        <v>59</v>
      </c>
      <c r="G4222">
        <v>-409.767</v>
      </c>
      <c r="H4222" s="1">
        <v>-2.4889579999999999E-6</v>
      </c>
      <c r="I4222">
        <v>26.374770000000002</v>
      </c>
      <c r="J4222">
        <v>-418.64240000000001</v>
      </c>
      <c r="K4222">
        <v>1.1353679999999999</v>
      </c>
      <c r="L4222">
        <v>29.592379999999999</v>
      </c>
      <c r="M4222">
        <v>0.47151579999999899</v>
      </c>
      <c r="N4222">
        <v>-1.279689E-2</v>
      </c>
      <c r="O4222">
        <v>-0.88176489999999996</v>
      </c>
      <c r="P4222">
        <v>0.76332290000000003</v>
      </c>
      <c r="Q4222">
        <v>0.1222816</v>
      </c>
      <c r="R4222">
        <v>-0.63433859999999997</v>
      </c>
      <c r="S4222">
        <v>3.0390929999999998</v>
      </c>
      <c r="T4222">
        <v>-0.38179180000000001</v>
      </c>
      <c r="U4222">
        <v>-1.1767270000000001</v>
      </c>
      <c r="V4222">
        <v>-0.3786947</v>
      </c>
      <c r="W4222">
        <v>0.1201385</v>
      </c>
      <c r="X4222">
        <v>0.91769120000000004</v>
      </c>
      <c r="Y4222">
        <v>-0.64519380000000004</v>
      </c>
      <c r="Z4222">
        <v>0.1138856</v>
      </c>
      <c r="AA4222">
        <v>0.75548340000000003</v>
      </c>
      <c r="AB4222">
        <v>32</v>
      </c>
      <c r="AC4222">
        <v>8.8754000000000097</v>
      </c>
      <c r="AD4222">
        <v>-1.1353704889580001</v>
      </c>
      <c r="AE4222">
        <v>-3.2176099999999899</v>
      </c>
      <c r="AF4222">
        <v>-6.2194237319595196</v>
      </c>
      <c r="AG4222">
        <v>-1.1353704889580001</v>
      </c>
      <c r="AH4222">
        <v>6.92251753290076</v>
      </c>
      <c r="AI4222">
        <v>96.955911321647804</v>
      </c>
      <c r="AJ4222">
        <v>131.93759560512899</v>
      </c>
      <c r="AK4222">
        <v>9.3750491571072008</v>
      </c>
      <c r="AL4222">
        <v>83.099904382834595</v>
      </c>
      <c r="AM4222">
        <v>112.42399461735501</v>
      </c>
      <c r="AN4222">
        <v>1.0000000367738799</v>
      </c>
    </row>
    <row r="4223" spans="1:40" x14ac:dyDescent="0.25">
      <c r="A4223" t="str">
        <f>"20190303162638303"</f>
        <v>20190303162638303</v>
      </c>
      <c r="B4223" t="str">
        <f>"1551601598297864"</f>
        <v>1551601598297864</v>
      </c>
      <c r="C4223" t="s">
        <v>40</v>
      </c>
      <c r="D4223">
        <v>5.3725719999999999</v>
      </c>
      <c r="E4223">
        <v>0.36023440000000001</v>
      </c>
      <c r="F4223" t="s">
        <v>59</v>
      </c>
      <c r="G4223">
        <v>-409.52190000000002</v>
      </c>
      <c r="H4223" s="1">
        <v>-2.6060230000000001E-6</v>
      </c>
      <c r="I4223">
        <v>26.248840000000001</v>
      </c>
      <c r="J4223">
        <v>-418.48180000000002</v>
      </c>
      <c r="K4223">
        <v>1.1354219999999999</v>
      </c>
      <c r="L4223">
        <v>29.32349</v>
      </c>
      <c r="M4223">
        <v>0.48706680000000002</v>
      </c>
      <c r="N4223">
        <v>-1.282822E-2</v>
      </c>
      <c r="O4223">
        <v>-0.87327060000000001</v>
      </c>
      <c r="P4223">
        <v>0.77342599999999995</v>
      </c>
      <c r="Q4223">
        <v>0.11990480000000001</v>
      </c>
      <c r="R4223">
        <v>-0.62244290000000002</v>
      </c>
      <c r="S4223">
        <v>3.0592039999999998</v>
      </c>
      <c r="T4223">
        <v>-0.38082700000000003</v>
      </c>
      <c r="U4223">
        <v>-1.1214900000000001</v>
      </c>
      <c r="V4223">
        <v>-0.37689830000000002</v>
      </c>
      <c r="W4223">
        <v>0.117802</v>
      </c>
      <c r="X4223">
        <v>0.91873300000000002</v>
      </c>
      <c r="Y4223">
        <v>-0.64539060000000004</v>
      </c>
      <c r="Z4223">
        <v>0.113455399999999</v>
      </c>
      <c r="AA4223">
        <v>0.75537989999999999</v>
      </c>
      <c r="AB4223">
        <v>32</v>
      </c>
      <c r="AC4223">
        <v>8.9598999999999993</v>
      </c>
      <c r="AD4223">
        <v>-1.135424606023</v>
      </c>
      <c r="AE4223">
        <v>-3.0746500000000001</v>
      </c>
      <c r="AF4223">
        <v>-6.2377601433992904</v>
      </c>
      <c r="AG4223">
        <v>-1.135424606023</v>
      </c>
      <c r="AH4223">
        <v>6.9498036158343997</v>
      </c>
      <c r="AI4223">
        <v>96.932227449494803</v>
      </c>
      <c r="AJ4223">
        <v>131.90939809335001</v>
      </c>
      <c r="AK4223">
        <v>9.4073700331818593</v>
      </c>
      <c r="AL4223">
        <v>83.234733211441494</v>
      </c>
      <c r="AM4223">
        <v>112.305254755155</v>
      </c>
      <c r="AN4223">
        <v>0.99999998251794497</v>
      </c>
    </row>
    <row r="4224" spans="1:40" x14ac:dyDescent="0.25">
      <c r="A4224" t="str">
        <f>"20190303162638327"</f>
        <v>20190303162638327</v>
      </c>
      <c r="B4224" t="str">
        <f>"1551601598318359"</f>
        <v>1551601598318359</v>
      </c>
      <c r="C4224" t="s">
        <v>40</v>
      </c>
      <c r="D4224">
        <v>5.3733449999999996</v>
      </c>
      <c r="E4224">
        <v>0.36967870000000003</v>
      </c>
      <c r="F4224" t="s">
        <v>59</v>
      </c>
      <c r="G4224">
        <v>-409.33699999999999</v>
      </c>
      <c r="H4224" s="1">
        <v>-2.683138E-6</v>
      </c>
      <c r="I4224">
        <v>26.103439999999999</v>
      </c>
      <c r="J4224">
        <v>-418.3109</v>
      </c>
      <c r="K4224">
        <v>1.1354799999999901</v>
      </c>
      <c r="L4224">
        <v>29.048680000000001</v>
      </c>
      <c r="M4224">
        <v>0.50300319999999998</v>
      </c>
      <c r="N4224">
        <v>-1.285713E-2</v>
      </c>
      <c r="O4224">
        <v>-0.86418919999999999</v>
      </c>
      <c r="P4224">
        <v>0.78346210000000005</v>
      </c>
      <c r="Q4224">
        <v>0.1191588</v>
      </c>
      <c r="R4224">
        <v>-0.60990880000000003</v>
      </c>
      <c r="S4224">
        <v>3.0684200000000001</v>
      </c>
      <c r="T4224">
        <v>-0.38097639999999999</v>
      </c>
      <c r="U4224">
        <v>-1.080444</v>
      </c>
      <c r="V4224">
        <v>-0.37492740000000002</v>
      </c>
      <c r="W4224">
        <v>0.117105399999999</v>
      </c>
      <c r="X4224">
        <v>0.91962809999999995</v>
      </c>
      <c r="Y4224">
        <v>-0.64112650000000004</v>
      </c>
      <c r="Z4224">
        <v>0.1132928</v>
      </c>
      <c r="AA4224">
        <v>0.75902669999999905</v>
      </c>
      <c r="AB4224">
        <v>32</v>
      </c>
      <c r="AC4224">
        <v>8.9739000000000093</v>
      </c>
      <c r="AD4224">
        <v>-1.1354826831379901</v>
      </c>
      <c r="AE4224">
        <v>-2.9452399999999899</v>
      </c>
      <c r="AF4224">
        <v>-6.1848078023018198</v>
      </c>
      <c r="AG4224">
        <v>-1.1354826831379901</v>
      </c>
      <c r="AH4224">
        <v>6.9591434447930496</v>
      </c>
      <c r="AI4224">
        <v>96.953450451505105</v>
      </c>
      <c r="AJ4224">
        <v>131.62849138407501</v>
      </c>
      <c r="AK4224">
        <v>9.3792774753882693</v>
      </c>
      <c r="AL4224">
        <v>83.274923998990204</v>
      </c>
      <c r="AM4224">
        <v>112.18045636803799</v>
      </c>
      <c r="AN4224">
        <v>1.0000000361447601</v>
      </c>
    </row>
    <row r="4225" spans="1:40" x14ac:dyDescent="0.25">
      <c r="A4225" t="str">
        <f>"20190303162638347"</f>
        <v>20190303162638347</v>
      </c>
      <c r="B4225" t="str">
        <f>"1551601598337880"</f>
        <v>1551601598337880</v>
      </c>
      <c r="C4225" t="s">
        <v>40</v>
      </c>
      <c r="D4225">
        <v>5.3959210000000004</v>
      </c>
      <c r="E4225">
        <v>0.37064789999999997</v>
      </c>
      <c r="F4225" t="s">
        <v>59</v>
      </c>
      <c r="G4225">
        <v>-407.7543</v>
      </c>
      <c r="H4225" s="1">
        <v>-3.4336949999999999E-6</v>
      </c>
      <c r="I4225">
        <v>25.279859999999999</v>
      </c>
      <c r="J4225">
        <v>-418.14830000000001</v>
      </c>
      <c r="K4225">
        <v>1.1355309999999901</v>
      </c>
      <c r="L4225">
        <v>28.797059999999998</v>
      </c>
      <c r="M4225">
        <v>0.51762129999999995</v>
      </c>
      <c r="N4225">
        <v>-1.288126E-2</v>
      </c>
      <c r="O4225">
        <v>-0.85551299999999997</v>
      </c>
      <c r="P4225">
        <v>0.7922477</v>
      </c>
      <c r="Q4225">
        <v>0.1202466</v>
      </c>
      <c r="R4225">
        <v>-0.59823419999999905</v>
      </c>
      <c r="S4225">
        <v>3.0352480000000002</v>
      </c>
      <c r="T4225">
        <v>-0.32647609999999999</v>
      </c>
      <c r="U4225">
        <v>-1.083618</v>
      </c>
      <c r="V4225">
        <v>-0.37283280000000002</v>
      </c>
      <c r="W4225">
        <v>0.1182532</v>
      </c>
      <c r="X4225">
        <v>0.9203325</v>
      </c>
      <c r="Y4225">
        <v>-0.62659849999999995</v>
      </c>
      <c r="Z4225">
        <v>9.6130010000000002E-2</v>
      </c>
      <c r="AA4225">
        <v>0.77339080000000004</v>
      </c>
      <c r="AB4225">
        <v>32</v>
      </c>
      <c r="AC4225">
        <v>10.394</v>
      </c>
      <c r="AD4225">
        <v>-1.135534433695</v>
      </c>
      <c r="AE4225">
        <v>-3.5171999999999901</v>
      </c>
      <c r="AF4225">
        <v>-6.9972759442968497</v>
      </c>
      <c r="AG4225">
        <v>-1.135534433695</v>
      </c>
      <c r="AH4225">
        <v>8.3009654109885798</v>
      </c>
      <c r="AI4225">
        <v>95.971025795756205</v>
      </c>
      <c r="AJ4225">
        <v>130.129121794887</v>
      </c>
      <c r="AK4225">
        <v>10.9159212091866</v>
      </c>
      <c r="AL4225">
        <v>83.2086995969116</v>
      </c>
      <c r="AM4225">
        <v>112.053195954389</v>
      </c>
      <c r="AN4225">
        <v>1.00000001331116</v>
      </c>
    </row>
    <row r="4226" spans="1:40" x14ac:dyDescent="0.25">
      <c r="A4226" t="str">
        <f>"20190303162638370"</f>
        <v>20190303162638370</v>
      </c>
      <c r="B4226" t="str">
        <f>"1551601598358376"</f>
        <v>1551601598358376</v>
      </c>
      <c r="C4226" t="s">
        <v>40</v>
      </c>
      <c r="D4226">
        <v>5.4050459999999996</v>
      </c>
      <c r="E4226">
        <v>0.37196760000000001</v>
      </c>
      <c r="F4226" t="s">
        <v>59</v>
      </c>
      <c r="G4226">
        <v>-407.28160000000003</v>
      </c>
      <c r="H4226" s="1">
        <v>-3.6352520000000001E-6</v>
      </c>
      <c r="I4226">
        <v>25.075980000000001</v>
      </c>
      <c r="J4226">
        <v>-417.96899999999999</v>
      </c>
      <c r="K4226">
        <v>1.135581</v>
      </c>
      <c r="L4226">
        <v>28.529879999999999</v>
      </c>
      <c r="M4226">
        <v>0.53317289999999995</v>
      </c>
      <c r="N4226">
        <v>-1.2904550000000001E-2</v>
      </c>
      <c r="O4226">
        <v>-0.84590789999999905</v>
      </c>
      <c r="P4226">
        <v>0.80110389999999998</v>
      </c>
      <c r="Q4226">
        <v>0.1201961</v>
      </c>
      <c r="R4226">
        <v>-0.58633230000000003</v>
      </c>
      <c r="S4226">
        <v>3.0471189999999999</v>
      </c>
      <c r="T4226">
        <v>-0.318415</v>
      </c>
      <c r="U4226">
        <v>-1.0434270000000001</v>
      </c>
      <c r="V4226">
        <v>-0.36977450000000001</v>
      </c>
      <c r="W4226">
        <v>0.1183053</v>
      </c>
      <c r="X4226">
        <v>0.92155889999999996</v>
      </c>
      <c r="Y4226">
        <v>-0.62272079999999996</v>
      </c>
      <c r="Z4226">
        <v>9.3235059999999995E-2</v>
      </c>
      <c r="AA4226">
        <v>0.77686940000000004</v>
      </c>
      <c r="AB4226">
        <v>32</v>
      </c>
      <c r="AC4226">
        <v>10.687399999999901</v>
      </c>
      <c r="AD4226">
        <v>-1.135584635252</v>
      </c>
      <c r="AE4226">
        <v>-3.4539</v>
      </c>
      <c r="AF4226">
        <v>-7.1267769349008203</v>
      </c>
      <c r="AG4226">
        <v>-1.135584635252</v>
      </c>
      <c r="AH4226">
        <v>8.5333993360689497</v>
      </c>
      <c r="AI4226">
        <v>95.831927650432206</v>
      </c>
      <c r="AJ4226">
        <v>129.86737390792101</v>
      </c>
      <c r="AK4226">
        <v>11.175840289323901</v>
      </c>
      <c r="AL4226">
        <v>83.2056937406972</v>
      </c>
      <c r="AM4226">
        <v>111.863069990315</v>
      </c>
      <c r="AN4226">
        <v>1.00000006551377</v>
      </c>
    </row>
    <row r="4227" spans="1:40" x14ac:dyDescent="0.25">
      <c r="A4227" t="str">
        <f>"20190303162638393"</f>
        <v>20190303162638393</v>
      </c>
      <c r="B4227" t="str">
        <f>"1551601598387656"</f>
        <v>1551601598387656</v>
      </c>
      <c r="C4227" t="s">
        <v>40</v>
      </c>
      <c r="D4227">
        <v>5.3843160000000001</v>
      </c>
      <c r="E4227">
        <v>0.37409490000000001</v>
      </c>
      <c r="F4227" t="s">
        <v>59</v>
      </c>
      <c r="G4227">
        <v>-406.89440000000002</v>
      </c>
      <c r="H4227" s="1">
        <v>-3.797622E-6</v>
      </c>
      <c r="I4227">
        <v>24.893439999999998</v>
      </c>
      <c r="J4227">
        <v>-417.78379999999999</v>
      </c>
      <c r="K4227">
        <v>1.135623</v>
      </c>
      <c r="L4227">
        <v>28.264279999999999</v>
      </c>
      <c r="M4227">
        <v>0.54865209999999998</v>
      </c>
      <c r="N4227">
        <v>-1.2925559999999999E-2</v>
      </c>
      <c r="O4227">
        <v>-0.83595079999999999</v>
      </c>
      <c r="P4227">
        <v>0.80937499999999996</v>
      </c>
      <c r="Q4227">
        <v>0.1204098</v>
      </c>
      <c r="R4227">
        <v>-0.57481649999999995</v>
      </c>
      <c r="S4227">
        <v>3.057159</v>
      </c>
      <c r="T4227">
        <v>-0.31348029999999999</v>
      </c>
      <c r="U4227">
        <v>-1.0038450000000001</v>
      </c>
      <c r="V4227">
        <v>-0.3659808</v>
      </c>
      <c r="W4227">
        <v>0.1186557</v>
      </c>
      <c r="X4227">
        <v>0.92302700000000004</v>
      </c>
      <c r="Y4227">
        <v>-0.61835660000000003</v>
      </c>
      <c r="Z4227">
        <v>9.1321609999999998E-2</v>
      </c>
      <c r="AA4227">
        <v>0.78057379999999998</v>
      </c>
      <c r="AB4227">
        <v>32</v>
      </c>
      <c r="AC4227">
        <v>10.889399999999901</v>
      </c>
      <c r="AD4227">
        <v>-1.135626797622</v>
      </c>
      <c r="AE4227">
        <v>-3.3708399999999998</v>
      </c>
      <c r="AF4227">
        <v>-7.1829013558013299</v>
      </c>
      <c r="AG4227">
        <v>-1.135626797622</v>
      </c>
      <c r="AH4227">
        <v>8.7066711805317691</v>
      </c>
      <c r="AI4227">
        <v>95.745319429665898</v>
      </c>
      <c r="AJ4227">
        <v>129.52223043493299</v>
      </c>
      <c r="AK4227">
        <v>11.3441545809528</v>
      </c>
      <c r="AL4227">
        <v>83.185474314490094</v>
      </c>
      <c r="AM4227">
        <v>111.628357810902</v>
      </c>
      <c r="AN4227">
        <v>0.99999998192006401</v>
      </c>
    </row>
    <row r="4228" spans="1:40" x14ac:dyDescent="0.25">
      <c r="A4228" t="str">
        <f>"20190303162638415"</f>
        <v>20190303162638415</v>
      </c>
      <c r="B4228" t="str">
        <f>"1551601598408152"</f>
        <v>1551601598408152</v>
      </c>
      <c r="C4228" t="s">
        <v>40</v>
      </c>
      <c r="D4228">
        <v>5.4243769999999998</v>
      </c>
      <c r="E4228">
        <v>0.37558520000000001</v>
      </c>
      <c r="F4228" t="s">
        <v>59</v>
      </c>
      <c r="G4228">
        <v>-406.78300000000002</v>
      </c>
      <c r="H4228" s="1">
        <v>-3.8306040000000003E-6</v>
      </c>
      <c r="I4228">
        <v>24.76369</v>
      </c>
      <c r="J4228">
        <v>-417.59390000000002</v>
      </c>
      <c r="K4228">
        <v>1.13567</v>
      </c>
      <c r="L4228">
        <v>28.002230000000001</v>
      </c>
      <c r="M4228">
        <v>0.56394259999999996</v>
      </c>
      <c r="N4228">
        <v>-1.294447E-2</v>
      </c>
      <c r="O4228">
        <v>-0.82571249999999996</v>
      </c>
      <c r="P4228">
        <v>0.81736839999999999</v>
      </c>
      <c r="Q4228">
        <v>0.1212056</v>
      </c>
      <c r="R4228">
        <v>-0.56322119999999998</v>
      </c>
      <c r="S4228">
        <v>3.0616150000000002</v>
      </c>
      <c r="T4228">
        <v>-0.31605409999999901</v>
      </c>
      <c r="U4228">
        <v>-0.97424319999999998</v>
      </c>
      <c r="V4228">
        <v>-0.36209150000000001</v>
      </c>
      <c r="W4228">
        <v>0.11959549999999999</v>
      </c>
      <c r="X4228">
        <v>0.92443850000000005</v>
      </c>
      <c r="Y4228">
        <v>-0.61102339999999999</v>
      </c>
      <c r="Z4228">
        <v>9.1668399999999997E-2</v>
      </c>
      <c r="AA4228">
        <v>0.78628710000000002</v>
      </c>
      <c r="AB4228">
        <v>32</v>
      </c>
      <c r="AC4228">
        <v>10.8109</v>
      </c>
      <c r="AD4228">
        <v>-1.135673830604</v>
      </c>
      <c r="AE4228">
        <v>-3.2385399999999902</v>
      </c>
      <c r="AF4228">
        <v>-7.0297525716824003</v>
      </c>
      <c r="AG4228">
        <v>-1.135673830604</v>
      </c>
      <c r="AH4228">
        <v>8.6836299270366002</v>
      </c>
      <c r="AI4228">
        <v>95.804169008919203</v>
      </c>
      <c r="AJ4228">
        <v>128.99158154441801</v>
      </c>
      <c r="AK4228">
        <v>11.229986864565699</v>
      </c>
      <c r="AL4228">
        <v>83.131241261526</v>
      </c>
      <c r="AM4228">
        <v>111.389684325811</v>
      </c>
      <c r="AN4228">
        <v>0.99999993913737295</v>
      </c>
    </row>
    <row r="4229" spans="1:40" x14ac:dyDescent="0.25">
      <c r="A4229" t="str">
        <f>"20190303162638437"</f>
        <v>20190303162638437</v>
      </c>
      <c r="B4229" t="str">
        <f>"1551601598427672"</f>
        <v>1551601598427672</v>
      </c>
      <c r="C4229" t="s">
        <v>40</v>
      </c>
      <c r="D4229">
        <v>5.4425879999999998</v>
      </c>
      <c r="E4229">
        <v>0.37641970000000002</v>
      </c>
      <c r="F4229" t="s">
        <v>42</v>
      </c>
      <c r="G4229">
        <v>-416.70339999999999</v>
      </c>
      <c r="H4229">
        <v>1.0440659999999999</v>
      </c>
      <c r="I4229">
        <v>27.728829999999999</v>
      </c>
      <c r="J4229">
        <v>-417.40879999999999</v>
      </c>
      <c r="K4229">
        <v>1.1357079999999999</v>
      </c>
      <c r="L4229">
        <v>27.7562</v>
      </c>
      <c r="M4229">
        <v>0.57831319999999997</v>
      </c>
      <c r="N4229">
        <v>-1.2960370000000001E-2</v>
      </c>
      <c r="O4229">
        <v>-0.81571190000000005</v>
      </c>
      <c r="P4229">
        <v>0.82475270000000001</v>
      </c>
      <c r="Q4229">
        <v>0.12253360000000001</v>
      </c>
      <c r="R4229">
        <v>-0.5520583</v>
      </c>
      <c r="S4229">
        <v>3.068451</v>
      </c>
      <c r="T4229">
        <v>-0.31556689999999998</v>
      </c>
      <c r="U4229">
        <v>-0.94140630000000003</v>
      </c>
      <c r="V4229">
        <v>-0.35836760000000001</v>
      </c>
      <c r="W4229">
        <v>0.1210629</v>
      </c>
      <c r="X4229">
        <v>0.92569780000000002</v>
      </c>
      <c r="Y4229">
        <v>-0.60540309999999997</v>
      </c>
      <c r="Z4229">
        <v>9.1049850000000002E-2</v>
      </c>
      <c r="AA4229">
        <v>0.79069409999999996</v>
      </c>
      <c r="AB4229">
        <v>32</v>
      </c>
      <c r="AC4229">
        <v>0.70539999999999703</v>
      </c>
      <c r="AD4229">
        <v>-9.1642000000000001E-2</v>
      </c>
      <c r="AE4229">
        <v>-2.7370000000001199E-2</v>
      </c>
      <c r="AF4229">
        <v>-0.55034700081531696</v>
      </c>
      <c r="AG4229">
        <v>-9.1642000000000001E-2</v>
      </c>
      <c r="AH4229">
        <v>0.42317277198549502</v>
      </c>
      <c r="AI4229">
        <v>97.5198523038205</v>
      </c>
      <c r="AJ4229">
        <v>142.44259904403901</v>
      </c>
      <c r="AK4229">
        <v>0.70025372003317699</v>
      </c>
      <c r="AL4229">
        <v>83.046550412357604</v>
      </c>
      <c r="AM4229">
        <v>111.163034408771</v>
      </c>
      <c r="AN4229">
        <v>0.99999998970550497</v>
      </c>
    </row>
    <row r="4230" spans="1:40" x14ac:dyDescent="0.25">
      <c r="A4230" t="str">
        <f>"20190303162638461"</f>
        <v>20190303162638461</v>
      </c>
      <c r="B4230" t="str">
        <f>"1551601598457929"</f>
        <v>1551601598457929</v>
      </c>
      <c r="C4230" t="s">
        <v>40</v>
      </c>
      <c r="D4230">
        <v>5.4317219999999997</v>
      </c>
      <c r="E4230">
        <v>0.38580419999999999</v>
      </c>
      <c r="F4230" t="s">
        <v>42</v>
      </c>
      <c r="G4230">
        <v>-416.54259999999999</v>
      </c>
      <c r="H4230">
        <v>1.0474810000000001</v>
      </c>
      <c r="I4230">
        <v>27.50103</v>
      </c>
      <c r="J4230">
        <v>-417.20499999999998</v>
      </c>
      <c r="K4230">
        <v>1.1357349999999999</v>
      </c>
      <c r="L4230">
        <v>27.49588</v>
      </c>
      <c r="M4230">
        <v>0.59354189999999996</v>
      </c>
      <c r="N4230">
        <v>-1.297512E-2</v>
      </c>
      <c r="O4230">
        <v>-0.80469869999999899</v>
      </c>
      <c r="P4230">
        <v>0.83347610000000005</v>
      </c>
      <c r="Q4230">
        <v>0.1226574</v>
      </c>
      <c r="R4230">
        <v>-0.53877039999999998</v>
      </c>
      <c r="S4230">
        <v>3.0772400000000002</v>
      </c>
      <c r="T4230">
        <v>-0.3134267</v>
      </c>
      <c r="U4230">
        <v>-0.90652469999999996</v>
      </c>
      <c r="V4230">
        <v>-0.3558019</v>
      </c>
      <c r="W4230">
        <v>0.12128070000000001</v>
      </c>
      <c r="X4230">
        <v>0.9266586</v>
      </c>
      <c r="Y4230">
        <v>-0.59942850000000003</v>
      </c>
      <c r="Z4230">
        <v>8.9789960000000002E-2</v>
      </c>
      <c r="AA4230">
        <v>0.79537619999999998</v>
      </c>
      <c r="AB4230">
        <v>32</v>
      </c>
      <c r="AC4230">
        <v>0.662399999999991</v>
      </c>
      <c r="AD4230">
        <v>-8.8253999999999999E-2</v>
      </c>
      <c r="AE4230">
        <v>5.1500000000004303E-3</v>
      </c>
      <c r="AF4230">
        <v>-0.52678371374128596</v>
      </c>
      <c r="AG4230">
        <v>-8.8253999999999999E-2</v>
      </c>
      <c r="AH4230">
        <v>0.38226537510311298</v>
      </c>
      <c r="AI4230">
        <v>97.721898637351003</v>
      </c>
      <c r="AJ4230">
        <v>144.03314443820801</v>
      </c>
      <c r="AK4230">
        <v>0.65682316233655003</v>
      </c>
      <c r="AL4230">
        <v>83.033979394097003</v>
      </c>
      <c r="AM4230">
        <v>111.00490330719499</v>
      </c>
      <c r="AN4230">
        <v>1.00000008059502</v>
      </c>
    </row>
    <row r="4231" spans="1:40" x14ac:dyDescent="0.25">
      <c r="A4231" t="str">
        <f>"20190303162638483"</f>
        <v>20190303162638483</v>
      </c>
      <c r="B4231" t="str">
        <f>"1551601598478423"</f>
        <v>1551601598478423</v>
      </c>
      <c r="C4231" t="s">
        <v>40</v>
      </c>
      <c r="D4231">
        <v>5.4658170000000004</v>
      </c>
      <c r="E4231">
        <v>0.38707989999999998</v>
      </c>
      <c r="F4231" t="s">
        <v>59</v>
      </c>
      <c r="G4231">
        <v>-406.84030000000001</v>
      </c>
      <c r="H4231" s="1">
        <v>-3.7312450000000001E-6</v>
      </c>
      <c r="I4231">
        <v>24.36758</v>
      </c>
      <c r="J4231">
        <v>-417.00510000000003</v>
      </c>
      <c r="K4231">
        <v>1.1357440000000001</v>
      </c>
      <c r="L4231">
        <v>27.249849999999999</v>
      </c>
      <c r="M4231">
        <v>0.60793909999999995</v>
      </c>
      <c r="N4231">
        <v>-1.2986920000000001E-2</v>
      </c>
      <c r="O4231">
        <v>-0.79387750000000001</v>
      </c>
      <c r="P4231">
        <v>0.84247309999999997</v>
      </c>
      <c r="Q4231">
        <v>0.1218769</v>
      </c>
      <c r="R4231">
        <v>-0.52477109999999905</v>
      </c>
      <c r="S4231">
        <v>3.0529480000000002</v>
      </c>
      <c r="T4231">
        <v>-0.33453369999999999</v>
      </c>
      <c r="U4231">
        <v>-0.92144780000000004</v>
      </c>
      <c r="V4231">
        <v>-0.35465849999999999</v>
      </c>
      <c r="W4231">
        <v>0.12053750000000001</v>
      </c>
      <c r="X4231">
        <v>0.92719359999999995</v>
      </c>
      <c r="Y4231">
        <v>-0.57892929999999998</v>
      </c>
      <c r="Z4231">
        <v>9.5504049999999993E-2</v>
      </c>
      <c r="AA4231">
        <v>0.80976530000000002</v>
      </c>
      <c r="AB4231">
        <v>32</v>
      </c>
      <c r="AC4231">
        <v>10.1648</v>
      </c>
      <c r="AD4231">
        <v>-1.1357477312449999</v>
      </c>
      <c r="AE4231">
        <v>-2.8822699999999899</v>
      </c>
      <c r="AF4231">
        <v>-6.2457228401027596</v>
      </c>
      <c r="AG4231">
        <v>-1.1357477312449999</v>
      </c>
      <c r="AH4231">
        <v>8.3717248460212303</v>
      </c>
      <c r="AI4231">
        <v>96.2058239459395</v>
      </c>
      <c r="AJ4231">
        <v>126.724768170592</v>
      </c>
      <c r="AK4231">
        <v>10.50641487863</v>
      </c>
      <c r="AL4231">
        <v>83.076875459361901</v>
      </c>
      <c r="AM4231">
        <v>110.93222709129699</v>
      </c>
      <c r="AN4231">
        <v>0.99999995620472903</v>
      </c>
    </row>
    <row r="4232" spans="1:40" x14ac:dyDescent="0.25">
      <c r="A4232" t="str">
        <f>"20190303162638505"</f>
        <v>20190303162638505</v>
      </c>
      <c r="B4232" t="str">
        <f>"1551601598497944"</f>
        <v>1551601598497944</v>
      </c>
      <c r="C4232" t="s">
        <v>40</v>
      </c>
      <c r="D4232">
        <v>5.5036829999999997</v>
      </c>
      <c r="E4232">
        <v>0.38783469999999998</v>
      </c>
      <c r="F4232" t="s">
        <v>59</v>
      </c>
      <c r="G4232">
        <v>-406.7679</v>
      </c>
      <c r="H4232" s="1">
        <v>-3.758174E-6</v>
      </c>
      <c r="I4232">
        <v>24.314060000000001</v>
      </c>
      <c r="J4232">
        <v>-416.79829999999998</v>
      </c>
      <c r="K4232">
        <v>1.1357489999999999</v>
      </c>
      <c r="L4232">
        <v>27.004429999999999</v>
      </c>
      <c r="M4232">
        <v>0.62230430000000003</v>
      </c>
      <c r="N4232">
        <v>-1.299661E-2</v>
      </c>
      <c r="O4232">
        <v>-0.78266780000000002</v>
      </c>
      <c r="P4232">
        <v>0.85114559999999995</v>
      </c>
      <c r="Q4232">
        <v>0.1210503</v>
      </c>
      <c r="R4232">
        <v>-0.51078239999999997</v>
      </c>
      <c r="S4232">
        <v>3.0629879999999998</v>
      </c>
      <c r="T4232">
        <v>-0.33981609999999901</v>
      </c>
      <c r="U4232">
        <v>-0.87838749999999999</v>
      </c>
      <c r="V4232">
        <v>-0.35314600000000002</v>
      </c>
      <c r="W4232">
        <v>0.119766899999999</v>
      </c>
      <c r="X4232">
        <v>0.92787059999999999</v>
      </c>
      <c r="Y4232">
        <v>-0.5751714</v>
      </c>
      <c r="Z4232">
        <v>9.6519030000000006E-2</v>
      </c>
      <c r="AA4232">
        <v>0.81231889999999995</v>
      </c>
      <c r="AB4232">
        <v>32</v>
      </c>
      <c r="AC4232">
        <v>10.030399999999901</v>
      </c>
      <c r="AD4232">
        <v>-1.1357527581739999</v>
      </c>
      <c r="AE4232">
        <v>-2.6903699999999899</v>
      </c>
      <c r="AF4232">
        <v>-6.1037569238653999</v>
      </c>
      <c r="AG4232">
        <v>-1.1357527581739999</v>
      </c>
      <c r="AH4232">
        <v>8.2496579469309701</v>
      </c>
      <c r="AI4232">
        <v>96.315419771256799</v>
      </c>
      <c r="AJ4232">
        <v>126.496998193688</v>
      </c>
      <c r="AK4232">
        <v>10.324855405994599</v>
      </c>
      <c r="AL4232">
        <v>83.121350288326596</v>
      </c>
      <c r="AM4232">
        <v>110.836741135594</v>
      </c>
      <c r="AN4232">
        <v>1.00000002899798</v>
      </c>
    </row>
    <row r="4233" spans="1:40" x14ac:dyDescent="0.25">
      <c r="A4233" t="str">
        <f>"20190303162638527"</f>
        <v>20190303162638527</v>
      </c>
      <c r="B4233" t="str">
        <f>"1551601598518441"</f>
        <v>1551601598518441</v>
      </c>
      <c r="C4233" t="s">
        <v>40</v>
      </c>
      <c r="D4233">
        <v>5.4826319999999997</v>
      </c>
      <c r="E4233">
        <v>0.38880189999999998</v>
      </c>
      <c r="F4233" t="s">
        <v>59</v>
      </c>
      <c r="G4233">
        <v>-406.49799999999999</v>
      </c>
      <c r="H4233" s="1">
        <v>-3.8759270000000001E-6</v>
      </c>
      <c r="I4233">
        <v>24.21285</v>
      </c>
      <c r="J4233">
        <v>-416.59679999999997</v>
      </c>
      <c r="K4233">
        <v>1.135759</v>
      </c>
      <c r="L4233">
        <v>26.77365</v>
      </c>
      <c r="M4233">
        <v>0.6358047</v>
      </c>
      <c r="N4233">
        <v>-1.3003829999999999E-2</v>
      </c>
      <c r="O4233">
        <v>-0.7717406</v>
      </c>
      <c r="P4233">
        <v>0.85958449999999997</v>
      </c>
      <c r="Q4233">
        <v>0.1194422</v>
      </c>
      <c r="R4233">
        <v>-0.49683820000000001</v>
      </c>
      <c r="S4233">
        <v>3.073029</v>
      </c>
      <c r="T4233">
        <v>-0.3388467</v>
      </c>
      <c r="U4233">
        <v>-0.83285520000000002</v>
      </c>
      <c r="V4233">
        <v>-0.35227219999999998</v>
      </c>
      <c r="W4233">
        <v>0.1181912</v>
      </c>
      <c r="X4233">
        <v>0.92840460000000002</v>
      </c>
      <c r="Y4233">
        <v>-0.57293629999999995</v>
      </c>
      <c r="Z4233">
        <v>9.5686300000000002E-2</v>
      </c>
      <c r="AA4233">
        <v>0.81399519999999903</v>
      </c>
      <c r="AB4233">
        <v>32</v>
      </c>
      <c r="AC4233">
        <v>10.098799999999899</v>
      </c>
      <c r="AD4233">
        <v>-1.135762875927</v>
      </c>
      <c r="AE4233">
        <v>-2.5608</v>
      </c>
      <c r="AF4233">
        <v>-6.0935881114433501</v>
      </c>
      <c r="AG4233">
        <v>-1.135762875927</v>
      </c>
      <c r="AH4233">
        <v>8.2992168200491392</v>
      </c>
      <c r="AI4233">
        <v>96.294873017578098</v>
      </c>
      <c r="AJ4233">
        <v>126.28747506760701</v>
      </c>
      <c r="AK4233">
        <v>10.358512113640799</v>
      </c>
      <c r="AL4233">
        <v>83.212276809393799</v>
      </c>
      <c r="AM4233">
        <v>110.778660168329</v>
      </c>
      <c r="AN4233">
        <v>0.99999998197571904</v>
      </c>
    </row>
    <row r="4234" spans="1:40" x14ac:dyDescent="0.25">
      <c r="A4234" t="str">
        <f>"20190303162638549"</f>
        <v>20190303162638549</v>
      </c>
      <c r="B4234" t="str">
        <f>"1551601598537960"</f>
        <v>1551601598537960</v>
      </c>
      <c r="C4234" t="s">
        <v>40</v>
      </c>
      <c r="D4234">
        <v>5.5352639999999997</v>
      </c>
      <c r="E4234">
        <v>0.38903680000000002</v>
      </c>
      <c r="F4234" t="s">
        <v>42</v>
      </c>
      <c r="G4234">
        <v>-415.58800000000002</v>
      </c>
      <c r="H4234">
        <v>1.0227409999999999</v>
      </c>
      <c r="I4234">
        <v>26.515260000000001</v>
      </c>
      <c r="J4234">
        <v>-416.38170000000002</v>
      </c>
      <c r="K4234">
        <v>1.135761</v>
      </c>
      <c r="L4234">
        <v>26.535830000000001</v>
      </c>
      <c r="M4234">
        <v>0.64970749999999999</v>
      </c>
      <c r="N4234">
        <v>-1.300896E-2</v>
      </c>
      <c r="O4234">
        <v>-0.760073</v>
      </c>
      <c r="P4234">
        <v>0.8677279</v>
      </c>
      <c r="Q4234">
        <v>0.1182932</v>
      </c>
      <c r="R4234">
        <v>-0.48275770000000001</v>
      </c>
      <c r="S4234">
        <v>3.0819399999999999</v>
      </c>
      <c r="T4234">
        <v>-0.3452404</v>
      </c>
      <c r="U4234">
        <v>-0.78912349999999998</v>
      </c>
      <c r="V4234">
        <v>-0.35063359999999999</v>
      </c>
      <c r="W4234">
        <v>0.1171106</v>
      </c>
      <c r="X4234">
        <v>0.92916149999999997</v>
      </c>
      <c r="Y4234">
        <v>-0.56930550000000002</v>
      </c>
      <c r="Z4234">
        <v>9.6933510000000001E-2</v>
      </c>
      <c r="AA4234">
        <v>0.8163916</v>
      </c>
      <c r="AB4234">
        <v>33</v>
      </c>
      <c r="AC4234">
        <v>0.79370000000000096</v>
      </c>
      <c r="AD4234">
        <v>-0.11302</v>
      </c>
      <c r="AE4234">
        <v>-2.0569999999999301E-2</v>
      </c>
      <c r="AF4234">
        <v>-0.57823845572278398</v>
      </c>
      <c r="AG4234">
        <v>-0.11302</v>
      </c>
      <c r="AH4234">
        <v>0.52079947796741599</v>
      </c>
      <c r="AI4234">
        <v>98.263461785897604</v>
      </c>
      <c r="AJ4234">
        <v>137.99172524487199</v>
      </c>
      <c r="AK4234">
        <v>0.78636208474709901</v>
      </c>
      <c r="AL4234">
        <v>83.274623438855997</v>
      </c>
      <c r="AM4234">
        <v>110.674782030537</v>
      </c>
      <c r="AN4234">
        <v>0.99999995358178295</v>
      </c>
    </row>
    <row r="4235" spans="1:40" x14ac:dyDescent="0.25">
      <c r="A4235" t="str">
        <f>"20190303162638573"</f>
        <v>20190303162638573</v>
      </c>
      <c r="B4235" t="str">
        <f>"1551601598568217"</f>
        <v>1551601598568217</v>
      </c>
      <c r="C4235" t="s">
        <v>40</v>
      </c>
      <c r="D4235">
        <v>5.5385839999999904</v>
      </c>
      <c r="E4235">
        <v>0.39087549999999999</v>
      </c>
      <c r="F4235" t="s">
        <v>42</v>
      </c>
      <c r="G4235">
        <v>-415.40660000000003</v>
      </c>
      <c r="H4235">
        <v>1.025792</v>
      </c>
      <c r="I4235">
        <v>26.30256</v>
      </c>
      <c r="J4235">
        <v>-416.15679999999998</v>
      </c>
      <c r="K4235">
        <v>1.1357520000000001</v>
      </c>
      <c r="L4235">
        <v>26.295809999999999</v>
      </c>
      <c r="M4235">
        <v>0.66371519999999995</v>
      </c>
      <c r="N4235">
        <v>-1.301099E-2</v>
      </c>
      <c r="O4235">
        <v>-0.74787250000000005</v>
      </c>
      <c r="P4235">
        <v>0.87664540000000002</v>
      </c>
      <c r="Q4235">
        <v>0.117338</v>
      </c>
      <c r="R4235">
        <v>-0.46661049999999998</v>
      </c>
      <c r="S4235">
        <v>3.0932309999999998</v>
      </c>
      <c r="T4235">
        <v>-0.34880699999999998</v>
      </c>
      <c r="U4235">
        <v>-0.73986819999999998</v>
      </c>
      <c r="V4235">
        <v>-0.35063509999999998</v>
      </c>
      <c r="W4235">
        <v>0.1161568</v>
      </c>
      <c r="X4235">
        <v>0.92928069999999896</v>
      </c>
      <c r="Y4235">
        <v>-0.5669573</v>
      </c>
      <c r="Z4235">
        <v>9.7270019999999999E-2</v>
      </c>
      <c r="AA4235">
        <v>0.81798409999999999</v>
      </c>
      <c r="AB4235">
        <v>33</v>
      </c>
      <c r="AC4235">
        <v>0.75019999999994902</v>
      </c>
      <c r="AD4235">
        <v>-0.10996</v>
      </c>
      <c r="AE4235">
        <v>6.7500000000002497E-3</v>
      </c>
      <c r="AF4235">
        <v>-0.55368731946195404</v>
      </c>
      <c r="AG4235">
        <v>-0.10996</v>
      </c>
      <c r="AH4235">
        <v>0.48254642830101802</v>
      </c>
      <c r="AI4235">
        <v>98.514903369451403</v>
      </c>
      <c r="AJ4235">
        <v>138.92738316334101</v>
      </c>
      <c r="AK4235">
        <v>0.74263847516744896</v>
      </c>
      <c r="AL4235">
        <v>83.329647992752996</v>
      </c>
      <c r="AM4235">
        <v>110.672435254044</v>
      </c>
      <c r="AN4235">
        <v>0.99999999746536905</v>
      </c>
    </row>
    <row r="4236" spans="1:40" x14ac:dyDescent="0.25">
      <c r="A4236" t="str">
        <f>"20190303162638595"</f>
        <v>20190303162638595</v>
      </c>
      <c r="B4236" t="str">
        <f>"1551601598588712"</f>
        <v>1551601598588712</v>
      </c>
      <c r="C4236" t="s">
        <v>40</v>
      </c>
      <c r="D4236">
        <v>5.7012910000000003</v>
      </c>
      <c r="E4236">
        <v>0.40181289999999997</v>
      </c>
      <c r="F4236" t="s">
        <v>42</v>
      </c>
      <c r="G4236">
        <v>-415.22579999999999</v>
      </c>
      <c r="H4236">
        <v>1.029806</v>
      </c>
      <c r="I4236">
        <v>26.086490000000001</v>
      </c>
      <c r="J4236">
        <v>-415.93520000000001</v>
      </c>
      <c r="K4236">
        <v>1.13574</v>
      </c>
      <c r="L4236">
        <v>26.06784</v>
      </c>
      <c r="M4236">
        <v>0.67699589999999998</v>
      </c>
      <c r="N4236">
        <v>-1.3009720000000001E-2</v>
      </c>
      <c r="O4236">
        <v>-0.73587199999999997</v>
      </c>
      <c r="P4236">
        <v>0.88489340000000005</v>
      </c>
      <c r="Q4236">
        <v>0.11636680000000001</v>
      </c>
      <c r="R4236">
        <v>-0.45102419999999999</v>
      </c>
      <c r="S4236">
        <v>3.098633</v>
      </c>
      <c r="T4236">
        <v>-0.35258440000000002</v>
      </c>
      <c r="U4236">
        <v>-0.69644169999999905</v>
      </c>
      <c r="V4236">
        <v>-0.35050039999999999</v>
      </c>
      <c r="W4236">
        <v>0.1151972</v>
      </c>
      <c r="X4236">
        <v>0.92945100000000003</v>
      </c>
      <c r="Y4236">
        <v>-0.56335159999999995</v>
      </c>
      <c r="Z4236">
        <v>9.7686789999999996E-2</v>
      </c>
      <c r="AA4236">
        <v>0.82042199999999998</v>
      </c>
      <c r="AB4236">
        <v>33</v>
      </c>
      <c r="AC4236">
        <v>0.70940000000001602</v>
      </c>
      <c r="AD4236">
        <v>-0.105933999999999</v>
      </c>
      <c r="AE4236">
        <v>1.8649999999997301E-2</v>
      </c>
      <c r="AF4236">
        <v>-0.52304337247500499</v>
      </c>
      <c r="AG4236">
        <v>-0.105933999999999</v>
      </c>
      <c r="AH4236">
        <v>0.45640585967731401</v>
      </c>
      <c r="AI4236">
        <v>98.6766187434052</v>
      </c>
      <c r="AJ4236">
        <v>138.89216036657299</v>
      </c>
      <c r="AK4236">
        <v>0.70221271036190602</v>
      </c>
      <c r="AL4236">
        <v>83.385000918614793</v>
      </c>
      <c r="AM4236">
        <v>110.66169831901399</v>
      </c>
      <c r="AN4236">
        <v>1.00000004334449</v>
      </c>
    </row>
    <row r="4237" spans="1:40" x14ac:dyDescent="0.25">
      <c r="A4237" t="str">
        <f>"20190303162638617"</f>
        <v>20190303162638617</v>
      </c>
      <c r="B4237" t="str">
        <f>"1551601598608234"</f>
        <v>1551601598608234</v>
      </c>
      <c r="C4237" t="s">
        <v>40</v>
      </c>
      <c r="D4237">
        <v>5.6689689999999997</v>
      </c>
      <c r="E4237">
        <v>0.4377373</v>
      </c>
      <c r="F4237" t="s">
        <v>42</v>
      </c>
      <c r="G4237">
        <v>-415.04930000000002</v>
      </c>
      <c r="H4237">
        <v>1.0459860000000001</v>
      </c>
      <c r="I4237">
        <v>25.86103</v>
      </c>
      <c r="J4237">
        <v>-415.70499999999998</v>
      </c>
      <c r="K4237">
        <v>1.1357170000000001</v>
      </c>
      <c r="L4237">
        <v>25.83905</v>
      </c>
      <c r="M4237">
        <v>0.69028999999999996</v>
      </c>
      <c r="N4237">
        <v>-1.300567E-2</v>
      </c>
      <c r="O4237">
        <v>-0.72341610000000001</v>
      </c>
      <c r="P4237">
        <v>0.89220279999999996</v>
      </c>
      <c r="Q4237">
        <v>0.1161457</v>
      </c>
      <c r="R4237">
        <v>-0.43644559999999999</v>
      </c>
      <c r="S4237">
        <v>3.0661930000000002</v>
      </c>
      <c r="T4237">
        <v>-0.31065419999999999</v>
      </c>
      <c r="U4237">
        <v>-0.71591190000000005</v>
      </c>
      <c r="V4237">
        <v>-0.34882210000000002</v>
      </c>
      <c r="W4237">
        <v>0.11505749999999999</v>
      </c>
      <c r="X4237">
        <v>0.93009940000000002</v>
      </c>
      <c r="Y4237">
        <v>-0.54282330000000001</v>
      </c>
      <c r="Z4237">
        <v>8.4478360000000002E-2</v>
      </c>
      <c r="AA4237">
        <v>0.83558739999999998</v>
      </c>
      <c r="AB4237">
        <v>33</v>
      </c>
      <c r="AC4237">
        <v>0.65569999999996698</v>
      </c>
      <c r="AD4237">
        <v>-8.9730999999999894E-2</v>
      </c>
      <c r="AE4237">
        <v>2.1979999999999202E-2</v>
      </c>
      <c r="AF4237">
        <v>-0.48056821379435799</v>
      </c>
      <c r="AG4237">
        <v>-8.9730999999999894E-2</v>
      </c>
      <c r="AH4237">
        <v>0.42873923809598802</v>
      </c>
      <c r="AI4237">
        <v>97.931916903992999</v>
      </c>
      <c r="AJ4237">
        <v>138.262232094719</v>
      </c>
      <c r="AK4237">
        <v>0.65024210472225497</v>
      </c>
      <c r="AL4237">
        <v>83.393058361836907</v>
      </c>
      <c r="AM4237">
        <v>110.557925991628</v>
      </c>
      <c r="AN4237">
        <v>0.99999998981751004</v>
      </c>
    </row>
    <row r="4238" spans="1:40" x14ac:dyDescent="0.25">
      <c r="A4238" t="str">
        <f>"20190303162638638"</f>
        <v>20190303162638638</v>
      </c>
      <c r="B4238" t="str">
        <f>"1551601598627753"</f>
        <v>1551601598627753</v>
      </c>
      <c r="C4238" t="s">
        <v>40</v>
      </c>
      <c r="D4238">
        <v>5.5918859999999997</v>
      </c>
      <c r="E4238">
        <v>0.44269360000000002</v>
      </c>
      <c r="F4238" t="s">
        <v>42</v>
      </c>
      <c r="G4238">
        <v>-414.85539999999997</v>
      </c>
      <c r="H4238">
        <v>1.0517430000000001</v>
      </c>
      <c r="I4238">
        <v>25.574100000000001</v>
      </c>
      <c r="J4238">
        <v>-415.49740000000003</v>
      </c>
      <c r="K4238">
        <v>1.135705</v>
      </c>
      <c r="L4238">
        <v>25.64001</v>
      </c>
      <c r="M4238">
        <v>0.70183600000000002</v>
      </c>
      <c r="N4238">
        <v>-1.3000009999999999E-2</v>
      </c>
      <c r="O4238">
        <v>-0.71221979999999996</v>
      </c>
      <c r="P4238">
        <v>0.89722930000000001</v>
      </c>
      <c r="Q4238">
        <v>0.1178288</v>
      </c>
      <c r="R4238">
        <v>-0.42555340000000003</v>
      </c>
      <c r="S4238">
        <v>2.9505620000000001</v>
      </c>
      <c r="T4238">
        <v>-0.29160629999999998</v>
      </c>
      <c r="U4238">
        <v>-0.91955569999999998</v>
      </c>
      <c r="V4238">
        <v>-0.34507969999999999</v>
      </c>
      <c r="W4238">
        <v>0.1169089</v>
      </c>
      <c r="X4238">
        <v>0.93126379999999997</v>
      </c>
      <c r="Y4238">
        <v>-0.46725840000000002</v>
      </c>
      <c r="Z4238">
        <v>7.6424489999999998E-2</v>
      </c>
      <c r="AA4238">
        <v>0.88081149999999997</v>
      </c>
      <c r="AB4238">
        <v>33</v>
      </c>
      <c r="AC4238">
        <v>0.64200000000005197</v>
      </c>
      <c r="AD4238">
        <v>-8.3961999999999801E-2</v>
      </c>
      <c r="AE4238">
        <v>-6.5909999999998803E-2</v>
      </c>
      <c r="AF4238">
        <v>-0.40418089913987199</v>
      </c>
      <c r="AG4238">
        <v>-8.3961999999999801E-2</v>
      </c>
      <c r="AH4238">
        <v>0.48928186022084402</v>
      </c>
      <c r="AI4238">
        <v>97.536469820787701</v>
      </c>
      <c r="AJ4238">
        <v>129.55907886681101</v>
      </c>
      <c r="AK4238">
        <v>0.64016291318279706</v>
      </c>
      <c r="AL4238">
        <v>83.286260094751498</v>
      </c>
      <c r="AM4238">
        <v>110.332181352977</v>
      </c>
      <c r="AN4238">
        <v>0.99999997772086902</v>
      </c>
    </row>
    <row r="4239" spans="1:40" x14ac:dyDescent="0.25">
      <c r="A4239" t="str">
        <f>"20190303162638663"</f>
        <v>20190303162638663</v>
      </c>
      <c r="B4239" t="str">
        <f>"1551601598648250"</f>
        <v>1551601598648250</v>
      </c>
      <c r="C4239" t="s">
        <v>40</v>
      </c>
      <c r="D4239">
        <v>5.6368330000000002</v>
      </c>
      <c r="E4239">
        <v>0.4447257</v>
      </c>
      <c r="F4239" t="s">
        <v>59</v>
      </c>
      <c r="G4239">
        <v>-403.48020000000002</v>
      </c>
      <c r="H4239" s="1">
        <v>-4.9262460000000004E-6</v>
      </c>
      <c r="I4239">
        <v>21.892489999999999</v>
      </c>
      <c r="J4239">
        <v>-415.2396</v>
      </c>
      <c r="K4239">
        <v>1.1356850000000001</v>
      </c>
      <c r="L4239">
        <v>25.401979999999998</v>
      </c>
      <c r="M4239">
        <v>0.7156344</v>
      </c>
      <c r="N4239">
        <v>-1.299198E-2</v>
      </c>
      <c r="O4239">
        <v>-0.69835440000000004</v>
      </c>
      <c r="P4239">
        <v>0.90362109999999995</v>
      </c>
      <c r="Q4239">
        <v>0.1194105</v>
      </c>
      <c r="R4239">
        <v>-0.41135159999999998</v>
      </c>
      <c r="S4239">
        <v>2.9446409999999998</v>
      </c>
      <c r="T4239">
        <v>-0.2782888</v>
      </c>
      <c r="U4239">
        <v>-0.91827389999999998</v>
      </c>
      <c r="V4239">
        <v>-0.34144989999999997</v>
      </c>
      <c r="W4239">
        <v>0.1186566</v>
      </c>
      <c r="X4239">
        <v>0.93238010000000004</v>
      </c>
      <c r="Y4239">
        <v>-0.45018540000000001</v>
      </c>
      <c r="Z4239">
        <v>7.1327669999999996E-2</v>
      </c>
      <c r="AA4239">
        <v>0.89008169999999898</v>
      </c>
      <c r="AB4239">
        <v>33</v>
      </c>
      <c r="AC4239">
        <v>11.7593999999999</v>
      </c>
      <c r="AD4239">
        <v>-1.1356899262459901</v>
      </c>
      <c r="AE4239">
        <v>-3.50949</v>
      </c>
      <c r="AF4239">
        <v>-5.6527849690769996</v>
      </c>
      <c r="AG4239">
        <v>-1.1356899262459901</v>
      </c>
      <c r="AH4239">
        <v>10.7749344119669</v>
      </c>
      <c r="AI4239">
        <v>95.332331161921005</v>
      </c>
      <c r="AJ4239">
        <v>117.682564231079</v>
      </c>
      <c r="AK4239">
        <v>12.220596593349599</v>
      </c>
      <c r="AL4239">
        <v>83.185422757875898</v>
      </c>
      <c r="AM4239">
        <v>110.113397471252</v>
      </c>
      <c r="AN4239">
        <v>1.0000000369047799</v>
      </c>
    </row>
    <row r="4240" spans="1:40" x14ac:dyDescent="0.25">
      <c r="A4240" t="str">
        <f>"20190303162638687"</f>
        <v>20190303162638687</v>
      </c>
      <c r="B4240" t="str">
        <f>"1551601598677529"</f>
        <v>1551601598677529</v>
      </c>
      <c r="C4240" t="s">
        <v>40</v>
      </c>
      <c r="D4240">
        <v>5.8155749999999999</v>
      </c>
      <c r="E4240">
        <v>0.44728319999999999</v>
      </c>
      <c r="F4240" t="s">
        <v>42</v>
      </c>
      <c r="G4240">
        <v>-414.23079999999999</v>
      </c>
      <c r="H4240">
        <v>1.0428930000000001</v>
      </c>
      <c r="I4240">
        <v>25.098890000000001</v>
      </c>
      <c r="J4240">
        <v>-414.97770000000003</v>
      </c>
      <c r="K4240">
        <v>1.13567</v>
      </c>
      <c r="L4240">
        <v>25.169039999999999</v>
      </c>
      <c r="M4240">
        <v>0.72909990000000002</v>
      </c>
      <c r="N4240">
        <v>-1.2984320000000001E-2</v>
      </c>
      <c r="O4240">
        <v>-0.68428420000000001</v>
      </c>
      <c r="P4240">
        <v>0.9105974</v>
      </c>
      <c r="Q4240">
        <v>0.1192935</v>
      </c>
      <c r="R4240">
        <v>-0.39570369999999999</v>
      </c>
      <c r="S4240">
        <v>2.9520569999999999</v>
      </c>
      <c r="T4240">
        <v>-0.27153660000000002</v>
      </c>
      <c r="U4240">
        <v>-0.88705440000000002</v>
      </c>
      <c r="V4240">
        <v>-0.3393699</v>
      </c>
      <c r="W4240">
        <v>0.1186396</v>
      </c>
      <c r="X4240">
        <v>0.93314140000000001</v>
      </c>
      <c r="Y4240">
        <v>-0.44226650000000001</v>
      </c>
      <c r="Z4240">
        <v>6.8421040000000002E-2</v>
      </c>
      <c r="AA4240">
        <v>0.89427009999999996</v>
      </c>
      <c r="AB4240">
        <v>33</v>
      </c>
      <c r="AC4240">
        <v>0.74690000000003898</v>
      </c>
      <c r="AD4240">
        <v>-9.2777000000000096E-2</v>
      </c>
      <c r="AE4240">
        <v>-7.0149999999998103E-2</v>
      </c>
      <c r="AF4240">
        <v>-0.45305491163225198</v>
      </c>
      <c r="AG4240">
        <v>-9.2777000000000096E-2</v>
      </c>
      <c r="AH4240">
        <v>0.58368980139205595</v>
      </c>
      <c r="AI4240">
        <v>97.156794927374904</v>
      </c>
      <c r="AJ4240">
        <v>127.818301256876</v>
      </c>
      <c r="AK4240">
        <v>0.74468792720991905</v>
      </c>
      <c r="AL4240">
        <v>83.186403996917804</v>
      </c>
      <c r="AM4240">
        <v>109.98558775395701</v>
      </c>
      <c r="AN4240">
        <v>1.0000000780540601</v>
      </c>
    </row>
    <row r="4241" spans="1:40" x14ac:dyDescent="0.25">
      <c r="A4241" t="str">
        <f>"20190303162638706"</f>
        <v>20190303162638706</v>
      </c>
      <c r="B4241" t="str">
        <f>"1551601598698025"</f>
        <v>1551601598698025</v>
      </c>
      <c r="C4241" t="s">
        <v>40</v>
      </c>
      <c r="D4241">
        <v>5.4798739999999997</v>
      </c>
      <c r="E4241">
        <v>0.44805430000000002</v>
      </c>
      <c r="F4241" t="s">
        <v>42</v>
      </c>
      <c r="G4241">
        <v>-414.03050000000002</v>
      </c>
      <c r="H4241">
        <v>1.0471269999999999</v>
      </c>
      <c r="I4241">
        <v>24.89507</v>
      </c>
      <c r="J4241">
        <v>-414.76139999999998</v>
      </c>
      <c r="K4241">
        <v>1.1356550000000001</v>
      </c>
      <c r="L4241">
        <v>24.983219999999999</v>
      </c>
      <c r="M4241">
        <v>0.73982479999999995</v>
      </c>
      <c r="N4241">
        <v>-1.2979040000000001E-2</v>
      </c>
      <c r="O4241">
        <v>-0.67267469999999996</v>
      </c>
      <c r="P4241">
        <v>0.91595530000000003</v>
      </c>
      <c r="Q4241">
        <v>0.1197551</v>
      </c>
      <c r="R4241">
        <v>-0.38299430000000001</v>
      </c>
      <c r="S4241">
        <v>2.9591980000000002</v>
      </c>
      <c r="T4241">
        <v>-0.27656829999999999</v>
      </c>
      <c r="U4241">
        <v>-0.85513309999999998</v>
      </c>
      <c r="V4241">
        <v>-0.33757569999999998</v>
      </c>
      <c r="W4241">
        <v>0.119185</v>
      </c>
      <c r="X4241">
        <v>0.93372239999999995</v>
      </c>
      <c r="Y4241">
        <v>-0.43747570000000002</v>
      </c>
      <c r="Z4241">
        <v>6.9018350000000006E-2</v>
      </c>
      <c r="AA4241">
        <v>0.89657770000000003</v>
      </c>
      <c r="AB4241">
        <v>33</v>
      </c>
      <c r="AC4241">
        <v>0.73089999999996202</v>
      </c>
      <c r="AD4241">
        <v>-8.8527999999999704E-2</v>
      </c>
      <c r="AE4241">
        <v>-8.8150000000002393E-2</v>
      </c>
      <c r="AF4241">
        <v>-0.42039916093405399</v>
      </c>
      <c r="AG4241">
        <v>-8.8527999999999704E-2</v>
      </c>
      <c r="AH4241">
        <v>0.59153098677608695</v>
      </c>
      <c r="AI4241">
        <v>96.955110407811205</v>
      </c>
      <c r="AJ4241">
        <v>125.401285173608</v>
      </c>
      <c r="AK4241">
        <v>0.73108246430505197</v>
      </c>
      <c r="AL4241">
        <v>83.154930825471894</v>
      </c>
      <c r="AM4241">
        <v>109.876825523058</v>
      </c>
      <c r="AN4241">
        <v>0.99999996885862397</v>
      </c>
    </row>
    <row r="4242" spans="1:40" x14ac:dyDescent="0.25">
      <c r="A4242" t="str">
        <f>"20190303162638730"</f>
        <v>20190303162638730</v>
      </c>
      <c r="B4242" t="str">
        <f>"1551601598717544"</f>
        <v>1551601598717544</v>
      </c>
      <c r="C4242" t="s">
        <v>40</v>
      </c>
      <c r="D4242">
        <v>5.7489759999999999</v>
      </c>
      <c r="E4242">
        <v>0.44883709999999999</v>
      </c>
      <c r="F4242" t="s">
        <v>42</v>
      </c>
      <c r="G4242">
        <v>-413.81099999999998</v>
      </c>
      <c r="H4242">
        <v>1.0476399999999999</v>
      </c>
      <c r="I4242">
        <v>24.721170000000001</v>
      </c>
      <c r="J4242">
        <v>-414.51679999999999</v>
      </c>
      <c r="K4242">
        <v>1.1356470000000001</v>
      </c>
      <c r="L4242">
        <v>24.78003</v>
      </c>
      <c r="M4242">
        <v>0.75153999999999999</v>
      </c>
      <c r="N4242">
        <v>-1.2974299999999999E-2</v>
      </c>
      <c r="O4242">
        <v>-0.65956000000000004</v>
      </c>
      <c r="P4242">
        <v>0.92133419999999999</v>
      </c>
      <c r="Q4242">
        <v>0.12106459999999999</v>
      </c>
      <c r="R4242">
        <v>-0.36944080000000001</v>
      </c>
      <c r="S4242">
        <v>2.9688720000000002</v>
      </c>
      <c r="T4242">
        <v>-0.27494449999999998</v>
      </c>
      <c r="U4242">
        <v>-0.81869510000000001</v>
      </c>
      <c r="V4242">
        <v>-0.33485809999999999</v>
      </c>
      <c r="W4242">
        <v>0.1206146</v>
      </c>
      <c r="X4242">
        <v>0.93451709999999999</v>
      </c>
      <c r="Y4242">
        <v>-0.43273080000000003</v>
      </c>
      <c r="Z4242">
        <v>6.766018E-2</v>
      </c>
      <c r="AA4242">
        <v>0.89898060000000002</v>
      </c>
      <c r="AB4242">
        <v>33</v>
      </c>
      <c r="AC4242">
        <v>0.70580000000000997</v>
      </c>
      <c r="AD4242">
        <v>-8.8006999999999905E-2</v>
      </c>
      <c r="AE4242">
        <v>-5.8859999999999198E-2</v>
      </c>
      <c r="AF4242">
        <v>-0.414910817076238</v>
      </c>
      <c r="AG4242">
        <v>-8.8006999999999905E-2</v>
      </c>
      <c r="AH4242">
        <v>0.56064981391633395</v>
      </c>
      <c r="AI4242">
        <v>97.191486325670795</v>
      </c>
      <c r="AJ4242">
        <v>126.50341912485101</v>
      </c>
      <c r="AK4242">
        <v>0.70301097574667404</v>
      </c>
      <c r="AL4242">
        <v>83.072425928831393</v>
      </c>
      <c r="AM4242">
        <v>109.71372251265301</v>
      </c>
      <c r="AN4242">
        <v>1.00000001953058</v>
      </c>
    </row>
    <row r="4243" spans="1:40" x14ac:dyDescent="0.25">
      <c r="A4243" t="str">
        <f>"20190303162638751"</f>
        <v>20190303162638751</v>
      </c>
      <c r="B4243" t="str">
        <f>"1551601598738041"</f>
        <v>1551601598738041</v>
      </c>
      <c r="C4243" t="s">
        <v>40</v>
      </c>
      <c r="D4243">
        <v>5.8054370000000004</v>
      </c>
      <c r="E4243">
        <v>0.44944689999999998</v>
      </c>
      <c r="F4243" t="s">
        <v>42</v>
      </c>
      <c r="G4243">
        <v>-413.57510000000002</v>
      </c>
      <c r="H4243">
        <v>1.050027</v>
      </c>
      <c r="I4243">
        <v>24.533100000000001</v>
      </c>
      <c r="J4243">
        <v>-414.27019999999999</v>
      </c>
      <c r="K4243">
        <v>1.1356379999999999</v>
      </c>
      <c r="L4243">
        <v>24.582239999999999</v>
      </c>
      <c r="M4243">
        <v>0.76293429999999995</v>
      </c>
      <c r="N4243">
        <v>-1.2970799999999999E-2</v>
      </c>
      <c r="O4243">
        <v>-0.64634599999999998</v>
      </c>
      <c r="P4243">
        <v>0.92677940000000003</v>
      </c>
      <c r="Q4243">
        <v>0.1225668</v>
      </c>
      <c r="R4243">
        <v>-0.3550449</v>
      </c>
      <c r="S4243">
        <v>2.9786679999999999</v>
      </c>
      <c r="T4243">
        <v>-0.27082200000000001</v>
      </c>
      <c r="U4243">
        <v>-0.78079219999999905</v>
      </c>
      <c r="V4243">
        <v>-0.33303139999999998</v>
      </c>
      <c r="W4243">
        <v>0.1221979</v>
      </c>
      <c r="X4243">
        <v>0.93496400000000002</v>
      </c>
      <c r="Y4243">
        <v>-0.42858570000000001</v>
      </c>
      <c r="Z4243">
        <v>6.5655450000000004E-2</v>
      </c>
      <c r="AA4243">
        <v>0.90111240000000004</v>
      </c>
      <c r="AB4243">
        <v>33</v>
      </c>
      <c r="AC4243">
        <v>0.69509999999996797</v>
      </c>
      <c r="AD4243">
        <v>-8.5610999999999798E-2</v>
      </c>
      <c r="AE4243">
        <v>-4.9139999999997699E-2</v>
      </c>
      <c r="AF4243">
        <v>-0.40569562737916498</v>
      </c>
      <c r="AG4243">
        <v>-8.5610999999999798E-2</v>
      </c>
      <c r="AH4243">
        <v>0.55376587527883403</v>
      </c>
      <c r="AI4243">
        <v>97.108730833336693</v>
      </c>
      <c r="AJ4243">
        <v>126.226959329953</v>
      </c>
      <c r="AK4243">
        <v>0.69179103060021496</v>
      </c>
      <c r="AL4243">
        <v>82.981033059152907</v>
      </c>
      <c r="AM4243">
        <v>109.605748071297</v>
      </c>
      <c r="AN4243">
        <v>0.99999996072318398</v>
      </c>
    </row>
    <row r="4244" spans="1:40" x14ac:dyDescent="0.25">
      <c r="A4244" t="str">
        <f>"20190303162638774"</f>
        <v>20190303162638774</v>
      </c>
      <c r="B4244" t="str">
        <f>"1551601598768297"</f>
        <v>1551601598768297</v>
      </c>
      <c r="C4244" t="s">
        <v>40</v>
      </c>
      <c r="D4244">
        <v>5.8097339999999997</v>
      </c>
      <c r="E4244">
        <v>0.45035829999999999</v>
      </c>
      <c r="F4244" t="s">
        <v>42</v>
      </c>
      <c r="G4244">
        <v>-413.29640000000001</v>
      </c>
      <c r="H4244">
        <v>1.048251</v>
      </c>
      <c r="I4244">
        <v>24.341429999999999</v>
      </c>
      <c r="J4244">
        <v>-414.01459999999997</v>
      </c>
      <c r="K4244">
        <v>1.135637</v>
      </c>
      <c r="L4244">
        <v>24.384399999999999</v>
      </c>
      <c r="M4244">
        <v>0.77432469999999998</v>
      </c>
      <c r="N4244">
        <v>-1.2968189999999999E-2</v>
      </c>
      <c r="O4244">
        <v>-0.63265559999999998</v>
      </c>
      <c r="P4244">
        <v>0.93177810000000005</v>
      </c>
      <c r="Q4244">
        <v>0.1232183</v>
      </c>
      <c r="R4244">
        <v>-0.3414777</v>
      </c>
      <c r="S4244">
        <v>2.9893800000000001</v>
      </c>
      <c r="T4244">
        <v>-0.26822879999999999</v>
      </c>
      <c r="U4244">
        <v>-0.73895259999999996</v>
      </c>
      <c r="V4244">
        <v>-0.32999220000000001</v>
      </c>
      <c r="W4244">
        <v>0.1229806</v>
      </c>
      <c r="X4244">
        <v>0.93593850000000001</v>
      </c>
      <c r="Y4244">
        <v>-0.42525030000000003</v>
      </c>
      <c r="Z4244">
        <v>6.4066410000000004E-2</v>
      </c>
      <c r="AA4244">
        <v>0.90280539999999998</v>
      </c>
      <c r="AB4244">
        <v>33</v>
      </c>
      <c r="AC4244">
        <v>0.71819999999996698</v>
      </c>
      <c r="AD4244">
        <v>-8.7385999999999894E-2</v>
      </c>
      <c r="AE4244">
        <v>-4.2970000000000397E-2</v>
      </c>
      <c r="AF4244">
        <v>-0.41501378342969097</v>
      </c>
      <c r="AG4244">
        <v>-8.7385999999999894E-2</v>
      </c>
      <c r="AH4244">
        <v>0.57487391045637104</v>
      </c>
      <c r="AI4244">
        <v>97.026164156211607</v>
      </c>
      <c r="AJ4244">
        <v>125.826324265057</v>
      </c>
      <c r="AK4244">
        <v>0.71438978601042902</v>
      </c>
      <c r="AL4244">
        <v>82.935846954126305</v>
      </c>
      <c r="AM4244">
        <v>109.421576852263</v>
      </c>
      <c r="AN4244">
        <v>0.99999997790972395</v>
      </c>
    </row>
    <row r="4245" spans="1:40" x14ac:dyDescent="0.25">
      <c r="A4245" t="str">
        <f>"20190303162638799"</f>
        <v>20190303162638799</v>
      </c>
      <c r="B4245" t="str">
        <f>"1551601598787817"</f>
        <v>1551601598787817</v>
      </c>
      <c r="C4245" t="s">
        <v>40</v>
      </c>
      <c r="D4245">
        <v>5.8591879999999996</v>
      </c>
      <c r="E4245">
        <v>0.4511809</v>
      </c>
      <c r="F4245" t="s">
        <v>59</v>
      </c>
      <c r="G4245">
        <v>-401.29329999999999</v>
      </c>
      <c r="H4245" s="1">
        <v>-5.8584209999999996E-6</v>
      </c>
      <c r="I4245">
        <v>21.40626</v>
      </c>
      <c r="J4245">
        <v>-413.72910000000002</v>
      </c>
      <c r="K4245">
        <v>1.1356379999999999</v>
      </c>
      <c r="L4245">
        <v>24.171690000000002</v>
      </c>
      <c r="M4245">
        <v>0.78656930000000003</v>
      </c>
      <c r="N4245">
        <v>-1.296624E-2</v>
      </c>
      <c r="O4245">
        <v>-0.61736599999999997</v>
      </c>
      <c r="P4245">
        <v>0.93682889999999996</v>
      </c>
      <c r="Q4245">
        <v>0.1230932</v>
      </c>
      <c r="R4245">
        <v>-0.32741379999999998</v>
      </c>
      <c r="S4245">
        <v>2.997833</v>
      </c>
      <c r="T4245">
        <v>-0.2676191</v>
      </c>
      <c r="U4245">
        <v>-0.70181269999999996</v>
      </c>
      <c r="V4245">
        <v>-0.32574140000000001</v>
      </c>
      <c r="W4245">
        <v>0.12303790000000001</v>
      </c>
      <c r="X4245">
        <v>0.93741890000000005</v>
      </c>
      <c r="Y4245">
        <v>-0.41876229999999998</v>
      </c>
      <c r="Z4245">
        <v>6.277112E-2</v>
      </c>
      <c r="AA4245">
        <v>0.90592379999999995</v>
      </c>
      <c r="AB4245">
        <v>33</v>
      </c>
      <c r="AC4245">
        <v>12.4358</v>
      </c>
      <c r="AD4245">
        <v>-1.135643858421</v>
      </c>
      <c r="AE4245">
        <v>-2.7654299999999901</v>
      </c>
      <c r="AF4245">
        <v>-5.4593175609473903</v>
      </c>
      <c r="AG4245">
        <v>-1.135643858421</v>
      </c>
      <c r="AH4245">
        <v>11.3992817929105</v>
      </c>
      <c r="AI4245">
        <v>95.1343175408024</v>
      </c>
      <c r="AJ4245">
        <v>115.590584260193</v>
      </c>
      <c r="AK4245">
        <v>12.6900536089734</v>
      </c>
      <c r="AL4245">
        <v>82.932538862920197</v>
      </c>
      <c r="AM4245">
        <v>109.161703048194</v>
      </c>
      <c r="AN4245">
        <v>0.99999998929378997</v>
      </c>
    </row>
    <row r="4246" spans="1:40" x14ac:dyDescent="0.25">
      <c r="A4246" t="str">
        <f>"20190303162638821"</f>
        <v>20190303162638821</v>
      </c>
      <c r="B4246" t="str">
        <f>"1551601598808313"</f>
        <v>1551601598808313</v>
      </c>
      <c r="C4246" t="s">
        <v>40</v>
      </c>
      <c r="D4246">
        <v>5.8033640000000002</v>
      </c>
      <c r="E4246">
        <v>0.45202900000000001</v>
      </c>
      <c r="F4246" t="s">
        <v>42</v>
      </c>
      <c r="G4246">
        <v>-412.65640000000002</v>
      </c>
      <c r="H4246">
        <v>1.0397240000000001</v>
      </c>
      <c r="I4246">
        <v>23.935449999999999</v>
      </c>
      <c r="J4246">
        <v>-413.46030000000002</v>
      </c>
      <c r="K4246">
        <v>1.1356379999999999</v>
      </c>
      <c r="L4246">
        <v>23.979890000000001</v>
      </c>
      <c r="M4246">
        <v>0.79763619999999902</v>
      </c>
      <c r="N4246">
        <v>-1.2965040000000001E-2</v>
      </c>
      <c r="O4246">
        <v>-0.60299959999999997</v>
      </c>
      <c r="P4246">
        <v>0.94132720000000003</v>
      </c>
      <c r="Q4246">
        <v>0.1229238</v>
      </c>
      <c r="R4246">
        <v>-0.31431360000000003</v>
      </c>
      <c r="S4246">
        <v>3.0064700000000002</v>
      </c>
      <c r="T4246">
        <v>-0.26878049999999998</v>
      </c>
      <c r="U4246">
        <v>-0.66131589999999996</v>
      </c>
      <c r="V4246">
        <v>-0.32181670000000001</v>
      </c>
      <c r="W4246">
        <v>0.12303550000000001</v>
      </c>
      <c r="X4246">
        <v>0.93877379999999999</v>
      </c>
      <c r="Y4246">
        <v>-0.41450369999999997</v>
      </c>
      <c r="Z4246">
        <v>6.2063239999999999E-2</v>
      </c>
      <c r="AA4246">
        <v>0.90792890000000004</v>
      </c>
      <c r="AB4246">
        <v>33</v>
      </c>
      <c r="AC4246">
        <v>0.80389999999999795</v>
      </c>
      <c r="AD4246">
        <v>-9.5913999999999999E-2</v>
      </c>
      <c r="AE4246">
        <v>-4.4440000000001499E-2</v>
      </c>
      <c r="AF4246">
        <v>-0.44305446490440398</v>
      </c>
      <c r="AG4246">
        <v>-9.5913999999999999E-2</v>
      </c>
      <c r="AH4246">
        <v>0.65872472376244795</v>
      </c>
      <c r="AI4246">
        <v>96.889062896186303</v>
      </c>
      <c r="AJ4246">
        <v>123.924550267428</v>
      </c>
      <c r="AK4246">
        <v>0.79963430139260705</v>
      </c>
      <c r="AL4246">
        <v>82.932677395875501</v>
      </c>
      <c r="AM4246">
        <v>108.921990036575</v>
      </c>
      <c r="AN4246">
        <v>0.99999998511278898</v>
      </c>
    </row>
    <row r="4247" spans="1:40" x14ac:dyDescent="0.25">
      <c r="A4247" t="str">
        <f>"20190303162638840"</f>
        <v>20190303162638840</v>
      </c>
      <c r="B4247" t="str">
        <f>"1551601598827833"</f>
        <v>1551601598827833</v>
      </c>
      <c r="C4247" t="s">
        <v>40</v>
      </c>
      <c r="D4247">
        <v>5.8035240000000003</v>
      </c>
      <c r="E4247">
        <v>0.45292199999999999</v>
      </c>
      <c r="F4247" t="s">
        <v>42</v>
      </c>
      <c r="G4247">
        <v>-412.42849999999999</v>
      </c>
      <c r="H4247">
        <v>1.043032</v>
      </c>
      <c r="I4247">
        <v>23.76634</v>
      </c>
      <c r="J4247">
        <v>-413.23989999999998</v>
      </c>
      <c r="K4247">
        <v>1.1356379999999999</v>
      </c>
      <c r="L4247">
        <v>23.827580000000001</v>
      </c>
      <c r="M4247">
        <v>0.80641759999999996</v>
      </c>
      <c r="N4247">
        <v>-1.2964440000000001E-2</v>
      </c>
      <c r="O4247">
        <v>-0.59120439999999996</v>
      </c>
      <c r="P4247">
        <v>0.94460279999999996</v>
      </c>
      <c r="Q4247">
        <v>0.12297470000000001</v>
      </c>
      <c r="R4247">
        <v>-0.30430659999999998</v>
      </c>
      <c r="S4247">
        <v>3.014008</v>
      </c>
      <c r="T4247">
        <v>-0.27049529999999999</v>
      </c>
      <c r="U4247">
        <v>-0.62384030000000001</v>
      </c>
      <c r="V4247">
        <v>-0.31796380000000002</v>
      </c>
      <c r="W4247">
        <v>0.1232504</v>
      </c>
      <c r="X4247">
        <v>0.94005760000000005</v>
      </c>
      <c r="Y4247">
        <v>-0.41239680000000001</v>
      </c>
      <c r="Z4247">
        <v>6.1716630000000001E-2</v>
      </c>
      <c r="AA4247">
        <v>0.90891140000000004</v>
      </c>
      <c r="AB4247">
        <v>33</v>
      </c>
      <c r="AC4247">
        <v>0.81139999999999102</v>
      </c>
      <c r="AD4247">
        <v>-9.2605999999999897E-2</v>
      </c>
      <c r="AE4247">
        <v>-6.12399999999979E-2</v>
      </c>
      <c r="AF4247">
        <v>-0.42485165434414701</v>
      </c>
      <c r="AG4247">
        <v>-9.2605999999999897E-2</v>
      </c>
      <c r="AH4247">
        <v>0.68176036223241798</v>
      </c>
      <c r="AI4247">
        <v>96.576113838640296</v>
      </c>
      <c r="AJ4247">
        <v>121.929864974295</v>
      </c>
      <c r="AK4247">
        <v>0.80862351619665196</v>
      </c>
      <c r="AL4247">
        <v>82.920269958766397</v>
      </c>
      <c r="AM4247">
        <v>108.687523303069</v>
      </c>
      <c r="AN4247">
        <v>0.999999965264179</v>
      </c>
    </row>
    <row r="4248" spans="1:40" x14ac:dyDescent="0.25">
      <c r="A4248" t="str">
        <f>"20190303162638866"</f>
        <v>20190303162638866</v>
      </c>
      <c r="B4248" t="str">
        <f>"1551601598858088"</f>
        <v>1551601598858088</v>
      </c>
      <c r="C4248" t="s">
        <v>40</v>
      </c>
      <c r="D4248">
        <v>5.9253519999999904</v>
      </c>
      <c r="E4248">
        <v>0.47983199999999998</v>
      </c>
      <c r="F4248" t="s">
        <v>42</v>
      </c>
      <c r="G4248">
        <v>-412.1893</v>
      </c>
      <c r="H4248">
        <v>1.0411049999999999</v>
      </c>
      <c r="I4248">
        <v>23.619430000000001</v>
      </c>
      <c r="J4248">
        <v>-412.92919999999998</v>
      </c>
      <c r="K4248">
        <v>1.1356269999999999</v>
      </c>
      <c r="L4248">
        <v>23.621310000000001</v>
      </c>
      <c r="M4248">
        <v>0.8183395</v>
      </c>
      <c r="N4248">
        <v>-1.296429E-2</v>
      </c>
      <c r="O4248">
        <v>-0.57458880000000001</v>
      </c>
      <c r="P4248">
        <v>0.94920649999999995</v>
      </c>
      <c r="Q4248">
        <v>0.12248390000000001</v>
      </c>
      <c r="R4248">
        <v>-0.28983599999999998</v>
      </c>
      <c r="S4248">
        <v>3.0187680000000001</v>
      </c>
      <c r="T4248">
        <v>-0.27157530000000002</v>
      </c>
      <c r="U4248">
        <v>-0.59753420000000002</v>
      </c>
      <c r="V4248">
        <v>-0.31311299999999997</v>
      </c>
      <c r="W4248">
        <v>0.122965</v>
      </c>
      <c r="X4248">
        <v>0.94172169999999999</v>
      </c>
      <c r="Y4248">
        <v>-0.40169890000000003</v>
      </c>
      <c r="Z4248">
        <v>6.0502569999999999E-2</v>
      </c>
      <c r="AA4248">
        <v>0.913771</v>
      </c>
      <c r="AB4248">
        <v>33</v>
      </c>
      <c r="AC4248">
        <v>0.73989999999997702</v>
      </c>
      <c r="AD4248">
        <v>-9.4521999999999995E-2</v>
      </c>
      <c r="AE4248">
        <v>-1.8800000000034299E-3</v>
      </c>
      <c r="AF4248">
        <v>-0.41683273847527502</v>
      </c>
      <c r="AG4248">
        <v>-9.4521999999999995E-2</v>
      </c>
      <c r="AH4248">
        <v>0.59687963033518998</v>
      </c>
      <c r="AI4248">
        <v>97.397566584277996</v>
      </c>
      <c r="AJ4248">
        <v>124.92864193809</v>
      </c>
      <c r="AK4248">
        <v>0.73413161862016996</v>
      </c>
      <c r="AL4248">
        <v>82.936747414033803</v>
      </c>
      <c r="AM4248">
        <v>108.391447698017</v>
      </c>
      <c r="AN4248">
        <v>0.999999951122443</v>
      </c>
    </row>
    <row r="4249" spans="1:40" x14ac:dyDescent="0.25">
      <c r="A4249" t="str">
        <f>"20190303162638890"</f>
        <v>20190303162638890</v>
      </c>
      <c r="B4249" t="str">
        <f>"1551601598878585"</f>
        <v>1551601598878585</v>
      </c>
      <c r="C4249" t="s">
        <v>40</v>
      </c>
      <c r="D4249">
        <v>5.745228</v>
      </c>
      <c r="E4249">
        <v>0.48156359999999898</v>
      </c>
      <c r="F4249" t="s">
        <v>41</v>
      </c>
      <c r="G4249">
        <v>-399.18060000000003</v>
      </c>
      <c r="H4249" s="1">
        <v>-5.0209299999999899E-7</v>
      </c>
      <c r="I4249">
        <v>20.121020000000001</v>
      </c>
      <c r="J4249">
        <v>-412.65589999999997</v>
      </c>
      <c r="K4249">
        <v>1.1356250000000001</v>
      </c>
      <c r="L4249">
        <v>23.447050000000001</v>
      </c>
      <c r="M4249">
        <v>0.82841580000000004</v>
      </c>
      <c r="N4249">
        <v>-1.296453E-2</v>
      </c>
      <c r="O4249">
        <v>-0.55996360000000001</v>
      </c>
      <c r="P4249">
        <v>0.95235970000000003</v>
      </c>
      <c r="Q4249">
        <v>0.121588</v>
      </c>
      <c r="R4249">
        <v>-0.279692</v>
      </c>
      <c r="S4249">
        <v>2.9618229999999999</v>
      </c>
      <c r="T4249">
        <v>-0.24464569999999999</v>
      </c>
      <c r="U4249">
        <v>-0.75405880000000003</v>
      </c>
      <c r="V4249">
        <v>-0.30645040000000001</v>
      </c>
      <c r="W4249">
        <v>0.12235119999999999</v>
      </c>
      <c r="X4249">
        <v>0.94399060000000001</v>
      </c>
      <c r="Y4249">
        <v>-0.33603929999999999</v>
      </c>
      <c r="Z4249">
        <v>5.080842E-2</v>
      </c>
      <c r="AA4249">
        <v>0.94047650000000005</v>
      </c>
      <c r="AB4249">
        <v>33</v>
      </c>
      <c r="AC4249">
        <v>13.475299999999899</v>
      </c>
      <c r="AD4249">
        <v>-1.1356255020929999</v>
      </c>
      <c r="AE4249">
        <v>-3.3260299999999998</v>
      </c>
      <c r="AF4249">
        <v>-4.7588864472432997</v>
      </c>
      <c r="AG4249">
        <v>-1.1356255020929999</v>
      </c>
      <c r="AH4249">
        <v>12.9400759544581</v>
      </c>
      <c r="AI4249">
        <v>94.708645010042204</v>
      </c>
      <c r="AJ4249">
        <v>110.19167540096301</v>
      </c>
      <c r="AK4249">
        <v>13.83409596634</v>
      </c>
      <c r="AL4249">
        <v>82.972183192506805</v>
      </c>
      <c r="AM4249">
        <v>107.985135338278</v>
      </c>
      <c r="AN4249">
        <v>0.99999995834497901</v>
      </c>
    </row>
    <row r="4250" spans="1:40" x14ac:dyDescent="0.25">
      <c r="A4250" t="str">
        <f>"20190303162638909"</f>
        <v>20190303162638909</v>
      </c>
      <c r="B4250" t="str">
        <f>"1551601598898105"</f>
        <v>1551601598898105</v>
      </c>
      <c r="C4250" t="s">
        <v>40</v>
      </c>
      <c r="D4250">
        <v>5.4884839999999997</v>
      </c>
      <c r="E4250">
        <v>0.4832708</v>
      </c>
      <c r="F4250" t="s">
        <v>41</v>
      </c>
      <c r="G4250">
        <v>-398.9144</v>
      </c>
      <c r="H4250" s="1">
        <v>-6.0677589999999999E-7</v>
      </c>
      <c r="I4250">
        <v>20.04156</v>
      </c>
      <c r="J4250">
        <v>-412.41340000000002</v>
      </c>
      <c r="K4250">
        <v>1.1356189999999999</v>
      </c>
      <c r="L4250">
        <v>23.297999999999998</v>
      </c>
      <c r="M4250">
        <v>0.83704199999999995</v>
      </c>
      <c r="N4250">
        <v>-1.2964989999999999E-2</v>
      </c>
      <c r="O4250">
        <v>-0.54698500000000005</v>
      </c>
      <c r="P4250">
        <v>0.95476539999999999</v>
      </c>
      <c r="Q4250">
        <v>0.1204737</v>
      </c>
      <c r="R4250">
        <v>-0.27186250000000001</v>
      </c>
      <c r="S4250">
        <v>2.9654850000000001</v>
      </c>
      <c r="T4250">
        <v>-0.2450744</v>
      </c>
      <c r="U4250">
        <v>-0.73492429999999997</v>
      </c>
      <c r="V4250">
        <v>-0.29951050000000001</v>
      </c>
      <c r="W4250">
        <v>0.1215296</v>
      </c>
      <c r="X4250">
        <v>0.94632130000000003</v>
      </c>
      <c r="Y4250">
        <v>-0.32738119999999998</v>
      </c>
      <c r="Z4250">
        <v>4.982731E-2</v>
      </c>
      <c r="AA4250">
        <v>0.94357760000000002</v>
      </c>
      <c r="AB4250">
        <v>33</v>
      </c>
      <c r="AC4250">
        <v>13.499000000000001</v>
      </c>
      <c r="AD4250">
        <v>-1.1356196067758999</v>
      </c>
      <c r="AE4250">
        <v>-3.25644</v>
      </c>
      <c r="AF4250">
        <v>-4.62741679966466</v>
      </c>
      <c r="AG4250">
        <v>-1.1356196067758999</v>
      </c>
      <c r="AH4250">
        <v>12.9946450065917</v>
      </c>
      <c r="AI4250">
        <v>94.706387944478493</v>
      </c>
      <c r="AJ4250">
        <v>109.600907236518</v>
      </c>
      <c r="AK4250">
        <v>13.8406436619274</v>
      </c>
      <c r="AL4250">
        <v>83.019611588050495</v>
      </c>
      <c r="AM4250">
        <v>107.56256883893499</v>
      </c>
      <c r="AN4250">
        <v>0.99999999306005005</v>
      </c>
    </row>
    <row r="4251" spans="1:40" x14ac:dyDescent="0.25">
      <c r="A4251" t="str">
        <f>"20190303162638931"</f>
        <v>20190303162638931</v>
      </c>
      <c r="B4251" t="str">
        <f>"1551601598917625"</f>
        <v>1551601598917625</v>
      </c>
      <c r="C4251" t="s">
        <v>40</v>
      </c>
      <c r="D4251">
        <v>5.7338209999999998</v>
      </c>
      <c r="E4251">
        <v>0.48592350000000001</v>
      </c>
      <c r="F4251" t="s">
        <v>41</v>
      </c>
      <c r="G4251">
        <v>-398.6807</v>
      </c>
      <c r="H4251" s="1">
        <v>-6.9478600000000004E-7</v>
      </c>
      <c r="I4251">
        <v>19.95701</v>
      </c>
      <c r="J4251">
        <v>-412.14299999999997</v>
      </c>
      <c r="K4251">
        <v>1.1356189999999999</v>
      </c>
      <c r="L4251">
        <v>23.137820000000001</v>
      </c>
      <c r="M4251">
        <v>0.84632689999999999</v>
      </c>
      <c r="N4251">
        <v>-1.296578E-2</v>
      </c>
      <c r="O4251">
        <v>-0.53250620000000004</v>
      </c>
      <c r="P4251">
        <v>0.95734229999999998</v>
      </c>
      <c r="Q4251">
        <v>0.11994440000000001</v>
      </c>
      <c r="R4251">
        <v>-0.26288600000000001</v>
      </c>
      <c r="S4251">
        <v>2.9674990000000001</v>
      </c>
      <c r="T4251">
        <v>-0.24539520000000001</v>
      </c>
      <c r="U4251">
        <v>-0.72195430000000005</v>
      </c>
      <c r="V4251">
        <v>-0.29211710000000002</v>
      </c>
      <c r="W4251">
        <v>0.1213105</v>
      </c>
      <c r="X4251">
        <v>0.94865770000000005</v>
      </c>
      <c r="Y4251">
        <v>-0.31520589999999998</v>
      </c>
      <c r="Z4251">
        <v>4.8570839999999997E-2</v>
      </c>
      <c r="AA4251">
        <v>0.9477795</v>
      </c>
      <c r="AB4251">
        <v>33</v>
      </c>
      <c r="AC4251">
        <v>13.462300000000001</v>
      </c>
      <c r="AD4251">
        <v>-1.135619694786</v>
      </c>
      <c r="AE4251">
        <v>-3.1808100000000001</v>
      </c>
      <c r="AF4251">
        <v>-4.4471569621257201</v>
      </c>
      <c r="AG4251">
        <v>-1.135619694786</v>
      </c>
      <c r="AH4251">
        <v>13.0007863925696</v>
      </c>
      <c r="AI4251">
        <v>94.724668197751299</v>
      </c>
      <c r="AJ4251">
        <v>108.88419165375799</v>
      </c>
      <c r="AK4251">
        <v>13.787214510632399</v>
      </c>
      <c r="AL4251">
        <v>83.032258957671502</v>
      </c>
      <c r="AM4251">
        <v>107.114999950232</v>
      </c>
      <c r="AN4251">
        <v>1.0000000346459701</v>
      </c>
    </row>
    <row r="4252" spans="1:40" x14ac:dyDescent="0.25">
      <c r="A4252" t="str">
        <f>"20190303162638952"</f>
        <v>20190303162638952</v>
      </c>
      <c r="B4252" t="str">
        <f>"1551601598947880"</f>
        <v>1551601598947880</v>
      </c>
      <c r="C4252" t="s">
        <v>40</v>
      </c>
      <c r="D4252">
        <v>5.733009</v>
      </c>
      <c r="E4252">
        <v>0.48834919999999998</v>
      </c>
      <c r="F4252" t="s">
        <v>41</v>
      </c>
      <c r="G4252">
        <v>-398.21519999999998</v>
      </c>
      <c r="H4252" s="1">
        <v>-8.7227890000000001E-7</v>
      </c>
      <c r="I4252">
        <v>19.797239999999999</v>
      </c>
      <c r="J4252">
        <v>-411.87549999999999</v>
      </c>
      <c r="K4252">
        <v>1.135626</v>
      </c>
      <c r="L4252">
        <v>22.985410000000002</v>
      </c>
      <c r="M4252">
        <v>0.85517379999999998</v>
      </c>
      <c r="N4252">
        <v>-1.2966709999999999E-2</v>
      </c>
      <c r="O4252">
        <v>-0.51817950000000002</v>
      </c>
      <c r="P4252">
        <v>0.95960650000000003</v>
      </c>
      <c r="Q4252">
        <v>0.1203332</v>
      </c>
      <c r="R4252">
        <v>-0.25431369999999998</v>
      </c>
      <c r="S4252">
        <v>2.9685359999999998</v>
      </c>
      <c r="T4252">
        <v>-0.24204429999999999</v>
      </c>
      <c r="U4252">
        <v>-0.71200559999999902</v>
      </c>
      <c r="V4252">
        <v>-0.28460049999999998</v>
      </c>
      <c r="W4252">
        <v>0.1220128</v>
      </c>
      <c r="X4252">
        <v>0.95084979999999997</v>
      </c>
      <c r="Y4252">
        <v>-0.30240840000000002</v>
      </c>
      <c r="Z4252">
        <v>4.6503040000000002E-2</v>
      </c>
      <c r="AA4252">
        <v>0.95204339999999998</v>
      </c>
      <c r="AB4252">
        <v>33</v>
      </c>
      <c r="AC4252">
        <v>13.660299999999999</v>
      </c>
      <c r="AD4252">
        <v>-1.13562687227889</v>
      </c>
      <c r="AE4252">
        <v>-3.1881699999999999</v>
      </c>
      <c r="AF4252">
        <v>-4.32407248556739</v>
      </c>
      <c r="AG4252">
        <v>-1.13562687227889</v>
      </c>
      <c r="AH4252">
        <v>13.248262612222801</v>
      </c>
      <c r="AI4252">
        <v>94.658642885170096</v>
      </c>
      <c r="AJ4252">
        <v>108.076055595486</v>
      </c>
      <c r="AK4252">
        <v>13.9822642478213</v>
      </c>
      <c r="AL4252">
        <v>82.991718425851801</v>
      </c>
      <c r="AM4252">
        <v>106.663058592998</v>
      </c>
      <c r="AN4252">
        <v>0.99999995506206396</v>
      </c>
    </row>
    <row r="4253" spans="1:40" x14ac:dyDescent="0.25">
      <c r="A4253" t="str">
        <f>"20190303162638980"</f>
        <v>20190303162638980</v>
      </c>
      <c r="B4253" t="str">
        <f>"1551601598968377"</f>
        <v>1551601598968377</v>
      </c>
      <c r="C4253" t="s">
        <v>40</v>
      </c>
      <c r="D4253">
        <v>5.6695099999999998</v>
      </c>
      <c r="E4253">
        <v>0.4891413</v>
      </c>
      <c r="F4253" t="s">
        <v>41</v>
      </c>
      <c r="G4253">
        <v>-397.54250000000002</v>
      </c>
      <c r="H4253" s="1">
        <v>-1.145304E-6</v>
      </c>
      <c r="I4253">
        <v>19.598459999999999</v>
      </c>
      <c r="J4253">
        <v>-411.54390000000001</v>
      </c>
      <c r="K4253">
        <v>1.1356299999999999</v>
      </c>
      <c r="L4253">
        <v>22.804200000000002</v>
      </c>
      <c r="M4253">
        <v>0.8656971</v>
      </c>
      <c r="N4253">
        <v>-1.29681E-2</v>
      </c>
      <c r="O4253">
        <v>-0.50040039999999997</v>
      </c>
      <c r="P4253">
        <v>0.96256070000000005</v>
      </c>
      <c r="Q4253">
        <v>0.12043760000000001</v>
      </c>
      <c r="R4253">
        <v>-0.242841</v>
      </c>
      <c r="S4253">
        <v>2.9698180000000001</v>
      </c>
      <c r="T4253">
        <v>-0.2353036</v>
      </c>
      <c r="U4253">
        <v>-0.70178219999999902</v>
      </c>
      <c r="V4253">
        <v>-0.27628439999999999</v>
      </c>
      <c r="W4253">
        <v>0.1224629</v>
      </c>
      <c r="X4253">
        <v>0.95324169999999997</v>
      </c>
      <c r="Y4253">
        <v>-0.28607120000000003</v>
      </c>
      <c r="Z4253">
        <v>4.3418850000000002E-2</v>
      </c>
      <c r="AA4253">
        <v>0.95722410000000002</v>
      </c>
      <c r="AB4253">
        <v>33</v>
      </c>
      <c r="AC4253">
        <v>14.001399999999901</v>
      </c>
      <c r="AD4253">
        <v>-1.135631145304</v>
      </c>
      <c r="AE4253">
        <v>-3.20574</v>
      </c>
      <c r="AF4253">
        <v>-4.2051756515180996</v>
      </c>
      <c r="AG4253">
        <v>-1.135631145304</v>
      </c>
      <c r="AH4253">
        <v>13.641009382531299</v>
      </c>
      <c r="AI4253">
        <v>94.548686712938206</v>
      </c>
      <c r="AJ4253">
        <v>107.133197367224</v>
      </c>
      <c r="AK4253">
        <v>14.3195774145961</v>
      </c>
      <c r="AL4253">
        <v>82.965734950418593</v>
      </c>
      <c r="AM4253">
        <v>106.163526481445</v>
      </c>
      <c r="AN4253">
        <v>0.99999998508932897</v>
      </c>
    </row>
    <row r="4254" spans="1:40" x14ac:dyDescent="0.25">
      <c r="A4254" t="str">
        <f>"20190303162639000"</f>
        <v>20190303162639000</v>
      </c>
      <c r="B4254" t="str">
        <f>"1551601598987897"</f>
        <v>1551601598987897</v>
      </c>
      <c r="C4254" t="s">
        <v>40</v>
      </c>
      <c r="D4254">
        <v>5.6667459999999998</v>
      </c>
      <c r="E4254">
        <v>0.49002479999999998</v>
      </c>
      <c r="F4254" t="s">
        <v>41</v>
      </c>
      <c r="G4254">
        <v>-397.21159999999998</v>
      </c>
      <c r="H4254" s="1">
        <v>-1.3063760000000001E-6</v>
      </c>
      <c r="I4254">
        <v>19.572320000000001</v>
      </c>
      <c r="J4254">
        <v>-411.26729999999998</v>
      </c>
      <c r="K4254">
        <v>1.135637</v>
      </c>
      <c r="L4254">
        <v>22.660309999999999</v>
      </c>
      <c r="M4254">
        <v>0.87409680000000001</v>
      </c>
      <c r="N4254">
        <v>-1.2969390000000001E-2</v>
      </c>
      <c r="O4254">
        <v>-0.48557869999999997</v>
      </c>
      <c r="P4254">
        <v>0.96449099999999999</v>
      </c>
      <c r="Q4254">
        <v>0.1203748</v>
      </c>
      <c r="R4254">
        <v>-0.2350891</v>
      </c>
      <c r="S4254">
        <v>2.9768370000000002</v>
      </c>
      <c r="T4254">
        <v>-0.2358721</v>
      </c>
      <c r="U4254">
        <v>-0.67126459999999999</v>
      </c>
      <c r="V4254">
        <v>-0.26769539999999997</v>
      </c>
      <c r="W4254">
        <v>0.1227563</v>
      </c>
      <c r="X4254">
        <v>0.95565160000000005</v>
      </c>
      <c r="Y4254">
        <v>-0.27960370000000001</v>
      </c>
      <c r="Z4254">
        <v>4.242332E-2</v>
      </c>
      <c r="AA4254">
        <v>0.95917779999999997</v>
      </c>
      <c r="AB4254">
        <v>33</v>
      </c>
      <c r="AC4254">
        <v>14.0557</v>
      </c>
      <c r="AD4254">
        <v>-1.1356383063760001</v>
      </c>
      <c r="AE4254">
        <v>-3.0879899999999898</v>
      </c>
      <c r="AF4254">
        <v>-4.1007563572155998</v>
      </c>
      <c r="AG4254">
        <v>-1.1356383063760001</v>
      </c>
      <c r="AH4254">
        <v>13.7013403928343</v>
      </c>
      <c r="AI4254">
        <v>94.540044900756399</v>
      </c>
      <c r="AJ4254">
        <v>106.662231287758</v>
      </c>
      <c r="AK4254">
        <v>14.346867449881399</v>
      </c>
      <c r="AL4254">
        <v>82.948796379340806</v>
      </c>
      <c r="AM4254">
        <v>105.64852593831201</v>
      </c>
      <c r="AN4254">
        <v>0.99999995847670398</v>
      </c>
    </row>
    <row r="4255" spans="1:40" x14ac:dyDescent="0.25">
      <c r="A4255" t="str">
        <f>"20190303162639020"</f>
        <v>20190303162639020</v>
      </c>
      <c r="B4255" t="str">
        <f>"1551601599008393"</f>
        <v>1551601599008393</v>
      </c>
      <c r="C4255" t="s">
        <v>40</v>
      </c>
      <c r="D4255">
        <v>5.6676209999999996</v>
      </c>
      <c r="E4255">
        <v>0.49074089999999998</v>
      </c>
      <c r="F4255" t="s">
        <v>41</v>
      </c>
      <c r="G4255">
        <v>-396.84500000000003</v>
      </c>
      <c r="H4255" s="1">
        <v>-1.4920859999999999E-6</v>
      </c>
      <c r="I4255">
        <v>19.50224</v>
      </c>
      <c r="J4255">
        <v>-411.02210000000002</v>
      </c>
      <c r="K4255">
        <v>1.135645</v>
      </c>
      <c r="L4255">
        <v>22.537410000000001</v>
      </c>
      <c r="M4255">
        <v>0.88127520000000004</v>
      </c>
      <c r="N4255">
        <v>-1.2970600000000001E-2</v>
      </c>
      <c r="O4255">
        <v>-0.4724255</v>
      </c>
      <c r="P4255">
        <v>0.96565590000000001</v>
      </c>
      <c r="Q4255">
        <v>0.1206516</v>
      </c>
      <c r="R4255">
        <v>-0.2301127</v>
      </c>
      <c r="S4255">
        <v>2.9806520000000001</v>
      </c>
      <c r="T4255">
        <v>-0.23470289999999999</v>
      </c>
      <c r="U4255">
        <v>-0.65267940000000002</v>
      </c>
      <c r="V4255">
        <v>-0.25827630000000001</v>
      </c>
      <c r="W4255">
        <v>0.12342119999999999</v>
      </c>
      <c r="X4255">
        <v>0.95815479999999997</v>
      </c>
      <c r="Y4255">
        <v>-0.2712406</v>
      </c>
      <c r="Z4255">
        <v>4.1096489999999999E-2</v>
      </c>
      <c r="AA4255">
        <v>0.96163379999999998</v>
      </c>
      <c r="AB4255">
        <v>33</v>
      </c>
      <c r="AC4255">
        <v>14.1770999999999</v>
      </c>
      <c r="AD4255">
        <v>-1.1356464920860001</v>
      </c>
      <c r="AE4255">
        <v>-3.0351699999999999</v>
      </c>
      <c r="AF4255">
        <v>-3.9986084191403801</v>
      </c>
      <c r="AG4255">
        <v>-1.1356464920860001</v>
      </c>
      <c r="AH4255">
        <v>13.8440496994215</v>
      </c>
      <c r="AI4255">
        <v>94.506160744273501</v>
      </c>
      <c r="AJ4255">
        <v>106.110424498516</v>
      </c>
      <c r="AK4255">
        <v>14.454628128203799</v>
      </c>
      <c r="AL4255">
        <v>82.910409010467106</v>
      </c>
      <c r="AM4255">
        <v>105.08585746985401</v>
      </c>
      <c r="AN4255">
        <v>1.00000003025708</v>
      </c>
    </row>
    <row r="4256" spans="1:40" x14ac:dyDescent="0.25">
      <c r="A4256" t="str">
        <f>"20190303162639043"</f>
        <v>20190303162639043</v>
      </c>
      <c r="B4256" t="str">
        <f>"1551601599037672"</f>
        <v>1551601599037672</v>
      </c>
      <c r="C4256" t="s">
        <v>40</v>
      </c>
      <c r="D4256">
        <v>5.660768</v>
      </c>
      <c r="E4256">
        <v>0.49147259999999998</v>
      </c>
      <c r="F4256" t="s">
        <v>41</v>
      </c>
      <c r="G4256">
        <v>-396.4855</v>
      </c>
      <c r="H4256" s="1">
        <v>-1.6773640000000001E-6</v>
      </c>
      <c r="I4256">
        <v>19.415749999999999</v>
      </c>
      <c r="J4256">
        <v>-410.72120000000001</v>
      </c>
      <c r="K4256">
        <v>1.1356569999999999</v>
      </c>
      <c r="L4256">
        <v>22.393219999999999</v>
      </c>
      <c r="M4256">
        <v>0.88973469999999999</v>
      </c>
      <c r="N4256">
        <v>-1.2972279999999999E-2</v>
      </c>
      <c r="O4256">
        <v>-0.45629389999999997</v>
      </c>
      <c r="P4256">
        <v>0.96722260000000004</v>
      </c>
      <c r="Q4256">
        <v>0.1214784</v>
      </c>
      <c r="R4256">
        <v>-0.22298750000000001</v>
      </c>
      <c r="S4256">
        <v>2.9831850000000002</v>
      </c>
      <c r="T4256">
        <v>-0.23305670000000001</v>
      </c>
      <c r="U4256">
        <v>-0.640625</v>
      </c>
      <c r="V4256">
        <v>-0.24784680000000001</v>
      </c>
      <c r="W4256">
        <v>0.1246765</v>
      </c>
      <c r="X4256">
        <v>0.96074340000000003</v>
      </c>
      <c r="Y4256">
        <v>-0.25766339999999999</v>
      </c>
      <c r="Z4256">
        <v>3.9292220000000003E-2</v>
      </c>
      <c r="AA4256">
        <v>0.9654355</v>
      </c>
      <c r="AB4256">
        <v>33</v>
      </c>
      <c r="AC4256">
        <v>14.2357</v>
      </c>
      <c r="AD4256">
        <v>-1.1356586773639901</v>
      </c>
      <c r="AE4256">
        <v>-2.9774699999999998</v>
      </c>
      <c r="AF4256">
        <v>-3.82351450134643</v>
      </c>
      <c r="AG4256">
        <v>-1.1356586773639901</v>
      </c>
      <c r="AH4256">
        <v>13.940773977369</v>
      </c>
      <c r="AI4256">
        <v>94.492035270564699</v>
      </c>
      <c r="AJ4256">
        <v>105.33727629438199</v>
      </c>
      <c r="AK4256">
        <v>14.50014354624</v>
      </c>
      <c r="AL4256">
        <v>82.837926072933001</v>
      </c>
      <c r="AM4256">
        <v>104.46543062289101</v>
      </c>
      <c r="AN4256">
        <v>1.0000000732830201</v>
      </c>
    </row>
    <row r="4257" spans="1:40" x14ac:dyDescent="0.25">
      <c r="A4257" t="str">
        <f>"20190303162639066"</f>
        <v>20190303162639066</v>
      </c>
      <c r="B4257" t="str">
        <f>"1551601599058169"</f>
        <v>1551601599058169</v>
      </c>
      <c r="C4257" t="s">
        <v>40</v>
      </c>
      <c r="D4257">
        <v>5.6595529999999998</v>
      </c>
      <c r="E4257">
        <v>0.49193490000000001</v>
      </c>
      <c r="F4257" t="s">
        <v>41</v>
      </c>
      <c r="G4257">
        <v>-395.8519</v>
      </c>
      <c r="H4257" s="1">
        <v>-1.9981290000000001E-6</v>
      </c>
      <c r="I4257">
        <v>19.295999999999999</v>
      </c>
      <c r="J4257">
        <v>-410.40699999999998</v>
      </c>
      <c r="K4257">
        <v>1.1356660000000001</v>
      </c>
      <c r="L4257">
        <v>22.249569999999999</v>
      </c>
      <c r="M4257">
        <v>0.89818089999999995</v>
      </c>
      <c r="N4257">
        <v>-1.297395E-2</v>
      </c>
      <c r="O4257">
        <v>-0.43943520000000003</v>
      </c>
      <c r="P4257">
        <v>0.96873509999999996</v>
      </c>
      <c r="Q4257">
        <v>0.1229479</v>
      </c>
      <c r="R4257">
        <v>-0.21549160000000001</v>
      </c>
      <c r="S4257">
        <v>2.9869080000000001</v>
      </c>
      <c r="T4257">
        <v>-0.22812840000000001</v>
      </c>
      <c r="U4257">
        <v>-0.62216190000000005</v>
      </c>
      <c r="V4257">
        <v>-0.23711960000000001</v>
      </c>
      <c r="W4257">
        <v>0.1265838</v>
      </c>
      <c r="X4257">
        <v>0.9631982</v>
      </c>
      <c r="Y4257">
        <v>-0.24552560000000001</v>
      </c>
      <c r="Z4257">
        <v>3.6928200000000001E-2</v>
      </c>
      <c r="AA4257">
        <v>0.96868650000000001</v>
      </c>
      <c r="AB4257">
        <v>33</v>
      </c>
      <c r="AC4257">
        <v>14.5550999999999</v>
      </c>
      <c r="AD4257">
        <v>-1.1356679981290001</v>
      </c>
      <c r="AE4257">
        <v>-2.95357</v>
      </c>
      <c r="AF4257">
        <v>-3.7217354595843299</v>
      </c>
      <c r="AG4257">
        <v>-1.1356679981290001</v>
      </c>
      <c r="AH4257">
        <v>14.288672517956901</v>
      </c>
      <c r="AI4257">
        <v>94.398191725823807</v>
      </c>
      <c r="AJ4257">
        <v>104.599305495327</v>
      </c>
      <c r="AK4257">
        <v>14.809024915858499</v>
      </c>
      <c r="AL4257">
        <v>82.727772326114902</v>
      </c>
      <c r="AM4257">
        <v>103.83003397213901</v>
      </c>
      <c r="AN4257">
        <v>0.99999996780491895</v>
      </c>
    </row>
    <row r="4258" spans="1:40" x14ac:dyDescent="0.25">
      <c r="A4258" t="str">
        <f>"20190303162639091"</f>
        <v>20190303162639091</v>
      </c>
      <c r="B4258" t="str">
        <f>"1551601599077689"</f>
        <v>1551601599077689</v>
      </c>
      <c r="C4258" t="s">
        <v>40</v>
      </c>
      <c r="D4258">
        <v>5.6716959999999998</v>
      </c>
      <c r="E4258">
        <v>0.49234030000000001</v>
      </c>
      <c r="F4258" t="s">
        <v>41</v>
      </c>
      <c r="G4258">
        <v>-395.20209999999997</v>
      </c>
      <c r="H4258" s="1">
        <v>-2.3231829999999998E-6</v>
      </c>
      <c r="I4258">
        <v>19.195160000000001</v>
      </c>
      <c r="J4258">
        <v>-410.09660000000002</v>
      </c>
      <c r="K4258">
        <v>1.1356740000000001</v>
      </c>
      <c r="L4258">
        <v>22.114409999999999</v>
      </c>
      <c r="M4258">
        <v>0.90614039999999996</v>
      </c>
      <c r="N4258">
        <v>-1.297533E-2</v>
      </c>
      <c r="O4258">
        <v>-0.42277819999999999</v>
      </c>
      <c r="P4258">
        <v>0.97028230000000004</v>
      </c>
      <c r="Q4258">
        <v>0.1243361</v>
      </c>
      <c r="R4258">
        <v>-0.20758869999999999</v>
      </c>
      <c r="S4258">
        <v>2.9915470000000002</v>
      </c>
      <c r="T4258">
        <v>-0.22344159999999999</v>
      </c>
      <c r="U4258">
        <v>-0.60095209999999999</v>
      </c>
      <c r="V4258">
        <v>-0.22714380000000001</v>
      </c>
      <c r="W4258">
        <v>0.1283782</v>
      </c>
      <c r="X4258">
        <v>0.96536250000000001</v>
      </c>
      <c r="Y4258">
        <v>-0.2346347</v>
      </c>
      <c r="Z4258">
        <v>3.4719680000000003E-2</v>
      </c>
      <c r="AA4258">
        <v>0.97146339999999998</v>
      </c>
      <c r="AB4258">
        <v>33</v>
      </c>
      <c r="AC4258">
        <v>14.894500000000001</v>
      </c>
      <c r="AD4258">
        <v>-1.135676323183</v>
      </c>
      <c r="AE4258">
        <v>-2.9192499999999901</v>
      </c>
      <c r="AF4258">
        <v>-3.6317933390925199</v>
      </c>
      <c r="AG4258">
        <v>-1.135676323183</v>
      </c>
      <c r="AH4258">
        <v>14.649921804229599</v>
      </c>
      <c r="AI4258">
        <v>94.303017333209596</v>
      </c>
      <c r="AJ4258">
        <v>103.923230587297</v>
      </c>
      <c r="AK4258">
        <v>15.1360461296522</v>
      </c>
      <c r="AL4258">
        <v>82.624115352380699</v>
      </c>
      <c r="AM4258">
        <v>103.24050205133599</v>
      </c>
      <c r="AN4258">
        <v>1.0000000122599599</v>
      </c>
    </row>
    <row r="4259" spans="1:40" x14ac:dyDescent="0.25">
      <c r="A4259" t="str">
        <f>"20190303162639111"</f>
        <v>20190303162639111</v>
      </c>
      <c r="B4259" t="str">
        <f>"1551601599098185"</f>
        <v>1551601599098185</v>
      </c>
      <c r="C4259" t="s">
        <v>40</v>
      </c>
      <c r="D4259">
        <v>5.6098509999999999</v>
      </c>
      <c r="E4259">
        <v>0.49272189999999999</v>
      </c>
      <c r="F4259" t="s">
        <v>41</v>
      </c>
      <c r="G4259">
        <v>-394.58330000000001</v>
      </c>
      <c r="H4259" s="1">
        <v>-2.6293660000000001E-6</v>
      </c>
      <c r="I4259">
        <v>19.118020000000001</v>
      </c>
      <c r="J4259">
        <v>-409.81849999999997</v>
      </c>
      <c r="K4259">
        <v>1.1356809999999999</v>
      </c>
      <c r="L4259">
        <v>21.998989999999999</v>
      </c>
      <c r="M4259">
        <v>0.91295610000000005</v>
      </c>
      <c r="N4259">
        <v>-1.2975220000000001E-2</v>
      </c>
      <c r="O4259">
        <v>-0.40785149999999998</v>
      </c>
      <c r="P4259">
        <v>0.9713427</v>
      </c>
      <c r="Q4259">
        <v>0.1245102</v>
      </c>
      <c r="R4259">
        <v>-0.2024618</v>
      </c>
      <c r="S4259">
        <v>2.9961549999999999</v>
      </c>
      <c r="T4259">
        <v>-0.2193378</v>
      </c>
      <c r="U4259">
        <v>-0.57870480000000002</v>
      </c>
      <c r="V4259">
        <v>-0.21637429999999999</v>
      </c>
      <c r="W4259">
        <v>0.12899059999999901</v>
      </c>
      <c r="X4259">
        <v>0.96775180000000005</v>
      </c>
      <c r="Y4259">
        <v>-0.2260122</v>
      </c>
      <c r="Z4259">
        <v>3.2849639999999999E-2</v>
      </c>
      <c r="AA4259">
        <v>0.97357039999999995</v>
      </c>
      <c r="AB4259">
        <v>33</v>
      </c>
      <c r="AC4259">
        <v>15.235199999999899</v>
      </c>
      <c r="AD4259">
        <v>-1.135683629366</v>
      </c>
      <c r="AE4259">
        <v>-2.8809699999999898</v>
      </c>
      <c r="AF4259">
        <v>-3.5646775910447501</v>
      </c>
      <c r="AG4259">
        <v>-1.135683629366</v>
      </c>
      <c r="AH4259">
        <v>15.004847124659401</v>
      </c>
      <c r="AI4259">
        <v>94.211561040690299</v>
      </c>
      <c r="AJ4259">
        <v>103.36392840803499</v>
      </c>
      <c r="AK4259">
        <v>15.464221314651001</v>
      </c>
      <c r="AL4259">
        <v>82.588732991529994</v>
      </c>
      <c r="AM4259">
        <v>102.60316578094</v>
      </c>
      <c r="AN4259">
        <v>0.99999997949604402</v>
      </c>
    </row>
    <row r="4260" spans="1:40" x14ac:dyDescent="0.25">
      <c r="A4260" t="str">
        <f>"20190303162639131"</f>
        <v>20190303162639131</v>
      </c>
      <c r="B4260" t="str">
        <f>"1551601599117705"</f>
        <v>1551601599117705</v>
      </c>
      <c r="C4260" t="s">
        <v>40</v>
      </c>
      <c r="D4260">
        <v>5.5512889999999997</v>
      </c>
      <c r="E4260">
        <v>0.49293150000000002</v>
      </c>
      <c r="F4260" t="s">
        <v>41</v>
      </c>
      <c r="G4260">
        <v>-394.31700000000001</v>
      </c>
      <c r="H4260" s="1">
        <v>-2.762138E-6</v>
      </c>
      <c r="I4260">
        <v>19.079370000000001</v>
      </c>
      <c r="J4260">
        <v>-409.54559999999998</v>
      </c>
      <c r="K4260">
        <v>1.1356729999999999</v>
      </c>
      <c r="L4260">
        <v>21.890840000000001</v>
      </c>
      <c r="M4260">
        <v>0.91935180000000005</v>
      </c>
      <c r="N4260">
        <v>-1.297336E-2</v>
      </c>
      <c r="O4260">
        <v>-0.39322259999999998</v>
      </c>
      <c r="P4260">
        <v>0.97191499999999997</v>
      </c>
      <c r="Q4260">
        <v>0.126380399999999</v>
      </c>
      <c r="R4260">
        <v>-0.19851659999999999</v>
      </c>
      <c r="S4260">
        <v>2.9988709999999998</v>
      </c>
      <c r="T4260">
        <v>-0.21970490000000001</v>
      </c>
      <c r="U4260">
        <v>-0.56481930000000002</v>
      </c>
      <c r="V4260">
        <v>-0.20479910000000001</v>
      </c>
      <c r="W4260">
        <v>0.13132940000000001</v>
      </c>
      <c r="X4260">
        <v>0.96995359999999997</v>
      </c>
      <c r="Y4260">
        <v>-0.2150099</v>
      </c>
      <c r="Z4260">
        <v>3.1665310000000002E-2</v>
      </c>
      <c r="AA4260">
        <v>0.97609840000000003</v>
      </c>
      <c r="AB4260">
        <v>33</v>
      </c>
      <c r="AC4260">
        <v>15.2286</v>
      </c>
      <c r="AD4260">
        <v>-1.135675762138</v>
      </c>
      <c r="AE4260">
        <v>-2.8114699999999999</v>
      </c>
      <c r="AF4260">
        <v>-3.3855778929211202</v>
      </c>
      <c r="AG4260">
        <v>-1.135675762138</v>
      </c>
      <c r="AH4260">
        <v>15.0264309241616</v>
      </c>
      <c r="AI4260">
        <v>94.216804695778606</v>
      </c>
      <c r="AJ4260">
        <v>102.697189287182</v>
      </c>
      <c r="AK4260">
        <v>15.444919016438501</v>
      </c>
      <c r="AL4260">
        <v>82.453580256245303</v>
      </c>
      <c r="AM4260">
        <v>101.92249824852</v>
      </c>
      <c r="AN4260">
        <v>1.00000003440906</v>
      </c>
    </row>
    <row r="4261" spans="1:40" x14ac:dyDescent="0.25">
      <c r="A4261" t="str">
        <f>"20190303162639154"</f>
        <v>20190303162639154</v>
      </c>
      <c r="B4261" t="str">
        <f>"1551601599147961"</f>
        <v>1551601599147961</v>
      </c>
      <c r="C4261" t="s">
        <v>40</v>
      </c>
      <c r="D4261">
        <v>5.6181580000000002</v>
      </c>
      <c r="E4261">
        <v>0.49300630000000001</v>
      </c>
      <c r="F4261" t="s">
        <v>41</v>
      </c>
      <c r="G4261">
        <v>-393.63819999999998</v>
      </c>
      <c r="H4261" s="1">
        <v>-3.1051999999999999E-6</v>
      </c>
      <c r="I4261">
        <v>18.954170000000001</v>
      </c>
      <c r="J4261">
        <v>-409.23520000000002</v>
      </c>
      <c r="K4261">
        <v>1.1356729999999999</v>
      </c>
      <c r="L4261">
        <v>21.77374</v>
      </c>
      <c r="M4261">
        <v>0.9262823</v>
      </c>
      <c r="N4261">
        <v>-1.296811E-2</v>
      </c>
      <c r="O4261">
        <v>-0.37660700000000003</v>
      </c>
      <c r="P4261">
        <v>0.97309290000000004</v>
      </c>
      <c r="Q4261">
        <v>0.1287508</v>
      </c>
      <c r="R4261">
        <v>-0.19108600000000001</v>
      </c>
      <c r="S4261">
        <v>3.0013429999999999</v>
      </c>
      <c r="T4261">
        <v>-0.2142743</v>
      </c>
      <c r="U4261">
        <v>-0.55407709999999999</v>
      </c>
      <c r="V4261">
        <v>-0.19469259999999999</v>
      </c>
      <c r="W4261">
        <v>0.13410749999999999</v>
      </c>
      <c r="X4261">
        <v>0.97165319999999999</v>
      </c>
      <c r="Y4261">
        <v>-0.20105970000000001</v>
      </c>
      <c r="Z4261">
        <v>2.9345139999999999E-2</v>
      </c>
      <c r="AA4261">
        <v>0.97913930000000005</v>
      </c>
      <c r="AB4261">
        <v>33</v>
      </c>
      <c r="AC4261">
        <v>15.597</v>
      </c>
      <c r="AD4261">
        <v>-1.1356761052</v>
      </c>
      <c r="AE4261">
        <v>-2.8195699999999899</v>
      </c>
      <c r="AF4261">
        <v>-3.2458317950775202</v>
      </c>
      <c r="AG4261">
        <v>-1.1356761052</v>
      </c>
      <c r="AH4261">
        <v>15.4311752474002</v>
      </c>
      <c r="AI4261">
        <v>94.119342765123804</v>
      </c>
      <c r="AJ4261">
        <v>101.87857211727901</v>
      </c>
      <c r="AK4261">
        <v>15.809691767198901</v>
      </c>
      <c r="AL4261">
        <v>82.292985772089494</v>
      </c>
      <c r="AM4261">
        <v>101.33045389632601</v>
      </c>
      <c r="AN4261">
        <v>0.99999998556062497</v>
      </c>
    </row>
    <row r="4262" spans="1:40" x14ac:dyDescent="0.25">
      <c r="A4262" t="str">
        <f>"20190303162639178"</f>
        <v>20190303162639178</v>
      </c>
      <c r="B4262" t="str">
        <f>"1551601599168457"</f>
        <v>1551601599168457</v>
      </c>
      <c r="C4262" t="s">
        <v>40</v>
      </c>
      <c r="D4262">
        <v>5.6108750000000001</v>
      </c>
      <c r="E4262">
        <v>0.49322959999999899</v>
      </c>
      <c r="F4262" t="s">
        <v>41</v>
      </c>
      <c r="G4262">
        <v>-392.90230000000003</v>
      </c>
      <c r="H4262" s="1">
        <v>-3.4658159999999999E-6</v>
      </c>
      <c r="I4262">
        <v>18.882349999999999</v>
      </c>
      <c r="J4262">
        <v>-408.91849999999999</v>
      </c>
      <c r="K4262">
        <v>1.1356569999999999</v>
      </c>
      <c r="L4262">
        <v>21.660520000000002</v>
      </c>
      <c r="M4262">
        <v>0.93297759999999996</v>
      </c>
      <c r="N4262">
        <v>-1.2958290000000001E-2</v>
      </c>
      <c r="O4262">
        <v>-0.35970089999999999</v>
      </c>
      <c r="P4262">
        <v>0.97376479999999999</v>
      </c>
      <c r="Q4262">
        <v>0.1302258</v>
      </c>
      <c r="R4262">
        <v>-0.18661050000000001</v>
      </c>
      <c r="S4262">
        <v>3.0061040000000001</v>
      </c>
      <c r="T4262">
        <v>-0.20902280000000001</v>
      </c>
      <c r="U4262">
        <v>-0.53216549999999996</v>
      </c>
      <c r="V4262">
        <v>-0.1814356</v>
      </c>
      <c r="W4262">
        <v>0.1361164</v>
      </c>
      <c r="X4262">
        <v>0.9739371</v>
      </c>
      <c r="Y4262">
        <v>-0.1905367</v>
      </c>
      <c r="Z4262">
        <v>2.7239570000000001E-2</v>
      </c>
      <c r="AA4262">
        <v>0.98130209999999995</v>
      </c>
      <c r="AB4262">
        <v>33</v>
      </c>
      <c r="AC4262">
        <v>16.016199999999898</v>
      </c>
      <c r="AD4262">
        <v>-1.1356604658160001</v>
      </c>
      <c r="AE4262">
        <v>-2.7781699999999998</v>
      </c>
      <c r="AF4262">
        <v>-3.1539432955364899</v>
      </c>
      <c r="AG4262">
        <v>-1.1356604658160001</v>
      </c>
      <c r="AH4262">
        <v>15.8659650303064</v>
      </c>
      <c r="AI4262">
        <v>94.015845907679406</v>
      </c>
      <c r="AJ4262">
        <v>101.24307527956201</v>
      </c>
      <c r="AK4262">
        <v>16.2162242630022</v>
      </c>
      <c r="AL4262">
        <v>82.176819264876599</v>
      </c>
      <c r="AM4262">
        <v>100.552716025883</v>
      </c>
      <c r="AN4262">
        <v>1.00000001302636</v>
      </c>
    </row>
    <row r="4263" spans="1:40" x14ac:dyDescent="0.25">
      <c r="A4263" t="str">
        <f>"20190303162639210"</f>
        <v>20190303162639210</v>
      </c>
      <c r="B4263" t="str">
        <f>"1551601599197652"</f>
        <v>1551601599197652</v>
      </c>
      <c r="C4263" t="s">
        <v>40</v>
      </c>
      <c r="D4263">
        <v>5.6730589999999896</v>
      </c>
      <c r="E4263">
        <v>0.49349359999999998</v>
      </c>
      <c r="F4263" t="s">
        <v>41</v>
      </c>
      <c r="G4263">
        <v>-392.34399999999999</v>
      </c>
      <c r="H4263" s="1">
        <v>-3.7438960000000002E-6</v>
      </c>
      <c r="I4263">
        <v>18.802430000000001</v>
      </c>
      <c r="J4263">
        <v>-408.48399999999998</v>
      </c>
      <c r="K4263">
        <v>1.135594</v>
      </c>
      <c r="L4263">
        <v>21.516449999999999</v>
      </c>
      <c r="M4263">
        <v>0.94153710000000002</v>
      </c>
      <c r="N4263">
        <v>-1.2935810000000001E-2</v>
      </c>
      <c r="O4263">
        <v>-0.3366613</v>
      </c>
      <c r="P4263">
        <v>0.97475769999999995</v>
      </c>
      <c r="Q4263">
        <v>0.12894649999999999</v>
      </c>
      <c r="R4263">
        <v>-0.1822647</v>
      </c>
      <c r="S4263">
        <v>3.0089419999999998</v>
      </c>
      <c r="T4263">
        <v>-0.2061685</v>
      </c>
      <c r="U4263">
        <v>-0.51885990000000004</v>
      </c>
      <c r="V4263">
        <v>-0.161773</v>
      </c>
      <c r="W4263">
        <v>0.1356251</v>
      </c>
      <c r="X4263">
        <v>0.97746370000000005</v>
      </c>
      <c r="Y4263">
        <v>-0.17085420000000001</v>
      </c>
      <c r="Z4263">
        <v>2.4868370000000001E-2</v>
      </c>
      <c r="AA4263">
        <v>0.98498240000000004</v>
      </c>
      <c r="AB4263">
        <v>33</v>
      </c>
      <c r="AC4263">
        <v>16.14</v>
      </c>
      <c r="AD4263">
        <v>-1.1355977438959901</v>
      </c>
      <c r="AE4263">
        <v>-2.7140200000000001</v>
      </c>
      <c r="AF4263">
        <v>-2.86481128684076</v>
      </c>
      <c r="AG4263">
        <v>-1.1355977438959901</v>
      </c>
      <c r="AH4263">
        <v>16.034266519141799</v>
      </c>
      <c r="AI4263">
        <v>93.988158158603497</v>
      </c>
      <c r="AJ4263">
        <v>100.130037025986</v>
      </c>
      <c r="AK4263">
        <v>16.327719643355699</v>
      </c>
      <c r="AL4263">
        <v>82.205231891954796</v>
      </c>
      <c r="AM4263">
        <v>99.397428811712501</v>
      </c>
      <c r="AN4263">
        <v>0.99999997804834895</v>
      </c>
    </row>
    <row r="4264" spans="1:40" x14ac:dyDescent="0.25">
      <c r="A4264" t="str">
        <f>"20190303162639232"</f>
        <v>20190303162639232</v>
      </c>
      <c r="B4264" t="str">
        <f>"1551601599227908"</f>
        <v>1551601599227908</v>
      </c>
      <c r="C4264" t="s">
        <v>40</v>
      </c>
      <c r="D4264">
        <v>5.6051060000000001</v>
      </c>
      <c r="E4264">
        <v>0.49364330000000001</v>
      </c>
      <c r="F4264" t="s">
        <v>41</v>
      </c>
      <c r="G4264">
        <v>-392.3682</v>
      </c>
      <c r="H4264" s="1">
        <v>-3.7299029999999999E-6</v>
      </c>
      <c r="I4264">
        <v>18.816839999999999</v>
      </c>
      <c r="J4264">
        <v>-408.17540000000002</v>
      </c>
      <c r="K4264">
        <v>1.1355379999999999</v>
      </c>
      <c r="L4264">
        <v>21.420680000000001</v>
      </c>
      <c r="M4264">
        <v>0.94719869999999995</v>
      </c>
      <c r="N4264">
        <v>-1.291555E-2</v>
      </c>
      <c r="O4264">
        <v>-0.32038680000000003</v>
      </c>
      <c r="P4264">
        <v>0.97510079999999999</v>
      </c>
      <c r="Q4264">
        <v>0.1265992</v>
      </c>
      <c r="R4264">
        <v>-0.18207400000000001</v>
      </c>
      <c r="S4264">
        <v>3.011444</v>
      </c>
      <c r="T4264">
        <v>-0.2122009</v>
      </c>
      <c r="U4264">
        <v>-0.5044556</v>
      </c>
      <c r="V4264">
        <v>-0.14507210000000001</v>
      </c>
      <c r="W4264">
        <v>0.13393920000000001</v>
      </c>
      <c r="X4264">
        <v>0.9803134</v>
      </c>
      <c r="Y4264">
        <v>-0.1585771</v>
      </c>
      <c r="Z4264">
        <v>2.4327419999999999E-2</v>
      </c>
      <c r="AA4264">
        <v>0.9870468</v>
      </c>
      <c r="AB4264">
        <v>33</v>
      </c>
      <c r="AC4264">
        <v>15.8072</v>
      </c>
      <c r="AD4264">
        <v>-1.135541729903</v>
      </c>
      <c r="AE4264">
        <v>-2.6038399999999902</v>
      </c>
      <c r="AF4264">
        <v>-2.58529213600427</v>
      </c>
      <c r="AG4264">
        <v>-1.135541729903</v>
      </c>
      <c r="AH4264">
        <v>15.729088189308399</v>
      </c>
      <c r="AI4264">
        <v>94.0747469979908</v>
      </c>
      <c r="AJ4264">
        <v>99.333893972393795</v>
      </c>
      <c r="AK4264">
        <v>15.980532084879901</v>
      </c>
      <c r="AL4264">
        <v>82.302716496834805</v>
      </c>
      <c r="AM4264">
        <v>98.417845968146395</v>
      </c>
      <c r="AN4264">
        <v>0.99999999285730501</v>
      </c>
    </row>
    <row r="4265" spans="1:40" x14ac:dyDescent="0.25">
      <c r="A4265" t="str">
        <f>"20190303162639256"</f>
        <v>20190303162639256</v>
      </c>
      <c r="B4265" t="str">
        <f>"1551601599248403"</f>
        <v>1551601599248403</v>
      </c>
      <c r="C4265" t="s">
        <v>40</v>
      </c>
      <c r="D4265">
        <v>5.3417199999999996</v>
      </c>
      <c r="E4265">
        <v>0.49374669999999998</v>
      </c>
      <c r="F4265" t="s">
        <v>41</v>
      </c>
      <c r="G4265">
        <v>-392.7944</v>
      </c>
      <c r="H4265" s="1">
        <v>-3.5239479999999999E-6</v>
      </c>
      <c r="I4265">
        <v>18.841950000000001</v>
      </c>
      <c r="J4265">
        <v>-407.83870000000002</v>
      </c>
      <c r="K4265">
        <v>1.135475</v>
      </c>
      <c r="L4265">
        <v>21.32254</v>
      </c>
      <c r="M4265">
        <v>0.95298300000000002</v>
      </c>
      <c r="N4265">
        <v>-1.289031E-2</v>
      </c>
      <c r="O4265">
        <v>-0.30274970000000001</v>
      </c>
      <c r="P4265">
        <v>0.97568330000000003</v>
      </c>
      <c r="Q4265">
        <v>0.12743479999999999</v>
      </c>
      <c r="R4265">
        <v>-0.1783323</v>
      </c>
      <c r="S4265">
        <v>3.0112000000000001</v>
      </c>
      <c r="T4265">
        <v>-0.2223108</v>
      </c>
      <c r="U4265">
        <v>-0.50485230000000003</v>
      </c>
      <c r="V4265">
        <v>-0.1305791</v>
      </c>
      <c r="W4265">
        <v>0.13533970000000001</v>
      </c>
      <c r="X4265">
        <v>0.9821569</v>
      </c>
      <c r="Y4265">
        <v>-0.14006939999999901</v>
      </c>
      <c r="Z4265">
        <v>2.3857960000000001E-2</v>
      </c>
      <c r="AA4265">
        <v>0.98985420000000002</v>
      </c>
      <c r="AB4265">
        <v>33</v>
      </c>
      <c r="AC4265">
        <v>15.0443</v>
      </c>
      <c r="AD4265">
        <v>-1.1354785239480001</v>
      </c>
      <c r="AE4265">
        <v>-2.4805899999999901</v>
      </c>
      <c r="AF4265">
        <v>-2.1787959177009202</v>
      </c>
      <c r="AG4265">
        <v>-1.1354785239480001</v>
      </c>
      <c r="AH4265">
        <v>15.0059923996891</v>
      </c>
      <c r="AI4265">
        <v>94.282494444099797</v>
      </c>
      <c r="AJ4265">
        <v>98.261332717457293</v>
      </c>
      <c r="AK4265">
        <v>15.205797283564699</v>
      </c>
      <c r="AL4265">
        <v>82.221736109732305</v>
      </c>
      <c r="AM4265">
        <v>97.573139365302097</v>
      </c>
      <c r="AN4265">
        <v>0.99999995598525404</v>
      </c>
    </row>
    <row r="4266" spans="1:40" x14ac:dyDescent="0.25">
      <c r="A4266" t="str">
        <f>"20190303162639279"</f>
        <v>20190303162639279</v>
      </c>
      <c r="B4266" t="str">
        <f>"1551601599267924"</f>
        <v>1551601599267924</v>
      </c>
      <c r="C4266" t="s">
        <v>40</v>
      </c>
      <c r="D4266">
        <v>5.6071220000000004</v>
      </c>
      <c r="E4266">
        <v>0.49373899999999998</v>
      </c>
      <c r="F4266" t="s">
        <v>41</v>
      </c>
      <c r="G4266">
        <v>-392.34609999999998</v>
      </c>
      <c r="H4266" s="1">
        <v>-3.7458530000000002E-6</v>
      </c>
      <c r="I4266">
        <v>18.785810000000001</v>
      </c>
      <c r="J4266">
        <v>-407.5197</v>
      </c>
      <c r="K4266">
        <v>1.1354120000000001</v>
      </c>
      <c r="L4266">
        <v>21.235659999999999</v>
      </c>
      <c r="M4266">
        <v>0.9580862</v>
      </c>
      <c r="N4266">
        <v>-1.286088E-2</v>
      </c>
      <c r="O4266">
        <v>-0.28619159999999999</v>
      </c>
      <c r="P4266">
        <v>0.97627900000000001</v>
      </c>
      <c r="Q4266">
        <v>0.12990860000000001</v>
      </c>
      <c r="R4266">
        <v>-0.17321439999999999</v>
      </c>
      <c r="S4266">
        <v>3.0133969999999999</v>
      </c>
      <c r="T4266">
        <v>-0.22085650000000001</v>
      </c>
      <c r="U4266">
        <v>-0.49340820000000002</v>
      </c>
      <c r="V4266">
        <v>-0.11865580000000001</v>
      </c>
      <c r="W4266">
        <v>0.13827020000000001</v>
      </c>
      <c r="X4266">
        <v>0.98326100000000005</v>
      </c>
      <c r="Y4266">
        <v>-0.1267575</v>
      </c>
      <c r="Z4266">
        <v>2.2184099999999998E-2</v>
      </c>
      <c r="AA4266">
        <v>0.99168559999999994</v>
      </c>
      <c r="AB4266">
        <v>33</v>
      </c>
      <c r="AC4266">
        <v>15.1736</v>
      </c>
      <c r="AD4266">
        <v>-1.1354157458530001</v>
      </c>
      <c r="AE4266">
        <v>-2.4498499999999899</v>
      </c>
      <c r="AF4266">
        <v>-1.9847235241766801</v>
      </c>
      <c r="AG4266">
        <v>-1.1354157458530001</v>
      </c>
      <c r="AH4266">
        <v>15.157288321916701</v>
      </c>
      <c r="AI4266">
        <v>94.247835648918695</v>
      </c>
      <c r="AJ4266">
        <v>97.459973477504704</v>
      </c>
      <c r="AK4266">
        <v>15.328786176898101</v>
      </c>
      <c r="AL4266">
        <v>82.052237643732397</v>
      </c>
      <c r="AM4266">
        <v>96.880940736482799</v>
      </c>
      <c r="AN4266">
        <v>1.00000002060134</v>
      </c>
    </row>
    <row r="4267" spans="1:40" x14ac:dyDescent="0.25">
      <c r="A4267" t="str">
        <f>"20190303162639301"</f>
        <v>20190303162639301</v>
      </c>
      <c r="B4267" t="str">
        <f>"1551601599288420"</f>
        <v>1551601599288420</v>
      </c>
      <c r="C4267" t="s">
        <v>40</v>
      </c>
      <c r="D4267">
        <v>5.6226849999999997</v>
      </c>
      <c r="E4267">
        <v>0.4937299</v>
      </c>
      <c r="F4267" t="s">
        <v>41</v>
      </c>
      <c r="G4267">
        <v>-391.60079999999999</v>
      </c>
      <c r="H4267" s="1">
        <v>-4.1091180000000003E-6</v>
      </c>
      <c r="I4267">
        <v>18.724070000000001</v>
      </c>
      <c r="J4267">
        <v>-407.20609999999999</v>
      </c>
      <c r="K4267">
        <v>1.1353139999999999</v>
      </c>
      <c r="L4267">
        <v>21.15625</v>
      </c>
      <c r="M4267">
        <v>0.96273699999999995</v>
      </c>
      <c r="N4267">
        <v>-1.2822099999999999E-2</v>
      </c>
      <c r="O4267">
        <v>-0.27013569999999998</v>
      </c>
      <c r="P4267">
        <v>0.97633999999999999</v>
      </c>
      <c r="Q4267">
        <v>0.1340016</v>
      </c>
      <c r="R4267">
        <v>-0.16971720000000001</v>
      </c>
      <c r="S4267">
        <v>3.0170590000000002</v>
      </c>
      <c r="T4267">
        <v>-0.2151912</v>
      </c>
      <c r="U4267">
        <v>-0.47601320000000003</v>
      </c>
      <c r="V4267">
        <v>-0.10567459999999999</v>
      </c>
      <c r="W4267">
        <v>0.14284910000000001</v>
      </c>
      <c r="X4267">
        <v>0.98408689999999999</v>
      </c>
      <c r="Y4267">
        <v>-0.1160379</v>
      </c>
      <c r="Z4267">
        <v>2.0210700000000002E-2</v>
      </c>
      <c r="AA4267">
        <v>0.99303909999999995</v>
      </c>
      <c r="AB4267">
        <v>33</v>
      </c>
      <c r="AC4267">
        <v>15.6053</v>
      </c>
      <c r="AD4267">
        <v>-1.135318109118</v>
      </c>
      <c r="AE4267">
        <v>-2.43217999999999</v>
      </c>
      <c r="AF4267">
        <v>-1.8645182015187101</v>
      </c>
      <c r="AG4267">
        <v>-1.135318109118</v>
      </c>
      <c r="AH4267">
        <v>15.6014874170236</v>
      </c>
      <c r="AI4267">
        <v>94.132764431020803</v>
      </c>
      <c r="AJ4267">
        <v>96.815039080866597</v>
      </c>
      <c r="AK4267">
        <v>15.753468981663501</v>
      </c>
      <c r="AL4267">
        <v>81.787254949850706</v>
      </c>
      <c r="AM4267">
        <v>96.129129052352795</v>
      </c>
      <c r="AN4267">
        <v>1.00000000660379</v>
      </c>
    </row>
    <row r="4268" spans="1:40" x14ac:dyDescent="0.25">
      <c r="A4268" t="str">
        <f>"20190303162639323"</f>
        <v>20190303162639323</v>
      </c>
      <c r="B4268" t="str">
        <f>"1551601599318206"</f>
        <v>1551601599318206</v>
      </c>
      <c r="C4268" t="s">
        <v>40</v>
      </c>
      <c r="D4268">
        <v>5.6755760000000004</v>
      </c>
      <c r="E4268">
        <v>0.49371530000000002</v>
      </c>
      <c r="F4268" t="s">
        <v>41</v>
      </c>
      <c r="G4268">
        <v>-390.42970000000003</v>
      </c>
      <c r="H4268" s="1">
        <v>-4.6873650000000003E-6</v>
      </c>
      <c r="I4268">
        <v>18.585090000000001</v>
      </c>
      <c r="J4268">
        <v>-406.90469999999999</v>
      </c>
      <c r="K4268">
        <v>1.135194</v>
      </c>
      <c r="L4268">
        <v>21.084869999999999</v>
      </c>
      <c r="M4268">
        <v>0.96688640000000003</v>
      </c>
      <c r="N4268">
        <v>-1.277824E-2</v>
      </c>
      <c r="O4268">
        <v>-0.25488709999999998</v>
      </c>
      <c r="P4268">
        <v>0.97604389999999996</v>
      </c>
      <c r="Q4268">
        <v>0.137063299999999</v>
      </c>
      <c r="R4268">
        <v>-0.16897419999999999</v>
      </c>
      <c r="S4268">
        <v>3.0202939999999998</v>
      </c>
      <c r="T4268">
        <v>-0.20439370000000001</v>
      </c>
      <c r="U4268">
        <v>-0.46289059999999999</v>
      </c>
      <c r="V4268">
        <v>-9.0798240000000002E-2</v>
      </c>
      <c r="W4268">
        <v>0.14645620000000001</v>
      </c>
      <c r="X4268">
        <v>0.98504130000000001</v>
      </c>
      <c r="Y4268">
        <v>-0.1048423</v>
      </c>
      <c r="Z4268">
        <v>1.7822609999999999E-2</v>
      </c>
      <c r="AA4268">
        <v>0.99432920000000002</v>
      </c>
      <c r="AB4268">
        <v>33</v>
      </c>
      <c r="AC4268">
        <v>16.474999999999898</v>
      </c>
      <c r="AD4268">
        <v>-1.135198687365</v>
      </c>
      <c r="AE4268">
        <v>-2.4997799999999999</v>
      </c>
      <c r="AF4268">
        <v>-1.7741733220779199</v>
      </c>
      <c r="AG4268">
        <v>-1.135198687365</v>
      </c>
      <c r="AH4268">
        <v>16.491431522031501</v>
      </c>
      <c r="AI4268">
        <v>93.915260369096799</v>
      </c>
      <c r="AJ4268">
        <v>96.140350870846802</v>
      </c>
      <c r="AK4268">
        <v>16.625392647466199</v>
      </c>
      <c r="AL4268">
        <v>81.578386822939805</v>
      </c>
      <c r="AM4268">
        <v>95.266476096604094</v>
      </c>
      <c r="AN4268">
        <v>1.0000000508056099</v>
      </c>
    </row>
    <row r="4269" spans="1:40" x14ac:dyDescent="0.25">
      <c r="A4269" t="str">
        <f>"20190303162639344"</f>
        <v>20190303162639344</v>
      </c>
      <c r="B4269" t="str">
        <f>"1551601599337726"</f>
        <v>1551601599337726</v>
      </c>
      <c r="C4269" t="s">
        <v>40</v>
      </c>
      <c r="D4269">
        <v>5.6059010000000002</v>
      </c>
      <c r="E4269">
        <v>0.49363970000000001</v>
      </c>
      <c r="F4269" t="s">
        <v>62</v>
      </c>
      <c r="G4269">
        <v>-389.59399999999999</v>
      </c>
      <c r="H4269" s="1">
        <v>-4.6724289999999998E-7</v>
      </c>
      <c r="I4269">
        <v>18.447859999999999</v>
      </c>
      <c r="J4269">
        <v>-406.58690000000001</v>
      </c>
      <c r="K4269">
        <v>1.1350260000000001</v>
      </c>
      <c r="L4269">
        <v>21.01483</v>
      </c>
      <c r="M4269">
        <v>0.97091689999999997</v>
      </c>
      <c r="N4269">
        <v>-1.2725490000000001E-2</v>
      </c>
      <c r="O4269">
        <v>-0.2390786</v>
      </c>
      <c r="P4269">
        <v>0.97640479999999996</v>
      </c>
      <c r="Q4269">
        <v>0.13785410000000001</v>
      </c>
      <c r="R4269">
        <v>-0.166222799999999</v>
      </c>
      <c r="S4269">
        <v>3.02182</v>
      </c>
      <c r="T4269">
        <v>-0.19816420000000001</v>
      </c>
      <c r="U4269">
        <v>-0.46032709999999999</v>
      </c>
      <c r="V4269">
        <v>-7.741808E-2</v>
      </c>
      <c r="W4269">
        <v>0.14772449999999901</v>
      </c>
      <c r="X4269">
        <v>0.98599389999999998</v>
      </c>
      <c r="Y4269">
        <v>-8.9604379999999997E-2</v>
      </c>
      <c r="Z4269">
        <v>1.582097E-2</v>
      </c>
      <c r="AA4269">
        <v>0.99585179999999995</v>
      </c>
      <c r="AB4269">
        <v>33</v>
      </c>
      <c r="AC4269">
        <v>16.992899999999999</v>
      </c>
      <c r="AD4269">
        <v>-1.13502646724289</v>
      </c>
      <c r="AE4269">
        <v>-2.5669699999999902</v>
      </c>
      <c r="AF4269">
        <v>-1.5636308022113701</v>
      </c>
      <c r="AG4269">
        <v>-1.13502646724289</v>
      </c>
      <c r="AH4269">
        <v>17.039461101474199</v>
      </c>
      <c r="AI4269">
        <v>93.7950376755646</v>
      </c>
      <c r="AJ4269">
        <v>95.243078673703096</v>
      </c>
      <c r="AK4269">
        <v>17.148657702444801</v>
      </c>
      <c r="AL4269">
        <v>81.504919297198398</v>
      </c>
      <c r="AM4269">
        <v>94.489528100288098</v>
      </c>
      <c r="AN4269">
        <v>1.0000000289241699</v>
      </c>
    </row>
    <row r="4270" spans="1:40" x14ac:dyDescent="0.25">
      <c r="A4270" t="str">
        <f>"20190303162639367"</f>
        <v>20190303162639367</v>
      </c>
      <c r="B4270" t="str">
        <f>"1551601599358223"</f>
        <v>1551601599358223</v>
      </c>
      <c r="C4270" t="s">
        <v>40</v>
      </c>
      <c r="D4270">
        <v>5.6752129999999896</v>
      </c>
      <c r="E4270">
        <v>0.49217300000000003</v>
      </c>
      <c r="F4270" t="s">
        <v>62</v>
      </c>
      <c r="G4270">
        <v>-389.25779999999997</v>
      </c>
      <c r="H4270" s="1">
        <v>-6.0194119999999996E-7</v>
      </c>
      <c r="I4270">
        <v>18.426929999999999</v>
      </c>
      <c r="J4270">
        <v>-406.2654</v>
      </c>
      <c r="K4270">
        <v>1.1347830000000001</v>
      </c>
      <c r="L4270">
        <v>20.949190000000002</v>
      </c>
      <c r="M4270">
        <v>0.97462979999999999</v>
      </c>
      <c r="N4270">
        <v>-1.266049E-2</v>
      </c>
      <c r="O4270">
        <v>-0.22346450000000001</v>
      </c>
      <c r="P4270">
        <v>0.97741120000000004</v>
      </c>
      <c r="Q4270">
        <v>0.136544</v>
      </c>
      <c r="R4270">
        <v>-0.16131719999999999</v>
      </c>
      <c r="S4270">
        <v>3.02359</v>
      </c>
      <c r="T4270">
        <v>-0.19803989999999999</v>
      </c>
      <c r="U4270">
        <v>-0.4515381</v>
      </c>
      <c r="V4270">
        <v>-6.6435679999999997E-2</v>
      </c>
      <c r="W4270">
        <v>0.14679110000000001</v>
      </c>
      <c r="X4270">
        <v>0.98693399999999998</v>
      </c>
      <c r="Y4270">
        <v>-7.6580759999999998E-2</v>
      </c>
      <c r="Z4270">
        <v>1.4525929999999999E-2</v>
      </c>
      <c r="AA4270">
        <v>0.99695750000000005</v>
      </c>
      <c r="AB4270">
        <v>33</v>
      </c>
      <c r="AC4270">
        <v>17.0076</v>
      </c>
      <c r="AD4270">
        <v>-1.1347836019411901</v>
      </c>
      <c r="AE4270">
        <v>-2.52225999999999</v>
      </c>
      <c r="AF4270">
        <v>-1.33661038915256</v>
      </c>
      <c r="AG4270">
        <v>-1.1347836019411901</v>
      </c>
      <c r="AH4270">
        <v>17.0667802863085</v>
      </c>
      <c r="AI4270">
        <v>93.792463311570799</v>
      </c>
      <c r="AJ4270">
        <v>94.478064114328106</v>
      </c>
      <c r="AK4270">
        <v>17.1566095280144</v>
      </c>
      <c r="AL4270">
        <v>81.558988588170607</v>
      </c>
      <c r="AM4270">
        <v>93.851068221957206</v>
      </c>
      <c r="AN4270">
        <v>1.0000000234861299</v>
      </c>
    </row>
    <row r="4271" spans="1:40" x14ac:dyDescent="0.25">
      <c r="A4271" t="str">
        <f>"20190303162639389"</f>
        <v>20190303162639389</v>
      </c>
      <c r="B4271" t="str">
        <f>"1551601599377742"</f>
        <v>1551601599377742</v>
      </c>
      <c r="C4271" t="s">
        <v>40</v>
      </c>
      <c r="D4271">
        <v>5.61191</v>
      </c>
      <c r="E4271">
        <v>0.49210730000000003</v>
      </c>
      <c r="F4271" t="s">
        <v>41</v>
      </c>
      <c r="G4271">
        <v>-393.52820000000003</v>
      </c>
      <c r="H4271" s="1">
        <v>-3.1187709999999999E-6</v>
      </c>
      <c r="I4271">
        <v>19.170829999999999</v>
      </c>
      <c r="J4271">
        <v>-405.95350000000002</v>
      </c>
      <c r="K4271">
        <v>1.134458</v>
      </c>
      <c r="L4271">
        <v>20.890170000000001</v>
      </c>
      <c r="M4271">
        <v>0.9778789</v>
      </c>
      <c r="N4271">
        <v>-1.2579440000000001E-2</v>
      </c>
      <c r="O4271">
        <v>-0.20879329999999999</v>
      </c>
      <c r="P4271">
        <v>0.97852950000000005</v>
      </c>
      <c r="Q4271">
        <v>0.1350036</v>
      </c>
      <c r="R4271">
        <v>-0.155738299999999</v>
      </c>
      <c r="S4271">
        <v>3.03714</v>
      </c>
      <c r="T4271">
        <v>-0.2705843</v>
      </c>
      <c r="U4271">
        <v>-0.42404170000000002</v>
      </c>
      <c r="V4271">
        <v>-5.7099080000000003E-2</v>
      </c>
      <c r="W4271">
        <v>0.14554909999999999</v>
      </c>
      <c r="X4271">
        <v>0.98770199999999997</v>
      </c>
      <c r="Y4271">
        <v>-7.0679140000000001E-2</v>
      </c>
      <c r="Z4271">
        <v>1.9247549999999999E-2</v>
      </c>
      <c r="AA4271">
        <v>0.99731340000000002</v>
      </c>
      <c r="AB4271">
        <v>33</v>
      </c>
      <c r="AC4271">
        <v>12.425299999999901</v>
      </c>
      <c r="AD4271">
        <v>-1.1344611187710001</v>
      </c>
      <c r="AE4271">
        <v>-1.7193400000000001</v>
      </c>
      <c r="AF4271">
        <v>-0.90567730060651597</v>
      </c>
      <c r="AG4271">
        <v>-1.1344611187710001</v>
      </c>
      <c r="AH4271">
        <v>12.408915946909101</v>
      </c>
      <c r="AI4271">
        <v>95.209853326125</v>
      </c>
      <c r="AJ4271">
        <v>94.174388743711106</v>
      </c>
      <c r="AK4271">
        <v>12.4935362640164</v>
      </c>
      <c r="AL4271">
        <v>81.630922724004094</v>
      </c>
      <c r="AM4271">
        <v>93.308588114565794</v>
      </c>
      <c r="AN4271">
        <v>1.00000004312582</v>
      </c>
    </row>
    <row r="4272" spans="1:40" x14ac:dyDescent="0.25">
      <c r="A4272" t="str">
        <f>"20190303162639411"</f>
        <v>20190303162639411</v>
      </c>
      <c r="B4272" t="str">
        <f>"1551601599397770"</f>
        <v>1551601599397770</v>
      </c>
      <c r="C4272" t="s">
        <v>40</v>
      </c>
      <c r="D4272">
        <v>5.6129499999999997</v>
      </c>
      <c r="E4272">
        <v>0.49197350000000001</v>
      </c>
      <c r="F4272" t="s">
        <v>41</v>
      </c>
      <c r="G4272">
        <v>-393.56560000000002</v>
      </c>
      <c r="H4272" s="1">
        <v>-3.0885609999999999E-6</v>
      </c>
      <c r="I4272">
        <v>19.241299999999999</v>
      </c>
      <c r="J4272">
        <v>-405.64030000000002</v>
      </c>
      <c r="K4272">
        <v>1.1340110000000001</v>
      </c>
      <c r="L4272">
        <v>20.835239999999999</v>
      </c>
      <c r="M4272">
        <v>0.98078019999999999</v>
      </c>
      <c r="N4272">
        <v>-1.247523E-2</v>
      </c>
      <c r="O4272">
        <v>-0.194717</v>
      </c>
      <c r="P4272">
        <v>0.97913879999999998</v>
      </c>
      <c r="Q4272">
        <v>0.1348249</v>
      </c>
      <c r="R4272">
        <v>-0.1520185</v>
      </c>
      <c r="S4272">
        <v>3.0397639999999999</v>
      </c>
      <c r="T4272">
        <v>-0.27837650000000003</v>
      </c>
      <c r="U4272">
        <v>-0.40460210000000002</v>
      </c>
      <c r="V4272">
        <v>-4.6482610000000001E-2</v>
      </c>
      <c r="W4272">
        <v>0.14568589999999901</v>
      </c>
      <c r="X4272">
        <v>0.98823830000000001</v>
      </c>
      <c r="Y4272">
        <v>-6.2739569999999995E-2</v>
      </c>
      <c r="Z4272">
        <v>1.8388970000000001E-2</v>
      </c>
      <c r="AA4272">
        <v>0.99786050000000004</v>
      </c>
      <c r="AB4272">
        <v>33</v>
      </c>
      <c r="AC4272">
        <v>12.0747</v>
      </c>
      <c r="AD4272">
        <v>-1.1340140885609999</v>
      </c>
      <c r="AE4272">
        <v>-1.5939399999999999</v>
      </c>
      <c r="AF4272">
        <v>-0.78113398067985595</v>
      </c>
      <c r="AG4272">
        <v>-1.1340140885609999</v>
      </c>
      <c r="AH4272">
        <v>12.0494789019835</v>
      </c>
      <c r="AI4272">
        <v>95.365252320706304</v>
      </c>
      <c r="AJ4272">
        <v>93.709134816290401</v>
      </c>
      <c r="AK4272">
        <v>12.127905839763599</v>
      </c>
      <c r="AL4272">
        <v>81.622999649378798</v>
      </c>
      <c r="AM4272">
        <v>92.692969843756501</v>
      </c>
      <c r="AN4272">
        <v>0.99999997603905499</v>
      </c>
    </row>
    <row r="4273" spans="1:40" x14ac:dyDescent="0.25">
      <c r="A4273" t="str">
        <f>"20190303162639432"</f>
        <v>20190303162639432</v>
      </c>
      <c r="B4273" t="str">
        <f>"1551601599418266"</f>
        <v>1551601599418266</v>
      </c>
      <c r="C4273" t="s">
        <v>40</v>
      </c>
      <c r="D4273">
        <v>5.636298</v>
      </c>
      <c r="E4273">
        <v>0.48891119999999999</v>
      </c>
      <c r="F4273" t="s">
        <v>41</v>
      </c>
      <c r="G4273">
        <v>-393.23110000000003</v>
      </c>
      <c r="H4273" s="1">
        <v>-3.2477420000000002E-6</v>
      </c>
      <c r="I4273">
        <v>19.235320000000002</v>
      </c>
      <c r="J4273">
        <v>-405.3202</v>
      </c>
      <c r="K4273">
        <v>1.133405</v>
      </c>
      <c r="L4273">
        <v>20.78314</v>
      </c>
      <c r="M4273">
        <v>0.98336789999999996</v>
      </c>
      <c r="N4273">
        <v>-1.234436E-2</v>
      </c>
      <c r="O4273">
        <v>-0.1812058</v>
      </c>
      <c r="P4273">
        <v>0.97982239999999998</v>
      </c>
      <c r="Q4273">
        <v>0.1342409</v>
      </c>
      <c r="R4273">
        <v>-0.14808099999999999</v>
      </c>
      <c r="S4273">
        <v>3.0413209999999999</v>
      </c>
      <c r="T4273">
        <v>-0.27793289999999998</v>
      </c>
      <c r="U4273">
        <v>-0.39212039999999998</v>
      </c>
      <c r="V4273">
        <v>-3.6623679999999999E-2</v>
      </c>
      <c r="W4273">
        <v>0.14535519999999999</v>
      </c>
      <c r="X4273">
        <v>0.98870150000000001</v>
      </c>
      <c r="Y4273">
        <v>-5.3184839999999997E-2</v>
      </c>
      <c r="Z4273">
        <v>1.6847109999999998E-2</v>
      </c>
      <c r="AA4273">
        <v>0.99844259999999996</v>
      </c>
      <c r="AB4273">
        <v>33</v>
      </c>
      <c r="AC4273">
        <v>12.089099999999901</v>
      </c>
      <c r="AD4273">
        <v>-1.133408247742</v>
      </c>
      <c r="AE4273">
        <v>-1.54781999999999</v>
      </c>
      <c r="AF4273">
        <v>-0.66285687323504705</v>
      </c>
      <c r="AG4273">
        <v>-1.133408247742</v>
      </c>
      <c r="AH4273">
        <v>12.0650912234724</v>
      </c>
      <c r="AI4273">
        <v>95.3586460665706</v>
      </c>
      <c r="AJ4273">
        <v>93.144672314346806</v>
      </c>
      <c r="AK4273">
        <v>12.1363264508316</v>
      </c>
      <c r="AL4273">
        <v>81.642151784493294</v>
      </c>
      <c r="AM4273">
        <v>92.121391882406698</v>
      </c>
      <c r="AN4273">
        <v>1.00000004210301</v>
      </c>
    </row>
    <row r="4274" spans="1:40" x14ac:dyDescent="0.25">
      <c r="A4274" t="str">
        <f>"20190303162639456"</f>
        <v>20190303162639456</v>
      </c>
      <c r="B4274" t="str">
        <f>"1551601599448521"</f>
        <v>1551601599448521</v>
      </c>
      <c r="C4274" t="s">
        <v>40</v>
      </c>
      <c r="D4274">
        <v>5.5808799999999996</v>
      </c>
      <c r="E4274">
        <v>0.46209109999999998</v>
      </c>
      <c r="F4274" t="s">
        <v>41</v>
      </c>
      <c r="G4274">
        <v>-392.47280000000001</v>
      </c>
      <c r="H4274" s="1">
        <v>-3.6014610000000001E-6</v>
      </c>
      <c r="I4274">
        <v>19.262139999999999</v>
      </c>
      <c r="J4274">
        <v>-404.97890000000001</v>
      </c>
      <c r="K4274">
        <v>1.132563</v>
      </c>
      <c r="L4274">
        <v>20.731449999999999</v>
      </c>
      <c r="M4274">
        <v>0.98571589999999998</v>
      </c>
      <c r="N4274">
        <v>-1.2184789999999999E-2</v>
      </c>
      <c r="O4274">
        <v>-0.1679755</v>
      </c>
      <c r="P4274">
        <v>0.98114900000000005</v>
      </c>
      <c r="Q4274">
        <v>0.1335838</v>
      </c>
      <c r="R4274">
        <v>-0.1396502</v>
      </c>
      <c r="S4274">
        <v>3.0440369999999999</v>
      </c>
      <c r="T4274">
        <v>-0.26854749999999999</v>
      </c>
      <c r="U4274">
        <v>-0.36038209999999998</v>
      </c>
      <c r="V4274">
        <v>-3.1528210000000001E-2</v>
      </c>
      <c r="W4274">
        <v>0.14476120000000001</v>
      </c>
      <c r="X4274">
        <v>0.98896419999999996</v>
      </c>
      <c r="Y4274">
        <v>-5.0236690000000001E-2</v>
      </c>
      <c r="Z4274">
        <v>1.5113059999999999E-2</v>
      </c>
      <c r="AA4274">
        <v>0.99862300000000004</v>
      </c>
      <c r="AB4274">
        <v>33</v>
      </c>
      <c r="AC4274">
        <v>12.5061</v>
      </c>
      <c r="AD4274">
        <v>-1.1325666014610001</v>
      </c>
      <c r="AE4274">
        <v>-1.4693099999999999</v>
      </c>
      <c r="AF4274">
        <v>-0.64720888671238297</v>
      </c>
      <c r="AG4274">
        <v>-1.1325666014610001</v>
      </c>
      <c r="AH4274">
        <v>12.474290083692001</v>
      </c>
      <c r="AI4274">
        <v>95.180848461366097</v>
      </c>
      <c r="AJ4274">
        <v>92.970038151059796</v>
      </c>
      <c r="AK4274">
        <v>12.5423083817087</v>
      </c>
      <c r="AL4274">
        <v>81.676549033797897</v>
      </c>
      <c r="AM4274">
        <v>91.825972831148903</v>
      </c>
      <c r="AN4274">
        <v>1.00000001096644</v>
      </c>
    </row>
    <row r="4275" spans="1:40" x14ac:dyDescent="0.25">
      <c r="A4275" t="str">
        <f>"20190303162639480"</f>
        <v>20190303162639480</v>
      </c>
      <c r="B4275" t="str">
        <f>"1551601599468041"</f>
        <v>1551601599468041</v>
      </c>
      <c r="C4275" t="s">
        <v>40</v>
      </c>
      <c r="D4275">
        <v>5.5774530000000002</v>
      </c>
      <c r="E4275">
        <v>0.46164050000000001</v>
      </c>
      <c r="F4275" t="s">
        <v>63</v>
      </c>
      <c r="G4275">
        <v>-379.94</v>
      </c>
      <c r="H4275" s="1">
        <v>-3.087121E-8</v>
      </c>
      <c r="I4275">
        <v>19.699120000000001</v>
      </c>
      <c r="J4275">
        <v>-404.63760000000002</v>
      </c>
      <c r="K4275">
        <v>1.131516</v>
      </c>
      <c r="L4275">
        <v>20.683260000000001</v>
      </c>
      <c r="M4275">
        <v>0.98763330000000005</v>
      </c>
      <c r="N4275">
        <v>-1.2013680000000001E-2</v>
      </c>
      <c r="O4275">
        <v>-0.1563206</v>
      </c>
      <c r="P4275">
        <v>0.98234219999999906</v>
      </c>
      <c r="Q4275">
        <v>0.13303119999999999</v>
      </c>
      <c r="R4275">
        <v>-0.13155430000000001</v>
      </c>
      <c r="S4275">
        <v>3.0585019999999998</v>
      </c>
      <c r="T4275">
        <v>-0.13834270000000001</v>
      </c>
      <c r="U4275">
        <v>-0.12609860000000001</v>
      </c>
      <c r="V4275">
        <v>-2.7618E-2</v>
      </c>
      <c r="W4275">
        <v>0.14421909999999999</v>
      </c>
      <c r="X4275">
        <v>0.98916029999999999</v>
      </c>
      <c r="Y4275">
        <v>-0.1152784</v>
      </c>
      <c r="Z4275">
        <v>8.4506419999999995E-3</v>
      </c>
      <c r="AA4275">
        <v>0.99329730000000005</v>
      </c>
      <c r="AB4275">
        <v>33</v>
      </c>
      <c r="AC4275">
        <v>24.697600000000001</v>
      </c>
      <c r="AD4275">
        <v>-1.13151603087121</v>
      </c>
      <c r="AE4275">
        <v>-0.98414000000000001</v>
      </c>
      <c r="AF4275">
        <v>-2.8829410197641701</v>
      </c>
      <c r="AG4275">
        <v>-1.13151603087121</v>
      </c>
      <c r="AH4275">
        <v>24.4964486880172</v>
      </c>
      <c r="AI4275">
        <v>92.626569411474705</v>
      </c>
      <c r="AJ4275">
        <v>96.712157373245006</v>
      </c>
      <c r="AK4275">
        <v>24.691449446644899</v>
      </c>
      <c r="AL4275">
        <v>81.707938385222306</v>
      </c>
      <c r="AM4275">
        <v>91.599319987645799</v>
      </c>
      <c r="AN4275">
        <v>1.0000000009124499</v>
      </c>
    </row>
    <row r="4276" spans="1:40" x14ac:dyDescent="0.25">
      <c r="A4276" t="str">
        <f>"20190303162639502"</f>
        <v>20190303162639502</v>
      </c>
      <c r="B4276" t="str">
        <f>"1551601599488537"</f>
        <v>1551601599488537</v>
      </c>
      <c r="C4276" t="s">
        <v>40</v>
      </c>
      <c r="D4276">
        <v>5.5732169999999996</v>
      </c>
      <c r="E4276">
        <v>0.461897</v>
      </c>
      <c r="F4276" t="s">
        <v>62</v>
      </c>
      <c r="G4276">
        <v>-380.0283</v>
      </c>
      <c r="H4276" s="1">
        <v>-4.7636600000000004E-6</v>
      </c>
      <c r="I4276">
        <v>19.881350000000001</v>
      </c>
      <c r="J4276">
        <v>-404.32740000000001</v>
      </c>
      <c r="K4276">
        <v>1.1304270000000001</v>
      </c>
      <c r="L4276">
        <v>20.641690000000001</v>
      </c>
      <c r="M4276">
        <v>0.98903569999999996</v>
      </c>
      <c r="N4276">
        <v>-1.186298E-2</v>
      </c>
      <c r="O4276">
        <v>-0.14719939999999901</v>
      </c>
      <c r="P4276">
        <v>0.98279819999999996</v>
      </c>
      <c r="Q4276">
        <v>0.1360015</v>
      </c>
      <c r="R4276">
        <v>-0.1249454</v>
      </c>
      <c r="S4276">
        <v>3.0596619999999999</v>
      </c>
      <c r="T4276">
        <v>-0.140681</v>
      </c>
      <c r="U4276">
        <v>-9.9700929999999993E-2</v>
      </c>
      <c r="V4276">
        <v>-2.47619E-2</v>
      </c>
      <c r="W4276">
        <v>0.1471722</v>
      </c>
      <c r="X4276">
        <v>0.98880089999999998</v>
      </c>
      <c r="Y4276">
        <v>-0.1146817</v>
      </c>
      <c r="Z4276">
        <v>8.3045040000000007E-3</v>
      </c>
      <c r="AA4276">
        <v>0.99336760000000002</v>
      </c>
      <c r="AB4276">
        <v>33</v>
      </c>
      <c r="AC4276">
        <v>24.299099999999999</v>
      </c>
      <c r="AD4276">
        <v>-1.1304317636599901</v>
      </c>
      <c r="AE4276">
        <v>-0.76033999999999902</v>
      </c>
      <c r="AF4276">
        <v>-2.8189134336081998</v>
      </c>
      <c r="AG4276">
        <v>-1.1304317636599901</v>
      </c>
      <c r="AH4276">
        <v>24.094202992306901</v>
      </c>
      <c r="AI4276">
        <v>92.668014693471903</v>
      </c>
      <c r="AJ4276">
        <v>96.673012355924996</v>
      </c>
      <c r="AK4276">
        <v>24.284867031815502</v>
      </c>
      <c r="AL4276">
        <v>81.536913332405106</v>
      </c>
      <c r="AM4276">
        <v>91.434521245445396</v>
      </c>
      <c r="AN4276">
        <v>1.0000000139926299</v>
      </c>
    </row>
    <row r="4277" spans="1:40" x14ac:dyDescent="0.25">
      <c r="A4277" t="str">
        <f>"20190303162639523"</f>
        <v>20190303162639523</v>
      </c>
      <c r="B4277" t="str">
        <f>"1551601599517817"</f>
        <v>1551601599517817</v>
      </c>
      <c r="C4277" t="s">
        <v>40</v>
      </c>
      <c r="D4277">
        <v>5.6339509999999997</v>
      </c>
      <c r="E4277">
        <v>0.46294180000000001</v>
      </c>
      <c r="F4277" t="s">
        <v>63</v>
      </c>
      <c r="G4277">
        <v>-377.91329999999999</v>
      </c>
      <c r="H4277" s="1">
        <v>-1.044342E-6</v>
      </c>
      <c r="I4277">
        <v>19.90746</v>
      </c>
      <c r="J4277">
        <v>-404.00409999999999</v>
      </c>
      <c r="K4277">
        <v>1.129351</v>
      </c>
      <c r="L4277">
        <v>20.600249999999999</v>
      </c>
      <c r="M4277">
        <v>0.99022049999999995</v>
      </c>
      <c r="N4277">
        <v>-1.1723630000000001E-2</v>
      </c>
      <c r="O4277">
        <v>-0.13901749999999999</v>
      </c>
      <c r="P4277">
        <v>0.98316930000000002</v>
      </c>
      <c r="Q4277">
        <v>0.13814370000000001</v>
      </c>
      <c r="R4277">
        <v>-0.1195595</v>
      </c>
      <c r="S4277">
        <v>3.0597530000000002</v>
      </c>
      <c r="T4277">
        <v>-0.13094649999999999</v>
      </c>
      <c r="U4277">
        <v>-8.5052489999999994E-2</v>
      </c>
      <c r="V4277">
        <v>-2.1600959999999999E-2</v>
      </c>
      <c r="W4277">
        <v>0.14930179999999901</v>
      </c>
      <c r="X4277">
        <v>0.98855570000000004</v>
      </c>
      <c r="Y4277">
        <v>-0.1112611</v>
      </c>
      <c r="Z4277">
        <v>7.3264139999999998E-3</v>
      </c>
      <c r="AA4277">
        <v>0.99376419999999999</v>
      </c>
      <c r="AB4277">
        <v>33</v>
      </c>
      <c r="AC4277">
        <v>26.090800000000002</v>
      </c>
      <c r="AD4277">
        <v>-1.129352044342</v>
      </c>
      <c r="AE4277">
        <v>-0.69278999999999802</v>
      </c>
      <c r="AF4277">
        <v>-2.9357684727973901</v>
      </c>
      <c r="AG4277">
        <v>-1.129352044342</v>
      </c>
      <c r="AH4277">
        <v>25.8852726508931</v>
      </c>
      <c r="AI4277">
        <v>92.482287411193596</v>
      </c>
      <c r="AJ4277">
        <v>96.470530620834793</v>
      </c>
      <c r="AK4277">
        <v>26.075688155387301</v>
      </c>
      <c r="AL4277">
        <v>81.413532978547295</v>
      </c>
      <c r="AM4277">
        <v>91.251772580548405</v>
      </c>
      <c r="AN4277">
        <v>1.0000000004793199</v>
      </c>
    </row>
    <row r="4278" spans="1:40" x14ac:dyDescent="0.25">
      <c r="A4278" t="str">
        <f>"20190303162639549"</f>
        <v>20190303162639549</v>
      </c>
      <c r="B4278" t="str">
        <f>"1551601599538314"</f>
        <v>1551601599538314</v>
      </c>
      <c r="C4278" t="s">
        <v>40</v>
      </c>
      <c r="D4278">
        <v>5.5728920000000004</v>
      </c>
      <c r="E4278">
        <v>0.46352779999999999</v>
      </c>
      <c r="F4278" t="s">
        <v>63</v>
      </c>
      <c r="G4278">
        <v>-376.39229999999998</v>
      </c>
      <c r="H4278" s="1">
        <v>-1.7496149999999999E-6</v>
      </c>
      <c r="I4278">
        <v>19.855920000000001</v>
      </c>
      <c r="J4278">
        <v>-403.6386</v>
      </c>
      <c r="K4278">
        <v>1.1281680000000001</v>
      </c>
      <c r="L4278">
        <v>20.55518</v>
      </c>
      <c r="M4278">
        <v>0.99124999999999996</v>
      </c>
      <c r="N4278">
        <v>-1.158523E-2</v>
      </c>
      <c r="O4278">
        <v>-0.13148859999999901</v>
      </c>
      <c r="P4278">
        <v>0.98388889999999996</v>
      </c>
      <c r="Q4278">
        <v>0.13745189999999999</v>
      </c>
      <c r="R4278">
        <v>-0.1143228</v>
      </c>
      <c r="S4278">
        <v>3.0588989999999998</v>
      </c>
      <c r="T4278">
        <v>-0.12511230000000001</v>
      </c>
      <c r="U4278">
        <v>-8.2458500000000004E-2</v>
      </c>
      <c r="V4278">
        <v>-1.890242E-2</v>
      </c>
      <c r="W4278">
        <v>0.1485813</v>
      </c>
      <c r="X4278">
        <v>0.98871949999999997</v>
      </c>
      <c r="Y4278">
        <v>-0.1045687</v>
      </c>
      <c r="Z4278">
        <v>6.5774500000000003E-3</v>
      </c>
      <c r="AA4278">
        <v>0.99449589999999999</v>
      </c>
      <c r="AB4278">
        <v>33</v>
      </c>
      <c r="AC4278">
        <v>27.246300000000002</v>
      </c>
      <c r="AD4278">
        <v>-1.1281697496150001</v>
      </c>
      <c r="AE4278">
        <v>-0.69925999999999799</v>
      </c>
      <c r="AF4278">
        <v>-2.88468774696151</v>
      </c>
      <c r="AG4278">
        <v>-1.1281697496150001</v>
      </c>
      <c r="AH4278">
        <v>27.055302586955101</v>
      </c>
      <c r="AI4278">
        <v>92.374331393372003</v>
      </c>
      <c r="AJ4278">
        <v>96.085992014441899</v>
      </c>
      <c r="AK4278">
        <v>27.232032396666899</v>
      </c>
      <c r="AL4278">
        <v>81.455280034828505</v>
      </c>
      <c r="AM4278">
        <v>91.0952519578276</v>
      </c>
      <c r="AN4278">
        <v>0.99999997693589704</v>
      </c>
    </row>
    <row r="4279" spans="1:40" x14ac:dyDescent="0.25">
      <c r="A4279" t="str">
        <f>"20190303162639570"</f>
        <v>20190303162639570</v>
      </c>
      <c r="B4279" t="str">
        <f>"1551601599557834"</f>
        <v>1551601599557834</v>
      </c>
      <c r="C4279" t="s">
        <v>40</v>
      </c>
      <c r="D4279">
        <v>5.6271469999999999</v>
      </c>
      <c r="E4279">
        <v>0.46414919999999998</v>
      </c>
      <c r="F4279" t="s">
        <v>63</v>
      </c>
      <c r="G4279">
        <v>-376.68880000000001</v>
      </c>
      <c r="H4279" s="1">
        <v>-1.625771E-6</v>
      </c>
      <c r="I4279">
        <v>19.917359999999999</v>
      </c>
      <c r="J4279">
        <v>-403.31540000000001</v>
      </c>
      <c r="K4279">
        <v>1.127127</v>
      </c>
      <c r="L4279">
        <v>20.51651</v>
      </c>
      <c r="M4279">
        <v>0.99191560000000001</v>
      </c>
      <c r="N4279">
        <v>-1.1472019999999999E-2</v>
      </c>
      <c r="O4279">
        <v>-0.12638050000000001</v>
      </c>
      <c r="P4279">
        <v>0.98428709999999997</v>
      </c>
      <c r="Q4279">
        <v>0.1362102</v>
      </c>
      <c r="R4279">
        <v>-0.1123649</v>
      </c>
      <c r="S4279">
        <v>3.0585939999999998</v>
      </c>
      <c r="T4279">
        <v>-0.12803889999999901</v>
      </c>
      <c r="U4279">
        <v>-7.2387699999999999E-2</v>
      </c>
      <c r="V4279">
        <v>-1.538578E-2</v>
      </c>
      <c r="W4279">
        <v>0.14733070000000001</v>
      </c>
      <c r="X4279">
        <v>0.98896759999999995</v>
      </c>
      <c r="Y4279">
        <v>-0.1027106</v>
      </c>
      <c r="Z4279">
        <v>6.5603550000000004E-3</v>
      </c>
      <c r="AA4279">
        <v>0.99468959999999995</v>
      </c>
      <c r="AB4279">
        <v>33</v>
      </c>
      <c r="AC4279">
        <v>26.6266</v>
      </c>
      <c r="AD4279">
        <v>-1.127128625771</v>
      </c>
      <c r="AE4279">
        <v>-0.59914999999999796</v>
      </c>
      <c r="AF4279">
        <v>-2.76600494772326</v>
      </c>
      <c r="AG4279">
        <v>-1.127128625771</v>
      </c>
      <c r="AH4279">
        <v>26.441444679369798</v>
      </c>
      <c r="AI4279">
        <v>92.427658538114599</v>
      </c>
      <c r="AJ4279">
        <v>95.971916251567606</v>
      </c>
      <c r="AK4279">
        <v>26.6096072695941</v>
      </c>
      <c r="AL4279">
        <v>81.5277316229717</v>
      </c>
      <c r="AM4279">
        <v>90.891302352249696</v>
      </c>
      <c r="AN4279">
        <v>0.99999998561922898</v>
      </c>
    </row>
    <row r="4280" spans="1:40" x14ac:dyDescent="0.25">
      <c r="A4280" t="str">
        <f>"20190303162639591"</f>
        <v>20190303162639591</v>
      </c>
      <c r="B4280" t="str">
        <f>"1551601599578330"</f>
        <v>1551601599578330</v>
      </c>
      <c r="C4280" t="s">
        <v>40</v>
      </c>
      <c r="D4280">
        <v>5.686223</v>
      </c>
      <c r="E4280">
        <v>0.4646557</v>
      </c>
      <c r="F4280" t="s">
        <v>63</v>
      </c>
      <c r="G4280">
        <v>-377.35840000000002</v>
      </c>
      <c r="H4280" s="1">
        <v>-1.307277E-6</v>
      </c>
      <c r="I4280">
        <v>19.909849999999999</v>
      </c>
      <c r="J4280">
        <v>-403.0052</v>
      </c>
      <c r="K4280">
        <v>1.126134</v>
      </c>
      <c r="L4280">
        <v>20.480070000000001</v>
      </c>
      <c r="M4280">
        <v>0.99236179999999996</v>
      </c>
      <c r="N4280">
        <v>-1.1370969999999999E-2</v>
      </c>
      <c r="O4280">
        <v>-0.122837</v>
      </c>
      <c r="P4280">
        <v>0.98449869999999995</v>
      </c>
      <c r="Q4280">
        <v>0.13679450000000001</v>
      </c>
      <c r="R4280">
        <v>-0.1097716</v>
      </c>
      <c r="S4280">
        <v>3.0580750000000001</v>
      </c>
      <c r="T4280">
        <v>-0.13279070000000001</v>
      </c>
      <c r="U4280">
        <v>-7.1472170000000002E-2</v>
      </c>
      <c r="V4280">
        <v>-1.4085439999999999E-2</v>
      </c>
      <c r="W4280">
        <v>0.14786550000000001</v>
      </c>
      <c r="X4280">
        <v>0.98890719999999999</v>
      </c>
      <c r="Y4280">
        <v>-9.9442530000000001E-2</v>
      </c>
      <c r="Z4280">
        <v>6.6429050000000002E-3</v>
      </c>
      <c r="AA4280">
        <v>0.99502109999999999</v>
      </c>
      <c r="AB4280">
        <v>34</v>
      </c>
      <c r="AC4280">
        <v>25.646799999999899</v>
      </c>
      <c r="AD4280">
        <v>-1.126135307277</v>
      </c>
      <c r="AE4280">
        <v>-0.57022000000000195</v>
      </c>
      <c r="AF4280">
        <v>-2.5797070038960701</v>
      </c>
      <c r="AG4280">
        <v>-1.126135307277</v>
      </c>
      <c r="AH4280">
        <v>25.473507105869999</v>
      </c>
      <c r="AI4280">
        <v>92.518424909195701</v>
      </c>
      <c r="AJ4280">
        <v>95.782640226444002</v>
      </c>
      <c r="AK4280">
        <v>25.628551134019599</v>
      </c>
      <c r="AL4280">
        <v>81.496750878928296</v>
      </c>
      <c r="AM4280">
        <v>90.816033794926</v>
      </c>
      <c r="AN4280">
        <v>1.0000000279610399</v>
      </c>
    </row>
    <row r="4281" spans="1:40" x14ac:dyDescent="0.25">
      <c r="A4281" t="str">
        <f>"20190303162639613"</f>
        <v>20190303162639613</v>
      </c>
      <c r="B4281" t="str">
        <f>"1551601599598356"</f>
        <v>1551601599598356</v>
      </c>
      <c r="C4281" t="s">
        <v>40</v>
      </c>
      <c r="D4281">
        <v>5.6917049999999998</v>
      </c>
      <c r="E4281">
        <v>0.46514909999999998</v>
      </c>
      <c r="F4281" t="s">
        <v>63</v>
      </c>
      <c r="G4281">
        <v>-377.19760000000002</v>
      </c>
      <c r="H4281" s="1">
        <v>-1.3791169999999999E-6</v>
      </c>
      <c r="I4281">
        <v>19.894169999999999</v>
      </c>
      <c r="J4281">
        <v>-402.66520000000003</v>
      </c>
      <c r="K4281">
        <v>1.1250629999999999</v>
      </c>
      <c r="L4281">
        <v>20.44049</v>
      </c>
      <c r="M4281">
        <v>0.99267439999999996</v>
      </c>
      <c r="N4281">
        <v>-1.127268E-2</v>
      </c>
      <c r="O4281">
        <v>-0.12029430000000001</v>
      </c>
      <c r="P4281">
        <v>0.98441129999999999</v>
      </c>
      <c r="Q4281">
        <v>0.1392012</v>
      </c>
      <c r="R4281">
        <v>-0.1075052</v>
      </c>
      <c r="S4281">
        <v>3.0580750000000001</v>
      </c>
      <c r="T4281">
        <v>-0.13344159999999999</v>
      </c>
      <c r="U4281">
        <v>-6.9427489999999994E-2</v>
      </c>
      <c r="V4281">
        <v>-1.3408679999999999E-2</v>
      </c>
      <c r="W4281">
        <v>0.15021219999999999</v>
      </c>
      <c r="X4281">
        <v>0.98856290000000002</v>
      </c>
      <c r="Y4281">
        <v>-9.7559499999999993E-2</v>
      </c>
      <c r="Z4281">
        <v>6.5538050000000002E-3</v>
      </c>
      <c r="AA4281">
        <v>0.99520810000000004</v>
      </c>
      <c r="AB4281">
        <v>34</v>
      </c>
      <c r="AC4281">
        <v>25.467600000000001</v>
      </c>
      <c r="AD4281">
        <v>-1.1250643791170001</v>
      </c>
      <c r="AE4281">
        <v>-0.54631999999999703</v>
      </c>
      <c r="AF4281">
        <v>-2.51654023864109</v>
      </c>
      <c r="AG4281">
        <v>-1.1250643791170001</v>
      </c>
      <c r="AH4281">
        <v>25.299011617282499</v>
      </c>
      <c r="AI4281">
        <v>92.533816547677205</v>
      </c>
      <c r="AJ4281">
        <v>95.680632100700393</v>
      </c>
      <c r="AK4281">
        <v>25.448747188049399</v>
      </c>
      <c r="AL4281">
        <v>81.360776401903706</v>
      </c>
      <c r="AM4281">
        <v>90.7771014509525</v>
      </c>
      <c r="AN4281">
        <v>1.0000000524922901</v>
      </c>
    </row>
    <row r="4282" spans="1:40" x14ac:dyDescent="0.25">
      <c r="A4282" t="str">
        <f>"20190303162639636"</f>
        <v>20190303162639636</v>
      </c>
      <c r="B4282" t="str">
        <f>"1551601599627636"</f>
        <v>1551601599627636</v>
      </c>
      <c r="C4282" t="s">
        <v>40</v>
      </c>
      <c r="D4282">
        <v>5.6292339999999896</v>
      </c>
      <c r="E4282">
        <v>0.47289930000000002</v>
      </c>
      <c r="F4282" t="s">
        <v>63</v>
      </c>
      <c r="G4282">
        <v>-375.54559999999998</v>
      </c>
      <c r="H4282" s="1">
        <v>-2.1461239999999999E-6</v>
      </c>
      <c r="I4282">
        <v>19.841850000000001</v>
      </c>
      <c r="J4282">
        <v>-402.33370000000002</v>
      </c>
      <c r="K4282">
        <v>1.1240730000000001</v>
      </c>
      <c r="L4282">
        <v>20.401890000000002</v>
      </c>
      <c r="M4282">
        <v>0.99283520000000003</v>
      </c>
      <c r="N4282">
        <v>-1.1189620000000001E-2</v>
      </c>
      <c r="O4282">
        <v>-0.11896660000000001</v>
      </c>
      <c r="P4282">
        <v>0.98424920000000005</v>
      </c>
      <c r="Q4282">
        <v>0.14090150000000001</v>
      </c>
      <c r="R4282">
        <v>-0.1067734</v>
      </c>
      <c r="S4282">
        <v>3.0580750000000001</v>
      </c>
      <c r="T4282">
        <v>-0.126864899999999</v>
      </c>
      <c r="U4282">
        <v>-6.7504880000000003E-2</v>
      </c>
      <c r="V4282">
        <v>-1.242031E-2</v>
      </c>
      <c r="W4282">
        <v>0.15186669999999999</v>
      </c>
      <c r="X4282">
        <v>0.98832299999999995</v>
      </c>
      <c r="Y4282">
        <v>-9.6873130000000002E-2</v>
      </c>
      <c r="Z4282">
        <v>6.1394209999999999E-3</v>
      </c>
      <c r="AA4282">
        <v>0.99527779999999999</v>
      </c>
      <c r="AB4282">
        <v>34</v>
      </c>
      <c r="AC4282">
        <v>26.7881</v>
      </c>
      <c r="AD4282">
        <v>-1.1240751461239999</v>
      </c>
      <c r="AE4282">
        <v>-0.56003999999999698</v>
      </c>
      <c r="AF4282">
        <v>-2.6264039594758199</v>
      </c>
      <c r="AG4282">
        <v>-1.1240751461239999</v>
      </c>
      <c r="AH4282">
        <v>26.617616624115801</v>
      </c>
      <c r="AI4282">
        <v>92.406519478271505</v>
      </c>
      <c r="AJ4282">
        <v>95.635227564112498</v>
      </c>
      <c r="AK4282">
        <v>26.770488554393101</v>
      </c>
      <c r="AL4282">
        <v>81.264880409968995</v>
      </c>
      <c r="AM4282">
        <v>90.720001339580193</v>
      </c>
      <c r="AN4282">
        <v>1.0000000554991899</v>
      </c>
    </row>
    <row r="4283" spans="1:40" x14ac:dyDescent="0.25">
      <c r="A4283" t="str">
        <f>"20190303162639658"</f>
        <v>20190303162639658</v>
      </c>
      <c r="B4283" t="str">
        <f>"1551601599648132"</f>
        <v>1551601599648132</v>
      </c>
      <c r="C4283" t="s">
        <v>40</v>
      </c>
      <c r="D4283">
        <v>5.6220410000000003</v>
      </c>
      <c r="E4283">
        <v>0.47334589999999999</v>
      </c>
      <c r="F4283" t="s">
        <v>63</v>
      </c>
      <c r="G4283">
        <v>-376.27179999999998</v>
      </c>
      <c r="H4283" s="1">
        <v>-1.796773E-6</v>
      </c>
      <c r="I4283">
        <v>19.312169999999998</v>
      </c>
      <c r="J4283">
        <v>-402.00060000000002</v>
      </c>
      <c r="K4283">
        <v>1.123135</v>
      </c>
      <c r="L4283">
        <v>20.362819999999999</v>
      </c>
      <c r="M4283">
        <v>0.9928825</v>
      </c>
      <c r="N4283">
        <v>-1.111441E-2</v>
      </c>
      <c r="O4283">
        <v>-0.1185788</v>
      </c>
      <c r="P4283">
        <v>0.9840856</v>
      </c>
      <c r="Q4283">
        <v>0.1419137</v>
      </c>
      <c r="R4283">
        <v>-0.1069411</v>
      </c>
      <c r="S4283">
        <v>3.0530400000000002</v>
      </c>
      <c r="T4283">
        <v>-0.1316803</v>
      </c>
      <c r="U4283">
        <v>-0.12765499999999999</v>
      </c>
      <c r="V4283">
        <v>-1.149064E-2</v>
      </c>
      <c r="W4283">
        <v>0.15283559999999999</v>
      </c>
      <c r="X4283">
        <v>0.98818479999999997</v>
      </c>
      <c r="Y4283">
        <v>-7.6851740000000002E-2</v>
      </c>
      <c r="Z4283">
        <v>5.8608760000000001E-3</v>
      </c>
      <c r="AA4283">
        <v>0.9970253</v>
      </c>
      <c r="AB4283">
        <v>34</v>
      </c>
      <c r="AC4283">
        <v>25.7288</v>
      </c>
      <c r="AD4283">
        <v>-1.1231367967729999</v>
      </c>
      <c r="AE4283">
        <v>-1.0506500000000001</v>
      </c>
      <c r="AF4283">
        <v>-2.0040296547822001</v>
      </c>
      <c r="AG4283">
        <v>-1.1231367967729999</v>
      </c>
      <c r="AH4283">
        <v>25.6230987302724</v>
      </c>
      <c r="AI4283">
        <v>92.502206532803498</v>
      </c>
      <c r="AJ4283">
        <v>94.472104312822495</v>
      </c>
      <c r="AK4283">
        <v>25.725877237964099</v>
      </c>
      <c r="AL4283">
        <v>81.208710136439095</v>
      </c>
      <c r="AM4283">
        <v>90.666206873014303</v>
      </c>
      <c r="AN4283">
        <v>0.99999997719300404</v>
      </c>
    </row>
    <row r="4284" spans="1:40" x14ac:dyDescent="0.25">
      <c r="A4284" t="str">
        <f>"20190303162639681"</f>
        <v>20190303162639681</v>
      </c>
      <c r="B4284" t="str">
        <f>"1551601599667652"</f>
        <v>1551601599667652</v>
      </c>
      <c r="C4284" t="s">
        <v>40</v>
      </c>
      <c r="D4284">
        <v>5.6275539999999999</v>
      </c>
      <c r="E4284">
        <v>0.47477009999999997</v>
      </c>
      <c r="F4284" t="s">
        <v>63</v>
      </c>
      <c r="G4284">
        <v>-374.98360000000002</v>
      </c>
      <c r="H4284" s="1">
        <v>-2.4268880000000001E-6</v>
      </c>
      <c r="I4284">
        <v>19.192710000000002</v>
      </c>
      <c r="J4284">
        <v>-401.66829999999999</v>
      </c>
      <c r="K4284">
        <v>1.1223069999999999</v>
      </c>
      <c r="L4284">
        <v>20.3233</v>
      </c>
      <c r="M4284">
        <v>0.99283200000000005</v>
      </c>
      <c r="N4284">
        <v>-1.1045259999999999E-2</v>
      </c>
      <c r="O4284">
        <v>-0.1190069</v>
      </c>
      <c r="P4284">
        <v>0.98384459999999996</v>
      </c>
      <c r="Q4284">
        <v>0.14321339999999999</v>
      </c>
      <c r="R4284">
        <v>-0.1074228</v>
      </c>
      <c r="S4284">
        <v>3.0524290000000001</v>
      </c>
      <c r="T4284">
        <v>-0.12689420000000001</v>
      </c>
      <c r="U4284">
        <v>-0.13220209999999999</v>
      </c>
      <c r="V4284">
        <v>-1.109452E-2</v>
      </c>
      <c r="W4284">
        <v>0.15408949999999999</v>
      </c>
      <c r="X4284">
        <v>0.98799459999999995</v>
      </c>
      <c r="Y4284">
        <v>-7.580286E-2</v>
      </c>
      <c r="Z4284">
        <v>5.6074690000000003E-3</v>
      </c>
      <c r="AA4284">
        <v>0.99710699999999997</v>
      </c>
      <c r="AB4284">
        <v>34</v>
      </c>
      <c r="AC4284">
        <v>26.6846999999999</v>
      </c>
      <c r="AD4284">
        <v>-1.1223094268879901</v>
      </c>
      <c r="AE4284">
        <v>-1.13058999999999</v>
      </c>
      <c r="AF4284">
        <v>-2.0496835598564398</v>
      </c>
      <c r="AG4284">
        <v>-1.1223094268879901</v>
      </c>
      <c r="AH4284">
        <v>26.5826587224755</v>
      </c>
      <c r="AI4284">
        <v>92.410423289653096</v>
      </c>
      <c r="AJ4284">
        <v>94.409126584469405</v>
      </c>
      <c r="AK4284">
        <v>26.685174271509499</v>
      </c>
      <c r="AL4284">
        <v>81.136005897131</v>
      </c>
      <c r="AM4284">
        <v>90.643366324970998</v>
      </c>
      <c r="AN4284">
        <v>0.99999999600671996</v>
      </c>
    </row>
    <row r="4285" spans="1:40" x14ac:dyDescent="0.25">
      <c r="A4285" t="str">
        <f>"20190303162639703"</f>
        <v>20190303162639703</v>
      </c>
      <c r="B4285" t="str">
        <f>"1551601599697908"</f>
        <v>1551601599697908</v>
      </c>
      <c r="C4285" t="s">
        <v>40</v>
      </c>
      <c r="D4285">
        <v>5.3840890000000003</v>
      </c>
      <c r="E4285">
        <v>0.47543210000000002</v>
      </c>
      <c r="F4285" t="s">
        <v>63</v>
      </c>
      <c r="G4285">
        <v>-373.88209999999998</v>
      </c>
      <c r="H4285" s="1">
        <v>-2.9818829999999999E-6</v>
      </c>
      <c r="I4285">
        <v>18.999379999999999</v>
      </c>
      <c r="J4285">
        <v>-401.32459999999998</v>
      </c>
      <c r="K4285">
        <v>1.12157</v>
      </c>
      <c r="L4285">
        <v>20.281829999999999</v>
      </c>
      <c r="M4285">
        <v>0.99271319999999996</v>
      </c>
      <c r="N4285">
        <v>-1.0976390000000001E-2</v>
      </c>
      <c r="O4285">
        <v>-0.1200007</v>
      </c>
      <c r="P4285">
        <v>0.98385230000000001</v>
      </c>
      <c r="Q4285">
        <v>0.1432281</v>
      </c>
      <c r="R4285">
        <v>-0.10733189999999999</v>
      </c>
      <c r="S4285">
        <v>3.0513309999999998</v>
      </c>
      <c r="T4285">
        <v>-0.1232458</v>
      </c>
      <c r="U4285">
        <v>-0.14538570000000001</v>
      </c>
      <c r="V4285">
        <v>-1.189454E-2</v>
      </c>
      <c r="W4285">
        <v>0.1540532</v>
      </c>
      <c r="X4285">
        <v>0.98799099999999995</v>
      </c>
      <c r="Y4285">
        <v>-7.2497000000000006E-2</v>
      </c>
      <c r="Z4285">
        <v>5.3715719999999998E-3</v>
      </c>
      <c r="AA4285">
        <v>0.99735410000000002</v>
      </c>
      <c r="AB4285">
        <v>34</v>
      </c>
      <c r="AC4285">
        <v>27.4424999999999</v>
      </c>
      <c r="AD4285">
        <v>-1.121572981883</v>
      </c>
      <c r="AE4285">
        <v>-1.2824500000000001</v>
      </c>
      <c r="AF4285">
        <v>-2.0167743360992301</v>
      </c>
      <c r="AG4285">
        <v>-1.121572981883</v>
      </c>
      <c r="AH4285">
        <v>27.3524867145732</v>
      </c>
      <c r="AI4285">
        <v>92.341715425229907</v>
      </c>
      <c r="AJ4285">
        <v>94.216945166988395</v>
      </c>
      <c r="AK4285">
        <v>27.449660000578199</v>
      </c>
      <c r="AL4285">
        <v>81.138111281384397</v>
      </c>
      <c r="AM4285">
        <v>90.689757313740301</v>
      </c>
      <c r="AN4285">
        <v>1.0000000422965201</v>
      </c>
    </row>
    <row r="4286" spans="1:40" x14ac:dyDescent="0.25">
      <c r="A4286" t="str">
        <f>"20190303162639725"</f>
        <v>20190303162639725</v>
      </c>
      <c r="B4286" t="str">
        <f>"1551601599717922"</f>
        <v>1551601599717922</v>
      </c>
      <c r="C4286" t="s">
        <v>40</v>
      </c>
      <c r="D4286">
        <v>5.617934</v>
      </c>
      <c r="E4286">
        <v>0.47735870000000002</v>
      </c>
      <c r="F4286" t="s">
        <v>63</v>
      </c>
      <c r="G4286">
        <v>-373.43329999999997</v>
      </c>
      <c r="H4286" s="1">
        <v>-3.2100409999999998E-6</v>
      </c>
      <c r="I4286">
        <v>18.909109999999998</v>
      </c>
      <c r="J4286">
        <v>-400.99619999999999</v>
      </c>
      <c r="K4286">
        <v>1.1209690000000001</v>
      </c>
      <c r="L4286">
        <v>20.24146</v>
      </c>
      <c r="M4286">
        <v>0.9925524</v>
      </c>
      <c r="N4286">
        <v>-1.091373E-2</v>
      </c>
      <c r="O4286">
        <v>-0.1213304</v>
      </c>
      <c r="P4286">
        <v>0.98405880000000001</v>
      </c>
      <c r="Q4286">
        <v>0.14189689999999999</v>
      </c>
      <c r="R4286">
        <v>-0.1072109</v>
      </c>
      <c r="S4286">
        <v>3.0507200000000001</v>
      </c>
      <c r="T4286">
        <v>-0.1226766</v>
      </c>
      <c r="U4286">
        <v>-0.15014649999999999</v>
      </c>
      <c r="V4286">
        <v>-1.3138739999999999E-2</v>
      </c>
      <c r="W4286">
        <v>0.152677799999999</v>
      </c>
      <c r="X4286">
        <v>0.98818870000000003</v>
      </c>
      <c r="Y4286">
        <v>-7.2271440000000006E-2</v>
      </c>
      <c r="Z4286">
        <v>5.3813990000000003E-3</v>
      </c>
      <c r="AA4286">
        <v>0.99737050000000005</v>
      </c>
      <c r="AB4286">
        <v>34</v>
      </c>
      <c r="AC4286">
        <v>27.562899999999999</v>
      </c>
      <c r="AD4286">
        <v>-1.120972210041</v>
      </c>
      <c r="AE4286">
        <v>-1.3323499999999899</v>
      </c>
      <c r="AF4286">
        <v>-2.0185794820659599</v>
      </c>
      <c r="AG4286">
        <v>-1.120972210041</v>
      </c>
      <c r="AH4286">
        <v>27.475570957270001</v>
      </c>
      <c r="AI4286">
        <v>92.330034408364398</v>
      </c>
      <c r="AJ4286">
        <v>94.201866056461697</v>
      </c>
      <c r="AK4286">
        <v>27.5724181248051</v>
      </c>
      <c r="AL4286">
        <v>81.217859176956097</v>
      </c>
      <c r="AM4286">
        <v>90.761747220667402</v>
      </c>
      <c r="AN4286">
        <v>1.0000000219546501</v>
      </c>
    </row>
    <row r="4287" spans="1:40" x14ac:dyDescent="0.25">
      <c r="A4287" t="str">
        <f>"20190303162639748"</f>
        <v>20190303162639748</v>
      </c>
      <c r="B4287" t="str">
        <f>"1551601599738419"</f>
        <v>1551601599738419</v>
      </c>
      <c r="C4287" t="s">
        <v>40</v>
      </c>
      <c r="D4287">
        <v>5.6838620000000004</v>
      </c>
      <c r="E4287">
        <v>0.47840060000000001</v>
      </c>
      <c r="F4287" t="s">
        <v>63</v>
      </c>
      <c r="G4287">
        <v>-376.4436</v>
      </c>
      <c r="H4287" s="1">
        <v>-1.7850029999999999E-6</v>
      </c>
      <c r="I4287">
        <v>18.92061</v>
      </c>
      <c r="J4287">
        <v>-400.65359999999998</v>
      </c>
      <c r="K4287">
        <v>1.1204259999999999</v>
      </c>
      <c r="L4287">
        <v>20.19858</v>
      </c>
      <c r="M4287">
        <v>0.99234560000000005</v>
      </c>
      <c r="N4287">
        <v>-1.0853949999999999E-2</v>
      </c>
      <c r="O4287">
        <v>-0.12301429999999999</v>
      </c>
      <c r="P4287">
        <v>0.98468339999999999</v>
      </c>
      <c r="Q4287">
        <v>0.13771259999999999</v>
      </c>
      <c r="R4287">
        <v>-0.1069307</v>
      </c>
      <c r="S4287">
        <v>3.0508120000000001</v>
      </c>
      <c r="T4287">
        <v>-0.13928769999999999</v>
      </c>
      <c r="U4287">
        <v>-0.16412349999999901</v>
      </c>
      <c r="V4287">
        <v>-1.4976730000000001E-2</v>
      </c>
      <c r="W4287">
        <v>0.1484578</v>
      </c>
      <c r="X4287">
        <v>0.98880539999999995</v>
      </c>
      <c r="Y4287">
        <v>-6.9370340000000003E-2</v>
      </c>
      <c r="Z4287">
        <v>6.2152659999999997E-3</v>
      </c>
      <c r="AA4287">
        <v>0.9975716</v>
      </c>
      <c r="AB4287">
        <v>34</v>
      </c>
      <c r="AC4287">
        <v>24.209999999999901</v>
      </c>
      <c r="AD4287">
        <v>-1.120427785003</v>
      </c>
      <c r="AE4287">
        <v>-1.2779699999999901</v>
      </c>
      <c r="AF4287">
        <v>-1.70644423142215</v>
      </c>
      <c r="AG4287">
        <v>-1.120427785003</v>
      </c>
      <c r="AH4287">
        <v>24.131776964609699</v>
      </c>
      <c r="AI4287">
        <v>92.651696718990905</v>
      </c>
      <c r="AJ4287">
        <v>94.044856415007004</v>
      </c>
      <c r="AK4287">
        <v>24.2179679123998</v>
      </c>
      <c r="AL4287">
        <v>81.462436220787694</v>
      </c>
      <c r="AM4287">
        <v>90.867751945700903</v>
      </c>
      <c r="AN4287">
        <v>1.0000000699457401</v>
      </c>
    </row>
    <row r="4288" spans="1:40" x14ac:dyDescent="0.25">
      <c r="A4288" t="str">
        <f>"20190303162639769"</f>
        <v>20190303162639769</v>
      </c>
      <c r="B4288" t="str">
        <f>"1551601599757939"</f>
        <v>1551601599757939</v>
      </c>
      <c r="C4288" t="s">
        <v>40</v>
      </c>
      <c r="D4288">
        <v>5.6235119999999998</v>
      </c>
      <c r="E4288">
        <v>0.47917670000000001</v>
      </c>
      <c r="F4288" t="s">
        <v>63</v>
      </c>
      <c r="G4288">
        <v>-377.89569999999998</v>
      </c>
      <c r="H4288" s="1">
        <v>-1.0995020000000001E-6</v>
      </c>
      <c r="I4288">
        <v>18.91545</v>
      </c>
      <c r="J4288">
        <v>-400.32729999999998</v>
      </c>
      <c r="K4288">
        <v>1.119982</v>
      </c>
      <c r="L4288">
        <v>20.156949999999998</v>
      </c>
      <c r="M4288">
        <v>0.99212100000000003</v>
      </c>
      <c r="N4288">
        <v>-1.0803699999999999E-2</v>
      </c>
      <c r="O4288">
        <v>-0.1248175</v>
      </c>
      <c r="P4288">
        <v>0.98495149999999998</v>
      </c>
      <c r="Q4288">
        <v>0.13540929999999901</v>
      </c>
      <c r="R4288">
        <v>-0.1074003</v>
      </c>
      <c r="S4288">
        <v>3.04895</v>
      </c>
      <c r="T4288">
        <v>-0.150107399999999</v>
      </c>
      <c r="U4288">
        <v>-0.17190549999999999</v>
      </c>
      <c r="V4288">
        <v>-1.6189909999999998E-2</v>
      </c>
      <c r="W4288">
        <v>0.14612600000000001</v>
      </c>
      <c r="X4288">
        <v>0.9891335</v>
      </c>
      <c r="Y4288">
        <v>-6.8582799999999999E-2</v>
      </c>
      <c r="Z4288">
        <v>6.8253439999999997E-3</v>
      </c>
      <c r="AA4288">
        <v>0.99762209999999996</v>
      </c>
      <c r="AB4288">
        <v>34</v>
      </c>
      <c r="AC4288">
        <v>22.4316</v>
      </c>
      <c r="AD4288">
        <v>-1.1199830995019999</v>
      </c>
      <c r="AE4288">
        <v>-1.2414999999999901</v>
      </c>
      <c r="AF4288">
        <v>-1.5643415575397699</v>
      </c>
      <c r="AG4288">
        <v>-1.1199830995019999</v>
      </c>
      <c r="AH4288">
        <v>22.3555682866334</v>
      </c>
      <c r="AI4288">
        <v>92.8610571044332</v>
      </c>
      <c r="AJ4288">
        <v>94.002774733011094</v>
      </c>
      <c r="AK4288">
        <v>22.4382031381781</v>
      </c>
      <c r="AL4288">
        <v>81.597511219164403</v>
      </c>
      <c r="AM4288">
        <v>90.937720428955899</v>
      </c>
      <c r="AN4288">
        <v>1.00000000094202</v>
      </c>
    </row>
    <row r="4289" spans="1:40" x14ac:dyDescent="0.25">
      <c r="A4289" t="str">
        <f>"20190303162639793"</f>
        <v>20190303162639793</v>
      </c>
      <c r="B4289" t="str">
        <f>"1551601599778435"</f>
        <v>1551601599778435</v>
      </c>
      <c r="C4289" t="s">
        <v>40</v>
      </c>
      <c r="D4289">
        <v>5.607793</v>
      </c>
      <c r="E4289">
        <v>0.47995559999999998</v>
      </c>
      <c r="F4289" t="s">
        <v>63</v>
      </c>
      <c r="G4289">
        <v>-378.71910000000003</v>
      </c>
      <c r="H4289" s="1">
        <v>-7.1740480000000005E-7</v>
      </c>
      <c r="I4289">
        <v>18.875440000000001</v>
      </c>
      <c r="J4289">
        <v>-399.99979999999999</v>
      </c>
      <c r="K4289">
        <v>1.1196109999999999</v>
      </c>
      <c r="L4289">
        <v>20.11429</v>
      </c>
      <c r="M4289">
        <v>0.99187389999999998</v>
      </c>
      <c r="N4289">
        <v>-1.0759960000000001E-2</v>
      </c>
      <c r="O4289">
        <v>-0.12676960000000001</v>
      </c>
      <c r="P4289">
        <v>0.98497749999999995</v>
      </c>
      <c r="Q4289">
        <v>0.1342565</v>
      </c>
      <c r="R4289">
        <v>-0.1086032</v>
      </c>
      <c r="S4289">
        <v>3.0478209999999999</v>
      </c>
      <c r="T4289">
        <v>-0.15797259999999999</v>
      </c>
      <c r="U4289">
        <v>-0.18075559999999999</v>
      </c>
      <c r="V4289">
        <v>-1.681968E-2</v>
      </c>
      <c r="W4289">
        <v>0.14494799999999999</v>
      </c>
      <c r="X4289">
        <v>0.98929630000000002</v>
      </c>
      <c r="Y4289">
        <v>-6.7615239999999993E-2</v>
      </c>
      <c r="Z4289">
        <v>7.2888140000000002E-3</v>
      </c>
      <c r="AA4289">
        <v>0.99768480000000004</v>
      </c>
      <c r="AB4289">
        <v>34</v>
      </c>
      <c r="AC4289">
        <v>21.2806999999999</v>
      </c>
      <c r="AD4289">
        <v>-1.1196117174047999</v>
      </c>
      <c r="AE4289">
        <v>-1.23884999999999</v>
      </c>
      <c r="AF4289">
        <v>-1.4650063717017501</v>
      </c>
      <c r="AG4289">
        <v>-1.1196117174047999</v>
      </c>
      <c r="AH4289">
        <v>21.207545199944601</v>
      </c>
      <c r="AI4289">
        <v>93.014843909721606</v>
      </c>
      <c r="AJ4289">
        <v>93.951685330485006</v>
      </c>
      <c r="AK4289">
        <v>21.2875491185474</v>
      </c>
      <c r="AL4289">
        <v>81.665731976336204</v>
      </c>
      <c r="AM4289">
        <v>90.974029558797994</v>
      </c>
      <c r="AN4289">
        <v>0.99999999676649598</v>
      </c>
    </row>
    <row r="4290" spans="1:40" x14ac:dyDescent="0.25">
      <c r="A4290" t="str">
        <f>"20190303162639815"</f>
        <v>20190303162639815</v>
      </c>
      <c r="B4290" t="str">
        <f>"1551601599808691"</f>
        <v>1551601599808691</v>
      </c>
      <c r="C4290" t="s">
        <v>40</v>
      </c>
      <c r="D4290">
        <v>5.6188520000000004</v>
      </c>
      <c r="E4290">
        <v>0.48128310000000002</v>
      </c>
      <c r="F4290" t="s">
        <v>63</v>
      </c>
      <c r="G4290">
        <v>-378.60559999999998</v>
      </c>
      <c r="H4290" s="1">
        <v>-7.900515E-7</v>
      </c>
      <c r="I4290">
        <v>18.768139999999999</v>
      </c>
      <c r="J4290">
        <v>-399.64769999999999</v>
      </c>
      <c r="K4290">
        <v>1.1192690000000001</v>
      </c>
      <c r="L4290">
        <v>20.067499999999999</v>
      </c>
      <c r="M4290">
        <v>0.99158820000000003</v>
      </c>
      <c r="N4290">
        <v>-1.071951E-2</v>
      </c>
      <c r="O4290">
        <v>-0.12898889999999999</v>
      </c>
      <c r="P4290">
        <v>0.9850044</v>
      </c>
      <c r="Q4290">
        <v>0.13305400000000001</v>
      </c>
      <c r="R4290">
        <v>-0.1098331</v>
      </c>
      <c r="S4290">
        <v>3.0463559999999998</v>
      </c>
      <c r="T4290">
        <v>-0.15942390000000001</v>
      </c>
      <c r="U4290">
        <v>-0.19168089999999999</v>
      </c>
      <c r="V4290">
        <v>-1.7708310000000001E-2</v>
      </c>
      <c r="W4290">
        <v>0.14372360000000001</v>
      </c>
      <c r="X4290">
        <v>0.98945939999999999</v>
      </c>
      <c r="Y4290">
        <v>-6.6250429999999999E-2</v>
      </c>
      <c r="Z4290">
        <v>7.4195619999999898E-3</v>
      </c>
      <c r="AA4290">
        <v>0.99777539999999998</v>
      </c>
      <c r="AB4290">
        <v>34</v>
      </c>
      <c r="AC4290">
        <v>21.042100000000001</v>
      </c>
      <c r="AD4290">
        <v>-1.1192697900515001</v>
      </c>
      <c r="AE4290">
        <v>-1.2993600000000001</v>
      </c>
      <c r="AF4290">
        <v>-1.42184141853991</v>
      </c>
      <c r="AG4290">
        <v>-1.1192697900515001</v>
      </c>
      <c r="AH4290">
        <v>20.974787237441902</v>
      </c>
      <c r="AI4290">
        <v>93.047575371757901</v>
      </c>
      <c r="AJ4290">
        <v>93.878040343487001</v>
      </c>
      <c r="AK4290">
        <v>21.052698105904501</v>
      </c>
      <c r="AL4290">
        <v>81.736627162815395</v>
      </c>
      <c r="AM4290">
        <v>91.025310507040302</v>
      </c>
      <c r="AN4290">
        <v>0.99999998084418695</v>
      </c>
    </row>
    <row r="4291" spans="1:40" x14ac:dyDescent="0.25">
      <c r="A4291" t="str">
        <f>"20190303162639837"</f>
        <v>20190303162639837</v>
      </c>
      <c r="B4291" t="str">
        <f>"1551601599828212"</f>
        <v>1551601599828212</v>
      </c>
      <c r="C4291" t="s">
        <v>40</v>
      </c>
      <c r="D4291">
        <v>5.0152419999999998</v>
      </c>
      <c r="E4291">
        <v>0.48207699999999998</v>
      </c>
      <c r="F4291" t="s">
        <v>63</v>
      </c>
      <c r="G4291">
        <v>-378.28460000000001</v>
      </c>
      <c r="H4291" s="1">
        <v>-9.6887480000000001E-7</v>
      </c>
      <c r="I4291">
        <v>18.615469999999998</v>
      </c>
      <c r="J4291">
        <v>-399.29840000000002</v>
      </c>
      <c r="K4291">
        <v>1.119008</v>
      </c>
      <c r="L4291">
        <v>20.020109999999999</v>
      </c>
      <c r="M4291">
        <v>0.99128709999999998</v>
      </c>
      <c r="N4291">
        <v>-1.068538E-2</v>
      </c>
      <c r="O4291">
        <v>-0.13128580000000001</v>
      </c>
      <c r="P4291">
        <v>0.98505880000000001</v>
      </c>
      <c r="Q4291">
        <v>0.13131809999999999</v>
      </c>
      <c r="R4291">
        <v>-0.1114228</v>
      </c>
      <c r="S4291">
        <v>3.0441590000000001</v>
      </c>
      <c r="T4291">
        <v>-0.15949199999999999</v>
      </c>
      <c r="U4291">
        <v>-0.20690919999999999</v>
      </c>
      <c r="V4291">
        <v>-1.8351360000000001E-2</v>
      </c>
      <c r="W4291">
        <v>0.14197029999999999</v>
      </c>
      <c r="X4291">
        <v>0.98970080000000005</v>
      </c>
      <c r="Y4291">
        <v>-6.3548579999999993E-2</v>
      </c>
      <c r="Z4291">
        <v>7.4400300000000003E-3</v>
      </c>
      <c r="AA4291">
        <v>0.99795100000000003</v>
      </c>
      <c r="AB4291">
        <v>34</v>
      </c>
      <c r="AC4291">
        <v>21.0138</v>
      </c>
      <c r="AD4291">
        <v>-1.1190089688747999</v>
      </c>
      <c r="AE4291">
        <v>-1.4046399999999899</v>
      </c>
      <c r="AF4291">
        <v>-1.3626430340943001</v>
      </c>
      <c r="AG4291">
        <v>-1.1190089688747999</v>
      </c>
      <c r="AH4291">
        <v>20.9571517863697</v>
      </c>
      <c r="AI4291">
        <v>93.049982621259502</v>
      </c>
      <c r="AJ4291">
        <v>93.720159636010706</v>
      </c>
      <c r="AK4291">
        <v>21.031195593872599</v>
      </c>
      <c r="AL4291">
        <v>81.838124954817204</v>
      </c>
      <c r="AM4291">
        <v>91.062275586778796</v>
      </c>
      <c r="AN4291">
        <v>1.0000000060082801</v>
      </c>
    </row>
    <row r="4292" spans="1:40" x14ac:dyDescent="0.25">
      <c r="A4292" t="str">
        <f>"20190303162639860"</f>
        <v>20190303162639860</v>
      </c>
      <c r="B4292" t="str">
        <f>"1551601599847731"</f>
        <v>1551601599847731</v>
      </c>
      <c r="C4292" t="s">
        <v>40</v>
      </c>
      <c r="D4292">
        <v>5.6634000000000002</v>
      </c>
      <c r="E4292">
        <v>0.48284270000000001</v>
      </c>
      <c r="F4292" t="s">
        <v>63</v>
      </c>
      <c r="G4292">
        <v>-378.03719999999998</v>
      </c>
      <c r="H4292" s="1">
        <v>-1.107111E-6</v>
      </c>
      <c r="I4292">
        <v>18.49558</v>
      </c>
      <c r="J4292">
        <v>-398.983</v>
      </c>
      <c r="K4292">
        <v>1.118833</v>
      </c>
      <c r="L4292">
        <v>19.97644</v>
      </c>
      <c r="M4292">
        <v>0.99100160000000004</v>
      </c>
      <c r="N4292">
        <v>-1.065959E-2</v>
      </c>
      <c r="O4292">
        <v>-0.13342370000000001</v>
      </c>
      <c r="P4292">
        <v>0.98511729999999997</v>
      </c>
      <c r="Q4292">
        <v>0.13063749999999999</v>
      </c>
      <c r="R4292">
        <v>-0.1117042</v>
      </c>
      <c r="S4292">
        <v>3.0422060000000002</v>
      </c>
      <c r="T4292">
        <v>-0.16011539999999999</v>
      </c>
      <c r="U4292">
        <v>-0.21813959999999999</v>
      </c>
      <c r="V4292">
        <v>-2.016271E-2</v>
      </c>
      <c r="W4292">
        <v>0.1412793</v>
      </c>
      <c r="X4292">
        <v>0.98976450000000005</v>
      </c>
      <c r="Y4292">
        <v>-6.1990290000000003E-2</v>
      </c>
      <c r="Z4292">
        <v>7.5189769999999996E-3</v>
      </c>
      <c r="AA4292">
        <v>0.99804839999999995</v>
      </c>
      <c r="AB4292">
        <v>34</v>
      </c>
      <c r="AC4292">
        <v>20.945799999999998</v>
      </c>
      <c r="AD4292">
        <v>-1.118834107111</v>
      </c>
      <c r="AE4292">
        <v>-1.4808599999999901</v>
      </c>
      <c r="AF4292">
        <v>-1.3234497905777201</v>
      </c>
      <c r="AG4292">
        <v>-1.118834107111</v>
      </c>
      <c r="AH4292">
        <v>20.896770242199398</v>
      </c>
      <c r="AI4292">
        <v>93.058631087406297</v>
      </c>
      <c r="AJ4292">
        <v>93.623858938042602</v>
      </c>
      <c r="AK4292">
        <v>20.968507711868401</v>
      </c>
      <c r="AL4292">
        <v>81.878119994501702</v>
      </c>
      <c r="AM4292">
        <v>91.167023492496696</v>
      </c>
      <c r="AN4292">
        <v>1.0000000704716301</v>
      </c>
    </row>
    <row r="4293" spans="1:40" x14ac:dyDescent="0.25">
      <c r="A4293" t="str">
        <f>"20190303162639880"</f>
        <v>20190303162639880</v>
      </c>
      <c r="B4293" t="str">
        <f>"1551601599868227"</f>
        <v>1551601599868227</v>
      </c>
      <c r="C4293" t="s">
        <v>40</v>
      </c>
      <c r="D4293">
        <v>5.6140299999999996</v>
      </c>
      <c r="E4293">
        <v>0.48356149999999998</v>
      </c>
      <c r="F4293" t="s">
        <v>63</v>
      </c>
      <c r="G4293">
        <v>-377.07639999999998</v>
      </c>
      <c r="H4293" s="1">
        <v>-1.58537999999999E-6</v>
      </c>
      <c r="I4293">
        <v>18.359649999999998</v>
      </c>
      <c r="J4293">
        <v>-398.65309999999999</v>
      </c>
      <c r="K4293">
        <v>1.1187149999999999</v>
      </c>
      <c r="L4293">
        <v>19.9299</v>
      </c>
      <c r="M4293">
        <v>0.99069300000000005</v>
      </c>
      <c r="N4293">
        <v>-1.063705E-2</v>
      </c>
      <c r="O4293">
        <v>-0.1356994</v>
      </c>
      <c r="P4293">
        <v>0.9848074</v>
      </c>
      <c r="Q4293">
        <v>0.13260189999999999</v>
      </c>
      <c r="R4293">
        <v>-0.112121</v>
      </c>
      <c r="S4293">
        <v>3.0404360000000001</v>
      </c>
      <c r="T4293">
        <v>-0.15528420000000001</v>
      </c>
      <c r="U4293">
        <v>-0.22439580000000001</v>
      </c>
      <c r="V4293">
        <v>-2.1930539999999998E-2</v>
      </c>
      <c r="W4293">
        <v>0.14323279999999999</v>
      </c>
      <c r="X4293">
        <v>0.98944600000000005</v>
      </c>
      <c r="Y4293">
        <v>-6.220995E-2</v>
      </c>
      <c r="Z4293">
        <v>7.363054E-3</v>
      </c>
      <c r="AA4293">
        <v>0.99803589999999998</v>
      </c>
      <c r="AB4293">
        <v>34</v>
      </c>
      <c r="AC4293">
        <v>21.576699999999999</v>
      </c>
      <c r="AD4293">
        <v>-1.1187165853800001</v>
      </c>
      <c r="AE4293">
        <v>-1.5702499999999999</v>
      </c>
      <c r="AF4293">
        <v>-1.3687270393475099</v>
      </c>
      <c r="AG4293">
        <v>-1.1187165853800001</v>
      </c>
      <c r="AH4293">
        <v>21.532607948314801</v>
      </c>
      <c r="AI4293">
        <v>92.968121774428596</v>
      </c>
      <c r="AJ4293">
        <v>93.6371309568746</v>
      </c>
      <c r="AK4293">
        <v>21.605049075678401</v>
      </c>
      <c r="AL4293">
        <v>81.765041962756499</v>
      </c>
      <c r="AM4293">
        <v>91.269722332575498</v>
      </c>
      <c r="AN4293">
        <v>0.99999998524826506</v>
      </c>
    </row>
    <row r="4294" spans="1:40" x14ac:dyDescent="0.25">
      <c r="A4294" t="str">
        <f>"20190303162639905"</f>
        <v>20190303162639905</v>
      </c>
      <c r="B4294" t="str">
        <f>"1551601599898483"</f>
        <v>1551601599898483</v>
      </c>
      <c r="C4294" t="s">
        <v>40</v>
      </c>
      <c r="D4294">
        <v>5.6796519999999999</v>
      </c>
      <c r="E4294">
        <v>0.48454249999999999</v>
      </c>
      <c r="F4294" t="s">
        <v>63</v>
      </c>
      <c r="G4294">
        <v>-375.22399999999999</v>
      </c>
      <c r="H4294" s="1">
        <v>-2.4996070000000002E-6</v>
      </c>
      <c r="I4294">
        <v>18.142299999999999</v>
      </c>
      <c r="J4294">
        <v>-398.29939999999999</v>
      </c>
      <c r="K4294">
        <v>1.1186259999999999</v>
      </c>
      <c r="L4294">
        <v>19.87912</v>
      </c>
      <c r="M4294">
        <v>0.99035280000000003</v>
      </c>
      <c r="N4294">
        <v>-1.061745E-2</v>
      </c>
      <c r="O4294">
        <v>-0.1381618</v>
      </c>
      <c r="P4294">
        <v>0.98441730000000005</v>
      </c>
      <c r="Q4294">
        <v>0.1353116</v>
      </c>
      <c r="R4294">
        <v>-0.1123096</v>
      </c>
      <c r="S4294">
        <v>3.0394290000000002</v>
      </c>
      <c r="T4294">
        <v>-0.1451297</v>
      </c>
      <c r="U4294">
        <v>-0.2319031</v>
      </c>
      <c r="V4294">
        <v>-2.4105789999999998E-2</v>
      </c>
      <c r="W4294">
        <v>0.14593449999999999</v>
      </c>
      <c r="X4294">
        <v>0.98900049999999995</v>
      </c>
      <c r="Y4294">
        <v>-6.2242220000000001E-2</v>
      </c>
      <c r="Z4294">
        <v>6.9037660000000004E-3</v>
      </c>
      <c r="AA4294">
        <v>0.99803719999999996</v>
      </c>
      <c r="AB4294">
        <v>34</v>
      </c>
      <c r="AC4294">
        <v>23.075399999999998</v>
      </c>
      <c r="AD4294">
        <v>-1.1186284996069999</v>
      </c>
      <c r="AE4294">
        <v>-1.73682</v>
      </c>
      <c r="AF4294">
        <v>-1.46473416710755</v>
      </c>
      <c r="AG4294">
        <v>-1.1186284996069999</v>
      </c>
      <c r="AH4294">
        <v>23.040209814318001</v>
      </c>
      <c r="AI4294">
        <v>92.774001703776406</v>
      </c>
      <c r="AJ4294">
        <v>93.637566713864899</v>
      </c>
      <c r="AK4294">
        <v>23.113806354389599</v>
      </c>
      <c r="AL4294">
        <v>81.608602063264499</v>
      </c>
      <c r="AM4294">
        <v>91.396244609331404</v>
      </c>
      <c r="AN4294">
        <v>0.99999997820101105</v>
      </c>
    </row>
    <row r="4295" spans="1:40" x14ac:dyDescent="0.25">
      <c r="A4295" t="str">
        <f>"20190303162639927"</f>
        <v>20190303162639927</v>
      </c>
      <c r="B4295" t="str">
        <f>"1551601599918003"</f>
        <v>1551601599918003</v>
      </c>
      <c r="C4295" t="s">
        <v>40</v>
      </c>
      <c r="D4295">
        <v>5.6110850000000001</v>
      </c>
      <c r="E4295">
        <v>0.48515380000000002</v>
      </c>
      <c r="F4295" t="s">
        <v>63</v>
      </c>
      <c r="G4295">
        <v>-372.26220000000001</v>
      </c>
      <c r="H4295" s="1">
        <v>-3.9574840000000002E-6</v>
      </c>
      <c r="I4295">
        <v>17.816240000000001</v>
      </c>
      <c r="J4295">
        <v>-397.94709999999998</v>
      </c>
      <c r="K4295">
        <v>1.1185670000000001</v>
      </c>
      <c r="L4295">
        <v>19.82761</v>
      </c>
      <c r="M4295">
        <v>0.99000699999999997</v>
      </c>
      <c r="N4295">
        <v>-1.0601670000000001E-2</v>
      </c>
      <c r="O4295">
        <v>-0.14061750000000001</v>
      </c>
      <c r="P4295">
        <v>0.98427629999999999</v>
      </c>
      <c r="Q4295">
        <v>0.13644039999999999</v>
      </c>
      <c r="R4295">
        <v>-0.1121781</v>
      </c>
      <c r="S4295">
        <v>3.0379640000000001</v>
      </c>
      <c r="T4295">
        <v>-0.1305192</v>
      </c>
      <c r="U4295">
        <v>-0.24069209999999999</v>
      </c>
      <c r="V4295">
        <v>-2.664215E-2</v>
      </c>
      <c r="W4295">
        <v>0.14706129999999901</v>
      </c>
      <c r="X4295">
        <v>0.98876850000000005</v>
      </c>
      <c r="Y4295">
        <v>-6.1847659999999999E-2</v>
      </c>
      <c r="Z4295">
        <v>6.1663430000000003E-3</v>
      </c>
      <c r="AA4295">
        <v>0.99806649999999997</v>
      </c>
      <c r="AB4295">
        <v>34</v>
      </c>
      <c r="AC4295">
        <v>25.684899999999899</v>
      </c>
      <c r="AD4295">
        <v>-1.1185709574839999</v>
      </c>
      <c r="AE4295">
        <v>-2.0113699999999901</v>
      </c>
      <c r="AF4295">
        <v>-1.6175184399933999</v>
      </c>
      <c r="AG4295">
        <v>-1.1185709574839999</v>
      </c>
      <c r="AH4295">
        <v>25.664138155957101</v>
      </c>
      <c r="AI4295">
        <v>92.490720099829005</v>
      </c>
      <c r="AJ4295">
        <v>93.606376981246996</v>
      </c>
      <c r="AK4295">
        <v>25.7393775017715</v>
      </c>
      <c r="AL4295">
        <v>81.543337114541302</v>
      </c>
      <c r="AM4295">
        <v>91.543448737888795</v>
      </c>
      <c r="AN4295">
        <v>0.99999998835328097</v>
      </c>
    </row>
    <row r="4296" spans="1:40" x14ac:dyDescent="0.25">
      <c r="A4296" t="str">
        <f>"20190303162639949"</f>
        <v>20190303162639949</v>
      </c>
      <c r="B4296" t="str">
        <f>"1551601599938498"</f>
        <v>1551601599938498</v>
      </c>
      <c r="C4296" t="s">
        <v>40</v>
      </c>
      <c r="D4296">
        <v>5.6059130000000001</v>
      </c>
      <c r="E4296">
        <v>0.4856703</v>
      </c>
      <c r="F4296" t="s">
        <v>63</v>
      </c>
      <c r="G4296">
        <v>-370.56029999999998</v>
      </c>
      <c r="H4296" s="1">
        <v>-4.7966080000000002E-6</v>
      </c>
      <c r="I4296">
        <v>17.620950000000001</v>
      </c>
      <c r="J4296">
        <v>-397.62369999999999</v>
      </c>
      <c r="K4296">
        <v>1.118527</v>
      </c>
      <c r="L4296">
        <v>19.779509999999998</v>
      </c>
      <c r="M4296">
        <v>0.98968710000000004</v>
      </c>
      <c r="N4296">
        <v>-1.0589700000000001E-2</v>
      </c>
      <c r="O4296">
        <v>-0.14285309999999901</v>
      </c>
      <c r="P4296">
        <v>0.98448800000000003</v>
      </c>
      <c r="Q4296">
        <v>0.13601569999999999</v>
      </c>
      <c r="R4296">
        <v>-0.1108287</v>
      </c>
      <c r="S4296">
        <v>3.0372309999999998</v>
      </c>
      <c r="T4296">
        <v>-0.1240511</v>
      </c>
      <c r="U4296">
        <v>-0.24472050000000001</v>
      </c>
      <c r="V4296">
        <v>-3.02323E-2</v>
      </c>
      <c r="W4296">
        <v>0.14664489999999999</v>
      </c>
      <c r="X4296">
        <v>0.98872709999999997</v>
      </c>
      <c r="Y4296">
        <v>-6.2780799999999998E-2</v>
      </c>
      <c r="Z4296">
        <v>5.8960610000000002E-3</v>
      </c>
      <c r="AA4296">
        <v>0.99800990000000001</v>
      </c>
      <c r="AB4296">
        <v>34</v>
      </c>
      <c r="AC4296">
        <v>27.063400000000001</v>
      </c>
      <c r="AD4296">
        <v>-1.118531796608</v>
      </c>
      <c r="AE4296">
        <v>-2.15856</v>
      </c>
      <c r="AF4296">
        <v>-1.7269575581518499</v>
      </c>
      <c r="AG4296">
        <v>-1.118531796608</v>
      </c>
      <c r="AH4296">
        <v>27.0482670074366</v>
      </c>
      <c r="AI4296">
        <v>92.363206939235397</v>
      </c>
      <c r="AJ4296">
        <v>93.6532194571395</v>
      </c>
      <c r="AK4296">
        <v>27.126412293063499</v>
      </c>
      <c r="AL4296">
        <v>81.567456659142493</v>
      </c>
      <c r="AM4296">
        <v>91.751386870375995</v>
      </c>
      <c r="AN4296">
        <v>0.99999999846685494</v>
      </c>
    </row>
    <row r="4297" spans="1:40" x14ac:dyDescent="0.25">
      <c r="A4297" t="str">
        <f>"20190303162639971"</f>
        <v>20190303162639971</v>
      </c>
      <c r="B4297" t="str">
        <f>"1551601599958019"</f>
        <v>1551601599958019</v>
      </c>
      <c r="C4297" t="s">
        <v>40</v>
      </c>
      <c r="D4297">
        <v>5.6061459999999999</v>
      </c>
      <c r="E4297">
        <v>0.48614950000000001</v>
      </c>
      <c r="F4297" t="s">
        <v>63</v>
      </c>
      <c r="G4297">
        <v>-370.12430000000001</v>
      </c>
      <c r="H4297" s="1">
        <v>-5.0115009999999996E-6</v>
      </c>
      <c r="I4297">
        <v>17.571570000000001</v>
      </c>
      <c r="J4297">
        <v>-397.29649999999998</v>
      </c>
      <c r="K4297">
        <v>1.118514</v>
      </c>
      <c r="L4297">
        <v>19.730160000000001</v>
      </c>
      <c r="M4297">
        <v>0.98936409999999997</v>
      </c>
      <c r="N4297">
        <v>-1.057959E-2</v>
      </c>
      <c r="O4297">
        <v>-0.1450756</v>
      </c>
      <c r="P4297">
        <v>0.98472510000000002</v>
      </c>
      <c r="Q4297">
        <v>0.13571250000000001</v>
      </c>
      <c r="R4297">
        <v>-0.109083</v>
      </c>
      <c r="S4297">
        <v>3.0369259999999998</v>
      </c>
      <c r="T4297">
        <v>-0.123526</v>
      </c>
      <c r="U4297">
        <v>-0.24383540000000001</v>
      </c>
      <c r="V4297">
        <v>-3.4213170000000001E-2</v>
      </c>
      <c r="W4297">
        <v>0.1463515</v>
      </c>
      <c r="X4297">
        <v>0.98864079999999999</v>
      </c>
      <c r="Y4297">
        <v>-6.5300689999999995E-2</v>
      </c>
      <c r="Z4297">
        <v>5.9980709999999998E-3</v>
      </c>
      <c r="AA4297">
        <v>0.99784759999999995</v>
      </c>
      <c r="AB4297">
        <v>34</v>
      </c>
      <c r="AC4297">
        <v>27.172199999999901</v>
      </c>
      <c r="AD4297">
        <v>-1.118519011501</v>
      </c>
      <c r="AE4297">
        <v>-2.1585899999999998</v>
      </c>
      <c r="AF4297">
        <v>-1.80345594421223</v>
      </c>
      <c r="AG4297">
        <v>-1.118519011501</v>
      </c>
      <c r="AH4297">
        <v>27.152157308543298</v>
      </c>
      <c r="AI4297">
        <v>92.3537556852216</v>
      </c>
      <c r="AJ4297">
        <v>93.800024466363396</v>
      </c>
      <c r="AK4297">
        <v>27.234962541367398</v>
      </c>
      <c r="AL4297">
        <v>81.584450322709898</v>
      </c>
      <c r="AM4297">
        <v>91.982002230424897</v>
      </c>
      <c r="AN4297">
        <v>0.99999996698916804</v>
      </c>
    </row>
    <row r="4298" spans="1:40" x14ac:dyDescent="0.25">
      <c r="A4298" t="str">
        <f>"20190303162639994"</f>
        <v>20190303162639994</v>
      </c>
      <c r="B4298" t="str">
        <f>"1551601599988276"</f>
        <v>1551601599988276</v>
      </c>
      <c r="C4298" t="s">
        <v>40</v>
      </c>
      <c r="D4298">
        <v>5.6684369999999999</v>
      </c>
      <c r="E4298">
        <v>0.48684300000000003</v>
      </c>
      <c r="F4298" t="s">
        <v>64</v>
      </c>
      <c r="G4298">
        <v>-369.80309999999997</v>
      </c>
      <c r="H4298" s="1">
        <v>-6.2982940000000002E-7</v>
      </c>
      <c r="I4298">
        <v>17.53501</v>
      </c>
      <c r="J4298">
        <v>-396.9511</v>
      </c>
      <c r="K4298">
        <v>1.11853799999999</v>
      </c>
      <c r="L4298">
        <v>19.67728</v>
      </c>
      <c r="M4298">
        <v>0.9890274</v>
      </c>
      <c r="N4298">
        <v>-1.057055E-2</v>
      </c>
      <c r="O4298">
        <v>-0.14735409999999999</v>
      </c>
      <c r="P4298">
        <v>0.98493609999999998</v>
      </c>
      <c r="Q4298">
        <v>0.1360817</v>
      </c>
      <c r="R4298">
        <v>-0.1066913</v>
      </c>
      <c r="S4298">
        <v>3.036743</v>
      </c>
      <c r="T4298">
        <v>-0.123543899999999</v>
      </c>
      <c r="U4298">
        <v>-0.24246219999999999</v>
      </c>
      <c r="V4298">
        <v>-3.889223E-2</v>
      </c>
      <c r="W4298">
        <v>0.14673169999999999</v>
      </c>
      <c r="X4298">
        <v>0.9884115</v>
      </c>
      <c r="Y4298">
        <v>-6.8038550000000003E-2</v>
      </c>
      <c r="Z4298">
        <v>6.137979E-3</v>
      </c>
      <c r="AA4298">
        <v>0.99766379999999999</v>
      </c>
      <c r="AB4298">
        <v>34</v>
      </c>
      <c r="AC4298">
        <v>27.148</v>
      </c>
      <c r="AD4298">
        <v>-1.11853862982939</v>
      </c>
      <c r="AE4298">
        <v>-2.1422699999999999</v>
      </c>
      <c r="AF4298">
        <v>-1.87854114349882</v>
      </c>
      <c r="AG4298">
        <v>-1.11853862982939</v>
      </c>
      <c r="AH4298">
        <v>27.1215480488029</v>
      </c>
      <c r="AI4298">
        <v>92.355998481905203</v>
      </c>
      <c r="AJ4298">
        <v>93.962194615491697</v>
      </c>
      <c r="AK4298">
        <v>27.209528001377802</v>
      </c>
      <c r="AL4298">
        <v>81.562429398445502</v>
      </c>
      <c r="AM4298">
        <v>92.253324307082906</v>
      </c>
      <c r="AN4298">
        <v>1.00000004533575</v>
      </c>
    </row>
    <row r="4299" spans="1:40" x14ac:dyDescent="0.25">
      <c r="A4299" t="str">
        <f>"20190303162640015"</f>
        <v>20190303162640015</v>
      </c>
      <c r="B4299" t="str">
        <f>"1551601600007795"</f>
        <v>1551601600007795</v>
      </c>
      <c r="C4299" t="s">
        <v>40</v>
      </c>
      <c r="D4299">
        <v>5.67753</v>
      </c>
      <c r="E4299">
        <v>0.48725380000000001</v>
      </c>
      <c r="F4299" t="s">
        <v>64</v>
      </c>
      <c r="G4299">
        <v>-368.89780000000002</v>
      </c>
      <c r="H4299" s="1">
        <v>-1.000333E-6</v>
      </c>
      <c r="I4299">
        <v>17.449059999999999</v>
      </c>
      <c r="J4299">
        <v>-396.62040000000002</v>
      </c>
      <c r="K4299">
        <v>1.118584</v>
      </c>
      <c r="L4299">
        <v>19.62595</v>
      </c>
      <c r="M4299">
        <v>0.98871439999999999</v>
      </c>
      <c r="N4299">
        <v>-1.056328E-2</v>
      </c>
      <c r="O4299">
        <v>-0.1494405</v>
      </c>
      <c r="P4299">
        <v>0.98499029999999999</v>
      </c>
      <c r="Q4299">
        <v>0.13764370000000001</v>
      </c>
      <c r="R4299">
        <v>-0.10415679999999999</v>
      </c>
      <c r="S4299">
        <v>3.0364689999999999</v>
      </c>
      <c r="T4299">
        <v>-0.12106989999999899</v>
      </c>
      <c r="U4299">
        <v>-0.24118039999999999</v>
      </c>
      <c r="V4299">
        <v>-4.350176E-2</v>
      </c>
      <c r="W4299">
        <v>0.1483003</v>
      </c>
      <c r="X4299">
        <v>0.98798509999999995</v>
      </c>
      <c r="Y4299">
        <v>-7.0557140000000004E-2</v>
      </c>
      <c r="Z4299">
        <v>6.1159999999999999E-3</v>
      </c>
      <c r="AA4299">
        <v>0.99748899999999996</v>
      </c>
      <c r="AB4299">
        <v>34</v>
      </c>
      <c r="AC4299">
        <v>27.7226</v>
      </c>
      <c r="AD4299">
        <v>-1.118585000333</v>
      </c>
      <c r="AE4299">
        <v>-2.1768900000000002</v>
      </c>
      <c r="AF4299">
        <v>-1.98745171163956</v>
      </c>
      <c r="AG4299">
        <v>-1.118585000333</v>
      </c>
      <c r="AH4299">
        <v>27.691786371251599</v>
      </c>
      <c r="AI4299">
        <v>92.307226135817203</v>
      </c>
      <c r="AJ4299">
        <v>94.105104542391601</v>
      </c>
      <c r="AK4299">
        <v>27.785539928892899</v>
      </c>
      <c r="AL4299">
        <v>81.471560456032407</v>
      </c>
      <c r="AM4299">
        <v>92.521149758888697</v>
      </c>
      <c r="AN4299">
        <v>0.99999996996259799</v>
      </c>
    </row>
    <row r="4300" spans="1:40" x14ac:dyDescent="0.25">
      <c r="A4300" t="str">
        <f>"20190303162640038"</f>
        <v>20190303162640038</v>
      </c>
      <c r="B4300" t="str">
        <f>"1551601600028291"</f>
        <v>1551601600028291</v>
      </c>
      <c r="C4300" t="s">
        <v>40</v>
      </c>
      <c r="D4300">
        <v>5.7315050000000003</v>
      </c>
      <c r="E4300">
        <v>0.48773339999999998</v>
      </c>
      <c r="F4300" t="s">
        <v>64</v>
      </c>
      <c r="G4300">
        <v>-367.21809999999999</v>
      </c>
      <c r="H4300" s="1">
        <v>-1.720288E-6</v>
      </c>
      <c r="I4300">
        <v>17.334029999999998</v>
      </c>
      <c r="J4300">
        <v>-396.28370000000001</v>
      </c>
      <c r="K4300">
        <v>1.1186720000000001</v>
      </c>
      <c r="L4300">
        <v>19.573060000000002</v>
      </c>
      <c r="M4300">
        <v>0.98841230000000002</v>
      </c>
      <c r="N4300">
        <v>-1.0556670000000001E-2</v>
      </c>
      <c r="O4300">
        <v>-0.15142649999999999</v>
      </c>
      <c r="P4300">
        <v>0.98519179999999995</v>
      </c>
      <c r="Q4300">
        <v>0.13966629999999899</v>
      </c>
      <c r="R4300">
        <v>-9.9452609999999997E-2</v>
      </c>
      <c r="S4300">
        <v>3.0368650000000001</v>
      </c>
      <c r="T4300">
        <v>-0.1155351</v>
      </c>
      <c r="U4300">
        <v>-0.23672489999999999</v>
      </c>
      <c r="V4300">
        <v>-5.0188990000000003E-2</v>
      </c>
      <c r="W4300">
        <v>0.15033289999999999</v>
      </c>
      <c r="X4300">
        <v>0.98736069999999998</v>
      </c>
      <c r="Y4300">
        <v>-7.4034779999999994E-2</v>
      </c>
      <c r="Z4300">
        <v>5.9194440000000003E-3</v>
      </c>
      <c r="AA4300">
        <v>0.99723810000000002</v>
      </c>
      <c r="AB4300">
        <v>34</v>
      </c>
      <c r="AC4300">
        <v>29.0656</v>
      </c>
      <c r="AD4300">
        <v>-1.1186737202879999</v>
      </c>
      <c r="AE4300">
        <v>-2.2390300000000001</v>
      </c>
      <c r="AF4300">
        <v>-2.1851211316897801</v>
      </c>
      <c r="AG4300">
        <v>-1.1186737202879999</v>
      </c>
      <c r="AH4300">
        <v>29.026716318159899</v>
      </c>
      <c r="AI4300">
        <v>92.200834498363903</v>
      </c>
      <c r="AJ4300">
        <v>94.305086306925205</v>
      </c>
      <c r="AK4300">
        <v>29.130335484981099</v>
      </c>
      <c r="AL4300">
        <v>81.353781206822504</v>
      </c>
      <c r="AM4300">
        <v>92.909923828333802</v>
      </c>
      <c r="AN4300">
        <v>1.00000003372205</v>
      </c>
    </row>
    <row r="4301" spans="1:40" x14ac:dyDescent="0.25">
      <c r="A4301" t="str">
        <f>"20190303162640059"</f>
        <v>20190303162640059</v>
      </c>
      <c r="B4301" t="str">
        <f>"1551601600047811"</f>
        <v>1551601600047811</v>
      </c>
      <c r="C4301" t="s">
        <v>40</v>
      </c>
      <c r="D4301">
        <v>5.4265559999999997</v>
      </c>
      <c r="E4301">
        <v>0.48821710000000001</v>
      </c>
      <c r="F4301" t="s">
        <v>64</v>
      </c>
      <c r="G4301">
        <v>-365.03429999999997</v>
      </c>
      <c r="H4301" s="1">
        <v>-2.7679339999999999E-6</v>
      </c>
      <c r="I4301">
        <v>17.247669999999999</v>
      </c>
      <c r="J4301">
        <v>-395.9649</v>
      </c>
      <c r="K4301">
        <v>1.118806</v>
      </c>
      <c r="L4301">
        <v>19.52252</v>
      </c>
      <c r="M4301">
        <v>0.98815059999999999</v>
      </c>
      <c r="N4301">
        <v>-1.055099E-2</v>
      </c>
      <c r="O4301">
        <v>-0.15312509999999999</v>
      </c>
      <c r="P4301">
        <v>0.98570040000000003</v>
      </c>
      <c r="Q4301">
        <v>0.14017560000000001</v>
      </c>
      <c r="R4301">
        <v>-9.3520779999999998E-2</v>
      </c>
      <c r="S4301">
        <v>3.0376590000000001</v>
      </c>
      <c r="T4301">
        <v>-0.108742699999999</v>
      </c>
      <c r="U4301">
        <v>-0.22604369999999999</v>
      </c>
      <c r="V4301">
        <v>-5.7869219999999999E-2</v>
      </c>
      <c r="W4301">
        <v>0.1508505</v>
      </c>
      <c r="X4301">
        <v>0.98686130000000005</v>
      </c>
      <c r="Y4301">
        <v>-7.9265100000000005E-2</v>
      </c>
      <c r="Z4301">
        <v>5.6634179999999999E-3</v>
      </c>
      <c r="AA4301">
        <v>0.99683750000000004</v>
      </c>
      <c r="AB4301">
        <v>34</v>
      </c>
      <c r="AC4301">
        <v>30.930599999999998</v>
      </c>
      <c r="AD4301">
        <v>-1.118808767934</v>
      </c>
      <c r="AE4301">
        <v>-2.2748499999999998</v>
      </c>
      <c r="AF4301">
        <v>-2.4852608797727398</v>
      </c>
      <c r="AG4301">
        <v>-1.118808767934</v>
      </c>
      <c r="AH4301">
        <v>30.873967180539001</v>
      </c>
      <c r="AI4301">
        <v>92.068686875853999</v>
      </c>
      <c r="AJ4301">
        <v>94.602213475759598</v>
      </c>
      <c r="AK4301">
        <v>30.994033363935301</v>
      </c>
      <c r="AL4301">
        <v>81.323782278179095</v>
      </c>
      <c r="AM4301">
        <v>93.355962451493696</v>
      </c>
      <c r="AN4301">
        <v>0.99999997270567398</v>
      </c>
    </row>
    <row r="4302" spans="1:40" x14ac:dyDescent="0.25">
      <c r="A4302" t="str">
        <f>"20190303162640081"</f>
        <v>20190303162640081</v>
      </c>
      <c r="B4302" t="str">
        <f>"1551601600068307"</f>
        <v>1551601600068307</v>
      </c>
      <c r="C4302" t="s">
        <v>40</v>
      </c>
      <c r="D4302">
        <v>5.7230410000000003</v>
      </c>
      <c r="E4302">
        <v>0.48872399999999999</v>
      </c>
      <c r="F4302" t="s">
        <v>64</v>
      </c>
      <c r="G4302">
        <v>-364.28039999999999</v>
      </c>
      <c r="H4302" s="1">
        <v>-3.1134000000000001E-6</v>
      </c>
      <c r="I4302">
        <v>17.30903</v>
      </c>
      <c r="J4302">
        <v>-395.61759999999998</v>
      </c>
      <c r="K4302">
        <v>1.118987</v>
      </c>
      <c r="L4302">
        <v>19.46698</v>
      </c>
      <c r="M4302">
        <v>0.98790350000000005</v>
      </c>
      <c r="N4302">
        <v>-1.0545830000000001E-2</v>
      </c>
      <c r="O4302">
        <v>-0.1547103</v>
      </c>
      <c r="P4302">
        <v>0.98629089999999997</v>
      </c>
      <c r="Q4302">
        <v>0.1396454</v>
      </c>
      <c r="R4302">
        <v>-8.7916830000000001E-2</v>
      </c>
      <c r="S4302">
        <v>3.0386350000000002</v>
      </c>
      <c r="T4302">
        <v>-0.1072969</v>
      </c>
      <c r="U4302">
        <v>-0.21228030000000001</v>
      </c>
      <c r="V4302">
        <v>-6.5149890000000002E-2</v>
      </c>
      <c r="W4302">
        <v>0.15031449999999999</v>
      </c>
      <c r="X4302">
        <v>0.98648919999999996</v>
      </c>
      <c r="Y4302">
        <v>-8.5376369999999993E-2</v>
      </c>
      <c r="Z4302">
        <v>5.7503379999999998E-3</v>
      </c>
      <c r="AA4302">
        <v>0.9963322</v>
      </c>
      <c r="AB4302">
        <v>34</v>
      </c>
      <c r="AC4302">
        <v>31.337199999999999</v>
      </c>
      <c r="AD4302">
        <v>-1.1189901134</v>
      </c>
      <c r="AE4302">
        <v>-2.15795</v>
      </c>
      <c r="AF4302">
        <v>-2.7130495788848101</v>
      </c>
      <c r="AG4302">
        <v>-1.1189901134</v>
      </c>
      <c r="AH4302">
        <v>31.254066860033799</v>
      </c>
      <c r="AI4302">
        <v>92.042810700832405</v>
      </c>
      <c r="AJ4302">
        <v>94.961197547502593</v>
      </c>
      <c r="AK4302">
        <v>31.391550968100301</v>
      </c>
      <c r="AL4302">
        <v>81.354846831765201</v>
      </c>
      <c r="AM4302">
        <v>93.778450809577507</v>
      </c>
      <c r="AN4302">
        <v>0.99999994939694903</v>
      </c>
    </row>
    <row r="4303" spans="1:40" x14ac:dyDescent="0.25">
      <c r="A4303" t="str">
        <f>"20190303162640107"</f>
        <v>20190303162640107</v>
      </c>
      <c r="B4303" t="str">
        <f>"1551601600098563"</f>
        <v>1551601600098563</v>
      </c>
      <c r="C4303" t="s">
        <v>40</v>
      </c>
      <c r="D4303">
        <v>5.7695540000000003</v>
      </c>
      <c r="E4303">
        <v>0.50291419999999998</v>
      </c>
      <c r="F4303" t="s">
        <v>64</v>
      </c>
      <c r="G4303">
        <v>-364.57929999999999</v>
      </c>
      <c r="H4303" s="1">
        <v>-2.9494379999999999E-6</v>
      </c>
      <c r="I4303">
        <v>17.436699999999998</v>
      </c>
      <c r="J4303">
        <v>-395.23930000000001</v>
      </c>
      <c r="K4303">
        <v>1.1191960000000001</v>
      </c>
      <c r="L4303">
        <v>19.40616</v>
      </c>
      <c r="M4303">
        <v>0.98767700000000003</v>
      </c>
      <c r="N4303">
        <v>-1.054133E-2</v>
      </c>
      <c r="O4303">
        <v>-0.15615129999999999</v>
      </c>
      <c r="P4303">
        <v>0.9869059</v>
      </c>
      <c r="Q4303">
        <v>0.13856280000000001</v>
      </c>
      <c r="R4303">
        <v>-8.2567390000000004E-2</v>
      </c>
      <c r="S4303">
        <v>3.03952</v>
      </c>
      <c r="T4303">
        <v>-0.10958080000000001</v>
      </c>
      <c r="U4303">
        <v>-0.198822</v>
      </c>
      <c r="V4303">
        <v>-7.2053569999999997E-2</v>
      </c>
      <c r="W4303">
        <v>0.1492127</v>
      </c>
      <c r="X4303">
        <v>0.98617639999999995</v>
      </c>
      <c r="Y4303">
        <v>-9.1229099999999994E-2</v>
      </c>
      <c r="Z4303">
        <v>6.0698729999999999E-3</v>
      </c>
      <c r="AA4303">
        <v>0.99581140000000001</v>
      </c>
      <c r="AB4303">
        <v>34</v>
      </c>
      <c r="AC4303">
        <v>30.66</v>
      </c>
      <c r="AD4303">
        <v>-1.1191989494379999</v>
      </c>
      <c r="AE4303">
        <v>-1.96946</v>
      </c>
      <c r="AF4303">
        <v>-2.8387989775897</v>
      </c>
      <c r="AG4303">
        <v>-1.1191989494379999</v>
      </c>
      <c r="AH4303">
        <v>30.550865101064499</v>
      </c>
      <c r="AI4303">
        <v>92.089041468719799</v>
      </c>
      <c r="AJ4303">
        <v>95.308703660605701</v>
      </c>
      <c r="AK4303">
        <v>30.702878437485801</v>
      </c>
      <c r="AL4303">
        <v>81.418696028289105</v>
      </c>
      <c r="AM4303">
        <v>94.178808952232998</v>
      </c>
      <c r="AN4303">
        <v>1.00000001935399</v>
      </c>
    </row>
    <row r="4304" spans="1:40" x14ac:dyDescent="0.25">
      <c r="A4304" t="str">
        <f>"20190303162640171"</f>
        <v>20190303162640171</v>
      </c>
      <c r="B4304" t="str">
        <f>"1551601600158099"</f>
        <v>1551601600158099</v>
      </c>
      <c r="C4304" t="s">
        <v>40</v>
      </c>
      <c r="D4304">
        <v>5.5224840000000004</v>
      </c>
      <c r="E4304">
        <v>0.50420959999999904</v>
      </c>
      <c r="F4304" t="s">
        <v>63</v>
      </c>
      <c r="G4304">
        <v>-370.0369</v>
      </c>
      <c r="H4304" s="1">
        <v>-5.1618089999999999E-6</v>
      </c>
      <c r="I4304">
        <v>16.957170000000001</v>
      </c>
      <c r="J4304">
        <v>-394.2552</v>
      </c>
      <c r="K4304">
        <v>1.120139</v>
      </c>
      <c r="L4304">
        <v>19.247859999999999</v>
      </c>
      <c r="M4304">
        <v>0.98747189999999996</v>
      </c>
      <c r="N4304">
        <v>-1.0539720000000001E-2</v>
      </c>
      <c r="O4304">
        <v>-0.1574441</v>
      </c>
      <c r="P4304">
        <v>0.98806760000000005</v>
      </c>
      <c r="Q4304">
        <v>0.13587769999999999</v>
      </c>
      <c r="R4304">
        <v>-7.2526859999999999E-2</v>
      </c>
      <c r="S4304">
        <v>3.0340880000000001</v>
      </c>
      <c r="T4304">
        <v>-0.134739</v>
      </c>
      <c r="U4304">
        <v>-0.29483029999999999</v>
      </c>
      <c r="V4304">
        <v>-8.3799520000000002E-2</v>
      </c>
      <c r="W4304">
        <v>0.146362299999999</v>
      </c>
      <c r="X4304">
        <v>0.98567530000000003</v>
      </c>
      <c r="Y4304">
        <v>-6.1042440000000003E-2</v>
      </c>
      <c r="Z4304">
        <v>6.9477419999999998E-3</v>
      </c>
      <c r="AA4304">
        <v>0.99811099999999997</v>
      </c>
      <c r="AB4304">
        <v>34</v>
      </c>
      <c r="AC4304">
        <v>24.218299999999999</v>
      </c>
      <c r="AD4304">
        <v>-1.120144161809</v>
      </c>
      <c r="AE4304">
        <v>-2.2906899999999899</v>
      </c>
      <c r="AF4304">
        <v>-1.5478403721909499</v>
      </c>
      <c r="AG4304">
        <v>-1.120144161809</v>
      </c>
      <c r="AH4304">
        <v>24.225524110671099</v>
      </c>
      <c r="AI4304">
        <v>92.641987461812406</v>
      </c>
      <c r="AJ4304">
        <v>93.655827444933294</v>
      </c>
      <c r="AK4304">
        <v>24.300752070619701</v>
      </c>
      <c r="AL4304">
        <v>81.583825409039804</v>
      </c>
      <c r="AM4304">
        <v>94.859450909381906</v>
      </c>
      <c r="AN4304">
        <v>1.0000000397218001</v>
      </c>
    </row>
    <row r="4305" spans="1:40" x14ac:dyDescent="0.25">
      <c r="A4305" t="str">
        <f>"20190303162640194"</f>
        <v>20190303162640194</v>
      </c>
      <c r="B4305" t="str">
        <f>"1551601600188355"</f>
        <v>1551601600188355</v>
      </c>
      <c r="C4305" t="s">
        <v>40</v>
      </c>
      <c r="D4305">
        <v>5.755763</v>
      </c>
      <c r="E4305">
        <v>0.49342229999999998</v>
      </c>
      <c r="F4305" t="s">
        <v>63</v>
      </c>
      <c r="G4305">
        <v>-371.0376</v>
      </c>
      <c r="H4305" s="1">
        <v>-4.6419990000000004E-6</v>
      </c>
      <c r="I4305">
        <v>17.220669999999998</v>
      </c>
      <c r="J4305">
        <v>-393.90839999999997</v>
      </c>
      <c r="K4305">
        <v>1.1207210000000001</v>
      </c>
      <c r="L4305">
        <v>19.193079999999998</v>
      </c>
      <c r="M4305">
        <v>0.98760979999999998</v>
      </c>
      <c r="N4305">
        <v>-1.0551059999999999E-2</v>
      </c>
      <c r="O4305">
        <v>-0.15657489999999999</v>
      </c>
      <c r="P4305">
        <v>0.98815390000000003</v>
      </c>
      <c r="Q4305">
        <v>0.1342699</v>
      </c>
      <c r="R4305">
        <v>-7.4322280000000004E-2</v>
      </c>
      <c r="S4305">
        <v>3.0369869999999999</v>
      </c>
      <c r="T4305">
        <v>-0.14652089999999901</v>
      </c>
      <c r="U4305">
        <v>-0.26516719999999999</v>
      </c>
      <c r="V4305">
        <v>-8.1381110000000006E-2</v>
      </c>
      <c r="W4305">
        <v>0.14465029999999901</v>
      </c>
      <c r="X4305">
        <v>0.98613050000000002</v>
      </c>
      <c r="Y4305">
        <v>-6.9874729999999996E-2</v>
      </c>
      <c r="Z4305">
        <v>7.8939830000000002E-3</v>
      </c>
      <c r="AA4305">
        <v>0.99752459999999998</v>
      </c>
      <c r="AB4305">
        <v>34</v>
      </c>
      <c r="AC4305">
        <v>22.8707999999999</v>
      </c>
      <c r="AD4305">
        <v>-1.1207256419989999</v>
      </c>
      <c r="AE4305">
        <v>-1.97240999999999</v>
      </c>
      <c r="AF4305">
        <v>-1.62922927627953</v>
      </c>
      <c r="AG4305">
        <v>-1.1207256419989999</v>
      </c>
      <c r="AH4305">
        <v>22.843082250295399</v>
      </c>
      <c r="AI4305">
        <v>92.801683613938295</v>
      </c>
      <c r="AJ4305">
        <v>94.079578979611796</v>
      </c>
      <c r="AK4305">
        <v>22.928515448957398</v>
      </c>
      <c r="AL4305">
        <v>81.682970455380499</v>
      </c>
      <c r="AM4305">
        <v>94.717683789649897</v>
      </c>
      <c r="AN4305">
        <v>0.99999997869258495</v>
      </c>
    </row>
    <row r="4306" spans="1:40" x14ac:dyDescent="0.25">
      <c r="A4306" t="str">
        <f>"20190303162640215"</f>
        <v>20190303162640215</v>
      </c>
      <c r="B4306" t="str">
        <f>"1551601600207875"</f>
        <v>1551601600207875</v>
      </c>
      <c r="C4306" t="s">
        <v>40</v>
      </c>
      <c r="D4306">
        <v>5.7655469999999998</v>
      </c>
      <c r="E4306">
        <v>0.4801165</v>
      </c>
      <c r="F4306" t="s">
        <v>64</v>
      </c>
      <c r="G4306">
        <v>-367.67790000000002</v>
      </c>
      <c r="H4306" s="1">
        <v>-1.4485180000000001E-6</v>
      </c>
      <c r="I4306">
        <v>17.64085</v>
      </c>
      <c r="J4306">
        <v>-393.57659999999998</v>
      </c>
      <c r="K4306">
        <v>1.121383</v>
      </c>
      <c r="L4306">
        <v>19.141749999999998</v>
      </c>
      <c r="M4306">
        <v>0.98786339999999995</v>
      </c>
      <c r="N4306">
        <v>-1.057261E-2</v>
      </c>
      <c r="O4306">
        <v>-0.154966299999999</v>
      </c>
      <c r="P4306">
        <v>0.98819829999999997</v>
      </c>
      <c r="Q4306">
        <v>0.13295109999999999</v>
      </c>
      <c r="R4306">
        <v>-7.6082230000000001E-2</v>
      </c>
      <c r="S4306">
        <v>3.0400700000000001</v>
      </c>
      <c r="T4306">
        <v>-0.1298897</v>
      </c>
      <c r="U4306">
        <v>-0.17990110000000001</v>
      </c>
      <c r="V4306">
        <v>-7.8268599999999994E-2</v>
      </c>
      <c r="W4306">
        <v>0.14323420000000001</v>
      </c>
      <c r="X4306">
        <v>0.9865891</v>
      </c>
      <c r="Y4306">
        <v>-9.6157220000000002E-2</v>
      </c>
      <c r="Z4306">
        <v>7.5018559999999899E-3</v>
      </c>
      <c r="AA4306">
        <v>0.9953379</v>
      </c>
      <c r="AB4306">
        <v>34</v>
      </c>
      <c r="AC4306">
        <v>25.898699999999899</v>
      </c>
      <c r="AD4306">
        <v>-1.121384448518</v>
      </c>
      <c r="AE4306">
        <v>-1.5008999999999899</v>
      </c>
      <c r="AF4306">
        <v>-2.52616226962434</v>
      </c>
      <c r="AG4306">
        <v>-1.121384448518</v>
      </c>
      <c r="AH4306">
        <v>25.770252074838201</v>
      </c>
      <c r="AI4306">
        <v>92.479765239933201</v>
      </c>
      <c r="AJ4306">
        <v>95.598605944998098</v>
      </c>
      <c r="AK4306">
        <v>25.918041802855299</v>
      </c>
      <c r="AL4306">
        <v>81.7649612924792</v>
      </c>
      <c r="AM4306">
        <v>94.535918694344403</v>
      </c>
      <c r="AN4306">
        <v>1.0000000310171999</v>
      </c>
    </row>
    <row r="4307" spans="1:40" x14ac:dyDescent="0.25">
      <c r="A4307" t="str">
        <f>"20190303162640249"</f>
        <v>20190303162640249</v>
      </c>
      <c r="B4307" t="str">
        <f>"1551601600238131"</f>
        <v>1551601600238131</v>
      </c>
      <c r="C4307" t="s">
        <v>40</v>
      </c>
      <c r="D4307">
        <v>5.6424669999999999</v>
      </c>
      <c r="E4307">
        <v>0.47262579999999998</v>
      </c>
      <c r="F4307" t="s">
        <v>64</v>
      </c>
      <c r="G4307">
        <v>-368.15699999999998</v>
      </c>
      <c r="H4307" s="1">
        <v>-1.0674580000000001E-6</v>
      </c>
      <c r="I4307">
        <v>18.51238</v>
      </c>
      <c r="J4307">
        <v>-393.0745</v>
      </c>
      <c r="K4307">
        <v>1.1224339999999999</v>
      </c>
      <c r="L4307">
        <v>19.066960000000002</v>
      </c>
      <c r="M4307">
        <v>0.988479</v>
      </c>
      <c r="N4307">
        <v>-1.0618239999999999E-2</v>
      </c>
      <c r="O4307">
        <v>-0.1509857</v>
      </c>
      <c r="P4307">
        <v>0.98770950000000002</v>
      </c>
      <c r="Q4307">
        <v>0.1342517</v>
      </c>
      <c r="R4307">
        <v>-8.0041799999999996E-2</v>
      </c>
      <c r="S4307">
        <v>3.0481259999999999</v>
      </c>
      <c r="T4307">
        <v>-0.1344678</v>
      </c>
      <c r="U4307">
        <v>-7.5469969999999997E-2</v>
      </c>
      <c r="V4307">
        <v>-7.0660589999999995E-2</v>
      </c>
      <c r="W4307">
        <v>0.14442569999999999</v>
      </c>
      <c r="X4307">
        <v>0.98698949999999996</v>
      </c>
      <c r="Y4307">
        <v>-0.1262443</v>
      </c>
      <c r="Z4307">
        <v>8.4800029999999998E-3</v>
      </c>
      <c r="AA4307">
        <v>0.99196300000000004</v>
      </c>
      <c r="AB4307">
        <v>34</v>
      </c>
      <c r="AC4307">
        <v>24.9175</v>
      </c>
      <c r="AD4307">
        <v>-1.1224350674579999</v>
      </c>
      <c r="AE4307">
        <v>-0.55458000000000096</v>
      </c>
      <c r="AF4307">
        <v>-3.20767082182623</v>
      </c>
      <c r="AG4307">
        <v>-1.1224350674579999</v>
      </c>
      <c r="AH4307">
        <v>24.665525273478</v>
      </c>
      <c r="AI4307">
        <v>92.583790136702902</v>
      </c>
      <c r="AJ4307">
        <v>97.409544856692506</v>
      </c>
      <c r="AK4307">
        <v>24.898537097557298</v>
      </c>
      <c r="AL4307">
        <v>81.695975725359204</v>
      </c>
      <c r="AM4307">
        <v>94.094935085562597</v>
      </c>
      <c r="AN4307">
        <v>0.99999998745494301</v>
      </c>
    </row>
    <row r="4308" spans="1:40" x14ac:dyDescent="0.25">
      <c r="A4308" t="str">
        <f>"20190303162640273"</f>
        <v>20190303162640273</v>
      </c>
      <c r="B4308" t="str">
        <f>"1551601600268387"</f>
        <v>1551601600268387</v>
      </c>
      <c r="C4308" t="s">
        <v>40</v>
      </c>
      <c r="D4308">
        <v>5.7609279999999998</v>
      </c>
      <c r="E4308">
        <v>0.47091260000000001</v>
      </c>
      <c r="F4308" t="s">
        <v>64</v>
      </c>
      <c r="G4308">
        <v>-366.07619999999997</v>
      </c>
      <c r="H4308" s="1">
        <v>-1.9935769999999999E-6</v>
      </c>
      <c r="I4308">
        <v>18.836449999999999</v>
      </c>
      <c r="J4308">
        <v>-392.71089999999998</v>
      </c>
      <c r="K4308">
        <v>1.123132</v>
      </c>
      <c r="L4308">
        <v>19.014949999999999</v>
      </c>
      <c r="M4308">
        <v>0.98905469999999895</v>
      </c>
      <c r="N4308">
        <v>-1.065075E-2</v>
      </c>
      <c r="O4308">
        <v>-0.14716479999999901</v>
      </c>
      <c r="P4308">
        <v>0.98700330000000003</v>
      </c>
      <c r="Q4308">
        <v>0.1385624</v>
      </c>
      <c r="R4308">
        <v>-8.1394049999999996E-2</v>
      </c>
      <c r="S4308">
        <v>3.05246</v>
      </c>
      <c r="T4308">
        <v>-0.12690399999999999</v>
      </c>
      <c r="U4308">
        <v>-2.606201E-2</v>
      </c>
      <c r="V4308">
        <v>-6.5659239999999994E-2</v>
      </c>
      <c r="W4308">
        <v>0.1486827</v>
      </c>
      <c r="X4308">
        <v>0.98670270000000004</v>
      </c>
      <c r="Y4308">
        <v>-0.1385033</v>
      </c>
      <c r="Z4308">
        <v>8.1421710000000001E-3</v>
      </c>
      <c r="AA4308">
        <v>0.99032849999999994</v>
      </c>
      <c r="AB4308">
        <v>34</v>
      </c>
      <c r="AC4308">
        <v>26.634699999999999</v>
      </c>
      <c r="AD4308">
        <v>-1.1231339935769999</v>
      </c>
      <c r="AE4308">
        <v>-0.17849999999999899</v>
      </c>
      <c r="AF4308">
        <v>-3.7367120202403901</v>
      </c>
      <c r="AG4308">
        <v>-1.1231339935769999</v>
      </c>
      <c r="AH4308">
        <v>26.324132321605202</v>
      </c>
      <c r="AI4308">
        <v>92.418856158178798</v>
      </c>
      <c r="AJ4308">
        <v>98.079163016231703</v>
      </c>
      <c r="AK4308">
        <v>26.611734050510801</v>
      </c>
      <c r="AL4308">
        <v>81.449404750779195</v>
      </c>
      <c r="AM4308">
        <v>93.807083116506604</v>
      </c>
      <c r="AN4308">
        <v>0.99999994963197703</v>
      </c>
    </row>
    <row r="4309" spans="1:40" x14ac:dyDescent="0.25">
      <c r="A4309" t="str">
        <f>"20190303162640308"</f>
        <v>20190303162640308</v>
      </c>
      <c r="B4309" t="str">
        <f>"1551601600297667"</f>
        <v>1551601600297667</v>
      </c>
      <c r="C4309" t="s">
        <v>40</v>
      </c>
      <c r="D4309">
        <v>5.6986179999999997</v>
      </c>
      <c r="E4309">
        <v>0.47014529999999899</v>
      </c>
      <c r="F4309" t="s">
        <v>64</v>
      </c>
      <c r="G4309">
        <v>-362.68389999999999</v>
      </c>
      <c r="H4309" s="1">
        <v>-3.595655E-6</v>
      </c>
      <c r="I4309">
        <v>18.844840000000001</v>
      </c>
      <c r="J4309">
        <v>-392.19499999999999</v>
      </c>
      <c r="K4309">
        <v>1.123929</v>
      </c>
      <c r="L4309">
        <v>18.944890000000001</v>
      </c>
      <c r="M4309">
        <v>0.99000779999999999</v>
      </c>
      <c r="N4309">
        <v>-1.0684020000000001E-2</v>
      </c>
      <c r="O4309">
        <v>-0.14060819999999999</v>
      </c>
      <c r="P4309">
        <v>0.98586960000000001</v>
      </c>
      <c r="Q4309">
        <v>0.14832590000000001</v>
      </c>
      <c r="R4309">
        <v>-7.785272E-2</v>
      </c>
      <c r="S4309">
        <v>3.054138</v>
      </c>
      <c r="T4309">
        <v>-0.11423750000000001</v>
      </c>
      <c r="U4309">
        <v>-1.7303470000000001E-2</v>
      </c>
      <c r="V4309">
        <v>-6.2810840000000007E-2</v>
      </c>
      <c r="W4309">
        <v>0.158368799999999</v>
      </c>
      <c r="X4309">
        <v>0.98538020000000004</v>
      </c>
      <c r="Y4309">
        <v>-0.13483410000000001</v>
      </c>
      <c r="Z4309">
        <v>6.9793980000000004E-3</v>
      </c>
      <c r="AA4309">
        <v>0.99084360000000005</v>
      </c>
      <c r="AB4309">
        <v>34</v>
      </c>
      <c r="AC4309">
        <v>29.511099999999999</v>
      </c>
      <c r="AD4309">
        <v>-1.1239325956549999</v>
      </c>
      <c r="AE4309">
        <v>-0.100050000000003</v>
      </c>
      <c r="AF4309">
        <v>-4.0448162129363503</v>
      </c>
      <c r="AG4309">
        <v>-1.1239325956549999</v>
      </c>
      <c r="AH4309">
        <v>29.189613430168802</v>
      </c>
      <c r="AI4309">
        <v>92.184208144965098</v>
      </c>
      <c r="AJ4309">
        <v>97.889258825827795</v>
      </c>
      <c r="AK4309">
        <v>29.489952439410601</v>
      </c>
      <c r="AL4309">
        <v>80.887771868046102</v>
      </c>
      <c r="AM4309">
        <v>93.647255905130905</v>
      </c>
      <c r="AN4309">
        <v>1.0000000084934899</v>
      </c>
    </row>
    <row r="4310" spans="1:40" x14ac:dyDescent="0.25">
      <c r="A4310" t="str">
        <f>"20190303162640330"</f>
        <v>20190303162640330</v>
      </c>
      <c r="B4310" t="str">
        <f>"1551601600318163"</f>
        <v>1551601600318163</v>
      </c>
      <c r="C4310" t="s">
        <v>40</v>
      </c>
      <c r="D4310">
        <v>5.6949050000000003</v>
      </c>
      <c r="E4310">
        <v>0.46980549999999999</v>
      </c>
      <c r="F4310" t="s">
        <v>41</v>
      </c>
      <c r="G4310">
        <v>-352.48360000000002</v>
      </c>
      <c r="H4310" s="1">
        <v>-3.3363799999999998E-6</v>
      </c>
      <c r="I4310">
        <v>18.88571</v>
      </c>
      <c r="J4310">
        <v>-391.83969999999999</v>
      </c>
      <c r="K4310">
        <v>1.1243299999999901</v>
      </c>
      <c r="L4310">
        <v>18.899170000000002</v>
      </c>
      <c r="M4310">
        <v>0.99071030000000004</v>
      </c>
      <c r="N4310">
        <v>-1.069871E-2</v>
      </c>
      <c r="O4310">
        <v>-0.1355682</v>
      </c>
      <c r="P4310">
        <v>0.98569739999999995</v>
      </c>
      <c r="Q4310">
        <v>0.15245040000000001</v>
      </c>
      <c r="R4310">
        <v>-7.1832339999999995E-2</v>
      </c>
      <c r="S4310">
        <v>3.0556640000000002</v>
      </c>
      <c r="T4310">
        <v>-8.6483119999999997E-2</v>
      </c>
      <c r="U4310">
        <v>-4.5471189999999996E-3</v>
      </c>
      <c r="V4310">
        <v>-6.3920619999999997E-2</v>
      </c>
      <c r="W4310">
        <v>0.16242970000000001</v>
      </c>
      <c r="X4310">
        <v>0.98464750000000001</v>
      </c>
      <c r="Y4310">
        <v>-0.13400680000000001</v>
      </c>
      <c r="Z4310">
        <v>4.9865550000000002E-3</v>
      </c>
      <c r="AA4310">
        <v>0.99096790000000001</v>
      </c>
      <c r="AB4310">
        <v>35</v>
      </c>
      <c r="AC4310">
        <v>39.356099999999898</v>
      </c>
      <c r="AD4310">
        <v>-1.1243333363800001</v>
      </c>
      <c r="AE4310">
        <v>-1.3460000000002E-2</v>
      </c>
      <c r="AF4310">
        <v>-5.3180647326627799</v>
      </c>
      <c r="AG4310">
        <v>-1.1243333363800001</v>
      </c>
      <c r="AH4310">
        <v>38.962749091064197</v>
      </c>
      <c r="AI4310">
        <v>91.637727498353001</v>
      </c>
      <c r="AJ4310">
        <v>97.772330288283698</v>
      </c>
      <c r="AK4310">
        <v>39.340078224189</v>
      </c>
      <c r="AL4310">
        <v>80.652046844856201</v>
      </c>
      <c r="AM4310">
        <v>93.714273369538205</v>
      </c>
      <c r="AN4310">
        <v>0.999999976179761</v>
      </c>
    </row>
    <row r="4311" spans="1:40" x14ac:dyDescent="0.25">
      <c r="A4311" t="str">
        <f>"20190303162640350"</f>
        <v>20190303162640350</v>
      </c>
      <c r="B4311" t="str">
        <f>"1551601600337683"</f>
        <v>1551601600337683</v>
      </c>
      <c r="C4311" t="s">
        <v>40</v>
      </c>
      <c r="D4311">
        <v>5.7524940000000004</v>
      </c>
      <c r="E4311">
        <v>0.46946199999999999</v>
      </c>
      <c r="F4311" t="s">
        <v>41</v>
      </c>
      <c r="G4311">
        <v>-347.61439999999999</v>
      </c>
      <c r="H4311" s="1">
        <v>-1.0979399999999999E-6</v>
      </c>
      <c r="I4311">
        <v>19.09646</v>
      </c>
      <c r="J4311">
        <v>-391.53590000000003</v>
      </c>
      <c r="K4311">
        <v>1.1245700000000001</v>
      </c>
      <c r="L4311">
        <v>18.861660000000001</v>
      </c>
      <c r="M4311">
        <v>0.99131720000000001</v>
      </c>
      <c r="N4311">
        <v>-1.07067E-2</v>
      </c>
      <c r="O4311">
        <v>-0.13105619999999901</v>
      </c>
      <c r="P4311">
        <v>0.98648670000000005</v>
      </c>
      <c r="Q4311">
        <v>0.15092069999999999</v>
      </c>
      <c r="R4311">
        <v>-6.3773410000000003E-2</v>
      </c>
      <c r="S4311">
        <v>3.056549</v>
      </c>
      <c r="T4311">
        <v>-7.7705979999999994E-2</v>
      </c>
      <c r="U4311">
        <v>1.364136E-2</v>
      </c>
      <c r="V4311">
        <v>-6.7613019999999996E-2</v>
      </c>
      <c r="W4311">
        <v>0.16083259999999999</v>
      </c>
      <c r="X4311">
        <v>0.98466310000000001</v>
      </c>
      <c r="Y4311">
        <v>-0.1354108</v>
      </c>
      <c r="Z4311">
        <v>4.3643329999999998E-3</v>
      </c>
      <c r="AA4311">
        <v>0.99077990000000005</v>
      </c>
      <c r="AB4311">
        <v>35</v>
      </c>
      <c r="AC4311">
        <v>43.921500000000002</v>
      </c>
      <c r="AD4311">
        <v>-1.1245710979400001</v>
      </c>
      <c r="AE4311">
        <v>0.23479999999999901</v>
      </c>
      <c r="AF4311">
        <v>-5.9853652901093</v>
      </c>
      <c r="AG4311">
        <v>-1.1245710979400001</v>
      </c>
      <c r="AH4311">
        <v>43.483351530262098</v>
      </c>
      <c r="AI4311">
        <v>91.4676273342114</v>
      </c>
      <c r="AJ4311">
        <v>97.837358580478494</v>
      </c>
      <c r="AK4311">
        <v>43.907756924200903</v>
      </c>
      <c r="AL4311">
        <v>80.744773715080797</v>
      </c>
      <c r="AM4311">
        <v>93.928114355617694</v>
      </c>
      <c r="AN4311">
        <v>1.00000003309894</v>
      </c>
    </row>
    <row r="4312" spans="1:40" x14ac:dyDescent="0.25">
      <c r="A4312" t="str">
        <f>"20190303162640373"</f>
        <v>20190303162640373</v>
      </c>
      <c r="B4312" t="str">
        <f>"1551601600367939"</f>
        <v>1551601600367939</v>
      </c>
      <c r="C4312" t="s">
        <v>40</v>
      </c>
      <c r="D4312">
        <v>5.810746</v>
      </c>
      <c r="E4312">
        <v>0.46919870000000002</v>
      </c>
      <c r="F4312" t="s">
        <v>41</v>
      </c>
      <c r="G4312">
        <v>-353.31699999999898</v>
      </c>
      <c r="H4312" s="1">
        <v>-2.9006619999999998E-6</v>
      </c>
      <c r="I4312">
        <v>19.326630000000002</v>
      </c>
      <c r="J4312">
        <v>-391.19349999999997</v>
      </c>
      <c r="K4312">
        <v>1.1247480000000001</v>
      </c>
      <c r="L4312">
        <v>18.82114</v>
      </c>
      <c r="M4312">
        <v>0.99198790000000003</v>
      </c>
      <c r="N4312">
        <v>-1.071104E-2</v>
      </c>
      <c r="O4312">
        <v>-0.1258792</v>
      </c>
      <c r="P4312">
        <v>0.98781859999999999</v>
      </c>
      <c r="Q4312">
        <v>0.14569689999999999</v>
      </c>
      <c r="R4312">
        <v>-5.4655389999999998E-2</v>
      </c>
      <c r="S4312">
        <v>3.0572810000000001</v>
      </c>
      <c r="T4312">
        <v>-8.9959140000000007E-2</v>
      </c>
      <c r="U4312">
        <v>3.720093E-2</v>
      </c>
      <c r="V4312">
        <v>-7.1706699999999998E-2</v>
      </c>
      <c r="W4312">
        <v>0.155542299999999</v>
      </c>
      <c r="X4312">
        <v>0.98522319999999997</v>
      </c>
      <c r="Y4312">
        <v>-0.1378442</v>
      </c>
      <c r="Z4312">
        <v>5.1117609999999898E-3</v>
      </c>
      <c r="AA4312">
        <v>0.99044069999999995</v>
      </c>
      <c r="AB4312">
        <v>35</v>
      </c>
      <c r="AC4312">
        <v>37.8765</v>
      </c>
      <c r="AD4312">
        <v>-1.12475090066199</v>
      </c>
      <c r="AE4312">
        <v>0.505489999999998</v>
      </c>
      <c r="AF4312">
        <v>-5.2649631510416199</v>
      </c>
      <c r="AG4312">
        <v>-1.12475090066199</v>
      </c>
      <c r="AH4312">
        <v>37.478502482497703</v>
      </c>
      <c r="AI4312">
        <v>91.702258013134497</v>
      </c>
      <c r="AJ4312">
        <v>97.996556609539795</v>
      </c>
      <c r="AK4312">
        <v>37.863214996893099</v>
      </c>
      <c r="AL4312">
        <v>81.051750833226194</v>
      </c>
      <c r="AM4312">
        <v>94.1627721305004</v>
      </c>
      <c r="AN4312">
        <v>1.00000000586621</v>
      </c>
    </row>
    <row r="4313" spans="1:40" x14ac:dyDescent="0.25">
      <c r="A4313" t="str">
        <f>"20190303162640395"</f>
        <v>20190303162640395</v>
      </c>
      <c r="B4313" t="str">
        <f>"1551601600388435"</f>
        <v>1551601600388435</v>
      </c>
      <c r="C4313" t="s">
        <v>40</v>
      </c>
      <c r="D4313">
        <v>5.8065519999999999</v>
      </c>
      <c r="E4313">
        <v>0.46901559999999998</v>
      </c>
      <c r="F4313" t="s">
        <v>64</v>
      </c>
      <c r="G4313">
        <v>-361.56</v>
      </c>
      <c r="H4313" s="1">
        <v>-4.0188149999999997E-6</v>
      </c>
      <c r="I4313">
        <v>19.454350000000002</v>
      </c>
      <c r="J4313">
        <v>-390.8433</v>
      </c>
      <c r="K4313">
        <v>1.124833</v>
      </c>
      <c r="L4313">
        <v>18.781490000000002</v>
      </c>
      <c r="M4313">
        <v>0.99264430000000003</v>
      </c>
      <c r="N4313">
        <v>-1.071102E-2</v>
      </c>
      <c r="O4313">
        <v>-0.1205927</v>
      </c>
      <c r="P4313">
        <v>0.98918510000000004</v>
      </c>
      <c r="Q4313">
        <v>0.13905239999999999</v>
      </c>
      <c r="R4313">
        <v>-4.6662599999999999E-2</v>
      </c>
      <c r="S4313">
        <v>3.0577390000000002</v>
      </c>
      <c r="T4313">
        <v>-0.1160576</v>
      </c>
      <c r="U4313">
        <v>6.5338129999999994E-2</v>
      </c>
      <c r="V4313">
        <v>-7.4527140000000006E-2</v>
      </c>
      <c r="W4313">
        <v>0.14885479999999901</v>
      </c>
      <c r="X4313">
        <v>0.9860466</v>
      </c>
      <c r="Y4313">
        <v>-0.14160429999999999</v>
      </c>
      <c r="Z4313">
        <v>6.7197610000000003E-3</v>
      </c>
      <c r="AA4313">
        <v>0.98990049999999996</v>
      </c>
      <c r="AB4313">
        <v>35</v>
      </c>
      <c r="AC4313">
        <v>29.283300000000001</v>
      </c>
      <c r="AD4313">
        <v>-1.1248370188150001</v>
      </c>
      <c r="AE4313">
        <v>0.67286000000000301</v>
      </c>
      <c r="AF4313">
        <v>-4.1933197146299399</v>
      </c>
      <c r="AG4313">
        <v>-1.1248370188150001</v>
      </c>
      <c r="AH4313">
        <v>28.945734389131299</v>
      </c>
      <c r="AI4313">
        <v>92.202437586558403</v>
      </c>
      <c r="AJ4313">
        <v>98.242997360659203</v>
      </c>
      <c r="AK4313">
        <v>29.2695187502996</v>
      </c>
      <c r="AL4313">
        <v>81.439433373687294</v>
      </c>
      <c r="AM4313">
        <v>94.322297979962499</v>
      </c>
      <c r="AN4313">
        <v>0.99999997172558897</v>
      </c>
    </row>
    <row r="4314" spans="1:40" x14ac:dyDescent="0.25">
      <c r="A4314" t="str">
        <f>"20190303162640419"</f>
        <v>20190303162640419</v>
      </c>
      <c r="B4314" t="str">
        <f>"1551601600407955"</f>
        <v>1551601600407955</v>
      </c>
      <c r="C4314" t="s">
        <v>40</v>
      </c>
      <c r="D4314">
        <v>5.7440110000000004</v>
      </c>
      <c r="E4314">
        <v>0.4689181</v>
      </c>
      <c r="F4314" t="s">
        <v>64</v>
      </c>
      <c r="G4314">
        <v>-366.44940000000003</v>
      </c>
      <c r="H4314" s="1">
        <v>-1.695226E-6</v>
      </c>
      <c r="I4314">
        <v>19.523980000000002</v>
      </c>
      <c r="J4314">
        <v>-390.49369999999999</v>
      </c>
      <c r="K4314">
        <v>1.124849</v>
      </c>
      <c r="L4314">
        <v>18.74371</v>
      </c>
      <c r="M4314">
        <v>0.99325989999999997</v>
      </c>
      <c r="N4314">
        <v>-1.0707589999999999E-2</v>
      </c>
      <c r="O4314">
        <v>-0.1154131</v>
      </c>
      <c r="P4314">
        <v>0.99021179999999998</v>
      </c>
      <c r="Q4314">
        <v>0.13370279999999901</v>
      </c>
      <c r="R4314">
        <v>-4.0053940000000003E-2</v>
      </c>
      <c r="S4314">
        <v>3.0570369999999998</v>
      </c>
      <c r="T4314">
        <v>-0.1409639</v>
      </c>
      <c r="U4314">
        <v>9.3048099999999995E-2</v>
      </c>
      <c r="V4314">
        <v>-7.6018310000000006E-2</v>
      </c>
      <c r="W4314">
        <v>0.14348429999999901</v>
      </c>
      <c r="X4314">
        <v>0.98672870000000001</v>
      </c>
      <c r="Y4314">
        <v>-0.14532419999999999</v>
      </c>
      <c r="Z4314">
        <v>8.2013709999999903E-3</v>
      </c>
      <c r="AA4314">
        <v>0.98935010000000001</v>
      </c>
      <c r="AB4314">
        <v>35</v>
      </c>
      <c r="AC4314">
        <v>24.0442999999999</v>
      </c>
      <c r="AD4314">
        <v>-1.124850695226</v>
      </c>
      <c r="AE4314">
        <v>0.78026999999999702</v>
      </c>
      <c r="AF4314">
        <v>-3.54249657912868</v>
      </c>
      <c r="AG4314">
        <v>-1.124850695226</v>
      </c>
      <c r="AH4314">
        <v>23.741642704941999</v>
      </c>
      <c r="AI4314">
        <v>92.682919840081695</v>
      </c>
      <c r="AJ4314">
        <v>98.486507176423103</v>
      </c>
      <c r="AK4314">
        <v>24.030817077844301</v>
      </c>
      <c r="AL4314">
        <v>81.750482029945303</v>
      </c>
      <c r="AM4314">
        <v>94.405407280524798</v>
      </c>
      <c r="AN4314">
        <v>1.0000000276027099</v>
      </c>
    </row>
    <row r="4315" spans="1:40" x14ac:dyDescent="0.25">
      <c r="A4315" t="str">
        <f>"20190303162640440"</f>
        <v>20190303162640440</v>
      </c>
      <c r="B4315" t="str">
        <f>"1551601600428451"</f>
        <v>1551601600428451</v>
      </c>
      <c r="C4315" t="s">
        <v>40</v>
      </c>
      <c r="D4315">
        <v>5.8067650000000004</v>
      </c>
      <c r="E4315">
        <v>0.46902569999999999</v>
      </c>
      <c r="F4315" t="s">
        <v>64</v>
      </c>
      <c r="G4315">
        <v>-369.16390000000001</v>
      </c>
      <c r="H4315" s="1">
        <v>-4.0666010000000001E-7</v>
      </c>
      <c r="I4315">
        <v>19.554369999999999</v>
      </c>
      <c r="J4315">
        <v>-390.16680000000002</v>
      </c>
      <c r="K4315">
        <v>1.1248119999999999</v>
      </c>
      <c r="L4315">
        <v>18.71002</v>
      </c>
      <c r="M4315">
        <v>0.99379479999999998</v>
      </c>
      <c r="N4315">
        <v>-1.070339E-2</v>
      </c>
      <c r="O4315">
        <v>-0.11071300000000001</v>
      </c>
      <c r="P4315">
        <v>0.99082309999999996</v>
      </c>
      <c r="Q4315">
        <v>0.13076769999999999</v>
      </c>
      <c r="R4315">
        <v>-3.4196919999999999E-2</v>
      </c>
      <c r="S4315">
        <v>3.0560909999999999</v>
      </c>
      <c r="T4315">
        <v>-0.161166</v>
      </c>
      <c r="U4315">
        <v>0.1161499</v>
      </c>
      <c r="V4315">
        <v>-7.7196429999999996E-2</v>
      </c>
      <c r="W4315">
        <v>0.1405381</v>
      </c>
      <c r="X4315">
        <v>0.98706110000000002</v>
      </c>
      <c r="Y4315">
        <v>-0.14804</v>
      </c>
      <c r="Z4315">
        <v>9.3339500000000006E-3</v>
      </c>
      <c r="AA4315">
        <v>0.98893730000000002</v>
      </c>
      <c r="AB4315">
        <v>35</v>
      </c>
      <c r="AC4315">
        <v>21.0029</v>
      </c>
      <c r="AD4315">
        <v>-1.1248124066601</v>
      </c>
      <c r="AE4315">
        <v>0.84435000000000204</v>
      </c>
      <c r="AF4315">
        <v>-3.15554994486161</v>
      </c>
      <c r="AG4315">
        <v>-1.1248124066601</v>
      </c>
      <c r="AH4315">
        <v>20.720947406745399</v>
      </c>
      <c r="AI4315">
        <v>93.071837526717403</v>
      </c>
      <c r="AJ4315">
        <v>98.658925862540201</v>
      </c>
      <c r="AK4315">
        <v>20.990006189560901</v>
      </c>
      <c r="AL4315">
        <v>81.921014474831196</v>
      </c>
      <c r="AM4315">
        <v>94.471906240819493</v>
      </c>
      <c r="AN4315">
        <v>0.99999993074478</v>
      </c>
    </row>
    <row r="4316" spans="1:40" x14ac:dyDescent="0.25">
      <c r="A4316" t="str">
        <f>"20190303162640461"</f>
        <v>20190303162640461</v>
      </c>
      <c r="B4316" t="str">
        <f>"1551601600447971"</f>
        <v>1551601600447971</v>
      </c>
      <c r="C4316" t="s">
        <v>40</v>
      </c>
      <c r="D4316">
        <v>5.8096949999999996</v>
      </c>
      <c r="E4316">
        <v>0.46920499999999998</v>
      </c>
      <c r="F4316" t="s">
        <v>63</v>
      </c>
      <c r="G4316">
        <v>-370.16039999999998</v>
      </c>
      <c r="H4316" s="1">
        <v>-4.6366699999999996E-6</v>
      </c>
      <c r="I4316">
        <v>19.588539999999998</v>
      </c>
      <c r="J4316">
        <v>-389.83530000000002</v>
      </c>
      <c r="K4316">
        <v>1.124781</v>
      </c>
      <c r="L4316">
        <v>18.677340000000001</v>
      </c>
      <c r="M4316">
        <v>0.99430039999999997</v>
      </c>
      <c r="N4316">
        <v>-1.0700319999999999E-2</v>
      </c>
      <c r="O4316">
        <v>-0.1060767</v>
      </c>
      <c r="P4316">
        <v>0.99120010000000003</v>
      </c>
      <c r="Q4316">
        <v>0.12930999999999901</v>
      </c>
      <c r="R4316">
        <v>-2.8310140000000001E-2</v>
      </c>
      <c r="S4316">
        <v>3.0551149999999998</v>
      </c>
      <c r="T4316">
        <v>-0.1717668</v>
      </c>
      <c r="U4316">
        <v>0.13415529999999901</v>
      </c>
      <c r="V4316">
        <v>-7.8453480000000006E-2</v>
      </c>
      <c r="W4316">
        <v>0.13907059999999999</v>
      </c>
      <c r="X4316">
        <v>0.98716990000000004</v>
      </c>
      <c r="Y4316">
        <v>-0.14921289999999901</v>
      </c>
      <c r="Z4316">
        <v>9.8053419999999999E-3</v>
      </c>
      <c r="AA4316">
        <v>0.98875650000000004</v>
      </c>
      <c r="AB4316">
        <v>35</v>
      </c>
      <c r="AC4316">
        <v>19.674900000000001</v>
      </c>
      <c r="AD4316">
        <v>-1.12478563667</v>
      </c>
      <c r="AE4316">
        <v>0.91119999999999701</v>
      </c>
      <c r="AF4316">
        <v>-2.9834963547990201</v>
      </c>
      <c r="AG4316">
        <v>-1.12478563667</v>
      </c>
      <c r="AH4316">
        <v>19.403936809977399</v>
      </c>
      <c r="AI4316">
        <v>93.279095907885207</v>
      </c>
      <c r="AJ4316">
        <v>98.741187286949597</v>
      </c>
      <c r="AK4316">
        <v>19.664159197716899</v>
      </c>
      <c r="AL4316">
        <v>82.005930512269202</v>
      </c>
      <c r="AM4316">
        <v>94.543924446385105</v>
      </c>
      <c r="AN4316">
        <v>0.99999999588723998</v>
      </c>
    </row>
    <row r="4317" spans="1:40" x14ac:dyDescent="0.25">
      <c r="A4317" t="str">
        <f>"20190303162640485"</f>
        <v>20190303162640485</v>
      </c>
      <c r="B4317" t="str">
        <f>"1551601600478227"</f>
        <v>1551601600478227</v>
      </c>
      <c r="C4317" t="s">
        <v>40</v>
      </c>
      <c r="D4317">
        <v>5.7532290000000001</v>
      </c>
      <c r="E4317">
        <v>0.46955140000000001</v>
      </c>
      <c r="F4317" t="s">
        <v>63</v>
      </c>
      <c r="G4317">
        <v>-370.4178</v>
      </c>
      <c r="H4317" s="1">
        <v>-4.5154909999999998E-6</v>
      </c>
      <c r="I4317">
        <v>19.63683</v>
      </c>
      <c r="J4317">
        <v>-389.47469999999998</v>
      </c>
      <c r="K4317">
        <v>1.124757</v>
      </c>
      <c r="L4317">
        <v>18.6434</v>
      </c>
      <c r="M4317">
        <v>0.99481120000000001</v>
      </c>
      <c r="N4317">
        <v>-1.0699439999999999E-2</v>
      </c>
      <c r="O4317">
        <v>-0.1011751</v>
      </c>
      <c r="P4317">
        <v>0.99126389999999998</v>
      </c>
      <c r="Q4317">
        <v>0.12974249999999901</v>
      </c>
      <c r="R4317">
        <v>-2.3733819999999999E-2</v>
      </c>
      <c r="S4317">
        <v>3.0539860000000001</v>
      </c>
      <c r="T4317">
        <v>-0.1769066</v>
      </c>
      <c r="U4317">
        <v>0.1509094</v>
      </c>
      <c r="V4317">
        <v>-7.8133670000000002E-2</v>
      </c>
      <c r="W4317">
        <v>0.13951069999999999</v>
      </c>
      <c r="X4317">
        <v>0.98713309999999999</v>
      </c>
      <c r="Y4317">
        <v>-0.14974870000000001</v>
      </c>
      <c r="Z4317">
        <v>9.8998579999999992E-3</v>
      </c>
      <c r="AA4317">
        <v>0.98867450000000001</v>
      </c>
      <c r="AB4317">
        <v>35</v>
      </c>
      <c r="AC4317">
        <v>19.056899999999899</v>
      </c>
      <c r="AD4317">
        <v>-1.124761515491</v>
      </c>
      <c r="AE4317">
        <v>0.99342999999999904</v>
      </c>
      <c r="AF4317">
        <v>-2.90642858372992</v>
      </c>
      <c r="AG4317">
        <v>-1.124761515491</v>
      </c>
      <c r="AH4317">
        <v>18.793295637364299</v>
      </c>
      <c r="AI4317">
        <v>93.384870228469296</v>
      </c>
      <c r="AJ4317">
        <v>98.7912841283689</v>
      </c>
      <c r="AK4317">
        <v>19.0499442648116</v>
      </c>
      <c r="AL4317">
        <v>81.9804658834788</v>
      </c>
      <c r="AM4317">
        <v>94.5256465689843</v>
      </c>
      <c r="AN4317">
        <v>0.999999931458882</v>
      </c>
    </row>
    <row r="4318" spans="1:40" x14ac:dyDescent="0.25">
      <c r="A4318" t="str">
        <f>"20190303162640507"</f>
        <v>20190303162640507</v>
      </c>
      <c r="B4318" t="str">
        <f>"1551601600497747"</f>
        <v>1551601600497747</v>
      </c>
      <c r="C4318" t="s">
        <v>40</v>
      </c>
      <c r="D4318">
        <v>5.6833320000000001</v>
      </c>
      <c r="E4318">
        <v>0.46990599999999999</v>
      </c>
      <c r="F4318" t="s">
        <v>64</v>
      </c>
      <c r="G4318">
        <v>-369.79790000000003</v>
      </c>
      <c r="H4318" s="1">
        <v>-1.181359E-7</v>
      </c>
      <c r="I4318">
        <v>19.699549999999999</v>
      </c>
      <c r="J4318">
        <v>-389.12709999999998</v>
      </c>
      <c r="K4318">
        <v>1.124743</v>
      </c>
      <c r="L4318">
        <v>18.612269999999999</v>
      </c>
      <c r="M4318">
        <v>0.99526979999999998</v>
      </c>
      <c r="N4318">
        <v>-1.07007E-2</v>
      </c>
      <c r="O4318">
        <v>-9.6557950000000003E-2</v>
      </c>
      <c r="P4318">
        <v>0.99124690000000004</v>
      </c>
      <c r="Q4318">
        <v>0.1301107</v>
      </c>
      <c r="R4318">
        <v>-2.2380520000000001E-2</v>
      </c>
      <c r="S4318">
        <v>3.0531920000000001</v>
      </c>
      <c r="T4318">
        <v>-0.17452529999999999</v>
      </c>
      <c r="U4318">
        <v>0.16387939999999901</v>
      </c>
      <c r="V4318">
        <v>-7.4889529999999996E-2</v>
      </c>
      <c r="W4318">
        <v>0.13991909999999999</v>
      </c>
      <c r="X4318">
        <v>0.98732679999999995</v>
      </c>
      <c r="Y4318">
        <v>-0.14937909999999999</v>
      </c>
      <c r="Z4318">
        <v>9.5391069999999998E-3</v>
      </c>
      <c r="AA4318">
        <v>0.98873390000000005</v>
      </c>
      <c r="AB4318">
        <v>35</v>
      </c>
      <c r="AC4318">
        <v>19.329199999999901</v>
      </c>
      <c r="AD4318">
        <v>-1.1247431181359</v>
      </c>
      <c r="AE4318">
        <v>1.08727999999999</v>
      </c>
      <c r="AF4318">
        <v>-2.9387747000090201</v>
      </c>
      <c r="AG4318">
        <v>-1.1247431181359</v>
      </c>
      <c r="AH4318">
        <v>19.069515245850202</v>
      </c>
      <c r="AI4318">
        <v>93.336170873966495</v>
      </c>
      <c r="AJ4318">
        <v>98.7608463746121</v>
      </c>
      <c r="AK4318">
        <v>19.327386153614299</v>
      </c>
      <c r="AL4318">
        <v>81.956835083591997</v>
      </c>
      <c r="AM4318">
        <v>94.337624957375397</v>
      </c>
      <c r="AN4318">
        <v>1.00000000312333</v>
      </c>
    </row>
    <row r="4319" spans="1:40" x14ac:dyDescent="0.25">
      <c r="A4319" t="str">
        <f>"20190303162640529"</f>
        <v>20190303162640529</v>
      </c>
      <c r="B4319" t="str">
        <f>"1551601600518244"</f>
        <v>1551601600518244</v>
      </c>
      <c r="C4319" t="s">
        <v>40</v>
      </c>
      <c r="D4319">
        <v>5.6824190000000003</v>
      </c>
      <c r="E4319">
        <v>0.47026289999999998</v>
      </c>
      <c r="F4319" t="s">
        <v>64</v>
      </c>
      <c r="G4319">
        <v>-369.02460000000002</v>
      </c>
      <c r="H4319" s="1">
        <v>-4.8980399999999996E-7</v>
      </c>
      <c r="I4319">
        <v>19.722580000000001</v>
      </c>
      <c r="J4319">
        <v>-388.78210000000001</v>
      </c>
      <c r="K4319">
        <v>1.1247549999999999</v>
      </c>
      <c r="L4319">
        <v>18.582979999999999</v>
      </c>
      <c r="M4319">
        <v>0.99569920000000001</v>
      </c>
      <c r="N4319">
        <v>-1.070401E-2</v>
      </c>
      <c r="O4319">
        <v>-9.2026200000000002E-2</v>
      </c>
      <c r="P4319">
        <v>0.9911314</v>
      </c>
      <c r="Q4319">
        <v>0.1311512</v>
      </c>
      <c r="R4319">
        <v>-2.1405339999999998E-2</v>
      </c>
      <c r="S4319">
        <v>3.052765</v>
      </c>
      <c r="T4319">
        <v>-0.17080279999999901</v>
      </c>
      <c r="U4319">
        <v>0.1686096</v>
      </c>
      <c r="V4319">
        <v>-7.1361179999999996E-2</v>
      </c>
      <c r="W4319">
        <v>0.14099879999999901</v>
      </c>
      <c r="X4319">
        <v>0.98743449999999999</v>
      </c>
      <c r="Y4319">
        <v>-0.14643900000000001</v>
      </c>
      <c r="Z4319">
        <v>9.0300439999999992E-3</v>
      </c>
      <c r="AA4319">
        <v>0.98917849999999996</v>
      </c>
      <c r="AB4319">
        <v>35</v>
      </c>
      <c r="AC4319">
        <v>19.7575</v>
      </c>
      <c r="AD4319">
        <v>-1.124755489804</v>
      </c>
      <c r="AE4319">
        <v>1.13959999999999</v>
      </c>
      <c r="AF4319">
        <v>-2.9435673189600999</v>
      </c>
      <c r="AG4319">
        <v>-1.124755489804</v>
      </c>
      <c r="AH4319">
        <v>19.505767409240899</v>
      </c>
      <c r="AI4319">
        <v>93.263308297401693</v>
      </c>
      <c r="AJ4319">
        <v>98.581612661343996</v>
      </c>
      <c r="AK4319">
        <v>19.7586595116293</v>
      </c>
      <c r="AL4319">
        <v>81.894353273401904</v>
      </c>
      <c r="AM4319">
        <v>94.133538424761099</v>
      </c>
      <c r="AN4319">
        <v>0.99999998570134097</v>
      </c>
    </row>
    <row r="4320" spans="1:40" x14ac:dyDescent="0.25">
      <c r="A4320" t="str">
        <f>"20190303162640552"</f>
        <v>20190303162640552</v>
      </c>
      <c r="B4320" t="str">
        <f>"1551601600537764"</f>
        <v>1551601600537764</v>
      </c>
      <c r="C4320" t="s">
        <v>40</v>
      </c>
      <c r="D4320">
        <v>5.6880360000000003</v>
      </c>
      <c r="E4320">
        <v>0.47063709999999997</v>
      </c>
      <c r="F4320" t="s">
        <v>64</v>
      </c>
      <c r="G4320">
        <v>-368.01119999999997</v>
      </c>
      <c r="H4320" s="1">
        <v>-9.7532029999999995E-7</v>
      </c>
      <c r="I4320">
        <v>19.746960000000001</v>
      </c>
      <c r="J4320">
        <v>-388.42540000000002</v>
      </c>
      <c r="K4320">
        <v>1.124803</v>
      </c>
      <c r="L4320">
        <v>18.554349999999999</v>
      </c>
      <c r="M4320">
        <v>0.99612299999999998</v>
      </c>
      <c r="N4320">
        <v>-1.0710330000000001E-2</v>
      </c>
      <c r="O4320">
        <v>-8.7317690000000003E-2</v>
      </c>
      <c r="P4320">
        <v>0.99084260000000002</v>
      </c>
      <c r="Q4320">
        <v>0.13364770000000001</v>
      </c>
      <c r="R4320">
        <v>-1.9214060000000002E-2</v>
      </c>
      <c r="S4320">
        <v>3.052368</v>
      </c>
      <c r="T4320">
        <v>-0.165287299999999</v>
      </c>
      <c r="U4320">
        <v>0.17105100000000001</v>
      </c>
      <c r="V4320">
        <v>-6.888408E-2</v>
      </c>
      <c r="W4320">
        <v>0.14351829999999999</v>
      </c>
      <c r="X4320">
        <v>0.9872474</v>
      </c>
      <c r="Y4320">
        <v>-0.14259140000000001</v>
      </c>
      <c r="Z4320">
        <v>8.4049789999999999E-3</v>
      </c>
      <c r="AA4320">
        <v>0.98974600000000001</v>
      </c>
      <c r="AB4320">
        <v>35</v>
      </c>
      <c r="AC4320">
        <v>20.414200000000001</v>
      </c>
      <c r="AD4320">
        <v>-1.1248039753203001</v>
      </c>
      <c r="AE4320">
        <v>1.1926099999999999</v>
      </c>
      <c r="AF4320">
        <v>-2.9617163257297698</v>
      </c>
      <c r="AG4320">
        <v>-1.1248039753203001</v>
      </c>
      <c r="AH4320">
        <v>20.171048220210398</v>
      </c>
      <c r="AI4320">
        <v>93.157905963101499</v>
      </c>
      <c r="AJ4320">
        <v>98.353056269244505</v>
      </c>
      <c r="AK4320">
        <v>20.4183283811149</v>
      </c>
      <c r="AL4320">
        <v>81.748513153952402</v>
      </c>
      <c r="AM4320">
        <v>93.991280096230895</v>
      </c>
      <c r="AN4320">
        <v>0.99999997385954698</v>
      </c>
    </row>
    <row r="4321" spans="1:40" x14ac:dyDescent="0.25">
      <c r="A4321" t="str">
        <f>"20190303162640573"</f>
        <v>20190303162640573</v>
      </c>
      <c r="B4321" t="str">
        <f>"1551601600568020"</f>
        <v>1551601600568020</v>
      </c>
      <c r="C4321" t="s">
        <v>40</v>
      </c>
      <c r="D4321">
        <v>5.6303130000000001</v>
      </c>
      <c r="E4321">
        <v>0.477217</v>
      </c>
      <c r="F4321" t="s">
        <v>64</v>
      </c>
      <c r="G4321">
        <v>-366.41019999999997</v>
      </c>
      <c r="H4321" s="1">
        <v>-1.7511170000000001E-6</v>
      </c>
      <c r="I4321">
        <v>19.818290000000001</v>
      </c>
      <c r="J4321">
        <v>-388.10169999999999</v>
      </c>
      <c r="K4321">
        <v>1.124892</v>
      </c>
      <c r="L4321">
        <v>18.529969999999999</v>
      </c>
      <c r="M4321">
        <v>0.99649520000000003</v>
      </c>
      <c r="N4321">
        <v>-1.0719309999999999E-2</v>
      </c>
      <c r="O4321">
        <v>-8.2959690000000003E-2</v>
      </c>
      <c r="P4321">
        <v>0.99050609999999994</v>
      </c>
      <c r="Q4321">
        <v>0.13629910000000001</v>
      </c>
      <c r="R4321">
        <v>-1.7886409999999998E-2</v>
      </c>
      <c r="S4321">
        <v>3.0521850000000001</v>
      </c>
      <c r="T4321">
        <v>-0.15594269999999999</v>
      </c>
      <c r="U4321">
        <v>0.1752319</v>
      </c>
      <c r="V4321">
        <v>-6.5908359999999999E-2</v>
      </c>
      <c r="W4321">
        <v>0.1461963</v>
      </c>
      <c r="X4321">
        <v>0.98705759999999998</v>
      </c>
      <c r="Y4321">
        <v>-0.1396608</v>
      </c>
      <c r="Z4321">
        <v>7.6551559999999998E-3</v>
      </c>
      <c r="AA4321">
        <v>0.99016979999999999</v>
      </c>
      <c r="AB4321">
        <v>35</v>
      </c>
      <c r="AC4321">
        <v>21.691500000000001</v>
      </c>
      <c r="AD4321">
        <v>-1.1248937511170001</v>
      </c>
      <c r="AE4321">
        <v>1.2883199999999899</v>
      </c>
      <c r="AF4321">
        <v>-3.0752608128316199</v>
      </c>
      <c r="AG4321">
        <v>-1.1248937511170001</v>
      </c>
      <c r="AH4321">
        <v>21.452344317173001</v>
      </c>
      <c r="AI4321">
        <v>92.971341914354895</v>
      </c>
      <c r="AJ4321">
        <v>98.157950314441706</v>
      </c>
      <c r="AK4321">
        <v>21.700822374296902</v>
      </c>
      <c r="AL4321">
        <v>81.593439489347105</v>
      </c>
      <c r="AM4321">
        <v>93.820115023758902</v>
      </c>
      <c r="AN4321">
        <v>0.99999998788466904</v>
      </c>
    </row>
    <row r="4322" spans="1:40" x14ac:dyDescent="0.25">
      <c r="A4322" t="str">
        <f>"20190303162640597"</f>
        <v>20190303162640597</v>
      </c>
      <c r="B4322" t="str">
        <f>"1551601600588515"</f>
        <v>1551601600588515</v>
      </c>
      <c r="C4322" t="s">
        <v>40</v>
      </c>
      <c r="D4322">
        <v>5.5701939999999999</v>
      </c>
      <c r="E4322">
        <v>0.47799930000000002</v>
      </c>
      <c r="F4322" t="s">
        <v>41</v>
      </c>
      <c r="G4322">
        <v>-353.101</v>
      </c>
      <c r="H4322" s="1">
        <v>-3.0417870000000001E-6</v>
      </c>
      <c r="I4322">
        <v>19.99147</v>
      </c>
      <c r="J4322">
        <v>-387.73779999999999</v>
      </c>
      <c r="K4322">
        <v>1.125024</v>
      </c>
      <c r="L4322">
        <v>18.504359999999998</v>
      </c>
      <c r="M4322">
        <v>0.99690270000000003</v>
      </c>
      <c r="N4322">
        <v>-1.073268E-2</v>
      </c>
      <c r="O4322">
        <v>-7.791033E-2</v>
      </c>
      <c r="P4322">
        <v>0.99019349999999995</v>
      </c>
      <c r="Q4322">
        <v>0.138622</v>
      </c>
      <c r="R4322">
        <v>-1.7347359999999999E-2</v>
      </c>
      <c r="S4322">
        <v>3.0445250000000001</v>
      </c>
      <c r="T4322">
        <v>-9.7848770000000002E-2</v>
      </c>
      <c r="U4322">
        <v>0.1271362</v>
      </c>
      <c r="V4322">
        <v>-6.1480849999999997E-2</v>
      </c>
      <c r="W4322">
        <v>0.14856150000000001</v>
      </c>
      <c r="X4322">
        <v>0.98699020000000004</v>
      </c>
      <c r="Y4322">
        <v>-0.1193429</v>
      </c>
      <c r="Z4322">
        <v>4.2227760000000001E-3</v>
      </c>
      <c r="AA4322">
        <v>0.99284410000000001</v>
      </c>
      <c r="AB4322">
        <v>35</v>
      </c>
      <c r="AC4322">
        <v>34.636799999999901</v>
      </c>
      <c r="AD4322">
        <v>-1.1250270417870001</v>
      </c>
      <c r="AE4322">
        <v>1.4871099999999899</v>
      </c>
      <c r="AF4322">
        <v>-4.1769103862767301</v>
      </c>
      <c r="AG4322">
        <v>-1.1250270417870001</v>
      </c>
      <c r="AH4322">
        <v>34.379433550115301</v>
      </c>
      <c r="AI4322">
        <v>91.860597005932703</v>
      </c>
      <c r="AJ4322">
        <v>96.927168628672604</v>
      </c>
      <c r="AK4322">
        <v>34.650508184535099</v>
      </c>
      <c r="AL4322">
        <v>81.4564277190387</v>
      </c>
      <c r="AM4322">
        <v>93.564420074663502</v>
      </c>
      <c r="AN4322">
        <v>1.0000000345475</v>
      </c>
    </row>
    <row r="4323" spans="1:40" x14ac:dyDescent="0.25">
      <c r="A4323" t="str">
        <f>"20190303162640620"</f>
        <v>20190303162640620</v>
      </c>
      <c r="B4323" t="str">
        <f>"1551601600608036"</f>
        <v>1551601600608036</v>
      </c>
      <c r="C4323" t="s">
        <v>40</v>
      </c>
      <c r="D4323">
        <v>5.6255179999999996</v>
      </c>
      <c r="E4323">
        <v>0.47855189999999997</v>
      </c>
      <c r="F4323" t="s">
        <v>41</v>
      </c>
      <c r="G4323">
        <v>-351.37889999999999</v>
      </c>
      <c r="H4323" s="1">
        <v>-3.775089E-6</v>
      </c>
      <c r="I4323">
        <v>19.970929999999999</v>
      </c>
      <c r="J4323">
        <v>-387.39299999999997</v>
      </c>
      <c r="K4323">
        <v>1.1251660000000001</v>
      </c>
      <c r="L4323">
        <v>18.482089999999999</v>
      </c>
      <c r="M4323">
        <v>0.99727860000000002</v>
      </c>
      <c r="N4323">
        <v>-1.074802E-2</v>
      </c>
      <c r="O4323">
        <v>-7.2939340000000005E-2</v>
      </c>
      <c r="P4323">
        <v>0.99013739999999995</v>
      </c>
      <c r="Q4323">
        <v>0.13892750000000001</v>
      </c>
      <c r="R4323">
        <v>-1.8093789999999998E-2</v>
      </c>
      <c r="S4323">
        <v>3.0450740000000001</v>
      </c>
      <c r="T4323">
        <v>-9.4221830000000006E-2</v>
      </c>
      <c r="U4323">
        <v>0.12283330000000001</v>
      </c>
      <c r="V4323">
        <v>-5.5856919999999997E-2</v>
      </c>
      <c r="W4323">
        <v>0.148928799999999</v>
      </c>
      <c r="X4323">
        <v>0.98726899999999995</v>
      </c>
      <c r="Y4323">
        <v>-0.112994899999999</v>
      </c>
      <c r="Z4323">
        <v>3.825747E-3</v>
      </c>
      <c r="AA4323">
        <v>0.99358820000000003</v>
      </c>
      <c r="AB4323">
        <v>35</v>
      </c>
      <c r="AC4323">
        <v>36.014099999999999</v>
      </c>
      <c r="AD4323">
        <v>-1.125169775089</v>
      </c>
      <c r="AE4323">
        <v>1.4888399999999899</v>
      </c>
      <c r="AF4323">
        <v>-4.1078670846262799</v>
      </c>
      <c r="AG4323">
        <v>-1.125169775089</v>
      </c>
      <c r="AH4323">
        <v>35.774699906743997</v>
      </c>
      <c r="AI4323">
        <v>91.789695031656194</v>
      </c>
      <c r="AJ4323">
        <v>96.550359068160205</v>
      </c>
      <c r="AK4323">
        <v>36.027347007867697</v>
      </c>
      <c r="AL4323">
        <v>81.435145338954101</v>
      </c>
      <c r="AM4323">
        <v>93.238182852902895</v>
      </c>
      <c r="AN4323">
        <v>0.99999993067116</v>
      </c>
    </row>
    <row r="4324" spans="1:40" x14ac:dyDescent="0.25">
      <c r="A4324" t="str">
        <f>"20190303162640640"</f>
        <v>20190303162640640</v>
      </c>
      <c r="B4324" t="str">
        <f>"1551601600628531"</f>
        <v>1551601600628531</v>
      </c>
      <c r="C4324" t="s">
        <v>40</v>
      </c>
      <c r="D4324">
        <v>6.5782360000000004</v>
      </c>
      <c r="E4324">
        <v>0.47885529999999998</v>
      </c>
      <c r="F4324" t="s">
        <v>41</v>
      </c>
      <c r="G4324">
        <v>-351.10700000000003</v>
      </c>
      <c r="H4324" s="1">
        <v>-3.8670149999999998E-6</v>
      </c>
      <c r="I4324">
        <v>19.87799</v>
      </c>
      <c r="J4324">
        <v>-387.07409999999999</v>
      </c>
      <c r="K4324">
        <v>1.1253010000000001</v>
      </c>
      <c r="L4324">
        <v>18.463170000000002</v>
      </c>
      <c r="M4324">
        <v>0.99761460000000002</v>
      </c>
      <c r="N4324">
        <v>-1.0762799999999999E-2</v>
      </c>
      <c r="O4324">
        <v>-6.8185339999999997E-2</v>
      </c>
      <c r="P4324">
        <v>0.99002840000000003</v>
      </c>
      <c r="Q4324">
        <v>0.13933999999999999</v>
      </c>
      <c r="R4324">
        <v>-2.0690710000000001E-2</v>
      </c>
      <c r="S4324">
        <v>3.0452880000000002</v>
      </c>
      <c r="T4324">
        <v>-9.4429490000000005E-2</v>
      </c>
      <c r="U4324">
        <v>0.117157</v>
      </c>
      <c r="V4324">
        <v>-4.8596809999999997E-2</v>
      </c>
      <c r="W4324">
        <v>0.149425799999999</v>
      </c>
      <c r="X4324">
        <v>0.98757799999999996</v>
      </c>
      <c r="Y4324">
        <v>-0.1064098</v>
      </c>
      <c r="Z4324">
        <v>3.6006430000000002E-3</v>
      </c>
      <c r="AA4324">
        <v>0.99431590000000003</v>
      </c>
      <c r="AB4324">
        <v>35</v>
      </c>
      <c r="AC4324">
        <v>35.967100000000002</v>
      </c>
      <c r="AD4324">
        <v>-1.1253048670149901</v>
      </c>
      <c r="AE4324">
        <v>1.41481999999999</v>
      </c>
      <c r="AF4324">
        <v>-3.8603249447072199</v>
      </c>
      <c r="AG4324">
        <v>-1.1253048670149901</v>
      </c>
      <c r="AH4324">
        <v>35.751964636908298</v>
      </c>
      <c r="AI4324">
        <v>91.7923970272453</v>
      </c>
      <c r="AJ4324">
        <v>96.162646956036795</v>
      </c>
      <c r="AK4324">
        <v>35.977373377182502</v>
      </c>
      <c r="AL4324">
        <v>81.406347806901493</v>
      </c>
      <c r="AM4324">
        <v>92.817142506924498</v>
      </c>
      <c r="AN4324">
        <v>1.0000000128658999</v>
      </c>
    </row>
    <row r="4325" spans="1:40" x14ac:dyDescent="0.25">
      <c r="A4325" t="str">
        <f>"20190303162640687"</f>
        <v>20190303162640687</v>
      </c>
      <c r="B4325" t="str">
        <f>"1551601600678308"</f>
        <v>1551601600678308</v>
      </c>
      <c r="C4325" t="s">
        <v>40</v>
      </c>
      <c r="D4325">
        <v>5.6249500000000001</v>
      </c>
      <c r="E4325">
        <v>0.4791319</v>
      </c>
      <c r="F4325" t="s">
        <v>41</v>
      </c>
      <c r="G4325">
        <v>-350.90300000000002</v>
      </c>
      <c r="H4325" s="1">
        <v>-3.9236640000000001E-6</v>
      </c>
      <c r="I4325">
        <v>19.761970000000002</v>
      </c>
      <c r="J4325">
        <v>-386.34129999999999</v>
      </c>
      <c r="K4325">
        <v>1.125543</v>
      </c>
      <c r="L4325">
        <v>18.426089999999999</v>
      </c>
      <c r="M4325">
        <v>0.99832560000000004</v>
      </c>
      <c r="N4325">
        <v>-1.079052E-2</v>
      </c>
      <c r="O4325">
        <v>-5.6828379999999998E-2</v>
      </c>
      <c r="P4325">
        <v>0.98941299999999999</v>
      </c>
      <c r="Q4325">
        <v>0.14354520000000001</v>
      </c>
      <c r="R4325">
        <v>-2.137851E-2</v>
      </c>
      <c r="S4325">
        <v>3.0458370000000001</v>
      </c>
      <c r="T4325">
        <v>-9.4757910000000001E-2</v>
      </c>
      <c r="U4325">
        <v>0.109375</v>
      </c>
      <c r="V4325">
        <v>-3.6748860000000001E-2</v>
      </c>
      <c r="W4325">
        <v>0.15377569999999999</v>
      </c>
      <c r="X4325">
        <v>0.98742220000000003</v>
      </c>
      <c r="Y4325">
        <v>-9.2551659999999994E-2</v>
      </c>
      <c r="Z4325">
        <v>3.0922200000000001E-3</v>
      </c>
      <c r="AA4325">
        <v>0.99570309999999995</v>
      </c>
      <c r="AB4325">
        <v>35</v>
      </c>
      <c r="AC4325">
        <v>35.438299999999899</v>
      </c>
      <c r="AD4325">
        <v>-1.1255469236640001</v>
      </c>
      <c r="AE4325">
        <v>1.33588</v>
      </c>
      <c r="AF4325">
        <v>-3.3443706153914801</v>
      </c>
      <c r="AG4325">
        <v>-1.1255469236640001</v>
      </c>
      <c r="AH4325">
        <v>35.269575825706298</v>
      </c>
      <c r="AI4325">
        <v>91.819684981319</v>
      </c>
      <c r="AJ4325">
        <v>95.416767524671698</v>
      </c>
      <c r="AK4325">
        <v>35.445657697603998</v>
      </c>
      <c r="AL4325">
        <v>81.1542024273582</v>
      </c>
      <c r="AM4325">
        <v>92.131391466179906</v>
      </c>
      <c r="AN4325">
        <v>1.00000002283731</v>
      </c>
    </row>
    <row r="4326" spans="1:40" x14ac:dyDescent="0.25">
      <c r="A4326" t="str">
        <f>"20190303162640721"</f>
        <v>20190303162640721</v>
      </c>
      <c r="B4326" t="str">
        <f>"1551601600708564"</f>
        <v>1551601600708564</v>
      </c>
      <c r="C4326" t="s">
        <v>40</v>
      </c>
      <c r="D4326">
        <v>5.5135519999999998</v>
      </c>
      <c r="E4326">
        <v>0.4788308</v>
      </c>
      <c r="F4326" t="s">
        <v>41</v>
      </c>
      <c r="G4326">
        <v>-344.62279999999998</v>
      </c>
      <c r="H4326" s="1">
        <v>-2.3645960000000001E-6</v>
      </c>
      <c r="I4326">
        <v>19.900020000000001</v>
      </c>
      <c r="J4326">
        <v>-385.83280000000002</v>
      </c>
      <c r="K4326">
        <v>1.1256250000000001</v>
      </c>
      <c r="L4326">
        <v>18.405149999999999</v>
      </c>
      <c r="M4326">
        <v>0.99875049999999999</v>
      </c>
      <c r="N4326">
        <v>-1.0801939999999999E-2</v>
      </c>
      <c r="O4326">
        <v>-4.8793490000000002E-2</v>
      </c>
      <c r="P4326">
        <v>0.98840110000000003</v>
      </c>
      <c r="Q4326">
        <v>0.1507134</v>
      </c>
      <c r="R4326">
        <v>-1.868189E-2</v>
      </c>
      <c r="S4326">
        <v>3.0463559999999998</v>
      </c>
      <c r="T4326">
        <v>-8.2189319999999996E-2</v>
      </c>
      <c r="U4326">
        <v>0.1076355</v>
      </c>
      <c r="V4326">
        <v>-3.1544570000000001E-2</v>
      </c>
      <c r="W4326">
        <v>0.16100439999999999</v>
      </c>
      <c r="X4326">
        <v>0.98644949999999998</v>
      </c>
      <c r="Y4326">
        <v>-8.3985219999999999E-2</v>
      </c>
      <c r="Z4326">
        <v>2.3750210000000002E-3</v>
      </c>
      <c r="AA4326">
        <v>0.99646420000000002</v>
      </c>
      <c r="AB4326">
        <v>35</v>
      </c>
      <c r="AC4326">
        <v>41.21</v>
      </c>
      <c r="AD4326">
        <v>-1.125627364596</v>
      </c>
      <c r="AE4326">
        <v>1.4948699999999999</v>
      </c>
      <c r="AF4326">
        <v>-3.5013773641938601</v>
      </c>
      <c r="AG4326">
        <v>-1.125627364596</v>
      </c>
      <c r="AH4326">
        <v>41.057372642788899</v>
      </c>
      <c r="AI4326">
        <v>91.564748700329602</v>
      </c>
      <c r="AJ4326">
        <v>94.874396690523199</v>
      </c>
      <c r="AK4326">
        <v>41.221772508460298</v>
      </c>
      <c r="AL4326">
        <v>80.734800448401401</v>
      </c>
      <c r="AM4326">
        <v>91.831573782274006</v>
      </c>
      <c r="AN4326">
        <v>1.0000000463830401</v>
      </c>
    </row>
    <row r="4327" spans="1:40" x14ac:dyDescent="0.25">
      <c r="A4327" t="str">
        <f>"20190303162640743"</f>
        <v>20190303162640743</v>
      </c>
      <c r="B4327" t="str">
        <f>"1551601600728084"</f>
        <v>1551601600728084</v>
      </c>
      <c r="C4327" t="s">
        <v>40</v>
      </c>
      <c r="D4327">
        <v>5.6339220000000001</v>
      </c>
      <c r="E4327">
        <v>0.47871049999999998</v>
      </c>
      <c r="F4327" t="s">
        <v>41</v>
      </c>
      <c r="G4327">
        <v>-333.61970000000002</v>
      </c>
      <c r="H4327" s="1">
        <v>-2.9294529999999998E-6</v>
      </c>
      <c r="I4327">
        <v>20.40558</v>
      </c>
      <c r="J4327">
        <v>-385.49310000000003</v>
      </c>
      <c r="K4327">
        <v>1.1256189999999999</v>
      </c>
      <c r="L4327">
        <v>18.39349</v>
      </c>
      <c r="M4327">
        <v>0.99899550000000004</v>
      </c>
      <c r="N4327">
        <v>-1.080511E-2</v>
      </c>
      <c r="O4327">
        <v>-4.348904E-2</v>
      </c>
      <c r="P4327">
        <v>0.98778580000000005</v>
      </c>
      <c r="Q4327">
        <v>0.15501110000000001</v>
      </c>
      <c r="R4327">
        <v>-1.5846579999999999E-2</v>
      </c>
      <c r="S4327">
        <v>3.0474239999999999</v>
      </c>
      <c r="T4327">
        <v>-6.5697430000000001E-2</v>
      </c>
      <c r="U4327">
        <v>0.1167603</v>
      </c>
      <c r="V4327">
        <v>-2.9147940000000001E-2</v>
      </c>
      <c r="W4327">
        <v>0.16532920000000001</v>
      </c>
      <c r="X4327">
        <v>0.98580760000000001</v>
      </c>
      <c r="Y4327">
        <v>-8.1678829999999994E-2</v>
      </c>
      <c r="Z4327">
        <v>1.7888730000000001E-3</v>
      </c>
      <c r="AA4327">
        <v>0.99665709999999996</v>
      </c>
      <c r="AB4327">
        <v>35</v>
      </c>
      <c r="AC4327">
        <v>51.873399999999997</v>
      </c>
      <c r="AD4327">
        <v>-1.1256219294529901</v>
      </c>
      <c r="AE4327">
        <v>2.0120900000000002</v>
      </c>
      <c r="AF4327">
        <v>-4.2642372934023296</v>
      </c>
      <c r="AG4327">
        <v>-1.1256219294529901</v>
      </c>
      <c r="AH4327">
        <v>51.7124951105516</v>
      </c>
      <c r="AI4327">
        <v>91.242739284944307</v>
      </c>
      <c r="AJ4327">
        <v>94.713972342362396</v>
      </c>
      <c r="AK4327">
        <v>51.900220567752299</v>
      </c>
      <c r="AL4327">
        <v>80.483640966941195</v>
      </c>
      <c r="AM4327">
        <v>91.693603824735405</v>
      </c>
      <c r="AN4327">
        <v>0.99999998549832103</v>
      </c>
    </row>
    <row r="4328" spans="1:40" x14ac:dyDescent="0.25">
      <c r="A4328" t="str">
        <f>"20190303162640765"</f>
        <v>20190303162640765</v>
      </c>
      <c r="B4328" t="str">
        <f>"1551601600758340"</f>
        <v>1551601600758340</v>
      </c>
      <c r="C4328" t="s">
        <v>40</v>
      </c>
      <c r="D4328">
        <v>5.6279329999999996</v>
      </c>
      <c r="E4328">
        <v>0.47861500000000001</v>
      </c>
      <c r="F4328" t="s">
        <v>41</v>
      </c>
      <c r="G4328">
        <v>-325.76069999999999</v>
      </c>
      <c r="H4328" s="1">
        <v>-2.3049129999999999E-6</v>
      </c>
      <c r="I4328">
        <v>20.82095</v>
      </c>
      <c r="J4328">
        <v>-385.1318</v>
      </c>
      <c r="K4328">
        <v>1.1255679999999999</v>
      </c>
      <c r="L4328">
        <v>18.38297</v>
      </c>
      <c r="M4328">
        <v>0.99922120000000003</v>
      </c>
      <c r="N4328">
        <v>-1.0804899999999999E-2</v>
      </c>
      <c r="O4328">
        <v>-3.7952659999999999E-2</v>
      </c>
      <c r="P4328">
        <v>0.98776379999999997</v>
      </c>
      <c r="Q4328">
        <v>0.15548989999999999</v>
      </c>
      <c r="R4328">
        <v>-1.208383E-2</v>
      </c>
      <c r="S4328">
        <v>3.0480960000000001</v>
      </c>
      <c r="T4328">
        <v>-5.7439570000000002E-2</v>
      </c>
      <c r="U4328">
        <v>0.1238708</v>
      </c>
      <c r="V4328">
        <v>-2.74171E-2</v>
      </c>
      <c r="W4328">
        <v>0.16583229999999999</v>
      </c>
      <c r="X4328">
        <v>0.9857728</v>
      </c>
      <c r="Y4328">
        <v>-7.8476439999999995E-2</v>
      </c>
      <c r="Z4328">
        <v>1.4682110000000001E-3</v>
      </c>
      <c r="AA4328">
        <v>0.99691490000000005</v>
      </c>
      <c r="AB4328">
        <v>35</v>
      </c>
      <c r="AC4328">
        <v>59.371099999999998</v>
      </c>
      <c r="AD4328">
        <v>-1.1255703049129999</v>
      </c>
      <c r="AE4328">
        <v>2.43798</v>
      </c>
      <c r="AF4328">
        <v>-4.6879637782334402</v>
      </c>
      <c r="AG4328">
        <v>-1.1255703049129999</v>
      </c>
      <c r="AH4328">
        <v>59.214540472457401</v>
      </c>
      <c r="AI4328">
        <v>91.085570783578206</v>
      </c>
      <c r="AJ4328">
        <v>94.526615659467197</v>
      </c>
      <c r="AK4328">
        <v>59.4104849017547</v>
      </c>
      <c r="AL4328">
        <v>80.454412429507997</v>
      </c>
      <c r="AM4328">
        <v>91.593145247057294</v>
      </c>
      <c r="AN4328">
        <v>1.0000000311577599</v>
      </c>
    </row>
    <row r="4329" spans="1:40" x14ac:dyDescent="0.25">
      <c r="A4329" t="str">
        <f>"20190303162640786"</f>
        <v>20190303162640786</v>
      </c>
      <c r="B4329" t="str">
        <f>"1551601600777859"</f>
        <v>1551601600777859</v>
      </c>
      <c r="C4329" t="s">
        <v>40</v>
      </c>
      <c r="D4329">
        <v>5.6275209999999998</v>
      </c>
      <c r="E4329">
        <v>0.47847640000000002</v>
      </c>
      <c r="F4329" t="s">
        <v>41</v>
      </c>
      <c r="G4329">
        <v>-328.41340000000002</v>
      </c>
      <c r="H4329" s="1">
        <v>-1.064647E-6</v>
      </c>
      <c r="I4329">
        <v>20.872260000000001</v>
      </c>
      <c r="J4329">
        <v>-384.7946</v>
      </c>
      <c r="K4329">
        <v>1.125467</v>
      </c>
      <c r="L4329">
        <v>18.37473</v>
      </c>
      <c r="M4329">
        <v>0.99939789999999995</v>
      </c>
      <c r="N4329">
        <v>-1.0802269999999999E-2</v>
      </c>
      <c r="O4329">
        <v>-3.297079E-2</v>
      </c>
      <c r="P4329">
        <v>0.98813320000000004</v>
      </c>
      <c r="Q4329">
        <v>0.15346699999999999</v>
      </c>
      <c r="R4329">
        <v>-6.3900650000000003E-3</v>
      </c>
      <c r="S4329">
        <v>3.0483699999999998</v>
      </c>
      <c r="T4329">
        <v>-6.0494539999999999E-2</v>
      </c>
      <c r="U4329">
        <v>0.13378909999999999</v>
      </c>
      <c r="V4329">
        <v>-2.8132290000000001E-2</v>
      </c>
      <c r="W4329">
        <v>0.1638076</v>
      </c>
      <c r="X4329">
        <v>0.9860911</v>
      </c>
      <c r="Y4329">
        <v>-7.6739020000000005E-2</v>
      </c>
      <c r="Z4329">
        <v>1.4737350000000001E-3</v>
      </c>
      <c r="AA4329">
        <v>0.99705010000000005</v>
      </c>
      <c r="AB4329">
        <v>35</v>
      </c>
      <c r="AC4329">
        <v>56.3811999999999</v>
      </c>
      <c r="AD4329">
        <v>-1.1254680646470001</v>
      </c>
      <c r="AE4329">
        <v>2.4975299999999998</v>
      </c>
      <c r="AF4329">
        <v>-4.35348187390015</v>
      </c>
      <c r="AG4329">
        <v>-1.1254680646470001</v>
      </c>
      <c r="AH4329">
        <v>56.245824012333102</v>
      </c>
      <c r="AI4329">
        <v>91.142906989987296</v>
      </c>
      <c r="AJ4329">
        <v>94.425925092042604</v>
      </c>
      <c r="AK4329">
        <v>56.425279809826897</v>
      </c>
      <c r="AL4329">
        <v>80.572027524256896</v>
      </c>
      <c r="AM4329">
        <v>91.634153675424699</v>
      </c>
      <c r="AN4329">
        <v>1.0000000065287999</v>
      </c>
    </row>
    <row r="4330" spans="1:40" x14ac:dyDescent="0.25">
      <c r="A4330" t="str">
        <f>"20190303162640809"</f>
        <v>20190303162640809</v>
      </c>
      <c r="B4330" t="str">
        <f>"1551601600798355"</f>
        <v>1551601600798355</v>
      </c>
      <c r="C4330" t="s">
        <v>40</v>
      </c>
      <c r="D4330">
        <v>5.6841140000000001</v>
      </c>
      <c r="E4330">
        <v>0.47845460000000001</v>
      </c>
      <c r="F4330" t="s">
        <v>41</v>
      </c>
      <c r="G4330">
        <v>-336.27629999999999</v>
      </c>
      <c r="H4330" s="1">
        <v>-1.8950259999999999E-6</v>
      </c>
      <c r="I4330">
        <v>20.801120000000001</v>
      </c>
      <c r="J4330">
        <v>-384.44209999999998</v>
      </c>
      <c r="K4330">
        <v>1.1253089999999999</v>
      </c>
      <c r="L4330">
        <v>18.367609999999999</v>
      </c>
      <c r="M4330">
        <v>0.99954920000000003</v>
      </c>
      <c r="N4330">
        <v>-1.0796740000000001E-2</v>
      </c>
      <c r="O4330">
        <v>-2.8018939999999999E-2</v>
      </c>
      <c r="P4330">
        <v>0.98807690000000004</v>
      </c>
      <c r="Q4330">
        <v>0.1539375</v>
      </c>
      <c r="R4330">
        <v>-2.70098E-3</v>
      </c>
      <c r="S4330">
        <v>3.0480040000000002</v>
      </c>
      <c r="T4330">
        <v>-7.0703859999999993E-2</v>
      </c>
      <c r="U4330">
        <v>0.1524353</v>
      </c>
      <c r="V4330">
        <v>-2.6868019999999999E-2</v>
      </c>
      <c r="W4330">
        <v>0.16429630000000001</v>
      </c>
      <c r="X4330">
        <v>0.98604510000000001</v>
      </c>
      <c r="Y4330">
        <v>-7.7882279999999998E-2</v>
      </c>
      <c r="Z4330">
        <v>1.6706360000000001E-3</v>
      </c>
      <c r="AA4330">
        <v>0.99696119999999999</v>
      </c>
      <c r="AB4330">
        <v>35</v>
      </c>
      <c r="AC4330">
        <v>48.165799999999898</v>
      </c>
      <c r="AD4330">
        <v>-1.125310895026</v>
      </c>
      <c r="AE4330">
        <v>2.4335100000000001</v>
      </c>
      <c r="AF4330">
        <v>-3.78012953976121</v>
      </c>
      <c r="AG4330">
        <v>-1.125310895026</v>
      </c>
      <c r="AH4330">
        <v>48.052536861893103</v>
      </c>
      <c r="AI4330">
        <v>91.337396832725801</v>
      </c>
      <c r="AJ4330">
        <v>94.498000718411205</v>
      </c>
      <c r="AK4330">
        <v>48.2141265897396</v>
      </c>
      <c r="AL4330">
        <v>80.543642941577005</v>
      </c>
      <c r="AM4330">
        <v>91.560824477934403</v>
      </c>
      <c r="AN4330">
        <v>1.0000000519632</v>
      </c>
    </row>
    <row r="4331" spans="1:40" x14ac:dyDescent="0.25">
      <c r="A4331" t="str">
        <f>"20190303162640832"</f>
        <v>20190303162640832</v>
      </c>
      <c r="B4331" t="str">
        <f>"1551601600817876"</f>
        <v>1551601600817876</v>
      </c>
      <c r="C4331" t="s">
        <v>40</v>
      </c>
      <c r="D4331">
        <v>5.5658029999999998</v>
      </c>
      <c r="E4331">
        <v>0.47842459999999998</v>
      </c>
      <c r="F4331" t="s">
        <v>41</v>
      </c>
      <c r="G4331">
        <v>-337.08120000000002</v>
      </c>
      <c r="H4331" s="1">
        <v>-1.583794E-6</v>
      </c>
      <c r="I4331">
        <v>20.92915</v>
      </c>
      <c r="J4331">
        <v>-384.07400000000001</v>
      </c>
      <c r="K4331">
        <v>1.125105</v>
      </c>
      <c r="L4331">
        <v>18.361789999999999</v>
      </c>
      <c r="M4331">
        <v>0.99967340000000005</v>
      </c>
      <c r="N4331">
        <v>-1.078873E-2</v>
      </c>
      <c r="O4331">
        <v>-2.3168600000000001E-2</v>
      </c>
      <c r="P4331">
        <v>0.9878304</v>
      </c>
      <c r="Q4331">
        <v>0.155528799999999</v>
      </c>
      <c r="R4331">
        <v>1.32212E-3</v>
      </c>
      <c r="S4331">
        <v>3.047974</v>
      </c>
      <c r="T4331">
        <v>-7.242084E-2</v>
      </c>
      <c r="U4331">
        <v>0.164856</v>
      </c>
      <c r="V4331">
        <v>-2.6025889999999999E-2</v>
      </c>
      <c r="W4331">
        <v>0.16589909999999999</v>
      </c>
      <c r="X4331">
        <v>0.98579930000000004</v>
      </c>
      <c r="Y4331">
        <v>-7.7096239999999996E-2</v>
      </c>
      <c r="Z4331">
        <v>1.631724E-3</v>
      </c>
      <c r="AA4331">
        <v>0.99702230000000003</v>
      </c>
      <c r="AB4331">
        <v>35</v>
      </c>
      <c r="AC4331">
        <v>46.992799999999903</v>
      </c>
      <c r="AD4331">
        <v>-1.125106583794</v>
      </c>
      <c r="AE4331">
        <v>2.5673599999999999</v>
      </c>
      <c r="AF4331">
        <v>-3.6534034883774198</v>
      </c>
      <c r="AG4331">
        <v>-1.125106583794</v>
      </c>
      <c r="AH4331">
        <v>46.893898017268398</v>
      </c>
      <c r="AI4331">
        <v>91.370260482750098</v>
      </c>
      <c r="AJ4331">
        <v>94.454793421664704</v>
      </c>
      <c r="AK4331">
        <v>47.049451570956201</v>
      </c>
      <c r="AL4331">
        <v>80.450531581063103</v>
      </c>
      <c r="AM4331">
        <v>91.512303112236197</v>
      </c>
      <c r="AN4331">
        <v>1.00000005910579</v>
      </c>
    </row>
    <row r="4332" spans="1:40" x14ac:dyDescent="0.25">
      <c r="A4332" t="str">
        <f>"20190303162640853"</f>
        <v>20190303162640853</v>
      </c>
      <c r="B4332" t="str">
        <f>"1551601600838372"</f>
        <v>1551601600838372</v>
      </c>
      <c r="C4332" t="s">
        <v>40</v>
      </c>
      <c r="D4332">
        <v>5.6285509999999999</v>
      </c>
      <c r="E4332">
        <v>0.47840169999999999</v>
      </c>
      <c r="F4332" t="s">
        <v>41</v>
      </c>
      <c r="G4332">
        <v>-336.49059999999997</v>
      </c>
      <c r="H4332" s="1">
        <v>-1.895958E-6</v>
      </c>
      <c r="I4332">
        <v>21.150169999999999</v>
      </c>
      <c r="J4332">
        <v>-383.76209999999998</v>
      </c>
      <c r="K4332">
        <v>1.1249279999999999</v>
      </c>
      <c r="L4332">
        <v>18.357970000000002</v>
      </c>
      <c r="M4332">
        <v>0.99975480000000005</v>
      </c>
      <c r="N4332">
        <v>-1.078114E-2</v>
      </c>
      <c r="O4332">
        <v>-1.9343740000000002E-2</v>
      </c>
      <c r="P4332">
        <v>0.9873807</v>
      </c>
      <c r="Q4332">
        <v>0.158292299999999</v>
      </c>
      <c r="R4332">
        <v>4.8141290000000003E-3</v>
      </c>
      <c r="S4332">
        <v>3.048035</v>
      </c>
      <c r="T4332">
        <v>-7.2070599999999999E-2</v>
      </c>
      <c r="U4332">
        <v>0.17861939999999901</v>
      </c>
      <c r="V4332">
        <v>-2.5678030000000001E-2</v>
      </c>
      <c r="W4332">
        <v>0.16866619999999999</v>
      </c>
      <c r="X4332">
        <v>0.98533870000000001</v>
      </c>
      <c r="Y4332">
        <v>-7.7768740000000003E-2</v>
      </c>
      <c r="Z4332">
        <v>1.586807E-3</v>
      </c>
      <c r="AA4332">
        <v>0.99697020000000003</v>
      </c>
      <c r="AB4332">
        <v>35</v>
      </c>
      <c r="AC4332">
        <v>47.271500000000003</v>
      </c>
      <c r="AD4332">
        <v>-1.1249298959580001</v>
      </c>
      <c r="AE4332">
        <v>2.7921999999999998</v>
      </c>
      <c r="AF4332">
        <v>-3.7040478797493099</v>
      </c>
      <c r="AG4332">
        <v>-1.1249298959580001</v>
      </c>
      <c r="AH4332">
        <v>47.182012766487901</v>
      </c>
      <c r="AI4332">
        <v>91.361619186997501</v>
      </c>
      <c r="AJ4332">
        <v>94.488827662877299</v>
      </c>
      <c r="AK4332">
        <v>47.340550975493798</v>
      </c>
      <c r="AL4332">
        <v>80.289721847529805</v>
      </c>
      <c r="AM4332">
        <v>91.492796158602701</v>
      </c>
      <c r="AN4332">
        <v>1.0000000009823999</v>
      </c>
    </row>
    <row r="4333" spans="1:40" x14ac:dyDescent="0.25">
      <c r="A4333" t="str">
        <f>"20190303162640875"</f>
        <v>20190303162640875</v>
      </c>
      <c r="B4333" t="str">
        <f>"1551601600867652"</f>
        <v>1551601600867652</v>
      </c>
      <c r="C4333" t="s">
        <v>40</v>
      </c>
      <c r="D4333">
        <v>5.5652039999999996</v>
      </c>
      <c r="E4333">
        <v>0.47866839999999999</v>
      </c>
      <c r="F4333" t="s">
        <v>41</v>
      </c>
      <c r="G4333">
        <v>-331.21559999999999</v>
      </c>
      <c r="H4333" s="1">
        <v>-4.2188810000000001E-6</v>
      </c>
      <c r="I4333">
        <v>21.626239999999999</v>
      </c>
      <c r="J4333">
        <v>-383.399</v>
      </c>
      <c r="K4333">
        <v>1.124689</v>
      </c>
      <c r="L4333">
        <v>18.354679999999998</v>
      </c>
      <c r="M4333">
        <v>0.9998262</v>
      </c>
      <c r="N4333">
        <v>-1.077239E-2</v>
      </c>
      <c r="O4333">
        <v>-1.5218529999999999E-2</v>
      </c>
      <c r="P4333">
        <v>0.98692760000000002</v>
      </c>
      <c r="Q4333">
        <v>0.16095889999999999</v>
      </c>
      <c r="R4333">
        <v>8.1396070000000001E-3</v>
      </c>
      <c r="S4333">
        <v>3.047882</v>
      </c>
      <c r="T4333">
        <v>-6.5249920000000003E-2</v>
      </c>
      <c r="U4333">
        <v>0.1895752</v>
      </c>
      <c r="V4333">
        <v>-2.484509E-2</v>
      </c>
      <c r="W4333">
        <v>0.171342299999999</v>
      </c>
      <c r="X4333">
        <v>0.9848983</v>
      </c>
      <c r="Y4333">
        <v>-7.7234499999999998E-2</v>
      </c>
      <c r="Z4333">
        <v>1.4040389999999999E-3</v>
      </c>
      <c r="AA4333">
        <v>0.99701200000000001</v>
      </c>
      <c r="AB4333">
        <v>35</v>
      </c>
      <c r="AC4333">
        <v>52.183399999999999</v>
      </c>
      <c r="AD4333">
        <v>-1.1246932188809999</v>
      </c>
      <c r="AE4333">
        <v>3.27156</v>
      </c>
      <c r="AF4333">
        <v>-4.0635015880583802</v>
      </c>
      <c r="AG4333">
        <v>-1.1246932188809999</v>
      </c>
      <c r="AH4333">
        <v>52.103456510473201</v>
      </c>
      <c r="AI4333">
        <v>91.232839068234099</v>
      </c>
      <c r="AJ4333">
        <v>94.459419619374899</v>
      </c>
      <c r="AK4333">
        <v>52.273771246501099</v>
      </c>
      <c r="AL4333">
        <v>80.134128233021201</v>
      </c>
      <c r="AM4333">
        <v>91.445039513400701</v>
      </c>
      <c r="AN4333">
        <v>1.0000000618046401</v>
      </c>
    </row>
    <row r="4334" spans="1:40" x14ac:dyDescent="0.25">
      <c r="A4334" t="str">
        <f>"20190303162640898"</f>
        <v>20190303162640898</v>
      </c>
      <c r="B4334" t="str">
        <f>"1551601600888148"</f>
        <v>1551601600888148</v>
      </c>
      <c r="C4334" t="s">
        <v>40</v>
      </c>
      <c r="D4334">
        <v>5.6736870000000001</v>
      </c>
      <c r="E4334">
        <v>0.4821975</v>
      </c>
      <c r="F4334" t="s">
        <v>41</v>
      </c>
      <c r="G4334">
        <v>-352.98230000000001</v>
      </c>
      <c r="H4334" s="1">
        <v>-3.1853350000000001E-6</v>
      </c>
      <c r="I4334">
        <v>20.339549999999999</v>
      </c>
      <c r="J4334">
        <v>-383.0394</v>
      </c>
      <c r="K4334">
        <v>1.1244369999999999</v>
      </c>
      <c r="L4334">
        <v>18.352630000000001</v>
      </c>
      <c r="M4334">
        <v>0.99987619999999999</v>
      </c>
      <c r="N4334">
        <v>-1.076395E-2</v>
      </c>
      <c r="O4334">
        <v>-1.1489320000000001E-2</v>
      </c>
      <c r="P4334">
        <v>0.98674200000000001</v>
      </c>
      <c r="Q4334">
        <v>0.16199</v>
      </c>
      <c r="R4334">
        <v>1.000088E-2</v>
      </c>
      <c r="S4334">
        <v>3.0564879999999999</v>
      </c>
      <c r="T4334">
        <v>-0.1130172</v>
      </c>
      <c r="U4334">
        <v>0.1994629</v>
      </c>
      <c r="V4334">
        <v>-2.2926060000000002E-2</v>
      </c>
      <c r="W4334">
        <v>0.17239589999999999</v>
      </c>
      <c r="X4334">
        <v>0.98476090000000005</v>
      </c>
      <c r="Y4334">
        <v>-7.6510410000000001E-2</v>
      </c>
      <c r="Z4334">
        <v>2.1257189999999999E-3</v>
      </c>
      <c r="AA4334">
        <v>0.99706649999999997</v>
      </c>
      <c r="AB4334">
        <v>35</v>
      </c>
      <c r="AC4334">
        <v>30.057099999999899</v>
      </c>
      <c r="AD4334">
        <v>-1.1244401853349999</v>
      </c>
      <c r="AE4334">
        <v>1.98692</v>
      </c>
      <c r="AF4334">
        <v>-2.3288992820493699</v>
      </c>
      <c r="AG4334">
        <v>-1.1244401853349999</v>
      </c>
      <c r="AH4334">
        <v>29.990496557729799</v>
      </c>
      <c r="AI4334">
        <v>92.140758406473694</v>
      </c>
      <c r="AJ4334">
        <v>94.440368263759495</v>
      </c>
      <c r="AK4334">
        <v>30.101794321527201</v>
      </c>
      <c r="AL4334">
        <v>80.072848844933404</v>
      </c>
      <c r="AM4334">
        <v>91.333652909494106</v>
      </c>
      <c r="AN4334">
        <v>0.99999999036637099</v>
      </c>
    </row>
    <row r="4335" spans="1:40" x14ac:dyDescent="0.25">
      <c r="A4335" t="str">
        <f>"20190303162640921"</f>
        <v>20190303162640921</v>
      </c>
      <c r="B4335" t="str">
        <f>"1551601600907668"</f>
        <v>1551601600907668</v>
      </c>
      <c r="C4335" t="s">
        <v>40</v>
      </c>
      <c r="D4335">
        <v>5.4112159999999996</v>
      </c>
      <c r="E4335">
        <v>0.51447639999999994</v>
      </c>
      <c r="F4335" t="s">
        <v>41</v>
      </c>
      <c r="G4335">
        <v>-348.1601</v>
      </c>
      <c r="H4335" s="1">
        <v>-9.7517550000000006E-7</v>
      </c>
      <c r="I4335">
        <v>20.3813</v>
      </c>
      <c r="J4335">
        <v>-382.68009999999998</v>
      </c>
      <c r="K4335">
        <v>1.1241920000000001</v>
      </c>
      <c r="L4335">
        <v>18.351680000000002</v>
      </c>
      <c r="M4335">
        <v>0.9999091</v>
      </c>
      <c r="N4335">
        <v>-1.0756129999999999E-2</v>
      </c>
      <c r="O4335">
        <v>-8.1349839999999996E-3</v>
      </c>
      <c r="P4335">
        <v>0.98681240000000003</v>
      </c>
      <c r="Q4335">
        <v>0.1614689</v>
      </c>
      <c r="R4335">
        <v>1.1373009999999999E-2</v>
      </c>
      <c r="S4335">
        <v>3.0546570000000002</v>
      </c>
      <c r="T4335">
        <v>-9.8475809999999997E-2</v>
      </c>
      <c r="U4335">
        <v>0.17767330000000001</v>
      </c>
      <c r="V4335">
        <v>-2.0877699999999999E-2</v>
      </c>
      <c r="W4335">
        <v>0.17189989999999999</v>
      </c>
      <c r="X4335">
        <v>0.98489309999999997</v>
      </c>
      <c r="Y4335">
        <v>-6.6138840000000004E-2</v>
      </c>
      <c r="Z4335">
        <v>1.5956150000000001E-3</v>
      </c>
      <c r="AA4335">
        <v>0.99780919999999895</v>
      </c>
      <c r="AB4335">
        <v>35</v>
      </c>
      <c r="AC4335">
        <v>34.519999999999897</v>
      </c>
      <c r="AD4335">
        <v>-1.1241929751755</v>
      </c>
      <c r="AE4335">
        <v>2.02962</v>
      </c>
      <c r="AF4335">
        <v>-2.3079494014160802</v>
      </c>
      <c r="AG4335">
        <v>-1.1241929751755</v>
      </c>
      <c r="AH4335">
        <v>34.465918075771498</v>
      </c>
      <c r="AI4335">
        <v>91.864012680275593</v>
      </c>
      <c r="AJ4335">
        <v>93.830991477656696</v>
      </c>
      <c r="AK4335">
        <v>34.561393911280902</v>
      </c>
      <c r="AL4335">
        <v>80.101697699992599</v>
      </c>
      <c r="AM4335">
        <v>91.214370343154201</v>
      </c>
      <c r="AN4335">
        <v>0.99999993620245198</v>
      </c>
    </row>
    <row r="4336" spans="1:40" x14ac:dyDescent="0.25">
      <c r="A4336" t="str">
        <f>"20190303162640945"</f>
        <v>20190303162640945</v>
      </c>
      <c r="B4336" t="str">
        <f>"1551601600937924"</f>
        <v>1551601600937924</v>
      </c>
      <c r="C4336" t="s">
        <v>40</v>
      </c>
      <c r="D4336">
        <v>5.3411369999999998</v>
      </c>
      <c r="E4336">
        <v>0.51940140000000001</v>
      </c>
      <c r="F4336" t="s">
        <v>41</v>
      </c>
      <c r="G4336">
        <v>-349.71820000000002</v>
      </c>
      <c r="H4336" s="1">
        <v>-6.3602939999999995E-7</v>
      </c>
      <c r="I4336">
        <v>17.533860000000001</v>
      </c>
      <c r="J4336">
        <v>-382.30309999999997</v>
      </c>
      <c r="K4336">
        <v>1.123956</v>
      </c>
      <c r="L4336">
        <v>18.35172</v>
      </c>
      <c r="M4336">
        <v>0.99993019999999999</v>
      </c>
      <c r="N4336">
        <v>-1.0748779999999999E-2</v>
      </c>
      <c r="O4336">
        <v>-4.907771E-3</v>
      </c>
      <c r="P4336">
        <v>0.98664669999999999</v>
      </c>
      <c r="Q4336">
        <v>0.16242309999999999</v>
      </c>
      <c r="R4336">
        <v>1.213176E-2</v>
      </c>
      <c r="S4336">
        <v>3.0580440000000002</v>
      </c>
      <c r="T4336">
        <v>-0.10429720000000001</v>
      </c>
      <c r="U4336">
        <v>-7.5866699999999995E-2</v>
      </c>
      <c r="V4336">
        <v>-1.8357209999999999E-2</v>
      </c>
      <c r="W4336">
        <v>0.17287729999999901</v>
      </c>
      <c r="X4336">
        <v>0.98477230000000004</v>
      </c>
      <c r="Y4336">
        <v>1.9880559999999999E-2</v>
      </c>
      <c r="Z4336">
        <v>-3.312074E-4</v>
      </c>
      <c r="AA4336">
        <v>0.99980230000000003</v>
      </c>
      <c r="AB4336">
        <v>35</v>
      </c>
      <c r="AC4336">
        <v>32.584899999999898</v>
      </c>
      <c r="AD4336">
        <v>-1.1239566360294</v>
      </c>
      <c r="AE4336">
        <v>-0.81785999999999903</v>
      </c>
      <c r="AF4336">
        <v>0.65714032555081003</v>
      </c>
      <c r="AG4336">
        <v>-1.1239566360294</v>
      </c>
      <c r="AH4336">
        <v>32.549818918659902</v>
      </c>
      <c r="AI4336">
        <v>91.977254957081001</v>
      </c>
      <c r="AJ4336">
        <v>88.843426651355301</v>
      </c>
      <c r="AK4336">
        <v>32.575847242469202</v>
      </c>
      <c r="AL4336">
        <v>80.044846465050597</v>
      </c>
      <c r="AM4336">
        <v>91.067930985963002</v>
      </c>
      <c r="AN4336">
        <v>1.00000001543078</v>
      </c>
    </row>
    <row r="4337" spans="1:40" x14ac:dyDescent="0.25">
      <c r="A4337" t="str">
        <f>"20190303162640966"</f>
        <v>20190303162640966</v>
      </c>
      <c r="B4337" t="str">
        <f>"1551601600958420"</f>
        <v>1551601600958420</v>
      </c>
      <c r="C4337" t="s">
        <v>40</v>
      </c>
      <c r="D4337">
        <v>5.3382189999999996</v>
      </c>
      <c r="E4337">
        <v>0.52002079999999995</v>
      </c>
      <c r="F4337" t="s">
        <v>41</v>
      </c>
      <c r="G4337">
        <v>-350.49579999999997</v>
      </c>
      <c r="H4337" s="1">
        <v>-4.4911010000000003E-6</v>
      </c>
      <c r="I4337">
        <v>17.18356</v>
      </c>
      <c r="J4337">
        <v>-381.97390000000001</v>
      </c>
      <c r="K4337">
        <v>1.1237619999999999</v>
      </c>
      <c r="L4337">
        <v>18.352540000000001</v>
      </c>
      <c r="M4337">
        <v>0.99993960000000004</v>
      </c>
      <c r="N4337">
        <v>-1.074315E-2</v>
      </c>
      <c r="O4337">
        <v>-2.316781E-3</v>
      </c>
      <c r="P4337">
        <v>0.98640099999999997</v>
      </c>
      <c r="Q4337">
        <v>0.16389219999999999</v>
      </c>
      <c r="R4337">
        <v>1.234886E-2</v>
      </c>
      <c r="S4337">
        <v>3.0597840000000001</v>
      </c>
      <c r="T4337">
        <v>-0.1081222</v>
      </c>
      <c r="U4337">
        <v>-0.1123657</v>
      </c>
      <c r="V4337">
        <v>-1.594493E-2</v>
      </c>
      <c r="W4337">
        <v>0.17436450000000001</v>
      </c>
      <c r="X4337">
        <v>0.98455210000000004</v>
      </c>
      <c r="Y4337">
        <v>3.4355990000000003E-2</v>
      </c>
      <c r="Z4337">
        <v>-7.343696E-4</v>
      </c>
      <c r="AA4337">
        <v>0.9994094</v>
      </c>
      <c r="AB4337">
        <v>35</v>
      </c>
      <c r="AC4337">
        <v>31.478100000000001</v>
      </c>
      <c r="AD4337">
        <v>-1.1237664911009999</v>
      </c>
      <c r="AE4337">
        <v>-1.1689799999999999</v>
      </c>
      <c r="AF4337">
        <v>1.09465159207244</v>
      </c>
      <c r="AG4337">
        <v>-1.1237664911009999</v>
      </c>
      <c r="AH4337">
        <v>31.440708375115101</v>
      </c>
      <c r="AI4337">
        <v>92.045778979799906</v>
      </c>
      <c r="AJ4337">
        <v>88.005973920133499</v>
      </c>
      <c r="AK4337">
        <v>31.479823004006501</v>
      </c>
      <c r="AL4337">
        <v>79.958322224681396</v>
      </c>
      <c r="AM4337">
        <v>90.927830365403395</v>
      </c>
      <c r="AN4337">
        <v>1.0000000286336801</v>
      </c>
    </row>
    <row r="4338" spans="1:40" x14ac:dyDescent="0.25">
      <c r="A4338" t="str">
        <f>"20190303162640987"</f>
        <v>20190303162640987</v>
      </c>
      <c r="B4338" t="str">
        <f>"1551601600977940"</f>
        <v>1551601600977940</v>
      </c>
      <c r="C4338" t="s">
        <v>40</v>
      </c>
      <c r="D4338">
        <v>5.3302829999999997</v>
      </c>
      <c r="E4338">
        <v>0.52032929999999999</v>
      </c>
      <c r="F4338" t="s">
        <v>41</v>
      </c>
      <c r="G4338">
        <v>-349.161</v>
      </c>
      <c r="H4338" s="1">
        <v>-9.3947469999999998E-7</v>
      </c>
      <c r="I4338">
        <v>17.106079999999999</v>
      </c>
      <c r="J4338">
        <v>-381.62479999999999</v>
      </c>
      <c r="K4338">
        <v>1.1235489999999999</v>
      </c>
      <c r="L4338">
        <v>18.35416</v>
      </c>
      <c r="M4338">
        <v>0.99994240000000001</v>
      </c>
      <c r="N4338">
        <v>-1.0737399999999999E-2</v>
      </c>
      <c r="O4338">
        <v>1.881955E-4</v>
      </c>
      <c r="P4338">
        <v>0.98637560000000002</v>
      </c>
      <c r="Q4338">
        <v>0.1640016</v>
      </c>
      <c r="R4338">
        <v>1.291868E-2</v>
      </c>
      <c r="S4338">
        <v>3.0602420000000001</v>
      </c>
      <c r="T4338">
        <v>-0.1048058</v>
      </c>
      <c r="U4338">
        <v>-0.1162415</v>
      </c>
      <c r="V4338">
        <v>-1.3954960000000001E-2</v>
      </c>
      <c r="W4338">
        <v>0.174489899999999</v>
      </c>
      <c r="X4338">
        <v>0.98456010000000005</v>
      </c>
      <c r="Y4338">
        <v>3.811573E-2</v>
      </c>
      <c r="Z4338">
        <v>-8.6147079999999998E-4</v>
      </c>
      <c r="AA4338">
        <v>0.99927290000000002</v>
      </c>
      <c r="AB4338">
        <v>35</v>
      </c>
      <c r="AC4338">
        <v>32.4637999999999</v>
      </c>
      <c r="AD4338">
        <v>-1.1235499394746999</v>
      </c>
      <c r="AE4338">
        <v>-1.2480800000000001</v>
      </c>
      <c r="AF4338">
        <v>1.2526916052547501</v>
      </c>
      <c r="AG4338">
        <v>-1.1235499394746999</v>
      </c>
      <c r="AH4338">
        <v>32.424783287278103</v>
      </c>
      <c r="AI4338">
        <v>91.983081655527897</v>
      </c>
      <c r="AJ4338">
        <v>87.787548365232396</v>
      </c>
      <c r="AK4338">
        <v>32.468418069738497</v>
      </c>
      <c r="AL4338">
        <v>79.951025472229105</v>
      </c>
      <c r="AM4338">
        <v>90.812044663120801</v>
      </c>
      <c r="AN4338">
        <v>1.00000002831131</v>
      </c>
    </row>
    <row r="4339" spans="1:40" x14ac:dyDescent="0.25">
      <c r="A4339" t="str">
        <f>"20190303162641010"</f>
        <v>20190303162641010</v>
      </c>
      <c r="B4339" t="str">
        <f>"1551601600998436"</f>
        <v>1551601600998436</v>
      </c>
      <c r="C4339" t="s">
        <v>40</v>
      </c>
      <c r="D4339">
        <v>5.3439560000000004</v>
      </c>
      <c r="E4339">
        <v>0.52045770000000002</v>
      </c>
      <c r="F4339" t="s">
        <v>41</v>
      </c>
      <c r="G4339">
        <v>-349.52499999999998</v>
      </c>
      <c r="H4339" s="1">
        <v>-8.1113910000000001E-7</v>
      </c>
      <c r="I4339">
        <v>17.12284</v>
      </c>
      <c r="J4339">
        <v>-381.27379999999999</v>
      </c>
      <c r="K4339">
        <v>1.1233139999999999</v>
      </c>
      <c r="L4339">
        <v>18.356480000000001</v>
      </c>
      <c r="M4339">
        <v>0.99993949999999998</v>
      </c>
      <c r="N4339">
        <v>-1.073148E-2</v>
      </c>
      <c r="O4339">
        <v>2.4464740000000001E-3</v>
      </c>
      <c r="P4339">
        <v>0.98620629999999998</v>
      </c>
      <c r="Q4339">
        <v>0.16492860000000001</v>
      </c>
      <c r="R4339">
        <v>1.399329E-2</v>
      </c>
      <c r="S4339">
        <v>3.060791</v>
      </c>
      <c r="T4339">
        <v>-0.107133199999999</v>
      </c>
      <c r="U4339">
        <v>-0.11740109999999999</v>
      </c>
      <c r="V4339">
        <v>-1.2710580000000001E-2</v>
      </c>
      <c r="W4339">
        <v>0.17542460000000001</v>
      </c>
      <c r="X4339">
        <v>0.98441080000000003</v>
      </c>
      <c r="Y4339">
        <v>4.0739699999999997E-2</v>
      </c>
      <c r="Z4339">
        <v>-9.9060849999999998E-4</v>
      </c>
      <c r="AA4339">
        <v>0.99916930000000004</v>
      </c>
      <c r="AB4339">
        <v>35</v>
      </c>
      <c r="AC4339">
        <v>31.748799999999999</v>
      </c>
      <c r="AD4339">
        <v>-1.1233148111391</v>
      </c>
      <c r="AE4339">
        <v>-1.2336399999999901</v>
      </c>
      <c r="AF4339">
        <v>1.3096763566643499</v>
      </c>
      <c r="AG4339">
        <v>-1.1233148111391</v>
      </c>
      <c r="AH4339">
        <v>31.706055705948099</v>
      </c>
      <c r="AI4339">
        <v>92.027357805925107</v>
      </c>
      <c r="AJ4339">
        <v>87.634638202132294</v>
      </c>
      <c r="AK4339">
        <v>31.752969258839599</v>
      </c>
      <c r="AL4339">
        <v>79.896631714976394</v>
      </c>
      <c r="AM4339">
        <v>90.7397542998674</v>
      </c>
      <c r="AN4339">
        <v>0.999999986142868</v>
      </c>
    </row>
    <row r="4340" spans="1:40" x14ac:dyDescent="0.25">
      <c r="A4340" t="str">
        <f>"20190303162641054"</f>
        <v>20190303162641054</v>
      </c>
      <c r="B4340" t="str">
        <f>"1551601601038453"</f>
        <v>1551601601038453</v>
      </c>
      <c r="C4340" t="s">
        <v>40</v>
      </c>
      <c r="D4340">
        <v>5.3032399999999997</v>
      </c>
      <c r="E4340">
        <v>0.52057810000000004</v>
      </c>
      <c r="F4340" t="s">
        <v>41</v>
      </c>
      <c r="G4340">
        <v>-349.03530000000001</v>
      </c>
      <c r="H4340" s="1">
        <v>-9.7286499999999992E-7</v>
      </c>
      <c r="I4340">
        <v>17.14132</v>
      </c>
      <c r="J4340">
        <v>-380.58170000000001</v>
      </c>
      <c r="K4340">
        <v>1.122795</v>
      </c>
      <c r="L4340">
        <v>18.362490000000001</v>
      </c>
      <c r="M4340">
        <v>0.99992409999999998</v>
      </c>
      <c r="N4340">
        <v>-1.072011E-2</v>
      </c>
      <c r="O4340">
        <v>6.0663169999999999E-3</v>
      </c>
      <c r="P4340">
        <v>0.98576350000000001</v>
      </c>
      <c r="Q4340">
        <v>0.167443799999999</v>
      </c>
      <c r="R4340">
        <v>1.526784E-2</v>
      </c>
      <c r="S4340">
        <v>3.0614620000000001</v>
      </c>
      <c r="T4340">
        <v>-0.1066732</v>
      </c>
      <c r="U4340">
        <v>-0.115387</v>
      </c>
      <c r="V4340">
        <v>-1.020157E-2</v>
      </c>
      <c r="W4340">
        <v>0.17795250000000001</v>
      </c>
      <c r="X4340">
        <v>0.98398620000000003</v>
      </c>
      <c r="Y4340">
        <v>4.3688680000000001E-2</v>
      </c>
      <c r="Z4340">
        <v>-1.141242E-3</v>
      </c>
      <c r="AA4340">
        <v>0.9990445</v>
      </c>
      <c r="AB4340">
        <v>35</v>
      </c>
      <c r="AC4340">
        <v>31.546399999999998</v>
      </c>
      <c r="AD4340">
        <v>-1.1227959728650001</v>
      </c>
      <c r="AE4340">
        <v>-1.2211700000000001</v>
      </c>
      <c r="AF4340">
        <v>1.4107445616645899</v>
      </c>
      <c r="AG4340">
        <v>-1.1227959728650001</v>
      </c>
      <c r="AH4340">
        <v>31.498568905284099</v>
      </c>
      <c r="AI4340">
        <v>92.039454576119695</v>
      </c>
      <c r="AJ4340">
        <v>87.435574664158096</v>
      </c>
      <c r="AK4340">
        <v>31.550130175577301</v>
      </c>
      <c r="AL4340">
        <v>79.749478653679006</v>
      </c>
      <c r="AM4340">
        <v>90.593998131738502</v>
      </c>
      <c r="AN4340">
        <v>1.0000000030385701</v>
      </c>
    </row>
    <row r="4341" spans="1:40" x14ac:dyDescent="0.25">
      <c r="A4341" t="str">
        <f>"20190303162641076"</f>
        <v>20190303162641076</v>
      </c>
      <c r="B4341" t="str">
        <f>"1551601601067732"</f>
        <v>1551601601067732</v>
      </c>
      <c r="C4341" t="s">
        <v>40</v>
      </c>
      <c r="D4341">
        <v>5.3020329999999998</v>
      </c>
      <c r="E4341">
        <v>0.52092399999999905</v>
      </c>
      <c r="F4341" t="s">
        <v>41</v>
      </c>
      <c r="G4341">
        <v>-347.30200000000002</v>
      </c>
      <c r="H4341" s="1">
        <v>-1.578867E-6</v>
      </c>
      <c r="I4341">
        <v>17.140709999999999</v>
      </c>
      <c r="J4341">
        <v>-380.21469999999999</v>
      </c>
      <c r="K4341">
        <v>1.1224780000000001</v>
      </c>
      <c r="L4341">
        <v>18.366209999999999</v>
      </c>
      <c r="M4341">
        <v>0.99991459999999999</v>
      </c>
      <c r="N4341">
        <v>-1.071478E-2</v>
      </c>
      <c r="O4341">
        <v>7.4846380000000001E-3</v>
      </c>
      <c r="P4341">
        <v>0.98555409999999999</v>
      </c>
      <c r="Q4341">
        <v>0.16867449999999901</v>
      </c>
      <c r="R4341">
        <v>1.523325E-2</v>
      </c>
      <c r="S4341">
        <v>3.062592</v>
      </c>
      <c r="T4341">
        <v>-0.1033261</v>
      </c>
      <c r="U4341">
        <v>-0.11242679999999999</v>
      </c>
      <c r="V4341">
        <v>-8.6333909999999903E-3</v>
      </c>
      <c r="W4341">
        <v>0.17918970000000001</v>
      </c>
      <c r="X4341">
        <v>0.98377669999999995</v>
      </c>
      <c r="Y4341">
        <v>4.4128939999999998E-2</v>
      </c>
      <c r="Z4341">
        <v>-1.152756E-3</v>
      </c>
      <c r="AA4341">
        <v>0.99902519999999995</v>
      </c>
      <c r="AB4341">
        <v>35</v>
      </c>
      <c r="AC4341">
        <v>32.912700000000001</v>
      </c>
      <c r="AD4341">
        <v>-1.1224795788669999</v>
      </c>
      <c r="AE4341">
        <v>-1.22549999999999</v>
      </c>
      <c r="AF4341">
        <v>1.4701118821535</v>
      </c>
      <c r="AG4341">
        <v>-1.1224795788669999</v>
      </c>
      <c r="AH4341">
        <v>32.864432224169001</v>
      </c>
      <c r="AI4341">
        <v>91.954215325519399</v>
      </c>
      <c r="AJ4341">
        <v>87.4387176189869</v>
      </c>
      <c r="AK4341">
        <v>32.916441101188603</v>
      </c>
      <c r="AL4341">
        <v>79.677434725968894</v>
      </c>
      <c r="AM4341">
        <v>90.502801265032403</v>
      </c>
      <c r="AN4341">
        <v>1.0000000397445601</v>
      </c>
    </row>
    <row r="4342" spans="1:40" x14ac:dyDescent="0.25">
      <c r="A4342" t="str">
        <f>"20190303162641100"</f>
        <v>20190303162641100</v>
      </c>
      <c r="B4342" t="str">
        <f>"1551601601088228"</f>
        <v>1551601601088228</v>
      </c>
      <c r="C4342" t="s">
        <v>40</v>
      </c>
      <c r="D4342">
        <v>5.2959040000000002</v>
      </c>
      <c r="E4342">
        <v>0.52135909999999996</v>
      </c>
      <c r="F4342" t="s">
        <v>41</v>
      </c>
      <c r="G4342">
        <v>-346.41050000000001</v>
      </c>
      <c r="H4342" s="1">
        <v>-1.9715659999999998E-6</v>
      </c>
      <c r="I4342">
        <v>17.082989999999999</v>
      </c>
      <c r="J4342">
        <v>-379.84640000000002</v>
      </c>
      <c r="K4342">
        <v>1.122131</v>
      </c>
      <c r="L4342">
        <v>18.370059999999999</v>
      </c>
      <c r="M4342">
        <v>0.99990670000000004</v>
      </c>
      <c r="N4342">
        <v>-1.071068E-2</v>
      </c>
      <c r="O4342">
        <v>8.4878369999999998E-3</v>
      </c>
      <c r="P4342">
        <v>0.98528830000000001</v>
      </c>
      <c r="Q4342">
        <v>0.17022279999999901</v>
      </c>
      <c r="R4342">
        <v>1.520841E-2</v>
      </c>
      <c r="S4342">
        <v>3.063202</v>
      </c>
      <c r="T4342">
        <v>-0.1017146</v>
      </c>
      <c r="U4342">
        <v>-0.116272</v>
      </c>
      <c r="V4342">
        <v>-7.4744210000000002E-3</v>
      </c>
      <c r="W4342">
        <v>0.18074219999999999</v>
      </c>
      <c r="X4342">
        <v>0.98350210000000005</v>
      </c>
      <c r="Y4342">
        <v>4.6375279999999998E-2</v>
      </c>
      <c r="Z4342">
        <v>-1.2088170000000001E-3</v>
      </c>
      <c r="AA4342">
        <v>0.99892340000000002</v>
      </c>
      <c r="AB4342">
        <v>36</v>
      </c>
      <c r="AC4342">
        <v>33.435899999999997</v>
      </c>
      <c r="AD4342">
        <v>-1.122132971566</v>
      </c>
      <c r="AE4342">
        <v>-1.2870699999999999</v>
      </c>
      <c r="AF4342">
        <v>1.5690736886463701</v>
      </c>
      <c r="AG4342">
        <v>-1.122132971566</v>
      </c>
      <c r="AH4342">
        <v>33.386222353251902</v>
      </c>
      <c r="AI4342">
        <v>91.922903437521796</v>
      </c>
      <c r="AJ4342">
        <v>87.309213481616297</v>
      </c>
      <c r="AK4342">
        <v>33.441905114198498</v>
      </c>
      <c r="AL4342">
        <v>79.587006118799906</v>
      </c>
      <c r="AM4342">
        <v>90.435428183657393</v>
      </c>
      <c r="AN4342">
        <v>0.99999999526726702</v>
      </c>
    </row>
    <row r="4343" spans="1:40" x14ac:dyDescent="0.25">
      <c r="A4343" t="str">
        <f>"20190303162641121"</f>
        <v>20190303162641121</v>
      </c>
      <c r="B4343" t="str">
        <f>"1551601601107748"</f>
        <v>1551601601107748</v>
      </c>
      <c r="C4343" t="s">
        <v>40</v>
      </c>
      <c r="D4343">
        <v>5.320201</v>
      </c>
      <c r="E4343">
        <v>0.52828369999999902</v>
      </c>
      <c r="F4343" t="s">
        <v>41</v>
      </c>
      <c r="G4343">
        <v>-345.16050000000001</v>
      </c>
      <c r="H4343" s="1">
        <v>-2.5218320000000002E-6</v>
      </c>
      <c r="I4343">
        <v>17.003869999999999</v>
      </c>
      <c r="J4343">
        <v>-379.51979999999998</v>
      </c>
      <c r="K4343">
        <v>1.121831</v>
      </c>
      <c r="L4343">
        <v>18.3735</v>
      </c>
      <c r="M4343">
        <v>0.9999017</v>
      </c>
      <c r="N4343">
        <v>-1.07081E-2</v>
      </c>
      <c r="O4343">
        <v>9.0601669999999992E-3</v>
      </c>
      <c r="P4343">
        <v>0.98516289999999995</v>
      </c>
      <c r="Q4343">
        <v>0.17091700000000001</v>
      </c>
      <c r="R4343">
        <v>1.554679E-2</v>
      </c>
      <c r="S4343">
        <v>3.0637819999999998</v>
      </c>
      <c r="T4343">
        <v>-9.9117159999999996E-2</v>
      </c>
      <c r="U4343">
        <v>-0.1206665</v>
      </c>
      <c r="V4343">
        <v>-7.1166069999999996E-3</v>
      </c>
      <c r="W4343">
        <v>0.18143909999999999</v>
      </c>
      <c r="X4343">
        <v>0.98337640000000004</v>
      </c>
      <c r="Y4343">
        <v>4.8370599999999903E-2</v>
      </c>
      <c r="Z4343">
        <v>-1.237059E-3</v>
      </c>
      <c r="AA4343">
        <v>0.99882870000000001</v>
      </c>
      <c r="AB4343">
        <v>36</v>
      </c>
      <c r="AC4343">
        <v>34.359299999999898</v>
      </c>
      <c r="AD4343">
        <v>-1.1218335218319999</v>
      </c>
      <c r="AE4343">
        <v>-1.3696299999999899</v>
      </c>
      <c r="AF4343">
        <v>1.67910546627118</v>
      </c>
      <c r="AG4343">
        <v>-1.1218335218319999</v>
      </c>
      <c r="AH4343">
        <v>34.308963544485103</v>
      </c>
      <c r="AI4343">
        <v>91.870551302906193</v>
      </c>
      <c r="AJ4343">
        <v>87.198138724510201</v>
      </c>
      <c r="AK4343">
        <v>34.368341320383401</v>
      </c>
      <c r="AL4343">
        <v>79.546405131456893</v>
      </c>
      <c r="AM4343">
        <v>90.414637190198505</v>
      </c>
      <c r="AN4343">
        <v>0.99999996859048002</v>
      </c>
    </row>
    <row r="4344" spans="1:40" x14ac:dyDescent="0.25">
      <c r="A4344" t="str">
        <f>"20190303162641143"</f>
        <v>20190303162641143</v>
      </c>
      <c r="B4344" t="str">
        <f>"1551601601138003"</f>
        <v>1551601601138003</v>
      </c>
      <c r="C4344" t="s">
        <v>40</v>
      </c>
      <c r="D4344">
        <v>5.3014130000000002</v>
      </c>
      <c r="E4344">
        <v>0.48727720000000002</v>
      </c>
      <c r="F4344" t="s">
        <v>41</v>
      </c>
      <c r="G4344">
        <v>-359.9391</v>
      </c>
      <c r="H4344" s="1">
        <v>-6.3050210000000004E-7</v>
      </c>
      <c r="I4344">
        <v>17.272069999999999</v>
      </c>
      <c r="J4344">
        <v>-379.1524</v>
      </c>
      <c r="K4344">
        <v>1.121526</v>
      </c>
      <c r="L4344">
        <v>18.37726</v>
      </c>
      <c r="M4344">
        <v>0.99989870000000003</v>
      </c>
      <c r="N4344">
        <v>-1.0705910000000001E-2</v>
      </c>
      <c r="O4344">
        <v>9.3973719999999993E-3</v>
      </c>
      <c r="P4344">
        <v>0.98515090000000005</v>
      </c>
      <c r="Q4344">
        <v>0.17092449999999901</v>
      </c>
      <c r="R4344">
        <v>1.6211650000000001E-2</v>
      </c>
      <c r="S4344">
        <v>3.078522</v>
      </c>
      <c r="T4344">
        <v>-0.17637720000000001</v>
      </c>
      <c r="U4344">
        <v>-0.1731567</v>
      </c>
      <c r="V4344">
        <v>-7.3130669999999899E-3</v>
      </c>
      <c r="W4344">
        <v>0.18144850000000001</v>
      </c>
      <c r="X4344">
        <v>0.98337330000000001</v>
      </c>
      <c r="Y4344">
        <v>6.5401409999999993E-2</v>
      </c>
      <c r="Z4344">
        <v>-2.6583309999999999E-3</v>
      </c>
      <c r="AA4344">
        <v>0.99785550000000001</v>
      </c>
      <c r="AB4344">
        <v>36</v>
      </c>
      <c r="AC4344">
        <v>19.2133</v>
      </c>
      <c r="AD4344">
        <v>-1.1215266305021001</v>
      </c>
      <c r="AE4344">
        <v>-1.1051899999999899</v>
      </c>
      <c r="AF4344">
        <v>1.28135442907588</v>
      </c>
      <c r="AG4344">
        <v>-1.1215266305021001</v>
      </c>
      <c r="AH4344">
        <v>19.137073600130702</v>
      </c>
      <c r="AI4344">
        <v>93.346502155357598</v>
      </c>
      <c r="AJ4344">
        <v>86.169383912029403</v>
      </c>
      <c r="AK4344">
        <v>19.212685318108399</v>
      </c>
      <c r="AL4344">
        <v>79.545858248474104</v>
      </c>
      <c r="AM4344">
        <v>90.426084529934002</v>
      </c>
      <c r="AN4344">
        <v>1.0000000431270399</v>
      </c>
    </row>
    <row r="4345" spans="1:40" x14ac:dyDescent="0.25">
      <c r="A4345" t="str">
        <f>"20190303162641167"</f>
        <v>20190303162641167</v>
      </c>
      <c r="B4345" t="str">
        <f>"1551601601158502"</f>
        <v>1551601601158502</v>
      </c>
      <c r="C4345" t="s">
        <v>40</v>
      </c>
      <c r="D4345">
        <v>5.4655860000000001</v>
      </c>
      <c r="E4345">
        <v>0.42936299999999999</v>
      </c>
      <c r="F4345" t="s">
        <v>41</v>
      </c>
      <c r="G4345">
        <v>-344.16210000000001</v>
      </c>
      <c r="H4345" s="1">
        <v>-2.630282E-6</v>
      </c>
      <c r="I4345">
        <v>20.155670000000001</v>
      </c>
      <c r="J4345">
        <v>-378.78960000000001</v>
      </c>
      <c r="K4345">
        <v>1.1212569999999999</v>
      </c>
      <c r="L4345">
        <v>18.38083</v>
      </c>
      <c r="M4345">
        <v>0.99989839999999997</v>
      </c>
      <c r="N4345">
        <v>-1.0703910000000001E-2</v>
      </c>
      <c r="O4345">
        <v>9.4157249999999998E-3</v>
      </c>
      <c r="P4345">
        <v>0.98495710000000003</v>
      </c>
      <c r="Q4345">
        <v>0.1718102</v>
      </c>
      <c r="R4345">
        <v>1.8466469999999999E-2</v>
      </c>
      <c r="S4345">
        <v>3.0596619999999999</v>
      </c>
      <c r="T4345">
        <v>-9.8069909999999996E-2</v>
      </c>
      <c r="U4345">
        <v>0.15551760000000001</v>
      </c>
      <c r="V4345">
        <v>-9.4281360000000002E-3</v>
      </c>
      <c r="W4345">
        <v>0.1823323</v>
      </c>
      <c r="X4345">
        <v>0.9831917</v>
      </c>
      <c r="Y4345">
        <v>-4.1330329999999998E-2</v>
      </c>
      <c r="Z4345">
        <v>6.8240529999999996E-4</v>
      </c>
      <c r="AA4345">
        <v>0.99914530000000001</v>
      </c>
      <c r="AB4345">
        <v>36</v>
      </c>
      <c r="AC4345">
        <v>34.627499999999998</v>
      </c>
      <c r="AD4345">
        <v>-1.1212596302819999</v>
      </c>
      <c r="AE4345">
        <v>1.77484</v>
      </c>
      <c r="AF4345">
        <v>-1.44718621903588</v>
      </c>
      <c r="AG4345">
        <v>-1.1212596302819999</v>
      </c>
      <c r="AH4345">
        <v>34.606487220783102</v>
      </c>
      <c r="AI4345">
        <v>91.854130312322596</v>
      </c>
      <c r="AJ4345">
        <v>92.394619768279</v>
      </c>
      <c r="AK4345">
        <v>34.654877418240801</v>
      </c>
      <c r="AL4345">
        <v>79.494360091724502</v>
      </c>
      <c r="AM4345">
        <v>90.549410501120406</v>
      </c>
      <c r="AN4345">
        <v>0.99999993816030497</v>
      </c>
    </row>
    <row r="4346" spans="1:40" x14ac:dyDescent="0.25">
      <c r="A4346" t="str">
        <f>"20190303162641190"</f>
        <v>20190303162641190</v>
      </c>
      <c r="B4346" t="str">
        <f>"1551601601178022"</f>
        <v>1551601601178022</v>
      </c>
      <c r="C4346" t="s">
        <v>40</v>
      </c>
      <c r="D4346">
        <v>5.4749919999999896</v>
      </c>
      <c r="E4346">
        <v>0.42846640000000003</v>
      </c>
      <c r="F4346" t="s">
        <v>41</v>
      </c>
      <c r="G4346">
        <v>-359.22289999999998</v>
      </c>
      <c r="H4346" s="1">
        <v>-1.0503220000000001E-6</v>
      </c>
      <c r="I4346">
        <v>22.377269999999999</v>
      </c>
      <c r="J4346">
        <v>-378.40879999999999</v>
      </c>
      <c r="K4346">
        <v>1.1209709999999999</v>
      </c>
      <c r="L4346">
        <v>18.384309999999999</v>
      </c>
      <c r="M4346">
        <v>0.9999015</v>
      </c>
      <c r="N4346">
        <v>-1.0702649999999999E-2</v>
      </c>
      <c r="O4346">
        <v>9.0882380000000002E-3</v>
      </c>
      <c r="P4346">
        <v>0.98458190000000001</v>
      </c>
      <c r="Q4346">
        <v>0.17373930000000001</v>
      </c>
      <c r="R4346">
        <v>2.0326360000000002E-2</v>
      </c>
      <c r="S4346">
        <v>3.0647280000000001</v>
      </c>
      <c r="T4346">
        <v>-0.1756228</v>
      </c>
      <c r="U4346">
        <v>0.62597659999999999</v>
      </c>
      <c r="V4346">
        <v>-1.148532E-2</v>
      </c>
      <c r="W4346">
        <v>0.1842618</v>
      </c>
      <c r="X4346">
        <v>0.98281010000000002</v>
      </c>
      <c r="Y4346">
        <v>-0.1908579</v>
      </c>
      <c r="Z4346">
        <v>6.0223999999999998E-3</v>
      </c>
      <c r="AA4346">
        <v>0.98159920000000001</v>
      </c>
      <c r="AB4346">
        <v>36</v>
      </c>
      <c r="AC4346">
        <v>19.1859</v>
      </c>
      <c r="AD4346">
        <v>-1.120972050322</v>
      </c>
      <c r="AE4346">
        <v>3.9929600000000001</v>
      </c>
      <c r="AF4346">
        <v>-3.8059660419679702</v>
      </c>
      <c r="AG4346">
        <v>-1.120972050322</v>
      </c>
      <c r="AH4346">
        <v>19.158711728084299</v>
      </c>
      <c r="AI4346">
        <v>93.284508335075401</v>
      </c>
      <c r="AJ4346">
        <v>101.23579193013001</v>
      </c>
      <c r="AK4346">
        <v>19.565229130527701</v>
      </c>
      <c r="AL4346">
        <v>79.381903305974802</v>
      </c>
      <c r="AM4346">
        <v>90.669539729277304</v>
      </c>
      <c r="AN4346">
        <v>1.00000000808837</v>
      </c>
    </row>
    <row r="4347" spans="1:40" x14ac:dyDescent="0.25">
      <c r="A4347" t="str">
        <f>"20190303162641211"</f>
        <v>20190303162641211</v>
      </c>
      <c r="B4347" t="str">
        <f>"1551601601198516"</f>
        <v>1551601601198516</v>
      </c>
      <c r="C4347" t="s">
        <v>40</v>
      </c>
      <c r="D4347">
        <v>5.2934700000000001</v>
      </c>
      <c r="E4347">
        <v>0.43066290000000002</v>
      </c>
      <c r="F4347" t="s">
        <v>41</v>
      </c>
      <c r="G4347">
        <v>-357.59780000000001</v>
      </c>
      <c r="H4347" s="1">
        <v>-1.8395520000000001E-6</v>
      </c>
      <c r="I4347">
        <v>22.723289999999999</v>
      </c>
      <c r="J4347">
        <v>-378.09050000000002</v>
      </c>
      <c r="K4347">
        <v>1.120727</v>
      </c>
      <c r="L4347">
        <v>18.386869999999998</v>
      </c>
      <c r="M4347">
        <v>0.99990639999999997</v>
      </c>
      <c r="N4347">
        <v>-1.070285E-2</v>
      </c>
      <c r="O4347">
        <v>8.5393159999999999E-3</v>
      </c>
      <c r="P4347">
        <v>0.98431159999999995</v>
      </c>
      <c r="Q4347">
        <v>0.17506739999999901</v>
      </c>
      <c r="R4347">
        <v>2.196151E-2</v>
      </c>
      <c r="S4347">
        <v>3.062897</v>
      </c>
      <c r="T4347">
        <v>-0.164981399999999</v>
      </c>
      <c r="U4347">
        <v>0.63861080000000003</v>
      </c>
      <c r="V4347">
        <v>-1.35476E-2</v>
      </c>
      <c r="W4347">
        <v>0.1855945</v>
      </c>
      <c r="X4347">
        <v>0.98253299999999999</v>
      </c>
      <c r="Y4347">
        <v>-0.1954225</v>
      </c>
      <c r="Z4347">
        <v>5.8970940000000003E-3</v>
      </c>
      <c r="AA4347">
        <v>0.98070139999999995</v>
      </c>
      <c r="AB4347">
        <v>36</v>
      </c>
      <c r="AC4347">
        <v>20.492699999999999</v>
      </c>
      <c r="AD4347">
        <v>-1.1207288395520001</v>
      </c>
      <c r="AE4347">
        <v>4.3364199999999897</v>
      </c>
      <c r="AF4347">
        <v>-4.1493797247424196</v>
      </c>
      <c r="AG4347">
        <v>-1.1207288395520001</v>
      </c>
      <c r="AH4347">
        <v>20.470383956483801</v>
      </c>
      <c r="AI4347">
        <v>93.071405836843795</v>
      </c>
      <c r="AJ4347">
        <v>101.45869204671401</v>
      </c>
      <c r="AK4347">
        <v>20.9167398166582</v>
      </c>
      <c r="AL4347">
        <v>79.3042047318269</v>
      </c>
      <c r="AM4347">
        <v>90.789969513671096</v>
      </c>
      <c r="AN4347">
        <v>0.99999997599250401</v>
      </c>
    </row>
    <row r="4348" spans="1:40" x14ac:dyDescent="0.25">
      <c r="A4348" t="str">
        <f>"20190303162641233"</f>
        <v>20190303162641233</v>
      </c>
      <c r="B4348" t="str">
        <f>"1551601601218122"</f>
        <v>1551601601218122</v>
      </c>
      <c r="C4348" t="s">
        <v>40</v>
      </c>
      <c r="D4348">
        <v>5.3222500000000004</v>
      </c>
      <c r="E4348">
        <v>0.43200260000000001</v>
      </c>
      <c r="F4348" t="s">
        <v>41</v>
      </c>
      <c r="G4348">
        <v>-356.32740000000001</v>
      </c>
      <c r="H4348" s="1">
        <v>-2.4143310000000001E-6</v>
      </c>
      <c r="I4348">
        <v>22.83522</v>
      </c>
      <c r="J4348">
        <v>-377.72550000000001</v>
      </c>
      <c r="K4348">
        <v>1.1204240000000001</v>
      </c>
      <c r="L4348">
        <v>18.38937</v>
      </c>
      <c r="M4348">
        <v>0.99991379999999996</v>
      </c>
      <c r="N4348">
        <v>-1.070459E-2</v>
      </c>
      <c r="O4348">
        <v>7.6236380000000003E-3</v>
      </c>
      <c r="P4348">
        <v>0.98417319999999997</v>
      </c>
      <c r="Q4348">
        <v>0.17566319999999999</v>
      </c>
      <c r="R4348">
        <v>2.3362480000000001E-2</v>
      </c>
      <c r="S4348">
        <v>3.0618590000000001</v>
      </c>
      <c r="T4348">
        <v>-0.15767629999999999</v>
      </c>
      <c r="U4348">
        <v>0.62585449999999998</v>
      </c>
      <c r="V4348">
        <v>-1.5712110000000001E-2</v>
      </c>
      <c r="W4348">
        <v>0.18620220000000001</v>
      </c>
      <c r="X4348">
        <v>0.98238579999999998</v>
      </c>
      <c r="Y4348">
        <v>-0.1924959</v>
      </c>
      <c r="Z4348">
        <v>5.6367709999999996E-3</v>
      </c>
      <c r="AA4348">
        <v>0.98128159999999998</v>
      </c>
      <c r="AB4348">
        <v>36</v>
      </c>
      <c r="AC4348">
        <v>21.398099999999999</v>
      </c>
      <c r="AD4348">
        <v>-1.1204264143310001</v>
      </c>
      <c r="AE4348">
        <v>4.4458500000000001</v>
      </c>
      <c r="AF4348">
        <v>-4.2713540291970897</v>
      </c>
      <c r="AG4348">
        <v>-1.1204264143310001</v>
      </c>
      <c r="AH4348">
        <v>21.375194814944798</v>
      </c>
      <c r="AI4348">
        <v>92.942466808976405</v>
      </c>
      <c r="AJ4348">
        <v>101.300434668012</v>
      </c>
      <c r="AK4348">
        <v>21.826561203485799</v>
      </c>
      <c r="AL4348">
        <v>79.268768598582994</v>
      </c>
      <c r="AM4348">
        <v>90.916300745593801</v>
      </c>
      <c r="AN4348">
        <v>0.99999999486356606</v>
      </c>
    </row>
    <row r="4349" spans="1:40" x14ac:dyDescent="0.25">
      <c r="A4349" t="str">
        <f>"20190303162641258"</f>
        <v>20190303162641258</v>
      </c>
      <c r="B4349" t="str">
        <f>"1551601601248377"</f>
        <v>1551601601248377</v>
      </c>
      <c r="C4349" t="s">
        <v>40</v>
      </c>
      <c r="D4349">
        <v>5.3329069999999996</v>
      </c>
      <c r="E4349">
        <v>0.4343631</v>
      </c>
      <c r="F4349" t="s">
        <v>41</v>
      </c>
      <c r="G4349">
        <v>-356.37729999999999</v>
      </c>
      <c r="H4349" s="1">
        <v>-2.3585840000000002E-6</v>
      </c>
      <c r="I4349">
        <v>22.706040000000002</v>
      </c>
      <c r="J4349">
        <v>-377.32490000000001</v>
      </c>
      <c r="K4349">
        <v>1.120082</v>
      </c>
      <c r="L4349">
        <v>18.391390000000001</v>
      </c>
      <c r="M4349">
        <v>0.99992289999999995</v>
      </c>
      <c r="N4349">
        <v>-1.070803E-2</v>
      </c>
      <c r="O4349">
        <v>6.3015750000000002E-3</v>
      </c>
      <c r="P4349">
        <v>0.98394859999999995</v>
      </c>
      <c r="Q4349">
        <v>0.17665229999999901</v>
      </c>
      <c r="R4349">
        <v>2.5286240000000001E-2</v>
      </c>
      <c r="S4349">
        <v>3.0622250000000002</v>
      </c>
      <c r="T4349">
        <v>-0.16071569999999999</v>
      </c>
      <c r="U4349">
        <v>0.61920169999999997</v>
      </c>
      <c r="V4349">
        <v>-1.8780850000000002E-2</v>
      </c>
      <c r="W4349">
        <v>0.18721070000000001</v>
      </c>
      <c r="X4349">
        <v>0.98214020000000002</v>
      </c>
      <c r="Y4349">
        <v>-0.19171270000000001</v>
      </c>
      <c r="Z4349">
        <v>5.7543400000000001E-3</v>
      </c>
      <c r="AA4349">
        <v>0.98143420000000003</v>
      </c>
      <c r="AB4349">
        <v>36</v>
      </c>
      <c r="AC4349">
        <v>20.947600000000001</v>
      </c>
      <c r="AD4349">
        <v>-1.1200843585839999</v>
      </c>
      <c r="AE4349">
        <v>4.3146500000000003</v>
      </c>
      <c r="AF4349">
        <v>-4.1711135227586498</v>
      </c>
      <c r="AG4349">
        <v>-1.1200843585839999</v>
      </c>
      <c r="AH4349">
        <v>20.917004324589598</v>
      </c>
      <c r="AI4349">
        <v>93.006127827136993</v>
      </c>
      <c r="AJ4349">
        <v>101.277565896662</v>
      </c>
      <c r="AK4349">
        <v>21.358226679782799</v>
      </c>
      <c r="AL4349">
        <v>79.209951270892802</v>
      </c>
      <c r="AM4349">
        <v>91.095497679273805</v>
      </c>
      <c r="AN4349">
        <v>0.99999996948862502</v>
      </c>
    </row>
    <row r="4350" spans="1:40" x14ac:dyDescent="0.25">
      <c r="A4350" t="str">
        <f>"20190303162641277"</f>
        <v>20190303162641277</v>
      </c>
      <c r="B4350" t="str">
        <f>"1551601601267897"</f>
        <v>1551601601267897</v>
      </c>
      <c r="C4350" t="s">
        <v>40</v>
      </c>
      <c r="D4350">
        <v>5.4031209999999996</v>
      </c>
      <c r="E4350">
        <v>0.43581710000000001</v>
      </c>
      <c r="F4350" t="s">
        <v>41</v>
      </c>
      <c r="G4350">
        <v>-354.93290000000002</v>
      </c>
      <c r="H4350" s="1">
        <v>-3.008696E-6</v>
      </c>
      <c r="I4350">
        <v>22.82067</v>
      </c>
      <c r="J4350">
        <v>-377.01229999999998</v>
      </c>
      <c r="K4350">
        <v>1.119826</v>
      </c>
      <c r="L4350">
        <v>18.392299999999999</v>
      </c>
      <c r="M4350">
        <v>0.99992999999999999</v>
      </c>
      <c r="N4350">
        <v>-1.071152E-2</v>
      </c>
      <c r="O4350">
        <v>5.0281240000000001E-3</v>
      </c>
      <c r="P4350">
        <v>0.98367979999999999</v>
      </c>
      <c r="Q4350">
        <v>0.17789389999999999</v>
      </c>
      <c r="R4350">
        <v>2.6981049999999999E-2</v>
      </c>
      <c r="S4350">
        <v>3.0608520000000001</v>
      </c>
      <c r="T4350">
        <v>-0.1531091</v>
      </c>
      <c r="U4350">
        <v>0.60546880000000003</v>
      </c>
      <c r="V4350">
        <v>-2.1610210000000001E-2</v>
      </c>
      <c r="W4350">
        <v>0.188471</v>
      </c>
      <c r="X4350">
        <v>0.98184099999999996</v>
      </c>
      <c r="Y4350">
        <v>-0.1888415</v>
      </c>
      <c r="Z4350">
        <v>5.5012000000000004E-3</v>
      </c>
      <c r="AA4350">
        <v>0.98199219999999998</v>
      </c>
      <c r="AB4350">
        <v>36</v>
      </c>
      <c r="AC4350">
        <v>22.0793999999999</v>
      </c>
      <c r="AD4350">
        <v>-1.1198290086960001</v>
      </c>
      <c r="AE4350">
        <v>4.4283700000000001</v>
      </c>
      <c r="AF4350">
        <v>-4.3066399327341403</v>
      </c>
      <c r="AG4350">
        <v>-1.1198290086960001</v>
      </c>
      <c r="AH4350">
        <v>22.046869532109099</v>
      </c>
      <c r="AI4350">
        <v>92.853884279966806</v>
      </c>
      <c r="AJ4350">
        <v>101.052985866144</v>
      </c>
      <c r="AK4350">
        <v>22.4914566154524</v>
      </c>
      <c r="AL4350">
        <v>79.136433434676803</v>
      </c>
      <c r="AM4350">
        <v>91.260870087089103</v>
      </c>
      <c r="AN4350">
        <v>1.00000003414912</v>
      </c>
    </row>
    <row r="4351" spans="1:40" x14ac:dyDescent="0.25">
      <c r="A4351" t="str">
        <f>"20190303162641300"</f>
        <v>20190303162641300</v>
      </c>
      <c r="B4351" t="str">
        <f>"1551601601288393"</f>
        <v>1551601601288393</v>
      </c>
      <c r="C4351" t="s">
        <v>40</v>
      </c>
      <c r="D4351">
        <v>5.3260899999999998</v>
      </c>
      <c r="E4351">
        <v>0.43692229999999999</v>
      </c>
      <c r="F4351" t="s">
        <v>41</v>
      </c>
      <c r="G4351">
        <v>-353.26990000000001</v>
      </c>
      <c r="H4351" s="1">
        <v>-3.7701180000000002E-6</v>
      </c>
      <c r="I4351">
        <v>23.03736</v>
      </c>
      <c r="J4351">
        <v>-376.6617</v>
      </c>
      <c r="K4351">
        <v>1.11957</v>
      </c>
      <c r="L4351">
        <v>18.392610000000001</v>
      </c>
      <c r="M4351">
        <v>0.99993690000000002</v>
      </c>
      <c r="N4351">
        <v>-1.0715550000000001E-2</v>
      </c>
      <c r="O4351">
        <v>3.3798109999999999E-3</v>
      </c>
      <c r="P4351">
        <v>0.98350780000000004</v>
      </c>
      <c r="Q4351">
        <v>0.17869460000000001</v>
      </c>
      <c r="R4351">
        <v>2.7943920000000001E-2</v>
      </c>
      <c r="S4351">
        <v>3.0594480000000002</v>
      </c>
      <c r="T4351">
        <v>-0.14430119999999999</v>
      </c>
      <c r="U4351">
        <v>0.59857179999999999</v>
      </c>
      <c r="V4351">
        <v>-2.4074020000000002E-2</v>
      </c>
      <c r="W4351">
        <v>0.18929470000000001</v>
      </c>
      <c r="X4351">
        <v>0.98162510000000003</v>
      </c>
      <c r="Y4351">
        <v>-0.18844159999999999</v>
      </c>
      <c r="Z4351">
        <v>5.2977409999999999E-3</v>
      </c>
      <c r="AA4351">
        <v>0.98207009999999995</v>
      </c>
      <c r="AB4351">
        <v>36</v>
      </c>
      <c r="AC4351">
        <v>23.3917999999999</v>
      </c>
      <c r="AD4351">
        <v>-1.119573770118</v>
      </c>
      <c r="AE4351">
        <v>4.6447499999999904</v>
      </c>
      <c r="AF4351">
        <v>-4.55561912080318</v>
      </c>
      <c r="AG4351">
        <v>-1.119573770118</v>
      </c>
      <c r="AH4351">
        <v>23.3558925401083</v>
      </c>
      <c r="AI4351">
        <v>92.693708320586296</v>
      </c>
      <c r="AJ4351">
        <v>101.03709237599099</v>
      </c>
      <c r="AK4351">
        <v>23.822359818994599</v>
      </c>
      <c r="AL4351">
        <v>79.088372763749703</v>
      </c>
      <c r="AM4351">
        <v>91.404877791903601</v>
      </c>
      <c r="AN4351">
        <v>0.99999993941852805</v>
      </c>
    </row>
    <row r="4352" spans="1:40" x14ac:dyDescent="0.25">
      <c r="A4352" t="str">
        <f>"20190303162641334"</f>
        <v>20190303162641334</v>
      </c>
      <c r="B4352" t="str">
        <f>"1551601601317795"</f>
        <v>1551601601317795</v>
      </c>
      <c r="C4352" t="s">
        <v>40</v>
      </c>
      <c r="D4352">
        <v>5.3957009999999999</v>
      </c>
      <c r="E4352">
        <v>0.43830019999999997</v>
      </c>
      <c r="F4352" t="s">
        <v>41</v>
      </c>
      <c r="G4352">
        <v>-351.86250000000001</v>
      </c>
      <c r="H4352" s="1">
        <v>-4.2768669999999901E-6</v>
      </c>
      <c r="I4352">
        <v>23.19407</v>
      </c>
      <c r="J4352">
        <v>-376.10860000000002</v>
      </c>
      <c r="K4352">
        <v>1.119245</v>
      </c>
      <c r="L4352">
        <v>18.391480000000001</v>
      </c>
      <c r="M4352">
        <v>0.99994249999999996</v>
      </c>
      <c r="N4352">
        <v>-1.072145E-2</v>
      </c>
      <c r="O4352">
        <v>3.9034829999999999E-4</v>
      </c>
      <c r="P4352">
        <v>0.98341449999999997</v>
      </c>
      <c r="Q4352">
        <v>0.17966260000000001</v>
      </c>
      <c r="R4352">
        <v>2.4850170000000001E-2</v>
      </c>
      <c r="S4352">
        <v>3.0585939999999998</v>
      </c>
      <c r="T4352">
        <v>-0.1380816</v>
      </c>
      <c r="U4352">
        <v>0.59219359999999999</v>
      </c>
      <c r="V4352">
        <v>-2.3766079999999998E-2</v>
      </c>
      <c r="W4352">
        <v>0.19028439999999999</v>
      </c>
      <c r="X4352">
        <v>0.98144129999999996</v>
      </c>
      <c r="Y4352">
        <v>-0.18947159999999999</v>
      </c>
      <c r="Z4352">
        <v>5.2478359999999996E-3</v>
      </c>
      <c r="AA4352">
        <v>0.98187219999999997</v>
      </c>
      <c r="AB4352">
        <v>36</v>
      </c>
      <c r="AC4352">
        <v>24.246099999999998</v>
      </c>
      <c r="AD4352">
        <v>-1.1192492768669999</v>
      </c>
      <c r="AE4352">
        <v>4.8025900000000004</v>
      </c>
      <c r="AF4352">
        <v>-4.7833165536259799</v>
      </c>
      <c r="AG4352">
        <v>-1.1192492768669999</v>
      </c>
      <c r="AH4352">
        <v>24.198354609430002</v>
      </c>
      <c r="AI4352">
        <v>92.598020734051701</v>
      </c>
      <c r="AJ4352">
        <v>101.18157390687701</v>
      </c>
      <c r="AK4352">
        <v>24.691966345345602</v>
      </c>
      <c r="AL4352">
        <v>79.030618108446603</v>
      </c>
      <c r="AM4352">
        <v>91.387174160681298</v>
      </c>
      <c r="AN4352">
        <v>1.0000000023938</v>
      </c>
    </row>
    <row r="4353" spans="1:40" x14ac:dyDescent="0.25">
      <c r="A4353" t="str">
        <f>"20190303162641355"</f>
        <v>20190303162641355</v>
      </c>
      <c r="B4353" t="str">
        <f>"1551601601348051"</f>
        <v>1551601601348051</v>
      </c>
      <c r="C4353" t="s">
        <v>40</v>
      </c>
      <c r="D4353">
        <v>5.4023719999999997</v>
      </c>
      <c r="E4353">
        <v>0.43928519999999999</v>
      </c>
      <c r="F4353" t="s">
        <v>41</v>
      </c>
      <c r="G4353">
        <v>-350.05399999999997</v>
      </c>
      <c r="H4353" s="1">
        <v>-4.9005879999999998E-6</v>
      </c>
      <c r="I4353">
        <v>23.240839999999999</v>
      </c>
      <c r="J4353">
        <v>-375.75200000000001</v>
      </c>
      <c r="K4353">
        <v>1.1190979999999999</v>
      </c>
      <c r="L4353">
        <v>18.389710000000001</v>
      </c>
      <c r="M4353">
        <v>0.99994110000000003</v>
      </c>
      <c r="N4353">
        <v>-1.072446E-2</v>
      </c>
      <c r="O4353">
        <v>-1.70351799999999E-3</v>
      </c>
      <c r="P4353">
        <v>0.98329759999999999</v>
      </c>
      <c r="Q4353">
        <v>0.1808999</v>
      </c>
      <c r="R4353">
        <v>2.0031779999999999E-2</v>
      </c>
      <c r="S4353">
        <v>3.060181</v>
      </c>
      <c r="T4353">
        <v>-0.13145879999999999</v>
      </c>
      <c r="U4353">
        <v>0.56958009999999903</v>
      </c>
      <c r="V4353">
        <v>-2.0929059999999999E-2</v>
      </c>
      <c r="W4353">
        <v>0.1915211</v>
      </c>
      <c r="X4353">
        <v>0.98126530000000001</v>
      </c>
      <c r="Y4353">
        <v>-0.1844508</v>
      </c>
      <c r="Z4353">
        <v>4.9788000000000002E-3</v>
      </c>
      <c r="AA4353">
        <v>0.98282919999999996</v>
      </c>
      <c r="AB4353">
        <v>36</v>
      </c>
      <c r="AC4353">
        <v>25.697999999999901</v>
      </c>
      <c r="AD4353">
        <v>-1.119102900588</v>
      </c>
      <c r="AE4353">
        <v>4.8511299999999897</v>
      </c>
      <c r="AF4353">
        <v>-4.8859553496368298</v>
      </c>
      <c r="AG4353">
        <v>-1.119102900588</v>
      </c>
      <c r="AH4353">
        <v>25.642741416386102</v>
      </c>
      <c r="AI4353">
        <v>92.454813414001904</v>
      </c>
      <c r="AJ4353">
        <v>100.787798675399</v>
      </c>
      <c r="AK4353">
        <v>26.128052708313199</v>
      </c>
      <c r="AL4353">
        <v>78.958432523479303</v>
      </c>
      <c r="AM4353">
        <v>91.221856129748502</v>
      </c>
      <c r="AN4353">
        <v>0.99999997314089095</v>
      </c>
    </row>
    <row r="4354" spans="1:40" x14ac:dyDescent="0.25">
      <c r="A4354" t="str">
        <f>"20190303162641379"</f>
        <v>20190303162641379</v>
      </c>
      <c r="B4354" t="str">
        <f>"1551601601368546"</f>
        <v>1551601601368546</v>
      </c>
      <c r="C4354" t="s">
        <v>40</v>
      </c>
      <c r="D4354">
        <v>5.3967660000000004</v>
      </c>
      <c r="E4354">
        <v>0.4398454</v>
      </c>
      <c r="F4354" t="s">
        <v>41</v>
      </c>
      <c r="G4354">
        <v>-348.22800000000001</v>
      </c>
      <c r="H4354" s="1">
        <v>-1.7257679999999901E-6</v>
      </c>
      <c r="I4354">
        <v>23.311640000000001</v>
      </c>
      <c r="J4354">
        <v>-375.38729999999998</v>
      </c>
      <c r="K4354">
        <v>1.1189770000000001</v>
      </c>
      <c r="L4354">
        <v>18.387119999999999</v>
      </c>
      <c r="M4354">
        <v>0.99993489999999996</v>
      </c>
      <c r="N4354">
        <v>-1.072701E-2</v>
      </c>
      <c r="O4354">
        <v>-3.9330060000000002E-3</v>
      </c>
      <c r="P4354">
        <v>0.98327730000000002</v>
      </c>
      <c r="Q4354">
        <v>0.1816517</v>
      </c>
      <c r="R4354">
        <v>1.2990689999999999E-2</v>
      </c>
      <c r="S4354">
        <v>3.0627439999999999</v>
      </c>
      <c r="T4354">
        <v>-0.12452820000000001</v>
      </c>
      <c r="U4354">
        <v>0.54769899999999905</v>
      </c>
      <c r="V4354">
        <v>-1.6020489999999998E-2</v>
      </c>
      <c r="W4354">
        <v>0.1922595</v>
      </c>
      <c r="X4354">
        <v>0.98121329999999995</v>
      </c>
      <c r="Y4354">
        <v>-0.17971960000000001</v>
      </c>
      <c r="Z4354">
        <v>4.7121890000000003E-3</v>
      </c>
      <c r="AA4354">
        <v>0.98370659999999999</v>
      </c>
      <c r="AB4354">
        <v>36</v>
      </c>
      <c r="AC4354">
        <v>27.159299999999899</v>
      </c>
      <c r="AD4354">
        <v>-1.1189787257679999</v>
      </c>
      <c r="AE4354">
        <v>4.9245200000000002</v>
      </c>
      <c r="AF4354">
        <v>-5.0230505655407098</v>
      </c>
      <c r="AG4354">
        <v>-1.1189787257679999</v>
      </c>
      <c r="AH4354">
        <v>27.095190898702899</v>
      </c>
      <c r="AI4354">
        <v>92.325285275746495</v>
      </c>
      <c r="AJ4354">
        <v>100.502563151117</v>
      </c>
      <c r="AK4354">
        <v>27.579567077999101</v>
      </c>
      <c r="AL4354">
        <v>78.915324014095305</v>
      </c>
      <c r="AM4354">
        <v>90.935397951839306</v>
      </c>
      <c r="AN4354">
        <v>0.99999995576848899</v>
      </c>
    </row>
    <row r="4355" spans="1:40" x14ac:dyDescent="0.25">
      <c r="A4355" t="str">
        <f>"20190303162641400"</f>
        <v>20190303162641400</v>
      </c>
      <c r="B4355" t="str">
        <f>"1551601601388067"</f>
        <v>1551601601388067</v>
      </c>
      <c r="C4355" t="s">
        <v>40</v>
      </c>
      <c r="D4355">
        <v>5.3968990000000003</v>
      </c>
      <c r="E4355">
        <v>0.44014550000000002</v>
      </c>
      <c r="F4355" t="s">
        <v>41</v>
      </c>
      <c r="G4355">
        <v>-346.85359999999997</v>
      </c>
      <c r="H4355" s="1">
        <v>-2.3011439999999998E-6</v>
      </c>
      <c r="I4355">
        <v>23.258189999999999</v>
      </c>
      <c r="J4355">
        <v>-375.0299</v>
      </c>
      <c r="K4355">
        <v>1.118887</v>
      </c>
      <c r="L4355">
        <v>18.38364</v>
      </c>
      <c r="M4355">
        <v>0.99992340000000002</v>
      </c>
      <c r="N4355">
        <v>-1.0729499999999999E-2</v>
      </c>
      <c r="O4355">
        <v>-6.1664669999999897E-3</v>
      </c>
      <c r="P4355">
        <v>0.98328210000000005</v>
      </c>
      <c r="Q4355">
        <v>0.1820156</v>
      </c>
      <c r="R4355">
        <v>5.1660159999999998E-3</v>
      </c>
      <c r="S4355">
        <v>3.0663149999999999</v>
      </c>
      <c r="T4355">
        <v>-0.1202487</v>
      </c>
      <c r="U4355">
        <v>0.52346800000000004</v>
      </c>
      <c r="V4355">
        <v>-1.0348380000000001E-2</v>
      </c>
      <c r="W4355">
        <v>0.19260440000000001</v>
      </c>
      <c r="X4355">
        <v>0.98122189999999998</v>
      </c>
      <c r="Y4355">
        <v>-0.1741878</v>
      </c>
      <c r="Z4355">
        <v>4.505696E-3</v>
      </c>
      <c r="AA4355">
        <v>0.98470219999999997</v>
      </c>
      <c r="AB4355">
        <v>36</v>
      </c>
      <c r="AC4355">
        <v>28.176300000000001</v>
      </c>
      <c r="AD4355">
        <v>-1.118889301144</v>
      </c>
      <c r="AE4355">
        <v>4.8745499999999904</v>
      </c>
      <c r="AF4355">
        <v>-5.0404981188549796</v>
      </c>
      <c r="AG4355">
        <v>-1.118889301144</v>
      </c>
      <c r="AH4355">
        <v>28.1026762106946</v>
      </c>
      <c r="AI4355">
        <v>92.244214022988501</v>
      </c>
      <c r="AJ4355">
        <v>100.168455438127</v>
      </c>
      <c r="AK4355">
        <v>28.573045773202701</v>
      </c>
      <c r="AL4355">
        <v>78.895186609499206</v>
      </c>
      <c r="AM4355">
        <v>90.604243053904</v>
      </c>
      <c r="AN4355">
        <v>0.99999998045379701</v>
      </c>
    </row>
    <row r="4356" spans="1:40" x14ac:dyDescent="0.25">
      <c r="A4356" t="str">
        <f>"20190303162641421"</f>
        <v>20190303162641421</v>
      </c>
      <c r="B4356" t="str">
        <f>"1551601601407974"</f>
        <v>1551601601407974</v>
      </c>
      <c r="C4356" t="s">
        <v>40</v>
      </c>
      <c r="D4356">
        <v>5.3963159999999997</v>
      </c>
      <c r="E4356">
        <v>0.44063200000000002</v>
      </c>
      <c r="F4356" t="s">
        <v>41</v>
      </c>
      <c r="G4356">
        <v>-346.14890000000003</v>
      </c>
      <c r="H4356" s="1">
        <v>-2.5512709999999999E-6</v>
      </c>
      <c r="I4356">
        <v>23.062010000000001</v>
      </c>
      <c r="J4356">
        <v>-374.69740000000002</v>
      </c>
      <c r="K4356">
        <v>1.1188229999999999</v>
      </c>
      <c r="L4356">
        <v>18.379729999999999</v>
      </c>
      <c r="M4356">
        <v>0.99990849999999998</v>
      </c>
      <c r="N4356">
        <v>-1.0731910000000001E-2</v>
      </c>
      <c r="O4356">
        <v>-8.2602800000000001E-3</v>
      </c>
      <c r="P4356">
        <v>0.98305900000000002</v>
      </c>
      <c r="Q4356">
        <v>0.18327270000000001</v>
      </c>
      <c r="R4356">
        <v>-2.5258670000000002E-3</v>
      </c>
      <c r="S4356">
        <v>3.0704039999999999</v>
      </c>
      <c r="T4356">
        <v>-0.118951399999999</v>
      </c>
      <c r="U4356">
        <v>0.49737550000000003</v>
      </c>
      <c r="V4356">
        <v>-4.67681E-3</v>
      </c>
      <c r="W4356">
        <v>0.19383619999999999</v>
      </c>
      <c r="X4356">
        <v>0.98102279999999997</v>
      </c>
      <c r="Y4356">
        <v>-0.16789409999999999</v>
      </c>
      <c r="Z4356">
        <v>4.3670000000000002E-3</v>
      </c>
      <c r="AA4356">
        <v>0.98579539999999999</v>
      </c>
      <c r="AB4356">
        <v>36</v>
      </c>
      <c r="AC4356">
        <v>28.548499999999901</v>
      </c>
      <c r="AD4356">
        <v>-1.1188255512709999</v>
      </c>
      <c r="AE4356">
        <v>4.6822800000000004</v>
      </c>
      <c r="AF4356">
        <v>-4.9106078207100801</v>
      </c>
      <c r="AG4356">
        <v>-1.1188255512709999</v>
      </c>
      <c r="AH4356">
        <v>28.466271152109499</v>
      </c>
      <c r="AI4356">
        <v>92.218041837454294</v>
      </c>
      <c r="AJ4356">
        <v>99.787547765487304</v>
      </c>
      <c r="AK4356">
        <v>28.908379980351999</v>
      </c>
      <c r="AL4356">
        <v>78.8232547916475</v>
      </c>
      <c r="AM4356">
        <v>90.273142932691698</v>
      </c>
      <c r="AN4356">
        <v>1.00000003955102</v>
      </c>
    </row>
    <row r="4357" spans="1:40" x14ac:dyDescent="0.25">
      <c r="A4357" t="str">
        <f>"20190303162641446"</f>
        <v>20190303162641446</v>
      </c>
      <c r="B4357" t="str">
        <f>"1551601601438230"</f>
        <v>1551601601438230</v>
      </c>
      <c r="C4357" t="s">
        <v>40</v>
      </c>
      <c r="D4357">
        <v>5.1888649999999998</v>
      </c>
      <c r="E4357">
        <v>0.50160969999999905</v>
      </c>
      <c r="F4357" t="s">
        <v>41</v>
      </c>
      <c r="G4357">
        <v>-344.85410000000002</v>
      </c>
      <c r="H4357" s="1">
        <v>-3.0705259999999999E-6</v>
      </c>
      <c r="I4357">
        <v>22.925979999999999</v>
      </c>
      <c r="J4357">
        <v>-374.29880000000003</v>
      </c>
      <c r="K4357">
        <v>1.118762</v>
      </c>
      <c r="L4357">
        <v>18.374079999999999</v>
      </c>
      <c r="M4357">
        <v>0.99988449999999995</v>
      </c>
      <c r="N4357">
        <v>-1.0735E-2</v>
      </c>
      <c r="O4357">
        <v>-1.0765129999999999E-2</v>
      </c>
      <c r="P4357">
        <v>0.98276839999999999</v>
      </c>
      <c r="Q4357">
        <v>0.1845261</v>
      </c>
      <c r="R4357">
        <v>-1.0801750000000001E-2</v>
      </c>
      <c r="S4357">
        <v>3.0744020000000001</v>
      </c>
      <c r="T4357">
        <v>-0.1152591</v>
      </c>
      <c r="U4357">
        <v>0.46835329999999997</v>
      </c>
      <c r="V4357">
        <v>1.173255E-3</v>
      </c>
      <c r="W4357">
        <v>0.19506270000000001</v>
      </c>
      <c r="X4357">
        <v>0.9807901</v>
      </c>
      <c r="Y4357">
        <v>-0.1610897</v>
      </c>
      <c r="Z4357">
        <v>4.1576340000000003E-3</v>
      </c>
      <c r="AA4357">
        <v>0.986931</v>
      </c>
      <c r="AB4357">
        <v>36</v>
      </c>
      <c r="AC4357">
        <v>29.444700000000001</v>
      </c>
      <c r="AD4357">
        <v>-1.1187650705259999</v>
      </c>
      <c r="AE4357">
        <v>4.5518999999999998</v>
      </c>
      <c r="AF4357">
        <v>-4.8617755670695004</v>
      </c>
      <c r="AG4357">
        <v>-1.1187650705259999</v>
      </c>
      <c r="AH4357">
        <v>29.352603015726</v>
      </c>
      <c r="AI4357">
        <v>92.153442504627293</v>
      </c>
      <c r="AJ4357">
        <v>99.404718652115506</v>
      </c>
      <c r="AK4357">
        <v>29.773541958362799</v>
      </c>
      <c r="AL4357">
        <v>78.751613931936504</v>
      </c>
      <c r="AM4357">
        <v>89.931460841898797</v>
      </c>
      <c r="AN4357">
        <v>1.00000002685829</v>
      </c>
    </row>
    <row r="4358" spans="1:40" x14ac:dyDescent="0.25">
      <c r="A4358" t="str">
        <f>"20190303162641467"</f>
        <v>20190303162641467</v>
      </c>
      <c r="B4358" t="str">
        <f>"1551601601458726"</f>
        <v>1551601601458726</v>
      </c>
      <c r="C4358" t="s">
        <v>40</v>
      </c>
      <c r="D4358">
        <v>5.1747160000000001</v>
      </c>
      <c r="E4358">
        <v>0.51752600000000004</v>
      </c>
      <c r="F4358" t="s">
        <v>65</v>
      </c>
      <c r="G4358">
        <v>-279.68</v>
      </c>
      <c r="H4358">
        <v>0.35138059999999899</v>
      </c>
      <c r="I4358">
        <v>16.970359999999999</v>
      </c>
      <c r="J4358">
        <v>-373.95499999999998</v>
      </c>
      <c r="K4358">
        <v>1.1187290000000001</v>
      </c>
      <c r="L4358">
        <v>18.36844</v>
      </c>
      <c r="M4358">
        <v>0.99985919999999895</v>
      </c>
      <c r="N4358">
        <v>-1.0737689999999999E-2</v>
      </c>
      <c r="O4358">
        <v>-1.290438E-2</v>
      </c>
      <c r="P4358">
        <v>0.98249920000000002</v>
      </c>
      <c r="Q4358">
        <v>0.18522859999999999</v>
      </c>
      <c r="R4358">
        <v>-1.9646790000000001E-2</v>
      </c>
      <c r="S4358">
        <v>3.0567929999999999</v>
      </c>
      <c r="T4358">
        <v>-2.4791239999999999E-2</v>
      </c>
      <c r="U4358">
        <v>-4.534912E-2</v>
      </c>
      <c r="V4358">
        <v>7.9382849999999998E-3</v>
      </c>
      <c r="W4358">
        <v>0.1957323</v>
      </c>
      <c r="X4358">
        <v>0.98062519999999997</v>
      </c>
      <c r="Y4358">
        <v>1.9288459999999999E-3</v>
      </c>
      <c r="Z4358" s="1">
        <v>-5.2099509999999999E-5</v>
      </c>
      <c r="AA4358">
        <v>0.99999819999999995</v>
      </c>
      <c r="AB4358">
        <v>36</v>
      </c>
      <c r="AC4358">
        <v>94.274999999999906</v>
      </c>
      <c r="AD4358">
        <v>-0.76734840000000004</v>
      </c>
      <c r="AE4358">
        <v>-1.39808</v>
      </c>
      <c r="AF4358">
        <v>0.181321147917678</v>
      </c>
      <c r="AG4358">
        <v>-0.76734840000000004</v>
      </c>
      <c r="AH4358">
        <v>94.278946988116203</v>
      </c>
      <c r="AI4358">
        <v>90.466326513273899</v>
      </c>
      <c r="AJ4358">
        <v>89.889806536506697</v>
      </c>
      <c r="AK4358">
        <v>94.282244065962402</v>
      </c>
      <c r="AL4358">
        <v>78.712493926319496</v>
      </c>
      <c r="AM4358">
        <v>89.536193550510603</v>
      </c>
      <c r="AN4358">
        <v>0.99999996625353504</v>
      </c>
    </row>
    <row r="4359" spans="1:40" x14ac:dyDescent="0.25">
      <c r="A4359" t="str">
        <f>"20190303162641488"</f>
        <v>20190303162641488</v>
      </c>
      <c r="B4359" t="str">
        <f>"1551601601478245"</f>
        <v>1551601601478245</v>
      </c>
      <c r="C4359" t="s">
        <v>40</v>
      </c>
      <c r="D4359">
        <v>5.0591860000000004</v>
      </c>
      <c r="E4359">
        <v>0.52294989999999997</v>
      </c>
      <c r="F4359" t="s">
        <v>44</v>
      </c>
      <c r="G4359">
        <v>-315.11040000000003</v>
      </c>
      <c r="H4359">
        <v>-0.05</v>
      </c>
      <c r="I4359">
        <v>14.53444</v>
      </c>
      <c r="J4359">
        <v>-373.61739999999998</v>
      </c>
      <c r="K4359">
        <v>1.1187129999999901</v>
      </c>
      <c r="L4359">
        <v>18.362210000000001</v>
      </c>
      <c r="M4359">
        <v>0.99983029999999995</v>
      </c>
      <c r="N4359">
        <v>-1.074014E-2</v>
      </c>
      <c r="O4359">
        <v>-1.4968779999999999E-2</v>
      </c>
      <c r="P4359">
        <v>0.98235550000000005</v>
      </c>
      <c r="Q4359">
        <v>0.18485399999999999</v>
      </c>
      <c r="R4359">
        <v>-2.8407200000000001E-2</v>
      </c>
      <c r="S4359">
        <v>3.0609130000000002</v>
      </c>
      <c r="T4359">
        <v>-6.0793640000000003E-2</v>
      </c>
      <c r="U4359">
        <v>-0.19943240000000001</v>
      </c>
      <c r="V4359">
        <v>1.467662E-2</v>
      </c>
      <c r="W4359">
        <v>0.19532640000000001</v>
      </c>
      <c r="X4359">
        <v>0.98062850000000001</v>
      </c>
      <c r="Y4359">
        <v>5.0056870000000003E-2</v>
      </c>
      <c r="Z4359">
        <v>-6.2937119999999995E-4</v>
      </c>
      <c r="AA4359">
        <v>0.99874620000000003</v>
      </c>
      <c r="AB4359">
        <v>36</v>
      </c>
      <c r="AC4359">
        <v>58.506999999999898</v>
      </c>
      <c r="AD4359">
        <v>-1.1687129999999999</v>
      </c>
      <c r="AE4359">
        <v>-3.8277700000000001</v>
      </c>
      <c r="AF4359">
        <v>2.95033994384448</v>
      </c>
      <c r="AG4359">
        <v>-1.1687129999999999</v>
      </c>
      <c r="AH4359">
        <v>58.534487385453602</v>
      </c>
      <c r="AI4359">
        <v>91.142378889232802</v>
      </c>
      <c r="AJ4359">
        <v>87.114537063182297</v>
      </c>
      <c r="AK4359">
        <v>58.620445318493097</v>
      </c>
      <c r="AL4359">
        <v>78.736208748712698</v>
      </c>
      <c r="AM4359">
        <v>89.142544189932494</v>
      </c>
      <c r="AN4359">
        <v>1.0000000303619101</v>
      </c>
    </row>
    <row r="4360" spans="1:40" x14ac:dyDescent="0.25">
      <c r="A4360" t="str">
        <f>"20190303162641511"</f>
        <v>20190303162641511</v>
      </c>
      <c r="B4360" t="str">
        <f>"1551601601497766"</f>
        <v>1551601601497766</v>
      </c>
      <c r="C4360" t="s">
        <v>40</v>
      </c>
      <c r="D4360">
        <v>5.0510590000000004</v>
      </c>
      <c r="E4360">
        <v>0.5251266</v>
      </c>
      <c r="F4360" t="s">
        <v>41</v>
      </c>
      <c r="G4360">
        <v>-334.6413</v>
      </c>
      <c r="H4360" s="1">
        <v>-3.1103699999999999E-6</v>
      </c>
      <c r="I4360">
        <v>14.94172</v>
      </c>
      <c r="J4360">
        <v>-373.26049999999998</v>
      </c>
      <c r="K4360">
        <v>1.1187129999999901</v>
      </c>
      <c r="L4360">
        <v>18.354890000000001</v>
      </c>
      <c r="M4360">
        <v>0.99979629999999997</v>
      </c>
      <c r="N4360">
        <v>-1.074251E-2</v>
      </c>
      <c r="O4360">
        <v>-1.709403E-2</v>
      </c>
      <c r="P4360">
        <v>0.98219650000000003</v>
      </c>
      <c r="Q4360">
        <v>0.18434130000000001</v>
      </c>
      <c r="R4360">
        <v>-3.6173230000000001E-2</v>
      </c>
      <c r="S4360">
        <v>3.0626530000000001</v>
      </c>
      <c r="T4360">
        <v>-8.7906120000000004E-2</v>
      </c>
      <c r="U4360">
        <v>-0.26876830000000002</v>
      </c>
      <c r="V4360">
        <v>2.0350469999999999E-2</v>
      </c>
      <c r="W4360">
        <v>0.19478809999999999</v>
      </c>
      <c r="X4360">
        <v>0.98063420000000001</v>
      </c>
      <c r="Y4360">
        <v>7.0341559999999997E-2</v>
      </c>
      <c r="Z4360">
        <v>-1.0798260000000001E-3</v>
      </c>
      <c r="AA4360">
        <v>0.99752240000000003</v>
      </c>
      <c r="AB4360">
        <v>36</v>
      </c>
      <c r="AC4360">
        <v>38.6191999999999</v>
      </c>
      <c r="AD4360">
        <v>-1.1187161103699901</v>
      </c>
      <c r="AE4360">
        <v>-3.4131699999999898</v>
      </c>
      <c r="AF4360">
        <v>2.7501855579616299</v>
      </c>
      <c r="AG4360">
        <v>-1.1187161103699901</v>
      </c>
      <c r="AH4360">
        <v>38.639731996171598</v>
      </c>
      <c r="AI4360">
        <v>91.654209302509997</v>
      </c>
      <c r="AJ4360">
        <v>85.928834418980998</v>
      </c>
      <c r="AK4360">
        <v>38.753631250178202</v>
      </c>
      <c r="AL4360">
        <v>78.7676546313713</v>
      </c>
      <c r="AM4360">
        <v>88.8111482318089</v>
      </c>
      <c r="AN4360">
        <v>0.99999998987023497</v>
      </c>
    </row>
    <row r="4361" spans="1:40" x14ac:dyDescent="0.25">
      <c r="A4361" t="str">
        <f>"20190303162641533"</f>
        <v>20190303162641533</v>
      </c>
      <c r="B4361" t="str">
        <f>"1551601601518262"</f>
        <v>1551601601518262</v>
      </c>
      <c r="C4361" t="s">
        <v>40</v>
      </c>
      <c r="D4361">
        <v>5.0048879999999896</v>
      </c>
      <c r="E4361">
        <v>0.52590009999999998</v>
      </c>
      <c r="F4361" t="s">
        <v>41</v>
      </c>
      <c r="G4361">
        <v>-339.95729999999998</v>
      </c>
      <c r="H4361" s="1">
        <v>-1.233287E-6</v>
      </c>
      <c r="I4361">
        <v>14.983429999999901</v>
      </c>
      <c r="J4361">
        <v>-372.88920000000002</v>
      </c>
      <c r="K4361">
        <v>1.1187469999999999</v>
      </c>
      <c r="L4361">
        <v>18.34656</v>
      </c>
      <c r="M4361">
        <v>0.99975760000000002</v>
      </c>
      <c r="N4361">
        <v>-1.074463E-2</v>
      </c>
      <c r="O4361">
        <v>-1.9224140000000001E-2</v>
      </c>
      <c r="P4361">
        <v>0.98182639999999999</v>
      </c>
      <c r="Q4361">
        <v>0.18489900000000001</v>
      </c>
      <c r="R4361">
        <v>-4.2774699999999999E-2</v>
      </c>
      <c r="S4361">
        <v>3.0622250000000002</v>
      </c>
      <c r="T4361">
        <v>-0.10286530000000001</v>
      </c>
      <c r="U4361">
        <v>-0.30999759999999998</v>
      </c>
      <c r="V4361">
        <v>2.4851930000000001E-2</v>
      </c>
      <c r="W4361">
        <v>0.195325</v>
      </c>
      <c r="X4361">
        <v>0.98042359999999995</v>
      </c>
      <c r="Y4361">
        <v>8.1516669999999999E-2</v>
      </c>
      <c r="Z4361">
        <v>-1.3667900000000001E-3</v>
      </c>
      <c r="AA4361">
        <v>0.99667099999999997</v>
      </c>
      <c r="AB4361">
        <v>36</v>
      </c>
      <c r="AC4361">
        <v>32.931899999999999</v>
      </c>
      <c r="AD4361">
        <v>-1.118748233287</v>
      </c>
      <c r="AE4361">
        <v>-3.36313</v>
      </c>
      <c r="AF4361">
        <v>2.7262706773534502</v>
      </c>
      <c r="AG4361">
        <v>-1.118748233287</v>
      </c>
      <c r="AH4361">
        <v>32.952833201674302</v>
      </c>
      <c r="AI4361">
        <v>91.937828584228797</v>
      </c>
      <c r="AJ4361">
        <v>85.270547105655297</v>
      </c>
      <c r="AK4361">
        <v>33.084337161760502</v>
      </c>
      <c r="AL4361">
        <v>78.736289675304704</v>
      </c>
      <c r="AM4361">
        <v>88.547968601224198</v>
      </c>
      <c r="AN4361">
        <v>0.99999995474334102</v>
      </c>
    </row>
    <row r="4362" spans="1:40" x14ac:dyDescent="0.25">
      <c r="A4362" t="str">
        <f>"20190303162641559"</f>
        <v>20190303162641559</v>
      </c>
      <c r="B4362" t="str">
        <f>"1551601601548518"</f>
        <v>1551601601548518</v>
      </c>
      <c r="C4362" t="s">
        <v>40</v>
      </c>
      <c r="D4362">
        <v>5.0174099999999999</v>
      </c>
      <c r="E4362">
        <v>0.52560850000000003</v>
      </c>
      <c r="F4362" t="s">
        <v>41</v>
      </c>
      <c r="G4362">
        <v>-340.8938</v>
      </c>
      <c r="H4362" s="1">
        <v>-4.7382309999999996E-6</v>
      </c>
      <c r="I4362">
        <v>14.827780000000001</v>
      </c>
      <c r="J4362">
        <v>-372.48289999999997</v>
      </c>
      <c r="K4362">
        <v>1.118816</v>
      </c>
      <c r="L4362">
        <v>18.336639999999999</v>
      </c>
      <c r="M4362">
        <v>0.9997125</v>
      </c>
      <c r="N4362">
        <v>-1.074665E-2</v>
      </c>
      <c r="O4362">
        <v>-2.143782E-2</v>
      </c>
      <c r="P4362">
        <v>0.98114380000000001</v>
      </c>
      <c r="Q4362">
        <v>0.18692590000000001</v>
      </c>
      <c r="R4362">
        <v>-4.9150249999999999E-2</v>
      </c>
      <c r="S4362">
        <v>3.0610659999999998</v>
      </c>
      <c r="T4362">
        <v>-0.1070333</v>
      </c>
      <c r="U4362">
        <v>-0.33663939999999998</v>
      </c>
      <c r="V4362">
        <v>2.9045100000000001E-2</v>
      </c>
      <c r="W4362">
        <v>0.19733220000000001</v>
      </c>
      <c r="X4362">
        <v>0.97990630000000001</v>
      </c>
      <c r="Y4362">
        <v>8.7916480000000005E-2</v>
      </c>
      <c r="Z4362">
        <v>-1.488863E-3</v>
      </c>
      <c r="AA4362">
        <v>0.99612670000000003</v>
      </c>
      <c r="AB4362">
        <v>36</v>
      </c>
      <c r="AC4362">
        <v>31.589099999999899</v>
      </c>
      <c r="AD4362">
        <v>-1.118820738231</v>
      </c>
      <c r="AE4362">
        <v>-3.5088599999999999</v>
      </c>
      <c r="AF4362">
        <v>2.8273095808127802</v>
      </c>
      <c r="AG4362">
        <v>-1.118820738231</v>
      </c>
      <c r="AH4362">
        <v>31.61788708628</v>
      </c>
      <c r="AI4362">
        <v>92.018557507525102</v>
      </c>
      <c r="AJ4362">
        <v>84.890133158736404</v>
      </c>
      <c r="AK4362">
        <v>31.763756438916399</v>
      </c>
      <c r="AL4362">
        <v>78.619003302159001</v>
      </c>
      <c r="AM4362">
        <v>88.302210587753805</v>
      </c>
      <c r="AN4362">
        <v>0.99999998588526895</v>
      </c>
    </row>
    <row r="4363" spans="1:40" x14ac:dyDescent="0.25">
      <c r="A4363" t="str">
        <f>"20190303162641581"</f>
        <v>20190303162641581</v>
      </c>
      <c r="B4363" t="str">
        <f>"1551601601568039"</f>
        <v>1551601601568039</v>
      </c>
      <c r="C4363" t="s">
        <v>40</v>
      </c>
      <c r="D4363">
        <v>4.9807990000000002</v>
      </c>
      <c r="E4363">
        <v>0.52496039999999999</v>
      </c>
      <c r="F4363" t="s">
        <v>41</v>
      </c>
      <c r="G4363">
        <v>-340.29050000000001</v>
      </c>
      <c r="H4363" s="1">
        <v>-5.032137E-6</v>
      </c>
      <c r="I4363">
        <v>14.63</v>
      </c>
      <c r="J4363">
        <v>-372.11869999999999</v>
      </c>
      <c r="K4363">
        <v>1.1188979999999999</v>
      </c>
      <c r="L4363">
        <v>18.327059999999999</v>
      </c>
      <c r="M4363">
        <v>0.99967119999999998</v>
      </c>
      <c r="N4363">
        <v>-1.074807E-2</v>
      </c>
      <c r="O4363">
        <v>-2.3278030000000002E-2</v>
      </c>
      <c r="P4363">
        <v>0.9803113</v>
      </c>
      <c r="Q4363">
        <v>0.1892789</v>
      </c>
      <c r="R4363">
        <v>-5.6243029999999999E-2</v>
      </c>
      <c r="S4363">
        <v>3.0603030000000002</v>
      </c>
      <c r="T4363">
        <v>-0.1063583</v>
      </c>
      <c r="U4363">
        <v>-0.352356</v>
      </c>
      <c r="V4363">
        <v>3.4319120000000002E-2</v>
      </c>
      <c r="W4363">
        <v>0.19966059999999999</v>
      </c>
      <c r="X4363">
        <v>0.97926400000000002</v>
      </c>
      <c r="Y4363">
        <v>9.1159680000000007E-2</v>
      </c>
      <c r="Z4363">
        <v>-1.51376299999999E-3</v>
      </c>
      <c r="AA4363">
        <v>0.99583509999999997</v>
      </c>
      <c r="AB4363">
        <v>36</v>
      </c>
      <c r="AC4363">
        <v>31.828199999999899</v>
      </c>
      <c r="AD4363">
        <v>-1.1189030321369999</v>
      </c>
      <c r="AE4363">
        <v>-3.6970599999999898</v>
      </c>
      <c r="AF4363">
        <v>2.9515184278362598</v>
      </c>
      <c r="AG4363">
        <v>-1.1189030321369999</v>
      </c>
      <c r="AH4363">
        <v>31.866781940247598</v>
      </c>
      <c r="AI4363">
        <v>92.002373766981705</v>
      </c>
      <c r="AJ4363">
        <v>84.708331362026897</v>
      </c>
      <c r="AK4363">
        <v>32.022729369191403</v>
      </c>
      <c r="AL4363">
        <v>78.482888258757001</v>
      </c>
      <c r="AM4363">
        <v>87.992843299936496</v>
      </c>
      <c r="AN4363">
        <v>1.00000006944296</v>
      </c>
    </row>
    <row r="4364" spans="1:40" x14ac:dyDescent="0.25">
      <c r="A4364" t="str">
        <f>"20190303162641601"</f>
        <v>20190303162641601</v>
      </c>
      <c r="B4364" t="str">
        <f>"1551601601588535"</f>
        <v>1551601601588535</v>
      </c>
      <c r="C4364" t="s">
        <v>40</v>
      </c>
      <c r="D4364">
        <v>4.9586800000000002</v>
      </c>
      <c r="E4364">
        <v>0.52414300000000003</v>
      </c>
      <c r="F4364" t="s">
        <v>41</v>
      </c>
      <c r="G4364">
        <v>-338.88650000000001</v>
      </c>
      <c r="H4364" s="1">
        <v>-1.7598230000000001E-6</v>
      </c>
      <c r="I4364">
        <v>14.37401</v>
      </c>
      <c r="J4364">
        <v>-371.80059999999997</v>
      </c>
      <c r="K4364">
        <v>1.1189720000000001</v>
      </c>
      <c r="L4364">
        <v>18.318239999999999</v>
      </c>
      <c r="M4364">
        <v>0.99963480000000005</v>
      </c>
      <c r="N4364">
        <v>-1.0749430000000001E-2</v>
      </c>
      <c r="O4364">
        <v>-2.479686E-2</v>
      </c>
      <c r="P4364">
        <v>0.97984919999999998</v>
      </c>
      <c r="Q4364">
        <v>0.18961810000000001</v>
      </c>
      <c r="R4364">
        <v>-6.2776799999999994E-2</v>
      </c>
      <c r="S4364">
        <v>3.0592039999999998</v>
      </c>
      <c r="T4364">
        <v>-0.1030008</v>
      </c>
      <c r="U4364">
        <v>-0.36389159999999998</v>
      </c>
      <c r="V4364">
        <v>3.9335660000000001E-2</v>
      </c>
      <c r="W4364">
        <v>0.19998299999999999</v>
      </c>
      <c r="X4364">
        <v>0.97900940000000003</v>
      </c>
      <c r="Y4364">
        <v>9.3393459999999998E-2</v>
      </c>
      <c r="Z4364">
        <v>-1.5045410000000001E-3</v>
      </c>
      <c r="AA4364">
        <v>0.99562810000000002</v>
      </c>
      <c r="AB4364">
        <v>36</v>
      </c>
      <c r="AC4364">
        <v>32.914099999999898</v>
      </c>
      <c r="AD4364">
        <v>-1.1189737598229901</v>
      </c>
      <c r="AE4364">
        <v>-3.9442299999999899</v>
      </c>
      <c r="AF4364">
        <v>3.1232449455843301</v>
      </c>
      <c r="AG4364">
        <v>-1.1189737598229901</v>
      </c>
      <c r="AH4364">
        <v>32.964228173559597</v>
      </c>
      <c r="AI4364">
        <v>91.935502647781107</v>
      </c>
      <c r="AJ4364">
        <v>84.587582928989903</v>
      </c>
      <c r="AK4364">
        <v>33.130757618017</v>
      </c>
      <c r="AL4364">
        <v>78.464034492516802</v>
      </c>
      <c r="AM4364">
        <v>87.699148055261105</v>
      </c>
      <c r="AN4364">
        <v>0.99999994986249596</v>
      </c>
    </row>
    <row r="4365" spans="1:40" x14ac:dyDescent="0.25">
      <c r="A4365" t="str">
        <f>"20190303162641622"</f>
        <v>20190303162641622</v>
      </c>
      <c r="B4365" t="str">
        <f>"1551601601617814"</f>
        <v>1551601601617814</v>
      </c>
      <c r="C4365" t="s">
        <v>40</v>
      </c>
      <c r="D4365">
        <v>4.9020510000000002</v>
      </c>
      <c r="E4365">
        <v>0.52295670000000005</v>
      </c>
      <c r="F4365" t="s">
        <v>41</v>
      </c>
      <c r="G4365">
        <v>-339.23540000000003</v>
      </c>
      <c r="H4365" s="1">
        <v>-1.6506290000000001E-6</v>
      </c>
      <c r="I4365">
        <v>14.33813</v>
      </c>
      <c r="J4365">
        <v>-371.4418</v>
      </c>
      <c r="K4365">
        <v>1.119057</v>
      </c>
      <c r="L4365">
        <v>18.307829999999999</v>
      </c>
      <c r="M4365">
        <v>0.99959390000000004</v>
      </c>
      <c r="N4365">
        <v>-1.075109E-2</v>
      </c>
      <c r="O4365">
        <v>-2.6391029999999999E-2</v>
      </c>
      <c r="P4365">
        <v>0.9792033</v>
      </c>
      <c r="Q4365">
        <v>0.1907343</v>
      </c>
      <c r="R4365">
        <v>-6.914853E-2</v>
      </c>
      <c r="S4365">
        <v>3.0580750000000001</v>
      </c>
      <c r="T4365">
        <v>-0.10507850000000001</v>
      </c>
      <c r="U4365">
        <v>-0.37374879999999999</v>
      </c>
      <c r="V4365">
        <v>4.411843E-2</v>
      </c>
      <c r="W4365">
        <v>0.20108500000000001</v>
      </c>
      <c r="X4365">
        <v>0.9785798</v>
      </c>
      <c r="Y4365">
        <v>9.5008960000000003E-2</v>
      </c>
      <c r="Z4365">
        <v>-1.51862E-3</v>
      </c>
      <c r="AA4365">
        <v>0.9954752</v>
      </c>
      <c r="AB4365">
        <v>36</v>
      </c>
      <c r="AC4365">
        <v>32.206399999999903</v>
      </c>
      <c r="AD4365">
        <v>-1.1190586506289999</v>
      </c>
      <c r="AE4365">
        <v>-3.9697</v>
      </c>
      <c r="AF4365">
        <v>3.1146039589460899</v>
      </c>
      <c r="AG4365">
        <v>-1.1190586506289999</v>
      </c>
      <c r="AH4365">
        <v>32.2615845471189</v>
      </c>
      <c r="AI4365">
        <v>91.977437567174405</v>
      </c>
      <c r="AJ4365">
        <v>84.485629746041596</v>
      </c>
      <c r="AK4365">
        <v>32.430894029852603</v>
      </c>
      <c r="AL4365">
        <v>78.399586178277303</v>
      </c>
      <c r="AM4365">
        <v>87.418616987855501</v>
      </c>
      <c r="AN4365">
        <v>1.0000000190293501</v>
      </c>
    </row>
    <row r="4366" spans="1:40" x14ac:dyDescent="0.25">
      <c r="A4366" t="str">
        <f>"20190303162641645"</f>
        <v>20190303162641645</v>
      </c>
      <c r="B4366" t="str">
        <f>"1551601601638310"</f>
        <v>1551601601638310</v>
      </c>
      <c r="C4366" t="s">
        <v>40</v>
      </c>
      <c r="D4366">
        <v>4.8872479999999996</v>
      </c>
      <c r="E4366">
        <v>0.5223681</v>
      </c>
      <c r="F4366" t="s">
        <v>41</v>
      </c>
      <c r="G4366">
        <v>-337.32459999999998</v>
      </c>
      <c r="H4366" s="1">
        <v>-2.3701029999999998E-6</v>
      </c>
      <c r="I4366">
        <v>14.07794</v>
      </c>
      <c r="J4366">
        <v>-371.07279999999997</v>
      </c>
      <c r="K4366">
        <v>1.1191819999999999</v>
      </c>
      <c r="L4366">
        <v>18.296569999999999</v>
      </c>
      <c r="M4366">
        <v>0.99955300000000002</v>
      </c>
      <c r="N4366">
        <v>-1.0752869999999999E-2</v>
      </c>
      <c r="O4366">
        <v>-2.7898070000000001E-2</v>
      </c>
      <c r="P4366">
        <v>0.97759879999999999</v>
      </c>
      <c r="Q4366">
        <v>0.19618620000000001</v>
      </c>
      <c r="R4366">
        <v>-7.623328E-2</v>
      </c>
      <c r="S4366">
        <v>3.0564580000000001</v>
      </c>
      <c r="T4366">
        <v>-0.1002533</v>
      </c>
      <c r="U4366">
        <v>-0.37893680000000002</v>
      </c>
      <c r="V4366">
        <v>4.9740270000000003E-2</v>
      </c>
      <c r="W4366">
        <v>0.20651230000000001</v>
      </c>
      <c r="X4366">
        <v>0.97717889999999996</v>
      </c>
      <c r="Y4366">
        <v>9.5241000000000006E-2</v>
      </c>
      <c r="Z4366">
        <v>-1.4579079999999999E-3</v>
      </c>
      <c r="AA4366">
        <v>0.99545320000000004</v>
      </c>
      <c r="AB4366">
        <v>36</v>
      </c>
      <c r="AC4366">
        <v>33.748199999999997</v>
      </c>
      <c r="AD4366">
        <v>-1.119184370103</v>
      </c>
      <c r="AE4366">
        <v>-4.2186300000000001</v>
      </c>
      <c r="AF4366">
        <v>3.27188082774616</v>
      </c>
      <c r="AG4366">
        <v>-1.119184370103</v>
      </c>
      <c r="AH4366">
        <v>33.8161433939297</v>
      </c>
      <c r="AI4366">
        <v>91.886773613153295</v>
      </c>
      <c r="AJ4366">
        <v>84.473549568242206</v>
      </c>
      <c r="AK4366">
        <v>33.9924893446195</v>
      </c>
      <c r="AL4366">
        <v>78.081958170790003</v>
      </c>
      <c r="AM4366">
        <v>87.086050478469602</v>
      </c>
      <c r="AN4366">
        <v>1.00000001355808</v>
      </c>
    </row>
    <row r="4367" spans="1:40" x14ac:dyDescent="0.25">
      <c r="A4367" t="str">
        <f>"20190303162641668"</f>
        <v>20190303162641668</v>
      </c>
      <c r="B4367" t="str">
        <f>"1551601601657830"</f>
        <v>1551601601657830</v>
      </c>
      <c r="C4367" t="s">
        <v>40</v>
      </c>
      <c r="D4367">
        <v>4.817539</v>
      </c>
      <c r="E4367">
        <v>0.52160949999999995</v>
      </c>
      <c r="F4367" t="s">
        <v>41</v>
      </c>
      <c r="G4367">
        <v>-330.95549999999997</v>
      </c>
      <c r="H4367" s="1">
        <v>-5.0052960000000001E-6</v>
      </c>
      <c r="I4367">
        <v>13.172890000000001</v>
      </c>
      <c r="J4367">
        <v>-370.6961</v>
      </c>
      <c r="K4367">
        <v>1.119305</v>
      </c>
      <c r="L4367">
        <v>18.284669999999998</v>
      </c>
      <c r="M4367">
        <v>0.99951259999999997</v>
      </c>
      <c r="N4367">
        <v>-1.0754909999999999E-2</v>
      </c>
      <c r="O4367">
        <v>-2.9308649999999999E-2</v>
      </c>
      <c r="P4367">
        <v>0.9752942</v>
      </c>
      <c r="Q4367">
        <v>0.2043654</v>
      </c>
      <c r="R4367">
        <v>-8.3880430000000006E-2</v>
      </c>
      <c r="S4367">
        <v>3.05545</v>
      </c>
      <c r="T4367">
        <v>-8.52406E-2</v>
      </c>
      <c r="U4367">
        <v>-0.39022829999999997</v>
      </c>
      <c r="V4367">
        <v>5.6049120000000001E-2</v>
      </c>
      <c r="W4367">
        <v>0.21465999999999999</v>
      </c>
      <c r="X4367">
        <v>0.97507920000000003</v>
      </c>
      <c r="Y4367">
        <v>9.7510169999999993E-2</v>
      </c>
      <c r="Z4367">
        <v>-1.381406E-3</v>
      </c>
      <c r="AA4367">
        <v>0.99523360000000005</v>
      </c>
      <c r="AB4367">
        <v>36</v>
      </c>
      <c r="AC4367">
        <v>39.740600000000001</v>
      </c>
      <c r="AD4367">
        <v>-1.1193100052960001</v>
      </c>
      <c r="AE4367">
        <v>-5.1117800000000004</v>
      </c>
      <c r="AF4367">
        <v>3.94169711374118</v>
      </c>
      <c r="AG4367">
        <v>-1.1193100052960001</v>
      </c>
      <c r="AH4367">
        <v>39.842261824215797</v>
      </c>
      <c r="AI4367">
        <v>91.601403951603501</v>
      </c>
      <c r="AJ4367">
        <v>84.349967283530901</v>
      </c>
      <c r="AK4367">
        <v>40.052411391747697</v>
      </c>
      <c r="AL4367">
        <v>77.604418131391199</v>
      </c>
      <c r="AM4367">
        <v>86.710166646533494</v>
      </c>
      <c r="AN4367">
        <v>0.99999993286270505</v>
      </c>
    </row>
    <row r="4368" spans="1:40" x14ac:dyDescent="0.25">
      <c r="A4368" t="str">
        <f>"20190303162641688"</f>
        <v>20190303162641688</v>
      </c>
      <c r="B4368" t="str">
        <f>"1551601601678326"</f>
        <v>1551601601678326</v>
      </c>
      <c r="C4368" t="s">
        <v>40</v>
      </c>
      <c r="D4368">
        <v>4.8755980000000001</v>
      </c>
      <c r="E4368">
        <v>0.52094979999999902</v>
      </c>
      <c r="F4368" t="s">
        <v>44</v>
      </c>
      <c r="G4368">
        <v>-311.93090000000001</v>
      </c>
      <c r="H4368">
        <v>-0.05</v>
      </c>
      <c r="I4368">
        <v>10.52159</v>
      </c>
      <c r="J4368">
        <v>-370.38639999999998</v>
      </c>
      <c r="K4368">
        <v>1.1193949999999999</v>
      </c>
      <c r="L4368">
        <v>18.274539999999998</v>
      </c>
      <c r="M4368">
        <v>0.99948049999999999</v>
      </c>
      <c r="N4368">
        <v>-1.075654E-2</v>
      </c>
      <c r="O4368">
        <v>-3.0383810000000001E-2</v>
      </c>
      <c r="P4368">
        <v>0.97359019999999996</v>
      </c>
      <c r="Q4368">
        <v>0.2097802</v>
      </c>
      <c r="R4368">
        <v>-9.0082350000000005E-2</v>
      </c>
      <c r="S4368">
        <v>3.0539860000000001</v>
      </c>
      <c r="T4368">
        <v>-6.0768009999999997E-2</v>
      </c>
      <c r="U4368">
        <v>-0.40344239999999998</v>
      </c>
      <c r="V4368">
        <v>6.122565E-2</v>
      </c>
      <c r="W4368">
        <v>0.22005259999999999</v>
      </c>
      <c r="X4368">
        <v>0.97356469999999995</v>
      </c>
      <c r="Y4368">
        <v>0.1007523</v>
      </c>
      <c r="Z4368">
        <v>-1.266339E-3</v>
      </c>
      <c r="AA4368">
        <v>0.99491070000000004</v>
      </c>
      <c r="AB4368">
        <v>36</v>
      </c>
      <c r="AC4368">
        <v>58.455499999999901</v>
      </c>
      <c r="AD4368">
        <v>-1.169395</v>
      </c>
      <c r="AE4368">
        <v>-7.7529499999999896</v>
      </c>
      <c r="AF4368">
        <v>5.9708184735439804</v>
      </c>
      <c r="AG4368">
        <v>-1.169395</v>
      </c>
      <c r="AH4368">
        <v>58.641023899073602</v>
      </c>
      <c r="AI4368">
        <v>91.136542595094895</v>
      </c>
      <c r="AJ4368">
        <v>84.186189946511206</v>
      </c>
      <c r="AK4368">
        <v>58.955812621333301</v>
      </c>
      <c r="AL4368">
        <v>77.2878772271565</v>
      </c>
      <c r="AM4368">
        <v>86.401515266962903</v>
      </c>
      <c r="AN4368">
        <v>0.99999997603538504</v>
      </c>
    </row>
    <row r="4369" spans="1:40" x14ac:dyDescent="0.25">
      <c r="A4369" t="str">
        <f>"20190303162641710"</f>
        <v>20190303162641710</v>
      </c>
      <c r="B4369" t="str">
        <f>"1551601601698822"</f>
        <v>1551601601698822</v>
      </c>
      <c r="C4369" t="s">
        <v>40</v>
      </c>
      <c r="D4369">
        <v>4.8547739999999999</v>
      </c>
      <c r="E4369">
        <v>0.52014959999999999</v>
      </c>
      <c r="F4369" t="s">
        <v>44</v>
      </c>
      <c r="G4369">
        <v>-288.83109999999999</v>
      </c>
      <c r="H4369">
        <v>-0.05</v>
      </c>
      <c r="I4369">
        <v>7.1663670000000002</v>
      </c>
      <c r="J4369">
        <v>-370.00990000000002</v>
      </c>
      <c r="K4369">
        <v>1.11948799999999</v>
      </c>
      <c r="L4369">
        <v>18.261869999999998</v>
      </c>
      <c r="M4369">
        <v>0.99944259999999996</v>
      </c>
      <c r="N4369">
        <v>-1.0758469999999999E-2</v>
      </c>
      <c r="O4369">
        <v>-3.1606549999999997E-2</v>
      </c>
      <c r="P4369">
        <v>0.97238959999999997</v>
      </c>
      <c r="Q4369">
        <v>0.21312120000000001</v>
      </c>
      <c r="R4369">
        <v>-9.5069349999999997E-2</v>
      </c>
      <c r="S4369">
        <v>3.0523380000000002</v>
      </c>
      <c r="T4369">
        <v>-4.37665E-2</v>
      </c>
      <c r="U4369">
        <v>-0.41574100000000003</v>
      </c>
      <c r="V4369">
        <v>6.5017820000000004E-2</v>
      </c>
      <c r="W4369">
        <v>0.22338540000000001</v>
      </c>
      <c r="X4369">
        <v>0.97255930000000002</v>
      </c>
      <c r="Y4369">
        <v>0.1035532</v>
      </c>
      <c r="Z4369">
        <v>-1.1865350000000001E-3</v>
      </c>
      <c r="AA4369">
        <v>0.99462320000000004</v>
      </c>
      <c r="AB4369">
        <v>36</v>
      </c>
      <c r="AC4369">
        <v>81.178799999999995</v>
      </c>
      <c r="AD4369">
        <v>-1.1694880000000001</v>
      </c>
      <c r="AE4369">
        <v>-11.0955029999999</v>
      </c>
      <c r="AF4369">
        <v>8.5222926092032694</v>
      </c>
      <c r="AG4369">
        <v>-1.1694880000000001</v>
      </c>
      <c r="AH4369">
        <v>81.472349397237906</v>
      </c>
      <c r="AI4369">
        <v>90.817928916752905</v>
      </c>
      <c r="AJ4369">
        <v>84.028378221810101</v>
      </c>
      <c r="AK4369">
        <v>81.925215225867007</v>
      </c>
      <c r="AL4369">
        <v>77.092047620166198</v>
      </c>
      <c r="AM4369">
        <v>86.1753367089932</v>
      </c>
      <c r="AN4369">
        <v>0.99999997293359999</v>
      </c>
    </row>
    <row r="4370" spans="1:40" x14ac:dyDescent="0.25">
      <c r="A4370" t="str">
        <f>"20190303162641734"</f>
        <v>20190303162641734</v>
      </c>
      <c r="B4370" t="str">
        <f>"1551601601728103"</f>
        <v>1551601601728103</v>
      </c>
      <c r="C4370" t="s">
        <v>40</v>
      </c>
      <c r="D4370">
        <v>4.9593509999999998</v>
      </c>
      <c r="E4370">
        <v>0.50301809999999902</v>
      </c>
      <c r="F4370" t="s">
        <v>44</v>
      </c>
      <c r="G4370">
        <v>-269.61419999999998</v>
      </c>
      <c r="H4370">
        <v>-0.05</v>
      </c>
      <c r="I4370">
        <v>4.2426760000000003</v>
      </c>
      <c r="J4370">
        <v>-369.62630000000001</v>
      </c>
      <c r="K4370">
        <v>1.1195679999999999</v>
      </c>
      <c r="L4370">
        <v>18.248539999999998</v>
      </c>
      <c r="M4370">
        <v>0.99940469999999904</v>
      </c>
      <c r="N4370">
        <v>-1.0760550000000001E-2</v>
      </c>
      <c r="O4370">
        <v>-3.2783149999999997E-2</v>
      </c>
      <c r="P4370">
        <v>0.97169609999999995</v>
      </c>
      <c r="Q4370">
        <v>0.2144431</v>
      </c>
      <c r="R4370">
        <v>-9.9101320000000007E-2</v>
      </c>
      <c r="S4370">
        <v>3.0513309999999998</v>
      </c>
      <c r="T4370">
        <v>-3.5544279999999998E-2</v>
      </c>
      <c r="U4370">
        <v>-0.42608639999999998</v>
      </c>
      <c r="V4370">
        <v>6.7885899999999999E-2</v>
      </c>
      <c r="W4370">
        <v>0.22470709999999999</v>
      </c>
      <c r="X4370">
        <v>0.9720588</v>
      </c>
      <c r="Y4370">
        <v>0.10573970000000001</v>
      </c>
      <c r="Z4370">
        <v>-1.1561449999999999E-3</v>
      </c>
      <c r="AA4370">
        <v>0.99439319999999998</v>
      </c>
      <c r="AB4370">
        <v>36</v>
      </c>
      <c r="AC4370">
        <v>100.0121</v>
      </c>
      <c r="AD4370">
        <v>-1.1695679999999999</v>
      </c>
      <c r="AE4370">
        <v>-14.005864000000001</v>
      </c>
      <c r="AF4370">
        <v>10.7179961999105</v>
      </c>
      <c r="AG4370">
        <v>-1.1695679999999999</v>
      </c>
      <c r="AH4370">
        <v>100.40405221877</v>
      </c>
      <c r="AI4370">
        <v>90.663616213794995</v>
      </c>
      <c r="AJ4370">
        <v>83.906827898289194</v>
      </c>
      <c r="AK4370">
        <v>100.98127070797599</v>
      </c>
      <c r="AL4370">
        <v>77.014345380839202</v>
      </c>
      <c r="AM4370">
        <v>86.005107371149904</v>
      </c>
      <c r="AN4370">
        <v>1.0000000434333201</v>
      </c>
    </row>
    <row r="4371" spans="1:40" x14ac:dyDescent="0.25">
      <c r="A4371" t="str">
        <f>"20190303162641759"</f>
        <v>20190303162641759</v>
      </c>
      <c r="B4371" t="str">
        <f>"1551601601748598"</f>
        <v>1551601601748598</v>
      </c>
      <c r="C4371" t="s">
        <v>40</v>
      </c>
      <c r="D4371">
        <v>4.8089870000000001</v>
      </c>
      <c r="E4371">
        <v>0.50123479999999998</v>
      </c>
      <c r="F4371" t="s">
        <v>44</v>
      </c>
      <c r="G4371">
        <v>-283.73869999999999</v>
      </c>
      <c r="H4371">
        <v>-0.05</v>
      </c>
      <c r="I4371">
        <v>9.6956790000000002</v>
      </c>
      <c r="J4371">
        <v>-369.23950000000002</v>
      </c>
      <c r="K4371">
        <v>1.1196269999999999</v>
      </c>
      <c r="L4371">
        <v>18.234739999999999</v>
      </c>
      <c r="M4371">
        <v>0.99936659999999999</v>
      </c>
      <c r="N4371">
        <v>-1.076274E-2</v>
      </c>
      <c r="O4371">
        <v>-3.3921430000000002E-2</v>
      </c>
      <c r="P4371">
        <v>0.97147240000000001</v>
      </c>
      <c r="Q4371">
        <v>0.21401020000000001</v>
      </c>
      <c r="R4371">
        <v>-0.10218240000000001</v>
      </c>
      <c r="S4371">
        <v>3.0654910000000002</v>
      </c>
      <c r="T4371">
        <v>-4.1744110000000001E-2</v>
      </c>
      <c r="U4371">
        <v>-0.30526730000000002</v>
      </c>
      <c r="V4371">
        <v>6.9829550000000004E-2</v>
      </c>
      <c r="W4371">
        <v>0.22428000000000001</v>
      </c>
      <c r="X4371">
        <v>0.97201970000000004</v>
      </c>
      <c r="Y4371">
        <v>6.526767E-2</v>
      </c>
      <c r="Z4371">
        <v>-6.9930649999999997E-4</v>
      </c>
      <c r="AA4371">
        <v>0.99786750000000002</v>
      </c>
      <c r="AB4371">
        <v>36</v>
      </c>
      <c r="AC4371">
        <v>85.500799999999998</v>
      </c>
      <c r="AD4371">
        <v>-1.169627</v>
      </c>
      <c r="AE4371">
        <v>-8.5390609999999896</v>
      </c>
      <c r="AF4371">
        <v>5.6326253232480203</v>
      </c>
      <c r="AG4371">
        <v>-1.169627</v>
      </c>
      <c r="AH4371">
        <v>85.725378978311397</v>
      </c>
      <c r="AI4371">
        <v>90.780006678488803</v>
      </c>
      <c r="AJ4371">
        <v>86.240758136797893</v>
      </c>
      <c r="AK4371">
        <v>85.918188390621594</v>
      </c>
      <c r="AL4371">
        <v>77.039456682871304</v>
      </c>
      <c r="AM4371">
        <v>85.8909506930394</v>
      </c>
      <c r="AN4371">
        <v>0.99999999082064595</v>
      </c>
    </row>
    <row r="4372" spans="1:40" x14ac:dyDescent="0.25">
      <c r="A4372" t="str">
        <f>"20190303162641779"</f>
        <v>20190303162641779</v>
      </c>
      <c r="B4372" t="str">
        <f>"1551601601768118"</f>
        <v>1551601601768118</v>
      </c>
      <c r="C4372" t="s">
        <v>40</v>
      </c>
      <c r="D4372">
        <v>4.9529350000000001</v>
      </c>
      <c r="E4372">
        <v>0.50086330000000001</v>
      </c>
      <c r="F4372" t="s">
        <v>44</v>
      </c>
      <c r="G4372">
        <v>-276.8134</v>
      </c>
      <c r="H4372">
        <v>-0.05</v>
      </c>
      <c r="I4372">
        <v>9.1236420000000003</v>
      </c>
      <c r="J4372">
        <v>-368.90370000000001</v>
      </c>
      <c r="K4372">
        <v>1.119651</v>
      </c>
      <c r="L4372">
        <v>18.222380000000001</v>
      </c>
      <c r="M4372">
        <v>0.99933369999999999</v>
      </c>
      <c r="N4372">
        <v>-1.0764950000000001E-2</v>
      </c>
      <c r="O4372">
        <v>-3.488053E-2</v>
      </c>
      <c r="P4372">
        <v>0.97151080000000001</v>
      </c>
      <c r="Q4372">
        <v>0.21259710000000001</v>
      </c>
      <c r="R4372">
        <v>-0.1047358</v>
      </c>
      <c r="S4372">
        <v>3.0648499999999999</v>
      </c>
      <c r="T4372">
        <v>-3.8784859999999997E-2</v>
      </c>
      <c r="U4372">
        <v>-0.302124</v>
      </c>
      <c r="V4372">
        <v>7.1419979999999994E-2</v>
      </c>
      <c r="W4372">
        <v>0.22287319999999999</v>
      </c>
      <c r="X4372">
        <v>0.97222770000000003</v>
      </c>
      <c r="Y4372">
        <v>6.3318369999999999E-2</v>
      </c>
      <c r="Z4372">
        <v>-6.7606529999999999E-4</v>
      </c>
      <c r="AA4372">
        <v>0.99799320000000002</v>
      </c>
      <c r="AB4372">
        <v>36</v>
      </c>
      <c r="AC4372">
        <v>92.090299999999999</v>
      </c>
      <c r="AD4372">
        <v>-1.169651</v>
      </c>
      <c r="AE4372">
        <v>-9.0987379999999902</v>
      </c>
      <c r="AF4372">
        <v>5.8799173112324699</v>
      </c>
      <c r="AG4372">
        <v>-1.169651</v>
      </c>
      <c r="AH4372">
        <v>92.336891047533996</v>
      </c>
      <c r="AI4372">
        <v>90.724272163375403</v>
      </c>
      <c r="AJ4372">
        <v>86.356383926359797</v>
      </c>
      <c r="AK4372">
        <v>92.531307995579994</v>
      </c>
      <c r="AL4372">
        <v>77.122153730884506</v>
      </c>
      <c r="AM4372">
        <v>85.798590827995696</v>
      </c>
      <c r="AN4372">
        <v>0.99999998873436502</v>
      </c>
    </row>
    <row r="4373" spans="1:40" x14ac:dyDescent="0.25">
      <c r="A4373" t="str">
        <f>"20190303162641801"</f>
        <v>20190303162641801</v>
      </c>
      <c r="B4373" t="str">
        <f>"1551601601788614"</f>
        <v>1551601601788614</v>
      </c>
      <c r="C4373" t="s">
        <v>40</v>
      </c>
      <c r="D4373">
        <v>4.7268749999999997</v>
      </c>
      <c r="E4373">
        <v>0.50081299999999995</v>
      </c>
      <c r="F4373" t="s">
        <v>44</v>
      </c>
      <c r="G4373">
        <v>-287.00200000000001</v>
      </c>
      <c r="H4373">
        <v>-0.05</v>
      </c>
      <c r="I4373">
        <v>10.009779999999999</v>
      </c>
      <c r="J4373">
        <v>-368.55169999999998</v>
      </c>
      <c r="K4373">
        <v>1.1196790000000001</v>
      </c>
      <c r="L4373">
        <v>18.209140000000001</v>
      </c>
      <c r="M4373">
        <v>0.99929889999999999</v>
      </c>
      <c r="N4373">
        <v>-1.0767499999999999E-2</v>
      </c>
      <c r="O4373">
        <v>-3.5861129999999998E-2</v>
      </c>
      <c r="P4373">
        <v>0.97166560000000002</v>
      </c>
      <c r="Q4373">
        <v>0.21074190000000001</v>
      </c>
      <c r="R4373">
        <v>-0.1070219</v>
      </c>
      <c r="S4373">
        <v>3.0644230000000001</v>
      </c>
      <c r="T4373">
        <v>-4.376352E-2</v>
      </c>
      <c r="U4373">
        <v>-0.30728149999999999</v>
      </c>
      <c r="V4373">
        <v>7.2718260000000007E-2</v>
      </c>
      <c r="W4373">
        <v>0.22102649999999999</v>
      </c>
      <c r="X4373">
        <v>0.972553</v>
      </c>
      <c r="Y4373">
        <v>6.4013920000000002E-2</v>
      </c>
      <c r="Z4373">
        <v>-6.7635789999999905E-4</v>
      </c>
      <c r="AA4373">
        <v>0.99794879999999997</v>
      </c>
      <c r="AB4373">
        <v>36</v>
      </c>
      <c r="AC4373">
        <v>81.549699999999902</v>
      </c>
      <c r="AD4373">
        <v>-1.1696789999999999</v>
      </c>
      <c r="AE4373">
        <v>-8.1993599999999898</v>
      </c>
      <c r="AF4373">
        <v>5.26837885593216</v>
      </c>
      <c r="AG4373">
        <v>-1.1696789999999999</v>
      </c>
      <c r="AH4373">
        <v>81.774640301970607</v>
      </c>
      <c r="AI4373">
        <v>90.817789916701898</v>
      </c>
      <c r="AJ4373">
        <v>86.3137804588699</v>
      </c>
      <c r="AK4373">
        <v>81.952521384331703</v>
      </c>
      <c r="AL4373">
        <v>77.230668556972404</v>
      </c>
      <c r="AM4373">
        <v>85.723923549882699</v>
      </c>
      <c r="AN4373">
        <v>0.99999999842433795</v>
      </c>
    </row>
    <row r="4374" spans="1:40" x14ac:dyDescent="0.25">
      <c r="A4374" t="str">
        <f>"20190303162641824"</f>
        <v>20190303162641824</v>
      </c>
      <c r="B4374" t="str">
        <f>"1551601601808137"</f>
        <v>1551601601808137</v>
      </c>
      <c r="C4374" t="s">
        <v>40</v>
      </c>
      <c r="D4374">
        <v>4.796271</v>
      </c>
      <c r="E4374">
        <v>0.5002027</v>
      </c>
      <c r="F4374" t="s">
        <v>44</v>
      </c>
      <c r="G4374">
        <v>-295.10419999999999</v>
      </c>
      <c r="H4374">
        <v>-0.05</v>
      </c>
      <c r="I4374">
        <v>10.65747</v>
      </c>
      <c r="J4374">
        <v>-368.1628</v>
      </c>
      <c r="K4374">
        <v>1.1197010000000001</v>
      </c>
      <c r="L4374">
        <v>18.19406</v>
      </c>
      <c r="M4374">
        <v>0.99926009999999998</v>
      </c>
      <c r="N4374">
        <v>-1.077034E-2</v>
      </c>
      <c r="O4374">
        <v>-3.6922539999999997E-2</v>
      </c>
      <c r="P4374">
        <v>0.9720801</v>
      </c>
      <c r="Q4374">
        <v>0.2085669</v>
      </c>
      <c r="R4374">
        <v>-0.10751819999999999</v>
      </c>
      <c r="S4374">
        <v>3.0634160000000001</v>
      </c>
      <c r="T4374">
        <v>-4.8786040000000003E-2</v>
      </c>
      <c r="U4374">
        <v>-0.31497190000000003</v>
      </c>
      <c r="V4374">
        <v>7.2137279999999998E-2</v>
      </c>
      <c r="W4374">
        <v>0.21886810000000001</v>
      </c>
      <c r="X4374">
        <v>0.97308430000000001</v>
      </c>
      <c r="Y4374">
        <v>6.5463930000000004E-2</v>
      </c>
      <c r="Z4374">
        <v>-6.8421210000000005E-4</v>
      </c>
      <c r="AA4374">
        <v>0.99785469999999998</v>
      </c>
      <c r="AB4374">
        <v>36</v>
      </c>
      <c r="AC4374">
        <v>73.058599999999998</v>
      </c>
      <c r="AD4374">
        <v>-1.1697010000000001</v>
      </c>
      <c r="AE4374">
        <v>-7.5365899999999897</v>
      </c>
      <c r="AF4374">
        <v>4.8325592040571097</v>
      </c>
      <c r="AG4374">
        <v>-1.1697010000000001</v>
      </c>
      <c r="AH4374">
        <v>73.268480495973094</v>
      </c>
      <c r="AI4374">
        <v>90.9126430862555</v>
      </c>
      <c r="AJ4374">
        <v>86.226415813228598</v>
      </c>
      <c r="AK4374">
        <v>73.436993831984296</v>
      </c>
      <c r="AL4374">
        <v>77.357440793067497</v>
      </c>
      <c r="AM4374">
        <v>85.760269592046299</v>
      </c>
      <c r="AN4374">
        <v>1.0000000436349401</v>
      </c>
    </row>
    <row r="4375" spans="1:40" x14ac:dyDescent="0.25">
      <c r="A4375" t="str">
        <f>"20190303162641846"</f>
        <v>20190303162641846</v>
      </c>
      <c r="B4375" t="str">
        <f>"1551601601838390"</f>
        <v>1551601601838390</v>
      </c>
      <c r="C4375" t="s">
        <v>40</v>
      </c>
      <c r="D4375">
        <v>4.7888019999999996</v>
      </c>
      <c r="E4375">
        <v>0.49976029999999999</v>
      </c>
      <c r="F4375" t="s">
        <v>44</v>
      </c>
      <c r="G4375">
        <v>-305.10129999999998</v>
      </c>
      <c r="H4375">
        <v>-0.05</v>
      </c>
      <c r="I4375">
        <v>11.76831</v>
      </c>
      <c r="J4375">
        <v>-367.79790000000003</v>
      </c>
      <c r="K4375">
        <v>1.1197330000000001</v>
      </c>
      <c r="L4375">
        <v>18.17963</v>
      </c>
      <c r="M4375">
        <v>0.999224</v>
      </c>
      <c r="N4375">
        <v>-1.077286E-2</v>
      </c>
      <c r="O4375">
        <v>-3.7886509999999998E-2</v>
      </c>
      <c r="P4375">
        <v>0.97242209999999996</v>
      </c>
      <c r="Q4375">
        <v>0.20582719999999999</v>
      </c>
      <c r="R4375">
        <v>-0.109684199999999</v>
      </c>
      <c r="S4375">
        <v>3.0638429999999999</v>
      </c>
      <c r="T4375">
        <v>-5.6829930000000001E-2</v>
      </c>
      <c r="U4375">
        <v>-0.31219479999999999</v>
      </c>
      <c r="V4375">
        <v>7.3319040000000002E-2</v>
      </c>
      <c r="W4375">
        <v>0.21614030000000001</v>
      </c>
      <c r="X4375">
        <v>0.97360550000000001</v>
      </c>
      <c r="Y4375">
        <v>6.358925E-2</v>
      </c>
      <c r="Z4375">
        <v>-6.3858769999999897E-4</v>
      </c>
      <c r="AA4375">
        <v>0.99797590000000003</v>
      </c>
      <c r="AB4375">
        <v>36</v>
      </c>
      <c r="AC4375">
        <v>62.696599999999997</v>
      </c>
      <c r="AD4375">
        <v>-1.1697329999999999</v>
      </c>
      <c r="AE4375">
        <v>-6.4113199999999901</v>
      </c>
      <c r="AF4375">
        <v>4.0298350817952899</v>
      </c>
      <c r="AG4375">
        <v>-1.1697329999999999</v>
      </c>
      <c r="AH4375">
        <v>62.872839666476601</v>
      </c>
      <c r="AI4375">
        <v>91.0636681436809</v>
      </c>
      <c r="AJ4375">
        <v>86.332643178013996</v>
      </c>
      <c r="AK4375">
        <v>63.012711525566303</v>
      </c>
      <c r="AL4375">
        <v>77.517565085079497</v>
      </c>
      <c r="AM4375">
        <v>85.693371420965903</v>
      </c>
      <c r="AN4375">
        <v>0.99999999027042996</v>
      </c>
    </row>
    <row r="4376" spans="1:40" x14ac:dyDescent="0.25">
      <c r="A4376" t="str">
        <f>"20190303162641867"</f>
        <v>20190303162641867</v>
      </c>
      <c r="B4376" t="str">
        <f>"1551601601857911"</f>
        <v>1551601601857911</v>
      </c>
      <c r="C4376" t="s">
        <v>40</v>
      </c>
      <c r="D4376">
        <v>6.3737019999999998</v>
      </c>
      <c r="E4376">
        <v>0.5000656</v>
      </c>
      <c r="F4376" t="s">
        <v>44</v>
      </c>
      <c r="G4376">
        <v>-315.32530000000003</v>
      </c>
      <c r="H4376">
        <v>-0.05</v>
      </c>
      <c r="I4376">
        <v>12.78139</v>
      </c>
      <c r="J4376">
        <v>-367.4486</v>
      </c>
      <c r="K4376">
        <v>1.1197619999999999</v>
      </c>
      <c r="L4376">
        <v>18.165500000000002</v>
      </c>
      <c r="M4376">
        <v>0.99919060000000004</v>
      </c>
      <c r="N4376">
        <v>-1.0775099999999999E-2</v>
      </c>
      <c r="O4376">
        <v>-3.8760080000000002E-2</v>
      </c>
      <c r="P4376">
        <v>0.97281969999999995</v>
      </c>
      <c r="Q4376">
        <v>0.20283789999999999</v>
      </c>
      <c r="R4376">
        <v>-0.1117095</v>
      </c>
      <c r="S4376">
        <v>3.0639949999999998</v>
      </c>
      <c r="T4376">
        <v>-6.8303349999999999E-2</v>
      </c>
      <c r="U4376">
        <v>-0.315216099999999</v>
      </c>
      <c r="V4376">
        <v>7.444067E-2</v>
      </c>
      <c r="W4376">
        <v>0.21316479999999999</v>
      </c>
      <c r="X4376">
        <v>0.97417619999999905</v>
      </c>
      <c r="Y4376">
        <v>6.3680860000000006E-2</v>
      </c>
      <c r="Z4376">
        <v>-6.0763690000000003E-4</v>
      </c>
      <c r="AA4376">
        <v>0.99797009999999997</v>
      </c>
      <c r="AB4376">
        <v>36</v>
      </c>
      <c r="AC4376">
        <v>52.123299999999901</v>
      </c>
      <c r="AD4376">
        <v>-1.169762</v>
      </c>
      <c r="AE4376">
        <v>-5.3841099999999997</v>
      </c>
      <c r="AF4376">
        <v>3.3579699585893699</v>
      </c>
      <c r="AG4376">
        <v>-1.169762</v>
      </c>
      <c r="AH4376">
        <v>52.266781412189196</v>
      </c>
      <c r="AI4376">
        <v>91.279462981927395</v>
      </c>
      <c r="AJ4376">
        <v>86.323985545363101</v>
      </c>
      <c r="AK4376">
        <v>52.387601057588</v>
      </c>
      <c r="AL4376">
        <v>77.692117071762198</v>
      </c>
      <c r="AM4376">
        <v>85.630293917073104</v>
      </c>
      <c r="AN4376">
        <v>0.999999956977763</v>
      </c>
    </row>
    <row r="4377" spans="1:40" x14ac:dyDescent="0.25">
      <c r="A4377" t="str">
        <f>"20190303162641882"</f>
        <v>20190303162641882</v>
      </c>
      <c r="B4377" t="str">
        <f>"1551601601868647"</f>
        <v>1551601601868647</v>
      </c>
      <c r="C4377" t="s">
        <v>40</v>
      </c>
      <c r="D4377">
        <v>4.9382489999999999</v>
      </c>
      <c r="E4377">
        <v>0.5000656</v>
      </c>
      <c r="F4377" t="s">
        <v>41</v>
      </c>
      <c r="G4377">
        <v>-326.33699999999999</v>
      </c>
      <c r="H4377" s="1">
        <v>-2.9297410000000002E-6</v>
      </c>
      <c r="I4377">
        <v>13.83262</v>
      </c>
      <c r="J4377">
        <v>-367.21789999999999</v>
      </c>
      <c r="K4377">
        <v>1.1197919999999999</v>
      </c>
      <c r="L4377">
        <v>18.156040000000001</v>
      </c>
      <c r="M4377">
        <v>0.99916919999999998</v>
      </c>
      <c r="N4377">
        <v>-1.0776579999999999E-2</v>
      </c>
      <c r="O4377">
        <v>-3.9302660000000003E-2</v>
      </c>
      <c r="P4377">
        <v>0.97312370000000004</v>
      </c>
      <c r="Q4377">
        <v>0.20071839999999999</v>
      </c>
      <c r="R4377">
        <v>-0.1128821</v>
      </c>
      <c r="S4377">
        <v>3.064117</v>
      </c>
      <c r="T4377">
        <v>-8.3457950000000003E-2</v>
      </c>
      <c r="U4377">
        <v>-0.32293699999999997</v>
      </c>
      <c r="V4377">
        <v>7.5044330000000006E-2</v>
      </c>
      <c r="W4377">
        <v>0.2110571</v>
      </c>
      <c r="X4377">
        <v>0.97458880000000003</v>
      </c>
      <c r="Y4377">
        <v>6.5614800000000001E-2</v>
      </c>
      <c r="Z4377">
        <v>-6.0163950000000001E-4</v>
      </c>
      <c r="AA4377">
        <v>0.99784490000000003</v>
      </c>
      <c r="AB4377">
        <v>37</v>
      </c>
      <c r="AC4377">
        <v>40.880899999999997</v>
      </c>
      <c r="AD4377">
        <v>-1.1197949297409999</v>
      </c>
      <c r="AE4377">
        <v>-4.3234199999999996</v>
      </c>
      <c r="AF4377">
        <v>2.7112458959499901</v>
      </c>
      <c r="AG4377">
        <v>-1.1197949297409999</v>
      </c>
      <c r="AH4377">
        <v>40.988827723581203</v>
      </c>
      <c r="AI4377">
        <v>91.561493141199705</v>
      </c>
      <c r="AJ4377">
        <v>86.215627726583406</v>
      </c>
      <c r="AK4377">
        <v>41.093658794836003</v>
      </c>
      <c r="AL4377">
        <v>77.815692303571893</v>
      </c>
      <c r="AM4377">
        <v>85.596855229809407</v>
      </c>
      <c r="AN4377">
        <v>1.00000004000549</v>
      </c>
    </row>
    <row r="4378" spans="1:40" x14ac:dyDescent="0.25">
      <c r="A4378" t="str">
        <f>"20190303162641900"</f>
        <v>20190303162641900</v>
      </c>
      <c r="B4378" t="str">
        <f>"1551601601888166"</f>
        <v>1551601601888166</v>
      </c>
      <c r="C4378" t="s">
        <v>40</v>
      </c>
      <c r="D4378">
        <v>4.9025720000000002</v>
      </c>
      <c r="E4378">
        <v>0.53988400000000003</v>
      </c>
      <c r="F4378" t="s">
        <v>41</v>
      </c>
      <c r="G4378">
        <v>-329.14690000000002</v>
      </c>
      <c r="H4378" s="1">
        <v>-1.778922E-6</v>
      </c>
      <c r="I4378">
        <v>14.102359999999999</v>
      </c>
      <c r="J4378">
        <v>-366.91379999999998</v>
      </c>
      <c r="K4378">
        <v>1.1198509999999999</v>
      </c>
      <c r="L4378">
        <v>18.143429999999999</v>
      </c>
      <c r="M4378">
        <v>0.99914320000000001</v>
      </c>
      <c r="N4378">
        <v>-1.07785E-2</v>
      </c>
      <c r="O4378">
        <v>-3.995978E-2</v>
      </c>
      <c r="P4378">
        <v>0.97354700000000005</v>
      </c>
      <c r="Q4378">
        <v>0.19772139999999999</v>
      </c>
      <c r="R4378">
        <v>-0.1145101</v>
      </c>
      <c r="S4378">
        <v>3.063599</v>
      </c>
      <c r="T4378">
        <v>-9.0110540000000003E-2</v>
      </c>
      <c r="U4378">
        <v>-0.3262024</v>
      </c>
      <c r="V4378">
        <v>7.5971880000000006E-2</v>
      </c>
      <c r="W4378">
        <v>0.20807729999999999</v>
      </c>
      <c r="X4378">
        <v>0.97515750000000001</v>
      </c>
      <c r="Y4378">
        <v>6.60245E-2</v>
      </c>
      <c r="Z4378">
        <v>-5.8382669999999998E-4</v>
      </c>
      <c r="AA4378">
        <v>0.99781779999999998</v>
      </c>
      <c r="AB4378">
        <v>37</v>
      </c>
      <c r="AC4378">
        <v>37.7668999999999</v>
      </c>
      <c r="AD4378">
        <v>-1.1198527789220001</v>
      </c>
      <c r="AE4378">
        <v>-4.0410699999999897</v>
      </c>
      <c r="AF4378">
        <v>2.5264012351456002</v>
      </c>
      <c r="AG4378">
        <v>-1.1198527789220001</v>
      </c>
      <c r="AH4378">
        <v>37.865306089548703</v>
      </c>
      <c r="AI4378">
        <v>91.690252401333495</v>
      </c>
      <c r="AJ4378">
        <v>86.182840722993404</v>
      </c>
      <c r="AK4378">
        <v>37.966013468661899</v>
      </c>
      <c r="AL4378">
        <v>77.990299373326593</v>
      </c>
      <c r="AM4378">
        <v>85.545239231470504</v>
      </c>
      <c r="AN4378">
        <v>1.00000001956613</v>
      </c>
    </row>
    <row r="4379" spans="1:40" x14ac:dyDescent="0.25">
      <c r="A4379" t="str">
        <f>"20190303162641924"</f>
        <v>20190303162641924</v>
      </c>
      <c r="B4379" t="str">
        <f>"1551601601918422"</f>
        <v>1551601601918422</v>
      </c>
      <c r="C4379" t="s">
        <v>40</v>
      </c>
      <c r="D4379">
        <v>4.8318820000000002</v>
      </c>
      <c r="E4379">
        <v>0.54037829999999998</v>
      </c>
      <c r="F4379" t="s">
        <v>41</v>
      </c>
      <c r="G4379">
        <v>-352.82740000000001</v>
      </c>
      <c r="H4379" s="1">
        <v>-3.8477740000000004E-6</v>
      </c>
      <c r="I4379">
        <v>15.171469999999999</v>
      </c>
      <c r="J4379">
        <v>-366.53179999999998</v>
      </c>
      <c r="K4379">
        <v>1.11995</v>
      </c>
      <c r="L4379">
        <v>18.127410000000001</v>
      </c>
      <c r="M4379">
        <v>0.99911430000000001</v>
      </c>
      <c r="N4379">
        <v>-1.078106E-2</v>
      </c>
      <c r="O4379">
        <v>-4.067316E-2</v>
      </c>
      <c r="P4379">
        <v>0.97322580000000003</v>
      </c>
      <c r="Q4379">
        <v>0.19811380000000001</v>
      </c>
      <c r="R4379">
        <v>-0.11654440000000001</v>
      </c>
      <c r="S4379">
        <v>3.0550229999999998</v>
      </c>
      <c r="T4379">
        <v>-0.24287020000000001</v>
      </c>
      <c r="U4379">
        <v>-0.64453130000000003</v>
      </c>
      <c r="V4379">
        <v>7.7271629999999994E-2</v>
      </c>
      <c r="W4379">
        <v>0.2084859</v>
      </c>
      <c r="X4379">
        <v>0.9749681</v>
      </c>
      <c r="Y4379">
        <v>0.1659805</v>
      </c>
      <c r="Z4379">
        <v>-4.6662530000000004E-3</v>
      </c>
      <c r="AA4379">
        <v>0.98611800000000005</v>
      </c>
      <c r="AB4379">
        <v>37</v>
      </c>
      <c r="AC4379">
        <v>13.7043999999999</v>
      </c>
      <c r="AD4379">
        <v>-1.1199538477740001</v>
      </c>
      <c r="AE4379">
        <v>-2.95594</v>
      </c>
      <c r="AF4379">
        <v>2.38086622148785</v>
      </c>
      <c r="AG4379">
        <v>-1.1199538477740001</v>
      </c>
      <c r="AH4379">
        <v>13.725700495055801</v>
      </c>
      <c r="AI4379">
        <v>94.596401014665702</v>
      </c>
      <c r="AJ4379">
        <v>80.159365226984406</v>
      </c>
      <c r="AK4379">
        <v>13.975609992617199</v>
      </c>
      <c r="AL4379">
        <v>77.966363571924006</v>
      </c>
      <c r="AM4379">
        <v>85.468464010136501</v>
      </c>
      <c r="AN4379">
        <v>1.0000000356596299</v>
      </c>
    </row>
    <row r="4380" spans="1:40" x14ac:dyDescent="0.25">
      <c r="A4380" t="str">
        <f>"20190303162641947"</f>
        <v>20190303162641947</v>
      </c>
      <c r="B4380" t="str">
        <f>"1551601601937942"</f>
        <v>1551601601937942</v>
      </c>
      <c r="C4380" t="s">
        <v>40</v>
      </c>
      <c r="D4380">
        <v>4.8708999999999998</v>
      </c>
      <c r="E4380">
        <v>0.54031850000000003</v>
      </c>
      <c r="F4380" t="s">
        <v>41</v>
      </c>
      <c r="G4380">
        <v>-352.21730000000002</v>
      </c>
      <c r="H4380" s="1">
        <v>-4.1304770000000001E-6</v>
      </c>
      <c r="I4380">
        <v>15.053039999999999</v>
      </c>
      <c r="J4380">
        <v>-366.14659999999998</v>
      </c>
      <c r="K4380">
        <v>1.12005</v>
      </c>
      <c r="L4380">
        <v>18.11111</v>
      </c>
      <c r="M4380">
        <v>0.99908969999999997</v>
      </c>
      <c r="N4380">
        <v>-1.0785400000000001E-2</v>
      </c>
      <c r="O4380">
        <v>-4.12755E-2</v>
      </c>
      <c r="P4380">
        <v>0.97300900000000001</v>
      </c>
      <c r="Q4380">
        <v>0.1982062</v>
      </c>
      <c r="R4380">
        <v>-0.1181856</v>
      </c>
      <c r="S4380">
        <v>3.0526430000000002</v>
      </c>
      <c r="T4380">
        <v>-0.2388363</v>
      </c>
      <c r="U4380">
        <v>-0.65560909999999994</v>
      </c>
      <c r="V4380">
        <v>7.8279650000000006E-2</v>
      </c>
      <c r="W4380">
        <v>0.20859829999999999</v>
      </c>
      <c r="X4380">
        <v>0.97486360000000005</v>
      </c>
      <c r="Y4380">
        <v>0.16896910000000001</v>
      </c>
      <c r="Z4380">
        <v>-4.7049769999999999E-3</v>
      </c>
      <c r="AA4380">
        <v>0.98561010000000004</v>
      </c>
      <c r="AB4380">
        <v>37</v>
      </c>
      <c r="AC4380">
        <v>13.9292999999999</v>
      </c>
      <c r="AD4380">
        <v>-1.120054130477</v>
      </c>
      <c r="AE4380">
        <v>-3.0580699999999998</v>
      </c>
      <c r="AF4380">
        <v>2.4652844445370401</v>
      </c>
      <c r="AG4380">
        <v>-1.120054130477</v>
      </c>
      <c r="AH4380">
        <v>13.957562343661801</v>
      </c>
      <c r="AI4380">
        <v>94.5183474960957</v>
      </c>
      <c r="AJ4380">
        <v>79.983321071750794</v>
      </c>
      <c r="AK4380">
        <v>14.217795019794099</v>
      </c>
      <c r="AL4380">
        <v>77.959778269878697</v>
      </c>
      <c r="AM4380">
        <v>85.409110505361397</v>
      </c>
      <c r="AN4380">
        <v>0.99999999648598603</v>
      </c>
    </row>
    <row r="4381" spans="1:40" x14ac:dyDescent="0.25">
      <c r="A4381" t="str">
        <f>"20190303162641969"</f>
        <v>20190303162641969</v>
      </c>
      <c r="B4381" t="str">
        <f>"1551601601958438"</f>
        <v>1551601601958438</v>
      </c>
      <c r="C4381" t="s">
        <v>40</v>
      </c>
      <c r="D4381">
        <v>4.918056</v>
      </c>
      <c r="E4381">
        <v>0.54009039999999997</v>
      </c>
      <c r="F4381" t="s">
        <v>41</v>
      </c>
      <c r="G4381">
        <v>-351.38549999999998</v>
      </c>
      <c r="H4381" s="1">
        <v>-4.5121520000000001E-6</v>
      </c>
      <c r="I4381">
        <v>14.91306</v>
      </c>
      <c r="J4381">
        <v>-365.79840000000002</v>
      </c>
      <c r="K4381">
        <v>1.1201350000000001</v>
      </c>
      <c r="L4381">
        <v>18.09628</v>
      </c>
      <c r="M4381">
        <v>0.99907120000000005</v>
      </c>
      <c r="N4381">
        <v>-1.0795590000000001E-2</v>
      </c>
      <c r="O4381">
        <v>-4.1717749999999998E-2</v>
      </c>
      <c r="P4381">
        <v>0.97327779999999997</v>
      </c>
      <c r="Q4381">
        <v>0.19621420000000001</v>
      </c>
      <c r="R4381">
        <v>-0.1192933</v>
      </c>
      <c r="S4381">
        <v>3.0500790000000002</v>
      </c>
      <c r="T4381">
        <v>-0.23143720000000001</v>
      </c>
      <c r="U4381">
        <v>-0.66079709999999903</v>
      </c>
      <c r="V4381">
        <v>7.8893619999999998E-2</v>
      </c>
      <c r="W4381">
        <v>0.20663690000000001</v>
      </c>
      <c r="X4381">
        <v>0.97523179999999998</v>
      </c>
      <c r="Y4381">
        <v>0.17032649999999999</v>
      </c>
      <c r="Z4381">
        <v>-4.6351439999999999E-3</v>
      </c>
      <c r="AA4381">
        <v>0.98537680000000005</v>
      </c>
      <c r="AB4381">
        <v>37</v>
      </c>
      <c r="AC4381">
        <v>14.4129</v>
      </c>
      <c r="AD4381">
        <v>-1.1201395121519999</v>
      </c>
      <c r="AE4381">
        <v>-3.1832199999999999</v>
      </c>
      <c r="AF4381">
        <v>2.56437116186056</v>
      </c>
      <c r="AG4381">
        <v>-1.1201395121519999</v>
      </c>
      <c r="AH4381">
        <v>14.449936483938499</v>
      </c>
      <c r="AI4381">
        <v>94.364697968696603</v>
      </c>
      <c r="AJ4381">
        <v>79.936724080838303</v>
      </c>
      <c r="AK4381">
        <v>14.7184026433687</v>
      </c>
      <c r="AL4381">
        <v>78.074662031380299</v>
      </c>
      <c r="AM4381">
        <v>85.374997805818694</v>
      </c>
      <c r="AN4381">
        <v>1.00000003772477</v>
      </c>
    </row>
    <row r="4382" spans="1:40" x14ac:dyDescent="0.25">
      <c r="A4382" t="str">
        <f>"20190303162641991"</f>
        <v>20190303162641991</v>
      </c>
      <c r="B4382" t="str">
        <f>"1551601601977959"</f>
        <v>1551601601977959</v>
      </c>
      <c r="C4382" t="s">
        <v>40</v>
      </c>
      <c r="D4382">
        <v>4.9471280000000002</v>
      </c>
      <c r="E4382">
        <v>0.53981539999999995</v>
      </c>
      <c r="F4382" t="s">
        <v>41</v>
      </c>
      <c r="G4382">
        <v>-351.31740000000002</v>
      </c>
      <c r="H4382" s="1">
        <v>-4.5359309999999999E-6</v>
      </c>
      <c r="I4382">
        <v>14.943849999999999</v>
      </c>
      <c r="J4382">
        <v>-365.43340000000001</v>
      </c>
      <c r="K4382">
        <v>1.1202179999999999</v>
      </c>
      <c r="L4382">
        <v>18.080690000000001</v>
      </c>
      <c r="M4382">
        <v>0.99905560000000004</v>
      </c>
      <c r="N4382">
        <v>-1.0820450000000001E-2</v>
      </c>
      <c r="O4382">
        <v>-4.2082179999999997E-2</v>
      </c>
      <c r="P4382">
        <v>0.97407770000000005</v>
      </c>
      <c r="Q4382">
        <v>0.1927391</v>
      </c>
      <c r="R4382">
        <v>-0.11842510000000001</v>
      </c>
      <c r="S4382">
        <v>3.0485530000000001</v>
      </c>
      <c r="T4382">
        <v>-0.2358123</v>
      </c>
      <c r="U4382">
        <v>-0.66363530000000004</v>
      </c>
      <c r="V4382">
        <v>7.7586929999999998E-2</v>
      </c>
      <c r="W4382">
        <v>0.20321310000000001</v>
      </c>
      <c r="X4382">
        <v>0.97605569999999997</v>
      </c>
      <c r="Y4382">
        <v>0.1709281</v>
      </c>
      <c r="Z4382">
        <v>-4.7035569999999997E-3</v>
      </c>
      <c r="AA4382">
        <v>0.98527229999999999</v>
      </c>
      <c r="AB4382">
        <v>37</v>
      </c>
      <c r="AC4382">
        <v>14.1159999999999</v>
      </c>
      <c r="AD4382">
        <v>-1.1202225359310001</v>
      </c>
      <c r="AE4382">
        <v>-3.1368399999999999</v>
      </c>
      <c r="AF4382">
        <v>2.5248415417364201</v>
      </c>
      <c r="AG4382">
        <v>-1.1202225359310001</v>
      </c>
      <c r="AH4382">
        <v>14.1505834963921</v>
      </c>
      <c r="AI4382">
        <v>94.456257630002696</v>
      </c>
      <c r="AJ4382">
        <v>79.8833660994312</v>
      </c>
      <c r="AK4382">
        <v>14.417653645071701</v>
      </c>
      <c r="AL4382">
        <v>78.275084565831605</v>
      </c>
      <c r="AM4382">
        <v>85.455099631235001</v>
      </c>
      <c r="AN4382">
        <v>1.00000001261046</v>
      </c>
    </row>
    <row r="4383" spans="1:40" x14ac:dyDescent="0.25">
      <c r="A4383" t="str">
        <f>"20190303162642014"</f>
        <v>20190303162642014</v>
      </c>
      <c r="B4383" t="str">
        <f>"1551601602008214"</f>
        <v>1551601602008214</v>
      </c>
      <c r="C4383" t="s">
        <v>40</v>
      </c>
      <c r="D4383">
        <v>4.985214</v>
      </c>
      <c r="E4383">
        <v>0.53937489999999999</v>
      </c>
      <c r="F4383" t="s">
        <v>41</v>
      </c>
      <c r="G4383">
        <v>-351.45490000000001</v>
      </c>
      <c r="H4383" s="1">
        <v>-4.4583589999999999E-6</v>
      </c>
      <c r="I4383">
        <v>15.048640000000001</v>
      </c>
      <c r="J4383">
        <v>-365.07040000000001</v>
      </c>
      <c r="K4383">
        <v>1.1203099999999999</v>
      </c>
      <c r="L4383">
        <v>18.065090000000001</v>
      </c>
      <c r="M4383">
        <v>0.99904309999999996</v>
      </c>
      <c r="N4383">
        <v>-1.0872130000000001E-2</v>
      </c>
      <c r="O4383">
        <v>-4.2362799999999999E-2</v>
      </c>
      <c r="P4383">
        <v>0.9743868</v>
      </c>
      <c r="Q4383">
        <v>0.1921988</v>
      </c>
      <c r="R4383">
        <v>-0.116746699999999</v>
      </c>
      <c r="S4383">
        <v>3.0477910000000001</v>
      </c>
      <c r="T4383">
        <v>-0.24424650000000001</v>
      </c>
      <c r="U4383">
        <v>-0.66107179999999999</v>
      </c>
      <c r="V4383">
        <v>7.5583960000000006E-2</v>
      </c>
      <c r="W4383">
        <v>0.2027429</v>
      </c>
      <c r="X4383">
        <v>0.97631060000000003</v>
      </c>
      <c r="Y4383">
        <v>0.16988429999999999</v>
      </c>
      <c r="Z4383">
        <v>-4.7634449999999998E-3</v>
      </c>
      <c r="AA4383">
        <v>0.98545249999999995</v>
      </c>
      <c r="AB4383">
        <v>37</v>
      </c>
      <c r="AC4383">
        <v>13.6154999999999</v>
      </c>
      <c r="AD4383">
        <v>-1.1203144583589999</v>
      </c>
      <c r="AE4383">
        <v>-3.0164499999999901</v>
      </c>
      <c r="AF4383">
        <v>2.42129089428526</v>
      </c>
      <c r="AG4383">
        <v>-1.1203144583589999</v>
      </c>
      <c r="AH4383">
        <v>13.6430218335815</v>
      </c>
      <c r="AI4383">
        <v>94.622471854410307</v>
      </c>
      <c r="AJ4383">
        <v>79.936237233839094</v>
      </c>
      <c r="AK4383">
        <v>13.901431538943701</v>
      </c>
      <c r="AL4383">
        <v>78.302597662652801</v>
      </c>
      <c r="AM4383">
        <v>85.573108668527098</v>
      </c>
      <c r="AN4383">
        <v>1.0000000030910201</v>
      </c>
    </row>
    <row r="4384" spans="1:40" x14ac:dyDescent="0.25">
      <c r="A4384" t="str">
        <f>"20190303162642036"</f>
        <v>20190303162642036</v>
      </c>
      <c r="B4384" t="str">
        <f>"1551601602028710"</f>
        <v>1551601602028710</v>
      </c>
      <c r="C4384" t="s">
        <v>40</v>
      </c>
      <c r="D4384">
        <v>5.0541029999999996</v>
      </c>
      <c r="E4384">
        <v>0.52087570000000005</v>
      </c>
      <c r="F4384" t="s">
        <v>41</v>
      </c>
      <c r="G4384">
        <v>-350.90839999999997</v>
      </c>
      <c r="H4384" s="1">
        <v>-4.6967600000000002E-6</v>
      </c>
      <c r="I4384">
        <v>15.02627</v>
      </c>
      <c r="J4384">
        <v>-364.68720000000002</v>
      </c>
      <c r="K4384">
        <v>1.120406</v>
      </c>
      <c r="L4384">
        <v>18.04861</v>
      </c>
      <c r="M4384">
        <v>0.99903229999999998</v>
      </c>
      <c r="N4384">
        <v>-1.0968759999999999E-2</v>
      </c>
      <c r="O4384">
        <v>-4.2593789999999999E-2</v>
      </c>
      <c r="P4384">
        <v>0.97422719999999896</v>
      </c>
      <c r="Q4384">
        <v>0.19405130000000001</v>
      </c>
      <c r="R4384">
        <v>-0.1150021</v>
      </c>
      <c r="S4384">
        <v>3.0480649999999998</v>
      </c>
      <c r="T4384">
        <v>-0.241123</v>
      </c>
      <c r="U4384">
        <v>-0.6540222</v>
      </c>
      <c r="V4384">
        <v>7.3591199999999996E-2</v>
      </c>
      <c r="W4384">
        <v>0.20470079999999999</v>
      </c>
      <c r="X4384">
        <v>0.97605430000000004</v>
      </c>
      <c r="Y4384">
        <v>0.16747860000000001</v>
      </c>
      <c r="Z4384">
        <v>-4.6103610000000003E-3</v>
      </c>
      <c r="AA4384">
        <v>0.98586490000000004</v>
      </c>
      <c r="AB4384">
        <v>37</v>
      </c>
      <c r="AC4384">
        <v>13.7788</v>
      </c>
      <c r="AD4384">
        <v>-1.12041069676</v>
      </c>
      <c r="AE4384">
        <v>-3.02233999999999</v>
      </c>
      <c r="AF4384">
        <v>2.41742001190608</v>
      </c>
      <c r="AG4384">
        <v>-1.12041069676</v>
      </c>
      <c r="AH4384">
        <v>13.8079277191167</v>
      </c>
      <c r="AI4384">
        <v>94.569758709068793</v>
      </c>
      <c r="AJ4384">
        <v>80.069596864284804</v>
      </c>
      <c r="AK4384">
        <v>14.062649378396999</v>
      </c>
      <c r="AL4384">
        <v>78.188015741633095</v>
      </c>
      <c r="AM4384">
        <v>85.6882495171524</v>
      </c>
      <c r="AN4384">
        <v>1.00000003939328</v>
      </c>
    </row>
    <row r="4385" spans="1:40" x14ac:dyDescent="0.25">
      <c r="A4385" t="str">
        <f>"20190303162642057"</f>
        <v>20190303162642057</v>
      </c>
      <c r="B4385" t="str">
        <f>"1551601602048230"</f>
        <v>1551601602048230</v>
      </c>
      <c r="C4385" t="s">
        <v>40</v>
      </c>
      <c r="D4385">
        <v>5.138382</v>
      </c>
      <c r="E4385">
        <v>0.49957590000000002</v>
      </c>
      <c r="F4385" t="s">
        <v>42</v>
      </c>
      <c r="G4385">
        <v>-363.95170000000002</v>
      </c>
      <c r="H4385">
        <v>1.0141849999999999</v>
      </c>
      <c r="I4385">
        <v>17.92981</v>
      </c>
      <c r="J4385">
        <v>-364.33679999999998</v>
      </c>
      <c r="K4385">
        <v>1.1204780000000001</v>
      </c>
      <c r="L4385">
        <v>18.033449999999998</v>
      </c>
      <c r="M4385">
        <v>0.99902349999999995</v>
      </c>
      <c r="N4385">
        <v>-1.1111330000000001E-2</v>
      </c>
      <c r="O4385">
        <v>-4.2764679999999999E-2</v>
      </c>
      <c r="P4385">
        <v>0.97456259999999995</v>
      </c>
      <c r="Q4385">
        <v>0.19356090000000001</v>
      </c>
      <c r="R4385">
        <v>-0.11297020000000001</v>
      </c>
      <c r="S4385">
        <v>3.1096189999999999</v>
      </c>
      <c r="T4385">
        <v>-0.44908229999999999</v>
      </c>
      <c r="U4385">
        <v>-0.50146480000000004</v>
      </c>
      <c r="V4385">
        <v>7.1357630000000005E-2</v>
      </c>
      <c r="W4385">
        <v>0.20436190000000001</v>
      </c>
      <c r="X4385">
        <v>0.97629109999999997</v>
      </c>
      <c r="Y4385">
        <v>0.1159422</v>
      </c>
      <c r="Z4385">
        <v>-3.2997640000000002E-3</v>
      </c>
      <c r="AA4385">
        <v>0.99325050000000004</v>
      </c>
      <c r="AB4385">
        <v>37</v>
      </c>
      <c r="AC4385">
        <v>0.38509999999996503</v>
      </c>
      <c r="AD4385">
        <v>-0.106292999999999</v>
      </c>
      <c r="AE4385">
        <v>-0.103639999999998</v>
      </c>
      <c r="AF4385">
        <v>8.1300045539740295E-2</v>
      </c>
      <c r="AG4385">
        <v>-0.106292999999999</v>
      </c>
      <c r="AH4385">
        <v>0.363366998022008</v>
      </c>
      <c r="AI4385">
        <v>105.932164321781</v>
      </c>
      <c r="AJ4385">
        <v>77.388301994722298</v>
      </c>
      <c r="AK4385">
        <v>0.38722535364473398</v>
      </c>
      <c r="AL4385">
        <v>78.207852217646604</v>
      </c>
      <c r="AM4385">
        <v>85.819654878915699</v>
      </c>
      <c r="AN4385">
        <v>1.0000000047350099</v>
      </c>
    </row>
    <row r="4386" spans="1:40" x14ac:dyDescent="0.25">
      <c r="A4386" t="str">
        <f>"20190303162642080"</f>
        <v>20190303162642080</v>
      </c>
      <c r="B4386" t="str">
        <f>"1551601602067751"</f>
        <v>1551601602067751</v>
      </c>
      <c r="C4386" t="s">
        <v>40</v>
      </c>
      <c r="D4386">
        <v>5.1430959999999999</v>
      </c>
      <c r="E4386">
        <v>0.49927189999999999</v>
      </c>
      <c r="F4386" t="s">
        <v>42</v>
      </c>
      <c r="G4386">
        <v>-363.66059999999999</v>
      </c>
      <c r="H4386">
        <v>0.93443390000000004</v>
      </c>
      <c r="I4386">
        <v>17.965119999999999</v>
      </c>
      <c r="J4386">
        <v>-363.97359999999998</v>
      </c>
      <c r="K4386">
        <v>1.1205480000000001</v>
      </c>
      <c r="L4386">
        <v>18.017700000000001</v>
      </c>
      <c r="M4386">
        <v>0.99901439999999997</v>
      </c>
      <c r="N4386">
        <v>-1.133089E-2</v>
      </c>
      <c r="O4386">
        <v>-4.291652E-2</v>
      </c>
      <c r="P4386">
        <v>0.97497699999999998</v>
      </c>
      <c r="Q4386">
        <v>0.1922633</v>
      </c>
      <c r="R4386">
        <v>-0.1116029</v>
      </c>
      <c r="S4386">
        <v>3.2164609999999998</v>
      </c>
      <c r="T4386">
        <v>-0.88497809999999899</v>
      </c>
      <c r="U4386">
        <v>-0.32415769999999999</v>
      </c>
      <c r="V4386">
        <v>6.9808250000000002E-2</v>
      </c>
      <c r="W4386">
        <v>0.20328959999999999</v>
      </c>
      <c r="X4386">
        <v>0.97662689999999996</v>
      </c>
      <c r="Y4386">
        <v>5.6751080000000002E-2</v>
      </c>
      <c r="Z4386">
        <v>3.1041860000000001E-3</v>
      </c>
      <c r="AA4386">
        <v>0.99838349999999998</v>
      </c>
      <c r="AB4386">
        <v>37</v>
      </c>
      <c r="AC4386">
        <v>0.31299999999998801</v>
      </c>
      <c r="AD4386">
        <v>-0.18611409999999901</v>
      </c>
      <c r="AE4386">
        <v>-5.2579999999998898E-2</v>
      </c>
      <c r="AF4386">
        <v>2.9093628561907201E-2</v>
      </c>
      <c r="AG4386">
        <v>-0.18611409999999901</v>
      </c>
      <c r="AH4386">
        <v>0.23437549558200901</v>
      </c>
      <c r="AI4386">
        <v>128.239416685874</v>
      </c>
      <c r="AJ4386">
        <v>82.9239253005465</v>
      </c>
      <c r="AK4386">
        <v>0.30069381498630798</v>
      </c>
      <c r="AL4386">
        <v>78.270607580092801</v>
      </c>
      <c r="AM4386">
        <v>85.911512299148797</v>
      </c>
      <c r="AN4386">
        <v>0.99999997751991598</v>
      </c>
    </row>
    <row r="4387" spans="1:40" x14ac:dyDescent="0.25">
      <c r="A4387" t="str">
        <f>"20190303162642102"</f>
        <v>20190303162642102</v>
      </c>
      <c r="B4387" t="str">
        <f>"1551601602098006"</f>
        <v>1551601602098006</v>
      </c>
      <c r="C4387" t="s">
        <v>40</v>
      </c>
      <c r="D4387">
        <v>5.1816089999999999</v>
      </c>
      <c r="E4387">
        <v>0.50075259999999999</v>
      </c>
      <c r="F4387" t="s">
        <v>42</v>
      </c>
      <c r="G4387">
        <v>-363.0471</v>
      </c>
      <c r="H4387">
        <v>0.83983969999999897</v>
      </c>
      <c r="I4387">
        <v>17.926639999999999</v>
      </c>
      <c r="J4387">
        <v>-363.6146</v>
      </c>
      <c r="K4387">
        <v>1.1206320000000001</v>
      </c>
      <c r="L4387">
        <v>18.002040000000001</v>
      </c>
      <c r="M4387">
        <v>0.99900500000000003</v>
      </c>
      <c r="N4387">
        <v>-1.160249E-2</v>
      </c>
      <c r="O4387">
        <v>-4.3064180000000001E-2</v>
      </c>
      <c r="P4387">
        <v>0.97511859999999995</v>
      </c>
      <c r="Q4387">
        <v>0.1916052</v>
      </c>
      <c r="R4387">
        <v>-0.1114956</v>
      </c>
      <c r="S4387">
        <v>3.2338870000000002</v>
      </c>
      <c r="T4387">
        <v>-0.97977539999999996</v>
      </c>
      <c r="U4387">
        <v>-0.31723020000000002</v>
      </c>
      <c r="V4387">
        <v>6.9535730000000004E-2</v>
      </c>
      <c r="W4387">
        <v>0.2029039</v>
      </c>
      <c r="X4387">
        <v>0.9767266</v>
      </c>
      <c r="Y4387">
        <v>5.3950030000000003E-2</v>
      </c>
      <c r="Z4387">
        <v>3.9380800000000001E-3</v>
      </c>
      <c r="AA4387">
        <v>0.99853590000000003</v>
      </c>
      <c r="AB4387">
        <v>37</v>
      </c>
      <c r="AC4387">
        <v>0.56749999999999501</v>
      </c>
      <c r="AD4387">
        <v>-0.28079229999999999</v>
      </c>
      <c r="AE4387">
        <v>-7.5400000000001896E-2</v>
      </c>
      <c r="AF4387">
        <v>4.1021088221310301E-2</v>
      </c>
      <c r="AG4387">
        <v>-0.28079229999999999</v>
      </c>
      <c r="AH4387">
        <v>0.459644624536998</v>
      </c>
      <c r="AI4387">
        <v>121.319327073644</v>
      </c>
      <c r="AJ4387">
        <v>84.900136238345198</v>
      </c>
      <c r="AK4387">
        <v>0.54018536289306196</v>
      </c>
      <c r="AL4387">
        <v>78.293177570415907</v>
      </c>
      <c r="AM4387">
        <v>85.927833589602301</v>
      </c>
      <c r="AN4387">
        <v>1.0000000307646999</v>
      </c>
    </row>
    <row r="4388" spans="1:40" x14ac:dyDescent="0.25">
      <c r="A4388" t="str">
        <f>"20190303162642125"</f>
        <v>20190303162642125</v>
      </c>
      <c r="B4388" t="str">
        <f>"1551601602118503"</f>
        <v>1551601602118503</v>
      </c>
      <c r="C4388" t="s">
        <v>40</v>
      </c>
      <c r="D4388">
        <v>5.1408829999999996</v>
      </c>
      <c r="E4388">
        <v>0.50289300000000003</v>
      </c>
      <c r="F4388" t="s">
        <v>42</v>
      </c>
      <c r="G4388">
        <v>-362.71730000000002</v>
      </c>
      <c r="H4388">
        <v>0.84775519999999904</v>
      </c>
      <c r="I4388">
        <v>17.910910000000001</v>
      </c>
      <c r="J4388">
        <v>-363.2373</v>
      </c>
      <c r="K4388">
        <v>1.120708</v>
      </c>
      <c r="L4388">
        <v>17.985600000000002</v>
      </c>
      <c r="M4388">
        <v>0.99899450000000001</v>
      </c>
      <c r="N4388">
        <v>-1.190568E-2</v>
      </c>
      <c r="O4388">
        <v>-4.322732E-2</v>
      </c>
      <c r="P4388">
        <v>0.9752691</v>
      </c>
      <c r="Q4388">
        <v>0.19061639999999999</v>
      </c>
      <c r="R4388">
        <v>-0.1118743</v>
      </c>
      <c r="S4388">
        <v>3.2321780000000002</v>
      </c>
      <c r="T4388">
        <v>-0.98302129999999999</v>
      </c>
      <c r="U4388">
        <v>-0.32791140000000002</v>
      </c>
      <c r="V4388">
        <v>6.973327E-2</v>
      </c>
      <c r="W4388">
        <v>0.20221800000000001</v>
      </c>
      <c r="X4388">
        <v>0.97685469999999996</v>
      </c>
      <c r="Y4388">
        <v>5.6961110000000002E-2</v>
      </c>
      <c r="Z4388">
        <v>3.5148079999999999E-3</v>
      </c>
      <c r="AA4388">
        <v>0.99837019999999999</v>
      </c>
      <c r="AB4388">
        <v>37</v>
      </c>
      <c r="AC4388">
        <v>0.51999999999998103</v>
      </c>
      <c r="AD4388">
        <v>-0.2729528</v>
      </c>
      <c r="AE4388">
        <v>-7.4690000000000298E-2</v>
      </c>
      <c r="AF4388">
        <v>4.1056703847639098E-2</v>
      </c>
      <c r="AG4388">
        <v>-0.2729528</v>
      </c>
      <c r="AH4388">
        <v>0.41162136692138601</v>
      </c>
      <c r="AI4388">
        <v>123.41850488159901</v>
      </c>
      <c r="AJ4388">
        <v>84.303937687633805</v>
      </c>
      <c r="AK4388">
        <v>0.49560168852103698</v>
      </c>
      <c r="AL4388">
        <v>78.333308037088699</v>
      </c>
      <c r="AM4388">
        <v>85.916837997354193</v>
      </c>
      <c r="AN4388">
        <v>0.99999997669049101</v>
      </c>
    </row>
    <row r="4389" spans="1:40" x14ac:dyDescent="0.25">
      <c r="A4389" t="str">
        <f>"20190303162642147"</f>
        <v>20190303162642147</v>
      </c>
      <c r="B4389" t="str">
        <f>"1551601602138022"</f>
        <v>1551601602138022</v>
      </c>
      <c r="C4389" t="s">
        <v>40</v>
      </c>
      <c r="D4389">
        <v>5.1793100000000001</v>
      </c>
      <c r="E4389">
        <v>0.5042413</v>
      </c>
      <c r="F4389" t="s">
        <v>42</v>
      </c>
      <c r="G4389">
        <v>-362.38560000000001</v>
      </c>
      <c r="H4389">
        <v>0.86166559999999903</v>
      </c>
      <c r="I4389">
        <v>17.894210000000001</v>
      </c>
      <c r="J4389">
        <v>-362.87060000000002</v>
      </c>
      <c r="K4389">
        <v>1.1207640000000001</v>
      </c>
      <c r="L4389">
        <v>17.96951</v>
      </c>
      <c r="M4389">
        <v>0.99898370000000003</v>
      </c>
      <c r="N4389">
        <v>-1.219368E-2</v>
      </c>
      <c r="O4389">
        <v>-4.3393229999999998E-2</v>
      </c>
      <c r="P4389">
        <v>0.97560950000000002</v>
      </c>
      <c r="Q4389">
        <v>0.1885801</v>
      </c>
      <c r="R4389">
        <v>-0.112356</v>
      </c>
      <c r="S4389">
        <v>3.2283629999999999</v>
      </c>
      <c r="T4389">
        <v>-0.98187409999999997</v>
      </c>
      <c r="U4389">
        <v>-0.34551999999999999</v>
      </c>
      <c r="V4389">
        <v>7.0025110000000002E-2</v>
      </c>
      <c r="W4389">
        <v>0.20047110000000001</v>
      </c>
      <c r="X4389">
        <v>0.9771938</v>
      </c>
      <c r="Y4389">
        <v>6.2063460000000001E-2</v>
      </c>
      <c r="Z4389">
        <v>2.7512510000000001E-3</v>
      </c>
      <c r="AA4389">
        <v>0.99806839999999997</v>
      </c>
      <c r="AB4389">
        <v>37</v>
      </c>
      <c r="AC4389">
        <v>0.48500000000001298</v>
      </c>
      <c r="AD4389">
        <v>-0.25909839999999901</v>
      </c>
      <c r="AE4389">
        <v>-7.5299999999998493E-2</v>
      </c>
      <c r="AF4389">
        <v>4.2373305564265197E-2</v>
      </c>
      <c r="AG4389">
        <v>-0.25909839999999901</v>
      </c>
      <c r="AH4389">
        <v>0.38149646414588401</v>
      </c>
      <c r="AI4389">
        <v>124.01983464553</v>
      </c>
      <c r="AJ4389">
        <v>83.662061849112206</v>
      </c>
      <c r="AK4389">
        <v>0.46310585189869302</v>
      </c>
      <c r="AL4389">
        <v>78.435490394905898</v>
      </c>
      <c r="AM4389">
        <v>85.901225732220396</v>
      </c>
      <c r="AN4389">
        <v>0.999999950362079</v>
      </c>
    </row>
    <row r="4390" spans="1:40" x14ac:dyDescent="0.25">
      <c r="A4390" t="str">
        <f>"20190303162642170"</f>
        <v>20190303162642170</v>
      </c>
      <c r="B4390" t="str">
        <f>"1551601602158520"</f>
        <v>1551601602158520</v>
      </c>
      <c r="C4390" t="s">
        <v>40</v>
      </c>
      <c r="D4390">
        <v>5.1748029999999998</v>
      </c>
      <c r="E4390">
        <v>0.50508790000000003</v>
      </c>
      <c r="F4390" t="s">
        <v>42</v>
      </c>
      <c r="G4390">
        <v>-362.05579999999998</v>
      </c>
      <c r="H4390">
        <v>0.87131999999999998</v>
      </c>
      <c r="I4390">
        <v>17.879490000000001</v>
      </c>
      <c r="J4390">
        <v>-362.51409999999998</v>
      </c>
      <c r="K4390">
        <v>1.1208039999999999</v>
      </c>
      <c r="L4390">
        <v>17.95383</v>
      </c>
      <c r="M4390">
        <v>0.99897340000000001</v>
      </c>
      <c r="N4390">
        <v>-1.2454710000000001E-2</v>
      </c>
      <c r="O4390">
        <v>-4.3557419999999999E-2</v>
      </c>
      <c r="P4390">
        <v>0.97582060000000004</v>
      </c>
      <c r="Q4390">
        <v>0.18706880000000001</v>
      </c>
      <c r="R4390">
        <v>-0.1130475</v>
      </c>
      <c r="S4390">
        <v>3.2248540000000001</v>
      </c>
      <c r="T4390">
        <v>-0.98722529999999997</v>
      </c>
      <c r="U4390">
        <v>-0.35574339999999999</v>
      </c>
      <c r="V4390">
        <v>7.0537240000000001E-2</v>
      </c>
      <c r="W4390">
        <v>0.19922090000000001</v>
      </c>
      <c r="X4390">
        <v>0.97741270000000002</v>
      </c>
      <c r="Y4390">
        <v>6.4992010000000003E-2</v>
      </c>
      <c r="Z4390">
        <v>2.3451800000000001E-3</v>
      </c>
      <c r="AA4390">
        <v>0.99788299999999996</v>
      </c>
      <c r="AB4390">
        <v>37</v>
      </c>
      <c r="AC4390">
        <v>0.45830000000000798</v>
      </c>
      <c r="AD4390">
        <v>-0.24948400000000001</v>
      </c>
      <c r="AE4390">
        <v>-7.4339999999999407E-2</v>
      </c>
      <c r="AF4390">
        <v>4.2138473155885398E-2</v>
      </c>
      <c r="AG4390">
        <v>-0.24948400000000001</v>
      </c>
      <c r="AH4390">
        <v>0.35779396180179102</v>
      </c>
      <c r="AI4390">
        <v>124.702519434113</v>
      </c>
      <c r="AJ4390">
        <v>83.283045136202105</v>
      </c>
      <c r="AK4390">
        <v>0.43821733908841498</v>
      </c>
      <c r="AL4390">
        <v>78.508597230801897</v>
      </c>
      <c r="AM4390">
        <v>85.8722740020402</v>
      </c>
      <c r="AN4390">
        <v>1.0000000276724501</v>
      </c>
    </row>
    <row r="4391" spans="1:40" x14ac:dyDescent="0.25">
      <c r="A4391" t="str">
        <f>"20190303162642192"</f>
        <v>20190303162642192</v>
      </c>
      <c r="B4391" t="str">
        <f>"1551601602188774"</f>
        <v>1551601602188774</v>
      </c>
      <c r="C4391" t="s">
        <v>40</v>
      </c>
      <c r="D4391">
        <v>5.2753649999999999</v>
      </c>
      <c r="E4391">
        <v>0.50643149999999904</v>
      </c>
      <c r="F4391" t="s">
        <v>42</v>
      </c>
      <c r="G4391">
        <v>-361.72719999999998</v>
      </c>
      <c r="H4391">
        <v>0.87871650000000001</v>
      </c>
      <c r="I4391">
        <v>17.864650000000001</v>
      </c>
      <c r="J4391">
        <v>-362.15089999999998</v>
      </c>
      <c r="K4391">
        <v>1.1208400000000001</v>
      </c>
      <c r="L4391">
        <v>17.93787</v>
      </c>
      <c r="M4391">
        <v>0.99896300000000005</v>
      </c>
      <c r="N4391">
        <v>-1.26926E-2</v>
      </c>
      <c r="O4391">
        <v>-4.3723610000000003E-2</v>
      </c>
      <c r="P4391">
        <v>0.9757749</v>
      </c>
      <c r="Q4391">
        <v>0.18640880000000001</v>
      </c>
      <c r="R4391">
        <v>-0.114522</v>
      </c>
      <c r="S4391">
        <v>3.2222599999999999</v>
      </c>
      <c r="T4391">
        <v>-0.99118519999999999</v>
      </c>
      <c r="U4391">
        <v>-0.36358639999999998</v>
      </c>
      <c r="V4391">
        <v>7.1843829999999997E-2</v>
      </c>
      <c r="W4391">
        <v>0.19879469999999999</v>
      </c>
      <c r="X4391">
        <v>0.9774043</v>
      </c>
      <c r="Y4391">
        <v>6.7198679999999997E-2</v>
      </c>
      <c r="Z4391">
        <v>2.0442479999999998E-3</v>
      </c>
      <c r="AA4391">
        <v>0.99773750000000005</v>
      </c>
      <c r="AB4391">
        <v>36</v>
      </c>
      <c r="AC4391">
        <v>0.42369999999999602</v>
      </c>
      <c r="AD4391">
        <v>-0.24212349999999999</v>
      </c>
      <c r="AE4391">
        <v>-7.3219999999999105E-2</v>
      </c>
      <c r="AF4391">
        <v>4.14724430030406E-2</v>
      </c>
      <c r="AG4391">
        <v>-0.24212349999999999</v>
      </c>
      <c r="AH4391">
        <v>0.32381818338791402</v>
      </c>
      <c r="AI4391">
        <v>126.56271926713001</v>
      </c>
      <c r="AJ4391">
        <v>82.7016751904236</v>
      </c>
      <c r="AK4391">
        <v>0.40645045045311401</v>
      </c>
      <c r="AL4391">
        <v>78.533514978928807</v>
      </c>
      <c r="AM4391">
        <v>85.796050091923604</v>
      </c>
      <c r="AN4391">
        <v>1.0000000171578201</v>
      </c>
    </row>
    <row r="4392" spans="1:40" x14ac:dyDescent="0.25">
      <c r="A4392" t="str">
        <f>"20190303162642215"</f>
        <v>20190303162642215</v>
      </c>
      <c r="B4392" t="str">
        <f>"1551601602208295"</f>
        <v>1551601602208295</v>
      </c>
      <c r="C4392" t="s">
        <v>40</v>
      </c>
      <c r="D4392">
        <v>5.2501439999999997</v>
      </c>
      <c r="E4392">
        <v>0.52412619999999999</v>
      </c>
      <c r="F4392" t="s">
        <v>42</v>
      </c>
      <c r="G4392">
        <v>-361.39819999999997</v>
      </c>
      <c r="H4392">
        <v>0.88775550000000003</v>
      </c>
      <c r="I4392">
        <v>17.849</v>
      </c>
      <c r="J4392">
        <v>-361.76960000000003</v>
      </c>
      <c r="K4392">
        <v>1.120868</v>
      </c>
      <c r="L4392">
        <v>17.92099</v>
      </c>
      <c r="M4392">
        <v>0.99895279999999997</v>
      </c>
      <c r="N4392">
        <v>-1.291107E-2</v>
      </c>
      <c r="O4392">
        <v>-4.3895950000000003E-2</v>
      </c>
      <c r="P4392">
        <v>0.97546860000000002</v>
      </c>
      <c r="Q4392">
        <v>0.1870628</v>
      </c>
      <c r="R4392">
        <v>-0.1160552</v>
      </c>
      <c r="S4392">
        <v>3.2205509999999999</v>
      </c>
      <c r="T4392">
        <v>-0.9972761</v>
      </c>
      <c r="U4392">
        <v>-0.37890629999999997</v>
      </c>
      <c r="V4392">
        <v>7.321706E-2</v>
      </c>
      <c r="W4392">
        <v>0.19965959999999999</v>
      </c>
      <c r="X4392">
        <v>0.9771261</v>
      </c>
      <c r="Y4392">
        <v>7.154626E-2</v>
      </c>
      <c r="Z4392">
        <v>1.4108629999999901E-3</v>
      </c>
      <c r="AA4392">
        <v>0.99743630000000005</v>
      </c>
      <c r="AB4392">
        <v>36</v>
      </c>
      <c r="AC4392">
        <v>0.37140000000005102</v>
      </c>
      <c r="AD4392">
        <v>-0.233112499999999</v>
      </c>
      <c r="AE4392">
        <v>-7.1989999999999499E-2</v>
      </c>
      <c r="AF4392">
        <v>4.0310709646486399E-2</v>
      </c>
      <c r="AG4392">
        <v>-0.233112499999999</v>
      </c>
      <c r="AH4392">
        <v>0.27122199150521897</v>
      </c>
      <c r="AI4392">
        <v>130.369563611525</v>
      </c>
      <c r="AJ4392">
        <v>81.546227490043705</v>
      </c>
      <c r="AK4392">
        <v>0.35989965218726</v>
      </c>
      <c r="AL4392">
        <v>78.482946557703599</v>
      </c>
      <c r="AM4392">
        <v>85.7147765755102</v>
      </c>
      <c r="AN4392">
        <v>1.0000000545242</v>
      </c>
    </row>
    <row r="4393" spans="1:40" x14ac:dyDescent="0.25">
      <c r="A4393" t="str">
        <f>"20190303162642237"</f>
        <v>20190303162642237</v>
      </c>
      <c r="B4393" t="str">
        <f>"1551601602227815"</f>
        <v>1551601602227815</v>
      </c>
      <c r="C4393" t="s">
        <v>40</v>
      </c>
      <c r="D4393">
        <v>5.2748229999999996</v>
      </c>
      <c r="E4393">
        <v>0.52443949999999995</v>
      </c>
      <c r="F4393" t="s">
        <v>42</v>
      </c>
      <c r="G4393">
        <v>-361.07749999999999</v>
      </c>
      <c r="H4393">
        <v>0.8792392</v>
      </c>
      <c r="I4393">
        <v>17.8079</v>
      </c>
      <c r="J4393">
        <v>-361.41050000000001</v>
      </c>
      <c r="K4393">
        <v>1.1208819999999999</v>
      </c>
      <c r="L4393">
        <v>17.90503</v>
      </c>
      <c r="M4393">
        <v>0.99894320000000003</v>
      </c>
      <c r="N4393">
        <v>-1.309131E-2</v>
      </c>
      <c r="O4393">
        <v>-4.4056659999999997E-2</v>
      </c>
      <c r="P4393">
        <v>0.97553000000000001</v>
      </c>
      <c r="Q4393">
        <v>0.1862915</v>
      </c>
      <c r="R4393">
        <v>-0.11677650000000001</v>
      </c>
      <c r="S4393">
        <v>3.229034</v>
      </c>
      <c r="T4393">
        <v>-1.1274109999999999</v>
      </c>
      <c r="U4393">
        <v>-0.5261536</v>
      </c>
      <c r="V4393">
        <v>7.3774980000000004E-2</v>
      </c>
      <c r="W4393">
        <v>0.19906670000000001</v>
      </c>
      <c r="X4393">
        <v>0.97720499999999999</v>
      </c>
      <c r="Y4393">
        <v>0.11277040000000001</v>
      </c>
      <c r="Z4393">
        <v>-5.494784E-3</v>
      </c>
      <c r="AA4393">
        <v>0.99360590000000004</v>
      </c>
      <c r="AB4393">
        <v>36</v>
      </c>
      <c r="AC4393">
        <v>0.333000000000026</v>
      </c>
      <c r="AD4393">
        <v>-0.24164279999999999</v>
      </c>
      <c r="AE4393">
        <v>-9.7129999999999897E-2</v>
      </c>
      <c r="AF4393">
        <v>5.5452970069040403E-2</v>
      </c>
      <c r="AG4393">
        <v>-0.24164279999999999</v>
      </c>
      <c r="AH4393">
        <v>0.22686276529521601</v>
      </c>
      <c r="AI4393">
        <v>135.976697090112</v>
      </c>
      <c r="AJ4393">
        <v>76.264297116414397</v>
      </c>
      <c r="AK4393">
        <v>0.336055038585512</v>
      </c>
      <c r="AL4393">
        <v>78.517611978033401</v>
      </c>
      <c r="AM4393">
        <v>85.682593143291399</v>
      </c>
      <c r="AN4393">
        <v>0.99999995537394404</v>
      </c>
    </row>
    <row r="4394" spans="1:40" x14ac:dyDescent="0.25">
      <c r="A4394" t="str">
        <f>"20190303162642258"</f>
        <v>20190303162642258</v>
      </c>
      <c r="B4394" t="str">
        <f>"1551601602248311"</f>
        <v>1551601602248311</v>
      </c>
      <c r="C4394" t="s">
        <v>40</v>
      </c>
      <c r="D4394">
        <v>5.2814059999999996</v>
      </c>
      <c r="E4394">
        <v>0.52482830000000003</v>
      </c>
      <c r="F4394" t="s">
        <v>42</v>
      </c>
      <c r="G4394">
        <v>-360.74860000000001</v>
      </c>
      <c r="H4394">
        <v>0.88938309999999998</v>
      </c>
      <c r="I4394">
        <v>17.795579999999902</v>
      </c>
      <c r="J4394">
        <v>-361.07279999999997</v>
      </c>
      <c r="K4394">
        <v>1.1208370000000001</v>
      </c>
      <c r="L4394">
        <v>17.890170000000001</v>
      </c>
      <c r="M4394">
        <v>0.99889649999999996</v>
      </c>
      <c r="N4394">
        <v>-1.2828869999999999E-2</v>
      </c>
      <c r="O4394">
        <v>-4.518142E-2</v>
      </c>
      <c r="P4394">
        <v>0.97555029999999998</v>
      </c>
      <c r="Q4394">
        <v>0.1855118</v>
      </c>
      <c r="R4394">
        <v>-0.11784360000000001</v>
      </c>
      <c r="S4394">
        <v>3.2269899999999998</v>
      </c>
      <c r="T4394">
        <v>-1.1284430000000001</v>
      </c>
      <c r="U4394">
        <v>-0.53259279999999998</v>
      </c>
      <c r="V4394">
        <v>7.3703450000000004E-2</v>
      </c>
      <c r="W4394">
        <v>0.19804459999999999</v>
      </c>
      <c r="X4394">
        <v>0.97741809999999996</v>
      </c>
      <c r="Y4394">
        <v>0.1136865</v>
      </c>
      <c r="Z4394">
        <v>-5.2699110000000004E-3</v>
      </c>
      <c r="AA4394">
        <v>0.99350269999999996</v>
      </c>
      <c r="AB4394">
        <v>36</v>
      </c>
      <c r="AC4394">
        <v>0.32419999999996202</v>
      </c>
      <c r="AD4394">
        <v>-0.23145389999999999</v>
      </c>
      <c r="AE4394">
        <v>-9.4590000000003699E-2</v>
      </c>
      <c r="AF4394">
        <v>5.43269004179694E-2</v>
      </c>
      <c r="AG4394">
        <v>-0.23145389999999999</v>
      </c>
      <c r="AH4394">
        <v>0.22327170913970501</v>
      </c>
      <c r="AI4394">
        <v>135.20717072536701</v>
      </c>
      <c r="AJ4394">
        <v>76.324437045002796</v>
      </c>
      <c r="AK4394">
        <v>0.32614808911964899</v>
      </c>
      <c r="AL4394">
        <v>78.577364221062297</v>
      </c>
      <c r="AM4394">
        <v>85.687700204988502</v>
      </c>
      <c r="AN4394">
        <v>1.00000000216933</v>
      </c>
    </row>
    <row r="4395" spans="1:40" x14ac:dyDescent="0.25">
      <c r="A4395" t="str">
        <f>"20190303162642273"</f>
        <v>20190303162642273</v>
      </c>
      <c r="B4395" t="str">
        <f>"1551601602267831"</f>
        <v>1551601602267831</v>
      </c>
      <c r="C4395" t="s">
        <v>40</v>
      </c>
      <c r="D4395">
        <v>5.2670760000000003</v>
      </c>
      <c r="E4395">
        <v>0.52475729999999998</v>
      </c>
      <c r="F4395" t="s">
        <v>42</v>
      </c>
      <c r="G4395">
        <v>-360.42020000000002</v>
      </c>
      <c r="H4395">
        <v>0.89457999999999904</v>
      </c>
      <c r="I4395">
        <v>17.780539999999998</v>
      </c>
      <c r="J4395">
        <v>-360.83530000000002</v>
      </c>
      <c r="K4395">
        <v>1.120735</v>
      </c>
      <c r="L4395">
        <v>17.87961</v>
      </c>
      <c r="M4395">
        <v>0.99888270000000001</v>
      </c>
      <c r="N4395">
        <v>-1.3070979999999999E-2</v>
      </c>
      <c r="O4395">
        <v>-4.5416819999999997E-2</v>
      </c>
      <c r="P4395">
        <v>0.97552939999999999</v>
      </c>
      <c r="Q4395">
        <v>0.18546760000000001</v>
      </c>
      <c r="R4395">
        <v>-0.1180861</v>
      </c>
      <c r="S4395">
        <v>3.2225039999999998</v>
      </c>
      <c r="T4395">
        <v>-1.1171690000000001</v>
      </c>
      <c r="U4395">
        <v>-0.53939820000000005</v>
      </c>
      <c r="V4395">
        <v>7.377119E-2</v>
      </c>
      <c r="W4395">
        <v>0.19821659999999999</v>
      </c>
      <c r="X4395">
        <v>0.97737810000000003</v>
      </c>
      <c r="Y4395">
        <v>0.1156745</v>
      </c>
      <c r="Z4395">
        <v>-5.5326029999999997E-3</v>
      </c>
      <c r="AA4395">
        <v>0.99327180000000004</v>
      </c>
      <c r="AB4395">
        <v>36</v>
      </c>
      <c r="AC4395">
        <v>0.41509999999999497</v>
      </c>
      <c r="AD4395">
        <v>-0.22615499999999999</v>
      </c>
      <c r="AE4395">
        <v>-9.9070000000001102E-2</v>
      </c>
      <c r="AF4395">
        <v>6.25480712332422E-2</v>
      </c>
      <c r="AG4395">
        <v>-0.22615499999999999</v>
      </c>
      <c r="AH4395">
        <v>0.32726473792022198</v>
      </c>
      <c r="AI4395">
        <v>124.167101503414</v>
      </c>
      <c r="AJ4395">
        <v>79.179901731857996</v>
      </c>
      <c r="AK4395">
        <v>0.40269163627519</v>
      </c>
      <c r="AL4395">
        <v>78.567309768324606</v>
      </c>
      <c r="AM4395">
        <v>85.683575812068</v>
      </c>
      <c r="AN4395">
        <v>0.99999997967459298</v>
      </c>
    </row>
    <row r="4396" spans="1:40" x14ac:dyDescent="0.25">
      <c r="A4396" t="str">
        <f>"20190303162642292"</f>
        <v>20190303162642292</v>
      </c>
      <c r="B4396" t="str">
        <f>"1551601602288327"</f>
        <v>1551601602288327</v>
      </c>
      <c r="C4396" t="s">
        <v>40</v>
      </c>
      <c r="D4396">
        <v>5.2940839999999998</v>
      </c>
      <c r="E4396">
        <v>0.52452330000000003</v>
      </c>
      <c r="F4396" t="s">
        <v>42</v>
      </c>
      <c r="G4396">
        <v>-360.10640000000001</v>
      </c>
      <c r="H4396">
        <v>0.86904780000000004</v>
      </c>
      <c r="I4396">
        <v>17.757249999999999</v>
      </c>
      <c r="J4396">
        <v>-360.5283</v>
      </c>
      <c r="K4396">
        <v>1.1205689999999999</v>
      </c>
      <c r="L4396">
        <v>17.86581</v>
      </c>
      <c r="M4396">
        <v>0.99888589999999999</v>
      </c>
      <c r="N4396">
        <v>-1.350559E-2</v>
      </c>
      <c r="O4396">
        <v>-4.521882E-2</v>
      </c>
      <c r="P4396">
        <v>0.97557380000000005</v>
      </c>
      <c r="Q4396">
        <v>0.1853166</v>
      </c>
      <c r="R4396">
        <v>-0.11795650000000001</v>
      </c>
      <c r="S4396">
        <v>3.2214049999999999</v>
      </c>
      <c r="T4396">
        <v>-1.1122780000000001</v>
      </c>
      <c r="U4396">
        <v>-0.53948969999999996</v>
      </c>
      <c r="V4396">
        <v>7.3931990000000003E-2</v>
      </c>
      <c r="W4396">
        <v>0.19845399999999999</v>
      </c>
      <c r="X4396">
        <v>0.97731780000000001</v>
      </c>
      <c r="Y4396">
        <v>0.1159456</v>
      </c>
      <c r="Z4396">
        <v>-5.6721230000000003E-3</v>
      </c>
      <c r="AA4396">
        <v>0.99323930000000005</v>
      </c>
      <c r="AB4396">
        <v>37</v>
      </c>
      <c r="AC4396">
        <v>0.421899999999993</v>
      </c>
      <c r="AD4396">
        <v>-0.2515212</v>
      </c>
      <c r="AE4396">
        <v>-0.10856</v>
      </c>
      <c r="AF4396">
        <v>6.7026691190637699E-2</v>
      </c>
      <c r="AG4396">
        <v>-0.2515212</v>
      </c>
      <c r="AH4396">
        <v>0.319781698170156</v>
      </c>
      <c r="AI4396">
        <v>127.589511765176</v>
      </c>
      <c r="AJ4396">
        <v>78.162096184652</v>
      </c>
      <c r="AK4396">
        <v>0.412329753796636</v>
      </c>
      <c r="AL4396">
        <v>78.553432360819102</v>
      </c>
      <c r="AM4396">
        <v>85.673937035392399</v>
      </c>
      <c r="AN4396">
        <v>1.0000000057291001</v>
      </c>
    </row>
    <row r="4397" spans="1:40" x14ac:dyDescent="0.25">
      <c r="A4397" t="str">
        <f>"20190303162642305"</f>
        <v>20190303162642305</v>
      </c>
      <c r="B4397" t="str">
        <f>"1551601602298087"</f>
        <v>1551601602298087</v>
      </c>
      <c r="C4397" t="s">
        <v>40</v>
      </c>
      <c r="D4397">
        <v>5.2825230000000003</v>
      </c>
      <c r="E4397">
        <v>0.52454299999999998</v>
      </c>
      <c r="F4397" t="s">
        <v>42</v>
      </c>
      <c r="G4397">
        <v>-359.78550000000001</v>
      </c>
      <c r="H4397">
        <v>0.86356880000000003</v>
      </c>
      <c r="I4397">
        <v>17.74119</v>
      </c>
      <c r="J4397">
        <v>-360.30680000000001</v>
      </c>
      <c r="K4397">
        <v>1.1204559999999999</v>
      </c>
      <c r="L4397">
        <v>17.85568</v>
      </c>
      <c r="M4397">
        <v>0.99889779999999995</v>
      </c>
      <c r="N4397">
        <v>-1.3783119999999999E-2</v>
      </c>
      <c r="O4397">
        <v>-4.4872629999999997E-2</v>
      </c>
      <c r="P4397">
        <v>0.97565519999999994</v>
      </c>
      <c r="Q4397">
        <v>0.18498690000000001</v>
      </c>
      <c r="R4397">
        <v>-0.1178024</v>
      </c>
      <c r="S4397">
        <v>3.2217099999999999</v>
      </c>
      <c r="T4397">
        <v>-1.1146130000000001</v>
      </c>
      <c r="U4397">
        <v>-0.53872679999999995</v>
      </c>
      <c r="V4397">
        <v>7.4171529999999999E-2</v>
      </c>
      <c r="W4397">
        <v>0.19837460000000001</v>
      </c>
      <c r="X4397">
        <v>0.97731579999999996</v>
      </c>
      <c r="Y4397">
        <v>0.1159979</v>
      </c>
      <c r="Z4397">
        <v>-5.8289659999999997E-3</v>
      </c>
      <c r="AA4397">
        <v>0.99323240000000002</v>
      </c>
      <c r="AB4397">
        <v>36</v>
      </c>
      <c r="AC4397">
        <v>0.52129999999999599</v>
      </c>
      <c r="AD4397">
        <v>-0.25688719999999898</v>
      </c>
      <c r="AE4397">
        <v>-0.114489999999999</v>
      </c>
      <c r="AF4397">
        <v>7.3868062736973494E-2</v>
      </c>
      <c r="AG4397">
        <v>-0.25688719999999898</v>
      </c>
      <c r="AH4397">
        <v>0.42699509800466601</v>
      </c>
      <c r="AI4397">
        <v>120.659930631695</v>
      </c>
      <c r="AJ4397">
        <v>80.185250791385798</v>
      </c>
      <c r="AK4397">
        <v>0.50375821376565899</v>
      </c>
      <c r="AL4397">
        <v>78.558074271811904</v>
      </c>
      <c r="AM4397">
        <v>85.6599651907744</v>
      </c>
      <c r="AN4397">
        <v>1.00000003535867</v>
      </c>
    </row>
    <row r="4398" spans="1:40" x14ac:dyDescent="0.25">
      <c r="A4398" t="str">
        <f>"20190303162642327"</f>
        <v>20190303162642327</v>
      </c>
      <c r="B4398" t="str">
        <f>"1551601602318583"</f>
        <v>1551601602318583</v>
      </c>
      <c r="C4398" t="s">
        <v>40</v>
      </c>
      <c r="D4398">
        <v>5.2900809999999998</v>
      </c>
      <c r="E4398">
        <v>0.52456990000000003</v>
      </c>
      <c r="F4398" t="s">
        <v>42</v>
      </c>
      <c r="G4398">
        <v>-359.47550000000001</v>
      </c>
      <c r="H4398">
        <v>0.83272489999999999</v>
      </c>
      <c r="I4398">
        <v>17.71613</v>
      </c>
      <c r="J4398">
        <v>-359.96449999999999</v>
      </c>
      <c r="K4398">
        <v>1.120368</v>
      </c>
      <c r="L4398">
        <v>17.84</v>
      </c>
      <c r="M4398">
        <v>0.99891490000000005</v>
      </c>
      <c r="N4398">
        <v>-1.40232E-2</v>
      </c>
      <c r="O4398">
        <v>-4.4412590000000002E-2</v>
      </c>
      <c r="P4398">
        <v>0.97578240000000005</v>
      </c>
      <c r="Q4398">
        <v>0.18409410000000001</v>
      </c>
      <c r="R4398">
        <v>-0.118146</v>
      </c>
      <c r="S4398">
        <v>3.2210999999999999</v>
      </c>
      <c r="T4398">
        <v>-1.114906</v>
      </c>
      <c r="U4398">
        <v>-0.53967290000000001</v>
      </c>
      <c r="V4398">
        <v>7.4983569999999999E-2</v>
      </c>
      <c r="W4398">
        <v>0.1977081</v>
      </c>
      <c r="X4398">
        <v>0.9773889</v>
      </c>
      <c r="Y4398">
        <v>0.1166925</v>
      </c>
      <c r="Z4398">
        <v>-6.1238630000000002E-3</v>
      </c>
      <c r="AA4398">
        <v>0.99314919999999995</v>
      </c>
      <c r="AB4398">
        <v>36</v>
      </c>
      <c r="AC4398">
        <v>0.48899999999997501</v>
      </c>
      <c r="AD4398">
        <v>-0.28764309999999998</v>
      </c>
      <c r="AE4398">
        <v>-0.12386999999999999</v>
      </c>
      <c r="AF4398">
        <v>7.6993594414304603E-2</v>
      </c>
      <c r="AG4398">
        <v>-0.28764309999999998</v>
      </c>
      <c r="AH4398">
        <v>0.37280330893359298</v>
      </c>
      <c r="AI4398">
        <v>127.075478196297</v>
      </c>
      <c r="AJ4398">
        <v>78.330989168836297</v>
      </c>
      <c r="AK4398">
        <v>0.47712563723853701</v>
      </c>
      <c r="AL4398">
        <v>78.597033662546295</v>
      </c>
      <c r="AM4398">
        <v>85.612961277741704</v>
      </c>
      <c r="AN4398">
        <v>1.00000004520938</v>
      </c>
    </row>
    <row r="4399" spans="1:40" x14ac:dyDescent="0.25">
      <c r="A4399" t="str">
        <f>"20190303162642348"</f>
        <v>20190303162642348</v>
      </c>
      <c r="B4399" t="str">
        <f>"1551601602338103"</f>
        <v>1551601602338103</v>
      </c>
      <c r="C4399" t="s">
        <v>40</v>
      </c>
      <c r="D4399">
        <v>5.3231960000000003</v>
      </c>
      <c r="E4399">
        <v>0.52469299999999996</v>
      </c>
      <c r="F4399" t="s">
        <v>42</v>
      </c>
      <c r="G4399">
        <v>-359.15010000000001</v>
      </c>
      <c r="H4399">
        <v>0.83850069999999999</v>
      </c>
      <c r="I4399">
        <v>17.70234</v>
      </c>
      <c r="J4399">
        <v>-359.6207</v>
      </c>
      <c r="K4399">
        <v>1.1204130000000001</v>
      </c>
      <c r="L4399">
        <v>17.824249999999999</v>
      </c>
      <c r="M4399">
        <v>0.99891549999999996</v>
      </c>
      <c r="N4399">
        <v>-1.409008E-2</v>
      </c>
      <c r="O4399">
        <v>-4.4381360000000002E-2</v>
      </c>
      <c r="P4399">
        <v>0.97551209999999999</v>
      </c>
      <c r="Q4399">
        <v>0.1846949</v>
      </c>
      <c r="R4399">
        <v>-0.11943429999999999</v>
      </c>
      <c r="S4399">
        <v>3.2190249999999998</v>
      </c>
      <c r="T4399">
        <v>-1.1141380000000001</v>
      </c>
      <c r="U4399">
        <v>-0.54238889999999995</v>
      </c>
      <c r="V4399">
        <v>7.6261830000000003E-2</v>
      </c>
      <c r="W4399">
        <v>0.19838910000000001</v>
      </c>
      <c r="X4399">
        <v>0.97715189999999996</v>
      </c>
      <c r="Y4399">
        <v>0.1175872</v>
      </c>
      <c r="Z4399">
        <v>-6.2963530000000002E-3</v>
      </c>
      <c r="AA4399">
        <v>0.9930426</v>
      </c>
      <c r="AB4399">
        <v>36</v>
      </c>
      <c r="AC4399">
        <v>0.47059999999999003</v>
      </c>
      <c r="AD4399">
        <v>-0.28191229999999901</v>
      </c>
      <c r="AE4399">
        <v>-0.12190999999999901</v>
      </c>
      <c r="AF4399">
        <v>7.5508915470274302E-2</v>
      </c>
      <c r="AG4399">
        <v>-0.28191229999999901</v>
      </c>
      <c r="AH4399">
        <v>0.355870932213942</v>
      </c>
      <c r="AI4399">
        <v>127.772961686302</v>
      </c>
      <c r="AJ4399">
        <v>78.020610269323399</v>
      </c>
      <c r="AK4399">
        <v>0.460239352513024</v>
      </c>
      <c r="AL4399">
        <v>78.557225862979493</v>
      </c>
      <c r="AM4399">
        <v>85.537396241791598</v>
      </c>
      <c r="AN4399">
        <v>0.99999996869368302</v>
      </c>
    </row>
    <row r="4400" spans="1:40" x14ac:dyDescent="0.25">
      <c r="A4400" t="str">
        <f>"20190303162642371"</f>
        <v>20190303162642371</v>
      </c>
      <c r="B4400" t="str">
        <f>"1551601602358599"</f>
        <v>1551601602358599</v>
      </c>
      <c r="C4400" t="s">
        <v>40</v>
      </c>
      <c r="D4400">
        <v>5.3405370000000003</v>
      </c>
      <c r="E4400">
        <v>0.52455479999999999</v>
      </c>
      <c r="F4400" t="s">
        <v>42</v>
      </c>
      <c r="G4400">
        <v>-358.82409999999999</v>
      </c>
      <c r="H4400">
        <v>0.84615989999999996</v>
      </c>
      <c r="I4400">
        <v>17.68826</v>
      </c>
      <c r="J4400">
        <v>-359.2577</v>
      </c>
      <c r="K4400">
        <v>1.1205320000000001</v>
      </c>
      <c r="L4400">
        <v>17.807770000000001</v>
      </c>
      <c r="M4400">
        <v>0.99889969999999995</v>
      </c>
      <c r="N4400">
        <v>-1.411809E-2</v>
      </c>
      <c r="O4400">
        <v>-4.4720940000000001E-2</v>
      </c>
      <c r="P4400">
        <v>0.97500750000000003</v>
      </c>
      <c r="Q4400">
        <v>0.18572759999999999</v>
      </c>
      <c r="R4400">
        <v>-0.1219237</v>
      </c>
      <c r="S4400">
        <v>3.2178960000000001</v>
      </c>
      <c r="T4400">
        <v>-1.1078140000000001</v>
      </c>
      <c r="U4400">
        <v>-0.54840089999999997</v>
      </c>
      <c r="V4400">
        <v>7.8361169999999994E-2</v>
      </c>
      <c r="W4400">
        <v>0.1994718</v>
      </c>
      <c r="X4400">
        <v>0.97676529999999995</v>
      </c>
      <c r="Y4400">
        <v>0.1190864</v>
      </c>
      <c r="Z4400">
        <v>-6.4265219999999996E-3</v>
      </c>
      <c r="AA4400">
        <v>0.9928631</v>
      </c>
      <c r="AB4400">
        <v>36</v>
      </c>
      <c r="AC4400">
        <v>0.43360000000001198</v>
      </c>
      <c r="AD4400">
        <v>-0.27437209999999901</v>
      </c>
      <c r="AE4400">
        <v>-0.119510000000001</v>
      </c>
      <c r="AF4400">
        <v>7.2877216751610893E-2</v>
      </c>
      <c r="AG4400">
        <v>-0.27437209999999901</v>
      </c>
      <c r="AH4400">
        <v>0.319582853724101</v>
      </c>
      <c r="AI4400">
        <v>129.93081388416701</v>
      </c>
      <c r="AJ4400">
        <v>77.154016510499801</v>
      </c>
      <c r="AK4400">
        <v>0.42746267483174599</v>
      </c>
      <c r="AL4400">
        <v>78.4939265105629</v>
      </c>
      <c r="AM4400">
        <v>85.4132592701432</v>
      </c>
      <c r="AN4400">
        <v>0.99999996162154803</v>
      </c>
    </row>
    <row r="4401" spans="1:40" x14ac:dyDescent="0.25">
      <c r="A4401" t="str">
        <f>"20190303162642394"</f>
        <v>20190303162642394</v>
      </c>
      <c r="B4401" t="str">
        <f>"1551601602387879"</f>
        <v>1551601602387879</v>
      </c>
      <c r="C4401" t="s">
        <v>40</v>
      </c>
      <c r="D4401">
        <v>5.2869149999999996</v>
      </c>
      <c r="E4401">
        <v>0.52445509999999995</v>
      </c>
      <c r="F4401" t="s">
        <v>42</v>
      </c>
      <c r="G4401">
        <v>-358.49619999999999</v>
      </c>
      <c r="H4401">
        <v>0.85890519999999904</v>
      </c>
      <c r="I4401">
        <v>17.67633</v>
      </c>
      <c r="J4401">
        <v>-358.88060000000002</v>
      </c>
      <c r="K4401">
        <v>1.120617</v>
      </c>
      <c r="L4401">
        <v>17.790710000000001</v>
      </c>
      <c r="M4401">
        <v>0.99887910000000002</v>
      </c>
      <c r="N4401">
        <v>-1.415136E-2</v>
      </c>
      <c r="O4401">
        <v>-4.5170500000000002E-2</v>
      </c>
      <c r="P4401">
        <v>0.9740955</v>
      </c>
      <c r="Q4401">
        <v>0.18802540000000001</v>
      </c>
      <c r="R4401">
        <v>-0.12563650000000001</v>
      </c>
      <c r="S4401">
        <v>3.2182620000000002</v>
      </c>
      <c r="T4401">
        <v>-1.1056440000000001</v>
      </c>
      <c r="U4401">
        <v>-0.55413819999999903</v>
      </c>
      <c r="V4401">
        <v>8.1622249999999993E-2</v>
      </c>
      <c r="W4401">
        <v>0.2018094</v>
      </c>
      <c r="X4401">
        <v>0.97601780000000005</v>
      </c>
      <c r="Y4401">
        <v>0.1203108</v>
      </c>
      <c r="Z4401">
        <v>-6.4892689999999998E-3</v>
      </c>
      <c r="AA4401">
        <v>0.99271509999999996</v>
      </c>
      <c r="AB4401">
        <v>36</v>
      </c>
      <c r="AC4401">
        <v>0.384400000000027</v>
      </c>
      <c r="AD4401">
        <v>-0.26171179999999999</v>
      </c>
      <c r="AE4401">
        <v>-0.11438</v>
      </c>
      <c r="AF4401">
        <v>6.7958992153686601E-2</v>
      </c>
      <c r="AG4401">
        <v>-0.26171179999999999</v>
      </c>
      <c r="AH4401">
        <v>0.272946116076551</v>
      </c>
      <c r="AI4401">
        <v>132.93616040375599</v>
      </c>
      <c r="AJ4401">
        <v>76.018602062278205</v>
      </c>
      <c r="AK4401">
        <v>0.384201865111375</v>
      </c>
      <c r="AL4401">
        <v>78.357212034320199</v>
      </c>
      <c r="AM4401">
        <v>85.219601708658402</v>
      </c>
      <c r="AN4401">
        <v>0.99999998577013105</v>
      </c>
    </row>
    <row r="4402" spans="1:40" x14ac:dyDescent="0.25">
      <c r="A4402" t="str">
        <f>"20190303162642417"</f>
        <v>20190303162642417</v>
      </c>
      <c r="B4402" t="str">
        <f>"1551601602409351"</f>
        <v>1551601602409351</v>
      </c>
      <c r="C4402" t="s">
        <v>40</v>
      </c>
      <c r="D4402">
        <v>5.3833900000000003</v>
      </c>
      <c r="E4402">
        <v>0.52341320000000002</v>
      </c>
      <c r="F4402" t="s">
        <v>42</v>
      </c>
      <c r="G4402">
        <v>-358.16640000000001</v>
      </c>
      <c r="H4402">
        <v>0.87700630000000002</v>
      </c>
      <c r="I4402">
        <v>17.66545</v>
      </c>
      <c r="J4402">
        <v>-358.51589999999999</v>
      </c>
      <c r="K4402">
        <v>1.12063</v>
      </c>
      <c r="L4402">
        <v>17.774139999999999</v>
      </c>
      <c r="M4402">
        <v>0.99886430000000004</v>
      </c>
      <c r="N4402">
        <v>-1.4177489999999999E-2</v>
      </c>
      <c r="O4402">
        <v>-4.5488979999999998E-2</v>
      </c>
      <c r="P4402">
        <v>0.97303410000000001</v>
      </c>
      <c r="Q4402">
        <v>0.1906852</v>
      </c>
      <c r="R4402">
        <v>-0.12978399999999901</v>
      </c>
      <c r="S4402">
        <v>3.2190249999999998</v>
      </c>
      <c r="T4402">
        <v>-1.0979810000000001</v>
      </c>
      <c r="U4402">
        <v>-0.56390379999999996</v>
      </c>
      <c r="V4402">
        <v>8.5496989999999995E-2</v>
      </c>
      <c r="W4402">
        <v>0.20448279999999999</v>
      </c>
      <c r="X4402">
        <v>0.97512920000000003</v>
      </c>
      <c r="Y4402">
        <v>0.12281449999999999</v>
      </c>
      <c r="Z4402">
        <v>-6.7877229999999998E-3</v>
      </c>
      <c r="AA4402">
        <v>0.99240640000000002</v>
      </c>
      <c r="AB4402">
        <v>36</v>
      </c>
      <c r="AC4402">
        <v>0.349499999999977</v>
      </c>
      <c r="AD4402">
        <v>-0.2436237</v>
      </c>
      <c r="AE4402">
        <v>-0.108689999999999</v>
      </c>
      <c r="AF4402">
        <v>6.4223372212388399E-2</v>
      </c>
      <c r="AG4402">
        <v>-0.2436237</v>
      </c>
      <c r="AH4402">
        <v>0.24537132337279</v>
      </c>
      <c r="AI4402">
        <v>133.84639523634601</v>
      </c>
      <c r="AJ4402">
        <v>75.332467187728099</v>
      </c>
      <c r="AK4402">
        <v>0.351687695368682</v>
      </c>
      <c r="AL4402">
        <v>78.200775111729897</v>
      </c>
      <c r="AM4402">
        <v>84.9892570240537</v>
      </c>
      <c r="AN4402">
        <v>0.99999995374376804</v>
      </c>
    </row>
    <row r="4403" spans="1:40" x14ac:dyDescent="0.25">
      <c r="A4403" t="str">
        <f>"20190303162642438"</f>
        <v>20190303162642438</v>
      </c>
      <c r="B4403" t="str">
        <f>"1551601602427895"</f>
        <v>1551601602427895</v>
      </c>
      <c r="C4403" t="s">
        <v>40</v>
      </c>
      <c r="D4403">
        <v>5.383032</v>
      </c>
      <c r="E4403">
        <v>0.52342079999999902</v>
      </c>
      <c r="F4403" t="s">
        <v>42</v>
      </c>
      <c r="G4403">
        <v>-357.78530000000001</v>
      </c>
      <c r="H4403">
        <v>1.0028820000000001</v>
      </c>
      <c r="I4403">
        <v>17.639229999999898</v>
      </c>
      <c r="J4403">
        <v>-358.17059999999998</v>
      </c>
      <c r="K4403">
        <v>1.1206119999999999</v>
      </c>
      <c r="L4403">
        <v>17.758329999999901</v>
      </c>
      <c r="M4403">
        <v>0.99885639999999998</v>
      </c>
      <c r="N4403">
        <v>-1.419056E-2</v>
      </c>
      <c r="O4403">
        <v>-4.5654E-2</v>
      </c>
      <c r="P4403">
        <v>0.9723368</v>
      </c>
      <c r="Q4403">
        <v>0.19166610000000001</v>
      </c>
      <c r="R4403">
        <v>-0.13351080000000001</v>
      </c>
      <c r="S4403">
        <v>3.1049799999999999</v>
      </c>
      <c r="T4403">
        <v>-0.50038669999999996</v>
      </c>
      <c r="U4403">
        <v>-0.57144169999999905</v>
      </c>
      <c r="V4403">
        <v>8.9105760000000006E-2</v>
      </c>
      <c r="W4403">
        <v>0.205461</v>
      </c>
      <c r="X4403">
        <v>0.97460040000000003</v>
      </c>
      <c r="Y4403">
        <v>0.13455020000000001</v>
      </c>
      <c r="Z4403">
        <v>-5.0519509999999998E-3</v>
      </c>
      <c r="AA4403">
        <v>0.99089389999999999</v>
      </c>
      <c r="AB4403">
        <v>36</v>
      </c>
      <c r="AC4403">
        <v>0.385299999999972</v>
      </c>
      <c r="AD4403">
        <v>-0.11773</v>
      </c>
      <c r="AE4403">
        <v>-0.119099999999999</v>
      </c>
      <c r="AF4403">
        <v>9.3422049392528794E-2</v>
      </c>
      <c r="AG4403">
        <v>-0.11773</v>
      </c>
      <c r="AH4403">
        <v>0.35968365867829699</v>
      </c>
      <c r="AI4403">
        <v>107.578395809179</v>
      </c>
      <c r="AJ4403">
        <v>75.440064251847801</v>
      </c>
      <c r="AK4403">
        <v>0.38982094162949499</v>
      </c>
      <c r="AL4403">
        <v>78.143513116804399</v>
      </c>
      <c r="AM4403">
        <v>84.7760851859139</v>
      </c>
      <c r="AN4403">
        <v>0.99999999933316797</v>
      </c>
    </row>
    <row r="4404" spans="1:40" x14ac:dyDescent="0.25">
      <c r="A4404" t="str">
        <f>"20190303162642459"</f>
        <v>20190303162642459</v>
      </c>
      <c r="B4404" t="str">
        <f>"1551601602448391"</f>
        <v>1551601602448391</v>
      </c>
      <c r="C4404" t="s">
        <v>40</v>
      </c>
      <c r="D4404">
        <v>5.382072</v>
      </c>
      <c r="E4404">
        <v>0.52326759999999894</v>
      </c>
      <c r="F4404" t="s">
        <v>42</v>
      </c>
      <c r="G4404">
        <v>-357.45010000000002</v>
      </c>
      <c r="H4404">
        <v>1.0302119999999999</v>
      </c>
      <c r="I4404">
        <v>17.621739999999999</v>
      </c>
      <c r="J4404">
        <v>-357.83620000000002</v>
      </c>
      <c r="K4404">
        <v>1.1205989999999999</v>
      </c>
      <c r="L4404">
        <v>17.742889999999999</v>
      </c>
      <c r="M4404">
        <v>0.99885199999999996</v>
      </c>
      <c r="N4404">
        <v>-1.4194999999999999E-2</v>
      </c>
      <c r="O4404">
        <v>-4.5750939999999997E-2</v>
      </c>
      <c r="P4404">
        <v>0.97150809999999999</v>
      </c>
      <c r="Q4404">
        <v>0.19254589999999999</v>
      </c>
      <c r="R4404">
        <v>-0.1381955</v>
      </c>
      <c r="S4404">
        <v>3.0813600000000001</v>
      </c>
      <c r="T4404">
        <v>-0.38665820000000001</v>
      </c>
      <c r="U4404">
        <v>-0.584198</v>
      </c>
      <c r="V4404">
        <v>9.374238E-2</v>
      </c>
      <c r="W4404">
        <v>0.20632710000000001</v>
      </c>
      <c r="X4404">
        <v>0.97398229999999997</v>
      </c>
      <c r="Y4404">
        <v>0.1402108</v>
      </c>
      <c r="Z4404">
        <v>-4.6757300000000003E-3</v>
      </c>
      <c r="AA4404">
        <v>0.99011059999999995</v>
      </c>
      <c r="AB4404">
        <v>36</v>
      </c>
      <c r="AC4404">
        <v>0.386099999999998</v>
      </c>
      <c r="AD4404">
        <v>-9.0386999999999704E-2</v>
      </c>
      <c r="AE4404">
        <v>-0.12114999999999999</v>
      </c>
      <c r="AF4404">
        <v>9.8445284325226007E-2</v>
      </c>
      <c r="AG4404">
        <v>-9.0386999999999704E-2</v>
      </c>
      <c r="AH4404">
        <v>0.37264688350927699</v>
      </c>
      <c r="AI4404">
        <v>103.19787787833</v>
      </c>
      <c r="AJ4404">
        <v>75.2017633628314</v>
      </c>
      <c r="AK4404">
        <v>0.39588758955548398</v>
      </c>
      <c r="AL4404">
        <v>78.0928029037686</v>
      </c>
      <c r="AM4404">
        <v>84.502415880499797</v>
      </c>
      <c r="AN4404">
        <v>1.0000000133578799</v>
      </c>
    </row>
    <row r="4405" spans="1:40" x14ac:dyDescent="0.25">
      <c r="A4405" t="str">
        <f>"20190303162642481"</f>
        <v>20190303162642481</v>
      </c>
      <c r="B4405" t="str">
        <f>"1551601602467911"</f>
        <v>1551601602467911</v>
      </c>
      <c r="C4405" t="s">
        <v>40</v>
      </c>
      <c r="D4405">
        <v>5.3768529999999997</v>
      </c>
      <c r="E4405">
        <v>0.52327509999999999</v>
      </c>
      <c r="F4405" t="s">
        <v>42</v>
      </c>
      <c r="G4405">
        <v>-356.8236</v>
      </c>
      <c r="H4405">
        <v>0.99982150000000003</v>
      </c>
      <c r="I4405">
        <v>17.545809999999999</v>
      </c>
      <c r="J4405">
        <v>-357.48360000000002</v>
      </c>
      <c r="K4405">
        <v>1.1206119999999999</v>
      </c>
      <c r="L4405">
        <v>17.726500000000001</v>
      </c>
      <c r="M4405">
        <v>0.99884689999999998</v>
      </c>
      <c r="N4405">
        <v>-1.4195030000000001E-2</v>
      </c>
      <c r="O4405">
        <v>-4.5863620000000001E-2</v>
      </c>
      <c r="P4405">
        <v>0.97046220000000005</v>
      </c>
      <c r="Q4405">
        <v>0.19323699999999999</v>
      </c>
      <c r="R4405">
        <v>-0.14443989999999901</v>
      </c>
      <c r="S4405">
        <v>3.0756230000000002</v>
      </c>
      <c r="T4405">
        <v>-0.36683929999999998</v>
      </c>
      <c r="U4405">
        <v>-0.59829709999999903</v>
      </c>
      <c r="V4405">
        <v>9.9919460000000002E-2</v>
      </c>
      <c r="W4405">
        <v>0.2070031</v>
      </c>
      <c r="X4405">
        <v>0.97322450000000005</v>
      </c>
      <c r="Y4405">
        <v>0.14485719999999999</v>
      </c>
      <c r="Z4405">
        <v>-4.8212759999999898E-3</v>
      </c>
      <c r="AA4405">
        <v>0.98944080000000001</v>
      </c>
      <c r="AB4405">
        <v>36</v>
      </c>
      <c r="AC4405">
        <v>0.66000000000002501</v>
      </c>
      <c r="AD4405">
        <v>-0.1207905</v>
      </c>
      <c r="AE4405">
        <v>-0.18069000000000199</v>
      </c>
      <c r="AF4405">
        <v>0.145687260871254</v>
      </c>
      <c r="AG4405">
        <v>-0.1207905</v>
      </c>
      <c r="AH4405">
        <v>0.64742007272236701</v>
      </c>
      <c r="AI4405">
        <v>100.316064804158</v>
      </c>
      <c r="AJ4405">
        <v>77.318121821473397</v>
      </c>
      <c r="AK4405">
        <v>0.67451306394632105</v>
      </c>
      <c r="AL4405">
        <v>78.053216852340796</v>
      </c>
      <c r="AM4405">
        <v>84.138069517684798</v>
      </c>
      <c r="AN4405">
        <v>1.0000000546482699</v>
      </c>
    </row>
    <row r="4406" spans="1:40" x14ac:dyDescent="0.25">
      <c r="A4406" t="str">
        <f>"20190303162642505"</f>
        <v>20190303162642505</v>
      </c>
      <c r="B4406" t="str">
        <f>"1551601602498167"</f>
        <v>1551601602498167</v>
      </c>
      <c r="C4406" t="s">
        <v>40</v>
      </c>
      <c r="D4406">
        <v>5.635338</v>
      </c>
      <c r="E4406">
        <v>0.52309110000000003</v>
      </c>
      <c r="F4406" t="s">
        <v>42</v>
      </c>
      <c r="G4406">
        <v>-356.50040000000001</v>
      </c>
      <c r="H4406">
        <v>1.0046630000000001</v>
      </c>
      <c r="I4406">
        <v>17.528879999999901</v>
      </c>
      <c r="J4406">
        <v>-357.09269999999998</v>
      </c>
      <c r="K4406">
        <v>1.1206609999999999</v>
      </c>
      <c r="L4406">
        <v>17.70825</v>
      </c>
      <c r="M4406">
        <v>0.99883900000000003</v>
      </c>
      <c r="N4406">
        <v>-1.4192110000000001E-2</v>
      </c>
      <c r="O4406">
        <v>-4.6035810000000003E-2</v>
      </c>
      <c r="P4406">
        <v>0.96952340000000004</v>
      </c>
      <c r="Q4406">
        <v>0.193049</v>
      </c>
      <c r="R4406">
        <v>-0.1508535</v>
      </c>
      <c r="S4406">
        <v>3.0716549999999998</v>
      </c>
      <c r="T4406">
        <v>-0.36225089999999999</v>
      </c>
      <c r="U4406">
        <v>-0.61657709999999999</v>
      </c>
      <c r="V4406">
        <v>0.1061901</v>
      </c>
      <c r="W4406">
        <v>0.2068044</v>
      </c>
      <c r="X4406">
        <v>0.97260250000000004</v>
      </c>
      <c r="Y4406">
        <v>0.15056710000000001</v>
      </c>
      <c r="Z4406">
        <v>-5.1402720000000004E-3</v>
      </c>
      <c r="AA4406">
        <v>0.98858639999999998</v>
      </c>
      <c r="AB4406">
        <v>36</v>
      </c>
      <c r="AC4406">
        <v>0.59229999999996596</v>
      </c>
      <c r="AD4406">
        <v>-0.115998</v>
      </c>
      <c r="AE4406">
        <v>-0.179370000000002</v>
      </c>
      <c r="AF4406">
        <v>0.14675418001141</v>
      </c>
      <c r="AG4406">
        <v>-0.115998</v>
      </c>
      <c r="AH4406">
        <v>0.579568439516568</v>
      </c>
      <c r="AI4406">
        <v>100.98022037839</v>
      </c>
      <c r="AJ4406">
        <v>75.790633244661706</v>
      </c>
      <c r="AK4406">
        <v>0.60900895021213897</v>
      </c>
      <c r="AL4406">
        <v>78.064852781635906</v>
      </c>
      <c r="AM4406">
        <v>83.769047366478901</v>
      </c>
      <c r="AN4406">
        <v>1.0000000101018101</v>
      </c>
    </row>
    <row r="4407" spans="1:40" x14ac:dyDescent="0.25">
      <c r="A4407" t="str">
        <f>"20190303162642527"</f>
        <v>20190303162642527</v>
      </c>
      <c r="B4407" t="str">
        <f>"1551601602518662"</f>
        <v>1551601602518662</v>
      </c>
      <c r="C4407" t="s">
        <v>40</v>
      </c>
      <c r="D4407">
        <v>5.3848779999999996</v>
      </c>
      <c r="E4407">
        <v>0.52295800000000003</v>
      </c>
      <c r="F4407" t="s">
        <v>42</v>
      </c>
      <c r="G4407">
        <v>-356.17590000000001</v>
      </c>
      <c r="H4407">
        <v>1.012629</v>
      </c>
      <c r="I4407">
        <v>17.518809999999998</v>
      </c>
      <c r="J4407">
        <v>-356.73390000000001</v>
      </c>
      <c r="K4407">
        <v>1.1207129999999901</v>
      </c>
      <c r="L4407">
        <v>17.691469999999999</v>
      </c>
      <c r="M4407">
        <v>0.99883029999999995</v>
      </c>
      <c r="N4407">
        <v>-1.418779E-2</v>
      </c>
      <c r="O4407">
        <v>-4.6224229999999998E-2</v>
      </c>
      <c r="P4407">
        <v>0.96886240000000001</v>
      </c>
      <c r="Q4407">
        <v>0.19266929999999999</v>
      </c>
      <c r="R4407">
        <v>-0.1555127</v>
      </c>
      <c r="S4407">
        <v>3.0676570000000001</v>
      </c>
      <c r="T4407">
        <v>-0.3614542</v>
      </c>
      <c r="U4407">
        <v>-0.63378909999999999</v>
      </c>
      <c r="V4407">
        <v>0.11067689999999999</v>
      </c>
      <c r="W4407">
        <v>0.20641899999999999</v>
      </c>
      <c r="X4407">
        <v>0.9721841</v>
      </c>
      <c r="Y4407">
        <v>0.1559162</v>
      </c>
      <c r="Z4407">
        <v>-5.465274E-3</v>
      </c>
      <c r="AA4407">
        <v>0.98775520000000006</v>
      </c>
      <c r="AB4407">
        <v>36</v>
      </c>
      <c r="AC4407">
        <v>0.55799999999999195</v>
      </c>
      <c r="AD4407">
        <v>-0.108083999999999</v>
      </c>
      <c r="AE4407">
        <v>-0.17266000000000001</v>
      </c>
      <c r="AF4407">
        <v>0.141823523836724</v>
      </c>
      <c r="AG4407">
        <v>-0.108083999999999</v>
      </c>
      <c r="AH4407">
        <v>0.546666945311578</v>
      </c>
      <c r="AI4407">
        <v>100.834203979847</v>
      </c>
      <c r="AJ4407">
        <v>75.456209982836995</v>
      </c>
      <c r="AK4407">
        <v>0.57501374945800898</v>
      </c>
      <c r="AL4407">
        <v>78.087422047378993</v>
      </c>
      <c r="AM4407">
        <v>83.505206384341307</v>
      </c>
      <c r="AN4407">
        <v>1.0000000520237</v>
      </c>
    </row>
    <row r="4408" spans="1:40" x14ac:dyDescent="0.25">
      <c r="A4408" t="str">
        <f>"20190303162642548"</f>
        <v>20190303162642548</v>
      </c>
      <c r="B4408" t="str">
        <f>"1551601602538183"</f>
        <v>1551601602538183</v>
      </c>
      <c r="C4408" t="s">
        <v>40</v>
      </c>
      <c r="D4408">
        <v>5.388617</v>
      </c>
      <c r="E4408">
        <v>0.5226923</v>
      </c>
      <c r="F4408" t="s">
        <v>42</v>
      </c>
      <c r="G4408">
        <v>-355.85300000000001</v>
      </c>
      <c r="H4408">
        <v>1.0179100000000001</v>
      </c>
      <c r="I4408">
        <v>17.505220000000001</v>
      </c>
      <c r="J4408">
        <v>-356.39089999999999</v>
      </c>
      <c r="K4408">
        <v>1.1207609999999999</v>
      </c>
      <c r="L4408">
        <v>17.675380000000001</v>
      </c>
      <c r="M4408">
        <v>0.99882199999999999</v>
      </c>
      <c r="N4408">
        <v>-1.4182770000000001E-2</v>
      </c>
      <c r="O4408">
        <v>-4.6409539999999999E-2</v>
      </c>
      <c r="P4408">
        <v>0.96833029999999998</v>
      </c>
      <c r="Q4408">
        <v>0.19238920000000001</v>
      </c>
      <c r="R4408">
        <v>-0.1591331</v>
      </c>
      <c r="S4408">
        <v>3.0636899999999998</v>
      </c>
      <c r="T4408">
        <v>-0.35754439999999998</v>
      </c>
      <c r="U4408">
        <v>-0.64678959999999996</v>
      </c>
      <c r="V4408">
        <v>0.11412659999999999</v>
      </c>
      <c r="W4408">
        <v>0.2061325</v>
      </c>
      <c r="X4408">
        <v>0.97184590000000004</v>
      </c>
      <c r="Y4408">
        <v>0.15998889999999999</v>
      </c>
      <c r="Z4408">
        <v>-5.673244E-3</v>
      </c>
      <c r="AA4408">
        <v>0.98710249999999999</v>
      </c>
      <c r="AB4408">
        <v>36</v>
      </c>
      <c r="AC4408">
        <v>0.53789999999997895</v>
      </c>
      <c r="AD4408">
        <v>-0.102851</v>
      </c>
      <c r="AE4408">
        <v>-0.17015999999999901</v>
      </c>
      <c r="AF4408">
        <v>0.14034604634174</v>
      </c>
      <c r="AG4408">
        <v>-0.102851</v>
      </c>
      <c r="AH4408">
        <v>0.52768077642063105</v>
      </c>
      <c r="AI4408">
        <v>100.667411688645</v>
      </c>
      <c r="AJ4408">
        <v>75.105977990477399</v>
      </c>
      <c r="AK4408">
        <v>0.55562788152561005</v>
      </c>
      <c r="AL4408">
        <v>78.104197094713598</v>
      </c>
      <c r="AM4408">
        <v>83.302271166912803</v>
      </c>
      <c r="AN4408">
        <v>0.99999997086530901</v>
      </c>
    </row>
    <row r="4409" spans="1:40" x14ac:dyDescent="0.25">
      <c r="A4409" t="str">
        <f>"20190303162642573"</f>
        <v>20190303162642573</v>
      </c>
      <c r="B4409" t="str">
        <f>"1551601602568440"</f>
        <v>1551601602568440</v>
      </c>
      <c r="C4409" t="s">
        <v>40</v>
      </c>
      <c r="D4409">
        <v>5.3659739999999996</v>
      </c>
      <c r="E4409">
        <v>0.52196969999999998</v>
      </c>
      <c r="F4409" t="s">
        <v>42</v>
      </c>
      <c r="G4409">
        <v>-355.53199999999998</v>
      </c>
      <c r="H4409">
        <v>1.0199609999999999</v>
      </c>
      <c r="I4409">
        <v>17.491299999999999</v>
      </c>
      <c r="J4409">
        <v>-356.00650000000002</v>
      </c>
      <c r="K4409">
        <v>1.1208039999999999</v>
      </c>
      <c r="L4409">
        <v>17.657319999999999</v>
      </c>
      <c r="M4409">
        <v>0.9988127</v>
      </c>
      <c r="N4409">
        <v>-1.417685E-2</v>
      </c>
      <c r="O4409">
        <v>-4.6605229999999997E-2</v>
      </c>
      <c r="P4409">
        <v>0.96746500000000002</v>
      </c>
      <c r="Q4409">
        <v>0.1933087</v>
      </c>
      <c r="R4409">
        <v>-0.1632286</v>
      </c>
      <c r="S4409">
        <v>3.061798</v>
      </c>
      <c r="T4409">
        <v>-0.3592843</v>
      </c>
      <c r="U4409">
        <v>-0.65551759999999903</v>
      </c>
      <c r="V4409">
        <v>0.11806079999999999</v>
      </c>
      <c r="W4409">
        <v>0.207039</v>
      </c>
      <c r="X4409">
        <v>0.97118309999999997</v>
      </c>
      <c r="Y4409">
        <v>0.1625837</v>
      </c>
      <c r="Z4409">
        <v>-5.8415759999999898E-3</v>
      </c>
      <c r="AA4409">
        <v>0.98667749999999999</v>
      </c>
      <c r="AB4409">
        <v>36</v>
      </c>
      <c r="AC4409">
        <v>0.47450000000003401</v>
      </c>
      <c r="AD4409">
        <v>-0.100843</v>
      </c>
      <c r="AE4409">
        <v>-0.166020000000003</v>
      </c>
      <c r="AF4409">
        <v>0.138163384694407</v>
      </c>
      <c r="AG4409">
        <v>-0.100843</v>
      </c>
      <c r="AH4409">
        <v>0.46308756885385499</v>
      </c>
      <c r="AI4409">
        <v>101.786928697362</v>
      </c>
      <c r="AJ4409">
        <v>73.387389944597004</v>
      </c>
      <c r="AK4409">
        <v>0.49366843928510201</v>
      </c>
      <c r="AL4409">
        <v>78.051114414154398</v>
      </c>
      <c r="AM4409">
        <v>83.068910425281302</v>
      </c>
      <c r="AN4409">
        <v>1.0000000568716201</v>
      </c>
    </row>
    <row r="4410" spans="1:40" x14ac:dyDescent="0.25">
      <c r="A4410" t="str">
        <f>"20190303162642596"</f>
        <v>20190303162642596</v>
      </c>
      <c r="B4410" t="str">
        <f>"1551601602587959"</f>
        <v>1551601602587959</v>
      </c>
      <c r="C4410" t="s">
        <v>40</v>
      </c>
      <c r="D4410">
        <v>5.3031319999999997</v>
      </c>
      <c r="E4410">
        <v>0.5214548</v>
      </c>
      <c r="F4410" t="s">
        <v>42</v>
      </c>
      <c r="G4410">
        <v>-355.20890000000003</v>
      </c>
      <c r="H4410">
        <v>1.0264120000000001</v>
      </c>
      <c r="I4410">
        <v>17.48462</v>
      </c>
      <c r="J4410">
        <v>-355.64699999999999</v>
      </c>
      <c r="K4410">
        <v>1.120838</v>
      </c>
      <c r="L4410">
        <v>17.640319999999999</v>
      </c>
      <c r="M4410">
        <v>0.99880500000000005</v>
      </c>
      <c r="N4410">
        <v>-1.417118E-2</v>
      </c>
      <c r="O4410">
        <v>-4.6773879999999997E-2</v>
      </c>
      <c r="P4410">
        <v>0.9665127</v>
      </c>
      <c r="Q4410">
        <v>0.19429930000000001</v>
      </c>
      <c r="R4410">
        <v>-0.16763400000000001</v>
      </c>
      <c r="S4410">
        <v>3.0616460000000001</v>
      </c>
      <c r="T4410">
        <v>-0.3623731</v>
      </c>
      <c r="U4410">
        <v>-0.66146850000000001</v>
      </c>
      <c r="V4410">
        <v>0.12233910000000001</v>
      </c>
      <c r="W4410">
        <v>0.20801349999999999</v>
      </c>
      <c r="X4410">
        <v>0.970445</v>
      </c>
      <c r="Y4410">
        <v>0.16423409999999999</v>
      </c>
      <c r="Z4410">
        <v>-5.9656199999999996E-3</v>
      </c>
      <c r="AA4410">
        <v>0.98640329999999998</v>
      </c>
      <c r="AB4410">
        <v>36</v>
      </c>
      <c r="AC4410">
        <v>0.43809999999996302</v>
      </c>
      <c r="AD4410">
        <v>-9.4425999999999899E-2</v>
      </c>
      <c r="AE4410">
        <v>-0.155700000000003</v>
      </c>
      <c r="AF4410">
        <v>0.12968682406305501</v>
      </c>
      <c r="AG4410">
        <v>-9.4425999999999899E-2</v>
      </c>
      <c r="AH4410">
        <v>0.42728031866059701</v>
      </c>
      <c r="AI4410">
        <v>101.940269099251</v>
      </c>
      <c r="AJ4410">
        <v>73.116066322290095</v>
      </c>
      <c r="AK4410">
        <v>0.456402686808769</v>
      </c>
      <c r="AL4410">
        <v>77.994036194355999</v>
      </c>
      <c r="AM4410">
        <v>82.814913154851197</v>
      </c>
      <c r="AN4410">
        <v>0.99999998479802998</v>
      </c>
    </row>
    <row r="4411" spans="1:40" x14ac:dyDescent="0.25">
      <c r="A4411" t="str">
        <f>"20190303162642617"</f>
        <v>20190303162642617</v>
      </c>
      <c r="B4411" t="str">
        <f>"1551601602608455"</f>
        <v>1551601602608455</v>
      </c>
      <c r="C4411" t="s">
        <v>40</v>
      </c>
      <c r="D4411">
        <v>5.6103610000000002</v>
      </c>
      <c r="E4411">
        <v>0.50148579999999998</v>
      </c>
      <c r="F4411" t="s">
        <v>42</v>
      </c>
      <c r="G4411">
        <v>-354.88600000000002</v>
      </c>
      <c r="H4411">
        <v>1.0327789999999999</v>
      </c>
      <c r="I4411">
        <v>17.473559999999999</v>
      </c>
      <c r="J4411">
        <v>-355.30130000000003</v>
      </c>
      <c r="K4411">
        <v>1.1208610000000001</v>
      </c>
      <c r="L4411">
        <v>17.62396</v>
      </c>
      <c r="M4411">
        <v>0.99879790000000002</v>
      </c>
      <c r="N4411">
        <v>-1.4165820000000001E-2</v>
      </c>
      <c r="O4411">
        <v>-4.6929110000000003E-2</v>
      </c>
      <c r="P4411">
        <v>0.96577329999999995</v>
      </c>
      <c r="Q4411">
        <v>0.1949516</v>
      </c>
      <c r="R4411">
        <v>-0.17110229999999901</v>
      </c>
      <c r="S4411">
        <v>3.0588069999999998</v>
      </c>
      <c r="T4411">
        <v>-0.35395349999999998</v>
      </c>
      <c r="U4411">
        <v>-0.67047119999999905</v>
      </c>
      <c r="V4411">
        <v>0.12568589999999999</v>
      </c>
      <c r="W4411">
        <v>0.2086519</v>
      </c>
      <c r="X4411">
        <v>0.96988010000000002</v>
      </c>
      <c r="Y4411">
        <v>0.1670613</v>
      </c>
      <c r="Z4411">
        <v>-6.0381749999999998E-3</v>
      </c>
      <c r="AA4411">
        <v>0.98592800000000003</v>
      </c>
      <c r="AB4411">
        <v>36</v>
      </c>
      <c r="AC4411">
        <v>0.41530000000005801</v>
      </c>
      <c r="AD4411">
        <v>-8.8081999999999994E-2</v>
      </c>
      <c r="AE4411">
        <v>-0.15040000000000101</v>
      </c>
      <c r="AF4411">
        <v>0.12574217659251</v>
      </c>
      <c r="AG4411">
        <v>-8.8081999999999994E-2</v>
      </c>
      <c r="AH4411">
        <v>0.405764872413724</v>
      </c>
      <c r="AI4411">
        <v>101.71420746339901</v>
      </c>
      <c r="AJ4411">
        <v>72.782352565545906</v>
      </c>
      <c r="AK4411">
        <v>0.43383714154409098</v>
      </c>
      <c r="AL4411">
        <v>77.956637973991704</v>
      </c>
      <c r="AM4411">
        <v>82.616240037054894</v>
      </c>
      <c r="AN4411">
        <v>0.99999998460421402</v>
      </c>
    </row>
    <row r="4412" spans="1:40" x14ac:dyDescent="0.25">
      <c r="A4412" t="str">
        <f>"20190303162642638"</f>
        <v>20190303162642638</v>
      </c>
      <c r="B4412" t="str">
        <f>"1551601602627975"</f>
        <v>1551601602627975</v>
      </c>
      <c r="C4412" t="s">
        <v>40</v>
      </c>
      <c r="D4412">
        <v>5.545833</v>
      </c>
      <c r="E4412">
        <v>0.50133119999999998</v>
      </c>
      <c r="F4412" t="s">
        <v>41</v>
      </c>
      <c r="G4412">
        <v>-327.22030000000001</v>
      </c>
      <c r="H4412" s="1">
        <v>-2.8717189999999999E-6</v>
      </c>
      <c r="I4412">
        <v>12.77591</v>
      </c>
      <c r="J4412">
        <v>-354.96449999999999</v>
      </c>
      <c r="K4412">
        <v>1.120884</v>
      </c>
      <c r="L4412">
        <v>17.607939999999999</v>
      </c>
      <c r="M4412">
        <v>0.99879090000000004</v>
      </c>
      <c r="N4412">
        <v>-1.416062E-2</v>
      </c>
      <c r="O4412">
        <v>-4.7079919999999997E-2</v>
      </c>
      <c r="P4412">
        <v>0.96539520000000001</v>
      </c>
      <c r="Q4412">
        <v>0.19469790000000001</v>
      </c>
      <c r="R4412">
        <v>-0.17350860000000001</v>
      </c>
      <c r="S4412">
        <v>3.0378720000000001</v>
      </c>
      <c r="T4412">
        <v>-0.1212579</v>
      </c>
      <c r="U4412">
        <v>-0.52447509999999997</v>
      </c>
      <c r="V4412">
        <v>0.1279585</v>
      </c>
      <c r="W4412">
        <v>0.2083894</v>
      </c>
      <c r="X4412">
        <v>0.96963940000000004</v>
      </c>
      <c r="Y4412">
        <v>0.1234268</v>
      </c>
      <c r="Z4412">
        <v>-2.12532E-3</v>
      </c>
      <c r="AA4412">
        <v>0.99235139999999999</v>
      </c>
      <c r="AB4412">
        <v>36</v>
      </c>
      <c r="AC4412">
        <v>27.7441999999999</v>
      </c>
      <c r="AD4412">
        <v>-1.1208868717189999</v>
      </c>
      <c r="AE4412">
        <v>-4.8320299999999898</v>
      </c>
      <c r="AF4412">
        <v>3.5147773122151298</v>
      </c>
      <c r="AG4412">
        <v>-1.1208868717189999</v>
      </c>
      <c r="AH4412">
        <v>27.8967501987483</v>
      </c>
      <c r="AI4412">
        <v>92.282868849654605</v>
      </c>
      <c r="AJ4412">
        <v>82.819007370086993</v>
      </c>
      <c r="AK4412">
        <v>28.13962897028</v>
      </c>
      <c r="AL4412">
        <v>77.972016871832594</v>
      </c>
      <c r="AM4412">
        <v>82.482398568726495</v>
      </c>
      <c r="AN4412">
        <v>1.0000000428934801</v>
      </c>
    </row>
    <row r="4413" spans="1:40" x14ac:dyDescent="0.25">
      <c r="A4413" t="str">
        <f>"20190303162642661"</f>
        <v>20190303162642661</v>
      </c>
      <c r="B4413" t="str">
        <f>"1551601602648471"</f>
        <v>1551601602648471</v>
      </c>
      <c r="C4413" t="s">
        <v>40</v>
      </c>
      <c r="D4413">
        <v>5.4941820000000003</v>
      </c>
      <c r="E4413">
        <v>0.50069589999999997</v>
      </c>
      <c r="F4413" t="s">
        <v>41</v>
      </c>
      <c r="G4413">
        <v>-328.22370000000001</v>
      </c>
      <c r="H4413" s="1">
        <v>-2.4441550000000001E-6</v>
      </c>
      <c r="I4413">
        <v>12.934710000000001</v>
      </c>
      <c r="J4413">
        <v>-354.6087</v>
      </c>
      <c r="K4413">
        <v>1.120911</v>
      </c>
      <c r="L4413">
        <v>17.590969999999999</v>
      </c>
      <c r="M4413">
        <v>0.99878330000000004</v>
      </c>
      <c r="N4413">
        <v>-1.415552E-2</v>
      </c>
      <c r="O4413">
        <v>-4.7243E-2</v>
      </c>
      <c r="P4413">
        <v>0.96518179999999998</v>
      </c>
      <c r="Q4413">
        <v>0.19438649999999999</v>
      </c>
      <c r="R4413">
        <v>-0.17503840000000001</v>
      </c>
      <c r="S4413">
        <v>3.0377809999999998</v>
      </c>
      <c r="T4413">
        <v>-0.1273338</v>
      </c>
      <c r="U4413">
        <v>-0.53088380000000002</v>
      </c>
      <c r="V4413">
        <v>0.1293356</v>
      </c>
      <c r="W4413">
        <v>0.20807220000000001</v>
      </c>
      <c r="X4413">
        <v>0.96952470000000002</v>
      </c>
      <c r="Y4413">
        <v>0.1252907</v>
      </c>
      <c r="Z4413">
        <v>-2.2014869999999998E-3</v>
      </c>
      <c r="AA4413">
        <v>0.99211760000000004</v>
      </c>
      <c r="AB4413">
        <v>36</v>
      </c>
      <c r="AC4413">
        <v>26.384999999999899</v>
      </c>
      <c r="AD4413">
        <v>-1.1209134441549999</v>
      </c>
      <c r="AE4413">
        <v>-4.6562599999999996</v>
      </c>
      <c r="AF4413">
        <v>3.3984803244126298</v>
      </c>
      <c r="AG4413">
        <v>-1.1209134441549999</v>
      </c>
      <c r="AH4413">
        <v>26.529097268210901</v>
      </c>
      <c r="AI4413">
        <v>92.399847081021903</v>
      </c>
      <c r="AJ4413">
        <v>82.699947759419999</v>
      </c>
      <c r="AK4413">
        <v>26.769369012565502</v>
      </c>
      <c r="AL4413">
        <v>77.990597161378204</v>
      </c>
      <c r="AM4413">
        <v>82.401545310563094</v>
      </c>
      <c r="AN4413">
        <v>0.99999994087514299</v>
      </c>
    </row>
    <row r="4414" spans="1:40" x14ac:dyDescent="0.25">
      <c r="A4414" t="str">
        <f>"20190303162642682"</f>
        <v>20190303162642682</v>
      </c>
      <c r="B4414" t="str">
        <f>"1551601602667991"</f>
        <v>1551601602667991</v>
      </c>
      <c r="C4414" t="s">
        <v>40</v>
      </c>
      <c r="D4414">
        <v>5.4824970000000004</v>
      </c>
      <c r="E4414">
        <v>0.50041289999999905</v>
      </c>
      <c r="F4414" t="s">
        <v>41</v>
      </c>
      <c r="G4414">
        <v>-328.73230000000001</v>
      </c>
      <c r="H4414" s="1">
        <v>-2.2126370000000002E-6</v>
      </c>
      <c r="I4414">
        <v>13.070690000000001</v>
      </c>
      <c r="J4414">
        <v>-354.26440000000002</v>
      </c>
      <c r="K4414">
        <v>1.1209260000000001</v>
      </c>
      <c r="L4414">
        <v>17.574490000000001</v>
      </c>
      <c r="M4414">
        <v>0.99877559999999999</v>
      </c>
      <c r="N4414">
        <v>-1.415082E-2</v>
      </c>
      <c r="O4414">
        <v>-4.7402989999999999E-2</v>
      </c>
      <c r="P4414">
        <v>0.96475639999999996</v>
      </c>
      <c r="Q4414">
        <v>0.19490689999999999</v>
      </c>
      <c r="R4414">
        <v>-0.1767957</v>
      </c>
      <c r="S4414">
        <v>3.038513</v>
      </c>
      <c r="T4414">
        <v>-0.13162270000000001</v>
      </c>
      <c r="U4414">
        <v>-0.53079219999999905</v>
      </c>
      <c r="V4414">
        <v>0.1309535</v>
      </c>
      <c r="W4414">
        <v>0.2085843</v>
      </c>
      <c r="X4414">
        <v>0.96919750000000005</v>
      </c>
      <c r="Y4414">
        <v>0.125056</v>
      </c>
      <c r="Z4414">
        <v>-2.2111420000000001E-3</v>
      </c>
      <c r="AA4414">
        <v>0.99214720000000001</v>
      </c>
      <c r="AB4414">
        <v>36</v>
      </c>
      <c r="AC4414">
        <v>25.5321</v>
      </c>
      <c r="AD4414">
        <v>-1.1209282126369999</v>
      </c>
      <c r="AE4414">
        <v>-4.5038</v>
      </c>
      <c r="AF4414">
        <v>3.2821816127327001</v>
      </c>
      <c r="AG4414">
        <v>-1.1209282126369999</v>
      </c>
      <c r="AH4414">
        <v>25.668924738356701</v>
      </c>
      <c r="AI4414">
        <v>92.480274653743507</v>
      </c>
      <c r="AJ4414">
        <v>82.713360145759793</v>
      </c>
      <c r="AK4414">
        <v>25.9021793179699</v>
      </c>
      <c r="AL4414">
        <v>77.960598638192806</v>
      </c>
      <c r="AM4414">
        <v>82.305059200304896</v>
      </c>
      <c r="AN4414">
        <v>1.0000000116874901</v>
      </c>
    </row>
    <row r="4415" spans="1:40" x14ac:dyDescent="0.25">
      <c r="A4415" t="str">
        <f>"20190303162642705"</f>
        <v>20190303162642705</v>
      </c>
      <c r="B4415" t="str">
        <f>"1551601602698247"</f>
        <v>1551601602698247</v>
      </c>
      <c r="C4415" t="s">
        <v>40</v>
      </c>
      <c r="D4415">
        <v>5.4865449999999996</v>
      </c>
      <c r="E4415">
        <v>0.49993609999999999</v>
      </c>
      <c r="F4415" t="s">
        <v>41</v>
      </c>
      <c r="G4415">
        <v>-329.10109999999997</v>
      </c>
      <c r="H4415" s="1">
        <v>-2.0495320000000001E-6</v>
      </c>
      <c r="I4415">
        <v>13.1515</v>
      </c>
      <c r="J4415">
        <v>-353.89530000000002</v>
      </c>
      <c r="K4415">
        <v>1.1209530000000001</v>
      </c>
      <c r="L4415">
        <v>17.556789999999999</v>
      </c>
      <c r="M4415">
        <v>0.99876759999999998</v>
      </c>
      <c r="N4415">
        <v>-1.414614E-2</v>
      </c>
      <c r="O4415">
        <v>-4.7575729999999997E-2</v>
      </c>
      <c r="P4415">
        <v>0.96443069999999997</v>
      </c>
      <c r="Q4415">
        <v>0.19488820000000001</v>
      </c>
      <c r="R4415">
        <v>-0.17858309999999999</v>
      </c>
      <c r="S4415">
        <v>3.0390630000000001</v>
      </c>
      <c r="T4415">
        <v>-0.1353782</v>
      </c>
      <c r="U4415">
        <v>-0.53417969999999904</v>
      </c>
      <c r="V4415">
        <v>0.13258449999999999</v>
      </c>
      <c r="W4415">
        <v>0.2085582</v>
      </c>
      <c r="X4415">
        <v>0.96898130000000005</v>
      </c>
      <c r="Y4415">
        <v>0.12592</v>
      </c>
      <c r="Z4415">
        <v>-2.2491680000000002E-3</v>
      </c>
      <c r="AA4415">
        <v>0.99203779999999997</v>
      </c>
      <c r="AB4415">
        <v>36</v>
      </c>
      <c r="AC4415">
        <v>24.7942</v>
      </c>
      <c r="AD4415">
        <v>-1.120955049532</v>
      </c>
      <c r="AE4415">
        <v>-4.4052899999999902</v>
      </c>
      <c r="AF4415">
        <v>3.2142118289110901</v>
      </c>
      <c r="AG4415">
        <v>-1.120955049532</v>
      </c>
      <c r="AH4415">
        <v>24.9263343683802</v>
      </c>
      <c r="AI4415">
        <v>92.553781364345497</v>
      </c>
      <c r="AJ4415">
        <v>82.652344696510198</v>
      </c>
      <c r="AK4415">
        <v>25.157699476471901</v>
      </c>
      <c r="AL4415">
        <v>77.962127128967694</v>
      </c>
      <c r="AM4415">
        <v>82.208673060813794</v>
      </c>
      <c r="AN4415">
        <v>0.99999996608858899</v>
      </c>
    </row>
    <row r="4416" spans="1:40" x14ac:dyDescent="0.25">
      <c r="A4416" t="str">
        <f>"20190303162642727"</f>
        <v>20190303162642727</v>
      </c>
      <c r="B4416" t="str">
        <f>"1551601602718744"</f>
        <v>1551601602718744</v>
      </c>
      <c r="C4416" t="s">
        <v>40</v>
      </c>
      <c r="D4416">
        <v>5.4243430000000004</v>
      </c>
      <c r="E4416">
        <v>0.49946750000000001</v>
      </c>
      <c r="F4416" t="s">
        <v>41</v>
      </c>
      <c r="G4416">
        <v>-328.92970000000003</v>
      </c>
      <c r="H4416" s="1">
        <v>-2.1120369999999998E-6</v>
      </c>
      <c r="I4416">
        <v>13.163930000000001</v>
      </c>
      <c r="J4416">
        <v>-353.54739999999998</v>
      </c>
      <c r="K4416">
        <v>1.120973</v>
      </c>
      <c r="L4416">
        <v>17.540040000000001</v>
      </c>
      <c r="M4416">
        <v>0.99875990000000003</v>
      </c>
      <c r="N4416">
        <v>-1.414196E-2</v>
      </c>
      <c r="O4416">
        <v>-4.7738269999999999E-2</v>
      </c>
      <c r="P4416">
        <v>0.96400110000000006</v>
      </c>
      <c r="Q4416">
        <v>0.19558339999999999</v>
      </c>
      <c r="R4416">
        <v>-0.1801364</v>
      </c>
      <c r="S4416">
        <v>3.0391539999999999</v>
      </c>
      <c r="T4416">
        <v>-0.1364582</v>
      </c>
      <c r="U4416">
        <v>-0.53475950000000005</v>
      </c>
      <c r="V4416">
        <v>0.1339977</v>
      </c>
      <c r="W4416">
        <v>0.2092446</v>
      </c>
      <c r="X4416">
        <v>0.96863889999999997</v>
      </c>
      <c r="Y4416">
        <v>0.1259353</v>
      </c>
      <c r="Z4416">
        <v>-2.2496439999999999E-3</v>
      </c>
      <c r="AA4416">
        <v>0.99203589999999997</v>
      </c>
      <c r="AB4416">
        <v>36</v>
      </c>
      <c r="AC4416">
        <v>24.6176999999999</v>
      </c>
      <c r="AD4416">
        <v>-1.120975112037</v>
      </c>
      <c r="AE4416">
        <v>-4.3761099999999997</v>
      </c>
      <c r="AF4416">
        <v>3.1893854106100399</v>
      </c>
      <c r="AG4416">
        <v>-1.120975112037</v>
      </c>
      <c r="AH4416">
        <v>24.748812074447201</v>
      </c>
      <c r="AI4416">
        <v>92.572146469940805</v>
      </c>
      <c r="AJ4416">
        <v>82.656751621286503</v>
      </c>
      <c r="AK4416">
        <v>24.9786401470441</v>
      </c>
      <c r="AL4416">
        <v>77.921912471399594</v>
      </c>
      <c r="AM4416">
        <v>82.123914311392497</v>
      </c>
      <c r="AN4416">
        <v>1.00000000241382</v>
      </c>
    </row>
    <row r="4417" spans="1:40" x14ac:dyDescent="0.25">
      <c r="A4417" t="str">
        <f>"20190303162642748"</f>
        <v>20190303162642748</v>
      </c>
      <c r="B4417" t="str">
        <f>"1551601602738263"</f>
        <v>1551601602738263</v>
      </c>
      <c r="C4417" t="s">
        <v>40</v>
      </c>
      <c r="D4417">
        <v>5.4862919999999997</v>
      </c>
      <c r="E4417">
        <v>0.49901210000000001</v>
      </c>
      <c r="F4417" t="s">
        <v>41</v>
      </c>
      <c r="G4417">
        <v>-328.35210000000001</v>
      </c>
      <c r="H4417" s="1">
        <v>-2.3498330000000002E-6</v>
      </c>
      <c r="I4417">
        <v>13.103910000000001</v>
      </c>
      <c r="J4417">
        <v>-353.20049999999998</v>
      </c>
      <c r="K4417">
        <v>1.120989</v>
      </c>
      <c r="L4417">
        <v>17.52328</v>
      </c>
      <c r="M4417">
        <v>0.99875210000000003</v>
      </c>
      <c r="N4417">
        <v>-1.413789E-2</v>
      </c>
      <c r="O4417">
        <v>-4.789902E-2</v>
      </c>
      <c r="P4417">
        <v>0.96355219999999997</v>
      </c>
      <c r="Q4417">
        <v>0.1970566</v>
      </c>
      <c r="R4417">
        <v>-0.18093110000000001</v>
      </c>
      <c r="S4417">
        <v>3.0394589999999999</v>
      </c>
      <c r="T4417">
        <v>-0.13522989999999999</v>
      </c>
      <c r="U4417">
        <v>-0.53515630000000003</v>
      </c>
      <c r="V4417">
        <v>0.13465639999999901</v>
      </c>
      <c r="W4417">
        <v>0.21070800000000001</v>
      </c>
      <c r="X4417">
        <v>0.96823020000000004</v>
      </c>
      <c r="Y4417">
        <v>0.12588640000000001</v>
      </c>
      <c r="Z4417">
        <v>-2.2367540000000001E-3</v>
      </c>
      <c r="AA4417">
        <v>0.99204210000000004</v>
      </c>
      <c r="AB4417">
        <v>36</v>
      </c>
      <c r="AC4417">
        <v>24.848399999999899</v>
      </c>
      <c r="AD4417">
        <v>-1.120991349833</v>
      </c>
      <c r="AE4417">
        <v>-4.41936999999999</v>
      </c>
      <c r="AF4417">
        <v>3.2176156433235601</v>
      </c>
      <c r="AG4417">
        <v>-1.120991349833</v>
      </c>
      <c r="AH4417">
        <v>24.982292484650699</v>
      </c>
      <c r="AI4417">
        <v>92.548200298226106</v>
      </c>
      <c r="AJ4417">
        <v>82.660944291189196</v>
      </c>
      <c r="AK4417">
        <v>25.2135798692529</v>
      </c>
      <c r="AL4417">
        <v>77.836153482138101</v>
      </c>
      <c r="AM4417">
        <v>82.082388471513298</v>
      </c>
      <c r="AN4417">
        <v>0.99999996375849898</v>
      </c>
    </row>
    <row r="4418" spans="1:40" x14ac:dyDescent="0.25">
      <c r="A4418" t="str">
        <f>"20190303162642796"</f>
        <v>20190303162642796</v>
      </c>
      <c r="B4418" t="str">
        <f>"1551601602788039"</f>
        <v>1551601602788039</v>
      </c>
      <c r="C4418" t="s">
        <v>40</v>
      </c>
      <c r="D4418">
        <v>5.4265210000000002</v>
      </c>
      <c r="E4418">
        <v>0.49838189999999999</v>
      </c>
      <c r="F4418" t="s">
        <v>41</v>
      </c>
      <c r="G4418">
        <v>-327.24979999999999</v>
      </c>
      <c r="H4418" s="1">
        <v>-2.8071370000000002E-6</v>
      </c>
      <c r="I4418">
        <v>12.97603</v>
      </c>
      <c r="J4418">
        <v>-352.4556</v>
      </c>
      <c r="K4418">
        <v>1.121022</v>
      </c>
      <c r="L4418">
        <v>17.487089999999998</v>
      </c>
      <c r="M4418">
        <v>0.9987357</v>
      </c>
      <c r="N4418">
        <v>-1.412999E-2</v>
      </c>
      <c r="O4418">
        <v>-4.8242710000000001E-2</v>
      </c>
      <c r="P4418">
        <v>0.96259709999999998</v>
      </c>
      <c r="Q4418">
        <v>0.19889689999999999</v>
      </c>
      <c r="R4418">
        <v>-0.18397459999999999</v>
      </c>
      <c r="S4418">
        <v>3.040314</v>
      </c>
      <c r="T4418">
        <v>-0.13133249999999999</v>
      </c>
      <c r="U4418">
        <v>-0.53274540000000004</v>
      </c>
      <c r="V4418">
        <v>0.13740849999999999</v>
      </c>
      <c r="W4418">
        <v>0.21252979999999999</v>
      </c>
      <c r="X4418">
        <v>0.96744509999999995</v>
      </c>
      <c r="Y4418">
        <v>0.12474209999999999</v>
      </c>
      <c r="Z4418">
        <v>-2.1739810000000002E-3</v>
      </c>
      <c r="AA4418">
        <v>0.99218680000000004</v>
      </c>
      <c r="AB4418">
        <v>36</v>
      </c>
      <c r="AC4418">
        <v>25.2058</v>
      </c>
      <c r="AD4418">
        <v>-1.1210248071369999</v>
      </c>
      <c r="AE4418">
        <v>-4.5110599999999899</v>
      </c>
      <c r="AF4418">
        <v>3.2833959252549598</v>
      </c>
      <c r="AG4418">
        <v>-1.1210248071369999</v>
      </c>
      <c r="AH4418">
        <v>25.345515211819201</v>
      </c>
      <c r="AI4418">
        <v>92.511565507697696</v>
      </c>
      <c r="AJ4418">
        <v>82.618700881422797</v>
      </c>
      <c r="AK4418">
        <v>25.5818788749528</v>
      </c>
      <c r="AL4418">
        <v>77.729353884395394</v>
      </c>
      <c r="AM4418">
        <v>81.916215051655399</v>
      </c>
      <c r="AN4418">
        <v>1.0000000166371401</v>
      </c>
    </row>
    <row r="4419" spans="1:40" x14ac:dyDescent="0.25">
      <c r="A4419" t="str">
        <f>"20190303162642826"</f>
        <v>20190303162642826</v>
      </c>
      <c r="B4419" t="str">
        <f>"1551601602818295"</f>
        <v>1551601602818295</v>
      </c>
      <c r="C4419" t="s">
        <v>40</v>
      </c>
      <c r="D4419">
        <v>5.3589399999999996</v>
      </c>
      <c r="E4419">
        <v>0.49823699999999999</v>
      </c>
      <c r="F4419" t="s">
        <v>41</v>
      </c>
      <c r="G4419">
        <v>-325.45319999999998</v>
      </c>
      <c r="H4419" s="1">
        <v>-3.5660709999999999E-6</v>
      </c>
      <c r="I4419">
        <v>12.71663</v>
      </c>
      <c r="J4419">
        <v>-352.00170000000003</v>
      </c>
      <c r="K4419">
        <v>1.1210359999999999</v>
      </c>
      <c r="L4419">
        <v>17.4649</v>
      </c>
      <c r="M4419">
        <v>0.99872559999999999</v>
      </c>
      <c r="N4419">
        <v>-1.4125489999999999E-2</v>
      </c>
      <c r="O4419">
        <v>-4.8452710000000003E-2</v>
      </c>
      <c r="P4419">
        <v>0.96219270000000001</v>
      </c>
      <c r="Q4419">
        <v>0.1989467</v>
      </c>
      <c r="R4419">
        <v>-0.1860261</v>
      </c>
      <c r="S4419">
        <v>3.0400390000000002</v>
      </c>
      <c r="T4419">
        <v>-0.12620970000000001</v>
      </c>
      <c r="U4419">
        <v>-0.53707890000000003</v>
      </c>
      <c r="V4419">
        <v>0.13927229999999999</v>
      </c>
      <c r="W4419">
        <v>0.2125708</v>
      </c>
      <c r="X4419">
        <v>0.96716950000000002</v>
      </c>
      <c r="Y4419">
        <v>0.12592709999999999</v>
      </c>
      <c r="Z4419">
        <v>-2.1769599999999999E-3</v>
      </c>
      <c r="AA4419">
        <v>0.99203710000000001</v>
      </c>
      <c r="AB4419">
        <v>35</v>
      </c>
      <c r="AC4419">
        <v>26.548500000000001</v>
      </c>
      <c r="AD4419">
        <v>-1.121039566071</v>
      </c>
      <c r="AE4419">
        <v>-4.7482699999999998</v>
      </c>
      <c r="AF4419">
        <v>3.4502555620653799</v>
      </c>
      <c r="AG4419">
        <v>-1.121039566071</v>
      </c>
      <c r="AH4419">
        <v>26.701267693608798</v>
      </c>
      <c r="AI4419">
        <v>92.384323180920106</v>
      </c>
      <c r="AJ4419">
        <v>82.637213825245695</v>
      </c>
      <c r="AK4419">
        <v>26.946589572671598</v>
      </c>
      <c r="AL4419">
        <v>77.726949370176897</v>
      </c>
      <c r="AM4419">
        <v>81.805742933389695</v>
      </c>
      <c r="AN4419">
        <v>0.99999998014508895</v>
      </c>
    </row>
    <row r="4420" spans="1:40" x14ac:dyDescent="0.25">
      <c r="A4420" t="str">
        <f>"20190303162642838"</f>
        <v>20190303162642838</v>
      </c>
      <c r="B4420" t="str">
        <f>"1551601602828055"</f>
        <v>1551601602828055</v>
      </c>
      <c r="C4420" t="s">
        <v>40</v>
      </c>
      <c r="D4420">
        <v>5.3036890000000003</v>
      </c>
      <c r="E4420">
        <v>0.4981661</v>
      </c>
      <c r="F4420" t="s">
        <v>41</v>
      </c>
      <c r="G4420">
        <v>-325.44040000000001</v>
      </c>
      <c r="H4420" s="1">
        <v>-3.568087E-6</v>
      </c>
      <c r="I4420">
        <v>12.727639999999999</v>
      </c>
      <c r="J4420">
        <v>-351.78879999999998</v>
      </c>
      <c r="K4420">
        <v>1.121041</v>
      </c>
      <c r="L4420">
        <v>17.454499999999999</v>
      </c>
      <c r="M4420">
        <v>0.99872090000000002</v>
      </c>
      <c r="N4420">
        <v>-1.4123429999999999E-2</v>
      </c>
      <c r="O4420">
        <v>-4.8551379999999998E-2</v>
      </c>
      <c r="P4420">
        <v>0.96214540000000004</v>
      </c>
      <c r="Q4420">
        <v>0.19877980000000001</v>
      </c>
      <c r="R4420">
        <v>-0.18644769999999999</v>
      </c>
      <c r="S4420">
        <v>3.0395810000000001</v>
      </c>
      <c r="T4420">
        <v>-0.1282874</v>
      </c>
      <c r="U4420">
        <v>-0.54211430000000005</v>
      </c>
      <c r="V4420">
        <v>0.1395999</v>
      </c>
      <c r="W4420">
        <v>0.2124016</v>
      </c>
      <c r="X4420">
        <v>0.96715949999999995</v>
      </c>
      <c r="Y4420">
        <v>0.12744279999999999</v>
      </c>
      <c r="Z4420">
        <v>-2.2264540000000001E-3</v>
      </c>
      <c r="AA4420">
        <v>0.99184340000000004</v>
      </c>
      <c r="AB4420">
        <v>35</v>
      </c>
      <c r="AC4420">
        <v>26.348399999999899</v>
      </c>
      <c r="AD4420">
        <v>-1.121044568087</v>
      </c>
      <c r="AE4420">
        <v>-4.7268600000000003</v>
      </c>
      <c r="AF4420">
        <v>3.4358798942590898</v>
      </c>
      <c r="AG4420">
        <v>-1.121044568087</v>
      </c>
      <c r="AH4420">
        <v>26.500362871394799</v>
      </c>
      <c r="AI4420">
        <v>92.402255310347698</v>
      </c>
      <c r="AJ4420">
        <v>82.612579683061895</v>
      </c>
      <c r="AK4420">
        <v>26.7456771065347</v>
      </c>
      <c r="AL4420">
        <v>77.736871056024398</v>
      </c>
      <c r="AM4420">
        <v>81.786647085467706</v>
      </c>
      <c r="AN4420">
        <v>1.0000000351014</v>
      </c>
    </row>
    <row r="4421" spans="1:40" x14ac:dyDescent="0.25">
      <c r="A4421" t="str">
        <f>"20190303162642861"</f>
        <v>20190303162642861</v>
      </c>
      <c r="B4421" t="str">
        <f>"1551601602848551"</f>
        <v>1551601602848551</v>
      </c>
      <c r="C4421" t="s">
        <v>40</v>
      </c>
      <c r="D4421">
        <v>5.0632919999999997</v>
      </c>
      <c r="E4421">
        <v>0.4981486</v>
      </c>
      <c r="F4421" t="s">
        <v>41</v>
      </c>
      <c r="G4421">
        <v>-325.37189999999998</v>
      </c>
      <c r="H4421" s="1">
        <v>-3.5924180000000002E-6</v>
      </c>
      <c r="I4421">
        <v>12.73507</v>
      </c>
      <c r="J4421">
        <v>-351.43349999999998</v>
      </c>
      <c r="K4421">
        <v>1.1210469999999999</v>
      </c>
      <c r="L4421">
        <v>17.43704</v>
      </c>
      <c r="M4421">
        <v>0.99871290000000001</v>
      </c>
      <c r="N4421">
        <v>-1.4120199999999999E-2</v>
      </c>
      <c r="O4421">
        <v>-4.8716089999999997E-2</v>
      </c>
      <c r="P4421">
        <v>0.96208110000000002</v>
      </c>
      <c r="Q4421">
        <v>0.19924529999999999</v>
      </c>
      <c r="R4421">
        <v>-0.18628330000000001</v>
      </c>
      <c r="S4421">
        <v>3.0394290000000002</v>
      </c>
      <c r="T4421">
        <v>-0.12898309999999999</v>
      </c>
      <c r="U4421">
        <v>-0.54299929999999996</v>
      </c>
      <c r="V4421">
        <v>0.13927870000000001</v>
      </c>
      <c r="W4421">
        <v>0.21286340000000001</v>
      </c>
      <c r="X4421">
        <v>0.96710430000000003</v>
      </c>
      <c r="Y4421">
        <v>0.1275666</v>
      </c>
      <c r="Z4421">
        <v>-2.228463E-3</v>
      </c>
      <c r="AA4421">
        <v>0.99182749999999997</v>
      </c>
      <c r="AB4421">
        <v>35</v>
      </c>
      <c r="AC4421">
        <v>26.061599999999999</v>
      </c>
      <c r="AD4421">
        <v>-1.1210505924180001</v>
      </c>
      <c r="AE4421">
        <v>-4.7019699999999904</v>
      </c>
      <c r="AF4421">
        <v>3.4205107601396598</v>
      </c>
      <c r="AG4421">
        <v>-1.1210505924180001</v>
      </c>
      <c r="AH4421">
        <v>26.212761279728799</v>
      </c>
      <c r="AI4421">
        <v>92.428334626199799</v>
      </c>
      <c r="AJ4421">
        <v>82.565465045540293</v>
      </c>
      <c r="AK4421">
        <v>26.458750956896001</v>
      </c>
      <c r="AL4421">
        <v>77.709792894115296</v>
      </c>
      <c r="AM4421">
        <v>81.804826536043805</v>
      </c>
      <c r="AN4421">
        <v>1.0000000552058601</v>
      </c>
    </row>
    <row r="4422" spans="1:40" x14ac:dyDescent="0.25">
      <c r="A4422" t="str">
        <f>"20190303162642883"</f>
        <v>20190303162642883</v>
      </c>
      <c r="B4422" t="str">
        <f>"1551601602877832"</f>
        <v>1551601602877832</v>
      </c>
      <c r="C4422" t="s">
        <v>40</v>
      </c>
      <c r="D4422">
        <v>5.3129049999999998</v>
      </c>
      <c r="E4422">
        <v>0.49805529999999998</v>
      </c>
      <c r="F4422" t="s">
        <v>41</v>
      </c>
      <c r="G4422">
        <v>-324.88589999999999</v>
      </c>
      <c r="H4422" s="1">
        <v>-3.7872890000000001E-6</v>
      </c>
      <c r="I4422">
        <v>12.704040000000001</v>
      </c>
      <c r="J4422">
        <v>-351.0736</v>
      </c>
      <c r="K4422">
        <v>1.121048</v>
      </c>
      <c r="L4422">
        <v>17.419309999999999</v>
      </c>
      <c r="M4422">
        <v>0.99870479999999995</v>
      </c>
      <c r="N4422">
        <v>-1.4116780000000001E-2</v>
      </c>
      <c r="O4422">
        <v>-4.8883179999999998E-2</v>
      </c>
      <c r="P4422">
        <v>0.96186859999999996</v>
      </c>
      <c r="Q4422">
        <v>0.19961709999999999</v>
      </c>
      <c r="R4422">
        <v>-0.18698190000000001</v>
      </c>
      <c r="S4422">
        <v>3.0398860000000001</v>
      </c>
      <c r="T4422">
        <v>-0.12836800000000001</v>
      </c>
      <c r="U4422">
        <v>-0.54196169999999899</v>
      </c>
      <c r="V4422">
        <v>0.13982429999999901</v>
      </c>
      <c r="W4422">
        <v>0.21322959999999999</v>
      </c>
      <c r="X4422">
        <v>0.9669449</v>
      </c>
      <c r="Y4422">
        <v>0.12704840000000001</v>
      </c>
      <c r="Z4422">
        <v>-2.2057840000000001E-3</v>
      </c>
      <c r="AA4422">
        <v>0.9918941</v>
      </c>
      <c r="AB4422">
        <v>35</v>
      </c>
      <c r="AC4422">
        <v>26.1877</v>
      </c>
      <c r="AD4422">
        <v>-1.121051787289</v>
      </c>
      <c r="AE4422">
        <v>-4.7152699999999896</v>
      </c>
      <c r="AF4422">
        <v>3.4232898745345302</v>
      </c>
      <c r="AG4422">
        <v>-1.121051787289</v>
      </c>
      <c r="AH4422">
        <v>26.340152830473698</v>
      </c>
      <c r="AI4422">
        <v>92.416769218742303</v>
      </c>
      <c r="AJ4422">
        <v>82.595077206551196</v>
      </c>
      <c r="AK4422">
        <v>26.585321547944201</v>
      </c>
      <c r="AL4422">
        <v>77.688318330343904</v>
      </c>
      <c r="AM4422">
        <v>81.771824343116805</v>
      </c>
      <c r="AN4422">
        <v>1.0000000684113199</v>
      </c>
    </row>
    <row r="4423" spans="1:40" x14ac:dyDescent="0.25">
      <c r="A4423" t="str">
        <f>"20190303162642907"</f>
        <v>20190303162642907</v>
      </c>
      <c r="B4423" t="str">
        <f>"1551601602898327"</f>
        <v>1551601602898327</v>
      </c>
      <c r="C4423" t="s">
        <v>40</v>
      </c>
      <c r="D4423">
        <v>5.002726</v>
      </c>
      <c r="E4423">
        <v>0.49813689999999999</v>
      </c>
      <c r="F4423" t="s">
        <v>41</v>
      </c>
      <c r="G4423">
        <v>-324.26949999999999</v>
      </c>
      <c r="H4423" s="1">
        <v>-4.0414500000000001E-6</v>
      </c>
      <c r="I4423">
        <v>12.63846</v>
      </c>
      <c r="J4423">
        <v>-350.71129999999999</v>
      </c>
      <c r="K4423">
        <v>1.1210519999999999</v>
      </c>
      <c r="L4423">
        <v>17.401399999999999</v>
      </c>
      <c r="M4423">
        <v>0.99869669999999999</v>
      </c>
      <c r="N4423">
        <v>-1.41136E-2</v>
      </c>
      <c r="O4423">
        <v>-4.9051230000000001E-2</v>
      </c>
      <c r="P4423">
        <v>0.9615669</v>
      </c>
      <c r="Q4423">
        <v>0.19957549999999999</v>
      </c>
      <c r="R4423">
        <v>-0.18857119999999999</v>
      </c>
      <c r="S4423">
        <v>3.039917</v>
      </c>
      <c r="T4423">
        <v>-0.127141</v>
      </c>
      <c r="U4423">
        <v>-0.54220579999999996</v>
      </c>
      <c r="V4423">
        <v>0.1412631</v>
      </c>
      <c r="W4423">
        <v>0.2131816</v>
      </c>
      <c r="X4423">
        <v>0.96674629999999995</v>
      </c>
      <c r="Y4423">
        <v>0.12695909999999999</v>
      </c>
      <c r="Z4423">
        <v>-2.1924549999999998E-3</v>
      </c>
      <c r="AA4423">
        <v>0.9919055</v>
      </c>
      <c r="AB4423">
        <v>35</v>
      </c>
      <c r="AC4423">
        <v>26.441800000000001</v>
      </c>
      <c r="AD4423">
        <v>-1.1210560414499999</v>
      </c>
      <c r="AE4423">
        <v>-4.7629399999999897</v>
      </c>
      <c r="AF4423">
        <v>3.4540601250936001</v>
      </c>
      <c r="AG4423">
        <v>-1.1210560414499999</v>
      </c>
      <c r="AH4423">
        <v>26.597309432007901</v>
      </c>
      <c r="AI4423">
        <v>92.393469459750406</v>
      </c>
      <c r="AJ4423">
        <v>82.600693250232794</v>
      </c>
      <c r="AK4423">
        <v>26.844071356964601</v>
      </c>
      <c r="AL4423">
        <v>77.691132810831405</v>
      </c>
      <c r="AM4423">
        <v>81.686649300231196</v>
      </c>
      <c r="AN4423">
        <v>1.0000000332819201</v>
      </c>
    </row>
    <row r="4424" spans="1:40" x14ac:dyDescent="0.25">
      <c r="A4424" t="str">
        <f>"20190303162642928"</f>
        <v>20190303162642928</v>
      </c>
      <c r="B4424" t="str">
        <f>"1551601602917847"</f>
        <v>1551601602917847</v>
      </c>
      <c r="C4424" t="s">
        <v>40</v>
      </c>
      <c r="D4424">
        <v>5.3141669999999896</v>
      </c>
      <c r="E4424">
        <v>0.49816899999999997</v>
      </c>
      <c r="F4424" t="s">
        <v>41</v>
      </c>
      <c r="G4424">
        <v>-324.09609999999998</v>
      </c>
      <c r="H4424" s="1">
        <v>-4.1152080000000002E-6</v>
      </c>
      <c r="I4424">
        <v>12.611470000000001</v>
      </c>
      <c r="J4424">
        <v>-350.3691</v>
      </c>
      <c r="K4424">
        <v>1.1210560000000001</v>
      </c>
      <c r="L4424">
        <v>17.384429999999998</v>
      </c>
      <c r="M4424">
        <v>0.99868889999999999</v>
      </c>
      <c r="N4424">
        <v>-1.411054E-2</v>
      </c>
      <c r="O4424">
        <v>-4.9209860000000001E-2</v>
      </c>
      <c r="P4424">
        <v>0.96135859999999995</v>
      </c>
      <c r="Q4424">
        <v>0.1993499</v>
      </c>
      <c r="R4424">
        <v>-0.18986800000000001</v>
      </c>
      <c r="S4424">
        <v>3.039215</v>
      </c>
      <c r="T4424">
        <v>-0.1280144</v>
      </c>
      <c r="U4424">
        <v>-0.54696659999999997</v>
      </c>
      <c r="V4424">
        <v>0.14241400000000001</v>
      </c>
      <c r="W4424">
        <v>0.2129509</v>
      </c>
      <c r="X4424">
        <v>0.9666283</v>
      </c>
      <c r="Y4424">
        <v>0.1283435</v>
      </c>
      <c r="Z4424">
        <v>-2.2307350000000002E-3</v>
      </c>
      <c r="AA4424">
        <v>0.99172729999999998</v>
      </c>
      <c r="AB4424">
        <v>35</v>
      </c>
      <c r="AC4424">
        <v>26.273</v>
      </c>
      <c r="AD4424">
        <v>-1.121060115208</v>
      </c>
      <c r="AE4424">
        <v>-4.7729599999999897</v>
      </c>
      <c r="AF4424">
        <v>3.4680444552109</v>
      </c>
      <c r="AG4424">
        <v>-1.121060115208</v>
      </c>
      <c r="AH4424">
        <v>26.429480168769199</v>
      </c>
      <c r="AI4424">
        <v>92.408241069989302</v>
      </c>
      <c r="AJ4424">
        <v>82.524427518349995</v>
      </c>
      <c r="AK4424">
        <v>26.679608882376701</v>
      </c>
      <c r="AL4424">
        <v>77.7046618291225</v>
      </c>
      <c r="AM4424">
        <v>81.618868245303005</v>
      </c>
      <c r="AN4424">
        <v>1.0000000517838401</v>
      </c>
    </row>
    <row r="4425" spans="1:40" x14ac:dyDescent="0.25">
      <c r="A4425" t="str">
        <f>"20190303162642942"</f>
        <v>20190303162642942</v>
      </c>
      <c r="B4425" t="str">
        <f>"1551601602928583"</f>
        <v>1551601602928583</v>
      </c>
      <c r="C4425" t="s">
        <v>40</v>
      </c>
      <c r="D4425">
        <v>5.3275169999999896</v>
      </c>
      <c r="E4425">
        <v>0.49816899999999997</v>
      </c>
      <c r="F4425" t="s">
        <v>41</v>
      </c>
      <c r="G4425">
        <v>-323.93</v>
      </c>
      <c r="H4425" s="1">
        <v>-4.1865999999999999E-6</v>
      </c>
      <c r="I4425">
        <v>12.5829</v>
      </c>
      <c r="J4425">
        <v>-350.16090000000003</v>
      </c>
      <c r="K4425">
        <v>1.1210580000000001</v>
      </c>
      <c r="L4425">
        <v>17.374079999999999</v>
      </c>
      <c r="M4425">
        <v>0.99868400000000002</v>
      </c>
      <c r="N4425">
        <v>-1.4108610000000001E-2</v>
      </c>
      <c r="O4425">
        <v>-4.9306629999999997E-2</v>
      </c>
      <c r="P4425">
        <v>0.96120459999999996</v>
      </c>
      <c r="Q4425">
        <v>0.19955349999999999</v>
      </c>
      <c r="R4425">
        <v>-0.19043260000000001</v>
      </c>
      <c r="S4425">
        <v>3.0383610000000001</v>
      </c>
      <c r="T4425">
        <v>-0.12883139999999901</v>
      </c>
      <c r="U4425">
        <v>-0.55178830000000001</v>
      </c>
      <c r="V4425">
        <v>0.14289170000000001</v>
      </c>
      <c r="W4425">
        <v>0.2131508</v>
      </c>
      <c r="X4425">
        <v>0.96651370000000003</v>
      </c>
      <c r="Y4425">
        <v>0.12981690000000001</v>
      </c>
      <c r="Z4425">
        <v>-2.2734220000000002E-3</v>
      </c>
      <c r="AA4425">
        <v>0.99153539999999996</v>
      </c>
      <c r="AB4425">
        <v>35</v>
      </c>
      <c r="AC4425">
        <v>26.230899999999998</v>
      </c>
      <c r="AD4425">
        <v>-1.1210621865999999</v>
      </c>
      <c r="AE4425">
        <v>-4.79117999999999</v>
      </c>
      <c r="AF4425">
        <v>3.4857039230622302</v>
      </c>
      <c r="AG4425">
        <v>-1.1210621865999999</v>
      </c>
      <c r="AH4425">
        <v>26.388605052897301</v>
      </c>
      <c r="AI4425">
        <v>92.411699417213001</v>
      </c>
      <c r="AJ4425">
        <v>82.475290827958204</v>
      </c>
      <c r="AK4425">
        <v>26.641422426426001</v>
      </c>
      <c r="AL4425">
        <v>77.692938830084401</v>
      </c>
      <c r="AM4425">
        <v>81.590173881553397</v>
      </c>
      <c r="AN4425">
        <v>1.0000000168786001</v>
      </c>
    </row>
    <row r="4426" spans="1:40" x14ac:dyDescent="0.25">
      <c r="A4426" t="str">
        <f>"20190303162642953"</f>
        <v>20190303162642953</v>
      </c>
      <c r="B4426" t="str">
        <f>"1551601602948103"</f>
        <v>1551601602948103</v>
      </c>
      <c r="C4426" t="s">
        <v>40</v>
      </c>
      <c r="D4426">
        <v>5.3828110000000002</v>
      </c>
      <c r="E4426">
        <v>0.48659269999999999</v>
      </c>
      <c r="F4426" t="s">
        <v>41</v>
      </c>
      <c r="G4426">
        <v>-323.58850000000001</v>
      </c>
      <c r="H4426" s="1">
        <v>-4.3313009999999997E-6</v>
      </c>
      <c r="I4426">
        <v>12.532</v>
      </c>
      <c r="J4426">
        <v>-349.95740000000001</v>
      </c>
      <c r="K4426">
        <v>1.1210560000000001</v>
      </c>
      <c r="L4426">
        <v>17.36392</v>
      </c>
      <c r="M4426">
        <v>0.99867950000000005</v>
      </c>
      <c r="N4426">
        <v>-1.41067E-2</v>
      </c>
      <c r="O4426">
        <v>-4.9401029999999999E-2</v>
      </c>
      <c r="P4426">
        <v>0.96108199999999999</v>
      </c>
      <c r="Q4426">
        <v>0.1997362</v>
      </c>
      <c r="R4426">
        <v>-0.19086040000000001</v>
      </c>
      <c r="S4426">
        <v>3.0379939999999999</v>
      </c>
      <c r="T4426">
        <v>-0.12816939999999999</v>
      </c>
      <c r="U4426">
        <v>-0.55358890000000005</v>
      </c>
      <c r="V4426">
        <v>0.14323329999999901</v>
      </c>
      <c r="W4426">
        <v>0.21333070000000001</v>
      </c>
      <c r="X4426">
        <v>0.96642349999999999</v>
      </c>
      <c r="Y4426">
        <v>0.1303135</v>
      </c>
      <c r="Z4426">
        <v>-2.2811929999999999E-3</v>
      </c>
      <c r="AA4426">
        <v>0.99147019999999997</v>
      </c>
      <c r="AB4426">
        <v>35</v>
      </c>
      <c r="AC4426">
        <v>26.3689</v>
      </c>
      <c r="AD4426">
        <v>-1.1210603313009999</v>
      </c>
      <c r="AE4426">
        <v>-4.8319199999999896</v>
      </c>
      <c r="AF4426">
        <v>3.5170882975614601</v>
      </c>
      <c r="AG4426">
        <v>-1.1210603313009999</v>
      </c>
      <c r="AH4426">
        <v>26.529030391961999</v>
      </c>
      <c r="AI4426">
        <v>92.398793857121007</v>
      </c>
      <c r="AJ4426">
        <v>82.4480467817434</v>
      </c>
      <c r="AK4426">
        <v>26.784625065453199</v>
      </c>
      <c r="AL4426">
        <v>77.682389371609005</v>
      </c>
      <c r="AM4426">
        <v>81.569582235270104</v>
      </c>
      <c r="AN4426">
        <v>1.00000007357181</v>
      </c>
    </row>
    <row r="4427" spans="1:40" x14ac:dyDescent="0.25">
      <c r="A4427" t="str">
        <f>"20190303162642974"</f>
        <v>20190303162642974</v>
      </c>
      <c r="B4427" t="str">
        <f>"1551601602968599"</f>
        <v>1551601602968599</v>
      </c>
      <c r="C4427" t="s">
        <v>40</v>
      </c>
      <c r="D4427">
        <v>5.3815589999999904</v>
      </c>
      <c r="E4427">
        <v>0.48497649999999998</v>
      </c>
      <c r="F4427" t="s">
        <v>41</v>
      </c>
      <c r="G4427">
        <v>-324.36380000000003</v>
      </c>
      <c r="H4427" s="1">
        <v>-3.7814380000000001E-6</v>
      </c>
      <c r="I4427">
        <v>13.47955</v>
      </c>
      <c r="J4427">
        <v>-349.65480000000002</v>
      </c>
      <c r="K4427">
        <v>1.1210610000000001</v>
      </c>
      <c r="L4427">
        <v>17.34882</v>
      </c>
      <c r="M4427">
        <v>0.99867249999999996</v>
      </c>
      <c r="N4427">
        <v>-1.4103920000000001E-2</v>
      </c>
      <c r="O4427">
        <v>-4.9541189999999999E-2</v>
      </c>
      <c r="P4427">
        <v>0.96090920000000002</v>
      </c>
      <c r="Q4427">
        <v>0.19936209999999999</v>
      </c>
      <c r="R4427">
        <v>-0.19211500000000001</v>
      </c>
      <c r="S4427">
        <v>3.057159</v>
      </c>
      <c r="T4427">
        <v>-0.133911</v>
      </c>
      <c r="U4427">
        <v>-0.46398929999999999</v>
      </c>
      <c r="V4427">
        <v>0.14435870000000001</v>
      </c>
      <c r="W4427">
        <v>0.21295230000000001</v>
      </c>
      <c r="X4427">
        <v>0.96633939999999996</v>
      </c>
      <c r="Y4427">
        <v>0.10077949999999999</v>
      </c>
      <c r="Z4427">
        <v>-1.4502629999999901E-3</v>
      </c>
      <c r="AA4427">
        <v>0.99490769999999995</v>
      </c>
      <c r="AB4427">
        <v>35</v>
      </c>
      <c r="AC4427">
        <v>25.291</v>
      </c>
      <c r="AD4427">
        <v>-1.1210647814379999</v>
      </c>
      <c r="AE4427">
        <v>-3.86926999999999</v>
      </c>
      <c r="AF4427">
        <v>2.6064428970326299</v>
      </c>
      <c r="AG4427">
        <v>-1.1210647814379999</v>
      </c>
      <c r="AH4427">
        <v>25.4028745330654</v>
      </c>
      <c r="AI4427">
        <v>92.513724108770006</v>
      </c>
      <c r="AJ4427">
        <v>84.141710073620402</v>
      </c>
      <c r="AK4427">
        <v>25.560836554430999</v>
      </c>
      <c r="AL4427">
        <v>77.704578787667302</v>
      </c>
      <c r="AM4427">
        <v>81.503577874754001</v>
      </c>
      <c r="AN4427">
        <v>0.99999997616666902</v>
      </c>
    </row>
    <row r="4428" spans="1:40" x14ac:dyDescent="0.25">
      <c r="A4428" t="str">
        <f>"20190303162642996"</f>
        <v>20190303162642996</v>
      </c>
      <c r="B4428" t="str">
        <f>"1551601602988119"</f>
        <v>1551601602988119</v>
      </c>
      <c r="C4428" t="s">
        <v>40</v>
      </c>
      <c r="D4428">
        <v>5.3252959999999998</v>
      </c>
      <c r="E4428">
        <v>0.48453220000000002</v>
      </c>
      <c r="F4428" t="s">
        <v>41</v>
      </c>
      <c r="G4428">
        <v>-324.48410000000001</v>
      </c>
      <c r="H4428" s="1">
        <v>-3.7012849999999998E-6</v>
      </c>
      <c r="I4428">
        <v>13.607229999999999</v>
      </c>
      <c r="J4428">
        <v>-349.29450000000003</v>
      </c>
      <c r="K4428">
        <v>1.1210629999999999</v>
      </c>
      <c r="L4428">
        <v>17.330749999999998</v>
      </c>
      <c r="M4428">
        <v>0.99866429999999995</v>
      </c>
      <c r="N4428">
        <v>-1.4100639999999999E-2</v>
      </c>
      <c r="O4428">
        <v>-4.9708519999999999E-2</v>
      </c>
      <c r="P4428">
        <v>0.96063240000000005</v>
      </c>
      <c r="Q4428">
        <v>0.19931489999999999</v>
      </c>
      <c r="R4428">
        <v>-0.19354399999999999</v>
      </c>
      <c r="S4428">
        <v>3.0593870000000001</v>
      </c>
      <c r="T4428">
        <v>-0.136260299999999</v>
      </c>
      <c r="U4428">
        <v>-0.45477289999999998</v>
      </c>
      <c r="V4428">
        <v>0.14563699999999999</v>
      </c>
      <c r="W4428">
        <v>0.2128988</v>
      </c>
      <c r="X4428">
        <v>0.9661594</v>
      </c>
      <c r="Y4428">
        <v>9.7575259999999997E-2</v>
      </c>
      <c r="Z4428">
        <v>-1.351859E-3</v>
      </c>
      <c r="AA4428">
        <v>0.99522719999999998</v>
      </c>
      <c r="AB4428">
        <v>35</v>
      </c>
      <c r="AC4428">
        <v>24.810400000000001</v>
      </c>
      <c r="AD4428">
        <v>-1.121066701285</v>
      </c>
      <c r="AE4428">
        <v>-3.7235199999999899</v>
      </c>
      <c r="AF4428">
        <v>2.4805521277442302</v>
      </c>
      <c r="AG4428">
        <v>-1.121066701285</v>
      </c>
      <c r="AH4428">
        <v>24.9150825377166</v>
      </c>
      <c r="AI4428">
        <v>92.563657326482101</v>
      </c>
      <c r="AJ4428">
        <v>84.314353661573705</v>
      </c>
      <c r="AK4428">
        <v>25.063345093351298</v>
      </c>
      <c r="AL4428">
        <v>77.707716483159899</v>
      </c>
      <c r="AM4428">
        <v>81.427881317561102</v>
      </c>
      <c r="AN4428">
        <v>1.0000000105094</v>
      </c>
    </row>
    <row r="4429" spans="1:40" x14ac:dyDescent="0.25">
      <c r="A4429" t="str">
        <f>"20190303162643017"</f>
        <v>20190303162643017</v>
      </c>
      <c r="B4429" t="str">
        <f>"1551601603008616"</f>
        <v>1551601603008616</v>
      </c>
      <c r="C4429" t="s">
        <v>40</v>
      </c>
      <c r="D4429">
        <v>5.3241449999999997</v>
      </c>
      <c r="E4429">
        <v>0.48435250000000002</v>
      </c>
      <c r="F4429" t="s">
        <v>41</v>
      </c>
      <c r="G4429">
        <v>-324.84589999999997</v>
      </c>
      <c r="H4429" s="1">
        <v>-3.5415279999999998E-6</v>
      </c>
      <c r="I4429">
        <v>13.6854</v>
      </c>
      <c r="J4429">
        <v>-348.96539999999999</v>
      </c>
      <c r="K4429">
        <v>1.121068</v>
      </c>
      <c r="L4429">
        <v>17.314209999999999</v>
      </c>
      <c r="M4429">
        <v>0.99865680000000001</v>
      </c>
      <c r="N4429">
        <v>-1.409785E-2</v>
      </c>
      <c r="O4429">
        <v>-4.9860719999999997E-2</v>
      </c>
      <c r="P4429">
        <v>0.96040800000000004</v>
      </c>
      <c r="Q4429">
        <v>0.19922480000000001</v>
      </c>
      <c r="R4429">
        <v>-0.19474620000000001</v>
      </c>
      <c r="S4429">
        <v>3.0600890000000001</v>
      </c>
      <c r="T4429">
        <v>-0.14031769999999999</v>
      </c>
      <c r="U4429">
        <v>-0.45626830000000002</v>
      </c>
      <c r="V4429">
        <v>0.14670129999999901</v>
      </c>
      <c r="W4429">
        <v>0.21280370000000001</v>
      </c>
      <c r="X4429">
        <v>0.96601930000000003</v>
      </c>
      <c r="Y4429">
        <v>9.7861299999999998E-2</v>
      </c>
      <c r="Z4429">
        <v>-1.3542440000000001E-3</v>
      </c>
      <c r="AA4429">
        <v>0.9951991</v>
      </c>
      <c r="AB4429">
        <v>35</v>
      </c>
      <c r="AC4429">
        <v>24.119499999999999</v>
      </c>
      <c r="AD4429">
        <v>-1.1210715415279999</v>
      </c>
      <c r="AE4429">
        <v>-3.6288100000000001</v>
      </c>
      <c r="AF4429">
        <v>2.4164555949303699</v>
      </c>
      <c r="AG4429">
        <v>-1.1210715415279999</v>
      </c>
      <c r="AH4429">
        <v>24.219282083732701</v>
      </c>
      <c r="AI4429">
        <v>92.6371624153997</v>
      </c>
      <c r="AJ4429">
        <v>84.302225577003995</v>
      </c>
      <c r="AK4429">
        <v>24.365337750478901</v>
      </c>
      <c r="AL4429">
        <v>77.713292809536696</v>
      </c>
      <c r="AM4429">
        <v>81.364944564161405</v>
      </c>
      <c r="AN4429">
        <v>0.999999987063934</v>
      </c>
    </row>
    <row r="4430" spans="1:40" x14ac:dyDescent="0.25">
      <c r="A4430" t="str">
        <f>"20190303162643033"</f>
        <v>20190303162643033</v>
      </c>
      <c r="B4430" t="str">
        <f>"1551601603018375"</f>
        <v>1551601603018375</v>
      </c>
      <c r="C4430" t="s">
        <v>40</v>
      </c>
      <c r="D4430">
        <v>5.3259040000000004</v>
      </c>
      <c r="E4430">
        <v>0.48436580000000001</v>
      </c>
      <c r="F4430" t="s">
        <v>41</v>
      </c>
      <c r="G4430">
        <v>-324.83139999999997</v>
      </c>
      <c r="H4430" s="1">
        <v>-3.545062E-6</v>
      </c>
      <c r="I4430">
        <v>13.69309</v>
      </c>
      <c r="J4430">
        <v>-348.73270000000002</v>
      </c>
      <c r="K4430">
        <v>1.121073</v>
      </c>
      <c r="L4430">
        <v>17.302489999999999</v>
      </c>
      <c r="M4430">
        <v>0.99865130000000002</v>
      </c>
      <c r="N4430">
        <v>-1.409579E-2</v>
      </c>
      <c r="O4430">
        <v>-4.9968100000000001E-2</v>
      </c>
      <c r="P4430">
        <v>0.96036010000000005</v>
      </c>
      <c r="Q4430">
        <v>0.1992409</v>
      </c>
      <c r="R4430">
        <v>-0.19496559999999999</v>
      </c>
      <c r="S4430">
        <v>3.0600589999999999</v>
      </c>
      <c r="T4430">
        <v>-0.14214549999999901</v>
      </c>
      <c r="U4430">
        <v>-0.45913700000000002</v>
      </c>
      <c r="V4430">
        <v>0.14681830000000001</v>
      </c>
      <c r="W4430">
        <v>0.21281720000000001</v>
      </c>
      <c r="X4430">
        <v>0.96599849999999998</v>
      </c>
      <c r="Y4430">
        <v>9.8665089999999997E-2</v>
      </c>
      <c r="Z4430">
        <v>-1.374367E-3</v>
      </c>
      <c r="AA4430">
        <v>0.9951198</v>
      </c>
      <c r="AB4430">
        <v>35</v>
      </c>
      <c r="AC4430">
        <v>23.901299999999999</v>
      </c>
      <c r="AD4430">
        <v>-1.1210765450619999</v>
      </c>
      <c r="AE4430">
        <v>-3.6093999999999902</v>
      </c>
      <c r="AF4430">
        <v>2.4052953077100998</v>
      </c>
      <c r="AG4430">
        <v>-1.1210765450619999</v>
      </c>
      <c r="AH4430">
        <v>24.000185961806199</v>
      </c>
      <c r="AI4430">
        <v>92.661097012252696</v>
      </c>
      <c r="AJ4430">
        <v>84.276934734948497</v>
      </c>
      <c r="AK4430">
        <v>24.146452831388299</v>
      </c>
      <c r="AL4430">
        <v>77.712500569783103</v>
      </c>
      <c r="AM4430">
        <v>81.357978434989704</v>
      </c>
      <c r="AN4430">
        <v>0.999999937916488</v>
      </c>
    </row>
    <row r="4431" spans="1:40" x14ac:dyDescent="0.25">
      <c r="A4431" t="str">
        <f>"20190303162643050"</f>
        <v>20190303162643050</v>
      </c>
      <c r="B4431" t="str">
        <f>"1551601603037896"</f>
        <v>1551601603037896</v>
      </c>
      <c r="C4431" t="s">
        <v>40</v>
      </c>
      <c r="D4431">
        <v>5.3223510000000003</v>
      </c>
      <c r="E4431">
        <v>0.48436869999999999</v>
      </c>
      <c r="F4431" t="s">
        <v>41</v>
      </c>
      <c r="G4431">
        <v>-324.714</v>
      </c>
      <c r="H4431" s="1">
        <v>-3.5909549999999998E-6</v>
      </c>
      <c r="I4431">
        <v>13.690060000000001</v>
      </c>
      <c r="J4431">
        <v>-348.4513</v>
      </c>
      <c r="K4431">
        <v>1.121078</v>
      </c>
      <c r="L4431">
        <v>17.288270000000001</v>
      </c>
      <c r="M4431">
        <v>0.99864489999999995</v>
      </c>
      <c r="N4431">
        <v>-1.4093369999999999E-2</v>
      </c>
      <c r="O4431">
        <v>-5.0097639999999999E-2</v>
      </c>
      <c r="P4431">
        <v>0.96031520000000004</v>
      </c>
      <c r="Q4431">
        <v>0.19922339999999999</v>
      </c>
      <c r="R4431">
        <v>-0.19520409999999999</v>
      </c>
      <c r="S4431">
        <v>3.0600589999999999</v>
      </c>
      <c r="T4431">
        <v>-0.1428287</v>
      </c>
      <c r="U4431">
        <v>-0.46023560000000002</v>
      </c>
      <c r="V4431">
        <v>0.1469328</v>
      </c>
      <c r="W4431">
        <v>0.21279770000000001</v>
      </c>
      <c r="X4431">
        <v>0.96598550000000005</v>
      </c>
      <c r="Y4431">
        <v>9.8884369999999999E-2</v>
      </c>
      <c r="Z4431">
        <v>-1.376476E-3</v>
      </c>
      <c r="AA4431">
        <v>0.99509800000000004</v>
      </c>
      <c r="AB4431">
        <v>35</v>
      </c>
      <c r="AC4431">
        <v>23.737300000000001</v>
      </c>
      <c r="AD4431">
        <v>-1.121081590955</v>
      </c>
      <c r="AE4431">
        <v>-3.5982099999999999</v>
      </c>
      <c r="AF4431">
        <v>2.3991588726489801</v>
      </c>
      <c r="AG4431">
        <v>-1.121081590955</v>
      </c>
      <c r="AH4431">
        <v>23.835794780297402</v>
      </c>
      <c r="AI4431">
        <v>92.679320114105707</v>
      </c>
      <c r="AJ4431">
        <v>84.252330763406803</v>
      </c>
      <c r="AK4431">
        <v>23.982449833956501</v>
      </c>
      <c r="AL4431">
        <v>77.713645397191996</v>
      </c>
      <c r="AM4431">
        <v>81.351225974797899</v>
      </c>
      <c r="AN4431">
        <v>1.0000000475256801</v>
      </c>
    </row>
    <row r="4432" spans="1:40" x14ac:dyDescent="0.25">
      <c r="A4432" t="str">
        <f>"20190303162643064"</f>
        <v>20190303162643064</v>
      </c>
      <c r="B4432" t="str">
        <f>"1551601603048632"</f>
        <v>1551601603048632</v>
      </c>
      <c r="C4432" t="s">
        <v>40</v>
      </c>
      <c r="D4432">
        <v>5.3808829999999999</v>
      </c>
      <c r="E4432">
        <v>0.48432310000000001</v>
      </c>
      <c r="F4432" t="s">
        <v>41</v>
      </c>
      <c r="G4432">
        <v>-324.53620000000001</v>
      </c>
      <c r="H4432" s="1">
        <v>-3.6600699999999999E-6</v>
      </c>
      <c r="I4432">
        <v>13.68685</v>
      </c>
      <c r="J4432">
        <v>-348.25199999999899</v>
      </c>
      <c r="K4432">
        <v>1.1210800000000001</v>
      </c>
      <c r="L4432">
        <v>17.278199999999998</v>
      </c>
      <c r="M4432">
        <v>0.99864030000000004</v>
      </c>
      <c r="N4432">
        <v>-1.4091680000000001E-2</v>
      </c>
      <c r="O4432">
        <v>-5.0189409999999997E-2</v>
      </c>
      <c r="P4432">
        <v>0.96032899999999999</v>
      </c>
      <c r="Q4432">
        <v>0.19908439999999999</v>
      </c>
      <c r="R4432">
        <v>-0.1952788</v>
      </c>
      <c r="S4432">
        <v>3.060028</v>
      </c>
      <c r="T4432">
        <v>-0.14344670000000001</v>
      </c>
      <c r="U4432">
        <v>-0.46081539999999999</v>
      </c>
      <c r="V4432">
        <v>0.14691709999999999</v>
      </c>
      <c r="W4432">
        <v>0.2126574</v>
      </c>
      <c r="X4432">
        <v>0.96601870000000001</v>
      </c>
      <c r="Y4432">
        <v>9.8977990000000002E-2</v>
      </c>
      <c r="Z4432">
        <v>-1.376064E-3</v>
      </c>
      <c r="AA4432">
        <v>0.99508869999999905</v>
      </c>
      <c r="AB4432">
        <v>35</v>
      </c>
      <c r="AC4432">
        <v>23.715799999999899</v>
      </c>
      <c r="AD4432">
        <v>-1.1210836600699901</v>
      </c>
      <c r="AE4432">
        <v>-3.5913499999999901</v>
      </c>
      <c r="AF4432">
        <v>2.39119918228895</v>
      </c>
      <c r="AG4432">
        <v>-1.1210836600699901</v>
      </c>
      <c r="AH4432">
        <v>23.8141488724795</v>
      </c>
      <c r="AI4432">
        <v>92.681821573194895</v>
      </c>
      <c r="AJ4432">
        <v>84.266100309643903</v>
      </c>
      <c r="AK4432">
        <v>23.9601408306143</v>
      </c>
      <c r="AL4432">
        <v>77.721871283959103</v>
      </c>
      <c r="AM4432">
        <v>81.352428853365197</v>
      </c>
      <c r="AN4432">
        <v>0.99999996639842903</v>
      </c>
    </row>
    <row r="4433" spans="1:40" x14ac:dyDescent="0.25">
      <c r="A4433" t="str">
        <f>"20190303162643086"</f>
        <v>20190303162643086</v>
      </c>
      <c r="B4433" t="str">
        <f>"1551601603077911"</f>
        <v>1551601603077911</v>
      </c>
      <c r="C4433" t="s">
        <v>40</v>
      </c>
      <c r="D4433">
        <v>5.324198</v>
      </c>
      <c r="E4433">
        <v>0.48417310000000002</v>
      </c>
      <c r="F4433" t="s">
        <v>41</v>
      </c>
      <c r="G4433">
        <v>-324.5265</v>
      </c>
      <c r="H4433" s="1">
        <v>-3.6585230000000002E-6</v>
      </c>
      <c r="I4433">
        <v>13.70673</v>
      </c>
      <c r="J4433">
        <v>-347.9</v>
      </c>
      <c r="K4433">
        <v>1.121076</v>
      </c>
      <c r="L4433">
        <v>17.26031</v>
      </c>
      <c r="M4433">
        <v>0.99863239999999998</v>
      </c>
      <c r="N4433">
        <v>-1.4088649999999999E-2</v>
      </c>
      <c r="O4433">
        <v>-5.0349339999999999E-2</v>
      </c>
      <c r="P4433">
        <v>0.96044390000000002</v>
      </c>
      <c r="Q4433">
        <v>0.19848389999999999</v>
      </c>
      <c r="R4433">
        <v>-0.19532450000000001</v>
      </c>
      <c r="S4433">
        <v>3.0602109999999998</v>
      </c>
      <c r="T4433">
        <v>-0.14460209999999901</v>
      </c>
      <c r="U4433">
        <v>-0.46066279999999998</v>
      </c>
      <c r="V4433">
        <v>0.14680109999999999</v>
      </c>
      <c r="W4433">
        <v>0.21205679999999999</v>
      </c>
      <c r="X4433">
        <v>0.96616840000000004</v>
      </c>
      <c r="Y4433">
        <v>9.8760390000000003E-2</v>
      </c>
      <c r="Z4433">
        <v>-1.36363E-3</v>
      </c>
      <c r="AA4433">
        <v>0.9951103</v>
      </c>
      <c r="AB4433">
        <v>35</v>
      </c>
      <c r="AC4433">
        <v>23.3734999999999</v>
      </c>
      <c r="AD4433">
        <v>-1.1210796585230001</v>
      </c>
      <c r="AE4433">
        <v>-3.5535800000000002</v>
      </c>
      <c r="AF4433">
        <v>2.3667931648245801</v>
      </c>
      <c r="AG4433">
        <v>-1.1210796585230001</v>
      </c>
      <c r="AH4433">
        <v>23.4700135635298</v>
      </c>
      <c r="AI4433">
        <v>92.720959084110206</v>
      </c>
      <c r="AJ4433">
        <v>84.241572825225106</v>
      </c>
      <c r="AK4433">
        <v>23.615674162684599</v>
      </c>
      <c r="AL4433">
        <v>77.757086893436394</v>
      </c>
      <c r="AM4433">
        <v>81.360472166166801</v>
      </c>
      <c r="AN4433">
        <v>1.000000013273</v>
      </c>
    </row>
    <row r="4434" spans="1:40" x14ac:dyDescent="0.25">
      <c r="A4434" t="str">
        <f>"20190303162643110"</f>
        <v>20190303162643110</v>
      </c>
      <c r="B4434" t="str">
        <f>"1551601603098410"</f>
        <v>1551601603098410</v>
      </c>
      <c r="C4434" t="s">
        <v>40</v>
      </c>
      <c r="D4434">
        <v>5.4435260000000003</v>
      </c>
      <c r="E4434">
        <v>0.48413299999999998</v>
      </c>
      <c r="F4434" t="s">
        <v>41</v>
      </c>
      <c r="G4434">
        <v>-324.57229999999998</v>
      </c>
      <c r="H4434" s="1">
        <v>-3.628112E-6</v>
      </c>
      <c r="I4434">
        <v>13.754860000000001</v>
      </c>
      <c r="J4434">
        <v>-347.53160000000003</v>
      </c>
      <c r="K4434">
        <v>1.1210800000000001</v>
      </c>
      <c r="L4434">
        <v>17.241610000000001</v>
      </c>
      <c r="M4434">
        <v>0.99862410000000001</v>
      </c>
      <c r="N4434">
        <v>-1.4085439999999999E-2</v>
      </c>
      <c r="O4434">
        <v>-5.0512689999999999E-2</v>
      </c>
      <c r="P4434">
        <v>0.96039090000000005</v>
      </c>
      <c r="Q4434">
        <v>0.1980838</v>
      </c>
      <c r="R4434">
        <v>-0.19599030000000001</v>
      </c>
      <c r="S4434">
        <v>3.060486</v>
      </c>
      <c r="T4434">
        <v>-0.14708070000000001</v>
      </c>
      <c r="U4434">
        <v>-0.45989989999999997</v>
      </c>
      <c r="V4434">
        <v>0.14730879999999999</v>
      </c>
      <c r="W4434">
        <v>0.2116546</v>
      </c>
      <c r="X4434">
        <v>0.96617929999999996</v>
      </c>
      <c r="Y4434">
        <v>9.8339640000000006E-2</v>
      </c>
      <c r="Z4434">
        <v>-1.3440660000000001E-3</v>
      </c>
      <c r="AA4434">
        <v>0.99515200000000004</v>
      </c>
      <c r="AB4434">
        <v>35</v>
      </c>
      <c r="AC4434">
        <v>22.959299999999999</v>
      </c>
      <c r="AD4434">
        <v>-1.12108362811199</v>
      </c>
      <c r="AE4434">
        <v>-3.4867499999999998</v>
      </c>
      <c r="AF4434">
        <v>2.3170469806118001</v>
      </c>
      <c r="AG4434">
        <v>-1.12108362811199</v>
      </c>
      <c r="AH4434">
        <v>23.052402876335599</v>
      </c>
      <c r="AI4434">
        <v>92.770276167511696</v>
      </c>
      <c r="AJ4434">
        <v>84.260353843503594</v>
      </c>
      <c r="AK4434">
        <v>23.195663680620701</v>
      </c>
      <c r="AL4434">
        <v>77.780666275798097</v>
      </c>
      <c r="AM4434">
        <v>81.331142508912507</v>
      </c>
      <c r="AN4434">
        <v>0.99999999600354395</v>
      </c>
    </row>
    <row r="4435" spans="1:40" x14ac:dyDescent="0.25">
      <c r="A4435" t="str">
        <f>"20190303162643129"</f>
        <v>20190303162643129</v>
      </c>
      <c r="B4435" t="str">
        <f>"1551601603118435"</f>
        <v>1551601603118435</v>
      </c>
      <c r="C4435" t="s">
        <v>40</v>
      </c>
      <c r="D4435">
        <v>5.4492209999999996</v>
      </c>
      <c r="E4435">
        <v>0.48401939999999999</v>
      </c>
      <c r="F4435" t="s">
        <v>41</v>
      </c>
      <c r="G4435">
        <v>-324.53250000000003</v>
      </c>
      <c r="H4435" s="1">
        <v>-3.6389020000000001E-6</v>
      </c>
      <c r="I4435">
        <v>13.77172</v>
      </c>
      <c r="J4435">
        <v>-347.23230000000001</v>
      </c>
      <c r="K4435">
        <v>1.1210880000000001</v>
      </c>
      <c r="L4435">
        <v>17.226289999999999</v>
      </c>
      <c r="M4435">
        <v>0.9986178</v>
      </c>
      <c r="N4435">
        <v>-1.408069E-2</v>
      </c>
      <c r="O4435">
        <v>-5.0640619999999997E-2</v>
      </c>
      <c r="P4435">
        <v>0.96022589999999997</v>
      </c>
      <c r="Q4435">
        <v>0.19795409999999999</v>
      </c>
      <c r="R4435">
        <v>-0.19692889999999999</v>
      </c>
      <c r="S4435">
        <v>3.0602420000000001</v>
      </c>
      <c r="T4435">
        <v>-0.14917049999999901</v>
      </c>
      <c r="U4435">
        <v>-0.46170040000000001</v>
      </c>
      <c r="V4435">
        <v>0.14812809999999901</v>
      </c>
      <c r="W4435">
        <v>0.21152000000000001</v>
      </c>
      <c r="X4435">
        <v>0.96608349999999998</v>
      </c>
      <c r="Y4435">
        <v>9.8793279999999997E-2</v>
      </c>
      <c r="Z4435">
        <v>-1.3525550000000001E-3</v>
      </c>
      <c r="AA4435">
        <v>0.99510710000000002</v>
      </c>
      <c r="AB4435">
        <v>35</v>
      </c>
      <c r="AC4435">
        <v>22.6997999999999</v>
      </c>
      <c r="AD4435">
        <v>-1.12109163890199</v>
      </c>
      <c r="AE4435">
        <v>-3.4545699999999901</v>
      </c>
      <c r="AF4435">
        <v>2.2950197481294801</v>
      </c>
      <c r="AG4435">
        <v>-1.12109163890199</v>
      </c>
      <c r="AH4435">
        <v>22.791294952041898</v>
      </c>
      <c r="AI4435">
        <v>92.801931912395503</v>
      </c>
      <c r="AJ4435">
        <v>84.249858089001606</v>
      </c>
      <c r="AK4435">
        <v>22.933972348855999</v>
      </c>
      <c r="AL4435">
        <v>77.788556823996004</v>
      </c>
      <c r="AM4435">
        <v>81.282815569896897</v>
      </c>
      <c r="AN4435">
        <v>0.99999998669092904</v>
      </c>
    </row>
    <row r="4436" spans="1:40" x14ac:dyDescent="0.25">
      <c r="A4436" t="str">
        <f>"20190303162643151"</f>
        <v>20190303162643151</v>
      </c>
      <c r="B4436" t="str">
        <f>"1551601603137955"</f>
        <v>1551601603137955</v>
      </c>
      <c r="C4436" t="s">
        <v>40</v>
      </c>
      <c r="D4436">
        <v>5.4488300000000001</v>
      </c>
      <c r="E4436">
        <v>0.48383660000000001</v>
      </c>
      <c r="F4436" t="s">
        <v>41</v>
      </c>
      <c r="G4436">
        <v>-324.20159999999998</v>
      </c>
      <c r="H4436" s="1">
        <v>-3.775158E-6</v>
      </c>
      <c r="I4436">
        <v>13.73725</v>
      </c>
      <c r="J4436">
        <v>-346.87279999999998</v>
      </c>
      <c r="K4436">
        <v>1.121097</v>
      </c>
      <c r="L4436">
        <v>17.207920000000001</v>
      </c>
      <c r="M4436">
        <v>0.99861080000000002</v>
      </c>
      <c r="N4436">
        <v>-1.407043E-2</v>
      </c>
      <c r="O4436">
        <v>-5.078071E-2</v>
      </c>
      <c r="P4436">
        <v>0.9599915</v>
      </c>
      <c r="Q4436">
        <v>0.197772</v>
      </c>
      <c r="R4436">
        <v>-0.19824939999999999</v>
      </c>
      <c r="S4436">
        <v>3.0599059999999998</v>
      </c>
      <c r="T4436">
        <v>-0.14895079999999999</v>
      </c>
      <c r="U4436">
        <v>-0.46356199999999997</v>
      </c>
      <c r="V4436">
        <v>0.14931839999999999</v>
      </c>
      <c r="W4436">
        <v>0.21132880000000001</v>
      </c>
      <c r="X4436">
        <v>0.96594210000000003</v>
      </c>
      <c r="Y4436">
        <v>9.9261349999999998E-2</v>
      </c>
      <c r="Z4436">
        <v>-1.3614629999999901E-3</v>
      </c>
      <c r="AA4436">
        <v>0.99506039999999996</v>
      </c>
      <c r="AB4436">
        <v>35</v>
      </c>
      <c r="AC4436">
        <v>22.671199999999999</v>
      </c>
      <c r="AD4436">
        <v>-1.121100775158</v>
      </c>
      <c r="AE4436">
        <v>-3.4706700000000001</v>
      </c>
      <c r="AF4436">
        <v>2.3093001216981399</v>
      </c>
      <c r="AG4436">
        <v>-1.121100775158</v>
      </c>
      <c r="AH4436">
        <v>22.7638142543986</v>
      </c>
      <c r="AI4436">
        <v>92.805122007732194</v>
      </c>
      <c r="AJ4436">
        <v>84.207383724850004</v>
      </c>
      <c r="AK4436">
        <v>22.908098424114002</v>
      </c>
      <c r="AL4436">
        <v>77.799765231993703</v>
      </c>
      <c r="AM4436">
        <v>81.212590294354698</v>
      </c>
      <c r="AN4436">
        <v>0.99999999342020496</v>
      </c>
    </row>
    <row r="4437" spans="1:40" x14ac:dyDescent="0.25">
      <c r="A4437" t="str">
        <f>"20190303162643166"</f>
        <v>20190303162643166</v>
      </c>
      <c r="B4437" t="str">
        <f>"1551601603158451"</f>
        <v>1551601603158451</v>
      </c>
      <c r="C4437" t="s">
        <v>40</v>
      </c>
      <c r="D4437">
        <v>5.5103269999999904</v>
      </c>
      <c r="E4437">
        <v>0.48372130000000002</v>
      </c>
      <c r="F4437" t="s">
        <v>41</v>
      </c>
      <c r="G4437">
        <v>-324.06139999999999</v>
      </c>
      <c r="H4437" s="1">
        <v>-3.8308569999999999E-6</v>
      </c>
      <c r="I4437">
        <v>13.73542</v>
      </c>
      <c r="J4437">
        <v>-346.65679999999998</v>
      </c>
      <c r="K4437">
        <v>1.121103</v>
      </c>
      <c r="L4437">
        <v>17.196870000000001</v>
      </c>
      <c r="M4437">
        <v>0.99860729999999998</v>
      </c>
      <c r="N4437">
        <v>-1.4062979999999999E-2</v>
      </c>
      <c r="O4437">
        <v>-5.0853580000000002E-2</v>
      </c>
      <c r="P4437">
        <v>0.95974490000000001</v>
      </c>
      <c r="Q4437">
        <v>0.19806360000000001</v>
      </c>
      <c r="R4437">
        <v>-0.19915050000000001</v>
      </c>
      <c r="S4437">
        <v>3.0598450000000001</v>
      </c>
      <c r="T4437">
        <v>-0.15038099999999999</v>
      </c>
      <c r="U4437">
        <v>-0.46578979999999998</v>
      </c>
      <c r="V4437">
        <v>0.15015609999999999</v>
      </c>
      <c r="W4437">
        <v>0.2116132</v>
      </c>
      <c r="X4437">
        <v>0.96575</v>
      </c>
      <c r="Y4437">
        <v>9.9897189999999997E-2</v>
      </c>
      <c r="Z4437">
        <v>-1.3777279999999999E-3</v>
      </c>
      <c r="AA4437">
        <v>0.99499680000000001</v>
      </c>
      <c r="AB4437">
        <v>35</v>
      </c>
      <c r="AC4437">
        <v>22.595399999999898</v>
      </c>
      <c r="AD4437">
        <v>-1.121106830857</v>
      </c>
      <c r="AE4437">
        <v>-3.4614499999999899</v>
      </c>
      <c r="AF4437">
        <v>2.3022622537661399</v>
      </c>
      <c r="AG4437">
        <v>-1.121106830857</v>
      </c>
      <c r="AH4437">
        <v>22.687631111815801</v>
      </c>
      <c r="AI4437">
        <v>92.814532837530706</v>
      </c>
      <c r="AJ4437">
        <v>84.205657404939402</v>
      </c>
      <c r="AK4437">
        <v>22.831686260045299</v>
      </c>
      <c r="AL4437">
        <v>77.783093737568606</v>
      </c>
      <c r="AM4437">
        <v>81.162337499786105</v>
      </c>
      <c r="AN4437">
        <v>1.00000003164072</v>
      </c>
    </row>
    <row r="4438" spans="1:40" x14ac:dyDescent="0.25">
      <c r="A4438" t="str">
        <f>"20190303162643187"</f>
        <v>20190303162643187</v>
      </c>
      <c r="B4438" t="str">
        <f>"1551601603177970"</f>
        <v>1551601603177970</v>
      </c>
      <c r="C4438" t="s">
        <v>40</v>
      </c>
      <c r="D4438">
        <v>5.5120250000000004</v>
      </c>
      <c r="E4438">
        <v>0.48361340000000003</v>
      </c>
      <c r="F4438" t="s">
        <v>41</v>
      </c>
      <c r="G4438">
        <v>-323.57740000000001</v>
      </c>
      <c r="H4438" s="1">
        <v>-4.0713119999999998E-6</v>
      </c>
      <c r="I4438">
        <v>13.66957</v>
      </c>
      <c r="J4438">
        <v>-346.3175</v>
      </c>
      <c r="K4438">
        <v>1.121122</v>
      </c>
      <c r="L4438">
        <v>17.17944</v>
      </c>
      <c r="M4438">
        <v>0.99860269999999995</v>
      </c>
      <c r="N4438">
        <v>-1.405094E-2</v>
      </c>
      <c r="O4438">
        <v>-5.0946140000000001E-2</v>
      </c>
      <c r="P4438">
        <v>0.95943990000000001</v>
      </c>
      <c r="Q4438">
        <v>0.19765959999999999</v>
      </c>
      <c r="R4438">
        <v>-0.2010122</v>
      </c>
      <c r="S4438">
        <v>3.0594790000000001</v>
      </c>
      <c r="T4438">
        <v>-0.14861769999999999</v>
      </c>
      <c r="U4438">
        <v>-0.46759030000000001</v>
      </c>
      <c r="V4438">
        <v>0.15193119999999999</v>
      </c>
      <c r="W4438">
        <v>0.21120120000000001</v>
      </c>
      <c r="X4438">
        <v>0.96556249999999999</v>
      </c>
      <c r="Y4438">
        <v>0.1003964</v>
      </c>
      <c r="Z4438">
        <v>-1.389419E-3</v>
      </c>
      <c r="AA4438">
        <v>0.99494649999999996</v>
      </c>
      <c r="AB4438">
        <v>35</v>
      </c>
      <c r="AC4438">
        <v>22.740099999999899</v>
      </c>
      <c r="AD4438">
        <v>-1.1211260713119999</v>
      </c>
      <c r="AE4438">
        <v>-3.5098699999999901</v>
      </c>
      <c r="AF4438">
        <v>2.3411186089076601</v>
      </c>
      <c r="AG4438">
        <v>-1.1211260713119999</v>
      </c>
      <c r="AH4438">
        <v>22.835182847724599</v>
      </c>
      <c r="AI4438">
        <v>92.796128567635193</v>
      </c>
      <c r="AJ4438">
        <v>84.146348799603899</v>
      </c>
      <c r="AK4438">
        <v>22.982239570976599</v>
      </c>
      <c r="AL4438">
        <v>77.807244944885596</v>
      </c>
      <c r="AM4438">
        <v>81.057831308631606</v>
      </c>
      <c r="AN4438">
        <v>0.99999998891056396</v>
      </c>
    </row>
    <row r="4439" spans="1:40" x14ac:dyDescent="0.25">
      <c r="A4439" t="str">
        <f>"20190303162643210"</f>
        <v>20190303162643210</v>
      </c>
      <c r="B4439" t="str">
        <f>"1551601603198468"</f>
        <v>1551601603198468</v>
      </c>
      <c r="C4439" t="s">
        <v>40</v>
      </c>
      <c r="D4439">
        <v>5.5118489999999998</v>
      </c>
      <c r="E4439">
        <v>0.48347129999999999</v>
      </c>
      <c r="F4439" t="s">
        <v>41</v>
      </c>
      <c r="G4439">
        <v>-323.40499999999997</v>
      </c>
      <c r="H4439" s="1">
        <v>-4.157445E-6</v>
      </c>
      <c r="I4439">
        <v>13.64343</v>
      </c>
      <c r="J4439">
        <v>-345.96910000000003</v>
      </c>
      <c r="K4439">
        <v>1.1211370000000001</v>
      </c>
      <c r="L4439">
        <v>17.16159</v>
      </c>
      <c r="M4439">
        <v>0.99859940000000003</v>
      </c>
      <c r="N4439">
        <v>-1.4038810000000001E-2</v>
      </c>
      <c r="O4439">
        <v>-5.1012509999999997E-2</v>
      </c>
      <c r="P4439">
        <v>0.95910600000000001</v>
      </c>
      <c r="Q4439">
        <v>0.1971368</v>
      </c>
      <c r="R4439">
        <v>-0.2031087</v>
      </c>
      <c r="S4439">
        <v>3.0587460000000002</v>
      </c>
      <c r="T4439">
        <v>-0.14966679999999999</v>
      </c>
      <c r="U4439">
        <v>-0.47204590000000002</v>
      </c>
      <c r="V4439">
        <v>0.15396489999999999</v>
      </c>
      <c r="W4439">
        <v>0.2106722</v>
      </c>
      <c r="X4439">
        <v>0.96535590000000004</v>
      </c>
      <c r="Y4439">
        <v>0.1017784</v>
      </c>
      <c r="Z4439">
        <v>-1.42905299999999E-3</v>
      </c>
      <c r="AA4439">
        <v>0.99480610000000003</v>
      </c>
      <c r="AB4439">
        <v>35</v>
      </c>
      <c r="AC4439">
        <v>22.5641</v>
      </c>
      <c r="AD4439">
        <v>-1.1211411574449901</v>
      </c>
      <c r="AE4439">
        <v>-3.51816</v>
      </c>
      <c r="AF4439">
        <v>2.3567335557942402</v>
      </c>
      <c r="AG4439">
        <v>-1.1211411574449901</v>
      </c>
      <c r="AH4439">
        <v>22.659589801819301</v>
      </c>
      <c r="AI4439">
        <v>92.817372904882802</v>
      </c>
      <c r="AJ4439">
        <v>84.062243156981694</v>
      </c>
      <c r="AK4439">
        <v>22.8093875528178</v>
      </c>
      <c r="AL4439">
        <v>77.838252095339101</v>
      </c>
      <c r="AM4439">
        <v>80.938200168972301</v>
      </c>
      <c r="AN4439">
        <v>0.99999998997482997</v>
      </c>
    </row>
    <row r="4440" spans="1:40" x14ac:dyDescent="0.25">
      <c r="A4440" t="str">
        <f>"20190303162643229"</f>
        <v>20190303162643229</v>
      </c>
      <c r="B4440" t="str">
        <f>"1551601603217988"</f>
        <v>1551601603217988</v>
      </c>
      <c r="C4440" t="s">
        <v>40</v>
      </c>
      <c r="D4440">
        <v>5.5721040000000004</v>
      </c>
      <c r="E4440">
        <v>0.48330299999999998</v>
      </c>
      <c r="F4440" t="s">
        <v>41</v>
      </c>
      <c r="G4440">
        <v>-323.3972</v>
      </c>
      <c r="H4440" s="1">
        <v>-4.161589E-6</v>
      </c>
      <c r="I4440">
        <v>13.64096</v>
      </c>
      <c r="J4440">
        <v>-345.65589999999997</v>
      </c>
      <c r="K4440">
        <v>1.121159</v>
      </c>
      <c r="L4440">
        <v>17.145510000000002</v>
      </c>
      <c r="M4440">
        <v>0.99859770000000003</v>
      </c>
      <c r="N4440">
        <v>-1.40284E-2</v>
      </c>
      <c r="O4440">
        <v>-5.1048530000000002E-2</v>
      </c>
      <c r="P4440">
        <v>0.95884159999999996</v>
      </c>
      <c r="Q4440">
        <v>0.19615769999999999</v>
      </c>
      <c r="R4440">
        <v>-0.20529359999999999</v>
      </c>
      <c r="S4440">
        <v>3.0581360000000002</v>
      </c>
      <c r="T4440">
        <v>-0.1518968</v>
      </c>
      <c r="U4440">
        <v>-0.47698970000000002</v>
      </c>
      <c r="V4440">
        <v>0.1561138</v>
      </c>
      <c r="W4440">
        <v>0.20968899999999999</v>
      </c>
      <c r="X4440">
        <v>0.96522490000000005</v>
      </c>
      <c r="Y4440">
        <v>0.1033376</v>
      </c>
      <c r="Z4440">
        <v>-1.4761959999999999E-3</v>
      </c>
      <c r="AA4440">
        <v>0.99464520000000001</v>
      </c>
      <c r="AB4440">
        <v>35</v>
      </c>
      <c r="AC4440">
        <v>22.258699999999902</v>
      </c>
      <c r="AD4440">
        <v>-1.1211631615889901</v>
      </c>
      <c r="AE4440">
        <v>-3.5045500000000001</v>
      </c>
      <c r="AF4440">
        <v>2.3577569316023599</v>
      </c>
      <c r="AG4440">
        <v>-1.1211631615889901</v>
      </c>
      <c r="AH4440">
        <v>22.353251895048398</v>
      </c>
      <c r="AI4440">
        <v>92.855541238130101</v>
      </c>
      <c r="AJ4440">
        <v>83.9788687755795</v>
      </c>
      <c r="AK4440">
        <v>22.505197063498599</v>
      </c>
      <c r="AL4440">
        <v>77.895873153175202</v>
      </c>
      <c r="AM4440">
        <v>80.812640285937107</v>
      </c>
      <c r="AN4440">
        <v>1.0000000514257199</v>
      </c>
    </row>
    <row r="4441" spans="1:40" x14ac:dyDescent="0.25">
      <c r="A4441" t="str">
        <f>"20190303162643253"</f>
        <v>20190303162643253</v>
      </c>
      <c r="B4441" t="str">
        <f>"1551601603238483"</f>
        <v>1551601603238483</v>
      </c>
      <c r="C4441" t="s">
        <v>40</v>
      </c>
      <c r="D4441">
        <v>5.5775119999999996</v>
      </c>
      <c r="E4441">
        <v>0.48320259999999998</v>
      </c>
      <c r="F4441" t="s">
        <v>41</v>
      </c>
      <c r="G4441">
        <v>-323.6515</v>
      </c>
      <c r="H4441" s="1">
        <v>-4.0351590000000003E-6</v>
      </c>
      <c r="I4441">
        <v>13.676130000000001</v>
      </c>
      <c r="J4441">
        <v>-345.30759999999998</v>
      </c>
      <c r="K4441">
        <v>1.121181</v>
      </c>
      <c r="L4441">
        <v>17.127690000000001</v>
      </c>
      <c r="M4441">
        <v>0.99859779999999998</v>
      </c>
      <c r="N4441">
        <v>-1.4017450000000001E-2</v>
      </c>
      <c r="O4441">
        <v>-5.105034E-2</v>
      </c>
      <c r="P4441">
        <v>0.95840800000000004</v>
      </c>
      <c r="Q4441">
        <v>0.19587599999999999</v>
      </c>
      <c r="R4441">
        <v>-0.20757429999999999</v>
      </c>
      <c r="S4441">
        <v>3.0574340000000002</v>
      </c>
      <c r="T4441">
        <v>-0.155781</v>
      </c>
      <c r="U4441">
        <v>-0.48205569999999998</v>
      </c>
      <c r="V4441">
        <v>0.1583975</v>
      </c>
      <c r="W4441">
        <v>0.2094027</v>
      </c>
      <c r="X4441">
        <v>0.96491490000000002</v>
      </c>
      <c r="Y4441">
        <v>0.1049712</v>
      </c>
      <c r="Z4441">
        <v>-1.5287810000000001E-3</v>
      </c>
      <c r="AA4441">
        <v>0.99447410000000003</v>
      </c>
      <c r="AB4441">
        <v>35</v>
      </c>
      <c r="AC4441">
        <v>21.656099999999899</v>
      </c>
      <c r="AD4441">
        <v>-1.121185035159</v>
      </c>
      <c r="AE4441">
        <v>-3.4515600000000002</v>
      </c>
      <c r="AF4441">
        <v>2.3352943909049402</v>
      </c>
      <c r="AG4441">
        <v>-1.121185035159</v>
      </c>
      <c r="AH4441">
        <v>21.747230753426098</v>
      </c>
      <c r="AI4441">
        <v>92.934447589566204</v>
      </c>
      <c r="AJ4441">
        <v>83.870863783653206</v>
      </c>
      <c r="AK4441">
        <v>21.900974891954402</v>
      </c>
      <c r="AL4441">
        <v>77.912648896375103</v>
      </c>
      <c r="AM4441">
        <v>80.6776435150515</v>
      </c>
      <c r="AN4441">
        <v>1.0000000115077701</v>
      </c>
    </row>
    <row r="4442" spans="1:40" x14ac:dyDescent="0.25">
      <c r="A4442" t="str">
        <f>"20190303162643275"</f>
        <v>20190303162643275</v>
      </c>
      <c r="B4442" t="str">
        <f>"1551601603268739"</f>
        <v>1551601603268739</v>
      </c>
      <c r="C4442" t="s">
        <v>40</v>
      </c>
      <c r="D4442">
        <v>5.6334710000000001</v>
      </c>
      <c r="E4442">
        <v>0.4830064</v>
      </c>
      <c r="F4442" t="s">
        <v>41</v>
      </c>
      <c r="G4442">
        <v>-323.4948</v>
      </c>
      <c r="H4442" s="1">
        <v>-4.1139429999999998E-6</v>
      </c>
      <c r="I4442">
        <v>13.649419999999999</v>
      </c>
      <c r="J4442">
        <v>-344.94959999999998</v>
      </c>
      <c r="K4442">
        <v>1.1212169999999999</v>
      </c>
      <c r="L4442">
        <v>17.109379999999899</v>
      </c>
      <c r="M4442">
        <v>0.99860099999999996</v>
      </c>
      <c r="N4442">
        <v>-1.400675E-2</v>
      </c>
      <c r="O4442">
        <v>-5.0990319999999999E-2</v>
      </c>
      <c r="P4442">
        <v>0.95806029999999998</v>
      </c>
      <c r="Q4442">
        <v>0.19528699999999999</v>
      </c>
      <c r="R4442">
        <v>-0.2097233</v>
      </c>
      <c r="S4442">
        <v>3.0567319999999998</v>
      </c>
      <c r="T4442">
        <v>-0.15711749999999999</v>
      </c>
      <c r="U4442">
        <v>-0.48742679999999999</v>
      </c>
      <c r="V4442">
        <v>0.16059870000000001</v>
      </c>
      <c r="W4442">
        <v>0.2088161</v>
      </c>
      <c r="X4442">
        <v>0.96467820000000004</v>
      </c>
      <c r="Y4442">
        <v>0.10676579999999999</v>
      </c>
      <c r="Z4442">
        <v>-1.5890489999999999E-3</v>
      </c>
      <c r="AA4442">
        <v>0.99428300000000003</v>
      </c>
      <c r="AB4442">
        <v>35</v>
      </c>
      <c r="AC4442">
        <v>21.454799999999899</v>
      </c>
      <c r="AD4442">
        <v>-1.1212211139429999</v>
      </c>
      <c r="AE4442">
        <v>-3.4599599999999899</v>
      </c>
      <c r="AF4442">
        <v>2.35509495495003</v>
      </c>
      <c r="AG4442">
        <v>-1.1212211139429999</v>
      </c>
      <c r="AH4442">
        <v>21.545974654923501</v>
      </c>
      <c r="AI4442">
        <v>92.961295675106996</v>
      </c>
      <c r="AJ4442">
        <v>83.762016927454297</v>
      </c>
      <c r="AK4442">
        <v>21.703286222685001</v>
      </c>
      <c r="AL4442">
        <v>77.947019122615202</v>
      </c>
      <c r="AM4442">
        <v>80.548137817127198</v>
      </c>
      <c r="AN4442">
        <v>1.0000000678080601</v>
      </c>
    </row>
    <row r="4443" spans="1:40" x14ac:dyDescent="0.25">
      <c r="A4443" t="str">
        <f>"20190303162643290"</f>
        <v>20190303162643290</v>
      </c>
      <c r="B4443" t="str">
        <f>"1551601603278499"</f>
        <v>1551601603278499</v>
      </c>
      <c r="C4443" t="s">
        <v>40</v>
      </c>
      <c r="D4443">
        <v>5.5715700000000004</v>
      </c>
      <c r="E4443">
        <v>0.48300379999999998</v>
      </c>
      <c r="F4443" t="s">
        <v>41</v>
      </c>
      <c r="G4443">
        <v>-323.55</v>
      </c>
      <c r="H4443" s="1">
        <v>-4.0848240000000001E-6</v>
      </c>
      <c r="I4443">
        <v>13.666429999999901</v>
      </c>
      <c r="J4443">
        <v>-344.72840000000002</v>
      </c>
      <c r="K4443">
        <v>1.1212519999999999</v>
      </c>
      <c r="L4443">
        <v>17.098179999999999</v>
      </c>
      <c r="M4443">
        <v>0.99860510000000002</v>
      </c>
      <c r="N4443">
        <v>-1.400068E-2</v>
      </c>
      <c r="O4443">
        <v>-5.0909839999999998E-2</v>
      </c>
      <c r="P4443">
        <v>0.95782129999999999</v>
      </c>
      <c r="Q4443">
        <v>0.19517960000000001</v>
      </c>
      <c r="R4443">
        <v>-0.21091070000000001</v>
      </c>
      <c r="S4443">
        <v>3.0563349999999998</v>
      </c>
      <c r="T4443">
        <v>-0.16013549999999999</v>
      </c>
      <c r="U4443">
        <v>-0.49172969999999999</v>
      </c>
      <c r="V4443">
        <v>0.16185739999999901</v>
      </c>
      <c r="W4443">
        <v>0.2087135</v>
      </c>
      <c r="X4443">
        <v>0.96448990000000001</v>
      </c>
      <c r="Y4443">
        <v>0.108224</v>
      </c>
      <c r="Z4443">
        <v>-1.6421319999999999E-3</v>
      </c>
      <c r="AA4443">
        <v>0.99412520000000004</v>
      </c>
      <c r="AB4443">
        <v>35</v>
      </c>
      <c r="AC4443">
        <v>21.1784</v>
      </c>
      <c r="AD4443">
        <v>-1.1212560848240001</v>
      </c>
      <c r="AE4443">
        <v>-3.4317500000000001</v>
      </c>
      <c r="AF4443">
        <v>2.3426060326151301</v>
      </c>
      <c r="AG4443">
        <v>-1.1212560848240001</v>
      </c>
      <c r="AH4443">
        <v>21.267570741369401</v>
      </c>
      <c r="AI4443">
        <v>92.999809766710499</v>
      </c>
      <c r="AJ4443">
        <v>83.714254972988499</v>
      </c>
      <c r="AK4443">
        <v>21.425559116880699</v>
      </c>
      <c r="AL4443">
        <v>77.953028738101494</v>
      </c>
      <c r="AM4443">
        <v>80.473585065570205</v>
      </c>
      <c r="AN4443">
        <v>0.99999995510950901</v>
      </c>
    </row>
    <row r="4444" spans="1:40" x14ac:dyDescent="0.25">
      <c r="A4444" t="str">
        <f>"20190303162643302"</f>
        <v>20190303162643302</v>
      </c>
      <c r="B4444" t="str">
        <f>"1551601603288259"</f>
        <v>1551601603288259</v>
      </c>
      <c r="C4444" t="s">
        <v>40</v>
      </c>
      <c r="D4444">
        <v>5.5731140000000003</v>
      </c>
      <c r="E4444">
        <v>0.4829272</v>
      </c>
      <c r="F4444" t="s">
        <v>41</v>
      </c>
      <c r="G4444">
        <v>-323.39429999999999</v>
      </c>
      <c r="H4444" s="1">
        <v>-4.1628019999999998E-6</v>
      </c>
      <c r="I4444">
        <v>13.641769999999999</v>
      </c>
      <c r="J4444">
        <v>-344.52089999999998</v>
      </c>
      <c r="K4444">
        <v>1.1212869999999999</v>
      </c>
      <c r="L4444">
        <v>17.08765</v>
      </c>
      <c r="M4444">
        <v>0.9986102</v>
      </c>
      <c r="N4444">
        <v>-1.3995250000000001E-2</v>
      </c>
      <c r="O4444">
        <v>-5.0812299999999998E-2</v>
      </c>
      <c r="P4444">
        <v>0.95764930000000004</v>
      </c>
      <c r="Q4444">
        <v>0.1950904</v>
      </c>
      <c r="R4444">
        <v>-0.21177319999999999</v>
      </c>
      <c r="S4444">
        <v>3.055847</v>
      </c>
      <c r="T4444">
        <v>-0.1606061</v>
      </c>
      <c r="U4444">
        <v>-0.49508669999999999</v>
      </c>
      <c r="V4444">
        <v>0.16280420000000001</v>
      </c>
      <c r="W4444">
        <v>0.20863039999999999</v>
      </c>
      <c r="X4444">
        <v>0.9643486</v>
      </c>
      <c r="Y4444">
        <v>0.1094075</v>
      </c>
      <c r="Z4444">
        <v>-1.6850379999999901E-3</v>
      </c>
      <c r="AA4444">
        <v>0.99399550000000003</v>
      </c>
      <c r="AB4444">
        <v>35</v>
      </c>
      <c r="AC4444">
        <v>21.1266</v>
      </c>
      <c r="AD4444">
        <v>-1.1212911628019999</v>
      </c>
      <c r="AE4444">
        <v>-3.4458799999999901</v>
      </c>
      <c r="AF4444">
        <v>2.36135216437544</v>
      </c>
      <c r="AG4444">
        <v>-1.1212911628019999</v>
      </c>
      <c r="AH4444">
        <v>21.2161979824665</v>
      </c>
      <c r="AI4444">
        <v>93.006776422732301</v>
      </c>
      <c r="AJ4444">
        <v>83.649146387198002</v>
      </c>
      <c r="AK4444">
        <v>21.376630575167699</v>
      </c>
      <c r="AL4444">
        <v>77.957898192127104</v>
      </c>
      <c r="AM4444">
        <v>80.417511714340193</v>
      </c>
      <c r="AN4444">
        <v>1.00000003683187</v>
      </c>
    </row>
    <row r="4445" spans="1:40" x14ac:dyDescent="0.25">
      <c r="A4445" t="str">
        <f>"20190303162643318"</f>
        <v>20190303162643318</v>
      </c>
      <c r="B4445" t="str">
        <f>"1551601603307779"</f>
        <v>1551601603307779</v>
      </c>
      <c r="C4445" t="s">
        <v>40</v>
      </c>
      <c r="D4445">
        <v>5.5828620000000004</v>
      </c>
      <c r="E4445">
        <v>0.48278460000000001</v>
      </c>
      <c r="F4445" t="s">
        <v>41</v>
      </c>
      <c r="G4445">
        <v>-323.20589999999999</v>
      </c>
      <c r="H4445" s="1">
        <v>-4.2557380000000004E-6</v>
      </c>
      <c r="I4445">
        <v>13.620039999999999</v>
      </c>
      <c r="J4445">
        <v>-344.28190000000001</v>
      </c>
      <c r="K4445">
        <v>1.1213200000000001</v>
      </c>
      <c r="L4445">
        <v>17.075589999999998</v>
      </c>
      <c r="M4445">
        <v>0.99861750000000005</v>
      </c>
      <c r="N4445">
        <v>-1.398932E-2</v>
      </c>
      <c r="O4445">
        <v>-5.06693E-2</v>
      </c>
      <c r="P4445">
        <v>0.95740340000000002</v>
      </c>
      <c r="Q4445">
        <v>0.1945336</v>
      </c>
      <c r="R4445">
        <v>-0.21339060000000001</v>
      </c>
      <c r="S4445">
        <v>3.05545</v>
      </c>
      <c r="T4445">
        <v>-0.16073380000000001</v>
      </c>
      <c r="U4445">
        <v>-0.49707030000000002</v>
      </c>
      <c r="V4445">
        <v>0.1645479</v>
      </c>
      <c r="W4445">
        <v>0.20808389999999999</v>
      </c>
      <c r="X4445">
        <v>0.96417070000000005</v>
      </c>
      <c r="Y4445">
        <v>0.1101973</v>
      </c>
      <c r="Z4445">
        <v>-1.7162499999999999E-3</v>
      </c>
      <c r="AA4445">
        <v>0.99390820000000002</v>
      </c>
      <c r="AB4445">
        <v>35</v>
      </c>
      <c r="AC4445">
        <v>21.076000000000001</v>
      </c>
      <c r="AD4445">
        <v>-1.1213242557379901</v>
      </c>
      <c r="AE4445">
        <v>-3.4555499999999899</v>
      </c>
      <c r="AF4445">
        <v>2.37654867462851</v>
      </c>
      <c r="AG4445">
        <v>-1.1213242557379901</v>
      </c>
      <c r="AH4445">
        <v>21.1656854821358</v>
      </c>
      <c r="AI4445">
        <v>93.013701047932997</v>
      </c>
      <c r="AJ4445">
        <v>83.593485981168797</v>
      </c>
      <c r="AK4445">
        <v>21.3281877715402</v>
      </c>
      <c r="AL4445">
        <v>77.989912883421198</v>
      </c>
      <c r="AM4445">
        <v>80.315059650878297</v>
      </c>
      <c r="AN4445">
        <v>1.0000000297860501</v>
      </c>
    </row>
    <row r="4446" spans="1:40" x14ac:dyDescent="0.25">
      <c r="A4446" t="str">
        <f>"20190303162643331"</f>
        <v>20190303162643331</v>
      </c>
      <c r="B4446" t="str">
        <f>"1551601603318515"</f>
        <v>1551601603318515</v>
      </c>
      <c r="C4446" t="s">
        <v>40</v>
      </c>
      <c r="D4446">
        <v>5.5811960000000003</v>
      </c>
      <c r="E4446">
        <v>0.48269899999999999</v>
      </c>
      <c r="F4446" t="s">
        <v>41</v>
      </c>
      <c r="G4446">
        <v>-323.18849999999998</v>
      </c>
      <c r="H4446" s="1">
        <v>-4.2633119999999998E-6</v>
      </c>
      <c r="I4446">
        <v>13.623559999999999</v>
      </c>
      <c r="J4446">
        <v>-344.07479999999998</v>
      </c>
      <c r="K4446">
        <v>1.1213550000000001</v>
      </c>
      <c r="L4446">
        <v>17.06522</v>
      </c>
      <c r="M4446">
        <v>0.9986256</v>
      </c>
      <c r="N4446">
        <v>-1.398457E-2</v>
      </c>
      <c r="O4446">
        <v>-5.0509480000000002E-2</v>
      </c>
      <c r="P4446">
        <v>0.95715669999999997</v>
      </c>
      <c r="Q4446">
        <v>0.19387940000000001</v>
      </c>
      <c r="R4446">
        <v>-0.21508579999999999</v>
      </c>
      <c r="S4446">
        <v>3.0550229999999998</v>
      </c>
      <c r="T4446">
        <v>-0.162405299999999</v>
      </c>
      <c r="U4446">
        <v>-0.49996950000000001</v>
      </c>
      <c r="V4446">
        <v>0.16638839999999999</v>
      </c>
      <c r="W4446">
        <v>0.20743880000000001</v>
      </c>
      <c r="X4446">
        <v>0.96399380000000001</v>
      </c>
      <c r="Y4446">
        <v>0.11129260000000001</v>
      </c>
      <c r="Z4446">
        <v>-1.7610289999999999E-3</v>
      </c>
      <c r="AA4446">
        <v>0.99378619999999995</v>
      </c>
      <c r="AB4446">
        <v>35</v>
      </c>
      <c r="AC4446">
        <v>20.886299999999999</v>
      </c>
      <c r="AD4446">
        <v>-1.121359263312</v>
      </c>
      <c r="AE4446">
        <v>-3.4416599999999899</v>
      </c>
      <c r="AF4446">
        <v>2.3755403056453899</v>
      </c>
      <c r="AG4446">
        <v>-1.121359263312</v>
      </c>
      <c r="AH4446">
        <v>20.9746278414922</v>
      </c>
      <c r="AI4446">
        <v>93.040866834790705</v>
      </c>
      <c r="AJ4446">
        <v>83.538340524828797</v>
      </c>
      <c r="AK4446">
        <v>21.138487444239299</v>
      </c>
      <c r="AL4446">
        <v>78.027698547729401</v>
      </c>
      <c r="AM4446">
        <v>80.207055218551602</v>
      </c>
      <c r="AN4446">
        <v>1.00000000091922</v>
      </c>
    </row>
    <row r="4447" spans="1:40" x14ac:dyDescent="0.25">
      <c r="A4447" t="str">
        <f>"20190303162643344"</f>
        <v>20190303162643344</v>
      </c>
      <c r="B4447" t="str">
        <f>"1551601603338035"</f>
        <v>1551601603338035</v>
      </c>
      <c r="C4447" t="s">
        <v>40</v>
      </c>
      <c r="D4447">
        <v>5.5750460000000004</v>
      </c>
      <c r="E4447">
        <v>0.48267670000000001</v>
      </c>
      <c r="F4447" t="s">
        <v>41</v>
      </c>
      <c r="G4447">
        <v>-323.26839999999999</v>
      </c>
      <c r="H4447" s="1">
        <v>-4.2250100000000001E-6</v>
      </c>
      <c r="I4447">
        <v>13.626620000000001</v>
      </c>
      <c r="J4447">
        <v>-343.87259999999998</v>
      </c>
      <c r="K4447">
        <v>1.121391</v>
      </c>
      <c r="L4447">
        <v>17.055109999999999</v>
      </c>
      <c r="M4447">
        <v>0.99863460000000004</v>
      </c>
      <c r="N4447">
        <v>-1.3980090000000001E-2</v>
      </c>
      <c r="O4447">
        <v>-5.0338279999999999E-2</v>
      </c>
      <c r="P4447">
        <v>0.95707920000000002</v>
      </c>
      <c r="Q4447">
        <v>0.19351199999999999</v>
      </c>
      <c r="R4447">
        <v>-0.21576119999999999</v>
      </c>
      <c r="S4447">
        <v>3.05423</v>
      </c>
      <c r="T4447">
        <v>-0.16460729999999901</v>
      </c>
      <c r="U4447">
        <v>-0.50476069999999995</v>
      </c>
      <c r="V4447">
        <v>0.16721469999999999</v>
      </c>
      <c r="W4447">
        <v>0.20708099999999999</v>
      </c>
      <c r="X4447">
        <v>0.96392770000000005</v>
      </c>
      <c r="Y4447">
        <v>0.1130153</v>
      </c>
      <c r="Z4447">
        <v>-1.8293160000000001E-3</v>
      </c>
      <c r="AA4447">
        <v>0.99359149999999996</v>
      </c>
      <c r="AB4447">
        <v>35</v>
      </c>
      <c r="AC4447">
        <v>20.604199999999899</v>
      </c>
      <c r="AD4447">
        <v>-1.1213952250100001</v>
      </c>
      <c r="AE4447">
        <v>-3.4284899999999898</v>
      </c>
      <c r="AF4447">
        <v>2.3800015103672698</v>
      </c>
      <c r="AG4447">
        <v>-1.1213952250100001</v>
      </c>
      <c r="AH4447">
        <v>20.6910360261733</v>
      </c>
      <c r="AI4447">
        <v>93.081951058451594</v>
      </c>
      <c r="AJ4447">
        <v>83.438348660886703</v>
      </c>
      <c r="AK4447">
        <v>20.857634244478099</v>
      </c>
      <c r="AL4447">
        <v>78.048653432969004</v>
      </c>
      <c r="AM4447">
        <v>80.158709437996905</v>
      </c>
      <c r="AN4447">
        <v>0.99999995364218897</v>
      </c>
    </row>
    <row r="4448" spans="1:40" x14ac:dyDescent="0.25">
      <c r="A4448" t="str">
        <f>"20190303162643365"</f>
        <v>20190303162643365</v>
      </c>
      <c r="B4448" t="str">
        <f>"1551601603358531"</f>
        <v>1551601603358531</v>
      </c>
      <c r="C4448" t="s">
        <v>40</v>
      </c>
      <c r="D4448">
        <v>5.6277359999999996</v>
      </c>
      <c r="E4448">
        <v>0.48278880000000002</v>
      </c>
      <c r="F4448" t="s">
        <v>41</v>
      </c>
      <c r="G4448">
        <v>-323.2337</v>
      </c>
      <c r="H4448" s="1">
        <v>-4.24144E-6</v>
      </c>
      <c r="I4448">
        <v>13.6265</v>
      </c>
      <c r="J4448">
        <v>-343.57400000000001</v>
      </c>
      <c r="K4448">
        <v>1.121437</v>
      </c>
      <c r="L4448">
        <v>17.04034</v>
      </c>
      <c r="M4448">
        <v>0.99864889999999995</v>
      </c>
      <c r="N4448">
        <v>-1.397381E-2</v>
      </c>
      <c r="O4448">
        <v>-5.0052100000000002E-2</v>
      </c>
      <c r="P4448">
        <v>0.95732030000000001</v>
      </c>
      <c r="Q4448">
        <v>0.19274920000000001</v>
      </c>
      <c r="R4448">
        <v>-0.21537329999999999</v>
      </c>
      <c r="S4448">
        <v>3.0537109999999998</v>
      </c>
      <c r="T4448">
        <v>-0.16592029999999999</v>
      </c>
      <c r="U4448">
        <v>-0.50729369999999996</v>
      </c>
      <c r="V4448">
        <v>0.167069</v>
      </c>
      <c r="W4448">
        <v>0.20633409999999999</v>
      </c>
      <c r="X4448">
        <v>0.9641132</v>
      </c>
      <c r="Y4448">
        <v>0.114125</v>
      </c>
      <c r="Z4448">
        <v>-1.8804990000000001E-3</v>
      </c>
      <c r="AA4448">
        <v>0.99346460000000003</v>
      </c>
      <c r="AB4448">
        <v>35</v>
      </c>
      <c r="AC4448">
        <v>20.340299999999999</v>
      </c>
      <c r="AD4448">
        <v>-1.1214412414399999</v>
      </c>
      <c r="AE4448">
        <v>-3.41384</v>
      </c>
      <c r="AF4448">
        <v>2.38433696973867</v>
      </c>
      <c r="AG4448">
        <v>-1.1214412414399999</v>
      </c>
      <c r="AH4448">
        <v>20.4253003545852</v>
      </c>
      <c r="AI4448">
        <v>93.121487915713203</v>
      </c>
      <c r="AJ4448">
        <v>83.341741314631406</v>
      </c>
      <c r="AK4448">
        <v>20.594552382081101</v>
      </c>
      <c r="AL4448">
        <v>78.092393299069201</v>
      </c>
      <c r="AM4448">
        <v>80.168972022436193</v>
      </c>
      <c r="AN4448">
        <v>1.0000000369990201</v>
      </c>
    </row>
    <row r="4449" spans="1:40" x14ac:dyDescent="0.25">
      <c r="A4449" t="str">
        <f>"20190303162643387"</f>
        <v>20190303162643387</v>
      </c>
      <c r="B4449" t="str">
        <f>"1551601603378050"</f>
        <v>1551601603378050</v>
      </c>
      <c r="C4449" t="s">
        <v>40</v>
      </c>
      <c r="D4449">
        <v>5.6297790000000001</v>
      </c>
      <c r="E4449">
        <v>0.48286190000000001</v>
      </c>
      <c r="F4449" t="s">
        <v>41</v>
      </c>
      <c r="G4449">
        <v>-323.33100000000002</v>
      </c>
      <c r="H4449" s="1">
        <v>-4.1884749999999997E-6</v>
      </c>
      <c r="I4449">
        <v>13.665710000000001</v>
      </c>
      <c r="J4449">
        <v>-343.2106</v>
      </c>
      <c r="K4449">
        <v>1.1214789999999999</v>
      </c>
      <c r="L4449">
        <v>17.02252</v>
      </c>
      <c r="M4449">
        <v>0.99866869999999996</v>
      </c>
      <c r="N4449">
        <v>-1.3966650000000001E-2</v>
      </c>
      <c r="O4449">
        <v>-4.9659290000000002E-2</v>
      </c>
      <c r="P4449">
        <v>0.95766399999999996</v>
      </c>
      <c r="Q4449">
        <v>0.1925415</v>
      </c>
      <c r="R4449">
        <v>-0.214028</v>
      </c>
      <c r="S4449">
        <v>3.0532840000000001</v>
      </c>
      <c r="T4449">
        <v>-0.1691492</v>
      </c>
      <c r="U4449">
        <v>-0.50900270000000003</v>
      </c>
      <c r="V4449">
        <v>0.16606699999999999</v>
      </c>
      <c r="W4449">
        <v>0.20613899999999999</v>
      </c>
      <c r="X4449">
        <v>0.96432799999999996</v>
      </c>
      <c r="Y4449">
        <v>0.1150719</v>
      </c>
      <c r="Z4449">
        <v>-1.935974E-3</v>
      </c>
      <c r="AA4449">
        <v>0.99335530000000005</v>
      </c>
      <c r="AB4449">
        <v>35</v>
      </c>
      <c r="AC4449">
        <v>19.8796</v>
      </c>
      <c r="AD4449">
        <v>-1.1214831884750001</v>
      </c>
      <c r="AE4449">
        <v>-3.3568099999999901</v>
      </c>
      <c r="AF4449">
        <v>2.35806809495522</v>
      </c>
      <c r="AG4449">
        <v>-1.1214831884750001</v>
      </c>
      <c r="AH4449">
        <v>19.960019103460599</v>
      </c>
      <c r="AI4449">
        <v>93.193703352218094</v>
      </c>
      <c r="AJ4449">
        <v>83.2623311539338</v>
      </c>
      <c r="AK4449">
        <v>20.130091214224201</v>
      </c>
      <c r="AL4449">
        <v>78.103817015202296</v>
      </c>
      <c r="AM4449">
        <v>80.228928424018207</v>
      </c>
      <c r="AN4449">
        <v>1.000000013697</v>
      </c>
    </row>
    <row r="4450" spans="1:40" x14ac:dyDescent="0.25">
      <c r="A4450" t="str">
        <f>"20190303162643408"</f>
        <v>20190303162643408</v>
      </c>
      <c r="B4450" t="str">
        <f>"1551601603398547"</f>
        <v>1551601603398547</v>
      </c>
      <c r="C4450" t="s">
        <v>40</v>
      </c>
      <c r="D4450">
        <v>5.3371420000000001</v>
      </c>
      <c r="E4450">
        <v>0.48291780000000001</v>
      </c>
      <c r="F4450" t="s">
        <v>41</v>
      </c>
      <c r="G4450">
        <v>-323.06909999999999</v>
      </c>
      <c r="H4450" s="1">
        <v>-4.3094060000000004E-6</v>
      </c>
      <c r="I4450">
        <v>13.68192</v>
      </c>
      <c r="J4450">
        <v>-342.89670000000001</v>
      </c>
      <c r="K4450">
        <v>1.1214980000000001</v>
      </c>
      <c r="L4450">
        <v>17.007259999999999</v>
      </c>
      <c r="M4450">
        <v>0.99868679999999999</v>
      </c>
      <c r="N4450">
        <v>-1.3960820000000001E-2</v>
      </c>
      <c r="O4450">
        <v>-4.9293120000000003E-2</v>
      </c>
      <c r="P4450">
        <v>0.95782690000000004</v>
      </c>
      <c r="Q4450">
        <v>0.19272139999999999</v>
      </c>
      <c r="R4450">
        <v>-0.2131343</v>
      </c>
      <c r="S4450">
        <v>3.0536500000000002</v>
      </c>
      <c r="T4450">
        <v>-0.17002829999999999</v>
      </c>
      <c r="U4450">
        <v>-0.50646970000000002</v>
      </c>
      <c r="V4450">
        <v>0.16550780000000001</v>
      </c>
      <c r="W4450">
        <v>0.2063247</v>
      </c>
      <c r="X4450">
        <v>0.96438440000000003</v>
      </c>
      <c r="Y4450">
        <v>0.1146142</v>
      </c>
      <c r="Z4450">
        <v>-1.9367869999999999E-3</v>
      </c>
      <c r="AA4450">
        <v>0.99340819999999996</v>
      </c>
      <c r="AB4450">
        <v>35</v>
      </c>
      <c r="AC4450">
        <v>19.8276</v>
      </c>
      <c r="AD4450">
        <v>-1.1215023094059999</v>
      </c>
      <c r="AE4450">
        <v>-3.3253400000000002</v>
      </c>
      <c r="AF4450">
        <v>2.3365663229576499</v>
      </c>
      <c r="AG4450">
        <v>-1.1215023094059999</v>
      </c>
      <c r="AH4450">
        <v>19.9054822625429</v>
      </c>
      <c r="AI4450">
        <v>93.202770556486797</v>
      </c>
      <c r="AJ4450">
        <v>83.3050834408035</v>
      </c>
      <c r="AK4450">
        <v>20.073503274615302</v>
      </c>
      <c r="AL4450">
        <v>78.092943183372199</v>
      </c>
      <c r="AM4450">
        <v>80.261758248708006</v>
      </c>
      <c r="AN4450">
        <v>0.99999999232714498</v>
      </c>
    </row>
    <row r="4451" spans="1:40" x14ac:dyDescent="0.25">
      <c r="A4451" t="str">
        <f>"20190303162643429"</f>
        <v>20190303162643429</v>
      </c>
      <c r="B4451" t="str">
        <f>"1551601603418067"</f>
        <v>1551601603418067</v>
      </c>
      <c r="C4451" t="s">
        <v>40</v>
      </c>
      <c r="D4451">
        <v>5.5731260000000002</v>
      </c>
      <c r="E4451">
        <v>0.48298940000000001</v>
      </c>
      <c r="F4451" t="s">
        <v>41</v>
      </c>
      <c r="G4451">
        <v>-322.66210000000001</v>
      </c>
      <c r="H4451" s="1">
        <v>-4.5042820000000002E-6</v>
      </c>
      <c r="I4451">
        <v>13.667920000000001</v>
      </c>
      <c r="J4451">
        <v>-342.55930000000001</v>
      </c>
      <c r="K4451">
        <v>1.1215170000000001</v>
      </c>
      <c r="L4451">
        <v>16.991</v>
      </c>
      <c r="M4451">
        <v>0.99870709999999996</v>
      </c>
      <c r="N4451">
        <v>-1.395502E-2</v>
      </c>
      <c r="O4451">
        <v>-4.8883900000000001E-2</v>
      </c>
      <c r="P4451">
        <v>0.95768330000000002</v>
      </c>
      <c r="Q4451">
        <v>0.1932991</v>
      </c>
      <c r="R4451">
        <v>-0.2132568</v>
      </c>
      <c r="S4451">
        <v>3.0539550000000002</v>
      </c>
      <c r="T4451">
        <v>-0.16926540000000001</v>
      </c>
      <c r="U4451">
        <v>-0.50399780000000005</v>
      </c>
      <c r="V4451">
        <v>0.166023</v>
      </c>
      <c r="W4451">
        <v>0.2069019</v>
      </c>
      <c r="X4451">
        <v>0.96417220000000003</v>
      </c>
      <c r="Y4451">
        <v>0.1142242</v>
      </c>
      <c r="Z4451">
        <v>-1.9374189999999999E-3</v>
      </c>
      <c r="AA4451">
        <v>0.99345309999999998</v>
      </c>
      <c r="AB4451">
        <v>35</v>
      </c>
      <c r="AC4451">
        <v>19.897200000000002</v>
      </c>
      <c r="AD4451">
        <v>-1.1215215042819999</v>
      </c>
      <c r="AE4451">
        <v>-3.3230799999999898</v>
      </c>
      <c r="AF4451">
        <v>2.3391290542358401</v>
      </c>
      <c r="AG4451">
        <v>-1.1215215042819999</v>
      </c>
      <c r="AH4451">
        <v>19.974130724476598</v>
      </c>
      <c r="AI4451">
        <v>93.191941724652594</v>
      </c>
      <c r="AJ4451">
        <v>83.320633335087095</v>
      </c>
      <c r="AK4451">
        <v>20.141877604022302</v>
      </c>
      <c r="AL4451">
        <v>78.059143216352695</v>
      </c>
      <c r="AM4451">
        <v>80.229919344897894</v>
      </c>
      <c r="AN4451">
        <v>1.00000003200272</v>
      </c>
    </row>
    <row r="4452" spans="1:40" x14ac:dyDescent="0.25">
      <c r="A4452" t="str">
        <f>"20190303162643453"</f>
        <v>20190303162643453</v>
      </c>
      <c r="B4452" t="str">
        <f>"1551601603448322"</f>
        <v>1551601603448322</v>
      </c>
      <c r="C4452" t="s">
        <v>40</v>
      </c>
      <c r="D4452">
        <v>5.5685929999999999</v>
      </c>
      <c r="E4452">
        <v>0.48303259999999998</v>
      </c>
      <c r="F4452" t="s">
        <v>41</v>
      </c>
      <c r="G4452">
        <v>-322.10849999999999</v>
      </c>
      <c r="H4452" s="1">
        <v>-4.775584E-6</v>
      </c>
      <c r="I4452">
        <v>13.613860000000001</v>
      </c>
      <c r="J4452">
        <v>-342.20409999999998</v>
      </c>
      <c r="K4452">
        <v>1.1215469999999901</v>
      </c>
      <c r="L4452">
        <v>16.974029999999999</v>
      </c>
      <c r="M4452">
        <v>0.99872850000000002</v>
      </c>
      <c r="N4452">
        <v>-1.3949309999999999E-2</v>
      </c>
      <c r="O4452">
        <v>-4.8446509999999998E-2</v>
      </c>
      <c r="P4452">
        <v>0.95748619999999995</v>
      </c>
      <c r="Q4452">
        <v>0.1936291</v>
      </c>
      <c r="R4452">
        <v>-0.21384320000000001</v>
      </c>
      <c r="S4452">
        <v>3.0540769999999999</v>
      </c>
      <c r="T4452">
        <v>-0.16748560000000001</v>
      </c>
      <c r="U4452">
        <v>-0.50433349999999999</v>
      </c>
      <c r="V4452">
        <v>0.16703390000000001</v>
      </c>
      <c r="W4452">
        <v>0.20722979999999999</v>
      </c>
      <c r="X4452">
        <v>0.96392710000000004</v>
      </c>
      <c r="Y4452">
        <v>0.1147608</v>
      </c>
      <c r="Z4452">
        <v>-1.9680370000000002E-3</v>
      </c>
      <c r="AA4452">
        <v>0.99339120000000003</v>
      </c>
      <c r="AB4452">
        <v>35</v>
      </c>
      <c r="AC4452">
        <v>20.095599999999902</v>
      </c>
      <c r="AD4452">
        <v>-1.1215517755840001</v>
      </c>
      <c r="AE4452">
        <v>-3.3601699999999899</v>
      </c>
      <c r="AF4452">
        <v>2.3753696841897498</v>
      </c>
      <c r="AG4452">
        <v>-1.1215517755840001</v>
      </c>
      <c r="AH4452">
        <v>20.173674242806001</v>
      </c>
      <c r="AI4452">
        <v>93.160285669896794</v>
      </c>
      <c r="AJ4452">
        <v>83.2845710725787</v>
      </c>
      <c r="AK4452">
        <v>20.343976798471299</v>
      </c>
      <c r="AL4452">
        <v>78.039939150467006</v>
      </c>
      <c r="AM4452">
        <v>80.169136554138902</v>
      </c>
      <c r="AN4452">
        <v>0.99999998393582901</v>
      </c>
    </row>
    <row r="4453" spans="1:40" x14ac:dyDescent="0.25">
      <c r="A4453" t="str">
        <f>"20190303162643476"</f>
        <v>20190303162643476</v>
      </c>
      <c r="B4453" t="str">
        <f>"1551601603467843"</f>
        <v>1551601603467843</v>
      </c>
      <c r="C4453" t="s">
        <v>40</v>
      </c>
      <c r="D4453">
        <v>5.1969690000000002</v>
      </c>
      <c r="E4453">
        <v>0.48303259999999998</v>
      </c>
      <c r="F4453" t="s">
        <v>41</v>
      </c>
      <c r="G4453">
        <v>-321.642</v>
      </c>
      <c r="H4453" s="1">
        <v>-5.0039179999999997E-6</v>
      </c>
      <c r="I4453">
        <v>13.569750000000001</v>
      </c>
      <c r="J4453">
        <v>-341.84890000000001</v>
      </c>
      <c r="K4453">
        <v>1.1215710000000001</v>
      </c>
      <c r="L4453">
        <v>16.957179999999902</v>
      </c>
      <c r="M4453">
        <v>0.99874960000000002</v>
      </c>
      <c r="N4453">
        <v>-1.394373E-2</v>
      </c>
      <c r="O4453">
        <v>-4.8009660000000003E-2</v>
      </c>
      <c r="P4453">
        <v>0.95741109999999896</v>
      </c>
      <c r="Q4453">
        <v>0.1927286</v>
      </c>
      <c r="R4453">
        <v>-0.21498900000000001</v>
      </c>
      <c r="S4453">
        <v>3.0539550000000002</v>
      </c>
      <c r="T4453">
        <v>-0.16657669999999999</v>
      </c>
      <c r="U4453">
        <v>-0.50561520000000004</v>
      </c>
      <c r="V4453">
        <v>0.16860029999999901</v>
      </c>
      <c r="W4453">
        <v>0.2063285</v>
      </c>
      <c r="X4453">
        <v>0.96384780000000003</v>
      </c>
      <c r="Y4453">
        <v>0.1156071</v>
      </c>
      <c r="Z4453">
        <v>-2.0111759999999999E-3</v>
      </c>
      <c r="AA4453">
        <v>0.99329299999999998</v>
      </c>
      <c r="AB4453">
        <v>35</v>
      </c>
      <c r="AC4453">
        <v>20.206900000000001</v>
      </c>
      <c r="AD4453">
        <v>-1.1215760039179901</v>
      </c>
      <c r="AE4453">
        <v>-3.3874299999999899</v>
      </c>
      <c r="AF4453">
        <v>2.4060924540094302</v>
      </c>
      <c r="AG4453">
        <v>-1.1215760039179901</v>
      </c>
      <c r="AH4453">
        <v>20.285453078981998</v>
      </c>
      <c r="AI4453">
        <v>93.142657857481495</v>
      </c>
      <c r="AJ4453">
        <v>83.235652923889305</v>
      </c>
      <c r="AK4453">
        <v>20.458416855890601</v>
      </c>
      <c r="AL4453">
        <v>78.092721323973393</v>
      </c>
      <c r="AM4453">
        <v>80.077968822739905</v>
      </c>
      <c r="AN4453">
        <v>1.0000000463185801</v>
      </c>
    </row>
    <row r="4454" spans="1:40" x14ac:dyDescent="0.25">
      <c r="A4454" t="str">
        <f>"20190303162643498"</f>
        <v>20190303162643498</v>
      </c>
      <c r="B4454" t="str">
        <f>"1551601603488339"</f>
        <v>1551601603488339</v>
      </c>
      <c r="C4454" t="s">
        <v>40</v>
      </c>
      <c r="D4454">
        <v>5.5683150000000001</v>
      </c>
      <c r="E4454">
        <v>0.48303449999999998</v>
      </c>
      <c r="F4454" t="s">
        <v>41</v>
      </c>
      <c r="G4454">
        <v>-321.60890000000001</v>
      </c>
      <c r="H4454" s="1">
        <v>-5.016188E-6</v>
      </c>
      <c r="I4454">
        <v>13.58864</v>
      </c>
      <c r="J4454">
        <v>-341.5147</v>
      </c>
      <c r="K4454">
        <v>1.121588</v>
      </c>
      <c r="L4454">
        <v>16.941500000000001</v>
      </c>
      <c r="M4454">
        <v>0.99876940000000003</v>
      </c>
      <c r="N4454">
        <v>-1.3938890000000001E-2</v>
      </c>
      <c r="O4454">
        <v>-4.7597019999999997E-2</v>
      </c>
      <c r="P4454">
        <v>0.95712319999999995</v>
      </c>
      <c r="Q4454">
        <v>0.1930161</v>
      </c>
      <c r="R4454">
        <v>-0.21601020000000001</v>
      </c>
      <c r="S4454">
        <v>3.0534059999999998</v>
      </c>
      <c r="T4454">
        <v>-0.16920099999999999</v>
      </c>
      <c r="U4454">
        <v>-0.50817869999999998</v>
      </c>
      <c r="V4454">
        <v>0.17002790000000001</v>
      </c>
      <c r="W4454">
        <v>0.20661209999999999</v>
      </c>
      <c r="X4454">
        <v>0.96353610000000001</v>
      </c>
      <c r="Y4454">
        <v>0.1168507</v>
      </c>
      <c r="Z4454">
        <v>-2.0789810000000001E-3</v>
      </c>
      <c r="AA4454">
        <v>0.99314729999999996</v>
      </c>
      <c r="AB4454">
        <v>34</v>
      </c>
      <c r="AC4454">
        <v>19.905799999999999</v>
      </c>
      <c r="AD4454">
        <v>-1.1215930161879999</v>
      </c>
      <c r="AE4454">
        <v>-3.3528600000000002</v>
      </c>
      <c r="AF4454">
        <v>2.3941193478260101</v>
      </c>
      <c r="AG4454">
        <v>-1.1215930161879999</v>
      </c>
      <c r="AH4454">
        <v>19.981151056561099</v>
      </c>
      <c r="AI4454">
        <v>93.190017231865994</v>
      </c>
      <c r="AJ4454">
        <v>83.167456319122095</v>
      </c>
      <c r="AK4454">
        <v>20.155301433883601</v>
      </c>
      <c r="AL4454">
        <v>78.076113018939395</v>
      </c>
      <c r="AM4454">
        <v>79.992474760117204</v>
      </c>
      <c r="AN4454">
        <v>0.99999993132401199</v>
      </c>
    </row>
    <row r="4455" spans="1:40" x14ac:dyDescent="0.25">
      <c r="A4455" t="str">
        <f>"20190303162643521"</f>
        <v>20190303162643521</v>
      </c>
      <c r="B4455" t="str">
        <f>"1551601603507859"</f>
        <v>1551601603507859</v>
      </c>
      <c r="C4455" t="s">
        <v>40</v>
      </c>
      <c r="D4455">
        <v>5.6311349999999996</v>
      </c>
      <c r="E4455">
        <v>0.48304239999999998</v>
      </c>
      <c r="F4455" t="s">
        <v>41</v>
      </c>
      <c r="G4455">
        <v>-321.2038</v>
      </c>
      <c r="H4455" s="1">
        <v>-5.216051E-6</v>
      </c>
      <c r="I4455">
        <v>13.54166</v>
      </c>
      <c r="J4455">
        <v>-341.1694</v>
      </c>
      <c r="K4455">
        <v>1.121605</v>
      </c>
      <c r="L4455">
        <v>16.925450000000001</v>
      </c>
      <c r="M4455">
        <v>0.99879059999999997</v>
      </c>
      <c r="N4455">
        <v>-1.392934E-2</v>
      </c>
      <c r="O4455">
        <v>-4.7152300000000001E-2</v>
      </c>
      <c r="P4455">
        <v>0.95638140000000005</v>
      </c>
      <c r="Q4455">
        <v>0.19404170000000001</v>
      </c>
      <c r="R4455">
        <v>-0.218363</v>
      </c>
      <c r="S4455">
        <v>3.0530400000000002</v>
      </c>
      <c r="T4455">
        <v>-0.16859260000000001</v>
      </c>
      <c r="U4455">
        <v>-0.51104740000000004</v>
      </c>
      <c r="V4455">
        <v>0.17283409999999999</v>
      </c>
      <c r="W4455">
        <v>0.20762820000000001</v>
      </c>
      <c r="X4455">
        <v>0.96281819999999896</v>
      </c>
      <c r="Y4455">
        <v>0.11821810000000001</v>
      </c>
      <c r="Z4455">
        <v>-2.1410689999999998E-3</v>
      </c>
      <c r="AA4455">
        <v>0.99298540000000002</v>
      </c>
      <c r="AB4455">
        <v>34</v>
      </c>
      <c r="AC4455">
        <v>19.965599999999899</v>
      </c>
      <c r="AD4455">
        <v>-1.121610216051</v>
      </c>
      <c r="AE4455">
        <v>-3.3837899999999999</v>
      </c>
      <c r="AF4455">
        <v>2.4310523598202001</v>
      </c>
      <c r="AG4455">
        <v>-1.121610216051</v>
      </c>
      <c r="AH4455">
        <v>20.041474851050602</v>
      </c>
      <c r="AI4455">
        <v>93.179924875505506</v>
      </c>
      <c r="AJ4455">
        <v>83.083750292995802</v>
      </c>
      <c r="AK4455">
        <v>20.219513823488199</v>
      </c>
      <c r="AL4455">
        <v>78.016605079978504</v>
      </c>
      <c r="AM4455">
        <v>79.823302878282803</v>
      </c>
      <c r="AN4455">
        <v>0.99999999090464398</v>
      </c>
    </row>
    <row r="4456" spans="1:40" x14ac:dyDescent="0.25">
      <c r="A4456" t="str">
        <f>"20190303162643543"</f>
        <v>20190303162643543</v>
      </c>
      <c r="B4456" t="str">
        <f>"1551601603538115"</f>
        <v>1551601603538115</v>
      </c>
      <c r="C4456" t="s">
        <v>40</v>
      </c>
      <c r="D4456">
        <v>5.638433</v>
      </c>
      <c r="E4456">
        <v>0.47786410000000001</v>
      </c>
      <c r="F4456" t="s">
        <v>41</v>
      </c>
      <c r="G4456">
        <v>-320.47390000000001</v>
      </c>
      <c r="H4456" s="1">
        <v>-5.5833939999999899E-6</v>
      </c>
      <c r="I4456">
        <v>13.415800000000001</v>
      </c>
      <c r="J4456">
        <v>-340.82549999999998</v>
      </c>
      <c r="K4456">
        <v>1.1216280000000001</v>
      </c>
      <c r="L4456">
        <v>16.90964</v>
      </c>
      <c r="M4456">
        <v>0.99881350000000002</v>
      </c>
      <c r="N4456">
        <v>-1.3916639999999999E-2</v>
      </c>
      <c r="O4456">
        <v>-4.6671379999999998E-2</v>
      </c>
      <c r="P4456">
        <v>0.95581499999999997</v>
      </c>
      <c r="Q4456">
        <v>0.19416330000000001</v>
      </c>
      <c r="R4456">
        <v>-0.22072320000000001</v>
      </c>
      <c r="S4456">
        <v>3.052216</v>
      </c>
      <c r="T4456">
        <v>-0.16541719999999999</v>
      </c>
      <c r="U4456">
        <v>-0.51760859999999997</v>
      </c>
      <c r="V4456">
        <v>0.1756684</v>
      </c>
      <c r="W4456">
        <v>0.20774529999999999</v>
      </c>
      <c r="X4456">
        <v>0.96227989999999997</v>
      </c>
      <c r="Y4456">
        <v>0.1208156</v>
      </c>
      <c r="Z4456">
        <v>-2.234635E-3</v>
      </c>
      <c r="AA4456">
        <v>0.99267240000000001</v>
      </c>
      <c r="AB4456">
        <v>34</v>
      </c>
      <c r="AC4456">
        <v>20.351599999999902</v>
      </c>
      <c r="AD4456">
        <v>-1.1216335833939901</v>
      </c>
      <c r="AE4456">
        <v>-3.4938399999999898</v>
      </c>
      <c r="AF4456">
        <v>2.5326304731295401</v>
      </c>
      <c r="AG4456">
        <v>-1.1216335833939901</v>
      </c>
      <c r="AH4456">
        <v>20.4322121062749</v>
      </c>
      <c r="AI4456">
        <v>93.118302240026594</v>
      </c>
      <c r="AJ4456">
        <v>82.934066725848695</v>
      </c>
      <c r="AK4456">
        <v>20.619106929366001</v>
      </c>
      <c r="AL4456">
        <v>78.009746922198005</v>
      </c>
      <c r="AM4456">
        <v>79.654328179663494</v>
      </c>
      <c r="AN4456">
        <v>1.0000000511873199</v>
      </c>
    </row>
    <row r="4457" spans="1:40" x14ac:dyDescent="0.25">
      <c r="A4457" t="str">
        <f>"20190303162643566"</f>
        <v>20190303162643566</v>
      </c>
      <c r="B4457" t="str">
        <f>"1551601603558611"</f>
        <v>1551601603558611</v>
      </c>
      <c r="C4457" t="s">
        <v>40</v>
      </c>
      <c r="D4457">
        <v>5.6942690000000002</v>
      </c>
      <c r="E4457">
        <v>0.47786279999999998</v>
      </c>
      <c r="F4457" t="s">
        <v>41</v>
      </c>
      <c r="G4457">
        <v>-322.90969999999999</v>
      </c>
      <c r="H4457" s="1">
        <v>-4.3128880000000003E-6</v>
      </c>
      <c r="I4457">
        <v>14.0872299999999</v>
      </c>
      <c r="J4457">
        <v>-340.46690000000001</v>
      </c>
      <c r="K4457">
        <v>1.121669</v>
      </c>
      <c r="L4457">
        <v>16.8934</v>
      </c>
      <c r="M4457">
        <v>0.99883909999999998</v>
      </c>
      <c r="N4457">
        <v>-1.390277E-2</v>
      </c>
      <c r="O4457">
        <v>-4.6124480000000002E-2</v>
      </c>
      <c r="P4457">
        <v>0.95507260000000005</v>
      </c>
      <c r="Q4457">
        <v>0.19422400000000001</v>
      </c>
      <c r="R4457">
        <v>-0.22386159999999999</v>
      </c>
      <c r="S4457">
        <v>3.0661619999999998</v>
      </c>
      <c r="T4457">
        <v>-0.19195870000000001</v>
      </c>
      <c r="U4457">
        <v>-0.48303220000000002</v>
      </c>
      <c r="V4457">
        <v>0.17934559999999999</v>
      </c>
      <c r="W4457">
        <v>0.20780399999999999</v>
      </c>
      <c r="X4457">
        <v>0.96158860000000002</v>
      </c>
      <c r="Y4457">
        <v>0.109681</v>
      </c>
      <c r="Z4457">
        <v>-1.950827E-3</v>
      </c>
      <c r="AA4457">
        <v>0.99396490000000004</v>
      </c>
      <c r="AB4457">
        <v>34</v>
      </c>
      <c r="AC4457">
        <v>17.557200000000002</v>
      </c>
      <c r="AD4457">
        <v>-1.1216733128880001</v>
      </c>
      <c r="AE4457">
        <v>-2.8061699999999998</v>
      </c>
      <c r="AF4457">
        <v>1.98538639324301</v>
      </c>
      <c r="AG4457">
        <v>-1.1216733128880001</v>
      </c>
      <c r="AH4457">
        <v>17.5979187176994</v>
      </c>
      <c r="AI4457">
        <v>93.624111297020207</v>
      </c>
      <c r="AJ4457">
        <v>83.563143122006394</v>
      </c>
      <c r="AK4457">
        <v>17.7450458817687</v>
      </c>
      <c r="AL4457">
        <v>78.006307894458601</v>
      </c>
      <c r="AM4457">
        <v>79.435167607590699</v>
      </c>
      <c r="AN4457">
        <v>0.99999999115266003</v>
      </c>
    </row>
    <row r="4458" spans="1:40" x14ac:dyDescent="0.25">
      <c r="A4458" t="str">
        <f>"20190303162643589"</f>
        <v>20190303162643589</v>
      </c>
      <c r="B4458" t="str">
        <f>"1551601603578131"</f>
        <v>1551601603578131</v>
      </c>
      <c r="C4458" t="s">
        <v>40</v>
      </c>
      <c r="D4458">
        <v>5.6333330000000004</v>
      </c>
      <c r="E4458">
        <v>0.47781889999999999</v>
      </c>
      <c r="F4458" t="s">
        <v>41</v>
      </c>
      <c r="G4458">
        <v>-321.61860000000001</v>
      </c>
      <c r="H4458" s="1">
        <v>-4.9596069999999999E-6</v>
      </c>
      <c r="I4458">
        <v>13.88189</v>
      </c>
      <c r="J4458">
        <v>-340.11279999999999</v>
      </c>
      <c r="K4458">
        <v>1.1217200000000001</v>
      </c>
      <c r="L4458">
        <v>16.87762</v>
      </c>
      <c r="M4458">
        <v>0.99886750000000002</v>
      </c>
      <c r="N4458">
        <v>-1.3889810000000001E-2</v>
      </c>
      <c r="O4458">
        <v>-4.5505940000000002E-2</v>
      </c>
      <c r="P4458">
        <v>0.95456640000000004</v>
      </c>
      <c r="Q4458">
        <v>0.193131</v>
      </c>
      <c r="R4458">
        <v>-0.2269438</v>
      </c>
      <c r="S4458">
        <v>3.0634769999999998</v>
      </c>
      <c r="T4458">
        <v>-0.1823092</v>
      </c>
      <c r="U4458">
        <v>-0.4894714</v>
      </c>
      <c r="V4458">
        <v>0.18301819999999999</v>
      </c>
      <c r="W4458">
        <v>0.2067204</v>
      </c>
      <c r="X4458">
        <v>0.96113009999999999</v>
      </c>
      <c r="Y4458">
        <v>0.11247740000000001</v>
      </c>
      <c r="Z4458">
        <v>-2.0526350000000001E-3</v>
      </c>
      <c r="AA4458">
        <v>0.99365219999999999</v>
      </c>
      <c r="AB4458">
        <v>34</v>
      </c>
      <c r="AC4458">
        <v>18.4941999999999</v>
      </c>
      <c r="AD4458">
        <v>-1.121724959607</v>
      </c>
      <c r="AE4458">
        <v>-2.99573</v>
      </c>
      <c r="AF4458">
        <v>2.1432659010258401</v>
      </c>
      <c r="AG4458">
        <v>-1.121724959607</v>
      </c>
      <c r="AH4458">
        <v>18.544896239726899</v>
      </c>
      <c r="AI4458">
        <v>93.438599208325897</v>
      </c>
      <c r="AJ4458">
        <v>83.407475063258801</v>
      </c>
      <c r="AK4458">
        <v>18.7020060996071</v>
      </c>
      <c r="AL4458">
        <v>78.069772131091</v>
      </c>
      <c r="AM4458">
        <v>79.218820064378704</v>
      </c>
      <c r="AN4458">
        <v>1.0000000272167</v>
      </c>
    </row>
    <row r="4459" spans="1:40" x14ac:dyDescent="0.25">
      <c r="A4459" t="str">
        <f>"20190303162643611"</f>
        <v>20190303162643611</v>
      </c>
      <c r="B4459" t="str">
        <f>"1551601603598627"</f>
        <v>1551601603598627</v>
      </c>
      <c r="C4459" t="s">
        <v>40</v>
      </c>
      <c r="D4459">
        <v>5.5721559999999997</v>
      </c>
      <c r="E4459">
        <v>0.4775645</v>
      </c>
      <c r="F4459" t="s">
        <v>41</v>
      </c>
      <c r="G4459">
        <v>-321.59070000000003</v>
      </c>
      <c r="H4459" s="1">
        <v>-4.9734639999999998E-6</v>
      </c>
      <c r="I4459">
        <v>13.878209999999999</v>
      </c>
      <c r="J4459">
        <v>-339.7885</v>
      </c>
      <c r="K4459">
        <v>1.1217870000000001</v>
      </c>
      <c r="L4459">
        <v>16.863489999999999</v>
      </c>
      <c r="M4459">
        <v>0.99889819999999996</v>
      </c>
      <c r="N4459">
        <v>-1.387876E-2</v>
      </c>
      <c r="O4459">
        <v>-4.483268E-2</v>
      </c>
      <c r="P4459">
        <v>0.95425870000000002</v>
      </c>
      <c r="Q4459">
        <v>0.19142619999999999</v>
      </c>
      <c r="R4459">
        <v>-0.22966710000000001</v>
      </c>
      <c r="S4459">
        <v>3.0623779999999998</v>
      </c>
      <c r="T4459">
        <v>-0.1854614</v>
      </c>
      <c r="U4459">
        <v>-0.49591059999999998</v>
      </c>
      <c r="V4459">
        <v>0.186367</v>
      </c>
      <c r="W4459">
        <v>0.20503869999999999</v>
      </c>
      <c r="X4459">
        <v>0.96084669999999905</v>
      </c>
      <c r="Y4459">
        <v>0.1152267</v>
      </c>
      <c r="Z4459">
        <v>-2.195631E-3</v>
      </c>
      <c r="AA4459">
        <v>0.99333680000000002</v>
      </c>
      <c r="AB4459">
        <v>34</v>
      </c>
      <c r="AC4459">
        <v>18.197799999999901</v>
      </c>
      <c r="AD4459">
        <v>-1.1217919734639901</v>
      </c>
      <c r="AE4459">
        <v>-2.9852799999999902</v>
      </c>
      <c r="AF4459">
        <v>2.15835622534826</v>
      </c>
      <c r="AG4459">
        <v>-1.1217919734639901</v>
      </c>
      <c r="AH4459">
        <v>18.2458320435757</v>
      </c>
      <c r="AI4459">
        <v>93.493936094230193</v>
      </c>
      <c r="AJ4459">
        <v>83.253655240386706</v>
      </c>
      <c r="AK4459">
        <v>18.407262311098901</v>
      </c>
      <c r="AL4459">
        <v>78.168234929752998</v>
      </c>
      <c r="AM4459">
        <v>79.023139516446804</v>
      </c>
      <c r="AN4459">
        <v>0.99999995404378805</v>
      </c>
    </row>
    <row r="4460" spans="1:40" x14ac:dyDescent="0.25">
      <c r="A4460" t="str">
        <f>"20190303162643632"</f>
        <v>20190303162643632</v>
      </c>
      <c r="B4460" t="str">
        <f>"1551601603618147"</f>
        <v>1551601603618147</v>
      </c>
      <c r="C4460" t="s">
        <v>40</v>
      </c>
      <c r="D4460">
        <v>5.629899</v>
      </c>
      <c r="E4460">
        <v>0.4773946</v>
      </c>
      <c r="F4460" t="s">
        <v>41</v>
      </c>
      <c r="G4460">
        <v>-322.11880000000002</v>
      </c>
      <c r="H4460" s="1">
        <v>-4.7072530000000004E-6</v>
      </c>
      <c r="I4460">
        <v>13.971629999999999</v>
      </c>
      <c r="J4460">
        <v>-339.45679999999999</v>
      </c>
      <c r="K4460">
        <v>1.1218870000000001</v>
      </c>
      <c r="L4460">
        <v>16.84937</v>
      </c>
      <c r="M4460">
        <v>0.99893500000000002</v>
      </c>
      <c r="N4460">
        <v>-1.386856E-2</v>
      </c>
      <c r="O4460">
        <v>-4.4008459999999999E-2</v>
      </c>
      <c r="P4460">
        <v>0.95403479999999996</v>
      </c>
      <c r="Q4460">
        <v>0.190828</v>
      </c>
      <c r="R4460">
        <v>-0.23109070000000001</v>
      </c>
      <c r="S4460">
        <v>3.0621640000000001</v>
      </c>
      <c r="T4460">
        <v>-0.19440640000000001</v>
      </c>
      <c r="U4460">
        <v>-0.50115969999999999</v>
      </c>
      <c r="V4460">
        <v>0.18854380000000001</v>
      </c>
      <c r="W4460">
        <v>0.20447670000000001</v>
      </c>
      <c r="X4460">
        <v>0.9605418</v>
      </c>
      <c r="Y4460">
        <v>0.1176924</v>
      </c>
      <c r="Z4460">
        <v>-2.3670789999999998E-3</v>
      </c>
      <c r="AA4460">
        <v>0.99304729999999997</v>
      </c>
      <c r="AB4460">
        <v>34</v>
      </c>
      <c r="AC4460">
        <v>17.337999999999901</v>
      </c>
      <c r="AD4460">
        <v>-1.1218917072529999</v>
      </c>
      <c r="AE4460">
        <v>-2.8777400000000002</v>
      </c>
      <c r="AF4460">
        <v>2.1032890190710201</v>
      </c>
      <c r="AG4460">
        <v>-1.1218917072529999</v>
      </c>
      <c r="AH4460">
        <v>17.377048874651202</v>
      </c>
      <c r="AI4460">
        <v>93.667293901433297</v>
      </c>
      <c r="AJ4460">
        <v>83.098586266960098</v>
      </c>
      <c r="AK4460">
        <v>17.5397917117783</v>
      </c>
      <c r="AL4460">
        <v>78.201132922672599</v>
      </c>
      <c r="AM4460">
        <v>78.894658821963802</v>
      </c>
      <c r="AN4460">
        <v>1.00000001745428</v>
      </c>
    </row>
    <row r="4461" spans="1:40" x14ac:dyDescent="0.25">
      <c r="A4461" t="str">
        <f>"20190303162643655"</f>
        <v>20190303162643655</v>
      </c>
      <c r="B4461" t="str">
        <f>"1551601603648403"</f>
        <v>1551601603648403</v>
      </c>
      <c r="C4461" t="s">
        <v>40</v>
      </c>
      <c r="D4461">
        <v>5.5778650000000001</v>
      </c>
      <c r="E4461">
        <v>0.47712169999999998</v>
      </c>
      <c r="F4461" t="s">
        <v>41</v>
      </c>
      <c r="G4461">
        <v>-321.87290000000002</v>
      </c>
      <c r="H4461" s="1">
        <v>-4.8262989999999996E-6</v>
      </c>
      <c r="I4461">
        <v>13.95579</v>
      </c>
      <c r="J4461">
        <v>-339.10930000000002</v>
      </c>
      <c r="K4461">
        <v>1.122009</v>
      </c>
      <c r="L4461">
        <v>16.83502</v>
      </c>
      <c r="M4461">
        <v>0.99897990000000003</v>
      </c>
      <c r="N4461">
        <v>-1.385954E-2</v>
      </c>
      <c r="O4461">
        <v>-4.2980740000000003E-2</v>
      </c>
      <c r="P4461">
        <v>0.95358529999999997</v>
      </c>
      <c r="Q4461">
        <v>0.1913126</v>
      </c>
      <c r="R4461">
        <v>-0.23254059999999999</v>
      </c>
      <c r="S4461">
        <v>3.0616150000000002</v>
      </c>
      <c r="T4461">
        <v>-0.19533809999999999</v>
      </c>
      <c r="U4461">
        <v>-0.50381469999999995</v>
      </c>
      <c r="V4461">
        <v>0.1909362</v>
      </c>
      <c r="W4461">
        <v>0.20500930000000001</v>
      </c>
      <c r="X4461">
        <v>0.95995549999999996</v>
      </c>
      <c r="Y4461">
        <v>0.1195731</v>
      </c>
      <c r="Z4461">
        <v>-2.4941799999999999E-3</v>
      </c>
      <c r="AA4461">
        <v>0.99282230000000005</v>
      </c>
      <c r="AB4461">
        <v>34</v>
      </c>
      <c r="AC4461">
        <v>17.2364</v>
      </c>
      <c r="AD4461">
        <v>-1.122013826299</v>
      </c>
      <c r="AE4461">
        <v>-2.8792300000000002</v>
      </c>
      <c r="AF4461">
        <v>2.1268965726342199</v>
      </c>
      <c r="AG4461">
        <v>-1.122013826299</v>
      </c>
      <c r="AH4461">
        <v>17.273025658905901</v>
      </c>
      <c r="AI4461">
        <v>93.688791613624204</v>
      </c>
      <c r="AJ4461">
        <v>82.980277361064907</v>
      </c>
      <c r="AK4461">
        <v>17.439610645605299</v>
      </c>
      <c r="AL4461">
        <v>78.169956582998395</v>
      </c>
      <c r="AM4461">
        <v>78.750621285359799</v>
      </c>
      <c r="AN4461">
        <v>1.0000000037685799</v>
      </c>
    </row>
    <row r="4462" spans="1:40" x14ac:dyDescent="0.25">
      <c r="A4462" t="str">
        <f>"20190303162643676"</f>
        <v>20190303162643676</v>
      </c>
      <c r="B4462" t="str">
        <f>"1551601603667923"</f>
        <v>1551601603667923</v>
      </c>
      <c r="C4462" t="s">
        <v>40</v>
      </c>
      <c r="D4462">
        <v>5.630655</v>
      </c>
      <c r="E4462">
        <v>0.47698400000000002</v>
      </c>
      <c r="F4462" t="s">
        <v>41</v>
      </c>
      <c r="G4462">
        <v>-321.4461</v>
      </c>
      <c r="H4462" s="1">
        <v>-5.0338209999999999E-6</v>
      </c>
      <c r="I4462">
        <v>13.923260000000001</v>
      </c>
      <c r="J4462">
        <v>-338.77730000000003</v>
      </c>
      <c r="K4462">
        <v>1.122139</v>
      </c>
      <c r="L4462">
        <v>16.821839999999899</v>
      </c>
      <c r="M4462">
        <v>0.99902880000000005</v>
      </c>
      <c r="N4462">
        <v>-1.385219E-2</v>
      </c>
      <c r="O4462">
        <v>-4.1831300000000002E-2</v>
      </c>
      <c r="P4462">
        <v>0.95316109999999998</v>
      </c>
      <c r="Q4462">
        <v>0.1908639</v>
      </c>
      <c r="R4462">
        <v>-0.23463819999999999</v>
      </c>
      <c r="S4462">
        <v>3.0619510000000001</v>
      </c>
      <c r="T4462">
        <v>-0.1945037</v>
      </c>
      <c r="U4462">
        <v>-0.50476069999999995</v>
      </c>
      <c r="V4462">
        <v>0.19408990000000001</v>
      </c>
      <c r="W4462">
        <v>0.2046172</v>
      </c>
      <c r="X4462">
        <v>0.9594066</v>
      </c>
      <c r="Y4462">
        <v>0.1209935</v>
      </c>
      <c r="Z4462">
        <v>-2.5998610000000002E-3</v>
      </c>
      <c r="AA4462">
        <v>0.99264989999999997</v>
      </c>
      <c r="AB4462">
        <v>34</v>
      </c>
      <c r="AC4462">
        <v>17.331199999999999</v>
      </c>
      <c r="AD4462">
        <v>-1.122144033821</v>
      </c>
      <c r="AE4462">
        <v>-2.8985799999999902</v>
      </c>
      <c r="AF4462">
        <v>2.1621687002722298</v>
      </c>
      <c r="AG4462">
        <v>-1.122144033821</v>
      </c>
      <c r="AH4462">
        <v>17.366467508303401</v>
      </c>
      <c r="AI4462">
        <v>93.668812053665604</v>
      </c>
      <c r="AJ4462">
        <v>82.9030512269958</v>
      </c>
      <c r="AK4462">
        <v>17.536486946878298</v>
      </c>
      <c r="AL4462">
        <v>78.192909446370905</v>
      </c>
      <c r="AM4462">
        <v>78.563300354774</v>
      </c>
      <c r="AN4462">
        <v>1.0000000559707001</v>
      </c>
    </row>
    <row r="4463" spans="1:40" x14ac:dyDescent="0.25">
      <c r="A4463" t="str">
        <f>"20190303162643699"</f>
        <v>20190303162643699</v>
      </c>
      <c r="B4463" t="str">
        <f>"1551601603688419"</f>
        <v>1551601603688419</v>
      </c>
      <c r="C4463" t="s">
        <v>40</v>
      </c>
      <c r="D4463">
        <v>5.6364549999999998</v>
      </c>
      <c r="E4463">
        <v>0.47687109999999999</v>
      </c>
      <c r="F4463" t="s">
        <v>41</v>
      </c>
      <c r="G4463">
        <v>-321.0917</v>
      </c>
      <c r="H4463" s="1">
        <v>-5.2077509999999996E-6</v>
      </c>
      <c r="I4463">
        <v>13.887029999999999</v>
      </c>
      <c r="J4463">
        <v>-338.45030000000003</v>
      </c>
      <c r="K4463">
        <v>1.122269</v>
      </c>
      <c r="L4463">
        <v>16.809419999999999</v>
      </c>
      <c r="M4463">
        <v>0.99908200000000003</v>
      </c>
      <c r="N4463">
        <v>-1.3845949999999999E-2</v>
      </c>
      <c r="O4463">
        <v>-4.0539270000000002E-2</v>
      </c>
      <c r="P4463">
        <v>0.95278640000000003</v>
      </c>
      <c r="Q4463">
        <v>0.1904979</v>
      </c>
      <c r="R4463">
        <v>-0.23644999999999999</v>
      </c>
      <c r="S4463">
        <v>3.0612490000000001</v>
      </c>
      <c r="T4463">
        <v>-0.19423509999999999</v>
      </c>
      <c r="U4463">
        <v>-0.50799559999999999</v>
      </c>
      <c r="V4463">
        <v>0.1970934</v>
      </c>
      <c r="W4463">
        <v>0.20430960000000001</v>
      </c>
      <c r="X4463">
        <v>0.95885960000000003</v>
      </c>
      <c r="Y4463">
        <v>0.1233279</v>
      </c>
      <c r="Z4463">
        <v>-2.7509269999999998E-3</v>
      </c>
      <c r="AA4463">
        <v>0.99236210000000002</v>
      </c>
      <c r="AB4463">
        <v>34</v>
      </c>
      <c r="AC4463">
        <v>17.358599999999999</v>
      </c>
      <c r="AD4463">
        <v>-1.122274207751</v>
      </c>
      <c r="AE4463">
        <v>-2.92239</v>
      </c>
      <c r="AF4463">
        <v>2.2072429131056799</v>
      </c>
      <c r="AG4463">
        <v>-1.122274207751</v>
      </c>
      <c r="AH4463">
        <v>17.392116401325602</v>
      </c>
      <c r="AI4463">
        <v>93.662751384439204</v>
      </c>
      <c r="AJ4463">
        <v>82.767227234607503</v>
      </c>
      <c r="AK4463">
        <v>17.5675022012834</v>
      </c>
      <c r="AL4463">
        <v>78.210913039943094</v>
      </c>
      <c r="AM4463">
        <v>78.384646219183196</v>
      </c>
      <c r="AN4463">
        <v>0.99999997674393903</v>
      </c>
    </row>
    <row r="4464" spans="1:40" x14ac:dyDescent="0.25">
      <c r="A4464" t="str">
        <f>"20190303162643720"</f>
        <v>20190303162643720</v>
      </c>
      <c r="B4464" t="str">
        <f>"1551601603707939"</f>
        <v>1551601603707939</v>
      </c>
      <c r="C4464" t="s">
        <v>40</v>
      </c>
      <c r="D4464">
        <v>5.6324079999999999</v>
      </c>
      <c r="E4464">
        <v>0.47668919999999998</v>
      </c>
      <c r="F4464" t="s">
        <v>41</v>
      </c>
      <c r="G4464">
        <v>-320.79309999999998</v>
      </c>
      <c r="H4464" s="1">
        <v>-5.3549879999999899E-6</v>
      </c>
      <c r="I4464">
        <v>13.85275</v>
      </c>
      <c r="J4464">
        <v>-338.11619999999999</v>
      </c>
      <c r="K4464">
        <v>1.1223909999999999</v>
      </c>
      <c r="L4464">
        <v>16.7973</v>
      </c>
      <c r="M4464">
        <v>0.99914069999999999</v>
      </c>
      <c r="N4464">
        <v>-1.384032E-2</v>
      </c>
      <c r="O4464">
        <v>-3.9066129999999998E-2</v>
      </c>
      <c r="P4464">
        <v>0.95284809999999998</v>
      </c>
      <c r="Q4464">
        <v>0.18972510000000001</v>
      </c>
      <c r="R4464">
        <v>-0.23682249999999999</v>
      </c>
      <c r="S4464">
        <v>3.0603639999999999</v>
      </c>
      <c r="T4464">
        <v>-0.1945133</v>
      </c>
      <c r="U4464">
        <v>-0.5124512</v>
      </c>
      <c r="V4464">
        <v>0.19882130000000001</v>
      </c>
      <c r="W4464">
        <v>0.20359360000000001</v>
      </c>
      <c r="X4464">
        <v>0.95865520000000004</v>
      </c>
      <c r="Y4464">
        <v>0.12623309999999999</v>
      </c>
      <c r="Z4464">
        <v>-2.9368100000000002E-3</v>
      </c>
      <c r="AA4464">
        <v>0.99199619999999999</v>
      </c>
      <c r="AB4464">
        <v>34</v>
      </c>
      <c r="AC4464">
        <v>17.3231</v>
      </c>
      <c r="AD4464">
        <v>-1.1223963549879901</v>
      </c>
      <c r="AE4464">
        <v>-2.94455</v>
      </c>
      <c r="AF4464">
        <v>2.2562845527348001</v>
      </c>
      <c r="AG4464">
        <v>-1.1223963549879901</v>
      </c>
      <c r="AH4464">
        <v>17.354110110699999</v>
      </c>
      <c r="AI4464">
        <v>93.669713677882598</v>
      </c>
      <c r="AJ4464">
        <v>82.592275424404804</v>
      </c>
      <c r="AK4464">
        <v>17.536126462103901</v>
      </c>
      <c r="AL4464">
        <v>78.252818222874495</v>
      </c>
      <c r="AM4464">
        <v>78.283189293875196</v>
      </c>
      <c r="AN4464">
        <v>1.0000000278908401</v>
      </c>
    </row>
    <row r="4465" spans="1:40" x14ac:dyDescent="0.25">
      <c r="A4465" t="str">
        <f>"20190303162643744"</f>
        <v>20190303162643744</v>
      </c>
      <c r="B4465" t="str">
        <f>"1551601603738196"</f>
        <v>1551601603738196</v>
      </c>
      <c r="C4465" t="s">
        <v>40</v>
      </c>
      <c r="D4465">
        <v>5.5760509999999996</v>
      </c>
      <c r="E4465">
        <v>0.47648990000000002</v>
      </c>
      <c r="F4465" t="s">
        <v>41</v>
      </c>
      <c r="G4465">
        <v>-320.75220000000002</v>
      </c>
      <c r="H4465" s="1">
        <v>-5.3679949999999998E-6</v>
      </c>
      <c r="I4465">
        <v>13.8883799999999</v>
      </c>
      <c r="J4465">
        <v>-337.75990000000002</v>
      </c>
      <c r="K4465">
        <v>1.1224940000000001</v>
      </c>
      <c r="L4465">
        <v>16.7851</v>
      </c>
      <c r="M4465">
        <v>0.99920560000000003</v>
      </c>
      <c r="N4465">
        <v>-1.383444E-2</v>
      </c>
      <c r="O4465">
        <v>-3.7373320000000002E-2</v>
      </c>
      <c r="P4465">
        <v>0.95298729999999998</v>
      </c>
      <c r="Q4465">
        <v>0.188751</v>
      </c>
      <c r="R4465">
        <v>-0.23704040000000001</v>
      </c>
      <c r="S4465">
        <v>3.0603940000000001</v>
      </c>
      <c r="T4465">
        <v>-0.19782150000000001</v>
      </c>
      <c r="U4465">
        <v>-0.51269529999999996</v>
      </c>
      <c r="V4465">
        <v>0.20061229999999999</v>
      </c>
      <c r="W4465">
        <v>0.2026686</v>
      </c>
      <c r="X4465">
        <v>0.95847800000000005</v>
      </c>
      <c r="Y4465">
        <v>0.12797519999999901</v>
      </c>
      <c r="Z4465">
        <v>-3.1150209999999999E-3</v>
      </c>
      <c r="AA4465">
        <v>0.99177249999999995</v>
      </c>
      <c r="AB4465">
        <v>34</v>
      </c>
      <c r="AC4465">
        <v>17.0077</v>
      </c>
      <c r="AD4465">
        <v>-1.1224993679949999</v>
      </c>
      <c r="AE4465">
        <v>-2.8967200000000002</v>
      </c>
      <c r="AF4465">
        <v>2.2494784849317999</v>
      </c>
      <c r="AG4465">
        <v>-1.1224993679949999</v>
      </c>
      <c r="AH4465">
        <v>17.031987388636299</v>
      </c>
      <c r="AI4465">
        <v>93.738276296323804</v>
      </c>
      <c r="AJ4465">
        <v>82.476276382035095</v>
      </c>
      <c r="AK4465">
        <v>17.216525569695701</v>
      </c>
      <c r="AL4465">
        <v>78.306944555960399</v>
      </c>
      <c r="AM4465">
        <v>78.1784758329364</v>
      </c>
      <c r="AN4465">
        <v>0.99999996641062405</v>
      </c>
    </row>
    <row r="4466" spans="1:40" x14ac:dyDescent="0.25">
      <c r="A4466" t="str">
        <f>"20190303162643766"</f>
        <v>20190303162643766</v>
      </c>
      <c r="B4466" t="str">
        <f>"1551601603758691"</f>
        <v>1551601603758691</v>
      </c>
      <c r="C4466" t="s">
        <v>40</v>
      </c>
      <c r="D4466">
        <v>5.5746589999999996</v>
      </c>
      <c r="E4466">
        <v>0.476329</v>
      </c>
      <c r="F4466" t="s">
        <v>41</v>
      </c>
      <c r="G4466">
        <v>-320.70519999999999</v>
      </c>
      <c r="H4466" s="1">
        <v>-5.383E-6</v>
      </c>
      <c r="I4466">
        <v>13.92901</v>
      </c>
      <c r="J4466">
        <v>-337.41199999999998</v>
      </c>
      <c r="K4466">
        <v>1.1225769999999999</v>
      </c>
      <c r="L4466">
        <v>16.773800000000001</v>
      </c>
      <c r="M4466">
        <v>0.99926919999999997</v>
      </c>
      <c r="N4466">
        <v>-1.3828770000000001E-2</v>
      </c>
      <c r="O4466">
        <v>-3.5634279999999997E-2</v>
      </c>
      <c r="P4466">
        <v>0.95325740000000003</v>
      </c>
      <c r="Q4466">
        <v>0.18902099999999999</v>
      </c>
      <c r="R4466">
        <v>-0.23573630000000001</v>
      </c>
      <c r="S4466">
        <v>3.0603940000000001</v>
      </c>
      <c r="T4466">
        <v>-0.20142779999999999</v>
      </c>
      <c r="U4466">
        <v>-0.51251219999999997</v>
      </c>
      <c r="V4466">
        <v>0.20093140000000001</v>
      </c>
      <c r="W4466">
        <v>0.20297209999999999</v>
      </c>
      <c r="X4466">
        <v>0.95834699999999995</v>
      </c>
      <c r="Y4466">
        <v>0.12962839999999901</v>
      </c>
      <c r="Z4466">
        <v>-3.3004639999999999E-3</v>
      </c>
      <c r="AA4466">
        <v>0.99155709999999997</v>
      </c>
      <c r="AB4466">
        <v>34</v>
      </c>
      <c r="AC4466">
        <v>16.706799999999902</v>
      </c>
      <c r="AD4466">
        <v>-1.1225823829999999</v>
      </c>
      <c r="AE4466">
        <v>-2.8447900000000002</v>
      </c>
      <c r="AF4466">
        <v>2.2377725165715199</v>
      </c>
      <c r="AG4466">
        <v>-1.1225823829999999</v>
      </c>
      <c r="AH4466">
        <v>16.7241884598829</v>
      </c>
      <c r="AI4466">
        <v>93.806299162759004</v>
      </c>
      <c r="AJ4466">
        <v>82.378831119209707</v>
      </c>
      <c r="AK4466">
        <v>16.910538036509202</v>
      </c>
      <c r="AL4466">
        <v>78.2891870299771</v>
      </c>
      <c r="AM4466">
        <v>78.158629764107701</v>
      </c>
      <c r="AN4466">
        <v>1.0000000366466799</v>
      </c>
    </row>
    <row r="4467" spans="1:40" x14ac:dyDescent="0.25">
      <c r="A4467" t="str">
        <f>"20190303162643786"</f>
        <v>20190303162643786</v>
      </c>
      <c r="B4467" t="str">
        <f>"1551601603778211"</f>
        <v>1551601603778211</v>
      </c>
      <c r="C4467" t="s">
        <v>40</v>
      </c>
      <c r="D4467">
        <v>5.6364400000000003</v>
      </c>
      <c r="E4467">
        <v>0.47629139999999998</v>
      </c>
      <c r="F4467" t="s">
        <v>41</v>
      </c>
      <c r="G4467">
        <v>-320.30529999999999</v>
      </c>
      <c r="H4467" s="1">
        <v>-5.5710550000000001E-6</v>
      </c>
      <c r="I4467">
        <v>13.934559999999999</v>
      </c>
      <c r="J4467">
        <v>-337.1019</v>
      </c>
      <c r="K4467">
        <v>1.1226320000000001</v>
      </c>
      <c r="L4467">
        <v>16.764279999999999</v>
      </c>
      <c r="M4467">
        <v>0.99932509999999997</v>
      </c>
      <c r="N4467">
        <v>-1.3823790000000001E-2</v>
      </c>
      <c r="O4467">
        <v>-3.4037440000000002E-2</v>
      </c>
      <c r="P4467">
        <v>0.95347000000000004</v>
      </c>
      <c r="Q4467">
        <v>0.18929850000000001</v>
      </c>
      <c r="R4467">
        <v>-0.23465230000000001</v>
      </c>
      <c r="S4467">
        <v>3.0612789999999999</v>
      </c>
      <c r="T4467">
        <v>-0.20088829999999999</v>
      </c>
      <c r="U4467">
        <v>-0.50808719999999996</v>
      </c>
      <c r="V4467">
        <v>0.20134869999999999</v>
      </c>
      <c r="W4467">
        <v>0.20327049999999999</v>
      </c>
      <c r="X4467">
        <v>0.95819620000000005</v>
      </c>
      <c r="Y4467">
        <v>0.12977060000000001</v>
      </c>
      <c r="Z4467">
        <v>-3.3819140000000002E-3</v>
      </c>
      <c r="AA4467">
        <v>0.99153829999999998</v>
      </c>
      <c r="AB4467">
        <v>34</v>
      </c>
      <c r="AC4467">
        <v>16.796600000000002</v>
      </c>
      <c r="AD4467">
        <v>-1.1226375710550001</v>
      </c>
      <c r="AE4467">
        <v>-2.8297199999999898</v>
      </c>
      <c r="AF4467">
        <v>2.24655336691968</v>
      </c>
      <c r="AG4467">
        <v>-1.1226375710550001</v>
      </c>
      <c r="AH4467">
        <v>16.8101690678537</v>
      </c>
      <c r="AI4467">
        <v>93.787153514308997</v>
      </c>
      <c r="AJ4467">
        <v>82.387951642697303</v>
      </c>
      <c r="AK4467">
        <v>16.996737958684498</v>
      </c>
      <c r="AL4467">
        <v>78.271726442580402</v>
      </c>
      <c r="AM4467">
        <v>78.132919282377799</v>
      </c>
      <c r="AN4467">
        <v>1.00000007642818</v>
      </c>
    </row>
    <row r="4468" spans="1:40" x14ac:dyDescent="0.25">
      <c r="A4468" t="str">
        <f>"20190303162643812"</f>
        <v>20190303162643812</v>
      </c>
      <c r="B4468" t="str">
        <f>"1551601603798707"</f>
        <v>1551601603798707</v>
      </c>
      <c r="C4468" t="s">
        <v>40</v>
      </c>
      <c r="D4468">
        <v>5.6353589999999896</v>
      </c>
      <c r="E4468">
        <v>0.47618749999999999</v>
      </c>
      <c r="F4468" t="s">
        <v>44</v>
      </c>
      <c r="G4468">
        <v>-318.99040000000002</v>
      </c>
      <c r="H4468">
        <v>-0.05</v>
      </c>
      <c r="I4468">
        <v>13.789490000000001</v>
      </c>
      <c r="J4468">
        <v>-336.72910000000002</v>
      </c>
      <c r="K4468">
        <v>1.1226750000000001</v>
      </c>
      <c r="L4468">
        <v>16.75348</v>
      </c>
      <c r="M4468">
        <v>0.99938959999999999</v>
      </c>
      <c r="N4468">
        <v>-1.381806E-2</v>
      </c>
      <c r="O4468">
        <v>-3.2086780000000002E-2</v>
      </c>
      <c r="P4468">
        <v>0.95385869999999995</v>
      </c>
      <c r="Q4468">
        <v>0.18869669999999999</v>
      </c>
      <c r="R4468">
        <v>-0.23355400000000001</v>
      </c>
      <c r="S4468">
        <v>3.0619809999999998</v>
      </c>
      <c r="T4468">
        <v>-0.19824929999999999</v>
      </c>
      <c r="U4468">
        <v>-0.50292970000000004</v>
      </c>
      <c r="V4468">
        <v>0.20209289999999999</v>
      </c>
      <c r="W4468">
        <v>0.2026877</v>
      </c>
      <c r="X4468">
        <v>0.95816290000000004</v>
      </c>
      <c r="Y4468">
        <v>0.13004669999999999</v>
      </c>
      <c r="Z4468">
        <v>-3.4638189999999999E-3</v>
      </c>
      <c r="AA4468">
        <v>0.99150179999999999</v>
      </c>
      <c r="AB4468">
        <v>34</v>
      </c>
      <c r="AC4468">
        <v>17.738699999999898</v>
      </c>
      <c r="AD4468">
        <v>-1.1726749999999999</v>
      </c>
      <c r="AE4468">
        <v>-2.9639899999999999</v>
      </c>
      <c r="AF4468">
        <v>2.3830994302322499</v>
      </c>
      <c r="AG4468">
        <v>-1.1726749999999999</v>
      </c>
      <c r="AH4468">
        <v>17.749215737121599</v>
      </c>
      <c r="AI4468">
        <v>93.746466757423804</v>
      </c>
      <c r="AJ4468">
        <v>82.352911785214104</v>
      </c>
      <c r="AK4468">
        <v>17.946837850520801</v>
      </c>
      <c r="AL4468">
        <v>78.305827333028304</v>
      </c>
      <c r="AM4468">
        <v>78.089905916383799</v>
      </c>
      <c r="AN4468">
        <v>0.99999999344905499</v>
      </c>
    </row>
    <row r="4469" spans="1:40" x14ac:dyDescent="0.25">
      <c r="A4469" t="str">
        <f>"20190303162643834"</f>
        <v>20190303162643834</v>
      </c>
      <c r="B4469" t="str">
        <f>"1551601603827987"</f>
        <v>1551601603827987</v>
      </c>
      <c r="C4469" t="s">
        <v>40</v>
      </c>
      <c r="D4469">
        <v>5.5740109999999996</v>
      </c>
      <c r="E4469">
        <v>0.476136</v>
      </c>
      <c r="F4469" t="s">
        <v>44</v>
      </c>
      <c r="G4469">
        <v>-318.67660000000001</v>
      </c>
      <c r="H4469">
        <v>-0.05</v>
      </c>
      <c r="I4469">
        <v>13.83264</v>
      </c>
      <c r="J4469">
        <v>-336.37900000000002</v>
      </c>
      <c r="K4469">
        <v>1.1227039999999999</v>
      </c>
      <c r="L4469">
        <v>16.744050000000001</v>
      </c>
      <c r="M4469">
        <v>0.99944719999999998</v>
      </c>
      <c r="N4469">
        <v>-1.3812970000000001E-2</v>
      </c>
      <c r="O4469">
        <v>-3.0242519999999998E-2</v>
      </c>
      <c r="P4469">
        <v>0.95405870000000004</v>
      </c>
      <c r="Q4469">
        <v>0.18848309999999999</v>
      </c>
      <c r="R4469">
        <v>-0.23290830000000001</v>
      </c>
      <c r="S4469">
        <v>3.0631409999999999</v>
      </c>
      <c r="T4469">
        <v>-0.1989783</v>
      </c>
      <c r="U4469">
        <v>-0.49560549999999998</v>
      </c>
      <c r="V4469">
        <v>0.2031994</v>
      </c>
      <c r="W4469">
        <v>0.20248650000000001</v>
      </c>
      <c r="X4469">
        <v>0.95797140000000003</v>
      </c>
      <c r="Y4469">
        <v>0.12950410000000001</v>
      </c>
      <c r="Z4469">
        <v>-3.542711E-3</v>
      </c>
      <c r="AA4469">
        <v>0.99157260000000003</v>
      </c>
      <c r="AB4469">
        <v>34</v>
      </c>
      <c r="AC4469">
        <v>17.702400000000001</v>
      </c>
      <c r="AD4469">
        <v>-1.172704</v>
      </c>
      <c r="AE4469">
        <v>-2.9114100000000001</v>
      </c>
      <c r="AF4469">
        <v>2.36455830829743</v>
      </c>
      <c r="AG4469">
        <v>-1.172704</v>
      </c>
      <c r="AH4469">
        <v>17.7066992233298</v>
      </c>
      <c r="AI4469">
        <v>93.755886518454403</v>
      </c>
      <c r="AJ4469">
        <v>82.393704548689797</v>
      </c>
      <c r="AK4469">
        <v>17.902334150898401</v>
      </c>
      <c r="AL4469">
        <v>78.317599316846895</v>
      </c>
      <c r="AM4469">
        <v>78.024248423997904</v>
      </c>
      <c r="AN4469">
        <v>0.99999999103028403</v>
      </c>
    </row>
    <row r="4470" spans="1:40" x14ac:dyDescent="0.25">
      <c r="A4470" t="str">
        <f>"20190303162643855"</f>
        <v>20190303162643855</v>
      </c>
      <c r="B4470" t="str">
        <f>"1551601603848484"</f>
        <v>1551601603848484</v>
      </c>
      <c r="C4470" t="s">
        <v>40</v>
      </c>
      <c r="D4470">
        <v>5.5761830000000003</v>
      </c>
      <c r="E4470">
        <v>0.47620220000000002</v>
      </c>
      <c r="F4470" t="s">
        <v>44</v>
      </c>
      <c r="G4470">
        <v>-318.33659999999998</v>
      </c>
      <c r="H4470">
        <v>-0.05</v>
      </c>
      <c r="I4470">
        <v>13.848269999999999</v>
      </c>
      <c r="J4470">
        <v>-336.06450000000001</v>
      </c>
      <c r="K4470">
        <v>1.1227240000000001</v>
      </c>
      <c r="L4470">
        <v>16.736149999999999</v>
      </c>
      <c r="M4470">
        <v>0.9994961</v>
      </c>
      <c r="N4470">
        <v>-1.380865E-2</v>
      </c>
      <c r="O4470">
        <v>-2.8588780000000001E-2</v>
      </c>
      <c r="P4470">
        <v>0.95443880000000003</v>
      </c>
      <c r="Q4470">
        <v>0.18804699999999999</v>
      </c>
      <c r="R4470">
        <v>-0.23170189999999999</v>
      </c>
      <c r="S4470">
        <v>3.0637509999999999</v>
      </c>
      <c r="T4470">
        <v>-0.19913539999999999</v>
      </c>
      <c r="U4470">
        <v>-0.49172969999999999</v>
      </c>
      <c r="V4470">
        <v>0.20356360000000001</v>
      </c>
      <c r="W4470">
        <v>0.20205780000000001</v>
      </c>
      <c r="X4470">
        <v>0.95798459999999996</v>
      </c>
      <c r="Y4470">
        <v>0.12988759999999999</v>
      </c>
      <c r="Z4470">
        <v>-3.6426449999999999E-3</v>
      </c>
      <c r="AA4470">
        <v>0.99152200000000001</v>
      </c>
      <c r="AB4470">
        <v>34</v>
      </c>
      <c r="AC4470">
        <v>17.727900000000002</v>
      </c>
      <c r="AD4470">
        <v>-1.1727239999999901</v>
      </c>
      <c r="AE4470">
        <v>-2.8878799999999898</v>
      </c>
      <c r="AF4470">
        <v>2.36973026518536</v>
      </c>
      <c r="AG4470">
        <v>-1.1727239999999901</v>
      </c>
      <c r="AH4470">
        <v>17.727650525081401</v>
      </c>
      <c r="AI4470">
        <v>93.751458370265297</v>
      </c>
      <c r="AJ4470">
        <v>82.386165982951795</v>
      </c>
      <c r="AK4470">
        <v>17.923741134298101</v>
      </c>
      <c r="AL4470">
        <v>78.342680494394401</v>
      </c>
      <c r="AM4470">
        <v>78.003565785940594</v>
      </c>
      <c r="AN4470">
        <v>0.99999999381147997</v>
      </c>
    </row>
    <row r="4471" spans="1:40" x14ac:dyDescent="0.25">
      <c r="A4471" t="str">
        <f>"20190303162643877"</f>
        <v>20190303162643877</v>
      </c>
      <c r="B4471" t="str">
        <f>"1551601603868003"</f>
        <v>1551601603868003</v>
      </c>
      <c r="C4471" t="s">
        <v>40</v>
      </c>
      <c r="D4471">
        <v>5.5717910000000002</v>
      </c>
      <c r="E4471">
        <v>0.47629050000000001</v>
      </c>
      <c r="F4471" t="s">
        <v>44</v>
      </c>
      <c r="G4471">
        <v>-318.10289999999998</v>
      </c>
      <c r="H4471">
        <v>-0.05</v>
      </c>
      <c r="I4471">
        <v>13.881270000000001</v>
      </c>
      <c r="J4471">
        <v>-335.72239999999999</v>
      </c>
      <c r="K4471">
        <v>1.1227389999999999</v>
      </c>
      <c r="L4471">
        <v>16.728089999999899</v>
      </c>
      <c r="M4471">
        <v>0.99954549999999998</v>
      </c>
      <c r="N4471">
        <v>-1.3804189999999999E-2</v>
      </c>
      <c r="O4471">
        <v>-2.679898E-2</v>
      </c>
      <c r="P4471">
        <v>0.95463370000000003</v>
      </c>
      <c r="Q4471">
        <v>0.18721560000000001</v>
      </c>
      <c r="R4471">
        <v>-0.23157069999999999</v>
      </c>
      <c r="S4471">
        <v>3.0643919999999998</v>
      </c>
      <c r="T4471">
        <v>-0.20007530000000001</v>
      </c>
      <c r="U4471">
        <v>-0.48706050000000001</v>
      </c>
      <c r="V4471">
        <v>0.20514370000000001</v>
      </c>
      <c r="W4471">
        <v>0.20123260000000001</v>
      </c>
      <c r="X4471">
        <v>0.95782120000000004</v>
      </c>
      <c r="Y4471">
        <v>0.13015199999999999</v>
      </c>
      <c r="Z4471">
        <v>-3.7546939999999998E-3</v>
      </c>
      <c r="AA4471">
        <v>0.99148700000000001</v>
      </c>
      <c r="AB4471">
        <v>34</v>
      </c>
      <c r="AC4471">
        <v>17.619499999999999</v>
      </c>
      <c r="AD4471">
        <v>-1.172739</v>
      </c>
      <c r="AE4471">
        <v>-2.8468199999999899</v>
      </c>
      <c r="AF4471">
        <v>2.3633640960315998</v>
      </c>
      <c r="AG4471">
        <v>-1.172739</v>
      </c>
      <c r="AH4471">
        <v>17.613425346125201</v>
      </c>
      <c r="AI4471">
        <v>93.775514677429896</v>
      </c>
      <c r="AJ4471">
        <v>82.3577158353187</v>
      </c>
      <c r="AK4471">
        <v>17.809928664541602</v>
      </c>
      <c r="AL4471">
        <v>78.390952315024293</v>
      </c>
      <c r="AM4471">
        <v>77.911173934754402</v>
      </c>
      <c r="AN4471">
        <v>0.99999997406094399</v>
      </c>
    </row>
    <row r="4472" spans="1:40" x14ac:dyDescent="0.25">
      <c r="A4472" t="str">
        <f>"20190303162643892"</f>
        <v>20190303162643892</v>
      </c>
      <c r="B4472" t="str">
        <f>"1551601603878739"</f>
        <v>1551601603878739</v>
      </c>
      <c r="C4472" t="s">
        <v>40</v>
      </c>
      <c r="D4472">
        <v>5.570017</v>
      </c>
      <c r="E4472">
        <v>0.4762615</v>
      </c>
      <c r="F4472" t="s">
        <v>44</v>
      </c>
      <c r="G4472">
        <v>-317.94569999999999</v>
      </c>
      <c r="H4472">
        <v>-0.05</v>
      </c>
      <c r="I4472">
        <v>13.91389</v>
      </c>
      <c r="J4472">
        <v>-335.5181</v>
      </c>
      <c r="K4472">
        <v>1.122741</v>
      </c>
      <c r="L4472">
        <v>16.723659999999999</v>
      </c>
      <c r="M4472">
        <v>0.9995735</v>
      </c>
      <c r="N4472">
        <v>-1.380164E-2</v>
      </c>
      <c r="O4472">
        <v>-2.5740160000000002E-2</v>
      </c>
      <c r="P4472">
        <v>0.95469179999999998</v>
      </c>
      <c r="Q4472">
        <v>0.18664020000000001</v>
      </c>
      <c r="R4472">
        <v>-0.23179620000000001</v>
      </c>
      <c r="S4472">
        <v>3.064514</v>
      </c>
      <c r="T4472">
        <v>-0.20216790000000001</v>
      </c>
      <c r="U4472">
        <v>-0.48513790000000001</v>
      </c>
      <c r="V4472">
        <v>0.20638570000000001</v>
      </c>
      <c r="W4472">
        <v>0.20065849999999999</v>
      </c>
      <c r="X4472">
        <v>0.9576749</v>
      </c>
      <c r="Y4472">
        <v>0.13058149999999999</v>
      </c>
      <c r="Z4472">
        <v>-3.8521470000000002E-3</v>
      </c>
      <c r="AA4472">
        <v>0.99143009999999998</v>
      </c>
      <c r="AB4472">
        <v>34</v>
      </c>
      <c r="AC4472">
        <v>17.572399999999998</v>
      </c>
      <c r="AD4472">
        <v>-1.172741</v>
      </c>
      <c r="AE4472">
        <v>-2.8097699999999999</v>
      </c>
      <c r="AF4472">
        <v>2.34628977114241</v>
      </c>
      <c r="AG4472">
        <v>-1.172741</v>
      </c>
      <c r="AH4472">
        <v>17.562634938855901</v>
      </c>
      <c r="AI4472">
        <v>93.786698119012996</v>
      </c>
      <c r="AJ4472">
        <v>82.390595986839301</v>
      </c>
      <c r="AK4472">
        <v>17.7574362771986</v>
      </c>
      <c r="AL4472">
        <v>78.424531662187206</v>
      </c>
      <c r="AM4472">
        <v>77.838354060996707</v>
      </c>
      <c r="AN4472">
        <v>1.0000000524383701</v>
      </c>
    </row>
    <row r="4473" spans="1:40" x14ac:dyDescent="0.25">
      <c r="A4473" t="str">
        <f>"20190303162643906"</f>
        <v>20190303162643906</v>
      </c>
      <c r="B4473" t="str">
        <f>"1551601603898259"</f>
        <v>1551601603898259</v>
      </c>
      <c r="C4473" t="s">
        <v>40</v>
      </c>
      <c r="D4473">
        <v>5.6853590000000001</v>
      </c>
      <c r="E4473">
        <v>0.47622490000000001</v>
      </c>
      <c r="F4473" t="s">
        <v>44</v>
      </c>
      <c r="G4473">
        <v>-317.84739999999999</v>
      </c>
      <c r="H4473">
        <v>-0.05</v>
      </c>
      <c r="I4473">
        <v>13.928649999999999</v>
      </c>
      <c r="J4473">
        <v>-335.30770000000001</v>
      </c>
      <c r="K4473">
        <v>1.1227419999999999</v>
      </c>
      <c r="L4473">
        <v>16.719270000000002</v>
      </c>
      <c r="M4473">
        <v>0.99960079999999996</v>
      </c>
      <c r="N4473">
        <v>-1.379906E-2</v>
      </c>
      <c r="O4473">
        <v>-2.46549E-2</v>
      </c>
      <c r="P4473">
        <v>0.95487739999999999</v>
      </c>
      <c r="Q4473">
        <v>0.18628110000000001</v>
      </c>
      <c r="R4473">
        <v>-0.23131979999999999</v>
      </c>
      <c r="S4473">
        <v>3.0644529999999999</v>
      </c>
      <c r="T4473">
        <v>-0.20337710000000001</v>
      </c>
      <c r="U4473">
        <v>-0.48471069999999999</v>
      </c>
      <c r="V4473">
        <v>0.2069482</v>
      </c>
      <c r="W4473">
        <v>0.20029920000000001</v>
      </c>
      <c r="X4473">
        <v>0.9576287</v>
      </c>
      <c r="Y4473">
        <v>0.131519</v>
      </c>
      <c r="Z4473">
        <v>-3.9613840000000001E-3</v>
      </c>
      <c r="AA4473">
        <v>0.99130569999999896</v>
      </c>
      <c r="AB4473">
        <v>34</v>
      </c>
      <c r="AC4473">
        <v>17.4603</v>
      </c>
      <c r="AD4473">
        <v>-1.172742</v>
      </c>
      <c r="AE4473">
        <v>-2.7906200000000001</v>
      </c>
      <c r="AF4473">
        <v>2.3489159013787599</v>
      </c>
      <c r="AG4473">
        <v>-1.172742</v>
      </c>
      <c r="AH4473">
        <v>17.447052087760301</v>
      </c>
      <c r="AI4473">
        <v>93.811195226294402</v>
      </c>
      <c r="AJ4473">
        <v>82.332311060499094</v>
      </c>
      <c r="AK4473">
        <v>17.6434791428259</v>
      </c>
      <c r="AL4473">
        <v>78.445544342019502</v>
      </c>
      <c r="AM4473">
        <v>77.805627625454505</v>
      </c>
      <c r="AN4473">
        <v>1.0000000270337801</v>
      </c>
    </row>
    <row r="4474" spans="1:40" x14ac:dyDescent="0.25">
      <c r="A4474" t="str">
        <f>"20190303162643922"</f>
        <v>20190303162643922</v>
      </c>
      <c r="B4474" t="str">
        <f>"1551601603908019"</f>
        <v>1551601603908019</v>
      </c>
      <c r="C4474" t="s">
        <v>40</v>
      </c>
      <c r="D4474">
        <v>5.5690600000000003</v>
      </c>
      <c r="E4474">
        <v>0.47626200000000002</v>
      </c>
      <c r="F4474" t="s">
        <v>44</v>
      </c>
      <c r="G4474">
        <v>-317.68369999999999</v>
      </c>
      <c r="H4474">
        <v>-0.05</v>
      </c>
      <c r="I4474">
        <v>13.947570000000001</v>
      </c>
      <c r="J4474">
        <v>-335.0582</v>
      </c>
      <c r="K4474">
        <v>1.1227370000000001</v>
      </c>
      <c r="L4474">
        <v>16.714320000000001</v>
      </c>
      <c r="M4474">
        <v>0.99963159999999895</v>
      </c>
      <c r="N4474">
        <v>-1.379526E-2</v>
      </c>
      <c r="O4474">
        <v>-2.3375839999999998E-2</v>
      </c>
      <c r="P4474">
        <v>0.9547523</v>
      </c>
      <c r="Q4474">
        <v>0.1861226</v>
      </c>
      <c r="R4474">
        <v>-0.2319629</v>
      </c>
      <c r="S4474">
        <v>3.0647890000000002</v>
      </c>
      <c r="T4474">
        <v>-0.20393849999999999</v>
      </c>
      <c r="U4474">
        <v>-0.4819946</v>
      </c>
      <c r="V4474">
        <v>0.20882410000000001</v>
      </c>
      <c r="W4474">
        <v>0.2001385</v>
      </c>
      <c r="X4474">
        <v>0.95725490000000002</v>
      </c>
      <c r="Y4474">
        <v>0.1319091</v>
      </c>
      <c r="Z4474">
        <v>-4.0508100000000002E-3</v>
      </c>
      <c r="AA4474">
        <v>0.99125359999999996</v>
      </c>
      <c r="AB4474">
        <v>34</v>
      </c>
      <c r="AC4474">
        <v>17.374500000000001</v>
      </c>
      <c r="AD4474">
        <v>-1.1727369999999999</v>
      </c>
      <c r="AE4474">
        <v>-2.76675</v>
      </c>
      <c r="AF4474">
        <v>2.3493728075353202</v>
      </c>
      <c r="AG4474">
        <v>-1.1727369999999999</v>
      </c>
      <c r="AH4474">
        <v>17.3573098046223</v>
      </c>
      <c r="AI4474">
        <v>93.830459611368696</v>
      </c>
      <c r="AJ4474">
        <v>82.291661061363897</v>
      </c>
      <c r="AK4474">
        <v>17.5548018591379</v>
      </c>
      <c r="AL4474">
        <v>78.454940974384996</v>
      </c>
      <c r="AM4474">
        <v>77.693784761648999</v>
      </c>
      <c r="AN4474">
        <v>0.99999993374853202</v>
      </c>
    </row>
    <row r="4475" spans="1:40" x14ac:dyDescent="0.25">
      <c r="A4475" t="str">
        <f>"20190303162643935"</f>
        <v>20190303162643935</v>
      </c>
      <c r="B4475" t="str">
        <f>"1551601603928515"</f>
        <v>1551601603928515</v>
      </c>
      <c r="C4475" t="s">
        <v>40</v>
      </c>
      <c r="D4475">
        <v>5.5712599999999997</v>
      </c>
      <c r="E4475">
        <v>0.4763406</v>
      </c>
      <c r="F4475" t="s">
        <v>44</v>
      </c>
      <c r="G4475">
        <v>-317.45159999999998</v>
      </c>
      <c r="H4475">
        <v>-0.05</v>
      </c>
      <c r="I4475">
        <v>13.934679999999901</v>
      </c>
      <c r="J4475">
        <v>-334.85660000000001</v>
      </c>
      <c r="K4475">
        <v>1.1227339999999999</v>
      </c>
      <c r="L4475">
        <v>16.710539999999899</v>
      </c>
      <c r="M4475">
        <v>0.99965510000000002</v>
      </c>
      <c r="N4475">
        <v>-1.379007E-2</v>
      </c>
      <c r="O4475">
        <v>-2.2350109999999999E-2</v>
      </c>
      <c r="P4475">
        <v>0.95484939999999996</v>
      </c>
      <c r="Q4475">
        <v>0.1858012</v>
      </c>
      <c r="R4475">
        <v>-0.23182050000000001</v>
      </c>
      <c r="S4475">
        <v>3.0644230000000001</v>
      </c>
      <c r="T4475">
        <v>-0.2041142</v>
      </c>
      <c r="U4475">
        <v>-0.48379519999999998</v>
      </c>
      <c r="V4475">
        <v>0.20966770000000001</v>
      </c>
      <c r="W4475">
        <v>0.19981099999999999</v>
      </c>
      <c r="X4475">
        <v>0.95713899999999996</v>
      </c>
      <c r="Y4475">
        <v>0.1335065</v>
      </c>
      <c r="Z4475">
        <v>-4.1706E-3</v>
      </c>
      <c r="AA4475">
        <v>0.99103920000000001</v>
      </c>
      <c r="AB4475">
        <v>34</v>
      </c>
      <c r="AC4475">
        <v>17.405000000000001</v>
      </c>
      <c r="AD4475">
        <v>-1.1727339999999999</v>
      </c>
      <c r="AE4475">
        <v>-2.7758600000000002</v>
      </c>
      <c r="AF4475">
        <v>2.37560820217332</v>
      </c>
      <c r="AG4475">
        <v>-1.1727339999999999</v>
      </c>
      <c r="AH4475">
        <v>17.385725722958298</v>
      </c>
      <c r="AI4475">
        <v>93.823552207054902</v>
      </c>
      <c r="AJ4475">
        <v>82.219215912427302</v>
      </c>
      <c r="AK4475">
        <v>17.586423123504201</v>
      </c>
      <c r="AL4475">
        <v>78.474093217435694</v>
      </c>
      <c r="AM4475">
        <v>77.644144273398695</v>
      </c>
      <c r="AN4475">
        <v>1.00000002273264</v>
      </c>
    </row>
    <row r="4476" spans="1:40" x14ac:dyDescent="0.25">
      <c r="A4476" t="str">
        <f>"20190303162643948"</f>
        <v>20190303162643948</v>
      </c>
      <c r="B4476" t="str">
        <f>"1551601603938275"</f>
        <v>1551601603938275</v>
      </c>
      <c r="C4476" t="s">
        <v>40</v>
      </c>
      <c r="D4476">
        <v>5.5193890000000003</v>
      </c>
      <c r="E4476">
        <v>0.47621859999999999</v>
      </c>
      <c r="F4476" t="s">
        <v>44</v>
      </c>
      <c r="G4476">
        <v>-317.29520000000002</v>
      </c>
      <c r="H4476">
        <v>-0.05</v>
      </c>
      <c r="I4476">
        <v>13.9373</v>
      </c>
      <c r="J4476">
        <v>-334.65789999999998</v>
      </c>
      <c r="K4476">
        <v>1.1227259999999999</v>
      </c>
      <c r="L4476">
        <v>16.707059999999998</v>
      </c>
      <c r="M4476">
        <v>0.99967720000000004</v>
      </c>
      <c r="N4476">
        <v>-1.378323E-2</v>
      </c>
      <c r="O4476">
        <v>-2.134728E-2</v>
      </c>
      <c r="P4476">
        <v>0.95500479999999999</v>
      </c>
      <c r="Q4476">
        <v>0.18521869999999999</v>
      </c>
      <c r="R4476">
        <v>-0.23164750000000001</v>
      </c>
      <c r="S4476">
        <v>3.0641780000000001</v>
      </c>
      <c r="T4476">
        <v>-0.2046231</v>
      </c>
      <c r="U4476">
        <v>-0.4838867</v>
      </c>
      <c r="V4476">
        <v>0.2104587</v>
      </c>
      <c r="W4476">
        <v>0.19922139999999999</v>
      </c>
      <c r="X4476">
        <v>0.9570883</v>
      </c>
      <c r="Y4476">
        <v>0.13453609999999999</v>
      </c>
      <c r="Z4476">
        <v>-4.2714770000000001E-3</v>
      </c>
      <c r="AA4476">
        <v>0.99089950000000004</v>
      </c>
      <c r="AB4476">
        <v>34</v>
      </c>
      <c r="AC4476">
        <v>17.362699999999901</v>
      </c>
      <c r="AD4476">
        <v>-1.1727259999999999</v>
      </c>
      <c r="AE4476">
        <v>-2.7697600000000002</v>
      </c>
      <c r="AF4476">
        <v>2.38782410911712</v>
      </c>
      <c r="AG4476">
        <v>-1.1727259999999999</v>
      </c>
      <c r="AH4476">
        <v>17.340729285838101</v>
      </c>
      <c r="AI4476">
        <v>93.832873182902901</v>
      </c>
      <c r="AJ4476">
        <v>82.159658828267794</v>
      </c>
      <c r="AK4476">
        <v>17.543599471370801</v>
      </c>
      <c r="AL4476">
        <v>78.508567934447598</v>
      </c>
      <c r="AM4476">
        <v>77.598333153589294</v>
      </c>
      <c r="AN4476">
        <v>1.0000000223102601</v>
      </c>
    </row>
    <row r="4477" spans="1:40" x14ac:dyDescent="0.25">
      <c r="A4477" t="str">
        <f>"20190303162643967"</f>
        <v>20190303162643967</v>
      </c>
      <c r="B4477" t="str">
        <f>"1551601603958771"</f>
        <v>1551601603958771</v>
      </c>
      <c r="C4477" t="s">
        <v>40</v>
      </c>
      <c r="D4477">
        <v>5.3310789999999999</v>
      </c>
      <c r="E4477">
        <v>0.47621859999999999</v>
      </c>
      <c r="F4477" t="s">
        <v>44</v>
      </c>
      <c r="G4477">
        <v>-317.25389999999999</v>
      </c>
      <c r="H4477">
        <v>-0.05</v>
      </c>
      <c r="I4477">
        <v>13.966799999999999</v>
      </c>
      <c r="J4477">
        <v>-334.3691</v>
      </c>
      <c r="K4477">
        <v>1.122708</v>
      </c>
      <c r="L4477">
        <v>16.70233</v>
      </c>
      <c r="M4477">
        <v>0.99970720000000002</v>
      </c>
      <c r="N4477">
        <v>-1.377221E-2</v>
      </c>
      <c r="O4477">
        <v>-1.9901640000000002E-2</v>
      </c>
      <c r="P4477">
        <v>0.95518689999999995</v>
      </c>
      <c r="Q4477">
        <v>0.18372140000000001</v>
      </c>
      <c r="R4477">
        <v>-0.23208809999999999</v>
      </c>
      <c r="S4477">
        <v>3.064362</v>
      </c>
      <c r="T4477">
        <v>-0.2064841</v>
      </c>
      <c r="U4477">
        <v>-0.48248289999999999</v>
      </c>
      <c r="V4477">
        <v>0.21229400000000001</v>
      </c>
      <c r="W4477">
        <v>0.19771369999999999</v>
      </c>
      <c r="X4477">
        <v>0.95699559999999995</v>
      </c>
      <c r="Y4477">
        <v>0.13550709999999999</v>
      </c>
      <c r="Z4477">
        <v>-4.4140840000000004E-3</v>
      </c>
      <c r="AA4477">
        <v>0.99076649999999999</v>
      </c>
      <c r="AB4477">
        <v>34</v>
      </c>
      <c r="AC4477">
        <v>17.115200000000002</v>
      </c>
      <c r="AD4477">
        <v>-1.1727080000000001</v>
      </c>
      <c r="AE4477">
        <v>-2.7355299999999998</v>
      </c>
      <c r="AF4477">
        <v>2.3834243494871599</v>
      </c>
      <c r="AG4477">
        <v>-1.1727080000000001</v>
      </c>
      <c r="AH4477">
        <v>17.0880299627398</v>
      </c>
      <c r="AI4477">
        <v>93.888384073087707</v>
      </c>
      <c r="AJ4477">
        <v>82.059659037200404</v>
      </c>
      <c r="AK4477">
        <v>17.293256595866598</v>
      </c>
      <c r="AL4477">
        <v>78.596705984540193</v>
      </c>
      <c r="AM4477">
        <v>77.492400014933693</v>
      </c>
      <c r="AN4477">
        <v>1.0000000140115199</v>
      </c>
    </row>
    <row r="4478" spans="1:40" x14ac:dyDescent="0.25">
      <c r="A4478" t="str">
        <f>"20190303162643981"</f>
        <v>20190303162643981</v>
      </c>
      <c r="B4478" t="str">
        <f>"1551601603978291"</f>
        <v>1551601603978291</v>
      </c>
      <c r="C4478" t="s">
        <v>40</v>
      </c>
      <c r="D4478">
        <v>5.2748920000000004</v>
      </c>
      <c r="E4478">
        <v>0.46766289999999999</v>
      </c>
      <c r="F4478" t="s">
        <v>44</v>
      </c>
      <c r="G4478">
        <v>-317.34589999999997</v>
      </c>
      <c r="H4478">
        <v>-0.05</v>
      </c>
      <c r="I4478">
        <v>14.017239999999999</v>
      </c>
      <c r="J4478">
        <v>-334.16829999999999</v>
      </c>
      <c r="K4478">
        <v>1.1226940000000001</v>
      </c>
      <c r="L4478">
        <v>16.699249999999999</v>
      </c>
      <c r="M4478">
        <v>0.99972649999999996</v>
      </c>
      <c r="N4478">
        <v>-1.37643E-2</v>
      </c>
      <c r="O4478">
        <v>-1.8904560000000001E-2</v>
      </c>
      <c r="P4478">
        <v>0.95539070000000004</v>
      </c>
      <c r="Q4478">
        <v>0.18290300000000001</v>
      </c>
      <c r="R4478">
        <v>-0.23189509999999999</v>
      </c>
      <c r="S4478">
        <v>3.0639340000000002</v>
      </c>
      <c r="T4478">
        <v>-0.21107029999999999</v>
      </c>
      <c r="U4478">
        <v>-0.48327639999999999</v>
      </c>
      <c r="V4478">
        <v>0.213061</v>
      </c>
      <c r="W4478">
        <v>0.1968867</v>
      </c>
      <c r="X4478">
        <v>0.95699559999999995</v>
      </c>
      <c r="Y4478">
        <v>0.13674839999999999</v>
      </c>
      <c r="Z4478">
        <v>-4.590312E-3</v>
      </c>
      <c r="AA4478">
        <v>0.99059520000000001</v>
      </c>
      <c r="AB4478">
        <v>34</v>
      </c>
      <c r="AC4478">
        <v>16.822399999999998</v>
      </c>
      <c r="AD4478">
        <v>-1.1726939999999999</v>
      </c>
      <c r="AE4478">
        <v>-2.68201</v>
      </c>
      <c r="AF4478">
        <v>2.3523325492026799</v>
      </c>
      <c r="AG4478">
        <v>-1.1726939999999999</v>
      </c>
      <c r="AH4478">
        <v>16.790528799472501</v>
      </c>
      <c r="AI4478">
        <v>93.956680839803496</v>
      </c>
      <c r="AJ4478">
        <v>82.024838972339793</v>
      </c>
      <c r="AK4478">
        <v>16.995015063411699</v>
      </c>
      <c r="AL4478">
        <v>78.645039182950697</v>
      </c>
      <c r="AM4478">
        <v>77.448640564378394</v>
      </c>
      <c r="AN4478">
        <v>0.99999997038862398</v>
      </c>
    </row>
    <row r="4479" spans="1:40" x14ac:dyDescent="0.25">
      <c r="A4479" t="str">
        <f>"20190303162644000"</f>
        <v>20190303162644000</v>
      </c>
      <c r="B4479" t="str">
        <f>"1551601603988052"</f>
        <v>1551601603988052</v>
      </c>
      <c r="C4479" t="s">
        <v>40</v>
      </c>
      <c r="D4479">
        <v>5.1254569999999999</v>
      </c>
      <c r="E4479">
        <v>0.467997</v>
      </c>
      <c r="F4479" t="s">
        <v>42</v>
      </c>
      <c r="G4479">
        <v>-333.1782</v>
      </c>
      <c r="H4479">
        <v>1.046333</v>
      </c>
      <c r="I4479">
        <v>16.566089999999999</v>
      </c>
      <c r="J4479">
        <v>-333.87079999999997</v>
      </c>
      <c r="K4479">
        <v>1.1226700000000001</v>
      </c>
      <c r="L4479">
        <v>16.695070000000001</v>
      </c>
      <c r="M4479">
        <v>0.99975320000000001</v>
      </c>
      <c r="N4479">
        <v>-1.375286E-2</v>
      </c>
      <c r="O4479">
        <v>-1.744383E-2</v>
      </c>
      <c r="P4479">
        <v>0.95565900000000004</v>
      </c>
      <c r="Q4479">
        <v>0.18038019999999999</v>
      </c>
      <c r="R4479">
        <v>-0.23276450000000001</v>
      </c>
      <c r="S4479">
        <v>3.0849000000000002</v>
      </c>
      <c r="T4479">
        <v>-0.23792469999999999</v>
      </c>
      <c r="U4479">
        <v>-0.41476439999999998</v>
      </c>
      <c r="V4479">
        <v>0.21534329999999999</v>
      </c>
      <c r="W4479">
        <v>0.19435359999999999</v>
      </c>
      <c r="X4479">
        <v>0.95700260000000004</v>
      </c>
      <c r="Y4479">
        <v>0.1155769</v>
      </c>
      <c r="Z4479">
        <v>-4.131928E-3</v>
      </c>
      <c r="AA4479">
        <v>0.99328989999999995</v>
      </c>
      <c r="AB4479">
        <v>34</v>
      </c>
      <c r="AC4479">
        <v>0.69259999999997002</v>
      </c>
      <c r="AD4479">
        <v>-7.6337000000000099E-2</v>
      </c>
      <c r="AE4479">
        <v>-0.12898000000000201</v>
      </c>
      <c r="AF4479">
        <v>0.11552131413056201</v>
      </c>
      <c r="AG4479">
        <v>-7.6337000000000099E-2</v>
      </c>
      <c r="AH4479">
        <v>0.68668248711198399</v>
      </c>
      <c r="AI4479">
        <v>96.256200583038193</v>
      </c>
      <c r="AJ4479">
        <v>80.450490053954496</v>
      </c>
      <c r="AK4479">
        <v>0.70050364002890897</v>
      </c>
      <c r="AL4479">
        <v>78.793035014278004</v>
      </c>
      <c r="AM4479">
        <v>77.318607020044993</v>
      </c>
      <c r="AN4479">
        <v>1.0000000175473001</v>
      </c>
    </row>
    <row r="4480" spans="1:40" x14ac:dyDescent="0.25">
      <c r="A4480" t="str">
        <f>"20190303162644024"</f>
        <v>20190303162644024</v>
      </c>
      <c r="B4480" t="str">
        <f>"1551601604018307"</f>
        <v>1551601604018307</v>
      </c>
      <c r="C4480" t="s">
        <v>40</v>
      </c>
      <c r="D4480">
        <v>5.0425309999999897</v>
      </c>
      <c r="E4480">
        <v>0.4687306</v>
      </c>
      <c r="F4480" t="s">
        <v>42</v>
      </c>
      <c r="G4480">
        <v>-332.87819999999999</v>
      </c>
      <c r="H4480">
        <v>1.0444500000000001</v>
      </c>
      <c r="I4480">
        <v>16.559899999999999</v>
      </c>
      <c r="J4480">
        <v>-333.52929999999998</v>
      </c>
      <c r="K4480">
        <v>1.1226480000000001</v>
      </c>
      <c r="L4480">
        <v>16.690829999999998</v>
      </c>
      <c r="M4480">
        <v>0.99978109999999998</v>
      </c>
      <c r="N4480">
        <v>-1.374064E-2</v>
      </c>
      <c r="O4480">
        <v>-1.5787519999999999E-2</v>
      </c>
      <c r="P4480">
        <v>0.95605359999999995</v>
      </c>
      <c r="Q4480">
        <v>0.17815889999999901</v>
      </c>
      <c r="R4480">
        <v>-0.2328549</v>
      </c>
      <c r="S4480">
        <v>3.0830380000000002</v>
      </c>
      <c r="T4480">
        <v>-0.24299009999999999</v>
      </c>
      <c r="U4480">
        <v>-0.41906739999999998</v>
      </c>
      <c r="V4480">
        <v>0.21703320000000001</v>
      </c>
      <c r="W4480">
        <v>0.1921187</v>
      </c>
      <c r="X4480">
        <v>0.95707209999999998</v>
      </c>
      <c r="Y4480">
        <v>0.1186339</v>
      </c>
      <c r="Z4480">
        <v>-4.4462520000000004E-3</v>
      </c>
      <c r="AA4480">
        <v>0.99292809999999998</v>
      </c>
      <c r="AB4480">
        <v>34</v>
      </c>
      <c r="AC4480">
        <v>0.65109999999998502</v>
      </c>
      <c r="AD4480">
        <v>-7.8197999999999698E-2</v>
      </c>
      <c r="AE4480">
        <v>-0.13092999999999899</v>
      </c>
      <c r="AF4480">
        <v>0.118983895680336</v>
      </c>
      <c r="AG4480">
        <v>-7.8197999999999698E-2</v>
      </c>
      <c r="AH4480">
        <v>0.64415569468155498</v>
      </c>
      <c r="AI4480">
        <v>96.807565226061797</v>
      </c>
      <c r="AJ4480">
        <v>79.534685415994701</v>
      </c>
      <c r="AK4480">
        <v>0.65970345885552695</v>
      </c>
      <c r="AL4480">
        <v>78.923545056183002</v>
      </c>
      <c r="AM4480">
        <v>77.223242477038298</v>
      </c>
      <c r="AN4480">
        <v>1.00000000469516</v>
      </c>
    </row>
    <row r="4481" spans="1:40" x14ac:dyDescent="0.25">
      <c r="A4481" t="str">
        <f>"20190303162644046"</f>
        <v>20190303162644046</v>
      </c>
      <c r="B4481" t="str">
        <f>"1551601604038803"</f>
        <v>1551601604038803</v>
      </c>
      <c r="C4481" t="s">
        <v>40</v>
      </c>
      <c r="D4481">
        <v>4.9170949999999998</v>
      </c>
      <c r="E4481">
        <v>0.46911710000000001</v>
      </c>
      <c r="F4481" t="s">
        <v>42</v>
      </c>
      <c r="G4481">
        <v>-332.57510000000002</v>
      </c>
      <c r="H4481">
        <v>1.0466740000000001</v>
      </c>
      <c r="I4481">
        <v>16.559290000000001</v>
      </c>
      <c r="J4481">
        <v>-333.17520000000002</v>
      </c>
      <c r="K4481">
        <v>1.122627</v>
      </c>
      <c r="L4481">
        <v>16.686979999999998</v>
      </c>
      <c r="M4481">
        <v>0.99980659999999999</v>
      </c>
      <c r="N4481">
        <v>-1.3728590000000001E-2</v>
      </c>
      <c r="O4481">
        <v>-1.4092E-2</v>
      </c>
      <c r="P4481">
        <v>0.95615790000000001</v>
      </c>
      <c r="Q4481">
        <v>0.17788909999999999</v>
      </c>
      <c r="R4481">
        <v>-0.2326329</v>
      </c>
      <c r="S4481">
        <v>3.080139</v>
      </c>
      <c r="T4481">
        <v>-0.24518609999999999</v>
      </c>
      <c r="U4481">
        <v>-0.4248962</v>
      </c>
      <c r="V4481">
        <v>0.21844640000000001</v>
      </c>
      <c r="W4481">
        <v>0.191829</v>
      </c>
      <c r="X4481">
        <v>0.95680860000000001</v>
      </c>
      <c r="Y4481">
        <v>0.1222622</v>
      </c>
      <c r="Z4481">
        <v>-4.7584020000000001E-3</v>
      </c>
      <c r="AA4481">
        <v>0.99248639999999999</v>
      </c>
      <c r="AB4481">
        <v>34</v>
      </c>
      <c r="AC4481">
        <v>0.60009999999999697</v>
      </c>
      <c r="AD4481">
        <v>-7.5953000000000104E-2</v>
      </c>
      <c r="AE4481">
        <v>-0.127689999999997</v>
      </c>
      <c r="AF4481">
        <v>0.117420399282421</v>
      </c>
      <c r="AG4481">
        <v>-7.5953000000000104E-2</v>
      </c>
      <c r="AH4481">
        <v>0.59275576074149205</v>
      </c>
      <c r="AI4481">
        <v>97.164108227206199</v>
      </c>
      <c r="AJ4481">
        <v>78.795200771036704</v>
      </c>
      <c r="AK4481">
        <v>0.60902857097912</v>
      </c>
      <c r="AL4481">
        <v>78.940457570171404</v>
      </c>
      <c r="AM4481">
        <v>77.139380650003801</v>
      </c>
      <c r="AN4481">
        <v>0.99999994597395803</v>
      </c>
    </row>
    <row r="4482" spans="1:40" x14ac:dyDescent="0.25">
      <c r="A4482" t="str">
        <f>"20190303162644068"</f>
        <v>20190303162644068</v>
      </c>
      <c r="B4482" t="str">
        <f>"1551601604058323"</f>
        <v>1551601604058323</v>
      </c>
      <c r="C4482" t="s">
        <v>40</v>
      </c>
      <c r="D4482">
        <v>4.8682699999999999</v>
      </c>
      <c r="E4482">
        <v>0.4726651</v>
      </c>
      <c r="F4482" t="s">
        <v>44</v>
      </c>
      <c r="G4482">
        <v>-318.238</v>
      </c>
      <c r="H4482">
        <v>-0.05</v>
      </c>
      <c r="I4482">
        <v>14.61519</v>
      </c>
      <c r="J4482">
        <v>-332.86340000000001</v>
      </c>
      <c r="K4482">
        <v>1.1226050000000001</v>
      </c>
      <c r="L4482">
        <v>16.684049999999999</v>
      </c>
      <c r="M4482">
        <v>0.99982629999999995</v>
      </c>
      <c r="N4482">
        <v>-1.3716559999999999E-2</v>
      </c>
      <c r="O4482">
        <v>-1.262431E-2</v>
      </c>
      <c r="P4482">
        <v>0.95611380000000001</v>
      </c>
      <c r="Q4482">
        <v>0.17805009999999999</v>
      </c>
      <c r="R4482">
        <v>-0.23268990000000001</v>
      </c>
      <c r="S4482">
        <v>3.0786129999999998</v>
      </c>
      <c r="T4482">
        <v>-0.24168290000000001</v>
      </c>
      <c r="U4482">
        <v>-0.42700199999999999</v>
      </c>
      <c r="V4482">
        <v>0.2199209</v>
      </c>
      <c r="W4482">
        <v>0.191968</v>
      </c>
      <c r="X4482">
        <v>0.95644300000000004</v>
      </c>
      <c r="Y4482">
        <v>0.1244511</v>
      </c>
      <c r="Z4482">
        <v>-4.901018E-3</v>
      </c>
      <c r="AA4482">
        <v>0.99221369999999998</v>
      </c>
      <c r="AB4482">
        <v>34</v>
      </c>
      <c r="AC4482">
        <v>14.625400000000001</v>
      </c>
      <c r="AD4482">
        <v>-1.1726049999999999</v>
      </c>
      <c r="AE4482">
        <v>-2.0688599999999902</v>
      </c>
      <c r="AF4482">
        <v>1.87224314424698</v>
      </c>
      <c r="AG4482">
        <v>-1.1726049999999999</v>
      </c>
      <c r="AH4482">
        <v>14.5586052515589</v>
      </c>
      <c r="AI4482">
        <v>94.567425470583601</v>
      </c>
      <c r="AJ4482">
        <v>82.671957745107605</v>
      </c>
      <c r="AK4482">
        <v>14.725260057055801</v>
      </c>
      <c r="AL4482">
        <v>78.932343958686502</v>
      </c>
      <c r="AM4482">
        <v>77.050705579480095</v>
      </c>
      <c r="AN4482">
        <v>1.0000000637649</v>
      </c>
    </row>
    <row r="4483" spans="1:40" x14ac:dyDescent="0.25">
      <c r="A4483" t="str">
        <f>"20190303162644080"</f>
        <v>20190303162644080</v>
      </c>
      <c r="B4483" t="str">
        <f>"1551601604068084"</f>
        <v>1551601604068084</v>
      </c>
      <c r="C4483" t="s">
        <v>40</v>
      </c>
      <c r="D4483">
        <v>4.8287959999999996</v>
      </c>
      <c r="E4483">
        <v>0.47276469999999998</v>
      </c>
      <c r="F4483" t="s">
        <v>44</v>
      </c>
      <c r="G4483">
        <v>-315.00979999999998</v>
      </c>
      <c r="H4483">
        <v>-0.05</v>
      </c>
      <c r="I4483">
        <v>14.029540000000001</v>
      </c>
      <c r="J4483">
        <v>-332.67410000000001</v>
      </c>
      <c r="K4483">
        <v>1.1225810000000001</v>
      </c>
      <c r="L4483">
        <v>16.682459999999999</v>
      </c>
      <c r="M4483">
        <v>0.99983699999999998</v>
      </c>
      <c r="N4483">
        <v>-1.370762E-2</v>
      </c>
      <c r="O4483">
        <v>-1.1746629999999999E-2</v>
      </c>
      <c r="P4483">
        <v>0.95631359999999999</v>
      </c>
      <c r="Q4483">
        <v>0.1777436</v>
      </c>
      <c r="R4483">
        <v>-0.2321029</v>
      </c>
      <c r="S4483">
        <v>3.0642399999999999</v>
      </c>
      <c r="T4483">
        <v>-0.2012552</v>
      </c>
      <c r="U4483">
        <v>-0.45559690000000003</v>
      </c>
      <c r="V4483">
        <v>0.2201814</v>
      </c>
      <c r="W4483">
        <v>0.19164600000000001</v>
      </c>
      <c r="X4483">
        <v>0.95644759999999995</v>
      </c>
      <c r="Y4483">
        <v>0.13510529999999901</v>
      </c>
      <c r="Z4483">
        <v>-4.7338759999999997E-3</v>
      </c>
      <c r="AA4483">
        <v>0.99081989999999998</v>
      </c>
      <c r="AB4483">
        <v>34</v>
      </c>
      <c r="AC4483">
        <v>17.664300000000001</v>
      </c>
      <c r="AD4483">
        <v>-1.1725809999999901</v>
      </c>
      <c r="AE4483">
        <v>-2.6529199999999999</v>
      </c>
      <c r="AF4483">
        <v>2.4347294679186202</v>
      </c>
      <c r="AG4483">
        <v>-1.1725809999999901</v>
      </c>
      <c r="AH4483">
        <v>17.618324340872501</v>
      </c>
      <c r="AI4483">
        <v>93.771942090679602</v>
      </c>
      <c r="AJ4483">
        <v>82.131956738485201</v>
      </c>
      <c r="AK4483">
        <v>17.824371135153498</v>
      </c>
      <c r="AL4483">
        <v>78.951141797421101</v>
      </c>
      <c r="AM4483">
        <v>77.035945066161901</v>
      </c>
      <c r="AN4483">
        <v>1.0000000248838501</v>
      </c>
    </row>
    <row r="4484" spans="1:40" x14ac:dyDescent="0.25">
      <c r="A4484" t="str">
        <f>"20190303162644093"</f>
        <v>20190303162644093</v>
      </c>
      <c r="B4484" t="str">
        <f>"1551601604088579"</f>
        <v>1551601604088579</v>
      </c>
      <c r="C4484" t="s">
        <v>40</v>
      </c>
      <c r="D4484">
        <v>4.797688</v>
      </c>
      <c r="E4484">
        <v>0.47350039999999999</v>
      </c>
      <c r="F4484" t="s">
        <v>44</v>
      </c>
      <c r="G4484">
        <v>-314.71600000000001</v>
      </c>
      <c r="H4484">
        <v>-0.05</v>
      </c>
      <c r="I4484">
        <v>14.019299999999999</v>
      </c>
      <c r="J4484">
        <v>-332.46690000000001</v>
      </c>
      <c r="K4484">
        <v>1.122555</v>
      </c>
      <c r="L4484">
        <v>16.680969999999999</v>
      </c>
      <c r="M4484">
        <v>0.99984779999999995</v>
      </c>
      <c r="N4484">
        <v>-1.36962E-2</v>
      </c>
      <c r="O4484">
        <v>-1.0808460000000001E-2</v>
      </c>
      <c r="P4484">
        <v>0.95663520000000002</v>
      </c>
      <c r="Q4484">
        <v>0.17698749999999999</v>
      </c>
      <c r="R4484">
        <v>-0.23135430000000001</v>
      </c>
      <c r="S4484">
        <v>3.0639340000000002</v>
      </c>
      <c r="T4484">
        <v>-0.20006070000000001</v>
      </c>
      <c r="U4484">
        <v>-0.45437620000000001</v>
      </c>
      <c r="V4484">
        <v>0.2203416</v>
      </c>
      <c r="W4484">
        <v>0.19086910000000001</v>
      </c>
      <c r="X4484">
        <v>0.95656600000000003</v>
      </c>
      <c r="Y4484">
        <v>0.135663899999999</v>
      </c>
      <c r="Z4484">
        <v>-4.781853E-3</v>
      </c>
      <c r="AA4484">
        <v>0.99074340000000005</v>
      </c>
      <c r="AB4484">
        <v>34</v>
      </c>
      <c r="AC4484">
        <v>17.750900000000001</v>
      </c>
      <c r="AD4484">
        <v>-1.172555</v>
      </c>
      <c r="AE4484">
        <v>-2.66167</v>
      </c>
      <c r="AF4484">
        <v>2.4591423195725102</v>
      </c>
      <c r="AG4484">
        <v>-1.172555</v>
      </c>
      <c r="AH4484">
        <v>17.7030869841936</v>
      </c>
      <c r="AI4484">
        <v>93.753485738224398</v>
      </c>
      <c r="AJ4484">
        <v>82.091629954356407</v>
      </c>
      <c r="AK4484">
        <v>17.9114922590459</v>
      </c>
      <c r="AL4484">
        <v>78.996491483735198</v>
      </c>
      <c r="AM4484">
        <v>77.028383097478596</v>
      </c>
      <c r="AN4484">
        <v>0.99999997319068401</v>
      </c>
    </row>
    <row r="4485" spans="1:40" x14ac:dyDescent="0.25">
      <c r="A4485" t="str">
        <f>"20190303162644112"</f>
        <v>20190303162644112</v>
      </c>
      <c r="B4485" t="str">
        <f>"1551601604108100"</f>
        <v>1551601604108100</v>
      </c>
      <c r="C4485" t="s">
        <v>40</v>
      </c>
      <c r="D4485">
        <v>4.7644780000000004</v>
      </c>
      <c r="E4485">
        <v>0.47404380000000002</v>
      </c>
      <c r="F4485" t="s">
        <v>44</v>
      </c>
      <c r="G4485">
        <v>-314.89640000000003</v>
      </c>
      <c r="H4485">
        <v>-0.05</v>
      </c>
      <c r="I4485">
        <v>14.056990000000001</v>
      </c>
      <c r="J4485">
        <v>-332.19940000000003</v>
      </c>
      <c r="K4485">
        <v>1.122509</v>
      </c>
      <c r="L4485">
        <v>16.67923</v>
      </c>
      <c r="M4485">
        <v>0.99985999999999997</v>
      </c>
      <c r="N4485">
        <v>-1.3680889999999999E-2</v>
      </c>
      <c r="O4485">
        <v>-9.633005E-3</v>
      </c>
      <c r="P4485">
        <v>0.95703720000000003</v>
      </c>
      <c r="Q4485">
        <v>0.1754579</v>
      </c>
      <c r="R4485">
        <v>-0.2308567</v>
      </c>
      <c r="S4485">
        <v>3.063202</v>
      </c>
      <c r="T4485">
        <v>-0.20442099999999999</v>
      </c>
      <c r="U4485">
        <v>-0.45745849999999999</v>
      </c>
      <c r="V4485">
        <v>0.22098950000000001</v>
      </c>
      <c r="W4485">
        <v>0.1893097</v>
      </c>
      <c r="X4485">
        <v>0.95672639999999998</v>
      </c>
      <c r="Y4485">
        <v>0.13781769999999999</v>
      </c>
      <c r="Z4485">
        <v>-5.009945E-3</v>
      </c>
      <c r="AA4485">
        <v>0.99044500000000002</v>
      </c>
      <c r="AB4485">
        <v>34</v>
      </c>
      <c r="AC4485">
        <v>17.302999999999901</v>
      </c>
      <c r="AD4485">
        <v>-1.172509</v>
      </c>
      <c r="AE4485">
        <v>-2.6222400000000001</v>
      </c>
      <c r="AF4485">
        <v>2.4444502308547098</v>
      </c>
      <c r="AG4485">
        <v>-1.172509</v>
      </c>
      <c r="AH4485">
        <v>17.2500279129417</v>
      </c>
      <c r="AI4485">
        <v>93.850147169477907</v>
      </c>
      <c r="AJ4485">
        <v>81.934486673065393</v>
      </c>
      <c r="AK4485">
        <v>17.4617747460983</v>
      </c>
      <c r="AL4485">
        <v>79.087497762212095</v>
      </c>
      <c r="AM4485">
        <v>76.993643190875105</v>
      </c>
      <c r="AN4485">
        <v>0.99999996304064898</v>
      </c>
    </row>
    <row r="4486" spans="1:40" x14ac:dyDescent="0.25">
      <c r="A4486" t="str">
        <f>"20190303162644125"</f>
        <v>20190303162644125</v>
      </c>
      <c r="B4486" t="str">
        <f>"1551601604118836"</f>
        <v>1551601604118836</v>
      </c>
      <c r="C4486" t="s">
        <v>40</v>
      </c>
      <c r="D4486">
        <v>4.703862</v>
      </c>
      <c r="E4486">
        <v>0.47433320000000001</v>
      </c>
      <c r="F4486" t="s">
        <v>44</v>
      </c>
      <c r="G4486">
        <v>-314.81389999999999</v>
      </c>
      <c r="H4486">
        <v>-0.05</v>
      </c>
      <c r="I4486">
        <v>14.06781</v>
      </c>
      <c r="J4486">
        <v>-332.00130000000001</v>
      </c>
      <c r="K4486">
        <v>1.122471</v>
      </c>
      <c r="L4486">
        <v>16.678159999999998</v>
      </c>
      <c r="M4486">
        <v>0.99986799999999998</v>
      </c>
      <c r="N4486">
        <v>-1.366971E-2</v>
      </c>
      <c r="O4486">
        <v>-8.7930969999999997E-3</v>
      </c>
      <c r="P4486">
        <v>0.95732130000000004</v>
      </c>
      <c r="Q4486">
        <v>0.1745092</v>
      </c>
      <c r="R4486">
        <v>-0.2303974</v>
      </c>
      <c r="S4486">
        <v>3.0615839999999999</v>
      </c>
      <c r="T4486">
        <v>-0.2064793</v>
      </c>
      <c r="U4486">
        <v>-0.45986939999999998</v>
      </c>
      <c r="V4486">
        <v>0.22135189999999999</v>
      </c>
      <c r="W4486">
        <v>0.1883348</v>
      </c>
      <c r="X4486">
        <v>0.95683510000000005</v>
      </c>
      <c r="Y4486">
        <v>0.1394765</v>
      </c>
      <c r="Z4486">
        <v>-5.1622669999999999E-3</v>
      </c>
      <c r="AA4486">
        <v>0.99021190000000003</v>
      </c>
      <c r="AB4486">
        <v>34</v>
      </c>
      <c r="AC4486">
        <v>17.1874</v>
      </c>
      <c r="AD4486">
        <v>-1.17247099999999</v>
      </c>
      <c r="AE4486">
        <v>-2.6103499999999999</v>
      </c>
      <c r="AF4486">
        <v>2.4479695877632999</v>
      </c>
      <c r="AG4486">
        <v>-1.17247099999999</v>
      </c>
      <c r="AH4486">
        <v>17.1317646488767</v>
      </c>
      <c r="AI4486">
        <v>93.875881350543295</v>
      </c>
      <c r="AJ4486">
        <v>81.868014261945305</v>
      </c>
      <c r="AK4486">
        <v>17.3454490669154</v>
      </c>
      <c r="AL4486">
        <v>79.1443794221491</v>
      </c>
      <c r="AM4486">
        <v>76.974470480867694</v>
      </c>
      <c r="AN4486">
        <v>1.00000003455832</v>
      </c>
    </row>
    <row r="4487" spans="1:40" x14ac:dyDescent="0.25">
      <c r="A4487" t="str">
        <f>"20190303162644137"</f>
        <v>20190303162644137</v>
      </c>
      <c r="B4487" t="str">
        <f>"1551601604128596"</f>
        <v>1551601604128596</v>
      </c>
      <c r="C4487" t="s">
        <v>40</v>
      </c>
      <c r="D4487">
        <v>4.7112109999999996</v>
      </c>
      <c r="E4487">
        <v>0.4746841</v>
      </c>
      <c r="F4487" t="s">
        <v>44</v>
      </c>
      <c r="G4487">
        <v>-314.8175</v>
      </c>
      <c r="H4487">
        <v>-0.05</v>
      </c>
      <c r="I4487">
        <v>14.094010000000001</v>
      </c>
      <c r="J4487">
        <v>-331.80869999999999</v>
      </c>
      <c r="K4487">
        <v>1.12242999999999</v>
      </c>
      <c r="L4487">
        <v>16.677219999999998</v>
      </c>
      <c r="M4487">
        <v>0.99987470000000001</v>
      </c>
      <c r="N4487">
        <v>-1.365913E-2</v>
      </c>
      <c r="O4487">
        <v>-7.9975819999999996E-3</v>
      </c>
      <c r="P4487">
        <v>0.95748219999999995</v>
      </c>
      <c r="Q4487">
        <v>0.1741568</v>
      </c>
      <c r="R4487">
        <v>-0.22999459999999999</v>
      </c>
      <c r="S4487">
        <v>3.0610050000000002</v>
      </c>
      <c r="T4487">
        <v>-0.20885670000000001</v>
      </c>
      <c r="U4487">
        <v>-0.46032709999999999</v>
      </c>
      <c r="V4487">
        <v>0.22172890000000001</v>
      </c>
      <c r="W4487">
        <v>0.1879536</v>
      </c>
      <c r="X4487">
        <v>0.95682279999999997</v>
      </c>
      <c r="Y4487">
        <v>0.1404252</v>
      </c>
      <c r="Z4487">
        <v>-5.2908649999999996E-3</v>
      </c>
      <c r="AA4487">
        <v>0.99007710000000004</v>
      </c>
      <c r="AB4487">
        <v>34</v>
      </c>
      <c r="AC4487">
        <v>16.9911999999999</v>
      </c>
      <c r="AD4487">
        <v>-1.1724300000000001</v>
      </c>
      <c r="AE4487">
        <v>-2.5832099999999998</v>
      </c>
      <c r="AF4487">
        <v>2.4358901821741199</v>
      </c>
      <c r="AG4487">
        <v>-1.1724300000000001</v>
      </c>
      <c r="AH4487">
        <v>16.932518381289999</v>
      </c>
      <c r="AI4487">
        <v>93.9206794257165</v>
      </c>
      <c r="AJ4487">
        <v>81.813667919089696</v>
      </c>
      <c r="AK4487">
        <v>17.146962757795801</v>
      </c>
      <c r="AL4487">
        <v>79.166618058851299</v>
      </c>
      <c r="AM4487">
        <v>76.952882173424499</v>
      </c>
      <c r="AN4487">
        <v>1.000000065724</v>
      </c>
    </row>
    <row r="4488" spans="1:40" x14ac:dyDescent="0.25">
      <c r="A4488" t="str">
        <f>"20190303162644150"</f>
        <v>20190303162644150</v>
      </c>
      <c r="B4488" t="str">
        <f>"1551601604138355"</f>
        <v>1551601604138355</v>
      </c>
      <c r="C4488" t="s">
        <v>40</v>
      </c>
      <c r="D4488">
        <v>4.6889200000000004</v>
      </c>
      <c r="E4488">
        <v>0.47477320000000001</v>
      </c>
      <c r="F4488" t="s">
        <v>44</v>
      </c>
      <c r="G4488">
        <v>-314.74540000000002</v>
      </c>
      <c r="H4488">
        <v>-0.05</v>
      </c>
      <c r="I4488">
        <v>14.10432</v>
      </c>
      <c r="J4488">
        <v>-331.63</v>
      </c>
      <c r="K4488">
        <v>1.1223879999999999</v>
      </c>
      <c r="L4488">
        <v>16.676479999999898</v>
      </c>
      <c r="M4488">
        <v>0.9998802</v>
      </c>
      <c r="N4488">
        <v>-1.364976E-2</v>
      </c>
      <c r="O4488">
        <v>-7.3023790000000003E-3</v>
      </c>
      <c r="P4488">
        <v>0.9575285</v>
      </c>
      <c r="Q4488">
        <v>0.17377519999999999</v>
      </c>
      <c r="R4488">
        <v>-0.23008999999999999</v>
      </c>
      <c r="S4488">
        <v>3.0605769999999999</v>
      </c>
      <c r="T4488">
        <v>-0.2102938</v>
      </c>
      <c r="U4488">
        <v>-0.46148679999999997</v>
      </c>
      <c r="V4488">
        <v>0.22251099999999999</v>
      </c>
      <c r="W4488">
        <v>0.1875424</v>
      </c>
      <c r="X4488">
        <v>0.95672179999999996</v>
      </c>
      <c r="Y4488">
        <v>0.141491899999999</v>
      </c>
      <c r="Z4488">
        <v>-5.4013129999999996E-3</v>
      </c>
      <c r="AA4488">
        <v>0.98992469999999999</v>
      </c>
      <c r="AB4488">
        <v>34</v>
      </c>
      <c r="AC4488">
        <v>16.884599999999899</v>
      </c>
      <c r="AD4488">
        <v>-1.172388</v>
      </c>
      <c r="AE4488">
        <v>-2.57215999999999</v>
      </c>
      <c r="AF4488">
        <v>2.4372978246750399</v>
      </c>
      <c r="AG4488">
        <v>-1.172388</v>
      </c>
      <c r="AH4488">
        <v>16.823662634764901</v>
      </c>
      <c r="AI4488">
        <v>93.945262705130503</v>
      </c>
      <c r="AJ4488">
        <v>81.756728457135296</v>
      </c>
      <c r="AK4488">
        <v>17.039675429922202</v>
      </c>
      <c r="AL4488">
        <v>79.190603361004506</v>
      </c>
      <c r="AM4488">
        <v>76.907109376237699</v>
      </c>
      <c r="AN4488">
        <v>0.99999994975699802</v>
      </c>
    </row>
    <row r="4489" spans="1:40" x14ac:dyDescent="0.25">
      <c r="A4489" t="str">
        <f>"20190303162644167"</f>
        <v>20190303162644167</v>
      </c>
      <c r="B4489" t="str">
        <f>"1551601604157875"</f>
        <v>1551601604157875</v>
      </c>
      <c r="C4489" t="s">
        <v>40</v>
      </c>
      <c r="D4489">
        <v>4.6773319999999998</v>
      </c>
      <c r="E4489">
        <v>0.47501900000000002</v>
      </c>
      <c r="F4489" t="s">
        <v>44</v>
      </c>
      <c r="G4489">
        <v>-314.67009999999999</v>
      </c>
      <c r="H4489">
        <v>-0.05</v>
      </c>
      <c r="I4489">
        <v>14.116899999999999</v>
      </c>
      <c r="J4489">
        <v>-331.3657</v>
      </c>
      <c r="K4489">
        <v>1.122317</v>
      </c>
      <c r="L4489">
        <v>16.675509999999999</v>
      </c>
      <c r="M4489">
        <v>0.99988699999999997</v>
      </c>
      <c r="N4489">
        <v>-1.363635E-2</v>
      </c>
      <c r="O4489">
        <v>-6.3164969999999999E-3</v>
      </c>
      <c r="P4489">
        <v>0.95755259999999998</v>
      </c>
      <c r="Q4489">
        <v>0.17288529999999999</v>
      </c>
      <c r="R4489">
        <v>-0.2306597</v>
      </c>
      <c r="S4489">
        <v>3.0604550000000001</v>
      </c>
      <c r="T4489">
        <v>-0.21156059999999999</v>
      </c>
      <c r="U4489">
        <v>-0.4618835</v>
      </c>
      <c r="V4489">
        <v>0.22405839999999999</v>
      </c>
      <c r="W4489">
        <v>0.18660550000000001</v>
      </c>
      <c r="X4489">
        <v>0.9565439</v>
      </c>
      <c r="Y4489">
        <v>0.14259050000000001</v>
      </c>
      <c r="Z4489">
        <v>-5.5259979999999998E-3</v>
      </c>
      <c r="AA4489">
        <v>0.98976640000000005</v>
      </c>
      <c r="AB4489">
        <v>34</v>
      </c>
      <c r="AC4489">
        <v>16.695599999999999</v>
      </c>
      <c r="AD4489">
        <v>-1.1723170000000001</v>
      </c>
      <c r="AE4489">
        <v>-2.5586099999999998</v>
      </c>
      <c r="AF4489">
        <v>2.44133078872752</v>
      </c>
      <c r="AG4489">
        <v>-1.1723170000000001</v>
      </c>
      <c r="AH4489">
        <v>16.631311705059499</v>
      </c>
      <c r="AI4489">
        <v>93.989415235356205</v>
      </c>
      <c r="AJ4489">
        <v>81.649121585048405</v>
      </c>
      <c r="AK4489">
        <v>16.850369497412501</v>
      </c>
      <c r="AL4489">
        <v>79.245249107545007</v>
      </c>
      <c r="AM4489">
        <v>76.816860399218996</v>
      </c>
      <c r="AN4489">
        <v>1.00000000593401</v>
      </c>
    </row>
    <row r="4490" spans="1:40" x14ac:dyDescent="0.25">
      <c r="A4490" t="str">
        <f>"20190303162644179"</f>
        <v>20190303162644179</v>
      </c>
      <c r="B4490" t="str">
        <f>"1551601604168612"</f>
        <v>1551601604168612</v>
      </c>
      <c r="C4490" t="s">
        <v>40</v>
      </c>
      <c r="D4490">
        <v>4.6654949999999999</v>
      </c>
      <c r="E4490">
        <v>0.475132</v>
      </c>
      <c r="F4490" t="s">
        <v>44</v>
      </c>
      <c r="G4490">
        <v>-314.62169999999998</v>
      </c>
      <c r="H4490">
        <v>-0.05</v>
      </c>
      <c r="I4490">
        <v>14.135669999999999</v>
      </c>
      <c r="J4490">
        <v>-331.18619999999999</v>
      </c>
      <c r="K4490">
        <v>1.1222700000000001</v>
      </c>
      <c r="L4490">
        <v>16.674959999999999</v>
      </c>
      <c r="M4490">
        <v>0.99989099999999997</v>
      </c>
      <c r="N4490">
        <v>-1.362758E-2</v>
      </c>
      <c r="O4490">
        <v>-5.677896E-3</v>
      </c>
      <c r="P4490">
        <v>0.95769009999999999</v>
      </c>
      <c r="Q4490">
        <v>0.17188239999999999</v>
      </c>
      <c r="R4490">
        <v>-0.23083819999999999</v>
      </c>
      <c r="S4490">
        <v>3.0598749999999999</v>
      </c>
      <c r="T4490">
        <v>-0.2142355</v>
      </c>
      <c r="U4490">
        <v>-0.46414179999999999</v>
      </c>
      <c r="V4490">
        <v>0.22487289999999999</v>
      </c>
      <c r="W4490">
        <v>0.18557100000000001</v>
      </c>
      <c r="X4490">
        <v>0.95655400000000002</v>
      </c>
      <c r="Y4490">
        <v>0.14395039999999901</v>
      </c>
      <c r="Z4490">
        <v>-5.67462E-3</v>
      </c>
      <c r="AA4490">
        <v>0.98956869999999997</v>
      </c>
      <c r="AB4490">
        <v>34</v>
      </c>
      <c r="AC4490">
        <v>16.564499999999999</v>
      </c>
      <c r="AD4490">
        <v>-1.1722699999999999</v>
      </c>
      <c r="AE4490">
        <v>-2.5392899999999998</v>
      </c>
      <c r="AF4490">
        <v>2.4332817929607602</v>
      </c>
      <c r="AG4490">
        <v>-1.1722699999999999</v>
      </c>
      <c r="AH4490">
        <v>16.4979211636896</v>
      </c>
      <c r="AI4490">
        <v>94.021001238312607</v>
      </c>
      <c r="AJ4490">
        <v>81.609922187071206</v>
      </c>
      <c r="AK4490">
        <v>16.717550058551399</v>
      </c>
      <c r="AL4490">
        <v>79.305575094743503</v>
      </c>
      <c r="AM4490">
        <v>76.770754000980006</v>
      </c>
      <c r="AN4490">
        <v>0.99999998605570495</v>
      </c>
    </row>
    <row r="4491" spans="1:40" x14ac:dyDescent="0.25">
      <c r="A4491" t="str">
        <f>"20190303162644191"</f>
        <v>20190303162644191</v>
      </c>
      <c r="B4491" t="str">
        <f>"1551601604188132"</f>
        <v>1551601604188132</v>
      </c>
      <c r="C4491" t="s">
        <v>40</v>
      </c>
      <c r="D4491">
        <v>4.6641500000000002</v>
      </c>
      <c r="E4491">
        <v>0.47547060000000002</v>
      </c>
      <c r="F4491" t="s">
        <v>44</v>
      </c>
      <c r="G4491">
        <v>-314.7045</v>
      </c>
      <c r="H4491">
        <v>-0.05</v>
      </c>
      <c r="I4491">
        <v>14.17102</v>
      </c>
      <c r="J4491">
        <v>-331.00220000000002</v>
      </c>
      <c r="K4491">
        <v>1.1222179999999999</v>
      </c>
      <c r="L4491">
        <v>16.674529999999901</v>
      </c>
      <c r="M4491">
        <v>0.99989439999999996</v>
      </c>
      <c r="N4491">
        <v>-1.361915E-2</v>
      </c>
      <c r="O4491">
        <v>-5.0709329999999997E-3</v>
      </c>
      <c r="P4491">
        <v>0.95777009999999996</v>
      </c>
      <c r="Q4491">
        <v>0.1713886</v>
      </c>
      <c r="R4491">
        <v>-0.23087369999999999</v>
      </c>
      <c r="S4491">
        <v>3.0595699999999999</v>
      </c>
      <c r="T4491">
        <v>-0.2176129</v>
      </c>
      <c r="U4491">
        <v>-0.46481319999999998</v>
      </c>
      <c r="V4491">
        <v>0.2255143</v>
      </c>
      <c r="W4491">
        <v>0.1850425</v>
      </c>
      <c r="X4491">
        <v>0.95650539999999995</v>
      </c>
      <c r="Y4491">
        <v>0.1447628</v>
      </c>
      <c r="Z4491">
        <v>-5.8158059999999998E-3</v>
      </c>
      <c r="AA4491">
        <v>0.98944929999999998</v>
      </c>
      <c r="AB4491">
        <v>34</v>
      </c>
      <c r="AC4491">
        <v>16.297699999999999</v>
      </c>
      <c r="AD4491">
        <v>-1.172218</v>
      </c>
      <c r="AE4491">
        <v>-2.5035099999999901</v>
      </c>
      <c r="AF4491">
        <v>2.4086522632416698</v>
      </c>
      <c r="AG4491">
        <v>-1.172218</v>
      </c>
      <c r="AH4491">
        <v>16.228169531079001</v>
      </c>
      <c r="AI4491">
        <v>94.086883821760594</v>
      </c>
      <c r="AJ4491">
        <v>81.557557499607697</v>
      </c>
      <c r="AK4491">
        <v>16.447771493250499</v>
      </c>
      <c r="AL4491">
        <v>79.3363897856443</v>
      </c>
      <c r="AM4491">
        <v>76.733702634509996</v>
      </c>
      <c r="AN4491">
        <v>1.0000000032699401</v>
      </c>
    </row>
    <row r="4492" spans="1:40" x14ac:dyDescent="0.25">
      <c r="A4492" t="str">
        <f>"20190303162644206"</f>
        <v>20190303162644206</v>
      </c>
      <c r="B4492" t="str">
        <f>"1551601604197891"</f>
        <v>1551601604197891</v>
      </c>
      <c r="C4492" t="s">
        <v>40</v>
      </c>
      <c r="D4492">
        <v>4.6262819999999998</v>
      </c>
      <c r="E4492">
        <v>0.47567939999999997</v>
      </c>
      <c r="F4492" t="s">
        <v>44</v>
      </c>
      <c r="G4492">
        <v>-314.5378</v>
      </c>
      <c r="H4492">
        <v>-0.05</v>
      </c>
      <c r="I4492">
        <v>14.160679999999999</v>
      </c>
      <c r="J4492">
        <v>-330.79169999999999</v>
      </c>
      <c r="K4492">
        <v>1.12216</v>
      </c>
      <c r="L4492">
        <v>16.674129999999899</v>
      </c>
      <c r="M4492">
        <v>0.9998977</v>
      </c>
      <c r="N4492">
        <v>-1.360985E-2</v>
      </c>
      <c r="O4492">
        <v>-4.4116249999999997E-3</v>
      </c>
      <c r="P4492">
        <v>0.95782639999999997</v>
      </c>
      <c r="Q4492">
        <v>0.17093340000000001</v>
      </c>
      <c r="R4492">
        <v>-0.23097760000000001</v>
      </c>
      <c r="S4492">
        <v>3.0586549999999999</v>
      </c>
      <c r="T4492">
        <v>-0.21776719999999999</v>
      </c>
      <c r="U4492">
        <v>-0.4670105</v>
      </c>
      <c r="V4492">
        <v>0.22627739999999999</v>
      </c>
      <c r="W4492">
        <v>0.18454709999999999</v>
      </c>
      <c r="X4492">
        <v>0.95642090000000002</v>
      </c>
      <c r="Y4492">
        <v>0.14614779999999999</v>
      </c>
      <c r="Z4492">
        <v>-5.9157919999999996E-3</v>
      </c>
      <c r="AA4492">
        <v>0.98924509999999999</v>
      </c>
      <c r="AB4492">
        <v>34</v>
      </c>
      <c r="AC4492">
        <v>16.253899999999899</v>
      </c>
      <c r="AD4492">
        <v>-1.1721600000000001</v>
      </c>
      <c r="AE4492">
        <v>-2.5134500000000002</v>
      </c>
      <c r="AF4492">
        <v>2.4293734995982401</v>
      </c>
      <c r="AG4492">
        <v>-1.1721600000000001</v>
      </c>
      <c r="AH4492">
        <v>16.182636291807299</v>
      </c>
      <c r="AI4492">
        <v>94.097129345593203</v>
      </c>
      <c r="AJ4492">
        <v>81.462385175078694</v>
      </c>
      <c r="AK4492">
        <v>16.4058993054044</v>
      </c>
      <c r="AL4492">
        <v>79.365271677883797</v>
      </c>
      <c r="AM4492">
        <v>76.689272843327302</v>
      </c>
      <c r="AN4492">
        <v>1.00000001591298</v>
      </c>
    </row>
    <row r="4493" spans="1:40" x14ac:dyDescent="0.25">
      <c r="A4493" t="str">
        <f>"20190303162644220"</f>
        <v>20190303162644220</v>
      </c>
      <c r="B4493" t="str">
        <f>"1551601604208627"</f>
        <v>1551601604208627</v>
      </c>
      <c r="C4493" t="s">
        <v>40</v>
      </c>
      <c r="D4493">
        <v>4.6431630000000004</v>
      </c>
      <c r="E4493">
        <v>0.47567939999999997</v>
      </c>
      <c r="F4493" t="s">
        <v>44</v>
      </c>
      <c r="G4493">
        <v>-314.35169999999999</v>
      </c>
      <c r="H4493">
        <v>-0.05</v>
      </c>
      <c r="I4493">
        <v>14.156779999999999</v>
      </c>
      <c r="J4493">
        <v>-330.58109999999999</v>
      </c>
      <c r="K4493">
        <v>1.1220969999999999</v>
      </c>
      <c r="L4493">
        <v>16.673770000000001</v>
      </c>
      <c r="M4493">
        <v>0.99990040000000002</v>
      </c>
      <c r="N4493">
        <v>-1.3600869999999999E-2</v>
      </c>
      <c r="O4493">
        <v>-3.7902449999999998E-3</v>
      </c>
      <c r="P4493">
        <v>0.95774689999999996</v>
      </c>
      <c r="Q4493">
        <v>0.17066029999999999</v>
      </c>
      <c r="R4493">
        <v>-0.23150899999999999</v>
      </c>
      <c r="S4493">
        <v>3.0580750000000001</v>
      </c>
      <c r="T4493">
        <v>-0.2180377</v>
      </c>
      <c r="U4493">
        <v>-0.4682617</v>
      </c>
      <c r="V4493">
        <v>0.2274322</v>
      </c>
      <c r="W4493">
        <v>0.1842327</v>
      </c>
      <c r="X4493">
        <v>0.95620760000000005</v>
      </c>
      <c r="Y4493">
        <v>0.1471809</v>
      </c>
      <c r="Z4493">
        <v>-6.0011350000000003E-3</v>
      </c>
      <c r="AA4493">
        <v>0.98909139999999995</v>
      </c>
      <c r="AB4493">
        <v>34</v>
      </c>
      <c r="AC4493">
        <v>16.229399999999998</v>
      </c>
      <c r="AD4493">
        <v>-1.1720969999999999</v>
      </c>
      <c r="AE4493">
        <v>-2.5169899999999998</v>
      </c>
      <c r="AF4493">
        <v>2.44300982605054</v>
      </c>
      <c r="AG4493">
        <v>-1.1720969999999999</v>
      </c>
      <c r="AH4493">
        <v>16.156534075644501</v>
      </c>
      <c r="AI4493">
        <v>94.102851632176296</v>
      </c>
      <c r="AJ4493">
        <v>81.401512385261498</v>
      </c>
      <c r="AK4493">
        <v>16.382176342752899</v>
      </c>
      <c r="AL4493">
        <v>79.383599931127804</v>
      </c>
      <c r="AM4493">
        <v>76.6209010876576</v>
      </c>
      <c r="AN4493">
        <v>1.0000000338219399</v>
      </c>
    </row>
    <row r="4494" spans="1:40" x14ac:dyDescent="0.25">
      <c r="A4494" t="str">
        <f>"20190303162644236"</f>
        <v>20190303162644236</v>
      </c>
      <c r="B4494" t="str">
        <f>"1551601604229124"</f>
        <v>1551601604229124</v>
      </c>
      <c r="C4494" t="s">
        <v>40</v>
      </c>
      <c r="D4494">
        <v>4.6300100000000004</v>
      </c>
      <c r="E4494">
        <v>0.47604160000000001</v>
      </c>
      <c r="F4494" t="s">
        <v>44</v>
      </c>
      <c r="G4494">
        <v>-314.1859</v>
      </c>
      <c r="H4494">
        <v>-0.05</v>
      </c>
      <c r="I4494">
        <v>14.15855</v>
      </c>
      <c r="J4494">
        <v>-330.31849999999997</v>
      </c>
      <c r="K4494">
        <v>1.1220159999999999</v>
      </c>
      <c r="L4494">
        <v>16.673459999999999</v>
      </c>
      <c r="M4494">
        <v>0.99990290000000004</v>
      </c>
      <c r="N4494">
        <v>-1.359025E-2</v>
      </c>
      <c r="O4494">
        <v>-3.0958050000000001E-3</v>
      </c>
      <c r="P4494">
        <v>0.95734649999999999</v>
      </c>
      <c r="Q4494">
        <v>0.17007349999999999</v>
      </c>
      <c r="R4494">
        <v>-0.2335873</v>
      </c>
      <c r="S4494">
        <v>3.057922</v>
      </c>
      <c r="T4494">
        <v>-0.2186109</v>
      </c>
      <c r="U4494">
        <v>-0.46911619999999998</v>
      </c>
      <c r="V4494">
        <v>0.2302131</v>
      </c>
      <c r="W4494">
        <v>0.18359239999999999</v>
      </c>
      <c r="X4494">
        <v>0.95566510000000005</v>
      </c>
      <c r="Y4494">
        <v>0.1481391</v>
      </c>
      <c r="Z4494">
        <v>-6.0939139999999998E-3</v>
      </c>
      <c r="AA4494">
        <v>0.98894769999999999</v>
      </c>
      <c r="AB4494">
        <v>34</v>
      </c>
      <c r="AC4494">
        <v>16.132599999999901</v>
      </c>
      <c r="AD4494">
        <v>-1.1720159999999999</v>
      </c>
      <c r="AE4494">
        <v>-2.51491</v>
      </c>
      <c r="AF4494">
        <v>2.45231404113798</v>
      </c>
      <c r="AG4494">
        <v>-1.1720159999999999</v>
      </c>
      <c r="AH4494">
        <v>16.057570062856801</v>
      </c>
      <c r="AI4494">
        <v>94.126843057126607</v>
      </c>
      <c r="AJ4494">
        <v>81.316873594728904</v>
      </c>
      <c r="AK4494">
        <v>16.285976236755801</v>
      </c>
      <c r="AL4494">
        <v>79.420922820302707</v>
      </c>
      <c r="AM4494">
        <v>76.4558942042826</v>
      </c>
      <c r="AN4494">
        <v>1.00000001205369</v>
      </c>
    </row>
    <row r="4495" spans="1:40" x14ac:dyDescent="0.25">
      <c r="A4495" t="str">
        <f>"20190303162644257"</f>
        <v>20190303162644257</v>
      </c>
      <c r="B4495" t="str">
        <f>"1551601604248643"</f>
        <v>1551601604248643</v>
      </c>
      <c r="C4495" t="s">
        <v>40</v>
      </c>
      <c r="D4495">
        <v>4.6550929999999999</v>
      </c>
      <c r="E4495">
        <v>0.482375</v>
      </c>
      <c r="F4495" t="s">
        <v>44</v>
      </c>
      <c r="G4495">
        <v>-313.95350000000002</v>
      </c>
      <c r="H4495">
        <v>-0.05</v>
      </c>
      <c r="I4495">
        <v>14.11829</v>
      </c>
      <c r="J4495">
        <v>-330.01620000000003</v>
      </c>
      <c r="K4495">
        <v>1.1219190000000001</v>
      </c>
      <c r="L4495">
        <v>16.673279999999998</v>
      </c>
      <c r="M4495">
        <v>0.99990489999999999</v>
      </c>
      <c r="N4495">
        <v>-1.357882E-2</v>
      </c>
      <c r="O4495">
        <v>-2.3967049999999998E-3</v>
      </c>
      <c r="P4495">
        <v>0.95692219999999995</v>
      </c>
      <c r="Q4495">
        <v>0.16917689999999999</v>
      </c>
      <c r="R4495">
        <v>-0.23596449999999999</v>
      </c>
      <c r="S4495">
        <v>3.0561219999999998</v>
      </c>
      <c r="T4495">
        <v>-0.2188717</v>
      </c>
      <c r="U4495">
        <v>-0.47717290000000001</v>
      </c>
      <c r="V4495">
        <v>0.2333044</v>
      </c>
      <c r="W4495">
        <v>0.18263099999999999</v>
      </c>
      <c r="X4495">
        <v>0.95509949999999999</v>
      </c>
      <c r="Y4495">
        <v>0.1514509</v>
      </c>
      <c r="Z4495">
        <v>-6.2817999999999997E-3</v>
      </c>
      <c r="AA4495">
        <v>0.98844480000000001</v>
      </c>
      <c r="AB4495">
        <v>34</v>
      </c>
      <c r="AC4495">
        <v>16.0627</v>
      </c>
      <c r="AD4495">
        <v>-1.1719189999999999</v>
      </c>
      <c r="AE4495">
        <v>-2.5549899999999899</v>
      </c>
      <c r="AF4495">
        <v>2.5034843054530098</v>
      </c>
      <c r="AG4495">
        <v>-1.1719189999999999</v>
      </c>
      <c r="AH4495">
        <v>15.9857851457756</v>
      </c>
      <c r="AI4495">
        <v>94.142544183369296</v>
      </c>
      <c r="AJ4495">
        <v>81.099380241106203</v>
      </c>
      <c r="AK4495">
        <v>16.223013115235801</v>
      </c>
      <c r="AL4495">
        <v>79.476954657390607</v>
      </c>
      <c r="AM4495">
        <v>76.273036350096504</v>
      </c>
      <c r="AN4495">
        <v>1.0000000400603</v>
      </c>
    </row>
    <row r="4496" spans="1:40" x14ac:dyDescent="0.25">
      <c r="A4496" t="str">
        <f>"20190303162644271"</f>
        <v>20190303162644271</v>
      </c>
      <c r="B4496" t="str">
        <f>"1551601604258404"</f>
        <v>1551601604258404</v>
      </c>
      <c r="C4496" t="s">
        <v>40</v>
      </c>
      <c r="D4496">
        <v>4.6421330000000003</v>
      </c>
      <c r="E4496">
        <v>0.50932749999999904</v>
      </c>
      <c r="F4496" t="s">
        <v>44</v>
      </c>
      <c r="G4496">
        <v>-314.84129999999999</v>
      </c>
      <c r="H4496">
        <v>-0.05</v>
      </c>
      <c r="I4496">
        <v>14.0247299999999</v>
      </c>
      <c r="J4496">
        <v>-329.8252</v>
      </c>
      <c r="K4496">
        <v>1.1218490000000001</v>
      </c>
      <c r="L4496">
        <v>16.673220000000001</v>
      </c>
      <c r="M4496">
        <v>0.99990590000000001</v>
      </c>
      <c r="N4496">
        <v>-1.357218E-2</v>
      </c>
      <c r="O4496">
        <v>-2.0356020000000001E-3</v>
      </c>
      <c r="P4496">
        <v>0.95675469999999896</v>
      </c>
      <c r="Q4496">
        <v>0.16876360000000001</v>
      </c>
      <c r="R4496">
        <v>-0.2369386</v>
      </c>
      <c r="S4496">
        <v>3.045563</v>
      </c>
      <c r="T4496">
        <v>-0.23520150000000001</v>
      </c>
      <c r="U4496">
        <v>-0.53155520000000001</v>
      </c>
      <c r="V4496">
        <v>0.23465520000000001</v>
      </c>
      <c r="W4496">
        <v>0.182172</v>
      </c>
      <c r="X4496">
        <v>0.95485620000000004</v>
      </c>
      <c r="Y4496">
        <v>0.1693557</v>
      </c>
      <c r="Z4496">
        <v>-7.5124689999999999E-3</v>
      </c>
      <c r="AA4496">
        <v>0.98552640000000002</v>
      </c>
      <c r="AB4496">
        <v>34</v>
      </c>
      <c r="AC4496">
        <v>14.9839</v>
      </c>
      <c r="AD4496">
        <v>-1.1718489999999999</v>
      </c>
      <c r="AE4496">
        <v>-2.6484899999999998</v>
      </c>
      <c r="AF4496">
        <v>2.6025445847037401</v>
      </c>
      <c r="AG4496">
        <v>-1.1718489999999999</v>
      </c>
      <c r="AH4496">
        <v>14.900882603581501</v>
      </c>
      <c r="AI4496">
        <v>94.4298665976698</v>
      </c>
      <c r="AJ4496">
        <v>80.092819860324894</v>
      </c>
      <c r="AK4496">
        <v>15.171775464984</v>
      </c>
      <c r="AL4496">
        <v>79.503702041391307</v>
      </c>
      <c r="AM4496">
        <v>76.193208078639003</v>
      </c>
      <c r="AN4496">
        <v>1.0000000315747299</v>
      </c>
    </row>
    <row r="4497" spans="1:40" x14ac:dyDescent="0.25">
      <c r="A4497" t="str">
        <f>"20190303162644284"</f>
        <v>20190303162644284</v>
      </c>
      <c r="B4497" t="str">
        <f>"1551601604277924"</f>
        <v>1551601604277924</v>
      </c>
      <c r="C4497" t="s">
        <v>40</v>
      </c>
      <c r="D4497">
        <v>4.6020830000000004</v>
      </c>
      <c r="E4497">
        <v>0.5176712</v>
      </c>
      <c r="F4497" t="s">
        <v>41</v>
      </c>
      <c r="G4497">
        <v>-321.28489999999999</v>
      </c>
      <c r="H4497" s="1">
        <v>-4.9907689999999999E-6</v>
      </c>
      <c r="I4497">
        <v>14.595660000000001</v>
      </c>
      <c r="J4497">
        <v>-329.61200000000002</v>
      </c>
      <c r="K4497">
        <v>1.121767</v>
      </c>
      <c r="L4497">
        <v>16.673159999999999</v>
      </c>
      <c r="M4497">
        <v>0.99990659999999998</v>
      </c>
      <c r="N4497">
        <v>-1.356512E-2</v>
      </c>
      <c r="O4497">
        <v>-1.6818670000000001E-3</v>
      </c>
      <c r="P4497">
        <v>0.95660809999999996</v>
      </c>
      <c r="Q4497">
        <v>0.16823750000000001</v>
      </c>
      <c r="R4497">
        <v>-0.23790210000000001</v>
      </c>
      <c r="S4497">
        <v>3.0234990000000002</v>
      </c>
      <c r="T4497">
        <v>-0.39716279999999998</v>
      </c>
      <c r="U4497">
        <v>-0.73550419999999905</v>
      </c>
      <c r="V4497">
        <v>0.23599490000000001</v>
      </c>
      <c r="W4497">
        <v>0.18159149999999999</v>
      </c>
      <c r="X4497">
        <v>0.9546365</v>
      </c>
      <c r="Y4497">
        <v>0.2326529</v>
      </c>
      <c r="Z4497">
        <v>-1.6412530000000002E-2</v>
      </c>
      <c r="AA4497">
        <v>0.97242130000000004</v>
      </c>
      <c r="AB4497">
        <v>33</v>
      </c>
      <c r="AC4497">
        <v>8.3270999999999695</v>
      </c>
      <c r="AD4497">
        <v>-1.121771990769</v>
      </c>
      <c r="AE4497">
        <v>-2.0774999999999899</v>
      </c>
      <c r="AF4497">
        <v>2.0288295397858298</v>
      </c>
      <c r="AG4497">
        <v>-1.121771990769</v>
      </c>
      <c r="AH4497">
        <v>8.1906509779597396</v>
      </c>
      <c r="AI4497">
        <v>97.572500184587696</v>
      </c>
      <c r="AJ4497">
        <v>76.087817124103907</v>
      </c>
      <c r="AK4497">
        <v>8.5124194647311899</v>
      </c>
      <c r="AL4497">
        <v>79.537525622354096</v>
      </c>
      <c r="AM4497">
        <v>76.114351630674307</v>
      </c>
      <c r="AN4497">
        <v>0.99999995641525397</v>
      </c>
    </row>
    <row r="4498" spans="1:40" x14ac:dyDescent="0.25">
      <c r="A4498" t="str">
        <f>"20190303162644303"</f>
        <v>20190303162644303</v>
      </c>
      <c r="B4498" t="str">
        <f>"1551601604298420"</f>
        <v>1551601604298420</v>
      </c>
      <c r="C4498" t="s">
        <v>40</v>
      </c>
      <c r="D4498">
        <v>4.6169060000000002</v>
      </c>
      <c r="E4498">
        <v>0.52194649999999998</v>
      </c>
      <c r="F4498" t="s">
        <v>41</v>
      </c>
      <c r="G4498">
        <v>-322.92</v>
      </c>
      <c r="H4498" s="1">
        <v>-4.1620210000000001E-6</v>
      </c>
      <c r="I4498">
        <v>14.91018</v>
      </c>
      <c r="J4498">
        <v>-329.34190000000001</v>
      </c>
      <c r="K4498">
        <v>1.121648</v>
      </c>
      <c r="L4498">
        <v>16.673100000000002</v>
      </c>
      <c r="M4498">
        <v>0.99990730000000005</v>
      </c>
      <c r="N4498">
        <v>-1.355686E-2</v>
      </c>
      <c r="O4498">
        <v>-1.3336349999999999E-3</v>
      </c>
      <c r="P4498">
        <v>0.95602739999999997</v>
      </c>
      <c r="Q4498">
        <v>0.1676211</v>
      </c>
      <c r="R4498">
        <v>-0.2406558</v>
      </c>
      <c r="S4498">
        <v>3.0270389999999998</v>
      </c>
      <c r="T4498">
        <v>-0.50741670000000005</v>
      </c>
      <c r="U4498">
        <v>-0.79745480000000002</v>
      </c>
      <c r="V4498">
        <v>0.23913409999999999</v>
      </c>
      <c r="W4498">
        <v>0.180897</v>
      </c>
      <c r="X4498">
        <v>0.95398700000000003</v>
      </c>
      <c r="Y4498">
        <v>0.24993319999999999</v>
      </c>
      <c r="Z4498">
        <v>-2.1994690000000001E-2</v>
      </c>
      <c r="AA4498">
        <v>0.96801320000000002</v>
      </c>
      <c r="AB4498">
        <v>33</v>
      </c>
      <c r="AC4498">
        <v>6.4218999999999902</v>
      </c>
      <c r="AD4498">
        <v>-1.121652162021</v>
      </c>
      <c r="AE4498">
        <v>-1.76292</v>
      </c>
      <c r="AF4498">
        <v>1.70595779367881</v>
      </c>
      <c r="AG4498">
        <v>-1.121652162021</v>
      </c>
      <c r="AH4498">
        <v>6.2470271088096201</v>
      </c>
      <c r="AI4498">
        <v>99.826561470741098</v>
      </c>
      <c r="AJ4498">
        <v>74.725904783978095</v>
      </c>
      <c r="AK4498">
        <v>6.5721947068374504</v>
      </c>
      <c r="AL4498">
        <v>79.577988334330996</v>
      </c>
      <c r="AM4498">
        <v>75.927735105763603</v>
      </c>
      <c r="AN4498">
        <v>1.0000000192803999</v>
      </c>
    </row>
    <row r="4499" spans="1:40" x14ac:dyDescent="0.25">
      <c r="A4499" t="str">
        <f>"20190303162644315"</f>
        <v>20190303162644315</v>
      </c>
      <c r="B4499" t="str">
        <f>"1551601604308180"</f>
        <v>1551601604308180</v>
      </c>
      <c r="C4499" t="s">
        <v>40</v>
      </c>
      <c r="D4499">
        <v>4.5815929999999998</v>
      </c>
      <c r="E4499">
        <v>0.52314850000000002</v>
      </c>
      <c r="F4499" t="s">
        <v>41</v>
      </c>
      <c r="G4499">
        <v>-323.19810000000001</v>
      </c>
      <c r="H4499" s="1">
        <v>-4.019807E-6</v>
      </c>
      <c r="I4499">
        <v>14.97081</v>
      </c>
      <c r="J4499">
        <v>-329.1336</v>
      </c>
      <c r="K4499">
        <v>1.1215520000000001</v>
      </c>
      <c r="L4499">
        <v>16.673100000000002</v>
      </c>
      <c r="M4499">
        <v>0.99990749999999995</v>
      </c>
      <c r="N4499">
        <v>-1.355101E-2</v>
      </c>
      <c r="O4499">
        <v>-1.134375E-3</v>
      </c>
      <c r="P4499">
        <v>0.95559839999999996</v>
      </c>
      <c r="Q4499">
        <v>0.1675461</v>
      </c>
      <c r="R4499">
        <v>-0.2424047</v>
      </c>
      <c r="S4499">
        <v>3.0238339999999999</v>
      </c>
      <c r="T4499">
        <v>-0.55205269999999995</v>
      </c>
      <c r="U4499">
        <v>-0.83782959999999995</v>
      </c>
      <c r="V4499">
        <v>0.2411152</v>
      </c>
      <c r="W4499">
        <v>0.18075820000000001</v>
      </c>
      <c r="X4499">
        <v>0.95351450000000004</v>
      </c>
      <c r="Y4499">
        <v>0.26159850000000001</v>
      </c>
      <c r="Z4499">
        <v>-2.4889430000000001E-2</v>
      </c>
      <c r="AA4499">
        <v>0.96485580000000004</v>
      </c>
      <c r="AB4499">
        <v>33</v>
      </c>
      <c r="AC4499">
        <v>5.9354999999999896</v>
      </c>
      <c r="AD4499">
        <v>-1.121556019807</v>
      </c>
      <c r="AE4499">
        <v>-1.7022900000000001</v>
      </c>
      <c r="AF4499">
        <v>1.64140329438903</v>
      </c>
      <c r="AG4499">
        <v>-1.121556019807</v>
      </c>
      <c r="AH4499">
        <v>5.7478004046699098</v>
      </c>
      <c r="AI4499">
        <v>100.626697295854</v>
      </c>
      <c r="AJ4499">
        <v>74.062211183535396</v>
      </c>
      <c r="AK4499">
        <v>6.0818831107083904</v>
      </c>
      <c r="AL4499">
        <v>79.586073916650705</v>
      </c>
      <c r="AM4499">
        <v>75.809095994271104</v>
      </c>
      <c r="AN4499">
        <v>0.99999998412426405</v>
      </c>
    </row>
    <row r="4500" spans="1:40" x14ac:dyDescent="0.25">
      <c r="A4500" t="str">
        <f>"20190303162644336"</f>
        <v>20190303162644336</v>
      </c>
      <c r="B4500" t="str">
        <f>"1551601604328675"</f>
        <v>1551601604328675</v>
      </c>
      <c r="C4500" t="s">
        <v>40</v>
      </c>
      <c r="D4500">
        <v>4.5700659999999997</v>
      </c>
      <c r="E4500">
        <v>0.52414189999999905</v>
      </c>
      <c r="F4500" t="s">
        <v>42</v>
      </c>
      <c r="G4500">
        <v>-328.40589999999997</v>
      </c>
      <c r="H4500">
        <v>0.98516820000000005</v>
      </c>
      <c r="I4500">
        <v>16.46773</v>
      </c>
      <c r="J4500">
        <v>-328.83690000000001</v>
      </c>
      <c r="K4500">
        <v>1.1214280000000001</v>
      </c>
      <c r="L4500">
        <v>16.672969999999999</v>
      </c>
      <c r="M4500">
        <v>0.99990789999999996</v>
      </c>
      <c r="N4500">
        <v>-1.354347E-2</v>
      </c>
      <c r="O4500">
        <v>-9.4968660000000003E-4</v>
      </c>
      <c r="P4500">
        <v>0.95475940000000004</v>
      </c>
      <c r="Q4500">
        <v>0.166405</v>
      </c>
      <c r="R4500">
        <v>-0.2464634</v>
      </c>
      <c r="S4500">
        <v>3.022491</v>
      </c>
      <c r="T4500">
        <v>-0.56645040000000002</v>
      </c>
      <c r="U4500">
        <v>-0.85232540000000001</v>
      </c>
      <c r="V4500">
        <v>0.24540719999999999</v>
      </c>
      <c r="W4500">
        <v>0.17952789999999999</v>
      </c>
      <c r="X4500">
        <v>0.95265160000000004</v>
      </c>
      <c r="Y4500">
        <v>0.2658836</v>
      </c>
      <c r="Z4500">
        <v>-2.5928920000000001E-2</v>
      </c>
      <c r="AA4500">
        <v>0.96365639999999997</v>
      </c>
      <c r="AB4500">
        <v>33</v>
      </c>
      <c r="AC4500">
        <v>0.43100000000004002</v>
      </c>
      <c r="AD4500">
        <v>-0.13625979999999999</v>
      </c>
      <c r="AE4500">
        <v>-0.20523999999999901</v>
      </c>
      <c r="AF4500">
        <v>0.18939936866024801</v>
      </c>
      <c r="AG4500">
        <v>-0.13625979999999999</v>
      </c>
      <c r="AH4500">
        <v>0.39871009962336701</v>
      </c>
      <c r="AI4500">
        <v>107.155084514927</v>
      </c>
      <c r="AJ4500">
        <v>64.590866559656206</v>
      </c>
      <c r="AK4500">
        <v>0.46196168400270599</v>
      </c>
      <c r="AL4500">
        <v>79.657737634680601</v>
      </c>
      <c r="AM4500">
        <v>75.554427772425299</v>
      </c>
      <c r="AN4500">
        <v>1.0000000158364</v>
      </c>
    </row>
    <row r="4501" spans="1:40" x14ac:dyDescent="0.25">
      <c r="A4501" t="str">
        <f>"20190303162644357"</f>
        <v>20190303162644357</v>
      </c>
      <c r="B4501" t="str">
        <f>"1551601604348196"</f>
        <v>1551601604348196</v>
      </c>
      <c r="C4501" t="s">
        <v>40</v>
      </c>
      <c r="D4501">
        <v>4.5969980000000001</v>
      </c>
      <c r="E4501">
        <v>0.52442429999999995</v>
      </c>
      <c r="F4501" t="s">
        <v>42</v>
      </c>
      <c r="G4501">
        <v>-328.10980000000001</v>
      </c>
      <c r="H4501">
        <v>0.97911749999999997</v>
      </c>
      <c r="I4501">
        <v>16.462730000000001</v>
      </c>
      <c r="J4501">
        <v>-328.51729999999998</v>
      </c>
      <c r="K4501">
        <v>1.1212869999999999</v>
      </c>
      <c r="L4501">
        <v>16.672789999999999</v>
      </c>
      <c r="M4501">
        <v>0.99990809999999997</v>
      </c>
      <c r="N4501">
        <v>-1.353596E-2</v>
      </c>
      <c r="O4501">
        <v>-9.0566819999999995E-4</v>
      </c>
      <c r="P4501">
        <v>0.95403760000000004</v>
      </c>
      <c r="Q4501">
        <v>0.16532249999999901</v>
      </c>
      <c r="R4501">
        <v>-0.2499623</v>
      </c>
      <c r="S4501">
        <v>3.0200809999999998</v>
      </c>
      <c r="T4501">
        <v>-0.59105359999999996</v>
      </c>
      <c r="U4501">
        <v>-0.87194819999999995</v>
      </c>
      <c r="V4501">
        <v>0.24900949999999999</v>
      </c>
      <c r="W4501">
        <v>0.1783476</v>
      </c>
      <c r="X4501">
        <v>0.95193819999999996</v>
      </c>
      <c r="Y4501">
        <v>0.27141859999999901</v>
      </c>
      <c r="Z4501">
        <v>-2.7528009999999999E-2</v>
      </c>
      <c r="AA4501">
        <v>0.96206769999999997</v>
      </c>
      <c r="AB4501">
        <v>33</v>
      </c>
      <c r="AC4501">
        <v>0.40749999999997</v>
      </c>
      <c r="AD4501">
        <v>-0.1421695</v>
      </c>
      <c r="AE4501">
        <v>-0.210059999999998</v>
      </c>
      <c r="AF4501">
        <v>0.19129488632900499</v>
      </c>
      <c r="AG4501">
        <v>-0.1421695</v>
      </c>
      <c r="AH4501">
        <v>0.37192391284472498</v>
      </c>
      <c r="AI4501">
        <v>108.774269354791</v>
      </c>
      <c r="AJ4501">
        <v>62.781484654119701</v>
      </c>
      <c r="AK4501">
        <v>0.44173894690372001</v>
      </c>
      <c r="AL4501">
        <v>79.726472705016604</v>
      </c>
      <c r="AM4501">
        <v>75.340936482976602</v>
      </c>
      <c r="AN4501">
        <v>0.99999996706762395</v>
      </c>
    </row>
    <row r="4502" spans="1:40" x14ac:dyDescent="0.25">
      <c r="A4502" t="str">
        <f>"20190303162644371"</f>
        <v>20190303162644371</v>
      </c>
      <c r="B4502" t="str">
        <f>"1551601604368692"</f>
        <v>1551601604368692</v>
      </c>
      <c r="C4502" t="s">
        <v>40</v>
      </c>
      <c r="D4502">
        <v>4.548</v>
      </c>
      <c r="E4502">
        <v>0.52378199999999997</v>
      </c>
      <c r="F4502" t="s">
        <v>42</v>
      </c>
      <c r="G4502">
        <v>-327.81199999999899</v>
      </c>
      <c r="H4502">
        <v>0.97951449999999995</v>
      </c>
      <c r="I4502">
        <v>16.465979999999998</v>
      </c>
      <c r="J4502">
        <v>-328.31569999999999</v>
      </c>
      <c r="K4502">
        <v>1.121186</v>
      </c>
      <c r="L4502">
        <v>16.67258</v>
      </c>
      <c r="M4502">
        <v>0.99990809999999997</v>
      </c>
      <c r="N4502">
        <v>-1.353186E-2</v>
      </c>
      <c r="O4502">
        <v>-1.0005229999999999E-3</v>
      </c>
      <c r="P4502">
        <v>0.9537059</v>
      </c>
      <c r="Q4502">
        <v>0.165103799999999</v>
      </c>
      <c r="R4502">
        <v>-0.25136839999999999</v>
      </c>
      <c r="S4502">
        <v>3.0180359999999999</v>
      </c>
      <c r="T4502">
        <v>-0.60656569999999899</v>
      </c>
      <c r="U4502">
        <v>-0.88381960000000004</v>
      </c>
      <c r="V4502">
        <v>0.25036750000000002</v>
      </c>
      <c r="W4502">
        <v>0.17806269999999999</v>
      </c>
      <c r="X4502">
        <v>0.95163529999999996</v>
      </c>
      <c r="Y4502">
        <v>0.27466649999999998</v>
      </c>
      <c r="Z4502">
        <v>-2.8514660000000001E-2</v>
      </c>
      <c r="AA4502">
        <v>0.96111670000000005</v>
      </c>
      <c r="AB4502">
        <v>33</v>
      </c>
      <c r="AC4502">
        <v>0.50370000000003701</v>
      </c>
      <c r="AD4502">
        <v>-0.14167149999999901</v>
      </c>
      <c r="AE4502">
        <v>-0.20660000000000101</v>
      </c>
      <c r="AF4502">
        <v>0.19302501936278599</v>
      </c>
      <c r="AG4502">
        <v>-0.14167149999999901</v>
      </c>
      <c r="AH4502">
        <v>0.4719480744365</v>
      </c>
      <c r="AI4502">
        <v>105.527636960652</v>
      </c>
      <c r="AJ4502">
        <v>67.755619746085898</v>
      </c>
      <c r="AK4502">
        <v>0.529211164826078</v>
      </c>
      <c r="AL4502">
        <v>79.743061914121</v>
      </c>
      <c r="AM4502">
        <v>75.259975749651105</v>
      </c>
      <c r="AN4502">
        <v>0.99999997719681399</v>
      </c>
    </row>
    <row r="4503" spans="1:40" x14ac:dyDescent="0.25">
      <c r="A4503" t="str">
        <f>"20190303162644391"</f>
        <v>20190303162644391</v>
      </c>
      <c r="B4503" t="str">
        <f>"1551601604378452"</f>
        <v>1551601604378452</v>
      </c>
      <c r="C4503" t="s">
        <v>40</v>
      </c>
      <c r="D4503">
        <v>4.5551820000000003</v>
      </c>
      <c r="E4503">
        <v>0.52352770000000004</v>
      </c>
      <c r="F4503" t="s">
        <v>41</v>
      </c>
      <c r="G4503">
        <v>-322.78820000000002</v>
      </c>
      <c r="H4503" s="1">
        <v>-4.1983619999999997E-6</v>
      </c>
      <c r="I4503">
        <v>15.0566</v>
      </c>
      <c r="J4503">
        <v>-328.02699999999999</v>
      </c>
      <c r="K4503">
        <v>1.121027</v>
      </c>
      <c r="L4503">
        <v>16.67212</v>
      </c>
      <c r="M4503">
        <v>0.99990769999999995</v>
      </c>
      <c r="N4503">
        <v>-1.352657E-2</v>
      </c>
      <c r="O4503">
        <v>-1.2585599999999999E-3</v>
      </c>
      <c r="P4503">
        <v>0.95325230000000005</v>
      </c>
      <c r="Q4503">
        <v>0.16355439999999999</v>
      </c>
      <c r="R4503">
        <v>-0.25408730000000002</v>
      </c>
      <c r="S4503">
        <v>3.0189509999999999</v>
      </c>
      <c r="T4503">
        <v>-0.61236109999999999</v>
      </c>
      <c r="U4503">
        <v>-0.88259889999999996</v>
      </c>
      <c r="V4503">
        <v>0.25290669999999998</v>
      </c>
      <c r="W4503">
        <v>0.17640989999999901</v>
      </c>
      <c r="X4503">
        <v>0.95127169999999905</v>
      </c>
      <c r="Y4503">
        <v>0.2739047</v>
      </c>
      <c r="Z4503">
        <v>-2.862949E-2</v>
      </c>
      <c r="AA4503">
        <v>0.96133069999999998</v>
      </c>
      <c r="AB4503">
        <v>33</v>
      </c>
      <c r="AC4503">
        <v>5.2387999999999604</v>
      </c>
      <c r="AD4503">
        <v>-1.121031198362</v>
      </c>
      <c r="AE4503">
        <v>-1.6155200000000001</v>
      </c>
      <c r="AF4503">
        <v>1.5443496404942401</v>
      </c>
      <c r="AG4503">
        <v>-1.121031198362</v>
      </c>
      <c r="AH4503">
        <v>5.0304855319794699</v>
      </c>
      <c r="AI4503">
        <v>102.02619764246801</v>
      </c>
      <c r="AJ4503">
        <v>72.933611815332895</v>
      </c>
      <c r="AK4503">
        <v>5.3802891601892897</v>
      </c>
      <c r="AL4503">
        <v>79.839284487768595</v>
      </c>
      <c r="AM4503">
        <v>75.111651286606204</v>
      </c>
      <c r="AN4503">
        <v>1.0000000494718899</v>
      </c>
    </row>
    <row r="4504" spans="1:40" x14ac:dyDescent="0.25">
      <c r="A4504" t="str">
        <f>"20190303162644415"</f>
        <v>20190303162644415</v>
      </c>
      <c r="B4504" t="str">
        <f>"1551601604408708"</f>
        <v>1551601604408708</v>
      </c>
      <c r="C4504" t="s">
        <v>40</v>
      </c>
      <c r="D4504">
        <v>4.6068350000000002</v>
      </c>
      <c r="E4504">
        <v>0.52305489999999999</v>
      </c>
      <c r="F4504" t="s">
        <v>41</v>
      </c>
      <c r="G4504">
        <v>-322.5523</v>
      </c>
      <c r="H4504" s="1">
        <v>-4.3094190000000001E-6</v>
      </c>
      <c r="I4504">
        <v>15.05921</v>
      </c>
      <c r="J4504">
        <v>-327.65539999999999</v>
      </c>
      <c r="K4504">
        <v>1.120803</v>
      </c>
      <c r="L4504">
        <v>16.671199999999999</v>
      </c>
      <c r="M4504">
        <v>0.99990699999999999</v>
      </c>
      <c r="N4504">
        <v>-1.352107E-2</v>
      </c>
      <c r="O4504">
        <v>-1.8343159999999999E-3</v>
      </c>
      <c r="P4504">
        <v>0.95248840000000001</v>
      </c>
      <c r="Q4504">
        <v>0.1626378</v>
      </c>
      <c r="R4504">
        <v>-0.25751770000000002</v>
      </c>
      <c r="S4504">
        <v>3.016235</v>
      </c>
      <c r="T4504">
        <v>-0.61761750000000004</v>
      </c>
      <c r="U4504">
        <v>-0.88861080000000003</v>
      </c>
      <c r="V4504">
        <v>0.25588329999999998</v>
      </c>
      <c r="W4504">
        <v>0.175342</v>
      </c>
      <c r="X4504">
        <v>0.95067290000000004</v>
      </c>
      <c r="Y4504">
        <v>0.27523500000000001</v>
      </c>
      <c r="Z4504">
        <v>-2.890467E-2</v>
      </c>
      <c r="AA4504">
        <v>0.96094230000000003</v>
      </c>
      <c r="AB4504">
        <v>33</v>
      </c>
      <c r="AC4504">
        <v>5.10309999999998</v>
      </c>
      <c r="AD4504">
        <v>-1.1208073094190001</v>
      </c>
      <c r="AE4504">
        <v>-1.61198999999999</v>
      </c>
      <c r="AF4504">
        <v>1.5352853107143101</v>
      </c>
      <c r="AG4504">
        <v>-1.1208073094190001</v>
      </c>
      <c r="AH4504">
        <v>4.8914985042351198</v>
      </c>
      <c r="AI4504">
        <v>102.33188253181299</v>
      </c>
      <c r="AJ4504">
        <v>72.574591053911405</v>
      </c>
      <c r="AK4504">
        <v>5.2478631486612404</v>
      </c>
      <c r="AL4504">
        <v>79.901439216709903</v>
      </c>
      <c r="AM4504">
        <v>74.935282397656295</v>
      </c>
      <c r="AN4504">
        <v>1.00000002148864</v>
      </c>
    </row>
    <row r="4505" spans="1:40" x14ac:dyDescent="0.25">
      <c r="A4505" t="str">
        <f>"20190303162644437"</f>
        <v>20190303162644437</v>
      </c>
      <c r="B4505" t="str">
        <f>"1551601604428228"</f>
        <v>1551601604428228</v>
      </c>
      <c r="C4505" t="s">
        <v>40</v>
      </c>
      <c r="D4505">
        <v>4.71286</v>
      </c>
      <c r="E4505">
        <v>0.52259109999999998</v>
      </c>
      <c r="F4505" t="s">
        <v>42</v>
      </c>
      <c r="G4505">
        <v>-326.92090000000002</v>
      </c>
      <c r="H4505">
        <v>0.96849609999999997</v>
      </c>
      <c r="I4505">
        <v>16.452479999999898</v>
      </c>
      <c r="J4505">
        <v>-327.33359999999999</v>
      </c>
      <c r="K4505">
        <v>1.1205909999999999</v>
      </c>
      <c r="L4505">
        <v>16.66995</v>
      </c>
      <c r="M4505">
        <v>0.9999055</v>
      </c>
      <c r="N4505">
        <v>-1.351753E-2</v>
      </c>
      <c r="O4505">
        <v>-2.5706320000000002E-3</v>
      </c>
      <c r="P4505">
        <v>0.95161719999999905</v>
      </c>
      <c r="Q4505">
        <v>0.161302799999999</v>
      </c>
      <c r="R4505">
        <v>-0.26154690000000003</v>
      </c>
      <c r="S4505">
        <v>3.0139469999999999</v>
      </c>
      <c r="T4505">
        <v>-0.62484779999999995</v>
      </c>
      <c r="U4505">
        <v>-0.89645390000000003</v>
      </c>
      <c r="V4505">
        <v>0.259299</v>
      </c>
      <c r="W4505">
        <v>0.1738635</v>
      </c>
      <c r="X4505">
        <v>0.95001869999999999</v>
      </c>
      <c r="Y4505">
        <v>0.2768738</v>
      </c>
      <c r="Z4505">
        <v>-2.9262469999999999E-2</v>
      </c>
      <c r="AA4505">
        <v>0.96046069999999995</v>
      </c>
      <c r="AB4505">
        <v>33</v>
      </c>
      <c r="AC4505">
        <v>0.41269999999997198</v>
      </c>
      <c r="AD4505">
        <v>-0.15209489999999901</v>
      </c>
      <c r="AE4505">
        <v>-0.217470000000002</v>
      </c>
      <c r="AF4505">
        <v>0.19561411084350999</v>
      </c>
      <c r="AG4505">
        <v>-0.15209489999999901</v>
      </c>
      <c r="AH4505">
        <v>0.373548739263523</v>
      </c>
      <c r="AI4505">
        <v>109.834302649558</v>
      </c>
      <c r="AJ4505">
        <v>62.360557664267503</v>
      </c>
      <c r="AK4505">
        <v>0.44825929948242499</v>
      </c>
      <c r="AL4505">
        <v>79.9874724714156</v>
      </c>
      <c r="AM4505">
        <v>74.7334870527135</v>
      </c>
      <c r="AN4505">
        <v>1.00000000919147</v>
      </c>
    </row>
    <row r="4506" spans="1:40" x14ac:dyDescent="0.25">
      <c r="A4506" t="str">
        <f>"20190303162644457"</f>
        <v>20190303162644457</v>
      </c>
      <c r="B4506" t="str">
        <f>"1551601604448723"</f>
        <v>1551601604448723</v>
      </c>
      <c r="C4506" t="s">
        <v>40</v>
      </c>
      <c r="D4506">
        <v>4.6394719999999996</v>
      </c>
      <c r="E4506">
        <v>0.52286790000000005</v>
      </c>
      <c r="F4506" t="s">
        <v>42</v>
      </c>
      <c r="G4506">
        <v>-326.62180000000001</v>
      </c>
      <c r="H4506">
        <v>0.97258750000000005</v>
      </c>
      <c r="I4506">
        <v>16.455490000000001</v>
      </c>
      <c r="J4506">
        <v>-327.0326</v>
      </c>
      <c r="K4506">
        <v>1.1203749999999999</v>
      </c>
      <c r="L4506">
        <v>16.668329999999902</v>
      </c>
      <c r="M4506">
        <v>0.99990259999999997</v>
      </c>
      <c r="N4506">
        <v>-1.351511E-2</v>
      </c>
      <c r="O4506">
        <v>-3.4846260000000002E-3</v>
      </c>
      <c r="P4506">
        <v>0.95080169999999997</v>
      </c>
      <c r="Q4506">
        <v>0.15908530000000001</v>
      </c>
      <c r="R4506">
        <v>-0.26583449999999997</v>
      </c>
      <c r="S4506">
        <v>3.0096440000000002</v>
      </c>
      <c r="T4506">
        <v>-0.62575649999999905</v>
      </c>
      <c r="U4506">
        <v>-0.90570070000000003</v>
      </c>
      <c r="V4506">
        <v>0.26280049999999999</v>
      </c>
      <c r="W4506">
        <v>0.1715034</v>
      </c>
      <c r="X4506">
        <v>0.94948540000000003</v>
      </c>
      <c r="Y4506">
        <v>0.27902519999999997</v>
      </c>
      <c r="Z4506">
        <v>-2.9386860000000001E-2</v>
      </c>
      <c r="AA4506">
        <v>0.95983399999999996</v>
      </c>
      <c r="AB4506">
        <v>33</v>
      </c>
      <c r="AC4506">
        <v>0.410799999999994</v>
      </c>
      <c r="AD4506">
        <v>-0.14778749999999899</v>
      </c>
      <c r="AE4506">
        <v>-0.212839999999996</v>
      </c>
      <c r="AF4506">
        <v>0.19183354685463799</v>
      </c>
      <c r="AG4506">
        <v>-0.14778749999999899</v>
      </c>
      <c r="AH4506">
        <v>0.37343606289710402</v>
      </c>
      <c r="AI4506">
        <v>109.393093478949</v>
      </c>
      <c r="AJ4506">
        <v>62.810502105516399</v>
      </c>
      <c r="AK4506">
        <v>0.44507948495428401</v>
      </c>
      <c r="AL4506">
        <v>80.124758800936903</v>
      </c>
      <c r="AM4506">
        <v>74.528867709479002</v>
      </c>
      <c r="AN4506">
        <v>1.0000000219124801</v>
      </c>
    </row>
    <row r="4507" spans="1:40" x14ac:dyDescent="0.25">
      <c r="A4507" t="str">
        <f>"20190303162644470"</f>
        <v>20190303162644470</v>
      </c>
      <c r="B4507" t="str">
        <f>"1551601604458483"</f>
        <v>1551601604458483</v>
      </c>
      <c r="C4507" t="s">
        <v>40</v>
      </c>
      <c r="D4507">
        <v>4.6058629999999896</v>
      </c>
      <c r="E4507">
        <v>0.53719759999999905</v>
      </c>
      <c r="F4507" t="s">
        <v>42</v>
      </c>
      <c r="G4507">
        <v>-326.32510000000002</v>
      </c>
      <c r="H4507">
        <v>0.96989329999999996</v>
      </c>
      <c r="I4507">
        <v>16.451000000000001</v>
      </c>
      <c r="J4507">
        <v>-326.84500000000003</v>
      </c>
      <c r="K4507">
        <v>1.120242</v>
      </c>
      <c r="L4507">
        <v>16.66705</v>
      </c>
      <c r="M4507">
        <v>0.99989989999999995</v>
      </c>
      <c r="N4507">
        <v>-1.351423E-2</v>
      </c>
      <c r="O4507">
        <v>-4.192711E-3</v>
      </c>
      <c r="P4507">
        <v>0.95030899999999996</v>
      </c>
      <c r="Q4507">
        <v>0.158157399999999</v>
      </c>
      <c r="R4507">
        <v>-0.26814110000000002</v>
      </c>
      <c r="S4507">
        <v>3.0043030000000002</v>
      </c>
      <c r="T4507">
        <v>-0.63884759999999996</v>
      </c>
      <c r="U4507">
        <v>-0.92208860000000004</v>
      </c>
      <c r="V4507">
        <v>0.26448680000000002</v>
      </c>
      <c r="W4507">
        <v>0.17048479999999999</v>
      </c>
      <c r="X4507">
        <v>0.9492005</v>
      </c>
      <c r="Y4507">
        <v>0.2832828</v>
      </c>
      <c r="Z4507">
        <v>-3.0307400000000002E-2</v>
      </c>
      <c r="AA4507">
        <v>0.9585574</v>
      </c>
      <c r="AB4507">
        <v>33</v>
      </c>
      <c r="AC4507">
        <v>0.51990000000000602</v>
      </c>
      <c r="AD4507">
        <v>-0.150348699999999</v>
      </c>
      <c r="AE4507">
        <v>-0.21604999999999899</v>
      </c>
      <c r="AF4507">
        <v>0.19963154006023801</v>
      </c>
      <c r="AG4507">
        <v>-0.150348699999999</v>
      </c>
      <c r="AH4507">
        <v>0.48613313355101001</v>
      </c>
      <c r="AI4507">
        <v>105.965377096352</v>
      </c>
      <c r="AJ4507">
        <v>67.674397648779504</v>
      </c>
      <c r="AK4507">
        <v>0.54661037944283197</v>
      </c>
      <c r="AL4507">
        <v>80.1839920809917</v>
      </c>
      <c r="AM4507">
        <v>74.429948226444907</v>
      </c>
      <c r="AN4507">
        <v>0.99999996180276396</v>
      </c>
    </row>
    <row r="4508" spans="1:40" x14ac:dyDescent="0.25">
      <c r="A4508" t="str">
        <f>"20190303162644482"</f>
        <v>20190303162644482</v>
      </c>
      <c r="B4508" t="str">
        <f>"1551601604478004"</f>
        <v>1551601604478004</v>
      </c>
      <c r="C4508" t="s">
        <v>40</v>
      </c>
      <c r="D4508">
        <v>4.5782590000000001</v>
      </c>
      <c r="E4508">
        <v>0.53800079999999995</v>
      </c>
      <c r="F4508" t="s">
        <v>41</v>
      </c>
      <c r="G4508">
        <v>-323.38</v>
      </c>
      <c r="H4508" s="1">
        <v>-3.8407520000000001E-6</v>
      </c>
      <c r="I4508">
        <v>15.49546</v>
      </c>
      <c r="J4508">
        <v>-326.66320000000002</v>
      </c>
      <c r="K4508">
        <v>1.1201179999999999</v>
      </c>
      <c r="L4508">
        <v>16.665649999999999</v>
      </c>
      <c r="M4508">
        <v>0.99989660000000002</v>
      </c>
      <c r="N4508">
        <v>-1.3512629999999999E-2</v>
      </c>
      <c r="O4508">
        <v>-4.9314060000000002E-3</v>
      </c>
      <c r="P4508">
        <v>0.94974340000000002</v>
      </c>
      <c r="Q4508">
        <v>0.15758050000000001</v>
      </c>
      <c r="R4508">
        <v>-0.27047399999999999</v>
      </c>
      <c r="S4508">
        <v>3.0307620000000002</v>
      </c>
      <c r="T4508">
        <v>-0.97986810000000002</v>
      </c>
      <c r="U4508">
        <v>-1.02478</v>
      </c>
      <c r="V4508">
        <v>0.26617039999999997</v>
      </c>
      <c r="W4508">
        <v>0.16981760000000001</v>
      </c>
      <c r="X4508">
        <v>0.94884939999999995</v>
      </c>
      <c r="Y4508">
        <v>0.3013747</v>
      </c>
      <c r="Z4508">
        <v>-4.6997169999999998E-2</v>
      </c>
      <c r="AA4508">
        <v>0.9523469</v>
      </c>
      <c r="AB4508">
        <v>33</v>
      </c>
      <c r="AC4508">
        <v>3.2832000000000199</v>
      </c>
      <c r="AD4508">
        <v>-1.1201218407519999</v>
      </c>
      <c r="AE4508">
        <v>-1.1701899999999901</v>
      </c>
      <c r="AF4508">
        <v>1.0459609280739399</v>
      </c>
      <c r="AG4508">
        <v>-1.1201218407519999</v>
      </c>
      <c r="AH4508">
        <v>2.9810596220462098</v>
      </c>
      <c r="AI4508">
        <v>109.522218049649</v>
      </c>
      <c r="AJ4508">
        <v>70.665617650890397</v>
      </c>
      <c r="AK4508">
        <v>3.3519283511706002</v>
      </c>
      <c r="AL4508">
        <v>80.222785313998997</v>
      </c>
      <c r="AM4508">
        <v>74.330176157081794</v>
      </c>
      <c r="AN4508">
        <v>0.99999994149313798</v>
      </c>
    </row>
    <row r="4509" spans="1:40" x14ac:dyDescent="0.25">
      <c r="A4509" t="str">
        <f>"20190303162644495"</f>
        <v>20190303162644495</v>
      </c>
      <c r="B4509" t="str">
        <f>"1551601604488740"</f>
        <v>1551601604488740</v>
      </c>
      <c r="C4509" t="s">
        <v>40</v>
      </c>
      <c r="D4509">
        <v>4.5762349999999996</v>
      </c>
      <c r="E4509">
        <v>0.53776869999999999</v>
      </c>
      <c r="F4509" t="s">
        <v>41</v>
      </c>
      <c r="G4509">
        <v>-323.26130000000001</v>
      </c>
      <c r="H4509" s="1">
        <v>-3.8961489999999997E-6</v>
      </c>
      <c r="I4509">
        <v>15.49957</v>
      </c>
      <c r="J4509">
        <v>-326.45240000000001</v>
      </c>
      <c r="K4509">
        <v>1.119969</v>
      </c>
      <c r="L4509">
        <v>16.66376</v>
      </c>
      <c r="M4509">
        <v>0.99989150000000004</v>
      </c>
      <c r="N4509">
        <v>-1.3509210000000001E-2</v>
      </c>
      <c r="O4509">
        <v>-5.8910630000000002E-3</v>
      </c>
      <c r="P4509">
        <v>0.94904699999999997</v>
      </c>
      <c r="Q4509">
        <v>0.157515299999999</v>
      </c>
      <c r="R4509">
        <v>-0.27294550000000001</v>
      </c>
      <c r="S4509">
        <v>3.0285950000000001</v>
      </c>
      <c r="T4509">
        <v>-0.99719990000000003</v>
      </c>
      <c r="U4509">
        <v>-1.038116</v>
      </c>
      <c r="V4509">
        <v>0.26779309999999901</v>
      </c>
      <c r="W4509">
        <v>0.16964470000000001</v>
      </c>
      <c r="X4509">
        <v>0.94842369999999998</v>
      </c>
      <c r="Y4509">
        <v>0.3038651</v>
      </c>
      <c r="Z4509">
        <v>-4.7874809999999997E-2</v>
      </c>
      <c r="AA4509">
        <v>0.95151140000000001</v>
      </c>
      <c r="AB4509">
        <v>33</v>
      </c>
      <c r="AC4509">
        <v>3.1911</v>
      </c>
      <c r="AD4509">
        <v>-1.1199728961489901</v>
      </c>
      <c r="AE4509">
        <v>-1.1641899999999901</v>
      </c>
      <c r="AF4509">
        <v>1.03306517128068</v>
      </c>
      <c r="AG4509">
        <v>-1.1199728961489901</v>
      </c>
      <c r="AH4509">
        <v>2.8843477253637002</v>
      </c>
      <c r="AI4509">
        <v>110.080080536331</v>
      </c>
      <c r="AJ4509">
        <v>70.294380556626805</v>
      </c>
      <c r="AK4509">
        <v>3.2620583589249801</v>
      </c>
      <c r="AL4509">
        <v>80.232838104657901</v>
      </c>
      <c r="AM4509">
        <v>74.232656384613506</v>
      </c>
      <c r="AN4509">
        <v>0.99999999168369502</v>
      </c>
    </row>
    <row r="4510" spans="1:40" x14ac:dyDescent="0.25">
      <c r="A4510" t="str">
        <f>"20190303162644507"</f>
        <v>20190303162644507</v>
      </c>
      <c r="B4510" t="str">
        <f>"1551601604498500"</f>
        <v>1551601604498500</v>
      </c>
      <c r="C4510" t="s">
        <v>40</v>
      </c>
      <c r="D4510">
        <v>4.6117910000000002</v>
      </c>
      <c r="E4510">
        <v>0.53737889999999999</v>
      </c>
      <c r="F4510" t="s">
        <v>42</v>
      </c>
      <c r="G4510">
        <v>-325.76459999999997</v>
      </c>
      <c r="H4510">
        <v>0.8921173</v>
      </c>
      <c r="I4510">
        <v>16.42642</v>
      </c>
      <c r="J4510">
        <v>-326.28989999999999</v>
      </c>
      <c r="K4510">
        <v>1.119858</v>
      </c>
      <c r="L4510">
        <v>16.662019999999998</v>
      </c>
      <c r="M4510">
        <v>0.99988630000000001</v>
      </c>
      <c r="N4510">
        <v>-1.3505410000000001E-2</v>
      </c>
      <c r="O4510">
        <v>-6.722123E-3</v>
      </c>
      <c r="P4510">
        <v>0.94858750000000003</v>
      </c>
      <c r="Q4510">
        <v>0.1573647</v>
      </c>
      <c r="R4510">
        <v>-0.27462449999999999</v>
      </c>
      <c r="S4510">
        <v>3.0273439999999998</v>
      </c>
      <c r="T4510">
        <v>-1.0026520000000001</v>
      </c>
      <c r="U4510">
        <v>-1.043671</v>
      </c>
      <c r="V4510">
        <v>0.2687292</v>
      </c>
      <c r="W4510">
        <v>0.16941389999999901</v>
      </c>
      <c r="X4510">
        <v>0.94820020000000005</v>
      </c>
      <c r="Y4510">
        <v>0.30460369999999998</v>
      </c>
      <c r="Z4510">
        <v>-4.7988820000000001E-2</v>
      </c>
      <c r="AA4510">
        <v>0.95126949999999999</v>
      </c>
      <c r="AB4510">
        <v>33</v>
      </c>
      <c r="AC4510">
        <v>0.52530000000001498</v>
      </c>
      <c r="AD4510">
        <v>-0.22774069999999899</v>
      </c>
      <c r="AE4510">
        <v>-0.235600000000001</v>
      </c>
      <c r="AF4510">
        <v>0.20066292568657901</v>
      </c>
      <c r="AG4510">
        <v>-0.22774069999999899</v>
      </c>
      <c r="AH4510">
        <v>0.45558135745358902</v>
      </c>
      <c r="AI4510">
        <v>114.583165939502</v>
      </c>
      <c r="AJ4510">
        <v>66.228685004942307</v>
      </c>
      <c r="AK4510">
        <v>0.54743566694255696</v>
      </c>
      <c r="AL4510">
        <v>80.246256630726805</v>
      </c>
      <c r="AM4510">
        <v>74.176752118709601</v>
      </c>
      <c r="AN4510">
        <v>1.00000003586294</v>
      </c>
    </row>
    <row r="4511" spans="1:40" x14ac:dyDescent="0.25">
      <c r="A4511" t="str">
        <f>"20190303162644520"</f>
        <v>20190303162644520</v>
      </c>
      <c r="B4511" t="str">
        <f>"1551601604508260"</f>
        <v>1551601604508260</v>
      </c>
      <c r="C4511" t="s">
        <v>40</v>
      </c>
      <c r="D4511">
        <v>4.6844939999999999</v>
      </c>
      <c r="E4511">
        <v>0.53755540000000002</v>
      </c>
      <c r="F4511" t="s">
        <v>41</v>
      </c>
      <c r="G4511">
        <v>-322.9126</v>
      </c>
      <c r="H4511" s="1">
        <v>-4.06173E-6</v>
      </c>
      <c r="I4511">
        <v>15.49525</v>
      </c>
      <c r="J4511">
        <v>-326.09530000000001</v>
      </c>
      <c r="K4511">
        <v>1.1197170000000001</v>
      </c>
      <c r="L4511">
        <v>16.65982</v>
      </c>
      <c r="M4511">
        <v>0.99987890000000001</v>
      </c>
      <c r="N4511">
        <v>-1.3498380000000001E-2</v>
      </c>
      <c r="O4511">
        <v>-7.7612469999999998E-3</v>
      </c>
      <c r="P4511">
        <v>0.94818780000000003</v>
      </c>
      <c r="Q4511">
        <v>0.15722900000000001</v>
      </c>
      <c r="R4511">
        <v>-0.27607890000000002</v>
      </c>
      <c r="S4511">
        <v>3.026367</v>
      </c>
      <c r="T4511">
        <v>-1.0035000000000001</v>
      </c>
      <c r="U4511">
        <v>-1.0455319999999999</v>
      </c>
      <c r="V4511">
        <v>0.26925110000000002</v>
      </c>
      <c r="W4511">
        <v>0.16918459999999999</v>
      </c>
      <c r="X4511">
        <v>0.94809310000000002</v>
      </c>
      <c r="Y4511">
        <v>0.30427110000000002</v>
      </c>
      <c r="Z4511">
        <v>-4.7666020000000003E-2</v>
      </c>
      <c r="AA4511">
        <v>0.95139220000000002</v>
      </c>
      <c r="AB4511">
        <v>33</v>
      </c>
      <c r="AC4511">
        <v>3.1827000000000099</v>
      </c>
      <c r="AD4511">
        <v>-1.11972106173</v>
      </c>
      <c r="AE4511">
        <v>-1.1645699999999899</v>
      </c>
      <c r="AF4511">
        <v>1.0276536185307299</v>
      </c>
      <c r="AG4511">
        <v>-1.11972106173</v>
      </c>
      <c r="AH4511">
        <v>2.8775354385354399</v>
      </c>
      <c r="AI4511">
        <v>110.125706602254</v>
      </c>
      <c r="AJ4511">
        <v>70.346840090621598</v>
      </c>
      <c r="AK4511">
        <v>3.2542368407644302</v>
      </c>
      <c r="AL4511">
        <v>80.259587168404195</v>
      </c>
      <c r="AM4511">
        <v>74.145864059706696</v>
      </c>
      <c r="AN4511">
        <v>1.0000000549979799</v>
      </c>
    </row>
    <row r="4512" spans="1:40" x14ac:dyDescent="0.25">
      <c r="A4512" t="str">
        <f>"20190303162644535"</f>
        <v>20190303162644535</v>
      </c>
      <c r="B4512" t="str">
        <f>"1551601604528119"</f>
        <v>1551601604528119</v>
      </c>
      <c r="C4512" t="s">
        <v>40</v>
      </c>
      <c r="D4512">
        <v>4.6651669999999896</v>
      </c>
      <c r="E4512">
        <v>0.53625489999999998</v>
      </c>
      <c r="F4512" t="s">
        <v>41</v>
      </c>
      <c r="G4512">
        <v>-322.71289999999999</v>
      </c>
      <c r="H4512" s="1">
        <v>-4.1580130000000004E-6</v>
      </c>
      <c r="I4512">
        <v>15.48475</v>
      </c>
      <c r="J4512">
        <v>-325.85070000000002</v>
      </c>
      <c r="K4512">
        <v>1.119548</v>
      </c>
      <c r="L4512">
        <v>16.656589999999898</v>
      </c>
      <c r="M4512">
        <v>0.9998669</v>
      </c>
      <c r="N4512">
        <v>-1.347745E-2</v>
      </c>
      <c r="O4512">
        <v>-9.2041729999999995E-3</v>
      </c>
      <c r="P4512">
        <v>0.94828950000000001</v>
      </c>
      <c r="Q4512">
        <v>0.156529799999999</v>
      </c>
      <c r="R4512">
        <v>-0.2761267</v>
      </c>
      <c r="S4512">
        <v>3.0240480000000001</v>
      </c>
      <c r="T4512">
        <v>-1.0010840000000001</v>
      </c>
      <c r="U4512">
        <v>-1.0505679999999999</v>
      </c>
      <c r="V4512">
        <v>0.26798880000000003</v>
      </c>
      <c r="W4512">
        <v>0.1683743</v>
      </c>
      <c r="X4512">
        <v>0.94859479999999996</v>
      </c>
      <c r="Y4512">
        <v>0.30464760000000002</v>
      </c>
      <c r="Z4512">
        <v>-4.7206499999999998E-2</v>
      </c>
      <c r="AA4512">
        <v>0.95129459999999999</v>
      </c>
      <c r="AB4512">
        <v>33</v>
      </c>
      <c r="AC4512">
        <v>3.1378000000000199</v>
      </c>
      <c r="AD4512">
        <v>-1.1195521580129999</v>
      </c>
      <c r="AE4512">
        <v>-1.17183999999999</v>
      </c>
      <c r="AF4512">
        <v>1.02805194360188</v>
      </c>
      <c r="AG4512">
        <v>-1.1195521580129999</v>
      </c>
      <c r="AH4512">
        <v>2.83205409866664</v>
      </c>
      <c r="AI4512">
        <v>110.38452255518899</v>
      </c>
      <c r="AJ4512">
        <v>70.048811318067493</v>
      </c>
      <c r="AK4512">
        <v>3.2141590270286402</v>
      </c>
      <c r="AL4512">
        <v>80.306689121538597</v>
      </c>
      <c r="AM4512">
        <v>74.224411665142298</v>
      </c>
      <c r="AN4512">
        <v>0.999999998206485</v>
      </c>
    </row>
    <row r="4513" spans="1:40" x14ac:dyDescent="0.25">
      <c r="A4513" t="str">
        <f>"20190303162644559"</f>
        <v>20190303162644559</v>
      </c>
      <c r="B4513" t="str">
        <f>"1551601604548615"</f>
        <v>1551601604548615</v>
      </c>
      <c r="C4513" t="s">
        <v>40</v>
      </c>
      <c r="D4513">
        <v>4.6545809999999896</v>
      </c>
      <c r="E4513">
        <v>0.48071140000000001</v>
      </c>
      <c r="F4513" t="s">
        <v>42</v>
      </c>
      <c r="G4513">
        <v>-325.17</v>
      </c>
      <c r="H4513">
        <v>0.89373919999999996</v>
      </c>
      <c r="I4513">
        <v>16.422639999999902</v>
      </c>
      <c r="J4513">
        <v>-325.53019999999998</v>
      </c>
      <c r="K4513">
        <v>1.119335</v>
      </c>
      <c r="L4513">
        <v>16.651669999999999</v>
      </c>
      <c r="M4513">
        <v>0.99984629999999997</v>
      </c>
      <c r="N4513">
        <v>-1.342322E-2</v>
      </c>
      <c r="O4513">
        <v>-1.128594E-2</v>
      </c>
      <c r="P4513">
        <v>0.94842090000000001</v>
      </c>
      <c r="Q4513">
        <v>0.15475359999999999</v>
      </c>
      <c r="R4513">
        <v>-0.27667550000000002</v>
      </c>
      <c r="S4513">
        <v>3.026764</v>
      </c>
      <c r="T4513">
        <v>-1.0039670000000001</v>
      </c>
      <c r="U4513">
        <v>-1.0391239999999999</v>
      </c>
      <c r="V4513">
        <v>0.266629</v>
      </c>
      <c r="W4513">
        <v>0.16643369999999999</v>
      </c>
      <c r="X4513">
        <v>0.9493201</v>
      </c>
      <c r="Y4513">
        <v>0.29947020000000002</v>
      </c>
      <c r="Z4513">
        <v>-4.5829219999999997E-2</v>
      </c>
      <c r="AA4513">
        <v>0.95300439999999997</v>
      </c>
      <c r="AB4513">
        <v>33</v>
      </c>
      <c r="AC4513">
        <v>0.36019999999996299</v>
      </c>
      <c r="AD4513">
        <v>-0.22559580000000001</v>
      </c>
      <c r="AE4513">
        <v>-0.22903000000000501</v>
      </c>
      <c r="AF4513">
        <v>0.17583419885667101</v>
      </c>
      <c r="AG4513">
        <v>-0.22559580000000001</v>
      </c>
      <c r="AH4513">
        <v>0.28355646658136802</v>
      </c>
      <c r="AI4513">
        <v>124.064443824699</v>
      </c>
      <c r="AJ4513">
        <v>58.196826982909499</v>
      </c>
      <c r="AK4513">
        <v>0.402759730118737</v>
      </c>
      <c r="AL4513">
        <v>80.419468138904406</v>
      </c>
      <c r="AM4513">
        <v>74.311906240369197</v>
      </c>
      <c r="AN4513">
        <v>0.99999992620034694</v>
      </c>
    </row>
    <row r="4514" spans="1:40" x14ac:dyDescent="0.25">
      <c r="A4514" t="str">
        <f>"20190303162644573"</f>
        <v>20190303162644573</v>
      </c>
      <c r="B4514" t="str">
        <f>"1551601604569111"</f>
        <v>1551601604569111</v>
      </c>
      <c r="C4514" t="s">
        <v>40</v>
      </c>
      <c r="D4514">
        <v>4.6371659999999997</v>
      </c>
      <c r="E4514">
        <v>0.47026689999999999</v>
      </c>
      <c r="F4514" t="s">
        <v>42</v>
      </c>
      <c r="G4514">
        <v>-324.6037</v>
      </c>
      <c r="H4514">
        <v>0.8336365</v>
      </c>
      <c r="I4514">
        <v>16.470050000000001</v>
      </c>
      <c r="J4514">
        <v>-325.3023</v>
      </c>
      <c r="K4514">
        <v>1.1191739999999999</v>
      </c>
      <c r="L4514">
        <v>16.647549999999999</v>
      </c>
      <c r="M4514">
        <v>0.99982749999999998</v>
      </c>
      <c r="N4514">
        <v>-1.3351170000000001E-2</v>
      </c>
      <c r="O4514">
        <v>-1.2922599999999999E-2</v>
      </c>
      <c r="P4514">
        <v>0.94807750000000002</v>
      </c>
      <c r="Q4514">
        <v>0.1539732</v>
      </c>
      <c r="R4514">
        <v>-0.27828380000000003</v>
      </c>
      <c r="S4514">
        <v>3.1417540000000002</v>
      </c>
      <c r="T4514">
        <v>-0.9686321</v>
      </c>
      <c r="U4514">
        <v>-0.61511229999999995</v>
      </c>
      <c r="V4514">
        <v>0.26673649999999999</v>
      </c>
      <c r="W4514">
        <v>0.16549559999999999</v>
      </c>
      <c r="X4514">
        <v>0.94945389999999996</v>
      </c>
      <c r="Y4514">
        <v>0.17191799999999999</v>
      </c>
      <c r="Z4514">
        <v>-2.3166599999999999E-2</v>
      </c>
      <c r="AA4514">
        <v>0.98483880000000001</v>
      </c>
      <c r="AB4514">
        <v>33</v>
      </c>
      <c r="AC4514">
        <v>0.698599999999999</v>
      </c>
      <c r="AD4514">
        <v>-0.285537499999999</v>
      </c>
      <c r="AE4514">
        <v>-0.17749999999999799</v>
      </c>
      <c r="AF4514">
        <v>0.145606851556216</v>
      </c>
      <c r="AG4514">
        <v>-0.285537499999999</v>
      </c>
      <c r="AH4514">
        <v>0.60577289092961994</v>
      </c>
      <c r="AI4514">
        <v>114.622321386875</v>
      </c>
      <c r="AJ4514">
        <v>76.484471968988203</v>
      </c>
      <c r="AK4514">
        <v>0.68534211494084796</v>
      </c>
      <c r="AL4514">
        <v>80.473973255934197</v>
      </c>
      <c r="AM4514">
        <v>74.307995398510997</v>
      </c>
      <c r="AN4514">
        <v>0.99999993113840702</v>
      </c>
    </row>
    <row r="4515" spans="1:40" x14ac:dyDescent="0.25">
      <c r="A4515" t="str">
        <f>"20190303162644587"</f>
        <v>20190303162644587</v>
      </c>
      <c r="B4515" t="str">
        <f>"1551601604578871"</f>
        <v>1551601604578871</v>
      </c>
      <c r="C4515" t="s">
        <v>40</v>
      </c>
      <c r="D4515">
        <v>4.5990630000000001</v>
      </c>
      <c r="E4515">
        <v>0.46885450000000001</v>
      </c>
      <c r="F4515" t="s">
        <v>42</v>
      </c>
      <c r="G4515">
        <v>-324.5806</v>
      </c>
      <c r="H4515">
        <v>0.89361349999999995</v>
      </c>
      <c r="I4515">
        <v>16.52459</v>
      </c>
      <c r="J4515">
        <v>-325.09879999999998</v>
      </c>
      <c r="K4515">
        <v>1.119041</v>
      </c>
      <c r="L4515">
        <v>16.643519999999999</v>
      </c>
      <c r="M4515">
        <v>0.99980740000000001</v>
      </c>
      <c r="N4515">
        <v>-1.327586E-2</v>
      </c>
      <c r="O4515">
        <v>-1.4455819999999999E-2</v>
      </c>
      <c r="P4515">
        <v>0.94770310000000002</v>
      </c>
      <c r="Q4515">
        <v>0.1534404</v>
      </c>
      <c r="R4515">
        <v>-0.27984870000000001</v>
      </c>
      <c r="S4515">
        <v>3.1669309999999999</v>
      </c>
      <c r="T4515">
        <v>-0.98947669999999999</v>
      </c>
      <c r="U4515">
        <v>-0.53854369999999996</v>
      </c>
      <c r="V4515">
        <v>0.26689210000000002</v>
      </c>
      <c r="W4515">
        <v>0.16481419999999999</v>
      </c>
      <c r="X4515">
        <v>0.94952879999999995</v>
      </c>
      <c r="Y4515">
        <v>0.14687459999999999</v>
      </c>
      <c r="Z4515">
        <v>-1.907234E-2</v>
      </c>
      <c r="AA4515">
        <v>0.98897120000000005</v>
      </c>
      <c r="AB4515">
        <v>33</v>
      </c>
      <c r="AC4515">
        <v>0.51819999999997801</v>
      </c>
      <c r="AD4515">
        <v>-0.225427499999999</v>
      </c>
      <c r="AE4515">
        <v>-0.11893000000000201</v>
      </c>
      <c r="AF4515">
        <v>9.44468679471476E-2</v>
      </c>
      <c r="AG4515">
        <v>-0.225427499999999</v>
      </c>
      <c r="AH4515">
        <v>0.440648360881361</v>
      </c>
      <c r="AI4515">
        <v>116.575150285063</v>
      </c>
      <c r="AJ4515">
        <v>77.902480715119296</v>
      </c>
      <c r="AK4515">
        <v>0.50389358655246497</v>
      </c>
      <c r="AL4515">
        <v>80.513559123769298</v>
      </c>
      <c r="AM4515">
        <v>74.300470233666204</v>
      </c>
      <c r="AN4515">
        <v>1.00000002779674</v>
      </c>
    </row>
    <row r="4516" spans="1:40" x14ac:dyDescent="0.25">
      <c r="A4516" t="str">
        <f>"20190303162644604"</f>
        <v>20190303162644604</v>
      </c>
      <c r="B4516" t="str">
        <f>"1551601604598391"</f>
        <v>1551601604598391</v>
      </c>
      <c r="C4516" t="s">
        <v>40</v>
      </c>
      <c r="D4516">
        <v>4.5740589999999903</v>
      </c>
      <c r="E4516">
        <v>0.4685049</v>
      </c>
      <c r="F4516" t="s">
        <v>42</v>
      </c>
      <c r="G4516">
        <v>-324.29430000000002</v>
      </c>
      <c r="H4516">
        <v>0.86601070000000002</v>
      </c>
      <c r="I4516">
        <v>16.508209999999998</v>
      </c>
      <c r="J4516">
        <v>-324.84890000000001</v>
      </c>
      <c r="K4516">
        <v>1.118873</v>
      </c>
      <c r="L4516">
        <v>16.638089999999998</v>
      </c>
      <c r="M4516">
        <v>0.99977819999999995</v>
      </c>
      <c r="N4516">
        <v>-1.316201E-2</v>
      </c>
      <c r="O4516">
        <v>-1.6438810000000002E-2</v>
      </c>
      <c r="P4516">
        <v>0.94696820000000004</v>
      </c>
      <c r="Q4516">
        <v>0.15388769999999999</v>
      </c>
      <c r="R4516">
        <v>-0.28208149999999999</v>
      </c>
      <c r="S4516">
        <v>3.1696170000000001</v>
      </c>
      <c r="T4516">
        <v>-0.99679839999999997</v>
      </c>
      <c r="U4516">
        <v>-0.53265379999999996</v>
      </c>
      <c r="V4516">
        <v>0.26730809999999999</v>
      </c>
      <c r="W4516">
        <v>0.16505590000000001</v>
      </c>
      <c r="X4516">
        <v>0.94936969999999998</v>
      </c>
      <c r="Y4516">
        <v>0.1431752</v>
      </c>
      <c r="Z4516">
        <v>-1.800819E-2</v>
      </c>
      <c r="AA4516">
        <v>0.98953349999999995</v>
      </c>
      <c r="AB4516">
        <v>33</v>
      </c>
      <c r="AC4516">
        <v>0.55459999999999299</v>
      </c>
      <c r="AD4516">
        <v>-0.25286229999999998</v>
      </c>
      <c r="AE4516">
        <v>-0.129879999999996</v>
      </c>
      <c r="AF4516">
        <v>0.100866863937877</v>
      </c>
      <c r="AG4516">
        <v>-0.25286229999999998</v>
      </c>
      <c r="AH4516">
        <v>0.46501902415087598</v>
      </c>
      <c r="AI4516">
        <v>117.986624589256</v>
      </c>
      <c r="AJ4516">
        <v>77.761609724538502</v>
      </c>
      <c r="AK4516">
        <v>0.53884706533875204</v>
      </c>
      <c r="AL4516">
        <v>80.499517682197407</v>
      </c>
      <c r="AM4516">
        <v>74.274704322099893</v>
      </c>
      <c r="AN4516">
        <v>0.99999994886425303</v>
      </c>
    </row>
    <row r="4517" spans="1:40" x14ac:dyDescent="0.25">
      <c r="A4517" t="str">
        <f>"20190303162644620"</f>
        <v>20190303162644620</v>
      </c>
      <c r="B4517" t="str">
        <f>"1551601604608150"</f>
        <v>1551601604608150</v>
      </c>
      <c r="C4517" t="s">
        <v>40</v>
      </c>
      <c r="D4517">
        <v>4.5082060000000004</v>
      </c>
      <c r="E4517">
        <v>0.46820279999999997</v>
      </c>
      <c r="F4517" t="s">
        <v>42</v>
      </c>
      <c r="G4517">
        <v>-324.0025</v>
      </c>
      <c r="H4517">
        <v>0.85121259999999999</v>
      </c>
      <c r="I4517">
        <v>16.493690000000001</v>
      </c>
      <c r="J4517">
        <v>-324.60149999999999</v>
      </c>
      <c r="K4517">
        <v>1.1187020000000001</v>
      </c>
      <c r="L4517">
        <v>16.63214</v>
      </c>
      <c r="M4517">
        <v>0.99974359999999995</v>
      </c>
      <c r="N4517">
        <v>-1.3017519999999999E-2</v>
      </c>
      <c r="O4517">
        <v>-1.8531160000000001E-2</v>
      </c>
      <c r="P4517">
        <v>0.94620360000000003</v>
      </c>
      <c r="Q4517">
        <v>0.15474099999999999</v>
      </c>
      <c r="R4517">
        <v>-0.28417360000000003</v>
      </c>
      <c r="S4517">
        <v>3.1698300000000001</v>
      </c>
      <c r="T4517">
        <v>-1.0024519999999999</v>
      </c>
      <c r="U4517">
        <v>-0.54077149999999996</v>
      </c>
      <c r="V4517">
        <v>0.26748480000000002</v>
      </c>
      <c r="W4517">
        <v>0.16567379999999901</v>
      </c>
      <c r="X4517">
        <v>0.94921239999999996</v>
      </c>
      <c r="Y4517">
        <v>0.14357029999999901</v>
      </c>
      <c r="Z4517">
        <v>-1.7530830000000001E-2</v>
      </c>
      <c r="AA4517">
        <v>0.98948480000000005</v>
      </c>
      <c r="AB4517">
        <v>33</v>
      </c>
      <c r="AC4517">
        <v>0.59899999999998899</v>
      </c>
      <c r="AD4517">
        <v>-0.26748939999999999</v>
      </c>
      <c r="AE4517">
        <v>-0.13844999999999799</v>
      </c>
      <c r="AF4517">
        <v>0.107058641172202</v>
      </c>
      <c r="AG4517">
        <v>-0.26748939999999999</v>
      </c>
      <c r="AH4517">
        <v>0.50572747088986802</v>
      </c>
      <c r="AI4517">
        <v>117.359424699543</v>
      </c>
      <c r="AJ4517">
        <v>78.047383093424202</v>
      </c>
      <c r="AK4517">
        <v>0.58204158491869096</v>
      </c>
      <c r="AL4517">
        <v>80.463621405309098</v>
      </c>
      <c r="AM4517">
        <v>74.262345643392507</v>
      </c>
      <c r="AN4517">
        <v>1.0000000532756099</v>
      </c>
    </row>
    <row r="4518" spans="1:40" x14ac:dyDescent="0.25">
      <c r="A4518" t="str">
        <f>"20190303162644638"</f>
        <v>20190303162644638</v>
      </c>
      <c r="B4518" t="str">
        <f>"1551601604628177"</f>
        <v>1551601604628177</v>
      </c>
      <c r="C4518" t="s">
        <v>40</v>
      </c>
      <c r="D4518">
        <v>4.5830029999999997</v>
      </c>
      <c r="E4518">
        <v>0.46904269999999998</v>
      </c>
      <c r="F4518" t="s">
        <v>42</v>
      </c>
      <c r="G4518">
        <v>-323.70999999999998</v>
      </c>
      <c r="H4518">
        <v>0.8373159</v>
      </c>
      <c r="I4518">
        <v>16.477889999999999</v>
      </c>
      <c r="J4518">
        <v>-324.34100000000001</v>
      </c>
      <c r="K4518">
        <v>1.1185099999999999</v>
      </c>
      <c r="L4518">
        <v>16.625209999999999</v>
      </c>
      <c r="M4518">
        <v>0.99969980000000003</v>
      </c>
      <c r="N4518">
        <v>-1.2834730000000001E-2</v>
      </c>
      <c r="O4518">
        <v>-2.0877630000000001E-2</v>
      </c>
      <c r="P4518">
        <v>0.9451619</v>
      </c>
      <c r="Q4518">
        <v>0.155739299999999</v>
      </c>
      <c r="R4518">
        <v>-0.2870801</v>
      </c>
      <c r="S4518">
        <v>3.1695250000000001</v>
      </c>
      <c r="T4518">
        <v>-1.00031</v>
      </c>
      <c r="U4518">
        <v>-0.54818730000000004</v>
      </c>
      <c r="V4518">
        <v>0.26824769999999998</v>
      </c>
      <c r="W4518">
        <v>0.16638620000000001</v>
      </c>
      <c r="X4518">
        <v>0.94887239999999995</v>
      </c>
      <c r="Y4518">
        <v>0.14364560000000001</v>
      </c>
      <c r="Z4518">
        <v>-1.6803240000000001E-2</v>
      </c>
      <c r="AA4518">
        <v>0.98948650000000005</v>
      </c>
      <c r="AB4518">
        <v>33</v>
      </c>
      <c r="AC4518">
        <v>0.63100000000002798</v>
      </c>
      <c r="AD4518">
        <v>-0.2811941</v>
      </c>
      <c r="AE4518">
        <v>-0.14732000000000001</v>
      </c>
      <c r="AF4518">
        <v>0.11285905116223401</v>
      </c>
      <c r="AG4518">
        <v>-0.2811941</v>
      </c>
      <c r="AH4518">
        <v>0.53347308679557504</v>
      </c>
      <c r="AI4518">
        <v>117.27957730852501</v>
      </c>
      <c r="AJ4518">
        <v>78.054900162329602</v>
      </c>
      <c r="AK4518">
        <v>0.61351513562360405</v>
      </c>
      <c r="AL4518">
        <v>80.422229019592194</v>
      </c>
      <c r="AM4518">
        <v>74.214320031589907</v>
      </c>
      <c r="AN4518">
        <v>1.0000000137937399</v>
      </c>
    </row>
    <row r="4519" spans="1:40" x14ac:dyDescent="0.25">
      <c r="A4519" t="str">
        <f>"20190303162644659"</f>
        <v>20190303162644659</v>
      </c>
      <c r="B4519" t="str">
        <f>"1551601604648674"</f>
        <v>1551601604648674</v>
      </c>
      <c r="C4519" t="s">
        <v>40</v>
      </c>
      <c r="D4519">
        <v>4.5923100000000003</v>
      </c>
      <c r="E4519">
        <v>0.4693485</v>
      </c>
      <c r="F4519" t="s">
        <v>42</v>
      </c>
      <c r="G4519">
        <v>-323.41579999999999</v>
      </c>
      <c r="H4519">
        <v>0.82664919999999997</v>
      </c>
      <c r="I4519">
        <v>16.458320000000001</v>
      </c>
      <c r="J4519">
        <v>-324.03789999999998</v>
      </c>
      <c r="K4519">
        <v>1.118279</v>
      </c>
      <c r="L4519">
        <v>16.616119999999999</v>
      </c>
      <c r="M4519">
        <v>0.99963749999999996</v>
      </c>
      <c r="N4519">
        <v>-1.260704E-2</v>
      </c>
      <c r="O4519">
        <v>-2.3798969999999999E-2</v>
      </c>
      <c r="P4519">
        <v>0.94343619999999995</v>
      </c>
      <c r="Q4519">
        <v>0.1561372</v>
      </c>
      <c r="R4519">
        <v>-0.29248930000000001</v>
      </c>
      <c r="S4519">
        <v>3.1654360000000001</v>
      </c>
      <c r="T4519">
        <v>-0.99827290000000002</v>
      </c>
      <c r="U4519">
        <v>-0.56991579999999997</v>
      </c>
      <c r="V4519">
        <v>0.27099410000000002</v>
      </c>
      <c r="W4519">
        <v>0.1664177</v>
      </c>
      <c r="X4519">
        <v>0.94808610000000004</v>
      </c>
      <c r="Y4519">
        <v>0.14751829999999999</v>
      </c>
      <c r="Z4519">
        <v>-1.6523159999999999E-2</v>
      </c>
      <c r="AA4519">
        <v>0.9889213</v>
      </c>
      <c r="AB4519">
        <v>33</v>
      </c>
      <c r="AC4519">
        <v>0.622099999999989</v>
      </c>
      <c r="AD4519">
        <v>-0.29162979999999999</v>
      </c>
      <c r="AE4519">
        <v>-0.157800000000001</v>
      </c>
      <c r="AF4519">
        <v>0.11848490836676701</v>
      </c>
      <c r="AG4519">
        <v>-0.29162979999999999</v>
      </c>
      <c r="AH4519">
        <v>0.51860240219335696</v>
      </c>
      <c r="AI4519">
        <v>118.732083205492</v>
      </c>
      <c r="AJ4519">
        <v>77.130540607080803</v>
      </c>
      <c r="AK4519">
        <v>0.606658936569339</v>
      </c>
      <c r="AL4519">
        <v>80.420398096754099</v>
      </c>
      <c r="AM4519">
        <v>74.048326665102294</v>
      </c>
      <c r="AN4519">
        <v>0.99999995306065403</v>
      </c>
    </row>
    <row r="4520" spans="1:40" x14ac:dyDescent="0.25">
      <c r="A4520" t="str">
        <f>"20190303162644671"</f>
        <v>20190303162644671</v>
      </c>
      <c r="B4520" t="str">
        <f>"1551601604658434"</f>
        <v>1551601604658434</v>
      </c>
      <c r="C4520" t="s">
        <v>40</v>
      </c>
      <c r="D4520">
        <v>4.5516220000000001</v>
      </c>
      <c r="E4520">
        <v>0.46915560000000001</v>
      </c>
      <c r="F4520" t="s">
        <v>42</v>
      </c>
      <c r="G4520">
        <v>-323.11689999999999</v>
      </c>
      <c r="H4520">
        <v>0.82695810000000003</v>
      </c>
      <c r="I4520">
        <v>16.44294</v>
      </c>
      <c r="J4520">
        <v>-323.84410000000003</v>
      </c>
      <c r="K4520">
        <v>1.118134</v>
      </c>
      <c r="L4520">
        <v>16.609649999999998</v>
      </c>
      <c r="M4520">
        <v>0.99958970000000003</v>
      </c>
      <c r="N4520">
        <v>-1.2462229999999999E-2</v>
      </c>
      <c r="O4520">
        <v>-2.578739E-2</v>
      </c>
      <c r="P4520">
        <v>0.9420115</v>
      </c>
      <c r="Q4520">
        <v>0.15666169999999999</v>
      </c>
      <c r="R4520">
        <v>-0.29676809999999998</v>
      </c>
      <c r="S4520">
        <v>3.1612239999999998</v>
      </c>
      <c r="T4520">
        <v>-0.9997952</v>
      </c>
      <c r="U4520">
        <v>-0.59393309999999999</v>
      </c>
      <c r="V4520">
        <v>0.2734702</v>
      </c>
      <c r="W4520">
        <v>0.16669800000000001</v>
      </c>
      <c r="X4520">
        <v>0.94732559999999999</v>
      </c>
      <c r="Y4520">
        <v>0.1528533</v>
      </c>
      <c r="Z4520">
        <v>-1.6808219999999999E-2</v>
      </c>
      <c r="AA4520">
        <v>0.98810600000000004</v>
      </c>
      <c r="AB4520">
        <v>33</v>
      </c>
      <c r="AC4520">
        <v>0.72720000000003804</v>
      </c>
      <c r="AD4520">
        <v>-0.29117589999999899</v>
      </c>
      <c r="AE4520">
        <v>-0.166709999999998</v>
      </c>
      <c r="AF4520">
        <v>0.128350150549291</v>
      </c>
      <c r="AG4520">
        <v>-0.29117589999999899</v>
      </c>
      <c r="AH4520">
        <v>0.63459559070237603</v>
      </c>
      <c r="AI4520">
        <v>114.214905550718</v>
      </c>
      <c r="AJ4520">
        <v>78.565887216717798</v>
      </c>
      <c r="AK4520">
        <v>0.70990755005545203</v>
      </c>
      <c r="AL4520">
        <v>80.404110869307104</v>
      </c>
      <c r="AM4520">
        <v>73.897838518827896</v>
      </c>
      <c r="AN4520">
        <v>0.99999998295369896</v>
      </c>
    </row>
    <row r="4521" spans="1:40" x14ac:dyDescent="0.25">
      <c r="A4521" t="str">
        <f>"20190303162644683"</f>
        <v>20190303162644683</v>
      </c>
      <c r="B4521" t="str">
        <f>"1551601604677955"</f>
        <v>1551601604677955</v>
      </c>
      <c r="C4521" t="s">
        <v>40</v>
      </c>
      <c r="D4521">
        <v>4.5780979999999998</v>
      </c>
      <c r="E4521">
        <v>0.46890209999999999</v>
      </c>
      <c r="F4521" t="s">
        <v>42</v>
      </c>
      <c r="G4521">
        <v>-323.0949</v>
      </c>
      <c r="H4521">
        <v>0.88124389999999997</v>
      </c>
      <c r="I4521">
        <v>16.4651</v>
      </c>
      <c r="J4521">
        <v>-323.66120000000001</v>
      </c>
      <c r="K4521">
        <v>1.118001</v>
      </c>
      <c r="L4521">
        <v>16.603269999999998</v>
      </c>
      <c r="M4521">
        <v>0.99953970000000003</v>
      </c>
      <c r="N4521">
        <v>-1.232812E-2</v>
      </c>
      <c r="O4521">
        <v>-2.772121E-2</v>
      </c>
      <c r="P4521">
        <v>0.94038719999999998</v>
      </c>
      <c r="Q4521">
        <v>0.15803020000000001</v>
      </c>
      <c r="R4521">
        <v>-0.30116209999999999</v>
      </c>
      <c r="S4521">
        <v>3.1589049999999999</v>
      </c>
      <c r="T4521">
        <v>-0.99865579999999998</v>
      </c>
      <c r="U4521">
        <v>-0.608886699999999</v>
      </c>
      <c r="V4521">
        <v>0.27612609999999999</v>
      </c>
      <c r="W4521">
        <v>0.16783190000000001</v>
      </c>
      <c r="X4521">
        <v>0.94635449999999999</v>
      </c>
      <c r="Y4521">
        <v>0.15555639999999901</v>
      </c>
      <c r="Z4521">
        <v>-1.6645170000000001E-2</v>
      </c>
      <c r="AA4521">
        <v>0.98768679999999998</v>
      </c>
      <c r="AB4521">
        <v>33</v>
      </c>
      <c r="AC4521">
        <v>0.56630000000001202</v>
      </c>
      <c r="AD4521">
        <v>-0.236757099999999</v>
      </c>
      <c r="AE4521">
        <v>-0.13817000000000201</v>
      </c>
      <c r="AF4521">
        <v>0.105082008933658</v>
      </c>
      <c r="AG4521">
        <v>-0.236757099999999</v>
      </c>
      <c r="AH4521">
        <v>0.48920902683321099</v>
      </c>
      <c r="AI4521">
        <v>115.321937856958</v>
      </c>
      <c r="AJ4521">
        <v>77.877083218579301</v>
      </c>
      <c r="AK4521">
        <v>0.55355363329766105</v>
      </c>
      <c r="AL4521">
        <v>80.338215047648703</v>
      </c>
      <c r="AM4521">
        <v>73.733878890096307</v>
      </c>
      <c r="AN4521">
        <v>1.0000000047145301</v>
      </c>
    </row>
    <row r="4522" spans="1:40" x14ac:dyDescent="0.25">
      <c r="A4522" t="str">
        <f>"20190303162644695"</f>
        <v>20190303162644695</v>
      </c>
      <c r="B4522" t="str">
        <f>"1551601604688690"</f>
        <v>1551601604688690</v>
      </c>
      <c r="C4522" t="s">
        <v>40</v>
      </c>
      <c r="D4522">
        <v>4.6140119999999998</v>
      </c>
      <c r="E4522">
        <v>0.4688522</v>
      </c>
      <c r="F4522" t="s">
        <v>42</v>
      </c>
      <c r="G4522">
        <v>-322.80869999999999</v>
      </c>
      <c r="H4522">
        <v>0.84945380000000004</v>
      </c>
      <c r="I4522">
        <v>16.434449999999998</v>
      </c>
      <c r="J4522">
        <v>-323.4744</v>
      </c>
      <c r="K4522">
        <v>1.1178669999999999</v>
      </c>
      <c r="L4522">
        <v>16.596339999999898</v>
      </c>
      <c r="M4522">
        <v>0.9994826</v>
      </c>
      <c r="N4522">
        <v>-1.219437E-2</v>
      </c>
      <c r="O4522">
        <v>-2.9764229999999999E-2</v>
      </c>
      <c r="P4522">
        <v>0.93871280000000001</v>
      </c>
      <c r="Q4522">
        <v>0.15965360000000001</v>
      </c>
      <c r="R4522">
        <v>-0.3054984</v>
      </c>
      <c r="S4522">
        <v>3.1570740000000002</v>
      </c>
      <c r="T4522">
        <v>-0.99437569999999997</v>
      </c>
      <c r="U4522">
        <v>-0.62506099999999998</v>
      </c>
      <c r="V4522">
        <v>0.27863139999999997</v>
      </c>
      <c r="W4522">
        <v>0.16921749999999999</v>
      </c>
      <c r="X4522">
        <v>0.94537289999999996</v>
      </c>
      <c r="Y4522">
        <v>0.15852069999999999</v>
      </c>
      <c r="Z4522">
        <v>-1.6442769999999999E-2</v>
      </c>
      <c r="AA4522">
        <v>0.9872187</v>
      </c>
      <c r="AB4522">
        <v>33</v>
      </c>
      <c r="AC4522">
        <v>0.66570000000001495</v>
      </c>
      <c r="AD4522">
        <v>-0.26841319999999902</v>
      </c>
      <c r="AE4522">
        <v>-0.16188999999999901</v>
      </c>
      <c r="AF4522">
        <v>0.12310639876570401</v>
      </c>
      <c r="AG4522">
        <v>-0.26841319999999902</v>
      </c>
      <c r="AH4522">
        <v>0.58103702488633702</v>
      </c>
      <c r="AI4522">
        <v>114.319317057245</v>
      </c>
      <c r="AJ4522">
        <v>78.037445199294993</v>
      </c>
      <c r="AK4522">
        <v>0.651770554443867</v>
      </c>
      <c r="AL4522">
        <v>80.257673721564302</v>
      </c>
      <c r="AM4522">
        <v>73.578081453227696</v>
      </c>
      <c r="AN4522">
        <v>0.99999996971330896</v>
      </c>
    </row>
    <row r="4523" spans="1:40" x14ac:dyDescent="0.25">
      <c r="A4523" t="str">
        <f>"20190303162644710"</f>
        <v>20190303162644710</v>
      </c>
      <c r="B4523" t="str">
        <f>"1551601604698450"</f>
        <v>1551601604698450</v>
      </c>
      <c r="C4523" t="s">
        <v>40</v>
      </c>
      <c r="D4523">
        <v>4.5938489999999996</v>
      </c>
      <c r="E4523">
        <v>0.46861900000000001</v>
      </c>
      <c r="F4523" t="s">
        <v>42</v>
      </c>
      <c r="G4523">
        <v>-322.78739999999999</v>
      </c>
      <c r="H4523">
        <v>0.90214130000000003</v>
      </c>
      <c r="I4523">
        <v>16.456440000000001</v>
      </c>
      <c r="J4523">
        <v>-323.27199999999999</v>
      </c>
      <c r="K4523">
        <v>1.117715</v>
      </c>
      <c r="L4523">
        <v>16.58813</v>
      </c>
      <c r="M4523">
        <v>0.9994113</v>
      </c>
      <c r="N4523">
        <v>-1.205873E-2</v>
      </c>
      <c r="O4523">
        <v>-3.2122690000000002E-2</v>
      </c>
      <c r="P4523">
        <v>0.93686840000000005</v>
      </c>
      <c r="Q4523">
        <v>0.1616032</v>
      </c>
      <c r="R4523">
        <v>-0.31010130000000002</v>
      </c>
      <c r="S4523">
        <v>3.1552730000000002</v>
      </c>
      <c r="T4523">
        <v>-0.99064450000000004</v>
      </c>
      <c r="U4523">
        <v>-0.64239499999999905</v>
      </c>
      <c r="V4523">
        <v>0.28112880000000001</v>
      </c>
      <c r="W4523">
        <v>0.1709077</v>
      </c>
      <c r="X4523">
        <v>0.94432899999999997</v>
      </c>
      <c r="Y4523">
        <v>0.16152159999999999</v>
      </c>
      <c r="Z4523">
        <v>-1.6161620000000002E-2</v>
      </c>
      <c r="AA4523">
        <v>0.98673679999999997</v>
      </c>
      <c r="AB4523">
        <v>33</v>
      </c>
      <c r="AC4523">
        <v>0.48459999999999998</v>
      </c>
      <c r="AD4523">
        <v>-0.21557370000000001</v>
      </c>
      <c r="AE4523">
        <v>-0.131689999999998</v>
      </c>
      <c r="AF4523">
        <v>9.7995481783022198E-2</v>
      </c>
      <c r="AG4523">
        <v>-0.21557370000000001</v>
      </c>
      <c r="AH4523">
        <v>0.41255427083715501</v>
      </c>
      <c r="AI4523">
        <v>116.948271502892</v>
      </c>
      <c r="AJ4523">
        <v>76.637961768232401</v>
      </c>
      <c r="AK4523">
        <v>0.47568493876467499</v>
      </c>
      <c r="AL4523">
        <v>80.159401683568305</v>
      </c>
      <c r="AM4523">
        <v>73.421616890365101</v>
      </c>
      <c r="AN4523">
        <v>1.00000005217486</v>
      </c>
    </row>
    <row r="4524" spans="1:40" x14ac:dyDescent="0.25">
      <c r="A4524" t="str">
        <f>"20190303162644726"</f>
        <v>20190303162644726</v>
      </c>
      <c r="B4524" t="str">
        <f>"1551601604717970"</f>
        <v>1551601604717970</v>
      </c>
      <c r="C4524" t="s">
        <v>40</v>
      </c>
      <c r="D4524">
        <v>4.6432479999999998</v>
      </c>
      <c r="E4524">
        <v>0.46789259999999999</v>
      </c>
      <c r="F4524" t="s">
        <v>42</v>
      </c>
      <c r="G4524">
        <v>-322.49849999999998</v>
      </c>
      <c r="H4524">
        <v>0.87616709999999998</v>
      </c>
      <c r="I4524">
        <v>16.426079999999999</v>
      </c>
      <c r="J4524">
        <v>-323.02010000000001</v>
      </c>
      <c r="K4524">
        <v>1.117513</v>
      </c>
      <c r="L4524">
        <v>16.577269999999999</v>
      </c>
      <c r="M4524">
        <v>0.99930929999999996</v>
      </c>
      <c r="N4524">
        <v>-1.1899669999999999E-2</v>
      </c>
      <c r="O4524">
        <v>-3.5202940000000002E-2</v>
      </c>
      <c r="P4524">
        <v>0.9339132</v>
      </c>
      <c r="Q4524">
        <v>0.16519979999999901</v>
      </c>
      <c r="R4524">
        <v>-0.31704179999999998</v>
      </c>
      <c r="S4524">
        <v>3.1535950000000001</v>
      </c>
      <c r="T4524">
        <v>-0.98448570000000002</v>
      </c>
      <c r="U4524">
        <v>-0.65966800000000003</v>
      </c>
      <c r="V4524">
        <v>0.28536060000000002</v>
      </c>
      <c r="W4524">
        <v>0.17416309999999999</v>
      </c>
      <c r="X4524">
        <v>0.94246300000000005</v>
      </c>
      <c r="Y4524">
        <v>0.16387099999999999</v>
      </c>
      <c r="Z4524">
        <v>-1.553248E-2</v>
      </c>
      <c r="AA4524">
        <v>0.98635949999999994</v>
      </c>
      <c r="AB4524">
        <v>33</v>
      </c>
      <c r="AC4524">
        <v>0.52160000000003404</v>
      </c>
      <c r="AD4524">
        <v>-0.241345899999999</v>
      </c>
      <c r="AE4524">
        <v>-0.15119000000000299</v>
      </c>
      <c r="AF4524">
        <v>0.11084180547641501</v>
      </c>
      <c r="AG4524">
        <v>-0.241345899999999</v>
      </c>
      <c r="AH4524">
        <v>0.43974875020413601</v>
      </c>
      <c r="AI4524">
        <v>118.02108724244</v>
      </c>
      <c r="AJ4524">
        <v>75.852878995978102</v>
      </c>
      <c r="AK4524">
        <v>0.51372435468272404</v>
      </c>
      <c r="AL4524">
        <v>79.970040428221495</v>
      </c>
      <c r="AM4524">
        <v>73.154645241308998</v>
      </c>
      <c r="AN4524">
        <v>0.99999998190148398</v>
      </c>
    </row>
    <row r="4525" spans="1:40" x14ac:dyDescent="0.25">
      <c r="A4525" t="str">
        <f>"20190303162644739"</f>
        <v>20190303162644739</v>
      </c>
      <c r="B4525" t="str">
        <f>"1551601604728237"</f>
        <v>1551601604728237</v>
      </c>
      <c r="C4525" t="s">
        <v>40</v>
      </c>
      <c r="D4525">
        <v>4.7189610000000002</v>
      </c>
      <c r="E4525">
        <v>0.46762589999999998</v>
      </c>
      <c r="F4525" t="s">
        <v>42</v>
      </c>
      <c r="G4525">
        <v>-322.20339999999999</v>
      </c>
      <c r="H4525">
        <v>0.86480569999999901</v>
      </c>
      <c r="I4525">
        <v>16.400300000000001</v>
      </c>
      <c r="J4525">
        <v>-322.83</v>
      </c>
      <c r="K4525">
        <v>1.117348</v>
      </c>
      <c r="L4525">
        <v>16.5686</v>
      </c>
      <c r="M4525">
        <v>0.99922230000000001</v>
      </c>
      <c r="N4525">
        <v>-1.17865E-2</v>
      </c>
      <c r="O4525">
        <v>-3.762865E-2</v>
      </c>
      <c r="P4525">
        <v>0.93178459999999996</v>
      </c>
      <c r="Q4525">
        <v>0.16657640000000001</v>
      </c>
      <c r="R4525">
        <v>-0.32253680000000001</v>
      </c>
      <c r="S4525">
        <v>3.1530149999999999</v>
      </c>
      <c r="T4525">
        <v>-0.97553089999999998</v>
      </c>
      <c r="U4525">
        <v>-0.68289180000000005</v>
      </c>
      <c r="V4525">
        <v>0.28871639999999998</v>
      </c>
      <c r="W4525">
        <v>0.17527999999999999</v>
      </c>
      <c r="X4525">
        <v>0.94123310000000004</v>
      </c>
      <c r="Y4525">
        <v>0.1684716</v>
      </c>
      <c r="Z4525">
        <v>-1.540918E-2</v>
      </c>
      <c r="AA4525">
        <v>0.98558599999999996</v>
      </c>
      <c r="AB4525">
        <v>33</v>
      </c>
      <c r="AC4525">
        <v>0.62659999999999605</v>
      </c>
      <c r="AD4525">
        <v>-0.2525423</v>
      </c>
      <c r="AE4525">
        <v>-0.16829999999999801</v>
      </c>
      <c r="AF4525">
        <v>0.125575382457492</v>
      </c>
      <c r="AG4525">
        <v>-0.2525423</v>
      </c>
      <c r="AH4525">
        <v>0.54927068021710401</v>
      </c>
      <c r="AI4525">
        <v>114.142546580461</v>
      </c>
      <c r="AJ4525">
        <v>77.122242723900598</v>
      </c>
      <c r="AK4525">
        <v>0.617450459644169</v>
      </c>
      <c r="AL4525">
        <v>79.905047147336106</v>
      </c>
      <c r="AM4525">
        <v>72.946986222463906</v>
      </c>
      <c r="AN4525">
        <v>0.99999999328228495</v>
      </c>
    </row>
    <row r="4526" spans="1:40" x14ac:dyDescent="0.25">
      <c r="A4526" t="str">
        <f>"20190303162644753"</f>
        <v>20190303162644753</v>
      </c>
      <c r="B4526" t="str">
        <f>"1551601604748733"</f>
        <v>1551601604748733</v>
      </c>
      <c r="C4526" t="s">
        <v>40</v>
      </c>
      <c r="D4526">
        <v>4.780767</v>
      </c>
      <c r="E4526">
        <v>0.4677828</v>
      </c>
      <c r="F4526" t="s">
        <v>42</v>
      </c>
      <c r="G4526">
        <v>-321.91559999999998</v>
      </c>
      <c r="H4526">
        <v>0.83540669999999995</v>
      </c>
      <c r="I4526">
        <v>16.36534</v>
      </c>
      <c r="J4526">
        <v>-322.61900000000003</v>
      </c>
      <c r="K4526">
        <v>1.117154</v>
      </c>
      <c r="L4526">
        <v>16.558070000000001</v>
      </c>
      <c r="M4526">
        <v>0.99911190000000005</v>
      </c>
      <c r="N4526">
        <v>-1.1673920000000001E-2</v>
      </c>
      <c r="O4526">
        <v>-4.0487330000000002E-2</v>
      </c>
      <c r="P4526">
        <v>0.92947970000000002</v>
      </c>
      <c r="Q4526">
        <v>0.16783629999999999</v>
      </c>
      <c r="R4526">
        <v>-0.3284803</v>
      </c>
      <c r="S4526">
        <v>3.1508790000000002</v>
      </c>
      <c r="T4526">
        <v>-0.97154960000000001</v>
      </c>
      <c r="U4526">
        <v>-0.70047000000000004</v>
      </c>
      <c r="V4526">
        <v>0.2921377</v>
      </c>
      <c r="W4526">
        <v>0.17625929999999901</v>
      </c>
      <c r="X4526">
        <v>0.93999370000000004</v>
      </c>
      <c r="Y4526">
        <v>0.17108880000000001</v>
      </c>
      <c r="Z4526">
        <v>-1.493101E-2</v>
      </c>
      <c r="AA4526">
        <v>0.98514250000000003</v>
      </c>
      <c r="AB4526">
        <v>33</v>
      </c>
      <c r="AC4526">
        <v>0.70340000000004399</v>
      </c>
      <c r="AD4526">
        <v>-0.28174729999999998</v>
      </c>
      <c r="AE4526">
        <v>-0.19273000000000001</v>
      </c>
      <c r="AF4526">
        <v>0.14278276887357899</v>
      </c>
      <c r="AG4526">
        <v>-0.28174729999999998</v>
      </c>
      <c r="AH4526">
        <v>0.61834669805645603</v>
      </c>
      <c r="AI4526">
        <v>113.93949132582701</v>
      </c>
      <c r="AJ4526">
        <v>76.997696488439999</v>
      </c>
      <c r="AK4526">
        <v>0.69434940710122195</v>
      </c>
      <c r="AL4526">
        <v>79.848049741012005</v>
      </c>
      <c r="AM4526">
        <v>72.735441373976101</v>
      </c>
      <c r="AN4526">
        <v>0.999999966318734</v>
      </c>
    </row>
    <row r="4527" spans="1:40" x14ac:dyDescent="0.25">
      <c r="A4527" t="str">
        <f>"20190303162644772"</f>
        <v>20190303162644772</v>
      </c>
      <c r="B4527" t="str">
        <f>"1551601604758493"</f>
        <v>1551601604758493</v>
      </c>
      <c r="C4527" t="s">
        <v>40</v>
      </c>
      <c r="D4527">
        <v>4.6349819999999999</v>
      </c>
      <c r="E4527">
        <v>0.50747540000000002</v>
      </c>
      <c r="F4527" t="s">
        <v>42</v>
      </c>
      <c r="G4527">
        <v>-321.89139999999998</v>
      </c>
      <c r="H4527">
        <v>0.89489509999999906</v>
      </c>
      <c r="I4527">
        <v>16.391100000000002</v>
      </c>
      <c r="J4527">
        <v>-322.36509999999998</v>
      </c>
      <c r="K4527">
        <v>1.1169230000000001</v>
      </c>
      <c r="L4527">
        <v>16.544460000000001</v>
      </c>
      <c r="M4527">
        <v>0.99896149999999995</v>
      </c>
      <c r="N4527">
        <v>-1.1551179999999999E-2</v>
      </c>
      <c r="O4527">
        <v>-4.4075660000000003E-2</v>
      </c>
      <c r="P4527">
        <v>0.92562009999999995</v>
      </c>
      <c r="Q4527">
        <v>0.1694155</v>
      </c>
      <c r="R4527">
        <v>-0.33841729999999998</v>
      </c>
      <c r="S4527">
        <v>3.1459959999999998</v>
      </c>
      <c r="T4527">
        <v>-0.96112739999999997</v>
      </c>
      <c r="U4527">
        <v>-0.72204590000000002</v>
      </c>
      <c r="V4527">
        <v>0.29895870000000002</v>
      </c>
      <c r="W4527">
        <v>0.17747379999999999</v>
      </c>
      <c r="X4527">
        <v>0.93761760000000005</v>
      </c>
      <c r="Y4527">
        <v>0.17442289999999999</v>
      </c>
      <c r="Z4527">
        <v>-1.4284170000000001E-2</v>
      </c>
      <c r="AA4527">
        <v>0.98456719999999998</v>
      </c>
      <c r="AB4527">
        <v>33</v>
      </c>
      <c r="AC4527">
        <v>0.473700000000007</v>
      </c>
      <c r="AD4527">
        <v>-0.222027899999999</v>
      </c>
      <c r="AE4527">
        <v>-0.153359999999999</v>
      </c>
      <c r="AF4527">
        <v>0.110381806679116</v>
      </c>
      <c r="AG4527">
        <v>-0.222027899999999</v>
      </c>
      <c r="AH4527">
        <v>0.40038423087623298</v>
      </c>
      <c r="AI4527">
        <v>118.12865973455899</v>
      </c>
      <c r="AJ4527">
        <v>74.587016928212506</v>
      </c>
      <c r="AK4527">
        <v>0.47094380127411001</v>
      </c>
      <c r="AL4527">
        <v>79.777349847663601</v>
      </c>
      <c r="AM4527">
        <v>72.315155300106994</v>
      </c>
      <c r="AN4527">
        <v>1.00000000891094</v>
      </c>
    </row>
    <row r="4528" spans="1:40" x14ac:dyDescent="0.25">
      <c r="A4528" t="str">
        <f>"20190303162644784"</f>
        <v>20190303162644784</v>
      </c>
      <c r="B4528" t="str">
        <f>"1551601604778013"</f>
        <v>1551601604778013</v>
      </c>
      <c r="C4528" t="s">
        <v>40</v>
      </c>
      <c r="D4528">
        <v>4.6923159999999999</v>
      </c>
      <c r="E4528">
        <v>0.51746959999999997</v>
      </c>
      <c r="F4528" t="s">
        <v>44</v>
      </c>
      <c r="G4528">
        <v>-313.04730000000001</v>
      </c>
      <c r="H4528">
        <v>-0.05</v>
      </c>
      <c r="I4528">
        <v>13.1637</v>
      </c>
      <c r="J4528">
        <v>-322.14100000000002</v>
      </c>
      <c r="K4528">
        <v>1.116717</v>
      </c>
      <c r="L4528">
        <v>16.531649999999999</v>
      </c>
      <c r="M4528">
        <v>0.99881109999999995</v>
      </c>
      <c r="N4528">
        <v>-1.1455470000000001E-2</v>
      </c>
      <c r="O4528">
        <v>-4.7382550000000002E-2</v>
      </c>
      <c r="P4528">
        <v>0.92339309999999997</v>
      </c>
      <c r="Q4528">
        <v>0.17052310000000001</v>
      </c>
      <c r="R4528">
        <v>-0.3439007</v>
      </c>
      <c r="S4528">
        <v>2.9206240000000001</v>
      </c>
      <c r="T4528">
        <v>-0.36576890000000001</v>
      </c>
      <c r="U4528">
        <v>-1.0596920000000001</v>
      </c>
      <c r="V4528">
        <v>0.30152279999999998</v>
      </c>
      <c r="W4528">
        <v>0.17831469999999999</v>
      </c>
      <c r="X4528">
        <v>0.93663640000000004</v>
      </c>
      <c r="Y4528">
        <v>0.29418670000000002</v>
      </c>
      <c r="Z4528">
        <v>-1.434122E-2</v>
      </c>
      <c r="AA4528">
        <v>0.95564039999999995</v>
      </c>
      <c r="AB4528">
        <v>33</v>
      </c>
      <c r="AC4528">
        <v>9.0936999999999504</v>
      </c>
      <c r="AD4528">
        <v>-1.166717</v>
      </c>
      <c r="AE4528">
        <v>-3.3679499999999898</v>
      </c>
      <c r="AF4528">
        <v>2.8914019827833002</v>
      </c>
      <c r="AG4528">
        <v>-1.166717</v>
      </c>
      <c r="AH4528">
        <v>9.1111907042934792</v>
      </c>
      <c r="AI4528">
        <v>96.9587946877284</v>
      </c>
      <c r="AJ4528">
        <v>72.393360835081893</v>
      </c>
      <c r="AK4528">
        <v>9.6299132931785092</v>
      </c>
      <c r="AL4528">
        <v>79.728388147695398</v>
      </c>
      <c r="AM4528">
        <v>72.155549701301098</v>
      </c>
      <c r="AN4528">
        <v>0.999999938480443</v>
      </c>
    </row>
    <row r="4529" spans="1:40" x14ac:dyDescent="0.25">
      <c r="A4529" t="str">
        <f>"20190303162644797"</f>
        <v>20190303162644797</v>
      </c>
      <c r="B4529" t="str">
        <f>"1551601604788749"</f>
        <v>1551601604788749</v>
      </c>
      <c r="C4529" t="s">
        <v>40</v>
      </c>
      <c r="D4529">
        <v>4.75061</v>
      </c>
      <c r="E4529">
        <v>0.51857159999999902</v>
      </c>
      <c r="F4529" t="s">
        <v>44</v>
      </c>
      <c r="G4529">
        <v>-303.82499999999999</v>
      </c>
      <c r="H4529">
        <v>-0.05</v>
      </c>
      <c r="I4529">
        <v>9.1195529999999998</v>
      </c>
      <c r="J4529">
        <v>-321.94889999999998</v>
      </c>
      <c r="K4529">
        <v>1.1165480000000001</v>
      </c>
      <c r="L4529">
        <v>16.520109999999999</v>
      </c>
      <c r="M4529">
        <v>0.99866900000000003</v>
      </c>
      <c r="N4529">
        <v>-1.138108E-2</v>
      </c>
      <c r="O4529">
        <v>-5.030573E-2</v>
      </c>
      <c r="P4529">
        <v>0.9216723</v>
      </c>
      <c r="Q4529">
        <v>0.1707948</v>
      </c>
      <c r="R4529">
        <v>-0.34835240000000001</v>
      </c>
      <c r="S4529">
        <v>2.8525390000000002</v>
      </c>
      <c r="T4529">
        <v>-0.18170449999999999</v>
      </c>
      <c r="U4529">
        <v>-1.154358</v>
      </c>
      <c r="V4529">
        <v>0.30338120000000002</v>
      </c>
      <c r="W4529">
        <v>0.1783691</v>
      </c>
      <c r="X4529">
        <v>0.93602580000000002</v>
      </c>
      <c r="Y4529">
        <v>0.3273915</v>
      </c>
      <c r="Z4529">
        <v>-9.4390780000000001E-3</v>
      </c>
      <c r="AA4529">
        <v>0.94484159999999995</v>
      </c>
      <c r="AB4529">
        <v>33</v>
      </c>
      <c r="AC4529">
        <v>18.1238999999999</v>
      </c>
      <c r="AD4529">
        <v>-1.1665479999999999</v>
      </c>
      <c r="AE4529">
        <v>-7.4005569999999903</v>
      </c>
      <c r="AF4529">
        <v>6.45646478538269</v>
      </c>
      <c r="AG4529">
        <v>-1.1665479999999999</v>
      </c>
      <c r="AH4529">
        <v>18.407900941363</v>
      </c>
      <c r="AI4529">
        <v>93.422236737218299</v>
      </c>
      <c r="AJ4529">
        <v>70.671975569793403</v>
      </c>
      <c r="AK4529">
        <v>19.542200204383899</v>
      </c>
      <c r="AL4529">
        <v>79.725221044244805</v>
      </c>
      <c r="AM4529">
        <v>72.041646501834606</v>
      </c>
      <c r="AN4529">
        <v>0.999999993306945</v>
      </c>
    </row>
    <row r="4530" spans="1:40" x14ac:dyDescent="0.25">
      <c r="A4530" t="str">
        <f>"20190303162644814"</f>
        <v>20190303162644814</v>
      </c>
      <c r="B4530" t="str">
        <f>"1551601604798509"</f>
        <v>1551601604798509</v>
      </c>
      <c r="C4530" t="s">
        <v>40</v>
      </c>
      <c r="D4530">
        <v>4.7221479999999998</v>
      </c>
      <c r="E4530">
        <v>0.51901109999999995</v>
      </c>
      <c r="F4530" t="s">
        <v>44</v>
      </c>
      <c r="G4530">
        <v>-300.69709999999998</v>
      </c>
      <c r="H4530">
        <v>-0.05</v>
      </c>
      <c r="I4530">
        <v>7.7109990000000002</v>
      </c>
      <c r="J4530">
        <v>-321.71789999999999</v>
      </c>
      <c r="K4530">
        <v>1.1163510000000001</v>
      </c>
      <c r="L4530">
        <v>16.50507</v>
      </c>
      <c r="M4530">
        <v>0.99847609999999998</v>
      </c>
      <c r="N4530">
        <v>-1.1310189999999999E-2</v>
      </c>
      <c r="O4530">
        <v>-5.4013129999999999E-2</v>
      </c>
      <c r="P4530">
        <v>0.9197881</v>
      </c>
      <c r="Q4530">
        <v>0.17109349999999901</v>
      </c>
      <c r="R4530">
        <v>-0.35315350000000001</v>
      </c>
      <c r="S4530">
        <v>2.8390499999999999</v>
      </c>
      <c r="T4530">
        <v>-0.15584020000000001</v>
      </c>
      <c r="U4530">
        <v>-1.1768190000000001</v>
      </c>
      <c r="V4530">
        <v>0.30487930000000002</v>
      </c>
      <c r="W4530">
        <v>0.17843619999999999</v>
      </c>
      <c r="X4530">
        <v>0.93552610000000003</v>
      </c>
      <c r="Y4530">
        <v>0.33197910000000003</v>
      </c>
      <c r="Z4530">
        <v>-8.449402E-3</v>
      </c>
      <c r="AA4530">
        <v>0.94324889999999995</v>
      </c>
      <c r="AB4530">
        <v>33</v>
      </c>
      <c r="AC4530">
        <v>21.020800000000001</v>
      </c>
      <c r="AD4530">
        <v>-1.1663509999999999</v>
      </c>
      <c r="AE4530">
        <v>-8.79407099999999</v>
      </c>
      <c r="AF4530">
        <v>7.6257798768641898</v>
      </c>
      <c r="AG4530">
        <v>-1.1663509999999999</v>
      </c>
      <c r="AH4530">
        <v>21.4090425993117</v>
      </c>
      <c r="AI4530">
        <v>92.937893453955994</v>
      </c>
      <c r="AJ4530">
        <v>70.394388517972104</v>
      </c>
      <c r="AK4530">
        <v>22.756537487164699</v>
      </c>
      <c r="AL4530">
        <v>79.721313619619906</v>
      </c>
      <c r="AM4530">
        <v>71.949690107285704</v>
      </c>
      <c r="AN4530">
        <v>0.99999997441006905</v>
      </c>
    </row>
    <row r="4531" spans="1:40" x14ac:dyDescent="0.25">
      <c r="A4531" t="str">
        <f>"20190303162644830"</f>
        <v>20190303162644830</v>
      </c>
      <c r="B4531" t="str">
        <f>"1551601604818029"</f>
        <v>1551601604818029</v>
      </c>
      <c r="C4531" t="s">
        <v>40</v>
      </c>
      <c r="D4531">
        <v>4.7668290000000004</v>
      </c>
      <c r="E4531">
        <v>0.51922069999999998</v>
      </c>
      <c r="F4531" t="s">
        <v>44</v>
      </c>
      <c r="G4531">
        <v>-298.14769999999999</v>
      </c>
      <c r="H4531">
        <v>-0.05</v>
      </c>
      <c r="I4531">
        <v>6.5463559999999896</v>
      </c>
      <c r="J4531">
        <v>-321.46449999999999</v>
      </c>
      <c r="K4531">
        <v>1.116134</v>
      </c>
      <c r="L4531">
        <v>16.487490000000001</v>
      </c>
      <c r="M4531">
        <v>0.99823919999999999</v>
      </c>
      <c r="N4531">
        <v>-1.1246900000000001E-2</v>
      </c>
      <c r="O4531">
        <v>-5.8242580000000002E-2</v>
      </c>
      <c r="P4531">
        <v>0.91699589999999997</v>
      </c>
      <c r="Q4531">
        <v>0.17046529999999999</v>
      </c>
      <c r="R4531">
        <v>-0.36063899999999999</v>
      </c>
      <c r="S4531">
        <v>2.8287659999999999</v>
      </c>
      <c r="T4531">
        <v>-0.1399791</v>
      </c>
      <c r="U4531">
        <v>-1.19519</v>
      </c>
      <c r="V4531">
        <v>0.3086256</v>
      </c>
      <c r="W4531">
        <v>0.17753620000000001</v>
      </c>
      <c r="X4531">
        <v>0.93446839999999998</v>
      </c>
      <c r="Y4531">
        <v>0.33448519999999998</v>
      </c>
      <c r="Z4531">
        <v>-7.7685609999999898E-3</v>
      </c>
      <c r="AA4531">
        <v>0.94236900000000001</v>
      </c>
      <c r="AB4531">
        <v>34</v>
      </c>
      <c r="AC4531">
        <v>23.316800000000001</v>
      </c>
      <c r="AD4531">
        <v>-1.166134</v>
      </c>
      <c r="AE4531">
        <v>-9.9411339999999999</v>
      </c>
      <c r="AF4531">
        <v>8.5480478446359793</v>
      </c>
      <c r="AG4531">
        <v>-1.166134</v>
      </c>
      <c r="AH4531">
        <v>23.805861857553602</v>
      </c>
      <c r="AI4531">
        <v>92.639645280200995</v>
      </c>
      <c r="AJ4531">
        <v>70.248145035266802</v>
      </c>
      <c r="AK4531">
        <v>25.320901430262499</v>
      </c>
      <c r="AL4531">
        <v>79.773717085844595</v>
      </c>
      <c r="AM4531">
        <v>71.723231220996695</v>
      </c>
      <c r="AN4531">
        <v>1.0000000269421701</v>
      </c>
    </row>
    <row r="4532" spans="1:40" x14ac:dyDescent="0.25">
      <c r="A4532" t="str">
        <f>"20190303162644849"</f>
        <v>20190303162644849</v>
      </c>
      <c r="B4532" t="str">
        <f>"1551601604838056"</f>
        <v>1551601604838056</v>
      </c>
      <c r="C4532" t="s">
        <v>40</v>
      </c>
      <c r="D4532">
        <v>4.808967</v>
      </c>
      <c r="E4532">
        <v>0.51912179999999997</v>
      </c>
      <c r="F4532" t="s">
        <v>44</v>
      </c>
      <c r="G4532">
        <v>-295.92009999999999</v>
      </c>
      <c r="H4532">
        <v>-0.05</v>
      </c>
      <c r="I4532">
        <v>5.4193879999999996</v>
      </c>
      <c r="J4532">
        <v>-321.1669</v>
      </c>
      <c r="K4532">
        <v>1.1158709999999901</v>
      </c>
      <c r="L4532">
        <v>16.465450000000001</v>
      </c>
      <c r="M4532">
        <v>0.99789320000000004</v>
      </c>
      <c r="N4532">
        <v>-1.094022E-2</v>
      </c>
      <c r="O4532">
        <v>-6.3949900000000004E-2</v>
      </c>
      <c r="P4532">
        <v>0.91304580000000002</v>
      </c>
      <c r="Q4532">
        <v>0.169982299999999</v>
      </c>
      <c r="R4532">
        <v>-0.37074760000000001</v>
      </c>
      <c r="S4532">
        <v>2.8156129999999999</v>
      </c>
      <c r="T4532">
        <v>-0.12853599999999901</v>
      </c>
      <c r="U4532">
        <v>-1.2199709999999999</v>
      </c>
      <c r="V4532">
        <v>0.31367820000000002</v>
      </c>
      <c r="W4532">
        <v>0.17655019999999999</v>
      </c>
      <c r="X4532">
        <v>0.93297160000000001</v>
      </c>
      <c r="Y4532">
        <v>0.33773259999999899</v>
      </c>
      <c r="Z4532">
        <v>-7.1922669999999996E-3</v>
      </c>
      <c r="AA4532">
        <v>0.94121460000000001</v>
      </c>
      <c r="AB4532">
        <v>34</v>
      </c>
      <c r="AC4532">
        <v>25.2468</v>
      </c>
      <c r="AD4532">
        <v>-1.1658710000000001</v>
      </c>
      <c r="AE4532">
        <v>-11.046061999999999</v>
      </c>
      <c r="AF4532">
        <v>9.3920118898779297</v>
      </c>
      <c r="AG4532">
        <v>-1.1658710000000001</v>
      </c>
      <c r="AH4532">
        <v>25.8552756611526</v>
      </c>
      <c r="AI4532">
        <v>92.426889185070195</v>
      </c>
      <c r="AJ4532">
        <v>70.036285065191393</v>
      </c>
      <c r="AK4532">
        <v>27.532969727990501</v>
      </c>
      <c r="AL4532">
        <v>79.831117160249406</v>
      </c>
      <c r="AM4532">
        <v>71.416629961432307</v>
      </c>
      <c r="AN4532">
        <v>0.99999999634091996</v>
      </c>
    </row>
    <row r="4533" spans="1:40" x14ac:dyDescent="0.25">
      <c r="A4533" t="str">
        <f>"20190303162644871"</f>
        <v>20190303162644871</v>
      </c>
      <c r="B4533" t="str">
        <f>"1551601604858552"</f>
        <v>1551601604858552</v>
      </c>
      <c r="C4533" t="s">
        <v>40</v>
      </c>
      <c r="D4533">
        <v>4.8752069999999996</v>
      </c>
      <c r="E4533">
        <v>0.51883310000000005</v>
      </c>
      <c r="F4533" t="s">
        <v>44</v>
      </c>
      <c r="G4533">
        <v>-294.77109999999999</v>
      </c>
      <c r="H4533">
        <v>-0.05</v>
      </c>
      <c r="I4533">
        <v>4.6964259999999998</v>
      </c>
      <c r="J4533">
        <v>-320.8408</v>
      </c>
      <c r="K4533">
        <v>1.1154409999999999</v>
      </c>
      <c r="L4533">
        <v>16.439640000000001</v>
      </c>
      <c r="M4533">
        <v>0.99744460000000001</v>
      </c>
      <c r="N4533">
        <v>-1.0334029999999999E-2</v>
      </c>
      <c r="O4533">
        <v>-7.0692569999999996E-2</v>
      </c>
      <c r="P4533">
        <v>0.9082943</v>
      </c>
      <c r="Q4533">
        <v>0.17096069999999999</v>
      </c>
      <c r="R4533">
        <v>-0.38180330000000001</v>
      </c>
      <c r="S4533">
        <v>2.8015439999999998</v>
      </c>
      <c r="T4533">
        <v>-0.1237407</v>
      </c>
      <c r="U4533">
        <v>-1.249115</v>
      </c>
      <c r="V4533">
        <v>0.3188281</v>
      </c>
      <c r="W4533">
        <v>0.17669290000000001</v>
      </c>
      <c r="X4533">
        <v>0.93119719999999995</v>
      </c>
      <c r="Y4533">
        <v>0.3413175</v>
      </c>
      <c r="Z4533">
        <v>-6.7715869999999999E-3</v>
      </c>
      <c r="AA4533">
        <v>0.93992359999999997</v>
      </c>
      <c r="AB4533">
        <v>34</v>
      </c>
      <c r="AC4533">
        <v>26.069700000000001</v>
      </c>
      <c r="AD4533">
        <v>-1.1654409999999999</v>
      </c>
      <c r="AE4533">
        <v>-11.743214</v>
      </c>
      <c r="AF4533">
        <v>9.8544263656792701</v>
      </c>
      <c r="AG4533">
        <v>-1.1654409999999999</v>
      </c>
      <c r="AH4533">
        <v>26.7901635596806</v>
      </c>
      <c r="AI4533">
        <v>92.337977124767207</v>
      </c>
      <c r="AJ4533">
        <v>69.804586136761003</v>
      </c>
      <c r="AK4533">
        <v>28.5688787892615</v>
      </c>
      <c r="AL4533">
        <v>79.822810311675298</v>
      </c>
      <c r="AM4533">
        <v>71.099557327204593</v>
      </c>
      <c r="AN4533">
        <v>0.99999998177392901</v>
      </c>
    </row>
    <row r="4534" spans="1:40" x14ac:dyDescent="0.25">
      <c r="A4534" t="str">
        <f>"20190303162644884"</f>
        <v>20190303162644884</v>
      </c>
      <c r="B4534" t="str">
        <f>"1551601604878072"</f>
        <v>1551601604878072</v>
      </c>
      <c r="C4534" t="s">
        <v>40</v>
      </c>
      <c r="D4534">
        <v>4.8275980000000001</v>
      </c>
      <c r="E4534">
        <v>0.51823750000000002</v>
      </c>
      <c r="F4534" t="s">
        <v>44</v>
      </c>
      <c r="G4534">
        <v>-293.49209999999999</v>
      </c>
      <c r="H4534">
        <v>-0.05</v>
      </c>
      <c r="I4534">
        <v>3.8781889999999999</v>
      </c>
      <c r="J4534">
        <v>-320.63729999999998</v>
      </c>
      <c r="K4534">
        <v>1.115059</v>
      </c>
      <c r="L4534">
        <v>16.422519999999999</v>
      </c>
      <c r="M4534">
        <v>0.99714760000000002</v>
      </c>
      <c r="N4534">
        <v>-1.0045299999999899E-2</v>
      </c>
      <c r="O4534">
        <v>-7.4806029999999996E-2</v>
      </c>
      <c r="P4534">
        <v>0.9059123</v>
      </c>
      <c r="Q4534">
        <v>0.17165920000000001</v>
      </c>
      <c r="R4534">
        <v>-0.38711289999999998</v>
      </c>
      <c r="S4534">
        <v>2.78714</v>
      </c>
      <c r="T4534">
        <v>-0.1187716</v>
      </c>
      <c r="U4534">
        <v>-1.280151</v>
      </c>
      <c r="V4534">
        <v>0.3205597</v>
      </c>
      <c r="W4534">
        <v>0.17690649999999999</v>
      </c>
      <c r="X4534">
        <v>0.930562</v>
      </c>
      <c r="Y4534">
        <v>0.34793590000000002</v>
      </c>
      <c r="Z4534">
        <v>-6.587575E-3</v>
      </c>
      <c r="AA4534">
        <v>0.93749519999999997</v>
      </c>
      <c r="AB4534">
        <v>34</v>
      </c>
      <c r="AC4534">
        <v>27.1451999999999</v>
      </c>
      <c r="AD4534">
        <v>-1.1650590000000001</v>
      </c>
      <c r="AE4534">
        <v>-12.544331</v>
      </c>
      <c r="AF4534">
        <v>10.4625712191209</v>
      </c>
      <c r="AG4534">
        <v>-1.1650590000000001</v>
      </c>
      <c r="AH4534">
        <v>27.965124180916</v>
      </c>
      <c r="AI4534">
        <v>92.234530612105999</v>
      </c>
      <c r="AJ4534">
        <v>69.487706229157993</v>
      </c>
      <c r="AK4534">
        <v>29.880945926170298</v>
      </c>
      <c r="AL4534">
        <v>79.810376586145793</v>
      </c>
      <c r="AM4534">
        <v>70.992211090762396</v>
      </c>
      <c r="AN4534">
        <v>1.00000003342516</v>
      </c>
    </row>
    <row r="4535" spans="1:40" x14ac:dyDescent="0.25">
      <c r="A4535" t="str">
        <f>"20190303162644905"</f>
        <v>20190303162644905</v>
      </c>
      <c r="B4535" t="str">
        <f>"1551601604898567"</f>
        <v>1551601604898567</v>
      </c>
      <c r="C4535" t="s">
        <v>40</v>
      </c>
      <c r="D4535">
        <v>5.0218160000000003</v>
      </c>
      <c r="E4535">
        <v>0.51706220000000003</v>
      </c>
      <c r="F4535" t="s">
        <v>44</v>
      </c>
      <c r="G4535">
        <v>-293.0557</v>
      </c>
      <c r="H4535">
        <v>-0.05</v>
      </c>
      <c r="I4535">
        <v>3.6062470000000002</v>
      </c>
      <c r="J4535">
        <v>-320.31970000000001</v>
      </c>
      <c r="K4535">
        <v>1.114298</v>
      </c>
      <c r="L4535">
        <v>16.39404</v>
      </c>
      <c r="M4535">
        <v>0.9966602</v>
      </c>
      <c r="N4535">
        <v>-9.9751319999999994E-3</v>
      </c>
      <c r="O4535">
        <v>-8.1049609999999994E-2</v>
      </c>
      <c r="P4535">
        <v>0.90224389999999999</v>
      </c>
      <c r="Q4535">
        <v>0.17294109999999999</v>
      </c>
      <c r="R4535">
        <v>-0.39502900000000002</v>
      </c>
      <c r="S4535">
        <v>2.7815249999999998</v>
      </c>
      <c r="T4535">
        <v>-0.1174926</v>
      </c>
      <c r="U4535">
        <v>-1.2924800000000001</v>
      </c>
      <c r="V4535">
        <v>0.32313130000000001</v>
      </c>
      <c r="W4535">
        <v>0.1776935</v>
      </c>
      <c r="X4535">
        <v>0.92952199999999996</v>
      </c>
      <c r="Y4535">
        <v>0.3462153</v>
      </c>
      <c r="Z4535">
        <v>-6.2995849999999999E-3</v>
      </c>
      <c r="AA4535">
        <v>0.93813400000000002</v>
      </c>
      <c r="AB4535">
        <v>34</v>
      </c>
      <c r="AC4535">
        <v>27.263999999999999</v>
      </c>
      <c r="AD4535">
        <v>-1.1642980000000001</v>
      </c>
      <c r="AE4535">
        <v>-12.787792999999899</v>
      </c>
      <c r="AF4535">
        <v>10.5201456327801</v>
      </c>
      <c r="AG4535">
        <v>-1.1642980000000001</v>
      </c>
      <c r="AH4535">
        <v>28.168684190742699</v>
      </c>
      <c r="AI4535">
        <v>92.217430719438397</v>
      </c>
      <c r="AJ4535">
        <v>69.520871185960601</v>
      </c>
      <c r="AK4535">
        <v>30.091590569551201</v>
      </c>
      <c r="AL4535">
        <v>79.764558387277404</v>
      </c>
      <c r="AM4535">
        <v>70.830928813882494</v>
      </c>
      <c r="AN4535">
        <v>0.99999998273296897</v>
      </c>
    </row>
    <row r="4536" spans="1:40" x14ac:dyDescent="0.25">
      <c r="A4536" t="str">
        <f>"20190303162644918"</f>
        <v>20190303162644918</v>
      </c>
      <c r="B4536" t="str">
        <f>"1551601604908327"</f>
        <v>1551601604908327</v>
      </c>
      <c r="C4536" t="s">
        <v>40</v>
      </c>
      <c r="D4536">
        <v>4.9404180000000002</v>
      </c>
      <c r="E4536">
        <v>0.51633759999999995</v>
      </c>
      <c r="F4536" t="s">
        <v>44</v>
      </c>
      <c r="G4536">
        <v>-290.93549999999999</v>
      </c>
      <c r="H4536">
        <v>-0.05</v>
      </c>
      <c r="I4536">
        <v>2.524918</v>
      </c>
      <c r="J4536">
        <v>-320.12029999999999</v>
      </c>
      <c r="K4536">
        <v>1.113739</v>
      </c>
      <c r="L4536">
        <v>16.37537</v>
      </c>
      <c r="M4536">
        <v>0.99633499999999997</v>
      </c>
      <c r="N4536">
        <v>-1.012801E-2</v>
      </c>
      <c r="O4536">
        <v>-8.4935490000000002E-2</v>
      </c>
      <c r="P4536">
        <v>0.90008969999999899</v>
      </c>
      <c r="Q4536">
        <v>0.17343129999999901</v>
      </c>
      <c r="R4536">
        <v>-0.3997</v>
      </c>
      <c r="S4536">
        <v>2.7730709999999998</v>
      </c>
      <c r="T4536">
        <v>-0.10987810000000001</v>
      </c>
      <c r="U4536">
        <v>-1.3088679999999999</v>
      </c>
      <c r="V4536">
        <v>0.32449080000000002</v>
      </c>
      <c r="W4536">
        <v>0.17803459999999999</v>
      </c>
      <c r="X4536">
        <v>0.928983</v>
      </c>
      <c r="Y4536">
        <v>0.34822140000000001</v>
      </c>
      <c r="Z4536">
        <v>-6.0474040000000001E-3</v>
      </c>
      <c r="AA4536">
        <v>0.93739280000000003</v>
      </c>
      <c r="AB4536">
        <v>34</v>
      </c>
      <c r="AC4536">
        <v>29.184799999999999</v>
      </c>
      <c r="AD4536">
        <v>-1.1637389999999901</v>
      </c>
      <c r="AE4536">
        <v>-13.850451999999899</v>
      </c>
      <c r="AF4536">
        <v>11.306772147755799</v>
      </c>
      <c r="AG4536">
        <v>-1.1637389999999901</v>
      </c>
      <c r="AH4536">
        <v>30.2165709783858</v>
      </c>
      <c r="AI4536">
        <v>92.065802290052801</v>
      </c>
      <c r="AJ4536">
        <v>69.484597821564805</v>
      </c>
      <c r="AK4536">
        <v>32.283719527855197</v>
      </c>
      <c r="AL4536">
        <v>79.744698369055399</v>
      </c>
      <c r="AM4536">
        <v>70.745854496808803</v>
      </c>
      <c r="AN4536">
        <v>1.0000000061854</v>
      </c>
    </row>
    <row r="4537" spans="1:40" x14ac:dyDescent="0.25">
      <c r="A4537" t="str">
        <f>"20190303162644930"</f>
        <v>20190303162644930</v>
      </c>
      <c r="B4537" t="str">
        <f>"1551601604918088"</f>
        <v>1551601604918088</v>
      </c>
      <c r="C4537" t="s">
        <v>40</v>
      </c>
      <c r="D4537">
        <v>5.194172</v>
      </c>
      <c r="E4537">
        <v>0.51657229999999998</v>
      </c>
      <c r="F4537" t="s">
        <v>44</v>
      </c>
      <c r="G4537">
        <v>-289.44729999999998</v>
      </c>
      <c r="H4537">
        <v>-0.05</v>
      </c>
      <c r="I4537">
        <v>1.7676540000000001</v>
      </c>
      <c r="J4537">
        <v>-319.93029999999999</v>
      </c>
      <c r="K4537">
        <v>1.1131089999999999</v>
      </c>
      <c r="L4537">
        <v>16.356289999999898</v>
      </c>
      <c r="M4537">
        <v>0.99600259999999996</v>
      </c>
      <c r="N4537">
        <v>-1.0490599999999999E-2</v>
      </c>
      <c r="O4537">
        <v>-8.8706610000000005E-2</v>
      </c>
      <c r="P4537">
        <v>0.89775749999999999</v>
      </c>
      <c r="Q4537">
        <v>0.1734096</v>
      </c>
      <c r="R4537">
        <v>-0.40492099999999998</v>
      </c>
      <c r="S4537">
        <v>2.7678829999999999</v>
      </c>
      <c r="T4537">
        <v>-0.105014</v>
      </c>
      <c r="U4537">
        <v>-1.318176</v>
      </c>
      <c r="V4537">
        <v>0.32651989999999997</v>
      </c>
      <c r="W4537">
        <v>0.17805099999999999</v>
      </c>
      <c r="X4537">
        <v>0.9282686</v>
      </c>
      <c r="Y4537">
        <v>0.34794019999999998</v>
      </c>
      <c r="Z4537">
        <v>-5.8955149999999996E-3</v>
      </c>
      <c r="AA4537">
        <v>0.93749819999999995</v>
      </c>
      <c r="AB4537">
        <v>34</v>
      </c>
      <c r="AC4537">
        <v>30.483000000000001</v>
      </c>
      <c r="AD4537">
        <v>-1.1631089999999999</v>
      </c>
      <c r="AE4537">
        <v>-14.5886359999999</v>
      </c>
      <c r="AF4537">
        <v>11.812932857733699</v>
      </c>
      <c r="AG4537">
        <v>-1.1631089999999999</v>
      </c>
      <c r="AH4537">
        <v>31.619540817102902</v>
      </c>
      <c r="AI4537">
        <v>91.973533182494094</v>
      </c>
      <c r="AJ4537">
        <v>69.514514694470293</v>
      </c>
      <c r="AK4537">
        <v>33.774155307448403</v>
      </c>
      <c r="AL4537">
        <v>79.743743384094799</v>
      </c>
      <c r="AM4537">
        <v>70.620599304820502</v>
      </c>
      <c r="AN4537">
        <v>0.99999999872148504</v>
      </c>
    </row>
    <row r="4538" spans="1:40" x14ac:dyDescent="0.25">
      <c r="A4538" t="str">
        <f>"20190303162644943"</f>
        <v>20190303162644943</v>
      </c>
      <c r="B4538" t="str">
        <f>"1551601604938114"</f>
        <v>1551601604938114</v>
      </c>
      <c r="C4538" t="s">
        <v>40</v>
      </c>
      <c r="D4538">
        <v>5.0481749999999996</v>
      </c>
      <c r="E4538">
        <v>0.55899299999999996</v>
      </c>
      <c r="F4538" t="s">
        <v>44</v>
      </c>
      <c r="G4538">
        <v>-291.1121</v>
      </c>
      <c r="H4538">
        <v>-0.05</v>
      </c>
      <c r="I4538">
        <v>2.4110260000000001</v>
      </c>
      <c r="J4538">
        <v>-319.73820000000001</v>
      </c>
      <c r="K4538">
        <v>1.112428</v>
      </c>
      <c r="L4538">
        <v>16.336459999999999</v>
      </c>
      <c r="M4538">
        <v>0.99565579999999998</v>
      </c>
      <c r="N4538">
        <v>-1.0967650000000001E-2</v>
      </c>
      <c r="O4538">
        <v>-9.2463989999999996E-2</v>
      </c>
      <c r="P4538">
        <v>0.89517610000000003</v>
      </c>
      <c r="Q4538">
        <v>0.17360449999999999</v>
      </c>
      <c r="R4538">
        <v>-0.4105142</v>
      </c>
      <c r="S4538">
        <v>2.7606809999999999</v>
      </c>
      <c r="T4538">
        <v>-0.111421699999999</v>
      </c>
      <c r="U4538">
        <v>-1.335907</v>
      </c>
      <c r="V4538">
        <v>0.32896940000000002</v>
      </c>
      <c r="W4538">
        <v>0.17837800000000001</v>
      </c>
      <c r="X4538">
        <v>0.92734050000000001</v>
      </c>
      <c r="Y4538">
        <v>0.35021180000000002</v>
      </c>
      <c r="Z4538">
        <v>-6.1710840000000003E-3</v>
      </c>
      <c r="AA4538">
        <v>0.93665019999999999</v>
      </c>
      <c r="AB4538">
        <v>34</v>
      </c>
      <c r="AC4538">
        <v>28.626100000000001</v>
      </c>
      <c r="AD4538">
        <v>-1.162428</v>
      </c>
      <c r="AE4538">
        <v>-13.925433999999999</v>
      </c>
      <c r="AF4538">
        <v>11.2037892661246</v>
      </c>
      <c r="AG4538">
        <v>-1.162428</v>
      </c>
      <c r="AH4538">
        <v>29.7514594152656</v>
      </c>
      <c r="AI4538">
        <v>92.094062620588701</v>
      </c>
      <c r="AJ4538">
        <v>69.364655448982603</v>
      </c>
      <c r="AK4538">
        <v>31.8123477617278</v>
      </c>
      <c r="AL4538">
        <v>79.724702766096399</v>
      </c>
      <c r="AM4538">
        <v>70.468114249143895</v>
      </c>
      <c r="AN4538">
        <v>0.99999998998030404</v>
      </c>
    </row>
    <row r="4539" spans="1:40" x14ac:dyDescent="0.25">
      <c r="A4539" t="str">
        <f>"20190303162644959"</f>
        <v>20190303162644959</v>
      </c>
      <c r="B4539" t="str">
        <f>"1551601604947875"</f>
        <v>1551601604947875</v>
      </c>
      <c r="C4539" t="s">
        <v>40</v>
      </c>
      <c r="D4539">
        <v>5.0019400000000003</v>
      </c>
      <c r="E4539">
        <v>0.56648209999999999</v>
      </c>
      <c r="F4539" t="s">
        <v>44</v>
      </c>
      <c r="G4539">
        <v>-295.50020000000001</v>
      </c>
      <c r="H4539">
        <v>-0.05</v>
      </c>
      <c r="I4539">
        <v>0.9258575</v>
      </c>
      <c r="J4539">
        <v>-319.49040000000002</v>
      </c>
      <c r="K4539">
        <v>1.111467</v>
      </c>
      <c r="L4539">
        <v>16.309719999999999</v>
      </c>
      <c r="M4539">
        <v>0.99519590000000002</v>
      </c>
      <c r="N4539">
        <v>-1.181314E-2</v>
      </c>
      <c r="O4539">
        <v>-9.7190070000000003E-2</v>
      </c>
      <c r="P4539">
        <v>0.89130180000000003</v>
      </c>
      <c r="Q4539">
        <v>0.17322009999999999</v>
      </c>
      <c r="R4539">
        <v>-0.41901820000000001</v>
      </c>
      <c r="S4539">
        <v>2.6136170000000001</v>
      </c>
      <c r="T4539">
        <v>-0.12534609999999999</v>
      </c>
      <c r="U4539">
        <v>-1.661743</v>
      </c>
      <c r="V4539">
        <v>0.33357979999999998</v>
      </c>
      <c r="W4539">
        <v>0.17834900000000001</v>
      </c>
      <c r="X4539">
        <v>0.92569769999999896</v>
      </c>
      <c r="Y4539">
        <v>0.45153599999999999</v>
      </c>
      <c r="Z4539">
        <v>-9.6317899999999994E-3</v>
      </c>
      <c r="AA4539">
        <v>0.89220089999999996</v>
      </c>
      <c r="AB4539">
        <v>34</v>
      </c>
      <c r="AC4539">
        <v>23.990200000000002</v>
      </c>
      <c r="AD4539">
        <v>-1.161467</v>
      </c>
      <c r="AE4539">
        <v>-15.383862499999999</v>
      </c>
      <c r="AF4539">
        <v>12.9577290864563</v>
      </c>
      <c r="AG4539">
        <v>-1.161467</v>
      </c>
      <c r="AH4539">
        <v>25.3298020956111</v>
      </c>
      <c r="AI4539">
        <v>92.337650472665501</v>
      </c>
      <c r="AJ4539">
        <v>62.907503363323599</v>
      </c>
      <c r="AK4539">
        <v>28.475438940829601</v>
      </c>
      <c r="AL4539">
        <v>79.726391944221007</v>
      </c>
      <c r="AM4539">
        <v>70.183119016321399</v>
      </c>
      <c r="AN4539">
        <v>1.0000000402771601</v>
      </c>
    </row>
    <row r="4540" spans="1:40" x14ac:dyDescent="0.25">
      <c r="A4540" t="str">
        <f>"20190303162644972"</f>
        <v>20190303162644972</v>
      </c>
      <c r="B4540" t="str">
        <f>"1551601604958611"</f>
        <v>1551601604958611</v>
      </c>
      <c r="C4540" t="s">
        <v>40</v>
      </c>
      <c r="D4540">
        <v>5.0429649999999997</v>
      </c>
      <c r="E4540">
        <v>0.57057919999999995</v>
      </c>
      <c r="F4540" t="s">
        <v>44</v>
      </c>
      <c r="G4540">
        <v>-295.4853</v>
      </c>
      <c r="H4540">
        <v>-0.05</v>
      </c>
      <c r="I4540">
        <v>6.5200809999999998E-2</v>
      </c>
      <c r="J4540">
        <v>-319.29899999999998</v>
      </c>
      <c r="K4540">
        <v>1.1106469999999999</v>
      </c>
      <c r="L4540">
        <v>16.28781</v>
      </c>
      <c r="M4540">
        <v>0.99483259999999996</v>
      </c>
      <c r="N4540">
        <v>-1.263455E-2</v>
      </c>
      <c r="O4540">
        <v>-0.10073989999999999</v>
      </c>
      <c r="P4540">
        <v>0.88920560000000004</v>
      </c>
      <c r="Q4540">
        <v>0.17229610000000001</v>
      </c>
      <c r="R4540">
        <v>-0.4238248</v>
      </c>
      <c r="S4540">
        <v>2.5718380000000001</v>
      </c>
      <c r="T4540">
        <v>-0.1244359</v>
      </c>
      <c r="U4540">
        <v>-1.7403869999999999</v>
      </c>
      <c r="V4540">
        <v>0.33538420000000002</v>
      </c>
      <c r="W4540">
        <v>0.1779107</v>
      </c>
      <c r="X4540">
        <v>0.9251298</v>
      </c>
      <c r="Y4540">
        <v>0.47368929999999998</v>
      </c>
      <c r="Z4540">
        <v>-1.044367E-2</v>
      </c>
      <c r="AA4540">
        <v>0.88063009999999997</v>
      </c>
      <c r="AB4540">
        <v>34</v>
      </c>
      <c r="AC4540">
        <v>23.813700000000001</v>
      </c>
      <c r="AD4540">
        <v>-1.160647</v>
      </c>
      <c r="AE4540">
        <v>-16.22260919</v>
      </c>
      <c r="AF4540">
        <v>13.7186286790891</v>
      </c>
      <c r="AG4540">
        <v>-1.160647</v>
      </c>
      <c r="AH4540">
        <v>25.2859036561834</v>
      </c>
      <c r="AI4540">
        <v>92.310377357795801</v>
      </c>
      <c r="AJ4540">
        <v>61.518372784606797</v>
      </c>
      <c r="AK4540">
        <v>28.791054131502801</v>
      </c>
      <c r="AL4540">
        <v>79.751912037093106</v>
      </c>
      <c r="AM4540">
        <v>70.073070159759894</v>
      </c>
      <c r="AN4540">
        <v>0.99999996281608405</v>
      </c>
    </row>
    <row r="4541" spans="1:40" x14ac:dyDescent="0.25">
      <c r="A4541" t="str">
        <f>"20190303162644984"</f>
        <v>20190303162644984</v>
      </c>
      <c r="B4541" t="str">
        <f>"1551601604978132"</f>
        <v>1551601604978132</v>
      </c>
      <c r="C4541" t="s">
        <v>40</v>
      </c>
      <c r="D4541">
        <v>5.0159200000000004</v>
      </c>
      <c r="E4541">
        <v>0.57375169999999998</v>
      </c>
      <c r="F4541" t="s">
        <v>44</v>
      </c>
      <c r="G4541">
        <v>-296.19139999999999</v>
      </c>
      <c r="H4541">
        <v>-0.05</v>
      </c>
      <c r="I4541">
        <v>0.10867309999999999</v>
      </c>
      <c r="J4541">
        <v>-319.1044</v>
      </c>
      <c r="K4541">
        <v>1.1097840000000001</v>
      </c>
      <c r="L4541">
        <v>16.26474</v>
      </c>
      <c r="M4541">
        <v>0.9944482</v>
      </c>
      <c r="N4541">
        <v>-1.3517589999999999E-2</v>
      </c>
      <c r="O4541">
        <v>-0.1043562</v>
      </c>
      <c r="P4541">
        <v>0.88704269999999996</v>
      </c>
      <c r="Q4541">
        <v>0.17092769999999999</v>
      </c>
      <c r="R4541">
        <v>-0.42888120000000002</v>
      </c>
      <c r="S4541">
        <v>2.5482179999999999</v>
      </c>
      <c r="T4541">
        <v>-0.12799199999999999</v>
      </c>
      <c r="U4541">
        <v>-1.7841800000000001</v>
      </c>
      <c r="V4541">
        <v>0.33736909999999998</v>
      </c>
      <c r="W4541">
        <v>0.17709839999999999</v>
      </c>
      <c r="X4541">
        <v>0.92456380000000005</v>
      </c>
      <c r="Y4541">
        <v>0.48442030000000003</v>
      </c>
      <c r="Z4541">
        <v>-1.116399E-2</v>
      </c>
      <c r="AA4541">
        <v>0.87476419999999999</v>
      </c>
      <c r="AB4541">
        <v>34</v>
      </c>
      <c r="AC4541">
        <v>22.913</v>
      </c>
      <c r="AD4541">
        <v>-1.1597839999999999</v>
      </c>
      <c r="AE4541">
        <v>-16.156066899999999</v>
      </c>
      <c r="AF4541">
        <v>13.653142288277801</v>
      </c>
      <c r="AG4541">
        <v>-1.1597839999999999</v>
      </c>
      <c r="AH4541">
        <v>24.432201379272399</v>
      </c>
      <c r="AI4541">
        <v>92.372881158612401</v>
      </c>
      <c r="AJ4541">
        <v>60.802776143958901</v>
      </c>
      <c r="AK4541">
        <v>28.0122447780955</v>
      </c>
      <c r="AL4541">
        <v>79.7992046509452</v>
      </c>
      <c r="AM4541">
        <v>69.953205377427295</v>
      </c>
      <c r="AN4541">
        <v>0.99999998659390499</v>
      </c>
    </row>
    <row r="4542" spans="1:40" x14ac:dyDescent="0.25">
      <c r="A4542" t="str">
        <f>"20190303162644996"</f>
        <v>20190303162644996</v>
      </c>
      <c r="B4542" t="str">
        <f>"1551601604988867"</f>
        <v>1551601604988867</v>
      </c>
      <c r="C4542" t="s">
        <v>40</v>
      </c>
      <c r="D4542">
        <v>4.9786650000000003</v>
      </c>
      <c r="E4542">
        <v>0.57425539999999997</v>
      </c>
      <c r="F4542" t="s">
        <v>44</v>
      </c>
      <c r="G4542">
        <v>-296.18090000000001</v>
      </c>
      <c r="H4542">
        <v>-0.05</v>
      </c>
      <c r="I4542">
        <v>-0.26635740000000002</v>
      </c>
      <c r="J4542">
        <v>-318.92380000000003</v>
      </c>
      <c r="K4542">
        <v>1.1089530000000001</v>
      </c>
      <c r="L4542">
        <v>16.242739999999898</v>
      </c>
      <c r="M4542">
        <v>0.9940774</v>
      </c>
      <c r="N4542">
        <v>-1.437738E-2</v>
      </c>
      <c r="O4542">
        <v>-0.10771889999999899</v>
      </c>
      <c r="P4542">
        <v>0.88500009999999996</v>
      </c>
      <c r="Q4542">
        <v>0.17018179999999999</v>
      </c>
      <c r="R4542">
        <v>-0.4333745</v>
      </c>
      <c r="S4542">
        <v>2.5259399999999999</v>
      </c>
      <c r="T4542">
        <v>-0.12779679999999999</v>
      </c>
      <c r="U4542">
        <v>-1.821564</v>
      </c>
      <c r="V4542">
        <v>0.33901500000000001</v>
      </c>
      <c r="W4542">
        <v>0.17692759999999999</v>
      </c>
      <c r="X4542">
        <v>0.92399430000000005</v>
      </c>
      <c r="Y4542">
        <v>0.49360310000000002</v>
      </c>
      <c r="Z4542">
        <v>-1.1673390000000001E-2</v>
      </c>
      <c r="AA4542">
        <v>0.86960890000000002</v>
      </c>
      <c r="AB4542">
        <v>34</v>
      </c>
      <c r="AC4542">
        <v>22.742899999999999</v>
      </c>
      <c r="AD4542">
        <v>-1.1589529999999999</v>
      </c>
      <c r="AE4542">
        <v>-16.509097399999899</v>
      </c>
      <c r="AF4542">
        <v>13.939218006205801</v>
      </c>
      <c r="AG4542">
        <v>-1.1589529999999999</v>
      </c>
      <c r="AH4542">
        <v>24.347658860922898</v>
      </c>
      <c r="AI4542">
        <v>92.365504662300594</v>
      </c>
      <c r="AJ4542">
        <v>60.2085378180102</v>
      </c>
      <c r="AK4542">
        <v>28.0794135032878</v>
      </c>
      <c r="AL4542">
        <v>79.809147988554898</v>
      </c>
      <c r="AM4542">
        <v>69.851831320421397</v>
      </c>
      <c r="AN4542">
        <v>1.0000000061496199</v>
      </c>
    </row>
    <row r="4543" spans="1:40" x14ac:dyDescent="0.25">
      <c r="A4543" t="str">
        <f>"20190303162645007"</f>
        <v>20190303162645007</v>
      </c>
      <c r="B4543" t="str">
        <f>"1551601604998628"</f>
        <v>1551601604998628</v>
      </c>
      <c r="C4543" t="s">
        <v>40</v>
      </c>
      <c r="D4543">
        <v>5.0147149999999998</v>
      </c>
      <c r="E4543">
        <v>0.57442249999999995</v>
      </c>
      <c r="F4543" t="s">
        <v>44</v>
      </c>
      <c r="G4543">
        <v>-296.94510000000002</v>
      </c>
      <c r="H4543">
        <v>-0.05</v>
      </c>
      <c r="I4543">
        <v>0.180954</v>
      </c>
      <c r="J4543">
        <v>-318.7611</v>
      </c>
      <c r="K4543">
        <v>1.1082019999999999</v>
      </c>
      <c r="L4543">
        <v>16.22186</v>
      </c>
      <c r="M4543">
        <v>0.99370720000000001</v>
      </c>
      <c r="N4543">
        <v>-1.5226430000000001E-2</v>
      </c>
      <c r="O4543">
        <v>-0.1109695</v>
      </c>
      <c r="P4543">
        <v>0.88223109999999905</v>
      </c>
      <c r="Q4543">
        <v>0.16936389999999901</v>
      </c>
      <c r="R4543">
        <v>-0.43929960000000001</v>
      </c>
      <c r="S4543">
        <v>2.515228</v>
      </c>
      <c r="T4543">
        <v>-0.1326301</v>
      </c>
      <c r="U4543">
        <v>-1.838104</v>
      </c>
      <c r="V4543">
        <v>0.34223530000000002</v>
      </c>
      <c r="W4543">
        <v>0.17670279999999899</v>
      </c>
      <c r="X4543">
        <v>0.92284949999999999</v>
      </c>
      <c r="Y4543">
        <v>0.49620189999999997</v>
      </c>
      <c r="Z4543">
        <v>-1.222347E-2</v>
      </c>
      <c r="AA4543">
        <v>0.86812109999999998</v>
      </c>
      <c r="AB4543">
        <v>34</v>
      </c>
      <c r="AC4543">
        <v>21.815999999999899</v>
      </c>
      <c r="AD4543">
        <v>-1.158202</v>
      </c>
      <c r="AE4543">
        <v>-16.040906</v>
      </c>
      <c r="AF4543">
        <v>13.495930155476699</v>
      </c>
      <c r="AG4543">
        <v>-1.158202</v>
      </c>
      <c r="AH4543">
        <v>23.418643664209299</v>
      </c>
      <c r="AI4543">
        <v>92.453632619839198</v>
      </c>
      <c r="AJ4543">
        <v>60.045582633366699</v>
      </c>
      <c r="AK4543">
        <v>27.053917160099399</v>
      </c>
      <c r="AL4543">
        <v>79.822234613117601</v>
      </c>
      <c r="AM4543">
        <v>69.652888714541604</v>
      </c>
      <c r="AN4543">
        <v>1.0000000398720801</v>
      </c>
    </row>
    <row r="4544" spans="1:40" x14ac:dyDescent="0.25">
      <c r="A4544" t="str">
        <f>"20190303162645022"</f>
        <v>20190303162645022</v>
      </c>
      <c r="B4544" t="str">
        <f>"1551601605008387"</f>
        <v>1551601605008387</v>
      </c>
      <c r="C4544" t="s">
        <v>40</v>
      </c>
      <c r="D4544">
        <v>4.998818</v>
      </c>
      <c r="E4544">
        <v>0.57448279999999996</v>
      </c>
      <c r="F4544" t="s">
        <v>44</v>
      </c>
      <c r="G4544">
        <v>-297.3415</v>
      </c>
      <c r="H4544">
        <v>-0.05</v>
      </c>
      <c r="I4544">
        <v>0.33348080000000002</v>
      </c>
      <c r="J4544">
        <v>-318.5505</v>
      </c>
      <c r="K4544">
        <v>1.107226</v>
      </c>
      <c r="L4544">
        <v>16.194240000000001</v>
      </c>
      <c r="M4544">
        <v>0.99318269999999997</v>
      </c>
      <c r="N4544">
        <v>-1.6286309999999998E-2</v>
      </c>
      <c r="O4544">
        <v>-0.11542479999999999</v>
      </c>
      <c r="P4544">
        <v>0.87911830000000002</v>
      </c>
      <c r="Q4544">
        <v>0.16822709999999999</v>
      </c>
      <c r="R4544">
        <v>-0.44592720000000002</v>
      </c>
      <c r="S4544">
        <v>2.5021969999999998</v>
      </c>
      <c r="T4544">
        <v>-0.135298799999999</v>
      </c>
      <c r="U4544">
        <v>-1.8560490000000001</v>
      </c>
      <c r="V4544">
        <v>0.34507450000000001</v>
      </c>
      <c r="W4544">
        <v>0.17636579999999999</v>
      </c>
      <c r="X4544">
        <v>0.92185609999999996</v>
      </c>
      <c r="Y4544">
        <v>0.49844830000000001</v>
      </c>
      <c r="Z4544">
        <v>-1.2705279999999999E-2</v>
      </c>
      <c r="AA4544">
        <v>0.86682630000000005</v>
      </c>
      <c r="AB4544">
        <v>34</v>
      </c>
      <c r="AC4544">
        <v>21.209</v>
      </c>
      <c r="AD4544">
        <v>-1.1572260000000001</v>
      </c>
      <c r="AE4544">
        <v>-15.8607592</v>
      </c>
      <c r="AF4544">
        <v>13.280994145393199</v>
      </c>
      <c r="AG4544">
        <v>-1.1572260000000001</v>
      </c>
      <c r="AH4544">
        <v>22.854537079960199</v>
      </c>
      <c r="AI4544">
        <v>92.506765186590897</v>
      </c>
      <c r="AJ4544">
        <v>59.838711545458899</v>
      </c>
      <c r="AK4544">
        <v>26.4585306214144</v>
      </c>
      <c r="AL4544">
        <v>79.8418508441911</v>
      </c>
      <c r="AM4544">
        <v>69.477829848443903</v>
      </c>
      <c r="AN4544">
        <v>0.99999998753354902</v>
      </c>
    </row>
    <row r="4545" spans="1:40" x14ac:dyDescent="0.25">
      <c r="A4545" t="str">
        <f>"20190303162645038"</f>
        <v>20190303162645038</v>
      </c>
      <c r="B4545" t="str">
        <f>"1551601605028177"</f>
        <v>1551601605028177</v>
      </c>
      <c r="C4545" t="s">
        <v>40</v>
      </c>
      <c r="D4545">
        <v>5.0318759999999996</v>
      </c>
      <c r="E4545">
        <v>0.57416210000000001</v>
      </c>
      <c r="F4545" t="s">
        <v>44</v>
      </c>
      <c r="G4545">
        <v>-298.09160000000003</v>
      </c>
      <c r="H4545">
        <v>-0.05</v>
      </c>
      <c r="I4545">
        <v>0.78111269999999999</v>
      </c>
      <c r="J4545">
        <v>-318.28440000000001</v>
      </c>
      <c r="K4545">
        <v>1.1060019999999999</v>
      </c>
      <c r="L4545">
        <v>16.15793</v>
      </c>
      <c r="M4545">
        <v>0.99238769999999998</v>
      </c>
      <c r="N4545">
        <v>-1.7396970000000001E-2</v>
      </c>
      <c r="O4545">
        <v>-0.1219195</v>
      </c>
      <c r="P4545">
        <v>0.87384759999999995</v>
      </c>
      <c r="Q4545">
        <v>0.16574929999999999</v>
      </c>
      <c r="R4545">
        <v>-0.45707559999999903</v>
      </c>
      <c r="S4545">
        <v>2.4884949999999999</v>
      </c>
      <c r="T4545">
        <v>-0.14075770000000001</v>
      </c>
      <c r="U4545">
        <v>-1.8747560000000001</v>
      </c>
      <c r="V4545">
        <v>0.35070069999999998</v>
      </c>
      <c r="W4545">
        <v>0.1747542</v>
      </c>
      <c r="X4545">
        <v>0.92003800000000002</v>
      </c>
      <c r="Y4545">
        <v>0.49917129999999998</v>
      </c>
      <c r="Z4545">
        <v>-1.322479E-2</v>
      </c>
      <c r="AA4545">
        <v>0.86640239999999902</v>
      </c>
      <c r="AB4545">
        <v>34</v>
      </c>
      <c r="AC4545">
        <v>20.192799999999899</v>
      </c>
      <c r="AD4545">
        <v>-1.156002</v>
      </c>
      <c r="AE4545">
        <v>-15.376817300000001</v>
      </c>
      <c r="AF4545">
        <v>12.7733056726518</v>
      </c>
      <c r="AG4545">
        <v>-1.156002</v>
      </c>
      <c r="AH4545">
        <v>21.871761624656799</v>
      </c>
      <c r="AI4545">
        <v>92.6131901612289</v>
      </c>
      <c r="AJ4545">
        <v>59.714687058505199</v>
      </c>
      <c r="AK4545">
        <v>25.3548345487959</v>
      </c>
      <c r="AL4545">
        <v>79.935645269835405</v>
      </c>
      <c r="AM4545">
        <v>69.134120561087201</v>
      </c>
      <c r="AN4545">
        <v>0.99999996642106403</v>
      </c>
    </row>
    <row r="4546" spans="1:40" x14ac:dyDescent="0.25">
      <c r="A4546" t="str">
        <f>"20190303162645060"</f>
        <v>20190303162645060</v>
      </c>
      <c r="B4546" t="str">
        <f>"1551601605048674"</f>
        <v>1551601605048674</v>
      </c>
      <c r="C4546" t="s">
        <v>40</v>
      </c>
      <c r="D4546">
        <v>5.0762530000000003</v>
      </c>
      <c r="E4546">
        <v>0.57352499999999995</v>
      </c>
      <c r="F4546" t="s">
        <v>44</v>
      </c>
      <c r="G4546">
        <v>-299.58780000000002</v>
      </c>
      <c r="H4546">
        <v>-0.05</v>
      </c>
      <c r="I4546">
        <v>1.7382660000000001</v>
      </c>
      <c r="J4546">
        <v>-317.95389999999998</v>
      </c>
      <c r="K4546">
        <v>1.104225</v>
      </c>
      <c r="L4546">
        <v>16.110289999999999</v>
      </c>
      <c r="M4546">
        <v>0.99124420000000002</v>
      </c>
      <c r="N4546">
        <v>-1.8535820000000001E-2</v>
      </c>
      <c r="O4546">
        <v>-0.1307352</v>
      </c>
      <c r="P4546">
        <v>0.86815189999999998</v>
      </c>
      <c r="Q4546">
        <v>0.1634815</v>
      </c>
      <c r="R4546">
        <v>-0.46860099999999999</v>
      </c>
      <c r="S4546">
        <v>2.4668580000000002</v>
      </c>
      <c r="T4546">
        <v>-0.1525251</v>
      </c>
      <c r="U4546">
        <v>-1.9025570000000001</v>
      </c>
      <c r="V4546">
        <v>0.35464950000000001</v>
      </c>
      <c r="W4546">
        <v>0.1733855</v>
      </c>
      <c r="X4546">
        <v>0.9187824</v>
      </c>
      <c r="Y4546">
        <v>0.50115379999999998</v>
      </c>
      <c r="Z4546">
        <v>-1.400291E-2</v>
      </c>
      <c r="AA4546">
        <v>0.86524489999999998</v>
      </c>
      <c r="AB4546">
        <v>34</v>
      </c>
      <c r="AC4546">
        <v>18.3660999999999</v>
      </c>
      <c r="AD4546">
        <v>-1.1542250000000001</v>
      </c>
      <c r="AE4546">
        <v>-14.372024</v>
      </c>
      <c r="AF4546">
        <v>11.818173827585699</v>
      </c>
      <c r="AG4546">
        <v>-1.1542250000000001</v>
      </c>
      <c r="AH4546">
        <v>20.0385817365629</v>
      </c>
      <c r="AI4546">
        <v>92.840355060432799</v>
      </c>
      <c r="AJ4546">
        <v>59.469130077311704</v>
      </c>
      <c r="AK4546">
        <v>23.292621706939102</v>
      </c>
      <c r="AL4546">
        <v>80.015281623589104</v>
      </c>
      <c r="AM4546">
        <v>68.893439196250398</v>
      </c>
      <c r="AN4546">
        <v>0.99999994900512801</v>
      </c>
    </row>
    <row r="4547" spans="1:40" x14ac:dyDescent="0.25">
      <c r="A4547" t="str">
        <f>"20190303162645073"</f>
        <v>20190303162645073</v>
      </c>
      <c r="B4547" t="str">
        <f>"1551601605058434"</f>
        <v>1551601605058434</v>
      </c>
      <c r="C4547" t="s">
        <v>40</v>
      </c>
      <c r="D4547">
        <v>5.0964859999999996</v>
      </c>
      <c r="E4547">
        <v>0.57321239999999996</v>
      </c>
      <c r="F4547" t="s">
        <v>44</v>
      </c>
      <c r="G4547">
        <v>-300.69940000000003</v>
      </c>
      <c r="H4547">
        <v>-0.05</v>
      </c>
      <c r="I4547">
        <v>2.4853519999999998</v>
      </c>
      <c r="J4547">
        <v>-317.7654</v>
      </c>
      <c r="K4547">
        <v>1.103013</v>
      </c>
      <c r="L4547">
        <v>16.081789999999899</v>
      </c>
      <c r="M4547">
        <v>0.99055059999999995</v>
      </c>
      <c r="N4547">
        <v>-1.9128429999999998E-2</v>
      </c>
      <c r="O4547">
        <v>-0.13580780000000001</v>
      </c>
      <c r="P4547">
        <v>0.86468349999999905</v>
      </c>
      <c r="Q4547">
        <v>0.16267209999999999</v>
      </c>
      <c r="R4547">
        <v>-0.4752477</v>
      </c>
      <c r="S4547">
        <v>2.4445190000000001</v>
      </c>
      <c r="T4547">
        <v>-0.16352359999999999</v>
      </c>
      <c r="U4547">
        <v>-1.9302980000000001</v>
      </c>
      <c r="V4547">
        <v>0.35703230000000002</v>
      </c>
      <c r="W4547">
        <v>0.17293929999999999</v>
      </c>
      <c r="X4547">
        <v>0.91794330000000002</v>
      </c>
      <c r="Y4547">
        <v>0.50649449999999996</v>
      </c>
      <c r="Z4547">
        <v>-1.4771589999999999E-2</v>
      </c>
      <c r="AA4547">
        <v>0.86211659999999901</v>
      </c>
      <c r="AB4547">
        <v>34</v>
      </c>
      <c r="AC4547">
        <v>17.065999999999899</v>
      </c>
      <c r="AD4547">
        <v>-1.1530129999999901</v>
      </c>
      <c r="AE4547">
        <v>-13.5964379999999</v>
      </c>
      <c r="AF4547">
        <v>11.121249869820099</v>
      </c>
      <c r="AG4547">
        <v>-1.1530129999999901</v>
      </c>
      <c r="AH4547">
        <v>18.702446387164699</v>
      </c>
      <c r="AI4547">
        <v>93.033245075566199</v>
      </c>
      <c r="AJ4547">
        <v>59.262528867125901</v>
      </c>
      <c r="AK4547">
        <v>21.789748472846401</v>
      </c>
      <c r="AL4547">
        <v>80.041239480441803</v>
      </c>
      <c r="AM4547">
        <v>68.746547807160496</v>
      </c>
      <c r="AN4547">
        <v>0.999999983371335</v>
      </c>
    </row>
    <row r="4548" spans="1:40" x14ac:dyDescent="0.25">
      <c r="A4548" t="str">
        <f>"20190303162645085"</f>
        <v>20190303162645085</v>
      </c>
      <c r="B4548" t="str">
        <f>"1551601605077954"</f>
        <v>1551601605077954</v>
      </c>
      <c r="C4548" t="s">
        <v>40</v>
      </c>
      <c r="D4548">
        <v>5.0762039999999997</v>
      </c>
      <c r="E4548">
        <v>0.57243449999999996</v>
      </c>
      <c r="F4548" t="s">
        <v>44</v>
      </c>
      <c r="G4548">
        <v>-301.0557</v>
      </c>
      <c r="H4548">
        <v>-0.05</v>
      </c>
      <c r="I4548">
        <v>2.701965</v>
      </c>
      <c r="J4548">
        <v>-317.57369999999997</v>
      </c>
      <c r="K4548">
        <v>1.101648</v>
      </c>
      <c r="L4548">
        <v>16.051909999999999</v>
      </c>
      <c r="M4548">
        <v>0.9898264</v>
      </c>
      <c r="N4548">
        <v>-1.9678770000000002E-2</v>
      </c>
      <c r="O4548">
        <v>-0.1409127</v>
      </c>
      <c r="P4548">
        <v>0.86108960000000001</v>
      </c>
      <c r="Q4548">
        <v>0.16178909999999999</v>
      </c>
      <c r="R4548">
        <v>-0.48202669999999997</v>
      </c>
      <c r="S4548">
        <v>2.4311219999999998</v>
      </c>
      <c r="T4548">
        <v>-0.16775390000000001</v>
      </c>
      <c r="U4548">
        <v>-1.946655</v>
      </c>
      <c r="V4548">
        <v>0.35957169999999999</v>
      </c>
      <c r="W4548">
        <v>0.172317</v>
      </c>
      <c r="X4548">
        <v>0.91706869999999996</v>
      </c>
      <c r="Y4548">
        <v>0.50785279999999999</v>
      </c>
      <c r="Z4548">
        <v>-1.5050060000000001E-2</v>
      </c>
      <c r="AA4548">
        <v>0.86131239999999998</v>
      </c>
      <c r="AB4548">
        <v>34</v>
      </c>
      <c r="AC4548">
        <v>16.517999999999901</v>
      </c>
      <c r="AD4548">
        <v>-1.151648</v>
      </c>
      <c r="AE4548">
        <v>-13.349945</v>
      </c>
      <c r="AF4548">
        <v>10.856718232582701</v>
      </c>
      <c r="AG4548">
        <v>-1.151648</v>
      </c>
      <c r="AH4548">
        <v>18.181201613639399</v>
      </c>
      <c r="AI4548">
        <v>93.112935640726306</v>
      </c>
      <c r="AJ4548">
        <v>59.156895616579</v>
      </c>
      <c r="AK4548">
        <v>21.207326941729399</v>
      </c>
      <c r="AL4548">
        <v>80.077438041053497</v>
      </c>
      <c r="AM4548">
        <v>68.590446594288494</v>
      </c>
      <c r="AN4548">
        <v>0.99999997822478903</v>
      </c>
    </row>
    <row r="4549" spans="1:40" x14ac:dyDescent="0.25">
      <c r="A4549" t="str">
        <f>"20190303162645098"</f>
        <v>20190303162645098</v>
      </c>
      <c r="B4549" t="str">
        <f>"1551601605088689"</f>
        <v>1551601605088689</v>
      </c>
      <c r="C4549" t="s">
        <v>40</v>
      </c>
      <c r="D4549">
        <v>5.0984109999999996</v>
      </c>
      <c r="E4549">
        <v>0.57206590000000002</v>
      </c>
      <c r="F4549" t="s">
        <v>44</v>
      </c>
      <c r="G4549">
        <v>-301.54599999999999</v>
      </c>
      <c r="H4549">
        <v>-0.05</v>
      </c>
      <c r="I4549">
        <v>3.0668489999999999</v>
      </c>
      <c r="J4549">
        <v>-317.37569999999999</v>
      </c>
      <c r="K4549">
        <v>1.100144</v>
      </c>
      <c r="L4549">
        <v>16.020199999999999</v>
      </c>
      <c r="M4549">
        <v>0.98905679999999996</v>
      </c>
      <c r="N4549">
        <v>-2.0203470000000001E-2</v>
      </c>
      <c r="O4549">
        <v>-0.1461461</v>
      </c>
      <c r="P4549">
        <v>0.85718459999999996</v>
      </c>
      <c r="Q4549">
        <v>0.16076550000000001</v>
      </c>
      <c r="R4549">
        <v>-0.48927419999999999</v>
      </c>
      <c r="S4549">
        <v>2.419403</v>
      </c>
      <c r="T4549">
        <v>-0.173843</v>
      </c>
      <c r="U4549">
        <v>-1.9601139999999999</v>
      </c>
      <c r="V4549">
        <v>0.36253419999999997</v>
      </c>
      <c r="W4549">
        <v>0.171464899999999</v>
      </c>
      <c r="X4549">
        <v>0.91606149999999997</v>
      </c>
      <c r="Y4549">
        <v>0.50816620000000001</v>
      </c>
      <c r="Z4549">
        <v>-1.5332709999999999E-2</v>
      </c>
      <c r="AA4549">
        <v>0.86112250000000001</v>
      </c>
      <c r="AB4549">
        <v>34</v>
      </c>
      <c r="AC4549">
        <v>15.829700000000001</v>
      </c>
      <c r="AD4549">
        <v>-1.1501440000000001</v>
      </c>
      <c r="AE4549">
        <v>-12.9533509999999</v>
      </c>
      <c r="AF4549">
        <v>10.4671970479911</v>
      </c>
      <c r="AG4549">
        <v>-1.1501440000000001</v>
      </c>
      <c r="AH4549">
        <v>17.497809089752099</v>
      </c>
      <c r="AI4549">
        <v>93.228540819579194</v>
      </c>
      <c r="AJ4549">
        <v>59.112117891533799</v>
      </c>
      <c r="AK4549">
        <v>20.422006958269801</v>
      </c>
      <c r="AL4549">
        <v>80.126997287684901</v>
      </c>
      <c r="AM4549">
        <v>68.408662812008004</v>
      </c>
      <c r="AN4549">
        <v>0.99999996494194898</v>
      </c>
    </row>
    <row r="4550" spans="1:40" x14ac:dyDescent="0.25">
      <c r="A4550" t="str">
        <f>"20190303162645112"</f>
        <v>20190303162645112</v>
      </c>
      <c r="B4550" t="str">
        <f>"1551601605098449"</f>
        <v>1551601605098449</v>
      </c>
      <c r="C4550" t="s">
        <v>40</v>
      </c>
      <c r="D4550">
        <v>5.0740930000000004</v>
      </c>
      <c r="E4550">
        <v>0.57171740000000004</v>
      </c>
      <c r="F4550" t="s">
        <v>44</v>
      </c>
      <c r="G4550">
        <v>-301.8655</v>
      </c>
      <c r="H4550">
        <v>-0.05</v>
      </c>
      <c r="I4550">
        <v>3.266327</v>
      </c>
      <c r="J4550">
        <v>-317.18270000000001</v>
      </c>
      <c r="K4550">
        <v>1.098489</v>
      </c>
      <c r="L4550">
        <v>15.98761</v>
      </c>
      <c r="M4550">
        <v>0.98829140000000004</v>
      </c>
      <c r="N4550">
        <v>-2.0574249999999999E-2</v>
      </c>
      <c r="O4550">
        <v>-0.15118509999999999</v>
      </c>
      <c r="P4550">
        <v>0.85311809999999999</v>
      </c>
      <c r="Q4550">
        <v>0.1605781</v>
      </c>
      <c r="R4550">
        <v>-0.49639109999999997</v>
      </c>
      <c r="S4550">
        <v>2.404633</v>
      </c>
      <c r="T4550">
        <v>-0.17831229999999901</v>
      </c>
      <c r="U4550">
        <v>-1.977295</v>
      </c>
      <c r="V4550">
        <v>0.3656295</v>
      </c>
      <c r="W4550">
        <v>0.17124130000000001</v>
      </c>
      <c r="X4550">
        <v>0.91487240000000003</v>
      </c>
      <c r="Y4550">
        <v>0.50999030000000001</v>
      </c>
      <c r="Z4550">
        <v>-1.555315E-2</v>
      </c>
      <c r="AA4550">
        <v>0.86003960000000002</v>
      </c>
      <c r="AB4550">
        <v>34</v>
      </c>
      <c r="AC4550">
        <v>15.3172</v>
      </c>
      <c r="AD4550">
        <v>-1.1484889999999901</v>
      </c>
      <c r="AE4550">
        <v>-12.721283</v>
      </c>
      <c r="AF4550">
        <v>10.2247540923297</v>
      </c>
      <c r="AG4550">
        <v>-1.1484889999999901</v>
      </c>
      <c r="AH4550">
        <v>17.008148467485</v>
      </c>
      <c r="AI4550">
        <v>93.312187673515993</v>
      </c>
      <c r="AJ4550">
        <v>58.987063110435301</v>
      </c>
      <c r="AK4550">
        <v>19.878172388923101</v>
      </c>
      <c r="AL4550">
        <v>80.140001413384994</v>
      </c>
      <c r="AM4550">
        <v>68.215839869727503</v>
      </c>
      <c r="AN4550">
        <v>1.0000000111888401</v>
      </c>
    </row>
    <row r="4551" spans="1:40" x14ac:dyDescent="0.25">
      <c r="A4551" t="str">
        <f>"20190303162645123"</f>
        <v>20190303162645123</v>
      </c>
      <c r="B4551" t="str">
        <f>"1551601605117969"</f>
        <v>1551601605117969</v>
      </c>
      <c r="C4551" t="s">
        <v>40</v>
      </c>
      <c r="D4551">
        <v>5.3413769999999996</v>
      </c>
      <c r="E4551">
        <v>0.57283709999999999</v>
      </c>
      <c r="F4551" t="s">
        <v>44</v>
      </c>
      <c r="G4551">
        <v>-301.79090000000002</v>
      </c>
      <c r="H4551">
        <v>-0.05</v>
      </c>
      <c r="I4551">
        <v>3.133057</v>
      </c>
      <c r="J4551">
        <v>-316.9794</v>
      </c>
      <c r="K4551">
        <v>1.096684</v>
      </c>
      <c r="L4551">
        <v>15.9523299999999</v>
      </c>
      <c r="M4551">
        <v>0.98746690000000004</v>
      </c>
      <c r="N4551">
        <v>-2.0905940000000001E-2</v>
      </c>
      <c r="O4551">
        <v>-0.1564352</v>
      </c>
      <c r="P4551">
        <v>0.84882049999999998</v>
      </c>
      <c r="Q4551">
        <v>0.15981310000000001</v>
      </c>
      <c r="R4551">
        <v>-0.50394810000000001</v>
      </c>
      <c r="S4551">
        <v>2.3890690000000001</v>
      </c>
      <c r="T4551">
        <v>-0.17826429999999999</v>
      </c>
      <c r="U4551">
        <v>-1.995239</v>
      </c>
      <c r="V4551">
        <v>0.36901440000000002</v>
      </c>
      <c r="W4551">
        <v>0.17036409999999999</v>
      </c>
      <c r="X4551">
        <v>0.9136763</v>
      </c>
      <c r="Y4551">
        <v>0.51197000000000004</v>
      </c>
      <c r="Z4551">
        <v>-1.558006E-2</v>
      </c>
      <c r="AA4551">
        <v>0.85886200000000001</v>
      </c>
      <c r="AB4551">
        <v>34</v>
      </c>
      <c r="AC4551">
        <v>15.1884999999999</v>
      </c>
      <c r="AD4551">
        <v>-1.146684</v>
      </c>
      <c r="AE4551">
        <v>-12.819273000000001</v>
      </c>
      <c r="AF4551">
        <v>10.250719278364301</v>
      </c>
      <c r="AG4551">
        <v>-1.146684</v>
      </c>
      <c r="AH4551">
        <v>16.950821531251702</v>
      </c>
      <c r="AI4551">
        <v>93.312937976657693</v>
      </c>
      <c r="AJ4551">
        <v>58.837266671603203</v>
      </c>
      <c r="AK4551">
        <v>19.842441394748601</v>
      </c>
      <c r="AL4551">
        <v>80.191010411172797</v>
      </c>
      <c r="AM4551">
        <v>68.007266623369901</v>
      </c>
      <c r="AN4551">
        <v>0.99999996757892895</v>
      </c>
    </row>
    <row r="4552" spans="1:40" x14ac:dyDescent="0.25">
      <c r="A4552" t="str">
        <f>"20190303162645137"</f>
        <v>20190303162645137</v>
      </c>
      <c r="B4552" t="str">
        <f>"1551601605128706"</f>
        <v>1551601605128706</v>
      </c>
      <c r="C4552" t="s">
        <v>40</v>
      </c>
      <c r="D4552">
        <v>5.3201099999999997</v>
      </c>
      <c r="E4552">
        <v>0.57283709999999999</v>
      </c>
      <c r="F4552" t="s">
        <v>44</v>
      </c>
      <c r="G4552">
        <v>-301.43939999999998</v>
      </c>
      <c r="H4552">
        <v>-0.05</v>
      </c>
      <c r="I4552">
        <v>2.6536409999999999</v>
      </c>
      <c r="J4552">
        <v>-316.77659999999997</v>
      </c>
      <c r="K4552">
        <v>1.0948119999999999</v>
      </c>
      <c r="L4552">
        <v>15.91611</v>
      </c>
      <c r="M4552">
        <v>0.98662850000000002</v>
      </c>
      <c r="N4552">
        <v>-2.1171309999999999E-2</v>
      </c>
      <c r="O4552">
        <v>-0.16160529999999901</v>
      </c>
      <c r="P4552">
        <v>0.84294269999999905</v>
      </c>
      <c r="Q4552">
        <v>0.1582171</v>
      </c>
      <c r="R4552">
        <v>-0.5142137</v>
      </c>
      <c r="S4552">
        <v>2.3653870000000001</v>
      </c>
      <c r="T4552">
        <v>-0.17454</v>
      </c>
      <c r="U4552">
        <v>-2.0242309999999999</v>
      </c>
      <c r="V4552">
        <v>0.37540109999999999</v>
      </c>
      <c r="W4552">
        <v>0.16848250000000001</v>
      </c>
      <c r="X4552">
        <v>0.91142069999999997</v>
      </c>
      <c r="Y4552">
        <v>0.51780099999999996</v>
      </c>
      <c r="Z4552">
        <v>-1.5635639999999999E-2</v>
      </c>
      <c r="AA4552">
        <v>0.85535819999999996</v>
      </c>
      <c r="AB4552">
        <v>34</v>
      </c>
      <c r="AC4552">
        <v>15.3371999999999</v>
      </c>
      <c r="AD4552">
        <v>-1.1448119999999999</v>
      </c>
      <c r="AE4552">
        <v>-13.262468999999999</v>
      </c>
      <c r="AF4552">
        <v>10.575221249397501</v>
      </c>
      <c r="AG4552">
        <v>-1.1448119999999999</v>
      </c>
      <c r="AH4552">
        <v>17.224365740229601</v>
      </c>
      <c r="AI4552">
        <v>93.241824505588198</v>
      </c>
      <c r="AJ4552">
        <v>58.451377855582201</v>
      </c>
      <c r="AK4552">
        <v>20.2441269049136</v>
      </c>
      <c r="AL4552">
        <v>80.300400038966899</v>
      </c>
      <c r="AM4552">
        <v>67.613940598045204</v>
      </c>
      <c r="AN4552">
        <v>1.00000001553797</v>
      </c>
    </row>
    <row r="4553" spans="1:40" x14ac:dyDescent="0.25">
      <c r="A4553" t="str">
        <f>"20190303162645151"</f>
        <v>20190303162645151</v>
      </c>
      <c r="B4553" t="str">
        <f>"1551601605138466"</f>
        <v>1551601605138466</v>
      </c>
      <c r="C4553" t="s">
        <v>40</v>
      </c>
      <c r="D4553">
        <v>5.0379319999999996</v>
      </c>
      <c r="E4553">
        <v>0.61900529999999998</v>
      </c>
      <c r="F4553" t="s">
        <v>44</v>
      </c>
      <c r="G4553">
        <v>-301.779</v>
      </c>
      <c r="H4553">
        <v>-0.05</v>
      </c>
      <c r="I4553">
        <v>2.7575989999999999</v>
      </c>
      <c r="J4553">
        <v>-316.58670000000001</v>
      </c>
      <c r="K4553">
        <v>1.0930310000000001</v>
      </c>
      <c r="L4553">
        <v>15.88043</v>
      </c>
      <c r="M4553">
        <v>0.9858363</v>
      </c>
      <c r="N4553">
        <v>-2.1338010000000001E-2</v>
      </c>
      <c r="O4553">
        <v>-0.166348</v>
      </c>
      <c r="P4553">
        <v>0.83894979999999997</v>
      </c>
      <c r="Q4553">
        <v>0.15780910000000001</v>
      </c>
      <c r="R4553">
        <v>-0.52082580000000001</v>
      </c>
      <c r="S4553">
        <v>2.3400569999999998</v>
      </c>
      <c r="T4553">
        <v>-0.17862310000000001</v>
      </c>
      <c r="U4553">
        <v>-2.0531009999999998</v>
      </c>
      <c r="V4553">
        <v>0.37830029999999998</v>
      </c>
      <c r="W4553">
        <v>0.16784979999999999</v>
      </c>
      <c r="X4553">
        <v>0.91033799999999998</v>
      </c>
      <c r="Y4553">
        <v>0.524169</v>
      </c>
      <c r="Z4553">
        <v>-1.5982690000000001E-2</v>
      </c>
      <c r="AA4553">
        <v>0.85146429999999995</v>
      </c>
      <c r="AB4553">
        <v>34</v>
      </c>
      <c r="AC4553">
        <v>14.807700000000001</v>
      </c>
      <c r="AD4553">
        <v>-1.1430309999999999</v>
      </c>
      <c r="AE4553">
        <v>-13.1228309999999</v>
      </c>
      <c r="AF4553">
        <v>10.441269318647199</v>
      </c>
      <c r="AG4553">
        <v>-1.1430309999999999</v>
      </c>
      <c r="AH4553">
        <v>16.728913630377601</v>
      </c>
      <c r="AI4553">
        <v>93.317332783804503</v>
      </c>
      <c r="AJ4553">
        <v>58.029853828769497</v>
      </c>
      <c r="AK4553">
        <v>19.7530548549869</v>
      </c>
      <c r="AL4553">
        <v>80.337174388323106</v>
      </c>
      <c r="AM4553">
        <v>67.434170898952004</v>
      </c>
      <c r="AN4553">
        <v>0.99999997329206403</v>
      </c>
    </row>
    <row r="4554" spans="1:40" x14ac:dyDescent="0.25">
      <c r="A4554" t="str">
        <f>"20190303162645164"</f>
        <v>20190303162645164</v>
      </c>
      <c r="B4554" t="str">
        <f>"1551601605158961"</f>
        <v>1551601605158961</v>
      </c>
      <c r="C4554" t="s">
        <v>40</v>
      </c>
      <c r="D4554">
        <v>5.1323489999999996</v>
      </c>
      <c r="E4554">
        <v>0.62886489999999995</v>
      </c>
      <c r="F4554" t="s">
        <v>44</v>
      </c>
      <c r="G4554">
        <v>-306.86680000000001</v>
      </c>
      <c r="H4554">
        <v>-0.05</v>
      </c>
      <c r="I4554">
        <v>5.044937</v>
      </c>
      <c r="J4554">
        <v>-316.38029999999998</v>
      </c>
      <c r="K4554">
        <v>1.091107</v>
      </c>
      <c r="L4554">
        <v>15.840730000000001</v>
      </c>
      <c r="M4554">
        <v>0.9849504</v>
      </c>
      <c r="N4554">
        <v>-2.1466269999999999E-2</v>
      </c>
      <c r="O4554">
        <v>-0.17149890000000001</v>
      </c>
      <c r="P4554">
        <v>0.83475480000000002</v>
      </c>
      <c r="Q4554">
        <v>0.1574411</v>
      </c>
      <c r="R4554">
        <v>-0.52763309999999997</v>
      </c>
      <c r="S4554">
        <v>2.141327</v>
      </c>
      <c r="T4554">
        <v>-0.25181209999999998</v>
      </c>
      <c r="U4554">
        <v>-2.3870849999999999</v>
      </c>
      <c r="V4554">
        <v>0.38105990000000001</v>
      </c>
      <c r="W4554">
        <v>0.1672283</v>
      </c>
      <c r="X4554">
        <v>0.90930089999999997</v>
      </c>
      <c r="Y4554">
        <v>0.61667869999999902</v>
      </c>
      <c r="Z4554">
        <v>-2.4213579999999998E-2</v>
      </c>
      <c r="AA4554">
        <v>0.7868425</v>
      </c>
      <c r="AB4554">
        <v>34</v>
      </c>
      <c r="AC4554">
        <v>9.5134999999999597</v>
      </c>
      <c r="AD4554">
        <v>-1.1411069999999901</v>
      </c>
      <c r="AE4554">
        <v>-10.795793</v>
      </c>
      <c r="AF4554">
        <v>8.9475715747712492</v>
      </c>
      <c r="AG4554">
        <v>-1.1411069999999901</v>
      </c>
      <c r="AH4554">
        <v>11.1542325232931</v>
      </c>
      <c r="AI4554">
        <v>94.562559601051703</v>
      </c>
      <c r="AJ4554">
        <v>51.264519642502499</v>
      </c>
      <c r="AK4554">
        <v>14.3449665546767</v>
      </c>
      <c r="AL4554">
        <v>80.373294896076303</v>
      </c>
      <c r="AM4554">
        <v>67.262948723633301</v>
      </c>
      <c r="AN4554">
        <v>1.00000003922485</v>
      </c>
    </row>
    <row r="4555" spans="1:40" x14ac:dyDescent="0.25">
      <c r="A4555" t="str">
        <f>"20190303162645176"</f>
        <v>20190303162645176</v>
      </c>
      <c r="B4555" t="str">
        <f>"1551601605168721"</f>
        <v>1551601605168721</v>
      </c>
      <c r="C4555" t="s">
        <v>40</v>
      </c>
      <c r="D4555">
        <v>5.0784940000000001</v>
      </c>
      <c r="E4555">
        <v>0.63025580000000003</v>
      </c>
      <c r="F4555" t="s">
        <v>44</v>
      </c>
      <c r="G4555">
        <v>-307.6891</v>
      </c>
      <c r="H4555">
        <v>-0.05</v>
      </c>
      <c r="I4555">
        <v>5.5281830000000003</v>
      </c>
      <c r="J4555">
        <v>-316.18770000000001</v>
      </c>
      <c r="K4555">
        <v>1.089329</v>
      </c>
      <c r="L4555">
        <v>15.80261</v>
      </c>
      <c r="M4555">
        <v>0.98410059999999999</v>
      </c>
      <c r="N4555">
        <v>-2.1526279999999998E-2</v>
      </c>
      <c r="O4555">
        <v>-0.17630319999999999</v>
      </c>
      <c r="P4555">
        <v>0.83062789999999997</v>
      </c>
      <c r="Q4555">
        <v>0.1575204</v>
      </c>
      <c r="R4555">
        <v>-0.53408339999999999</v>
      </c>
      <c r="S4555">
        <v>2.0830989999999998</v>
      </c>
      <c r="T4555">
        <v>-0.27349689999999999</v>
      </c>
      <c r="U4555">
        <v>-2.4716800000000001</v>
      </c>
      <c r="V4555">
        <v>0.38377810000000001</v>
      </c>
      <c r="W4555">
        <v>0.167044</v>
      </c>
      <c r="X4555">
        <v>0.90819090000000002</v>
      </c>
      <c r="Y4555">
        <v>0.63654500000000003</v>
      </c>
      <c r="Z4555">
        <v>-2.643382E-2</v>
      </c>
      <c r="AA4555">
        <v>0.77078649999999904</v>
      </c>
      <c r="AB4555">
        <v>34</v>
      </c>
      <c r="AC4555">
        <v>8.4986000000000104</v>
      </c>
      <c r="AD4555">
        <v>-1.139329</v>
      </c>
      <c r="AE4555">
        <v>-10.274426999999999</v>
      </c>
      <c r="AF4555">
        <v>8.5522932488329797</v>
      </c>
      <c r="AG4555">
        <v>-1.139329</v>
      </c>
      <c r="AH4555">
        <v>10.103482028517799</v>
      </c>
      <c r="AI4555">
        <v>94.919357339395404</v>
      </c>
      <c r="AJ4555">
        <v>49.753090993938599</v>
      </c>
      <c r="AK4555">
        <v>13.286088193477299</v>
      </c>
      <c r="AL4555">
        <v>80.384004967924696</v>
      </c>
      <c r="AM4555">
        <v>67.092331839075001</v>
      </c>
      <c r="AN4555">
        <v>1.0000000194092</v>
      </c>
    </row>
    <row r="4556" spans="1:40" x14ac:dyDescent="0.25">
      <c r="A4556" t="str">
        <f>"20190303162645188"</f>
        <v>20190303162645188</v>
      </c>
      <c r="B4556" t="str">
        <f>"1551601605178481"</f>
        <v>1551601605178481</v>
      </c>
      <c r="C4556" t="s">
        <v>40</v>
      </c>
      <c r="D4556">
        <v>5.0312340000000004</v>
      </c>
      <c r="E4556">
        <v>0.63069949999999997</v>
      </c>
      <c r="F4556" t="s">
        <v>44</v>
      </c>
      <c r="G4556">
        <v>-307.6103</v>
      </c>
      <c r="H4556">
        <v>-0.05</v>
      </c>
      <c r="I4556">
        <v>5.3917539999999997</v>
      </c>
      <c r="J4556">
        <v>-316.01729999999998</v>
      </c>
      <c r="K4556">
        <v>1.0878209999999999</v>
      </c>
      <c r="L4556">
        <v>15.76746</v>
      </c>
      <c r="M4556">
        <v>0.98331679999999999</v>
      </c>
      <c r="N4556">
        <v>-2.1486430000000001E-2</v>
      </c>
      <c r="O4556">
        <v>-0.1806287</v>
      </c>
      <c r="P4556">
        <v>0.82650330000000005</v>
      </c>
      <c r="Q4556">
        <v>0.15781800000000001</v>
      </c>
      <c r="R4556">
        <v>-0.54035769999999905</v>
      </c>
      <c r="S4556">
        <v>2.057709</v>
      </c>
      <c r="T4556">
        <v>-0.27332070000000003</v>
      </c>
      <c r="U4556">
        <v>-2.497528</v>
      </c>
      <c r="V4556">
        <v>0.38674170000000002</v>
      </c>
      <c r="W4556">
        <v>0.1670741</v>
      </c>
      <c r="X4556">
        <v>0.90692729999999999</v>
      </c>
      <c r="Y4556">
        <v>0.64171999999999996</v>
      </c>
      <c r="Z4556">
        <v>-2.6481029999999999E-2</v>
      </c>
      <c r="AA4556">
        <v>0.76648169999999904</v>
      </c>
      <c r="AB4556">
        <v>34</v>
      </c>
      <c r="AC4556">
        <v>8.4069999999999805</v>
      </c>
      <c r="AD4556">
        <v>-1.137821</v>
      </c>
      <c r="AE4556">
        <v>-10.375705999999999</v>
      </c>
      <c r="AF4556">
        <v>8.6234609957825601</v>
      </c>
      <c r="AG4556">
        <v>-1.137821</v>
      </c>
      <c r="AH4556">
        <v>10.070128926625101</v>
      </c>
      <c r="AI4556">
        <v>94.905230090901895</v>
      </c>
      <c r="AJ4556">
        <v>49.425211421065299</v>
      </c>
      <c r="AK4556">
        <v>13.3066228913528</v>
      </c>
      <c r="AL4556">
        <v>80.382255715926306</v>
      </c>
      <c r="AM4556">
        <v>66.905108810261495</v>
      </c>
      <c r="AN4556">
        <v>1.0000000124474899</v>
      </c>
    </row>
    <row r="4557" spans="1:40" x14ac:dyDescent="0.25">
      <c r="A4557" t="str">
        <f>"20190303162645200"</f>
        <v>20190303162645200</v>
      </c>
      <c r="B4557" t="str">
        <f>"1551601605198002"</f>
        <v>1551601605198002</v>
      </c>
      <c r="C4557" t="s">
        <v>40</v>
      </c>
      <c r="D4557">
        <v>5.065563</v>
      </c>
      <c r="E4557">
        <v>0.63086580000000003</v>
      </c>
      <c r="F4557" t="s">
        <v>44</v>
      </c>
      <c r="G4557">
        <v>-307.51909999999998</v>
      </c>
      <c r="H4557">
        <v>-0.05</v>
      </c>
      <c r="I4557">
        <v>5.270035</v>
      </c>
      <c r="J4557">
        <v>-315.82749999999999</v>
      </c>
      <c r="K4557">
        <v>1.0861700000000001</v>
      </c>
      <c r="L4557">
        <v>15.72772</v>
      </c>
      <c r="M4557">
        <v>0.98241339999999999</v>
      </c>
      <c r="N4557">
        <v>-2.1404639999999999E-2</v>
      </c>
      <c r="O4557">
        <v>-0.18548899999999999</v>
      </c>
      <c r="P4557">
        <v>0.82213760000000002</v>
      </c>
      <c r="Q4557">
        <v>0.15806879999999901</v>
      </c>
      <c r="R4557">
        <v>-0.54690450000000002</v>
      </c>
      <c r="S4557">
        <v>2.0368650000000001</v>
      </c>
      <c r="T4557">
        <v>-0.27271319999999999</v>
      </c>
      <c r="U4557">
        <v>-2.516022</v>
      </c>
      <c r="V4557">
        <v>0.38952829999999999</v>
      </c>
      <c r="W4557">
        <v>0.16704169999999999</v>
      </c>
      <c r="X4557">
        <v>0.90573990000000004</v>
      </c>
      <c r="Y4557">
        <v>0.64452790000000004</v>
      </c>
      <c r="Z4557">
        <v>-2.627434E-2</v>
      </c>
      <c r="AA4557">
        <v>0.76412919999999995</v>
      </c>
      <c r="AB4557">
        <v>34</v>
      </c>
      <c r="AC4557">
        <v>8.3084000000000007</v>
      </c>
      <c r="AD4557">
        <v>-1.1361699999999999</v>
      </c>
      <c r="AE4557">
        <v>-10.457685</v>
      </c>
      <c r="AF4557">
        <v>8.6719009392243098</v>
      </c>
      <c r="AG4557">
        <v>-1.1361699999999999</v>
      </c>
      <c r="AH4557">
        <v>10.031790015538601</v>
      </c>
      <c r="AI4557">
        <v>94.897217042614997</v>
      </c>
      <c r="AJ4557">
        <v>49.158486307279396</v>
      </c>
      <c r="AK4557">
        <v>13.309002933521301</v>
      </c>
      <c r="AL4557">
        <v>80.384138401311503</v>
      </c>
      <c r="AM4557">
        <v>66.729084398810997</v>
      </c>
      <c r="AN4557">
        <v>0.99999999624589497</v>
      </c>
    </row>
    <row r="4558" spans="1:40" x14ac:dyDescent="0.25">
      <c r="A4558" t="str">
        <f>"20190303162645215"</f>
        <v>20190303162645215</v>
      </c>
      <c r="B4558" t="str">
        <f>"1551601605208737"</f>
        <v>1551601605208737</v>
      </c>
      <c r="C4558" t="s">
        <v>40</v>
      </c>
      <c r="D4558">
        <v>5.0187530000000002</v>
      </c>
      <c r="E4558">
        <v>0.63086089999999995</v>
      </c>
      <c r="F4558" t="s">
        <v>44</v>
      </c>
      <c r="G4558">
        <v>-307.3331</v>
      </c>
      <c r="H4558">
        <v>-0.05</v>
      </c>
      <c r="I4558">
        <v>5.051895</v>
      </c>
      <c r="J4558">
        <v>-315.59859999999998</v>
      </c>
      <c r="K4558">
        <v>1.0842780000000001</v>
      </c>
      <c r="L4558">
        <v>15.678100000000001</v>
      </c>
      <c r="M4558">
        <v>0.98126349999999996</v>
      </c>
      <c r="N4558">
        <v>-2.1203650000000001E-2</v>
      </c>
      <c r="O4558">
        <v>-0.191501</v>
      </c>
      <c r="P4558">
        <v>0.81574709999999995</v>
      </c>
      <c r="Q4558">
        <v>0.15825249999999999</v>
      </c>
      <c r="R4558">
        <v>-0.55633889999999997</v>
      </c>
      <c r="S4558">
        <v>2.0156559999999999</v>
      </c>
      <c r="T4558">
        <v>-0.26960489999999998</v>
      </c>
      <c r="U4558">
        <v>-2.5332949999999999</v>
      </c>
      <c r="V4558">
        <v>0.39445190000000002</v>
      </c>
      <c r="W4558">
        <v>0.1668259</v>
      </c>
      <c r="X4558">
        <v>0.90364639999999996</v>
      </c>
      <c r="Y4558">
        <v>0.64636309999999997</v>
      </c>
      <c r="Z4558">
        <v>-2.571994E-2</v>
      </c>
      <c r="AA4558">
        <v>0.76259639999999995</v>
      </c>
      <c r="AB4558">
        <v>34</v>
      </c>
      <c r="AC4558">
        <v>8.2654999999999692</v>
      </c>
      <c r="AD4558">
        <v>-1.1342779999999999</v>
      </c>
      <c r="AE4558">
        <v>-10.626205000000001</v>
      </c>
      <c r="AF4558">
        <v>8.7838863020260192</v>
      </c>
      <c r="AG4558">
        <v>-1.1342779999999999</v>
      </c>
      <c r="AH4558">
        <v>10.0763105654563</v>
      </c>
      <c r="AI4558">
        <v>94.850142663565506</v>
      </c>
      <c r="AJ4558">
        <v>48.920153684247097</v>
      </c>
      <c r="AK4558">
        <v>13.415486564405001</v>
      </c>
      <c r="AL4558">
        <v>80.396678825493595</v>
      </c>
      <c r="AM4558">
        <v>66.418185109810807</v>
      </c>
      <c r="AN4558">
        <v>0.99999999927868899</v>
      </c>
    </row>
    <row r="4559" spans="1:40" x14ac:dyDescent="0.25">
      <c r="A4559" t="str">
        <f>"20190303162645239"</f>
        <v>20190303162645239</v>
      </c>
      <c r="B4559" t="str">
        <f>"1551601605228257"</f>
        <v>1551601605228257</v>
      </c>
      <c r="C4559" t="s">
        <v>40</v>
      </c>
      <c r="D4559">
        <v>5.0229889999999999</v>
      </c>
      <c r="E4559">
        <v>0.63070760000000003</v>
      </c>
      <c r="F4559" t="s">
        <v>44</v>
      </c>
      <c r="G4559">
        <v>-307.18729999999999</v>
      </c>
      <c r="H4559">
        <v>-0.05</v>
      </c>
      <c r="I4559">
        <v>4.8501589999999997</v>
      </c>
      <c r="J4559">
        <v>-315.25110000000001</v>
      </c>
      <c r="K4559">
        <v>1.081642</v>
      </c>
      <c r="L4559">
        <v>15.599640000000001</v>
      </c>
      <c r="M4559">
        <v>0.97936049999999997</v>
      </c>
      <c r="N4559">
        <v>-2.077762E-2</v>
      </c>
      <c r="O4559">
        <v>-0.20105049999999999</v>
      </c>
      <c r="P4559">
        <v>0.80828999999999995</v>
      </c>
      <c r="Q4559">
        <v>0.1588376</v>
      </c>
      <c r="R4559">
        <v>-0.56695499999999999</v>
      </c>
      <c r="S4559">
        <v>1.985992</v>
      </c>
      <c r="T4559">
        <v>-0.26781389999999999</v>
      </c>
      <c r="U4559">
        <v>-2.5565799999999999</v>
      </c>
      <c r="V4559">
        <v>0.39745599999999998</v>
      </c>
      <c r="W4559">
        <v>0.1670181</v>
      </c>
      <c r="X4559">
        <v>0.90229360000000003</v>
      </c>
      <c r="Y4559">
        <v>0.64787819999999996</v>
      </c>
      <c r="Z4559">
        <v>-2.4841700000000001E-2</v>
      </c>
      <c r="AA4559">
        <v>0.76133879999999998</v>
      </c>
      <c r="AB4559">
        <v>34</v>
      </c>
      <c r="AC4559">
        <v>8.0638000000000094</v>
      </c>
      <c r="AD4559">
        <v>-1.131642</v>
      </c>
      <c r="AE4559">
        <v>-10.749480999999999</v>
      </c>
      <c r="AF4559">
        <v>8.8455779364211597</v>
      </c>
      <c r="AG4559">
        <v>-1.131642</v>
      </c>
      <c r="AH4559">
        <v>9.9898811914805599</v>
      </c>
      <c r="AI4559">
        <v>94.847663439735598</v>
      </c>
      <c r="AJ4559">
        <v>48.476594973739402</v>
      </c>
      <c r="AK4559">
        <v>13.391138445455701</v>
      </c>
      <c r="AL4559">
        <v>80.385510167216296</v>
      </c>
      <c r="AM4559">
        <v>66.226738999728994</v>
      </c>
      <c r="AN4559">
        <v>1.0000000291322799</v>
      </c>
    </row>
    <row r="4560" spans="1:40" x14ac:dyDescent="0.25">
      <c r="A4560" t="str">
        <f>"20190303162645261"</f>
        <v>20190303162645261</v>
      </c>
      <c r="B4560" t="str">
        <f>"1551601605258513"</f>
        <v>1551601605258513</v>
      </c>
      <c r="C4560" t="s">
        <v>40</v>
      </c>
      <c r="D4560">
        <v>5.0333449999999997</v>
      </c>
      <c r="E4560">
        <v>0.62988599999999995</v>
      </c>
      <c r="F4560" t="s">
        <v>44</v>
      </c>
      <c r="G4560">
        <v>-306.75810000000001</v>
      </c>
      <c r="H4560">
        <v>-0.05</v>
      </c>
      <c r="I4560">
        <v>4.3614199999999999</v>
      </c>
      <c r="J4560">
        <v>-314.92649999999998</v>
      </c>
      <c r="K4560">
        <v>1.079421</v>
      </c>
      <c r="L4560">
        <v>15.52289</v>
      </c>
      <c r="M4560">
        <v>0.97738000000000003</v>
      </c>
      <c r="N4560">
        <v>-2.031262E-2</v>
      </c>
      <c r="O4560">
        <v>-0.2105129</v>
      </c>
      <c r="P4560">
        <v>0.80102910000000005</v>
      </c>
      <c r="Q4560">
        <v>0.1623674</v>
      </c>
      <c r="R4560">
        <v>-0.5761849</v>
      </c>
      <c r="S4560">
        <v>1.951416</v>
      </c>
      <c r="T4560">
        <v>-0.2600152</v>
      </c>
      <c r="U4560">
        <v>-2.5821839999999998</v>
      </c>
      <c r="V4560">
        <v>0.3992233</v>
      </c>
      <c r="W4560">
        <v>0.1702612</v>
      </c>
      <c r="X4560">
        <v>0.90090610000000004</v>
      </c>
      <c r="Y4560">
        <v>0.65076469999999997</v>
      </c>
      <c r="Z4560">
        <v>-2.3770179999999998E-2</v>
      </c>
      <c r="AA4560">
        <v>0.75890729999999995</v>
      </c>
      <c r="AB4560">
        <v>34</v>
      </c>
      <c r="AC4560">
        <v>8.1683999999999592</v>
      </c>
      <c r="AD4560">
        <v>-1.129421</v>
      </c>
      <c r="AE4560">
        <v>-11.16147</v>
      </c>
      <c r="AF4560">
        <v>9.13045890677774</v>
      </c>
      <c r="AG4560">
        <v>-1.129421</v>
      </c>
      <c r="AH4560">
        <v>10.2669372038054</v>
      </c>
      <c r="AI4560">
        <v>94.699271944215795</v>
      </c>
      <c r="AJ4560">
        <v>48.353081799672204</v>
      </c>
      <c r="AK4560">
        <v>13.7858939206161</v>
      </c>
      <c r="AL4560">
        <v>80.196993487914995</v>
      </c>
      <c r="AM4560">
        <v>66.100177100027594</v>
      </c>
      <c r="AN4560">
        <v>0.99999996025276905</v>
      </c>
    </row>
    <row r="4561" spans="1:40" x14ac:dyDescent="0.25">
      <c r="A4561" t="str">
        <f>"20190303162645273"</f>
        <v>20190303162645273</v>
      </c>
      <c r="B4561" t="str">
        <f>"1551601605268273"</f>
        <v>1551601605268273</v>
      </c>
      <c r="C4561" t="s">
        <v>40</v>
      </c>
      <c r="D4561">
        <v>5.0193510000000003</v>
      </c>
      <c r="E4561">
        <v>0.62958139999999996</v>
      </c>
      <c r="F4561" t="s">
        <v>44</v>
      </c>
      <c r="G4561">
        <v>-305.97019999999998</v>
      </c>
      <c r="H4561">
        <v>-0.05</v>
      </c>
      <c r="I4561">
        <v>3.4162140000000001</v>
      </c>
      <c r="J4561">
        <v>-314.74079999999998</v>
      </c>
      <c r="K4561">
        <v>1.0782210000000001</v>
      </c>
      <c r="L4561">
        <v>15.477539999999999</v>
      </c>
      <c r="M4561">
        <v>0.97616230000000004</v>
      </c>
      <c r="N4561">
        <v>-2.0029539999999998E-2</v>
      </c>
      <c r="O4561">
        <v>-0.2161158</v>
      </c>
      <c r="P4561">
        <v>0.79652860000000003</v>
      </c>
      <c r="Q4561">
        <v>0.16458909999999999</v>
      </c>
      <c r="R4561">
        <v>-0.58176729999999999</v>
      </c>
      <c r="S4561">
        <v>1.9237979999999999</v>
      </c>
      <c r="T4561">
        <v>-0.2425978</v>
      </c>
      <c r="U4561">
        <v>-2.6004939999999999</v>
      </c>
      <c r="V4561">
        <v>0.40044659999999999</v>
      </c>
      <c r="W4561">
        <v>0.1723095</v>
      </c>
      <c r="X4561">
        <v>0.89997329999999998</v>
      </c>
      <c r="Y4561">
        <v>0.65439759999999902</v>
      </c>
      <c r="Z4561">
        <v>-2.2703859999999999E-2</v>
      </c>
      <c r="AA4561">
        <v>0.75580970000000003</v>
      </c>
      <c r="AB4561">
        <v>34</v>
      </c>
      <c r="AC4561">
        <v>8.7706</v>
      </c>
      <c r="AD4561">
        <v>-1.1282209999999999</v>
      </c>
      <c r="AE4561">
        <v>-12.061325999999999</v>
      </c>
      <c r="AF4561">
        <v>9.8241008744619496</v>
      </c>
      <c r="AG4561">
        <v>-1.1282209999999999</v>
      </c>
      <c r="AH4561">
        <v>11.1068436612935</v>
      </c>
      <c r="AI4561">
        <v>94.351039081889198</v>
      </c>
      <c r="AJ4561">
        <v>48.506957986367397</v>
      </c>
      <c r="AK4561">
        <v>14.87103953101</v>
      </c>
      <c r="AL4561">
        <v>80.077874422487398</v>
      </c>
      <c r="AM4561">
        <v>66.013142349673103</v>
      </c>
      <c r="AN4561">
        <v>0.99999999197735001</v>
      </c>
    </row>
    <row r="4562" spans="1:40" x14ac:dyDescent="0.25">
      <c r="A4562" t="str">
        <f>"20190303162645285"</f>
        <v>20190303162645285</v>
      </c>
      <c r="B4562" t="str">
        <f>"1551601605278033"</f>
        <v>1551601605278033</v>
      </c>
      <c r="C4562" t="s">
        <v>40</v>
      </c>
      <c r="D4562">
        <v>5.0479969999999996</v>
      </c>
      <c r="E4562">
        <v>0.62923099999999998</v>
      </c>
      <c r="F4562" t="s">
        <v>44</v>
      </c>
      <c r="G4562">
        <v>-305.53219999999999</v>
      </c>
      <c r="H4562">
        <v>-0.05</v>
      </c>
      <c r="I4562">
        <v>2.8561860000000001</v>
      </c>
      <c r="J4562">
        <v>-314.56020000000001</v>
      </c>
      <c r="K4562">
        <v>1.0770850000000001</v>
      </c>
      <c r="L4562">
        <v>15.43234</v>
      </c>
      <c r="M4562">
        <v>0.97492679999999998</v>
      </c>
      <c r="N4562">
        <v>-1.9743529999999999E-2</v>
      </c>
      <c r="O4562">
        <v>-0.22164790000000001</v>
      </c>
      <c r="P4562">
        <v>0.79197379999999995</v>
      </c>
      <c r="Q4562">
        <v>0.1664466</v>
      </c>
      <c r="R4562">
        <v>-0.58742910000000004</v>
      </c>
      <c r="S4562">
        <v>1.9062809999999999</v>
      </c>
      <c r="T4562">
        <v>-0.2335545</v>
      </c>
      <c r="U4562">
        <v>-2.612762</v>
      </c>
      <c r="V4562">
        <v>0.40184140000000002</v>
      </c>
      <c r="W4562">
        <v>0.17396449999999999</v>
      </c>
      <c r="X4562">
        <v>0.89903269999999902</v>
      </c>
      <c r="Y4562">
        <v>0.6552403</v>
      </c>
      <c r="Z4562">
        <v>-2.1850430000000001E-2</v>
      </c>
      <c r="AA4562">
        <v>0.75510440000000001</v>
      </c>
      <c r="AB4562">
        <v>34</v>
      </c>
      <c r="AC4562">
        <v>9.0280000000000094</v>
      </c>
      <c r="AD4562">
        <v>-1.1270849999999999</v>
      </c>
      <c r="AE4562">
        <v>-12.576154000000001</v>
      </c>
      <c r="AF4562">
        <v>10.207688318072501</v>
      </c>
      <c r="AG4562">
        <v>-1.1270849999999999</v>
      </c>
      <c r="AH4562">
        <v>11.530262325550799</v>
      </c>
      <c r="AI4562">
        <v>94.186004531375005</v>
      </c>
      <c r="AJ4562">
        <v>48.481681157165902</v>
      </c>
      <c r="AK4562">
        <v>15.440666134987699</v>
      </c>
      <c r="AL4562">
        <v>79.9815957185386</v>
      </c>
      <c r="AM4562">
        <v>65.916749276542305</v>
      </c>
      <c r="AN4562">
        <v>0.99999997684174902</v>
      </c>
    </row>
    <row r="4563" spans="1:40" x14ac:dyDescent="0.25">
      <c r="A4563" t="str">
        <f>"20190303162645300"</f>
        <v>20190303162645300</v>
      </c>
      <c r="B4563" t="str">
        <f>"1551601605288770"</f>
        <v>1551601605288770</v>
      </c>
      <c r="C4563" t="s">
        <v>40</v>
      </c>
      <c r="D4563">
        <v>5.0435339999999904</v>
      </c>
      <c r="E4563">
        <v>0.62876690000000002</v>
      </c>
      <c r="F4563" t="s">
        <v>44</v>
      </c>
      <c r="G4563">
        <v>-305.13529999999997</v>
      </c>
      <c r="H4563">
        <v>-0.05</v>
      </c>
      <c r="I4563">
        <v>2.3324739999999999</v>
      </c>
      <c r="J4563">
        <v>-314.3449</v>
      </c>
      <c r="K4563">
        <v>1.075752</v>
      </c>
      <c r="L4563">
        <v>15.377409999999999</v>
      </c>
      <c r="M4563">
        <v>0.97339609999999999</v>
      </c>
      <c r="N4563">
        <v>-1.9393469999999999E-2</v>
      </c>
      <c r="O4563">
        <v>-0.2283077</v>
      </c>
      <c r="P4563">
        <v>0.78696499999999903</v>
      </c>
      <c r="Q4563">
        <v>0.16759019999999999</v>
      </c>
      <c r="R4563">
        <v>-0.59380129999999998</v>
      </c>
      <c r="S4563">
        <v>1.8885190000000001</v>
      </c>
      <c r="T4563">
        <v>-0.2258415</v>
      </c>
      <c r="U4563">
        <v>-2.624908</v>
      </c>
      <c r="V4563">
        <v>0.40298420000000001</v>
      </c>
      <c r="W4563">
        <v>0.17485889999999901</v>
      </c>
      <c r="X4563">
        <v>0.89834740000000002</v>
      </c>
      <c r="Y4563">
        <v>0.655221099999999</v>
      </c>
      <c r="Z4563">
        <v>-2.091879E-2</v>
      </c>
      <c r="AA4563">
        <v>0.75514749999999997</v>
      </c>
      <c r="AB4563">
        <v>34</v>
      </c>
      <c r="AC4563">
        <v>9.2096000000000195</v>
      </c>
      <c r="AD4563">
        <v>-1.1257520000000001</v>
      </c>
      <c r="AE4563">
        <v>-13.044936</v>
      </c>
      <c r="AF4563">
        <v>10.5448485164847</v>
      </c>
      <c r="AG4563">
        <v>-1.1257520000000001</v>
      </c>
      <c r="AH4563">
        <v>11.8860167325807</v>
      </c>
      <c r="AI4563">
        <v>94.052605445332503</v>
      </c>
      <c r="AJ4563">
        <v>48.421709427128498</v>
      </c>
      <c r="AK4563">
        <v>15.9291726579977</v>
      </c>
      <c r="AL4563">
        <v>79.929552685957603</v>
      </c>
      <c r="AM4563">
        <v>65.839762602547196</v>
      </c>
      <c r="AN4563">
        <v>0.99999997572280397</v>
      </c>
    </row>
    <row r="4564" spans="1:40" x14ac:dyDescent="0.25">
      <c r="A4564" t="str">
        <f>"20190303162645316"</f>
        <v>20190303162645316</v>
      </c>
      <c r="B4564" t="str">
        <f>"1551601605308290"</f>
        <v>1551601605308290</v>
      </c>
      <c r="C4564" t="s">
        <v>40</v>
      </c>
      <c r="D4564">
        <v>5.3282999999999996</v>
      </c>
      <c r="E4564">
        <v>0.62474149999999995</v>
      </c>
      <c r="F4564" t="s">
        <v>44</v>
      </c>
      <c r="G4564">
        <v>-304.80610000000001</v>
      </c>
      <c r="H4564">
        <v>-0.05</v>
      </c>
      <c r="I4564">
        <v>1.908066</v>
      </c>
      <c r="J4564">
        <v>-314.1001</v>
      </c>
      <c r="K4564">
        <v>1.074271</v>
      </c>
      <c r="L4564">
        <v>15.31284</v>
      </c>
      <c r="M4564">
        <v>0.97157749999999998</v>
      </c>
      <c r="N4564">
        <v>-1.8980960000000002E-2</v>
      </c>
      <c r="O4564">
        <v>-0.23596</v>
      </c>
      <c r="P4564">
        <v>0.78023199999999904</v>
      </c>
      <c r="Q4564">
        <v>0.167709</v>
      </c>
      <c r="R4564">
        <v>-0.60258800000000001</v>
      </c>
      <c r="S4564">
        <v>1.8683780000000001</v>
      </c>
      <c r="T4564">
        <v>-0.22050130000000001</v>
      </c>
      <c r="U4564">
        <v>-2.638245</v>
      </c>
      <c r="V4564">
        <v>0.40596880000000002</v>
      </c>
      <c r="W4564">
        <v>0.17456969999999999</v>
      </c>
      <c r="X4564">
        <v>0.89705900000000005</v>
      </c>
      <c r="Y4564">
        <v>0.65501129999999996</v>
      </c>
      <c r="Z4564">
        <v>-2.0003880000000002E-2</v>
      </c>
      <c r="AA4564">
        <v>0.75535419999999998</v>
      </c>
      <c r="AB4564">
        <v>34</v>
      </c>
      <c r="AC4564">
        <v>9.2939999999999792</v>
      </c>
      <c r="AD4564">
        <v>-1.124271</v>
      </c>
      <c r="AE4564">
        <v>-13.404774</v>
      </c>
      <c r="AF4564">
        <v>10.7814958624284</v>
      </c>
      <c r="AG4564">
        <v>-1.124271</v>
      </c>
      <c r="AH4564">
        <v>12.137367061117599</v>
      </c>
      <c r="AI4564">
        <v>93.961540286238105</v>
      </c>
      <c r="AJ4564">
        <v>48.385650398354102</v>
      </c>
      <c r="AK4564">
        <v>16.273300755817999</v>
      </c>
      <c r="AL4564">
        <v>79.946382201732902</v>
      </c>
      <c r="AM4564">
        <v>65.650618501145004</v>
      </c>
      <c r="AN4564">
        <v>1.0000000481062601</v>
      </c>
    </row>
    <row r="4565" spans="1:40" x14ac:dyDescent="0.25">
      <c r="A4565" t="str">
        <f>"20190303162645339"</f>
        <v>20190303162645339</v>
      </c>
      <c r="B4565" t="str">
        <f>"1551601605328784"</f>
        <v>1551601605328784</v>
      </c>
      <c r="C4565" t="s">
        <v>40</v>
      </c>
      <c r="D4565">
        <v>5.3445910000000003</v>
      </c>
      <c r="E4565">
        <v>0.62109859999999995</v>
      </c>
      <c r="F4565" t="s">
        <v>44</v>
      </c>
      <c r="G4565">
        <v>-305.1832</v>
      </c>
      <c r="H4565">
        <v>-0.05</v>
      </c>
      <c r="I4565">
        <v>2.6710820000000002</v>
      </c>
      <c r="J4565">
        <v>-313.77050000000003</v>
      </c>
      <c r="K4565">
        <v>1.072365</v>
      </c>
      <c r="L4565">
        <v>15.222630000000001</v>
      </c>
      <c r="M4565">
        <v>0.96901289999999995</v>
      </c>
      <c r="N4565">
        <v>-1.8417019999999999E-2</v>
      </c>
      <c r="O4565">
        <v>-0.24632309999999999</v>
      </c>
      <c r="P4565">
        <v>0.77208330000000003</v>
      </c>
      <c r="Q4565">
        <v>0.16611049999999999</v>
      </c>
      <c r="R4565">
        <v>-0.61342919999999901</v>
      </c>
      <c r="S4565">
        <v>1.8594360000000001</v>
      </c>
      <c r="T4565">
        <v>-0.2344427</v>
      </c>
      <c r="U4565">
        <v>-2.6361690000000002</v>
      </c>
      <c r="V4565">
        <v>0.40878779999999998</v>
      </c>
      <c r="W4565">
        <v>0.1723856</v>
      </c>
      <c r="X4565">
        <v>0.89620080000000002</v>
      </c>
      <c r="Y4565">
        <v>0.64825639999999995</v>
      </c>
      <c r="Z4565">
        <v>-1.9133689999999998E-2</v>
      </c>
      <c r="AA4565">
        <v>0.76118169999999996</v>
      </c>
      <c r="AB4565">
        <v>34</v>
      </c>
      <c r="AC4565">
        <v>8.5873000000000204</v>
      </c>
      <c r="AD4565">
        <v>-1.1223650000000001</v>
      </c>
      <c r="AE4565">
        <v>-12.551548</v>
      </c>
      <c r="AF4565">
        <v>9.9946280775572198</v>
      </c>
      <c r="AG4565">
        <v>-1.1223650000000001</v>
      </c>
      <c r="AH4565">
        <v>11.3530399660147</v>
      </c>
      <c r="AI4565">
        <v>94.243738655424593</v>
      </c>
      <c r="AJ4565">
        <v>48.640981893028801</v>
      </c>
      <c r="AK4565">
        <v>15.1671951946247</v>
      </c>
      <c r="AL4565">
        <v>80.073448731650302</v>
      </c>
      <c r="AM4565">
        <v>65.480650884315395</v>
      </c>
      <c r="AN4565">
        <v>1.0000000672184099</v>
      </c>
    </row>
    <row r="4566" spans="1:40" x14ac:dyDescent="0.25">
      <c r="A4566" t="str">
        <f>"20190303162645353"</f>
        <v>20190303162645353</v>
      </c>
      <c r="B4566" t="str">
        <f>"1551601605348305"</f>
        <v>1551601605348305</v>
      </c>
      <c r="C4566" t="s">
        <v>40</v>
      </c>
      <c r="D4566">
        <v>5.3475729999999997</v>
      </c>
      <c r="E4566">
        <v>0.61786540000000001</v>
      </c>
      <c r="F4566" t="s">
        <v>44</v>
      </c>
      <c r="G4566">
        <v>-305.64330000000001</v>
      </c>
      <c r="H4566">
        <v>-0.05</v>
      </c>
      <c r="I4566">
        <v>3.5801699999999999</v>
      </c>
      <c r="J4566">
        <v>-313.56459999999998</v>
      </c>
      <c r="K4566">
        <v>1.0712459999999999</v>
      </c>
      <c r="L4566">
        <v>15.164059999999999</v>
      </c>
      <c r="M4566">
        <v>0.96733599999999997</v>
      </c>
      <c r="N4566">
        <v>-1.8066570000000001E-2</v>
      </c>
      <c r="O4566">
        <v>-0.25285350000000001</v>
      </c>
      <c r="P4566">
        <v>0.76697700000000002</v>
      </c>
      <c r="Q4566">
        <v>0.16614010000000001</v>
      </c>
      <c r="R4566">
        <v>-0.61979340000000005</v>
      </c>
      <c r="S4566">
        <v>1.842865</v>
      </c>
      <c r="T4566">
        <v>-0.25449899999999998</v>
      </c>
      <c r="U4566">
        <v>-2.6399539999999999</v>
      </c>
      <c r="V4566">
        <v>0.41016999999999998</v>
      </c>
      <c r="W4566">
        <v>0.17201820000000001</v>
      </c>
      <c r="X4566">
        <v>0.89563959999999998</v>
      </c>
      <c r="Y4566">
        <v>0.64663579999999998</v>
      </c>
      <c r="Z4566">
        <v>-1.9053279999999999E-2</v>
      </c>
      <c r="AA4566">
        <v>0.76256089999999999</v>
      </c>
      <c r="AB4566">
        <v>34</v>
      </c>
      <c r="AC4566">
        <v>7.9212999999999703</v>
      </c>
      <c r="AD4566">
        <v>-1.121246</v>
      </c>
      <c r="AE4566">
        <v>-11.58389</v>
      </c>
      <c r="AF4566">
        <v>9.1457018348574692</v>
      </c>
      <c r="AG4566">
        <v>-1.121246</v>
      </c>
      <c r="AH4566">
        <v>10.526116464740401</v>
      </c>
      <c r="AI4566">
        <v>94.597206510197395</v>
      </c>
      <c r="AJ4566">
        <v>49.0139906462311</v>
      </c>
      <c r="AK4566">
        <v>13.9892881332079</v>
      </c>
      <c r="AL4566">
        <v>80.094817670182806</v>
      </c>
      <c r="AM4566">
        <v>65.393961973031097</v>
      </c>
      <c r="AN4566">
        <v>0.99999999155969999</v>
      </c>
    </row>
    <row r="4567" spans="1:40" x14ac:dyDescent="0.25">
      <c r="A4567" t="str">
        <f>"20190303162645365"</f>
        <v>20190303162645365</v>
      </c>
      <c r="B4567" t="str">
        <f>"1551601605358065"</f>
        <v>1551601605358065</v>
      </c>
      <c r="C4567" t="s">
        <v>40</v>
      </c>
      <c r="D4567">
        <v>5.3475429999999999</v>
      </c>
      <c r="E4567">
        <v>0.61786540000000001</v>
      </c>
      <c r="F4567" t="s">
        <v>44</v>
      </c>
      <c r="G4567">
        <v>-305.92020000000002</v>
      </c>
      <c r="H4567">
        <v>-0.05</v>
      </c>
      <c r="I4567">
        <v>4.2147220000000001</v>
      </c>
      <c r="J4567">
        <v>-313.38040000000001</v>
      </c>
      <c r="K4567">
        <v>1.0702910000000001</v>
      </c>
      <c r="L4567">
        <v>15.110440000000001</v>
      </c>
      <c r="M4567">
        <v>0.96578640000000004</v>
      </c>
      <c r="N4567">
        <v>-1.7758280000000001E-2</v>
      </c>
      <c r="O4567">
        <v>-0.25873030000000002</v>
      </c>
      <c r="P4567">
        <v>0.76198659999999996</v>
      </c>
      <c r="Q4567">
        <v>0.16616529999999999</v>
      </c>
      <c r="R4567">
        <v>-0.62591219999999903</v>
      </c>
      <c r="S4567">
        <v>1.8400879999999999</v>
      </c>
      <c r="T4567">
        <v>-0.26989560000000001</v>
      </c>
      <c r="U4567">
        <v>-2.6356199999999999</v>
      </c>
      <c r="V4567">
        <v>0.41190880000000002</v>
      </c>
      <c r="W4567">
        <v>0.17167209999999999</v>
      </c>
      <c r="X4567">
        <v>0.89490769999999997</v>
      </c>
      <c r="Y4567">
        <v>0.64180499999999996</v>
      </c>
      <c r="Z4567">
        <v>-1.8567839999999999E-2</v>
      </c>
      <c r="AA4567">
        <v>0.76664309999999902</v>
      </c>
      <c r="AB4567">
        <v>34</v>
      </c>
      <c r="AC4567">
        <v>7.46019999999998</v>
      </c>
      <c r="AD4567">
        <v>-1.1202909999999999</v>
      </c>
      <c r="AE4567">
        <v>-10.895718</v>
      </c>
      <c r="AF4567">
        <v>8.53269647330578</v>
      </c>
      <c r="AG4567">
        <v>-1.1202909999999999</v>
      </c>
      <c r="AH4567">
        <v>9.9539481662338094</v>
      </c>
      <c r="AI4567">
        <v>94.884015438123697</v>
      </c>
      <c r="AJ4567">
        <v>49.396246973084203</v>
      </c>
      <c r="AK4567">
        <v>13.158383074159</v>
      </c>
      <c r="AL4567">
        <v>80.114947076320902</v>
      </c>
      <c r="AM4567">
        <v>65.284294032725597</v>
      </c>
      <c r="AN4567">
        <v>0.99999998047756899</v>
      </c>
    </row>
    <row r="4568" spans="1:40" x14ac:dyDescent="0.25">
      <c r="A4568" t="str">
        <f>"20190303162645377"</f>
        <v>20190303162645377</v>
      </c>
      <c r="B4568" t="str">
        <f>"1551601605368801"</f>
        <v>1551601605368801</v>
      </c>
      <c r="C4568" t="s">
        <v>40</v>
      </c>
      <c r="D4568">
        <v>5.3463839999999996</v>
      </c>
      <c r="E4568">
        <v>0.58260319999999899</v>
      </c>
      <c r="F4568" t="s">
        <v>44</v>
      </c>
      <c r="G4568">
        <v>-305.84879999999998</v>
      </c>
      <c r="H4568">
        <v>-0.05</v>
      </c>
      <c r="I4568">
        <v>4.1441499999999998</v>
      </c>
      <c r="J4568">
        <v>-313.20179999999999</v>
      </c>
      <c r="K4568">
        <v>1.069399</v>
      </c>
      <c r="L4568">
        <v>15.05768</v>
      </c>
      <c r="M4568">
        <v>0.96424209999999999</v>
      </c>
      <c r="N4568">
        <v>-1.7462579999999998E-2</v>
      </c>
      <c r="O4568">
        <v>-0.26444709999999899</v>
      </c>
      <c r="P4568">
        <v>0.75649789999999995</v>
      </c>
      <c r="Q4568">
        <v>0.16599820000000001</v>
      </c>
      <c r="R4568">
        <v>-0.63257890000000006</v>
      </c>
      <c r="S4568">
        <v>1.8197019999999999</v>
      </c>
      <c r="T4568">
        <v>-0.27067329999999901</v>
      </c>
      <c r="U4568">
        <v>-2.6495669999999998</v>
      </c>
      <c r="V4568">
        <v>0.41446810000000001</v>
      </c>
      <c r="W4568">
        <v>0.17111680000000001</v>
      </c>
      <c r="X4568">
        <v>0.89383179999999995</v>
      </c>
      <c r="Y4568">
        <v>0.64316739999999994</v>
      </c>
      <c r="Z4568">
        <v>-1.806988E-2</v>
      </c>
      <c r="AA4568">
        <v>0.76551239999999998</v>
      </c>
      <c r="AB4568">
        <v>34</v>
      </c>
      <c r="AC4568">
        <v>7.3529999999999998</v>
      </c>
      <c r="AD4568">
        <v>-1.119399</v>
      </c>
      <c r="AE4568">
        <v>-10.91353</v>
      </c>
      <c r="AF4568">
        <v>8.5184748482613202</v>
      </c>
      <c r="AG4568">
        <v>-1.119399</v>
      </c>
      <c r="AH4568">
        <v>9.9059661284442893</v>
      </c>
      <c r="AI4568">
        <v>94.897121444355506</v>
      </c>
      <c r="AJ4568">
        <v>49.3066502291205</v>
      </c>
      <c r="AK4568">
        <v>13.112804154701101</v>
      </c>
      <c r="AL4568">
        <v>80.147241750167595</v>
      </c>
      <c r="AM4568">
        <v>65.122935141829004</v>
      </c>
      <c r="AN4568">
        <v>1.0000000259255399</v>
      </c>
    </row>
    <row r="4569" spans="1:40" x14ac:dyDescent="0.25">
      <c r="A4569" t="str">
        <f>"20190303162645389"</f>
        <v>20190303162645389</v>
      </c>
      <c r="B4569" t="str">
        <f>"1551601605378562"</f>
        <v>1551601605378562</v>
      </c>
      <c r="C4569" t="s">
        <v>40</v>
      </c>
      <c r="D4569">
        <v>5.3931300000000002</v>
      </c>
      <c r="E4569">
        <v>0.58267060000000004</v>
      </c>
      <c r="F4569" t="s">
        <v>44</v>
      </c>
      <c r="G4569">
        <v>-308.07690000000002</v>
      </c>
      <c r="H4569">
        <v>-0.05</v>
      </c>
      <c r="I4569">
        <v>8.7755130000000001</v>
      </c>
      <c r="J4569">
        <v>-313.0317</v>
      </c>
      <c r="K4569">
        <v>1.0686260000000001</v>
      </c>
      <c r="L4569">
        <v>15.005649999999999</v>
      </c>
      <c r="M4569">
        <v>0.96271209999999996</v>
      </c>
      <c r="N4569">
        <v>-1.7194109999999999E-2</v>
      </c>
      <c r="O4569">
        <v>-0.26998100000000003</v>
      </c>
      <c r="P4569">
        <v>0.75124119999999905</v>
      </c>
      <c r="Q4569">
        <v>0.1655219</v>
      </c>
      <c r="R4569">
        <v>-0.63893610000000001</v>
      </c>
      <c r="S4569">
        <v>2.005798</v>
      </c>
      <c r="T4569">
        <v>-0.43811519999999998</v>
      </c>
      <c r="U4569">
        <v>-2.4587400000000001</v>
      </c>
      <c r="V4569">
        <v>0.41685090000000002</v>
      </c>
      <c r="W4569">
        <v>0.17027709999999999</v>
      </c>
      <c r="X4569">
        <v>0.89288349999999905</v>
      </c>
      <c r="Y4569">
        <v>0.57148929999999998</v>
      </c>
      <c r="Z4569">
        <v>-1.4290280000000001E-2</v>
      </c>
      <c r="AA4569">
        <v>0.82048509999999997</v>
      </c>
      <c r="AB4569">
        <v>34</v>
      </c>
      <c r="AC4569">
        <v>4.9547999999999703</v>
      </c>
      <c r="AD4569">
        <v>-1.1186259999999999</v>
      </c>
      <c r="AE4569">
        <v>-6.2301369999999903</v>
      </c>
      <c r="AF4569">
        <v>4.5705562297722402</v>
      </c>
      <c r="AG4569">
        <v>-1.1186259999999999</v>
      </c>
      <c r="AH4569">
        <v>6.3280523109734803</v>
      </c>
      <c r="AI4569">
        <v>98.155116382451695</v>
      </c>
      <c r="AJ4569">
        <v>54.160584395079397</v>
      </c>
      <c r="AK4569">
        <v>7.8857817892586102</v>
      </c>
      <c r="AL4569">
        <v>80.196068924036894</v>
      </c>
      <c r="AM4569">
        <v>64.974047364117993</v>
      </c>
      <c r="AN4569">
        <v>0.99999995409373399</v>
      </c>
    </row>
    <row r="4570" spans="1:40" x14ac:dyDescent="0.25">
      <c r="A4570" t="str">
        <f>"20190303162645402"</f>
        <v>20190303162645402</v>
      </c>
      <c r="B4570" t="str">
        <f>"1551601605398081"</f>
        <v>1551601605398081</v>
      </c>
      <c r="C4570" t="s">
        <v>40</v>
      </c>
      <c r="D4570">
        <v>5.3867890000000003</v>
      </c>
      <c r="E4570">
        <v>0.58244469999999904</v>
      </c>
      <c r="F4570" t="s">
        <v>44</v>
      </c>
      <c r="G4570">
        <v>-307.9819</v>
      </c>
      <c r="H4570">
        <v>-0.05</v>
      </c>
      <c r="I4570">
        <v>8.7085570000000008</v>
      </c>
      <c r="J4570">
        <v>-312.83800000000002</v>
      </c>
      <c r="K4570">
        <v>1.0677749999999999</v>
      </c>
      <c r="L4570">
        <v>14.9455299999999</v>
      </c>
      <c r="M4570">
        <v>0.96091400000000005</v>
      </c>
      <c r="N4570">
        <v>-1.689475E-2</v>
      </c>
      <c r="O4570">
        <v>-0.2763312</v>
      </c>
      <c r="P4570">
        <v>0.74507419999999902</v>
      </c>
      <c r="Q4570">
        <v>0.1650604</v>
      </c>
      <c r="R4570">
        <v>-0.64623509999999995</v>
      </c>
      <c r="S4570">
        <v>1.9850159999999999</v>
      </c>
      <c r="T4570">
        <v>-0.4397141</v>
      </c>
      <c r="U4570">
        <v>-2.4752809999999998</v>
      </c>
      <c r="V4570">
        <v>0.41965039999999998</v>
      </c>
      <c r="W4570">
        <v>0.16939979999999999</v>
      </c>
      <c r="X4570">
        <v>0.89173829999999998</v>
      </c>
      <c r="Y4570">
        <v>0.57297030000000004</v>
      </c>
      <c r="Z4570">
        <v>-1.3424780000000001E-2</v>
      </c>
      <c r="AA4570">
        <v>0.81946620000000003</v>
      </c>
      <c r="AB4570">
        <v>34</v>
      </c>
      <c r="AC4570">
        <v>4.8560999999999597</v>
      </c>
      <c r="AD4570">
        <v>-1.117775</v>
      </c>
      <c r="AE4570">
        <v>-6.2369729999999901</v>
      </c>
      <c r="AF4570">
        <v>4.5607664925189901</v>
      </c>
      <c r="AG4570">
        <v>-1.117775</v>
      </c>
      <c r="AH4570">
        <v>6.2653898170221298</v>
      </c>
      <c r="AI4570">
        <v>98.207577176750803</v>
      </c>
      <c r="AJ4570">
        <v>53.947995654636401</v>
      </c>
      <c r="AK4570">
        <v>7.82975871334191</v>
      </c>
      <c r="AL4570">
        <v>80.247075730868502</v>
      </c>
      <c r="AM4570">
        <v>64.798410976786499</v>
      </c>
      <c r="AN4570">
        <v>0.99999997307354405</v>
      </c>
    </row>
    <row r="4571" spans="1:40" x14ac:dyDescent="0.25">
      <c r="A4571" t="str">
        <f>"20190303162645416"</f>
        <v>20190303162645416</v>
      </c>
      <c r="B4571" t="str">
        <f>"1551601605408818"</f>
        <v>1551601605408818</v>
      </c>
      <c r="C4571" t="s">
        <v>40</v>
      </c>
      <c r="D4571">
        <v>5.3671329999999999</v>
      </c>
      <c r="E4571">
        <v>0.58260330000000005</v>
      </c>
      <c r="F4571" t="s">
        <v>44</v>
      </c>
      <c r="G4571">
        <v>-307.84730000000002</v>
      </c>
      <c r="H4571">
        <v>-0.05</v>
      </c>
      <c r="I4571">
        <v>8.6045679999999898</v>
      </c>
      <c r="J4571">
        <v>-312.62799999999999</v>
      </c>
      <c r="K4571">
        <v>1.0669150000000001</v>
      </c>
      <c r="L4571">
        <v>14.878780000000001</v>
      </c>
      <c r="M4571">
        <v>0.95888430000000002</v>
      </c>
      <c r="N4571">
        <v>-1.6583489999999999E-2</v>
      </c>
      <c r="O4571">
        <v>-0.28331230000000002</v>
      </c>
      <c r="P4571">
        <v>0.73664569999999996</v>
      </c>
      <c r="Q4571">
        <v>0.16438139999999901</v>
      </c>
      <c r="R4571">
        <v>-0.65599719999999995</v>
      </c>
      <c r="S4571">
        <v>1.9618530000000001</v>
      </c>
      <c r="T4571">
        <v>-0.43939519999999999</v>
      </c>
      <c r="U4571">
        <v>-2.4926149999999998</v>
      </c>
      <c r="V4571">
        <v>0.42488510000000002</v>
      </c>
      <c r="W4571">
        <v>0.16819990000000001</v>
      </c>
      <c r="X4571">
        <v>0.88948379999999905</v>
      </c>
      <c r="Y4571">
        <v>0.57454280000000002</v>
      </c>
      <c r="Z4571">
        <v>-1.2451439999999999E-2</v>
      </c>
      <c r="AA4571">
        <v>0.81837990000000005</v>
      </c>
      <c r="AB4571">
        <v>34</v>
      </c>
      <c r="AC4571">
        <v>4.7806999999999604</v>
      </c>
      <c r="AD4571">
        <v>-1.1169149999999901</v>
      </c>
      <c r="AE4571">
        <v>-6.2742120000000003</v>
      </c>
      <c r="AF4571">
        <v>4.5708108298722401</v>
      </c>
      <c r="AG4571">
        <v>-1.1169149999999901</v>
      </c>
      <c r="AH4571">
        <v>6.23751532120143</v>
      </c>
      <c r="AI4571">
        <v>98.218698730224006</v>
      </c>
      <c r="AJ4571">
        <v>53.766280117293803</v>
      </c>
      <c r="AK4571">
        <v>7.8132200878974896</v>
      </c>
      <c r="AL4571">
        <v>80.316826022886403</v>
      </c>
      <c r="AM4571">
        <v>64.467311568008697</v>
      </c>
      <c r="AN4571">
        <v>0.99999999251222904</v>
      </c>
    </row>
    <row r="4572" spans="1:40" x14ac:dyDescent="0.25">
      <c r="A4572" t="str">
        <f>"20190303162645441"</f>
        <v>20190303162645441</v>
      </c>
      <c r="B4572" t="str">
        <f>"1551601605428337"</f>
        <v>1551601605428337</v>
      </c>
      <c r="C4572" t="s">
        <v>40</v>
      </c>
      <c r="D4572">
        <v>5.5328309999999998</v>
      </c>
      <c r="E4572">
        <v>0.58771070000000003</v>
      </c>
      <c r="F4572" t="s">
        <v>44</v>
      </c>
      <c r="G4572">
        <v>-307.69499999999999</v>
      </c>
      <c r="H4572">
        <v>-0.05</v>
      </c>
      <c r="I4572">
        <v>8.4267579999999995</v>
      </c>
      <c r="J4572">
        <v>-312.28820000000002</v>
      </c>
      <c r="K4572">
        <v>1.0656600000000001</v>
      </c>
      <c r="L4572">
        <v>14.7666</v>
      </c>
      <c r="M4572">
        <v>0.95540219999999998</v>
      </c>
      <c r="N4572">
        <v>-1.612154E-2</v>
      </c>
      <c r="O4572">
        <v>-0.29486780000000001</v>
      </c>
      <c r="P4572">
        <v>0.7251012</v>
      </c>
      <c r="Q4572">
        <v>0.16550870000000001</v>
      </c>
      <c r="R4572">
        <v>-0.66845769999999904</v>
      </c>
      <c r="S4572">
        <v>1.9262699999999999</v>
      </c>
      <c r="T4572">
        <v>-0.436137</v>
      </c>
      <c r="U4572">
        <v>-2.519409</v>
      </c>
      <c r="V4572">
        <v>0.42946319999999999</v>
      </c>
      <c r="W4572">
        <v>0.16862769999999999</v>
      </c>
      <c r="X4572">
        <v>0.88720119999999902</v>
      </c>
      <c r="Y4572">
        <v>0.57630579999999998</v>
      </c>
      <c r="Z4572">
        <v>-1.076687E-2</v>
      </c>
      <c r="AA4572">
        <v>0.81716319999999998</v>
      </c>
      <c r="AB4572">
        <v>34</v>
      </c>
      <c r="AC4572">
        <v>4.5932000000000199</v>
      </c>
      <c r="AD4572">
        <v>-1.1156600000000001</v>
      </c>
      <c r="AE4572">
        <v>-6.339842</v>
      </c>
      <c r="AF4572">
        <v>4.6097089720433297</v>
      </c>
      <c r="AG4572">
        <v>-1.1156600000000001</v>
      </c>
      <c r="AH4572">
        <v>6.1340118126499199</v>
      </c>
      <c r="AI4572">
        <v>98.272833952697695</v>
      </c>
      <c r="AJ4572">
        <v>53.075143400336202</v>
      </c>
      <c r="AK4572">
        <v>7.75372265175029</v>
      </c>
      <c r="AL4572">
        <v>80.291959342591397</v>
      </c>
      <c r="AM4572">
        <v>64.1699926613869</v>
      </c>
      <c r="AN4572">
        <v>0.999999955321483</v>
      </c>
    </row>
    <row r="4573" spans="1:40" x14ac:dyDescent="0.25">
      <c r="A4573" t="str">
        <f>"20190303162645462"</f>
        <v>20190303162645462</v>
      </c>
      <c r="B4573" t="str">
        <f>"1551601605458594"</f>
        <v>1551601605458594</v>
      </c>
      <c r="C4573" t="s">
        <v>40</v>
      </c>
      <c r="D4573">
        <v>5.4677889999999998</v>
      </c>
      <c r="E4573">
        <v>0.60390200000000005</v>
      </c>
      <c r="F4573" t="s">
        <v>44</v>
      </c>
      <c r="G4573">
        <v>-306.79750000000001</v>
      </c>
      <c r="H4573">
        <v>-0.05</v>
      </c>
      <c r="I4573">
        <v>7.0857239999999999</v>
      </c>
      <c r="J4573">
        <v>-311.97129999999999</v>
      </c>
      <c r="K4573">
        <v>1.06462099999999</v>
      </c>
      <c r="L4573">
        <v>14.65762</v>
      </c>
      <c r="M4573">
        <v>0.95192900000000003</v>
      </c>
      <c r="N4573">
        <v>-1.5734229999999998E-2</v>
      </c>
      <c r="O4573">
        <v>-0.30591459999999998</v>
      </c>
      <c r="P4573">
        <v>0.7134511</v>
      </c>
      <c r="Q4573">
        <v>0.16610369999999999</v>
      </c>
      <c r="R4573">
        <v>-0.68073300000000003</v>
      </c>
      <c r="S4573">
        <v>1.8443909999999999</v>
      </c>
      <c r="T4573">
        <v>-0.37476110000000001</v>
      </c>
      <c r="U4573">
        <v>-2.5800779999999999</v>
      </c>
      <c r="V4573">
        <v>0.43444050000000001</v>
      </c>
      <c r="W4573">
        <v>0.16856090000000001</v>
      </c>
      <c r="X4573">
        <v>0.8847874</v>
      </c>
      <c r="Y4573">
        <v>0.59370449999999997</v>
      </c>
      <c r="Z4573">
        <v>-1.060873E-2</v>
      </c>
      <c r="AA4573">
        <v>0.80461319999999903</v>
      </c>
      <c r="AB4573">
        <v>34</v>
      </c>
      <c r="AC4573">
        <v>5.1737999999999698</v>
      </c>
      <c r="AD4573">
        <v>-1.1146210000000001</v>
      </c>
      <c r="AE4573">
        <v>-7.5718959999999997</v>
      </c>
      <c r="AF4573">
        <v>5.5439651980118301</v>
      </c>
      <c r="AG4573">
        <v>-1.1146210000000001</v>
      </c>
      <c r="AH4573">
        <v>7.1369110390265798</v>
      </c>
      <c r="AI4573">
        <v>97.031176594640698</v>
      </c>
      <c r="AJ4573">
        <v>52.1598756429064</v>
      </c>
      <c r="AK4573">
        <v>9.1056811535099893</v>
      </c>
      <c r="AL4573">
        <v>80.295843055187007</v>
      </c>
      <c r="AM4573">
        <v>63.848445845731398</v>
      </c>
      <c r="AN4573">
        <v>1.0000000341238999</v>
      </c>
    </row>
    <row r="4574" spans="1:40" x14ac:dyDescent="0.25">
      <c r="A4574" t="str">
        <f>"20190303162645475"</f>
        <v>20190303162645475</v>
      </c>
      <c r="B4574" t="str">
        <f>"1551601605468353"</f>
        <v>1551601605468353</v>
      </c>
      <c r="C4574" t="s">
        <v>40</v>
      </c>
      <c r="D4574">
        <v>5.4582110000000004</v>
      </c>
      <c r="E4574">
        <v>0.60444129999999996</v>
      </c>
      <c r="F4574" t="s">
        <v>44</v>
      </c>
      <c r="G4574">
        <v>-307.7672</v>
      </c>
      <c r="H4574">
        <v>-0.05</v>
      </c>
      <c r="I4574">
        <v>8.0401919999999993</v>
      </c>
      <c r="J4574">
        <v>-311.78190000000001</v>
      </c>
      <c r="K4574">
        <v>1.0640559999999999</v>
      </c>
      <c r="L4574">
        <v>14.59061</v>
      </c>
      <c r="M4574">
        <v>0.94975169999999998</v>
      </c>
      <c r="N4574">
        <v>-1.552068E-2</v>
      </c>
      <c r="O4574">
        <v>-0.31261939999999999</v>
      </c>
      <c r="P4574">
        <v>0.70642229999999995</v>
      </c>
      <c r="Q4574">
        <v>0.16639979999999999</v>
      </c>
      <c r="R4574">
        <v>-0.68795260000000003</v>
      </c>
      <c r="S4574">
        <v>1.723236</v>
      </c>
      <c r="T4574">
        <v>-0.45688010000000001</v>
      </c>
      <c r="U4574">
        <v>-2.7124630000000001</v>
      </c>
      <c r="V4574">
        <v>0.43726419999999999</v>
      </c>
      <c r="W4574">
        <v>0.16848250000000001</v>
      </c>
      <c r="X4574">
        <v>0.88341019999999904</v>
      </c>
      <c r="Y4574">
        <v>0.62990559999999995</v>
      </c>
      <c r="Z4574">
        <v>-1.3512669999999999E-2</v>
      </c>
      <c r="AA4574">
        <v>0.77655419999999997</v>
      </c>
      <c r="AB4574">
        <v>34</v>
      </c>
      <c r="AC4574">
        <v>4.0147000000000004</v>
      </c>
      <c r="AD4574">
        <v>-1.1140559999999999</v>
      </c>
      <c r="AE4574">
        <v>-6.5504179999999996</v>
      </c>
      <c r="AF4574">
        <v>4.8645107440499196</v>
      </c>
      <c r="AG4574">
        <v>-1.1140559999999999</v>
      </c>
      <c r="AH4574">
        <v>5.74075233003839</v>
      </c>
      <c r="AI4574">
        <v>98.421749506228096</v>
      </c>
      <c r="AJ4574">
        <v>49.723236651817899</v>
      </c>
      <c r="AK4574">
        <v>7.6066301911526102</v>
      </c>
      <c r="AL4574">
        <v>80.300399469954499</v>
      </c>
      <c r="AM4574">
        <v>63.665832383368802</v>
      </c>
      <c r="AN4574">
        <v>0.99999995743596404</v>
      </c>
    </row>
    <row r="4575" spans="1:40" x14ac:dyDescent="0.25">
      <c r="A4575" t="str">
        <f>"20190303162645488"</f>
        <v>20190303162645488</v>
      </c>
      <c r="B4575" t="str">
        <f>"1551601605478114"</f>
        <v>1551601605478114</v>
      </c>
      <c r="C4575" t="s">
        <v>40</v>
      </c>
      <c r="D4575">
        <v>5.4439820000000001</v>
      </c>
      <c r="E4575">
        <v>0.60363690000000003</v>
      </c>
      <c r="F4575" t="s">
        <v>44</v>
      </c>
      <c r="G4575">
        <v>-307.54849999999999</v>
      </c>
      <c r="H4575">
        <v>-0.05</v>
      </c>
      <c r="I4575">
        <v>7.7439879999999999</v>
      </c>
      <c r="J4575">
        <v>-311.58789999999999</v>
      </c>
      <c r="K4575">
        <v>1.06352</v>
      </c>
      <c r="L4575">
        <v>14.520049999999999</v>
      </c>
      <c r="M4575">
        <v>0.94743100000000002</v>
      </c>
      <c r="N4575">
        <v>-1.531622E-2</v>
      </c>
      <c r="O4575">
        <v>-0.31959340000000003</v>
      </c>
      <c r="P4575">
        <v>0.69942309999999996</v>
      </c>
      <c r="Q4575">
        <v>0.1655247</v>
      </c>
      <c r="R4575">
        <v>-0.69527600000000001</v>
      </c>
      <c r="S4575">
        <v>1.6899109999999999</v>
      </c>
      <c r="T4575">
        <v>-0.44471379999999999</v>
      </c>
      <c r="U4575">
        <v>-2.733063</v>
      </c>
      <c r="V4575">
        <v>0.4399226</v>
      </c>
      <c r="W4575">
        <v>0.16724149999999999</v>
      </c>
      <c r="X4575">
        <v>0.88232559999999904</v>
      </c>
      <c r="Y4575">
        <v>0.63386629999999999</v>
      </c>
      <c r="Z4575">
        <v>-1.272528E-2</v>
      </c>
      <c r="AA4575">
        <v>0.77333799999999997</v>
      </c>
      <c r="AB4575">
        <v>34</v>
      </c>
      <c r="AC4575">
        <v>4.0393999999999997</v>
      </c>
      <c r="AD4575">
        <v>-1.1135200000000001</v>
      </c>
      <c r="AE4575">
        <v>-6.7760619999999898</v>
      </c>
      <c r="AF4575">
        <v>5.0292821187955496</v>
      </c>
      <c r="AG4575">
        <v>-1.1135200000000001</v>
      </c>
      <c r="AH4575">
        <v>5.8762598247240696</v>
      </c>
      <c r="AI4575">
        <v>98.192354231090206</v>
      </c>
      <c r="AJ4575">
        <v>49.440955643235903</v>
      </c>
      <c r="AK4575">
        <v>7.8143480181332396</v>
      </c>
      <c r="AL4575">
        <v>80.372527785199907</v>
      </c>
      <c r="AM4575">
        <v>63.499413161351697</v>
      </c>
      <c r="AN4575">
        <v>1.0000000388641801</v>
      </c>
    </row>
    <row r="4576" spans="1:40" x14ac:dyDescent="0.25">
      <c r="A4576" t="str">
        <f>"20190303162645504"</f>
        <v>20190303162645504</v>
      </c>
      <c r="B4576" t="str">
        <f>"1551601605498609"</f>
        <v>1551601605498609</v>
      </c>
      <c r="C4576" t="s">
        <v>40</v>
      </c>
      <c r="D4576">
        <v>5.4498389999999999</v>
      </c>
      <c r="E4576">
        <v>0.60249609999999998</v>
      </c>
      <c r="F4576" t="s">
        <v>44</v>
      </c>
      <c r="G4576">
        <v>-307.4615</v>
      </c>
      <c r="H4576">
        <v>-0.05</v>
      </c>
      <c r="I4576">
        <v>7.7150419999999897</v>
      </c>
      <c r="J4576">
        <v>-311.36349999999999</v>
      </c>
      <c r="K4576">
        <v>1.0629280000000001</v>
      </c>
      <c r="L4576">
        <v>14.43665</v>
      </c>
      <c r="M4576">
        <v>0.94463929999999996</v>
      </c>
      <c r="N4576">
        <v>-1.509226E-2</v>
      </c>
      <c r="O4576">
        <v>-0.32776369999999999</v>
      </c>
      <c r="P4576">
        <v>0.69203800000000004</v>
      </c>
      <c r="Q4576">
        <v>0.16470770000000001</v>
      </c>
      <c r="R4576">
        <v>-0.70281930000000004</v>
      </c>
      <c r="S4576">
        <v>1.665405</v>
      </c>
      <c r="T4576">
        <v>-0.44941520000000001</v>
      </c>
      <c r="U4576">
        <v>-2.7464900000000001</v>
      </c>
      <c r="V4576">
        <v>0.44182880000000002</v>
      </c>
      <c r="W4576">
        <v>0.16604389999999999</v>
      </c>
      <c r="X4576">
        <v>0.88159900000000002</v>
      </c>
      <c r="Y4576">
        <v>0.63392009999999999</v>
      </c>
      <c r="Z4576">
        <v>-1.144074E-2</v>
      </c>
      <c r="AA4576">
        <v>0.7733139</v>
      </c>
      <c r="AB4576">
        <v>34</v>
      </c>
      <c r="AC4576">
        <v>3.9019999999999802</v>
      </c>
      <c r="AD4576">
        <v>-1.1129279999999999</v>
      </c>
      <c r="AE4576">
        <v>-6.7216079999999998</v>
      </c>
      <c r="AF4576">
        <v>4.96924445863334</v>
      </c>
      <c r="AG4576">
        <v>-1.1129279999999999</v>
      </c>
      <c r="AH4576">
        <v>5.7714098507421401</v>
      </c>
      <c r="AI4576">
        <v>98.313865349333994</v>
      </c>
      <c r="AJ4576">
        <v>49.271203701052897</v>
      </c>
      <c r="AK4576">
        <v>7.6968286253551002</v>
      </c>
      <c r="AL4576">
        <v>80.4421181964547</v>
      </c>
      <c r="AM4576">
        <v>63.381457837035697</v>
      </c>
      <c r="AN4576">
        <v>1.00000003101882</v>
      </c>
    </row>
    <row r="4577" spans="1:40" x14ac:dyDescent="0.25">
      <c r="A4577" t="str">
        <f>"20190303162645519"</f>
        <v>20190303162645519</v>
      </c>
      <c r="B4577" t="str">
        <f>"1551601605508369"</f>
        <v>1551601605508369</v>
      </c>
      <c r="C4577" t="s">
        <v>40</v>
      </c>
      <c r="D4577">
        <v>5.4804360000000001</v>
      </c>
      <c r="E4577">
        <v>0.602016199999999</v>
      </c>
      <c r="F4577" t="s">
        <v>44</v>
      </c>
      <c r="G4577">
        <v>-307.31229999999999</v>
      </c>
      <c r="H4577">
        <v>-0.05</v>
      </c>
      <c r="I4577">
        <v>7.6246339999999897</v>
      </c>
      <c r="J4577">
        <v>-311.1576</v>
      </c>
      <c r="K4577">
        <v>1.062398</v>
      </c>
      <c r="L4577">
        <v>14.358429999999901</v>
      </c>
      <c r="M4577">
        <v>0.94197160000000002</v>
      </c>
      <c r="N4577">
        <v>-1.4898990000000001E-2</v>
      </c>
      <c r="O4577">
        <v>-0.33536189999999999</v>
      </c>
      <c r="P4577">
        <v>0.68364969999999903</v>
      </c>
      <c r="Q4577">
        <v>0.1628696</v>
      </c>
      <c r="R4577">
        <v>-0.7114047</v>
      </c>
      <c r="S4577">
        <v>1.640625</v>
      </c>
      <c r="T4577">
        <v>-0.45070310000000002</v>
      </c>
      <c r="U4577">
        <v>-2.758667</v>
      </c>
      <c r="V4577">
        <v>0.4455829</v>
      </c>
      <c r="W4577">
        <v>0.16378970000000001</v>
      </c>
      <c r="X4577">
        <v>0.88012999999999997</v>
      </c>
      <c r="Y4577">
        <v>0.63436899999999996</v>
      </c>
      <c r="Z4577">
        <v>-1.026592E-2</v>
      </c>
      <c r="AA4577">
        <v>0.77296229999999999</v>
      </c>
      <c r="AB4577">
        <v>34</v>
      </c>
      <c r="AC4577">
        <v>3.8452999999999999</v>
      </c>
      <c r="AD4577">
        <v>-1.112398</v>
      </c>
      <c r="AE4577">
        <v>-6.7337959999999901</v>
      </c>
      <c r="AF4577">
        <v>4.9521278390912498</v>
      </c>
      <c r="AG4577">
        <v>-1.112398</v>
      </c>
      <c r="AH4577">
        <v>5.7624876510179099</v>
      </c>
      <c r="AI4577">
        <v>98.329292556922994</v>
      </c>
      <c r="AJ4577">
        <v>49.325117546245302</v>
      </c>
      <c r="AK4577">
        <v>7.6790144792961899</v>
      </c>
      <c r="AL4577">
        <v>80.573067114775299</v>
      </c>
      <c r="AM4577">
        <v>63.148301261516302</v>
      </c>
      <c r="AN4577">
        <v>1.0000000017492401</v>
      </c>
    </row>
    <row r="4578" spans="1:40" x14ac:dyDescent="0.25">
      <c r="A4578" t="str">
        <f>"20190303162645539"</f>
        <v>20190303162645539</v>
      </c>
      <c r="B4578" t="str">
        <f>"1551601605527889"</f>
        <v>1551601605527889</v>
      </c>
      <c r="C4578" t="s">
        <v>40</v>
      </c>
      <c r="D4578">
        <v>5.502758</v>
      </c>
      <c r="E4578">
        <v>0.60133919999999996</v>
      </c>
      <c r="F4578" t="s">
        <v>44</v>
      </c>
      <c r="G4578">
        <v>-307.21839999999997</v>
      </c>
      <c r="H4578">
        <v>-0.05</v>
      </c>
      <c r="I4578">
        <v>7.5508729999999904</v>
      </c>
      <c r="J4578">
        <v>-310.8546</v>
      </c>
      <c r="K4578">
        <v>1.061696</v>
      </c>
      <c r="L4578">
        <v>14.23911</v>
      </c>
      <c r="M4578">
        <v>0.93782549999999998</v>
      </c>
      <c r="N4578">
        <v>-1.464939E-2</v>
      </c>
      <c r="O4578">
        <v>-0.34679840000000001</v>
      </c>
      <c r="P4578">
        <v>0.67318840000000002</v>
      </c>
      <c r="Q4578">
        <v>0.16083979999999901</v>
      </c>
      <c r="R4578">
        <v>-0.72176779999999996</v>
      </c>
      <c r="S4578">
        <v>1.6068119999999999</v>
      </c>
      <c r="T4578">
        <v>-0.4537466</v>
      </c>
      <c r="U4578">
        <v>-2.7767940000000002</v>
      </c>
      <c r="V4578">
        <v>0.44816879999999998</v>
      </c>
      <c r="W4578">
        <v>0.16125610000000001</v>
      </c>
      <c r="X4578">
        <v>0.87928449999999903</v>
      </c>
      <c r="Y4578">
        <v>0.63427259999999996</v>
      </c>
      <c r="Z4578">
        <v>-8.4129089999999997E-3</v>
      </c>
      <c r="AA4578">
        <v>0.77306370000000002</v>
      </c>
      <c r="AB4578">
        <v>34</v>
      </c>
      <c r="AC4578">
        <v>3.6362000000000299</v>
      </c>
      <c r="AD4578">
        <v>-1.111696</v>
      </c>
      <c r="AE4578">
        <v>-6.688237</v>
      </c>
      <c r="AF4578">
        <v>4.9072612557659898</v>
      </c>
      <c r="AG4578">
        <v>-1.111696</v>
      </c>
      <c r="AH4578">
        <v>5.6105605720268796</v>
      </c>
      <c r="AI4578">
        <v>98.482806918886794</v>
      </c>
      <c r="AJ4578">
        <v>48.825524513974997</v>
      </c>
      <c r="AK4578">
        <v>7.5362769960465696</v>
      </c>
      <c r="AL4578">
        <v>80.720187894524599</v>
      </c>
      <c r="AM4578">
        <v>62.9921906444266</v>
      </c>
      <c r="AN4578">
        <v>1.00000001751044</v>
      </c>
    </row>
    <row r="4579" spans="1:40" x14ac:dyDescent="0.25">
      <c r="A4579" t="str">
        <f>"20190303162645557"</f>
        <v>20190303162645557</v>
      </c>
      <c r="B4579" t="str">
        <f>"1551601605548385"</f>
        <v>1551601605548385</v>
      </c>
      <c r="C4579" t="s">
        <v>40</v>
      </c>
      <c r="D4579">
        <v>5.5130559999999997</v>
      </c>
      <c r="E4579">
        <v>0.60016009999999997</v>
      </c>
      <c r="F4579" t="s">
        <v>44</v>
      </c>
      <c r="G4579">
        <v>-307.02229999999997</v>
      </c>
      <c r="H4579">
        <v>-0.05</v>
      </c>
      <c r="I4579">
        <v>7.3891140000000002</v>
      </c>
      <c r="J4579">
        <v>-310.6046</v>
      </c>
      <c r="K4579">
        <v>1.0611699999999999</v>
      </c>
      <c r="L4579">
        <v>14.13733</v>
      </c>
      <c r="M4579">
        <v>0.93421359999999998</v>
      </c>
      <c r="N4579">
        <v>-1.4467010000000001E-2</v>
      </c>
      <c r="O4579">
        <v>-0.35642089999999998</v>
      </c>
      <c r="P4579">
        <v>0.66525140000000005</v>
      </c>
      <c r="Q4579">
        <v>0.1602954</v>
      </c>
      <c r="R4579">
        <v>-0.7292092</v>
      </c>
      <c r="S4579">
        <v>1.5652469999999901</v>
      </c>
      <c r="T4579">
        <v>-0.45404729999999999</v>
      </c>
      <c r="U4579">
        <v>-2.7977289999999999</v>
      </c>
      <c r="V4579">
        <v>0.44890730000000001</v>
      </c>
      <c r="W4579">
        <v>0.16035160000000001</v>
      </c>
      <c r="X4579">
        <v>0.87907309999999905</v>
      </c>
      <c r="Y4579">
        <v>0.63756999999999997</v>
      </c>
      <c r="Z4579">
        <v>-7.2161259999999998E-3</v>
      </c>
      <c r="AA4579">
        <v>0.77035869999999995</v>
      </c>
      <c r="AB4579">
        <v>34</v>
      </c>
      <c r="AC4579">
        <v>3.5823000000000298</v>
      </c>
      <c r="AD4579">
        <v>-1.11117</v>
      </c>
      <c r="AE4579">
        <v>-6.7482159999999896</v>
      </c>
      <c r="AF4579">
        <v>4.9238426735132599</v>
      </c>
      <c r="AG4579">
        <v>-1.11117</v>
      </c>
      <c r="AH4579">
        <v>5.6332820258098799</v>
      </c>
      <c r="AI4579">
        <v>98.447557391843304</v>
      </c>
      <c r="AJ4579">
        <v>48.8444993854839</v>
      </c>
      <c r="AK4579">
        <v>7.5639137901435003</v>
      </c>
      <c r="AL4579">
        <v>80.772694678851195</v>
      </c>
      <c r="AM4579">
        <v>62.948425481815903</v>
      </c>
      <c r="AN4579">
        <v>0.99999995737972902</v>
      </c>
    </row>
    <row r="4580" spans="1:40" x14ac:dyDescent="0.25">
      <c r="A4580" t="str">
        <f>"20190303162645574"</f>
        <v>20190303162645574</v>
      </c>
      <c r="B4580" t="str">
        <f>"1551601605567905"</f>
        <v>1551601605567905</v>
      </c>
      <c r="C4580" t="s">
        <v>40</v>
      </c>
      <c r="D4580">
        <v>5.5285529999999996</v>
      </c>
      <c r="E4580">
        <v>0.59992860000000003</v>
      </c>
      <c r="F4580" t="s">
        <v>44</v>
      </c>
      <c r="G4580">
        <v>-306.8349</v>
      </c>
      <c r="H4580">
        <v>-0.05</v>
      </c>
      <c r="I4580">
        <v>7.2583770000000003</v>
      </c>
      <c r="J4580">
        <v>-310.36059999999998</v>
      </c>
      <c r="K4580">
        <v>1.0607040000000001</v>
      </c>
      <c r="L4580">
        <v>14.03482</v>
      </c>
      <c r="M4580">
        <v>0.93050849999999996</v>
      </c>
      <c r="N4580">
        <v>-1.431001E-2</v>
      </c>
      <c r="O4580">
        <v>-0.3659907</v>
      </c>
      <c r="P4580">
        <v>0.65740580000000004</v>
      </c>
      <c r="Q4580">
        <v>0.1603329</v>
      </c>
      <c r="R4580">
        <v>-0.73628229999999995</v>
      </c>
      <c r="S4580">
        <v>1.53949</v>
      </c>
      <c r="T4580">
        <v>-0.45379599999999998</v>
      </c>
      <c r="U4580">
        <v>-2.809326</v>
      </c>
      <c r="V4580">
        <v>0.44935249999999999</v>
      </c>
      <c r="W4580">
        <v>0.16005649999999999</v>
      </c>
      <c r="X4580">
        <v>0.87889949999999994</v>
      </c>
      <c r="Y4580">
        <v>0.63653729999999997</v>
      </c>
      <c r="Z4580">
        <v>-5.5752170000000004E-3</v>
      </c>
      <c r="AA4580">
        <v>0.77122579999999996</v>
      </c>
      <c r="AB4580">
        <v>34</v>
      </c>
      <c r="AC4580">
        <v>3.5256999999999699</v>
      </c>
      <c r="AD4580">
        <v>-1.1107039999999999</v>
      </c>
      <c r="AE4580">
        <v>-6.7764430000000004</v>
      </c>
      <c r="AF4580">
        <v>4.91183093687376</v>
      </c>
      <c r="AG4580">
        <v>-1.1107039999999999</v>
      </c>
      <c r="AH4580">
        <v>5.64211206105246</v>
      </c>
      <c r="AI4580">
        <v>98.445447357879999</v>
      </c>
      <c r="AJ4580">
        <v>48.958277785967603</v>
      </c>
      <c r="AK4580">
        <v>7.5626169437252297</v>
      </c>
      <c r="AL4580">
        <v>80.789824690748603</v>
      </c>
      <c r="AM4580">
        <v>62.920828652603397</v>
      </c>
      <c r="AN4580">
        <v>1.00000004177437</v>
      </c>
    </row>
    <row r="4581" spans="1:40" x14ac:dyDescent="0.25">
      <c r="A4581" t="str">
        <f>"20190303162645597"</f>
        <v>20190303162645597</v>
      </c>
      <c r="B4581" t="str">
        <f>"1551601605588403"</f>
        <v>1551601605588403</v>
      </c>
      <c r="C4581" t="s">
        <v>40</v>
      </c>
      <c r="D4581">
        <v>7.217638</v>
      </c>
      <c r="E4581">
        <v>0.59932229999999997</v>
      </c>
      <c r="F4581" t="s">
        <v>44</v>
      </c>
      <c r="G4581">
        <v>-306.56959999999998</v>
      </c>
      <c r="H4581">
        <v>-0.05</v>
      </c>
      <c r="I4581">
        <v>6.9282380000000003</v>
      </c>
      <c r="J4581">
        <v>-310.04860000000002</v>
      </c>
      <c r="K4581">
        <v>1.0601400000000001</v>
      </c>
      <c r="L4581">
        <v>13.899660000000001</v>
      </c>
      <c r="M4581">
        <v>0.92550200000000005</v>
      </c>
      <c r="N4581">
        <v>-1.413382E-2</v>
      </c>
      <c r="O4581">
        <v>-0.37847890000000001</v>
      </c>
      <c r="P4581">
        <v>0.6465765</v>
      </c>
      <c r="Q4581">
        <v>0.16462689999999999</v>
      </c>
      <c r="R4581">
        <v>-0.74487369999999997</v>
      </c>
      <c r="S4581">
        <v>1.5070190000000001</v>
      </c>
      <c r="T4581">
        <v>-0.44154189999999999</v>
      </c>
      <c r="U4581">
        <v>-2.8251040000000001</v>
      </c>
      <c r="V4581">
        <v>0.44971909999999998</v>
      </c>
      <c r="W4581">
        <v>0.1639167</v>
      </c>
      <c r="X4581">
        <v>0.878</v>
      </c>
      <c r="Y4581">
        <v>0.63513640000000005</v>
      </c>
      <c r="Z4581">
        <v>-3.612049E-3</v>
      </c>
      <c r="AA4581">
        <v>0.77239159999999996</v>
      </c>
      <c r="AB4581">
        <v>34</v>
      </c>
      <c r="AC4581">
        <v>3.4790000000000401</v>
      </c>
      <c r="AD4581">
        <v>-1.1101399999999999</v>
      </c>
      <c r="AE4581">
        <v>-6.9714219999999996</v>
      </c>
      <c r="AF4581">
        <v>5.0336570531381097</v>
      </c>
      <c r="AG4581">
        <v>-1.1101399999999999</v>
      </c>
      <c r="AH4581">
        <v>5.7423618946839801</v>
      </c>
      <c r="AI4581">
        <v>98.271570038918298</v>
      </c>
      <c r="AJ4581">
        <v>48.762744312517398</v>
      </c>
      <c r="AK4581">
        <v>7.7165299375901899</v>
      </c>
      <c r="AL4581">
        <v>80.565690620442595</v>
      </c>
      <c r="AM4581">
        <v>62.878087478075798</v>
      </c>
      <c r="AN4581">
        <v>0.99999997672184904</v>
      </c>
    </row>
    <row r="4582" spans="1:40" x14ac:dyDescent="0.25">
      <c r="A4582" t="str">
        <f>"20190303162645629"</f>
        <v>20190303162645629</v>
      </c>
      <c r="B4582" t="str">
        <f>"1551601605618657"</f>
        <v>1551601605618657</v>
      </c>
      <c r="C4582" t="s">
        <v>40</v>
      </c>
      <c r="D4582">
        <v>5.5636839999999896</v>
      </c>
      <c r="E4582">
        <v>0.59865970000000002</v>
      </c>
      <c r="F4582" t="s">
        <v>44</v>
      </c>
      <c r="G4582">
        <v>-306.18779999999998</v>
      </c>
      <c r="H4582">
        <v>-0.05</v>
      </c>
      <c r="I4582">
        <v>6.4186399999999999</v>
      </c>
      <c r="J4582">
        <v>-309.58850000000001</v>
      </c>
      <c r="K4582">
        <v>1.0593520000000001</v>
      </c>
      <c r="L4582">
        <v>13.68994</v>
      </c>
      <c r="M4582">
        <v>0.91745730000000003</v>
      </c>
      <c r="N4582">
        <v>-1.3940889999999999E-2</v>
      </c>
      <c r="O4582">
        <v>-0.3975899</v>
      </c>
      <c r="P4582">
        <v>0.62987399999999905</v>
      </c>
      <c r="Q4582">
        <v>0.17095160000000001</v>
      </c>
      <c r="R4582">
        <v>-0.75765070000000001</v>
      </c>
      <c r="S4582">
        <v>1.46875</v>
      </c>
      <c r="T4582">
        <v>-0.42232160000000002</v>
      </c>
      <c r="U4582">
        <v>-2.8459469999999998</v>
      </c>
      <c r="V4582">
        <v>0.4500826</v>
      </c>
      <c r="W4582">
        <v>0.1696</v>
      </c>
      <c r="X4582">
        <v>0.8767334</v>
      </c>
      <c r="Y4582">
        <v>0.6300635</v>
      </c>
      <c r="Z4582">
        <v>-5.9635560000000001E-4</v>
      </c>
      <c r="AA4582">
        <v>0.77654339999999999</v>
      </c>
      <c r="AB4582">
        <v>34</v>
      </c>
      <c r="AC4582">
        <v>3.40070000000002</v>
      </c>
      <c r="AD4582">
        <v>-1.1093519999999999</v>
      </c>
      <c r="AE4582">
        <v>-7.2713000000000001</v>
      </c>
      <c r="AF4582">
        <v>5.2198474207320604</v>
      </c>
      <c r="AG4582">
        <v>-1.1093519999999999</v>
      </c>
      <c r="AH4582">
        <v>5.8989144936724696</v>
      </c>
      <c r="AI4582">
        <v>98.016689095639293</v>
      </c>
      <c r="AJ4582">
        <v>48.494940348934698</v>
      </c>
      <c r="AK4582">
        <v>7.9545371429949601</v>
      </c>
      <c r="AL4582">
        <v>80.235436776772502</v>
      </c>
      <c r="AM4582">
        <v>62.825707819640201</v>
      </c>
      <c r="AN4582">
        <v>0.99999998074915997</v>
      </c>
    </row>
    <row r="4583" spans="1:40" x14ac:dyDescent="0.25">
      <c r="A4583" t="str">
        <f>"20190303162645653"</f>
        <v>20190303162645653</v>
      </c>
      <c r="B4583" t="str">
        <f>"1551601605648915"</f>
        <v>1551601605648915</v>
      </c>
      <c r="C4583" t="s">
        <v>40</v>
      </c>
      <c r="D4583">
        <v>5.6363560000000001</v>
      </c>
      <c r="E4583">
        <v>0.59792239999999997</v>
      </c>
      <c r="F4583" t="s">
        <v>44</v>
      </c>
      <c r="G4583">
        <v>-305.64769999999999</v>
      </c>
      <c r="H4583">
        <v>-0.05</v>
      </c>
      <c r="I4583">
        <v>5.6582949999999999</v>
      </c>
      <c r="J4583">
        <v>-309.25599999999997</v>
      </c>
      <c r="K4583">
        <v>1.05881</v>
      </c>
      <c r="L4583">
        <v>13.5311</v>
      </c>
      <c r="M4583">
        <v>0.91114689999999998</v>
      </c>
      <c r="N4583">
        <v>-1.3840079999999999E-2</v>
      </c>
      <c r="O4583">
        <v>-0.41184920000000003</v>
      </c>
      <c r="P4583">
        <v>0.61672439999999995</v>
      </c>
      <c r="Q4583">
        <v>0.17452379999999901</v>
      </c>
      <c r="R4583">
        <v>-0.76758899999999997</v>
      </c>
      <c r="S4583">
        <v>1.4111629999999999</v>
      </c>
      <c r="T4583">
        <v>-0.39724949999999998</v>
      </c>
      <c r="U4583">
        <v>-2.8760680000000001</v>
      </c>
      <c r="V4583">
        <v>0.45102969999999998</v>
      </c>
      <c r="W4583">
        <v>0.1726946</v>
      </c>
      <c r="X4583">
        <v>0.87564189999999997</v>
      </c>
      <c r="Y4583">
        <v>0.63403679999999996</v>
      </c>
      <c r="Z4583">
        <v>4.2604280000000001E-4</v>
      </c>
      <c r="AA4583">
        <v>0.77330279999999996</v>
      </c>
      <c r="AB4583">
        <v>34</v>
      </c>
      <c r="AC4583">
        <v>3.6082999999999799</v>
      </c>
      <c r="AD4583">
        <v>-1.1088100000000001</v>
      </c>
      <c r="AE4583">
        <v>-7.8728049999999996</v>
      </c>
      <c r="AF4583">
        <v>5.59601792088616</v>
      </c>
      <c r="AG4583">
        <v>-1.1088100000000001</v>
      </c>
      <c r="AH4583">
        <v>6.4253963943759196</v>
      </c>
      <c r="AI4583">
        <v>97.414371693720895</v>
      </c>
      <c r="AJ4583">
        <v>48.946682433801101</v>
      </c>
      <c r="AK4583">
        <v>8.5924731603792708</v>
      </c>
      <c r="AL4583">
        <v>80.055473856966998</v>
      </c>
      <c r="AM4583">
        <v>62.747699407874698</v>
      </c>
      <c r="AN4583">
        <v>0.99999997609342905</v>
      </c>
    </row>
    <row r="4584" spans="1:40" x14ac:dyDescent="0.25">
      <c r="A4584" t="str">
        <f>"20190303162645676"</f>
        <v>20190303162645676</v>
      </c>
      <c r="B4584" t="str">
        <f>"1551601605668433"</f>
        <v>1551601605668433</v>
      </c>
      <c r="C4584" t="s">
        <v>40</v>
      </c>
      <c r="D4584">
        <v>5.6310949999999904</v>
      </c>
      <c r="E4584">
        <v>0.59722310000000001</v>
      </c>
      <c r="F4584" t="s">
        <v>44</v>
      </c>
      <c r="G4584">
        <v>-305.30169999999998</v>
      </c>
      <c r="H4584">
        <v>-0.05</v>
      </c>
      <c r="I4584">
        <v>5.168228</v>
      </c>
      <c r="J4584">
        <v>-308.94479999999999</v>
      </c>
      <c r="K4584">
        <v>1.05833</v>
      </c>
      <c r="L4584">
        <v>13.3764</v>
      </c>
      <c r="M4584">
        <v>0.90482819999999997</v>
      </c>
      <c r="N4584">
        <v>-1.3769490000000001E-2</v>
      </c>
      <c r="O4584">
        <v>-0.4255543</v>
      </c>
      <c r="P4584">
        <v>0.6047496</v>
      </c>
      <c r="Q4584">
        <v>0.1754578</v>
      </c>
      <c r="R4584">
        <v>-0.77684819999999999</v>
      </c>
      <c r="S4584">
        <v>1.3691409999999999</v>
      </c>
      <c r="T4584">
        <v>-0.38391550000000002</v>
      </c>
      <c r="U4584">
        <v>-2.8955690000000001</v>
      </c>
      <c r="V4584">
        <v>0.45135710000000001</v>
      </c>
      <c r="W4584">
        <v>0.1732206</v>
      </c>
      <c r="X4584">
        <v>0.87536930000000002</v>
      </c>
      <c r="Y4584">
        <v>0.63377069999999902</v>
      </c>
      <c r="Z4584">
        <v>1.899481E-3</v>
      </c>
      <c r="AA4584">
        <v>0.77351859999999995</v>
      </c>
      <c r="AB4584">
        <v>34</v>
      </c>
      <c r="AC4584">
        <v>3.6431</v>
      </c>
      <c r="AD4584">
        <v>-1.10833</v>
      </c>
      <c r="AE4584">
        <v>-8.2081719999999994</v>
      </c>
      <c r="AF4584">
        <v>5.7890275620353799</v>
      </c>
      <c r="AG4584">
        <v>-1.10833</v>
      </c>
      <c r="AH4584">
        <v>6.6881722449932601</v>
      </c>
      <c r="AI4584">
        <v>97.141795835447198</v>
      </c>
      <c r="AJ4584">
        <v>49.121781771673099</v>
      </c>
      <c r="AK4584">
        <v>8.9147565015317998</v>
      </c>
      <c r="AL4584">
        <v>80.024875469186895</v>
      </c>
      <c r="AM4584">
        <v>62.723505247332703</v>
      </c>
      <c r="AN4584">
        <v>1.0000000096836299</v>
      </c>
    </row>
    <row r="4585" spans="1:40" x14ac:dyDescent="0.25">
      <c r="A4585" t="str">
        <f>"20190303162645696"</f>
        <v>20190303162645696</v>
      </c>
      <c r="B4585" t="str">
        <f>"1551601605687953"</f>
        <v>1551601605687953</v>
      </c>
      <c r="C4585" t="s">
        <v>40</v>
      </c>
      <c r="D4585">
        <v>5.6443009999999996</v>
      </c>
      <c r="E4585">
        <v>0.59681569999999995</v>
      </c>
      <c r="F4585" t="s">
        <v>44</v>
      </c>
      <c r="G4585">
        <v>-305.08780000000002</v>
      </c>
      <c r="H4585">
        <v>-0.05</v>
      </c>
      <c r="I4585">
        <v>4.930847</v>
      </c>
      <c r="J4585">
        <v>-308.65629999999999</v>
      </c>
      <c r="K4585">
        <v>1.0578939999999999</v>
      </c>
      <c r="L4585">
        <v>13.22742</v>
      </c>
      <c r="M4585">
        <v>0.89857670000000001</v>
      </c>
      <c r="N4585">
        <v>-1.372406E-2</v>
      </c>
      <c r="O4585">
        <v>-0.43860199999999999</v>
      </c>
      <c r="P4585">
        <v>0.59476569999999995</v>
      </c>
      <c r="Q4585">
        <v>0.17345859999999999</v>
      </c>
      <c r="R4585">
        <v>-0.78496279999999996</v>
      </c>
      <c r="S4585">
        <v>1.3301700000000001</v>
      </c>
      <c r="T4585">
        <v>-0.3822275</v>
      </c>
      <c r="U4585">
        <v>-2.912598</v>
      </c>
      <c r="V4585">
        <v>0.45033879999999998</v>
      </c>
      <c r="W4585">
        <v>0.17090720000000001</v>
      </c>
      <c r="X4585">
        <v>0.87634799999999902</v>
      </c>
      <c r="Y4585">
        <v>0.6329456</v>
      </c>
      <c r="Z4585">
        <v>3.6261380000000001E-3</v>
      </c>
      <c r="AA4585">
        <v>0.77418779999999998</v>
      </c>
      <c r="AB4585">
        <v>34</v>
      </c>
      <c r="AC4585">
        <v>3.56849999999997</v>
      </c>
      <c r="AD4585">
        <v>-1.1078939999999999</v>
      </c>
      <c r="AE4585">
        <v>-8.2965730000000004</v>
      </c>
      <c r="AF4585">
        <v>5.8031836702733601</v>
      </c>
      <c r="AG4585">
        <v>-1.1078939999999999</v>
      </c>
      <c r="AH4585">
        <v>6.7446153979713301</v>
      </c>
      <c r="AI4585">
        <v>97.097735528447402</v>
      </c>
      <c r="AJ4585">
        <v>49.290728015585898</v>
      </c>
      <c r="AK4585">
        <v>8.9662816536575196</v>
      </c>
      <c r="AL4585">
        <v>80.159430851431594</v>
      </c>
      <c r="AM4585">
        <v>62.802218586415101</v>
      </c>
      <c r="AN4585">
        <v>1.0000000614506299</v>
      </c>
    </row>
    <row r="4586" spans="1:40" x14ac:dyDescent="0.25">
      <c r="A4586" t="str">
        <f>"20190303162645719"</f>
        <v>20190303162645719</v>
      </c>
      <c r="B4586" t="str">
        <f>"1551601605708449"</f>
        <v>1551601605708449</v>
      </c>
      <c r="C4586" t="s">
        <v>40</v>
      </c>
      <c r="D4586">
        <v>5.7075120000000004</v>
      </c>
      <c r="E4586">
        <v>0.58505299999999905</v>
      </c>
      <c r="F4586" t="s">
        <v>44</v>
      </c>
      <c r="G4586">
        <v>-304.97250000000003</v>
      </c>
      <c r="H4586">
        <v>-0.05</v>
      </c>
      <c r="I4586">
        <v>4.8886260000000004</v>
      </c>
      <c r="J4586">
        <v>-308.35860000000002</v>
      </c>
      <c r="K4586">
        <v>1.0574570000000001</v>
      </c>
      <c r="L4586">
        <v>13.06781</v>
      </c>
      <c r="M4586">
        <v>0.89170239999999901</v>
      </c>
      <c r="N4586">
        <v>-1.369772E-2</v>
      </c>
      <c r="O4586">
        <v>-0.45241500000000001</v>
      </c>
      <c r="P4586">
        <v>0.5837234</v>
      </c>
      <c r="Q4586">
        <v>0.1731463</v>
      </c>
      <c r="R4586">
        <v>-0.79327619999999999</v>
      </c>
      <c r="S4586">
        <v>1.293396</v>
      </c>
      <c r="T4586">
        <v>-0.38898349999999998</v>
      </c>
      <c r="U4586">
        <v>-2.927765</v>
      </c>
      <c r="V4586">
        <v>0.44925530000000002</v>
      </c>
      <c r="W4586">
        <v>0.17027999999999999</v>
      </c>
      <c r="X4586">
        <v>0.87702590000000002</v>
      </c>
      <c r="Y4586">
        <v>0.63064569999999998</v>
      </c>
      <c r="Z4586">
        <v>5.9141590000000004E-3</v>
      </c>
      <c r="AA4586">
        <v>0.77604839999999997</v>
      </c>
      <c r="AB4586">
        <v>34</v>
      </c>
      <c r="AC4586">
        <v>3.3860999999999901</v>
      </c>
      <c r="AD4586">
        <v>-1.1074569999999999</v>
      </c>
      <c r="AE4586">
        <v>-8.1791839999999993</v>
      </c>
      <c r="AF4586">
        <v>5.6732259503021698</v>
      </c>
      <c r="AG4586">
        <v>-1.1074569999999999</v>
      </c>
      <c r="AH4586">
        <v>6.6168508880308003</v>
      </c>
      <c r="AI4586">
        <v>97.241234507939097</v>
      </c>
      <c r="AJ4586">
        <v>49.390522590971003</v>
      </c>
      <c r="AK4586">
        <v>8.7860497019118302</v>
      </c>
      <c r="AL4586">
        <v>80.195900917893496</v>
      </c>
      <c r="AM4586">
        <v>62.876268818373603</v>
      </c>
      <c r="AN4586">
        <v>1.00000001612444</v>
      </c>
    </row>
    <row r="4587" spans="1:40" x14ac:dyDescent="0.25">
      <c r="A4587" t="str">
        <f>"20190303162645740"</f>
        <v>20190303162645740</v>
      </c>
      <c r="B4587" t="str">
        <f>"1551601605727970"</f>
        <v>1551601605727970</v>
      </c>
      <c r="C4587" t="s">
        <v>40</v>
      </c>
      <c r="D4587">
        <v>5.6373139999999999</v>
      </c>
      <c r="E4587">
        <v>0.59012600000000004</v>
      </c>
      <c r="F4587" t="s">
        <v>44</v>
      </c>
      <c r="G4587">
        <v>-305.04930000000002</v>
      </c>
      <c r="H4587">
        <v>-0.05</v>
      </c>
      <c r="I4587">
        <v>5.8894199999999897</v>
      </c>
      <c r="J4587">
        <v>-308.05709999999999</v>
      </c>
      <c r="K4587">
        <v>1.057034</v>
      </c>
      <c r="L4587">
        <v>12.89944</v>
      </c>
      <c r="M4587">
        <v>0.8842643</v>
      </c>
      <c r="N4587">
        <v>-1.3693479999999999E-2</v>
      </c>
      <c r="O4587">
        <v>-0.46678639999999999</v>
      </c>
      <c r="P4587">
        <v>0.56966240000000001</v>
      </c>
      <c r="Q4587">
        <v>0.17508389999999999</v>
      </c>
      <c r="R4587">
        <v>-0.80301369999999905</v>
      </c>
      <c r="S4587">
        <v>1.335388</v>
      </c>
      <c r="T4587">
        <v>-0.44689319999999999</v>
      </c>
      <c r="U4587">
        <v>-2.8966980000000002</v>
      </c>
      <c r="V4587">
        <v>0.45033669999999998</v>
      </c>
      <c r="W4587">
        <v>0.17182239999999999</v>
      </c>
      <c r="X4587">
        <v>0.87617</v>
      </c>
      <c r="Y4587">
        <v>0.6051704</v>
      </c>
      <c r="Z4587">
        <v>1.3078330000000001E-2</v>
      </c>
      <c r="AA4587">
        <v>0.79598859999999905</v>
      </c>
      <c r="AB4587">
        <v>34</v>
      </c>
      <c r="AC4587">
        <v>3.0077999999999698</v>
      </c>
      <c r="AD4587">
        <v>-1.1070340000000001</v>
      </c>
      <c r="AE4587">
        <v>-7.0100199999999999</v>
      </c>
      <c r="AF4587">
        <v>4.6962477852030702</v>
      </c>
      <c r="AG4587">
        <v>-1.1070340000000001</v>
      </c>
      <c r="AH4587">
        <v>5.8100572900507199</v>
      </c>
      <c r="AI4587">
        <v>98.428936269064295</v>
      </c>
      <c r="AJ4587">
        <v>51.051519321392902</v>
      </c>
      <c r="AK4587">
        <v>7.5522866239869604</v>
      </c>
      <c r="AL4587">
        <v>80.106205574068397</v>
      </c>
      <c r="AM4587">
        <v>62.797595418021103</v>
      </c>
      <c r="AN4587">
        <v>0.999999974704324</v>
      </c>
    </row>
    <row r="4588" spans="1:40" x14ac:dyDescent="0.25">
      <c r="A4588" t="str">
        <f>"20190303162645764"</f>
        <v>20190303162645764</v>
      </c>
      <c r="B4588" t="str">
        <f>"1551601605758225"</f>
        <v>1551601605758225</v>
      </c>
      <c r="C4588" t="s">
        <v>40</v>
      </c>
      <c r="D4588">
        <v>5.6072699999999998</v>
      </c>
      <c r="E4588">
        <v>0.59283180000000002</v>
      </c>
      <c r="F4588" t="s">
        <v>44</v>
      </c>
      <c r="G4588">
        <v>-304.98149999999998</v>
      </c>
      <c r="H4588">
        <v>-0.05</v>
      </c>
      <c r="I4588">
        <v>5.6857759999999997</v>
      </c>
      <c r="J4588">
        <v>-307.74950000000001</v>
      </c>
      <c r="K4588">
        <v>1.056622</v>
      </c>
      <c r="L4588">
        <v>12.720700000000001</v>
      </c>
      <c r="M4588">
        <v>0.87618449999999903</v>
      </c>
      <c r="N4588">
        <v>-1.3702880000000001E-2</v>
      </c>
      <c r="O4588">
        <v>-0.48178130000000002</v>
      </c>
      <c r="P4588">
        <v>0.55366490000000002</v>
      </c>
      <c r="Q4588">
        <v>0.17558609999999999</v>
      </c>
      <c r="R4588">
        <v>-0.81401809999999997</v>
      </c>
      <c r="S4588">
        <v>1.255188</v>
      </c>
      <c r="T4588">
        <v>-0.45179589999999997</v>
      </c>
      <c r="U4588">
        <v>-2.944</v>
      </c>
      <c r="V4588">
        <v>0.45280179999999998</v>
      </c>
      <c r="W4588">
        <v>0.1718933</v>
      </c>
      <c r="X4588">
        <v>0.87488469999999996</v>
      </c>
      <c r="Y4588">
        <v>0.61458449999999998</v>
      </c>
      <c r="Z4588">
        <v>1.467359E-2</v>
      </c>
      <c r="AA4588">
        <v>0.78871449999999999</v>
      </c>
      <c r="AB4588">
        <v>34</v>
      </c>
      <c r="AC4588">
        <v>2.7680000000000202</v>
      </c>
      <c r="AD4588">
        <v>-1.106622</v>
      </c>
      <c r="AE4588">
        <v>-7.0349240000000002</v>
      </c>
      <c r="AF4588">
        <v>4.7294346525291102</v>
      </c>
      <c r="AG4588">
        <v>-1.106622</v>
      </c>
      <c r="AH4588">
        <v>5.6931303461013201</v>
      </c>
      <c r="AI4588">
        <v>98.503709300667396</v>
      </c>
      <c r="AJ4588">
        <v>50.282686782638898</v>
      </c>
      <c r="AK4588">
        <v>7.4835751831011201</v>
      </c>
      <c r="AL4588">
        <v>80.102082278622007</v>
      </c>
      <c r="AM4588">
        <v>62.635905770205703</v>
      </c>
      <c r="AN4588">
        <v>1.00000000748111</v>
      </c>
    </row>
    <row r="4589" spans="1:40" x14ac:dyDescent="0.25">
      <c r="A4589" t="str">
        <f>"20190303162645785"</f>
        <v>20190303162645785</v>
      </c>
      <c r="B4589" t="str">
        <f>"1551601605778721"</f>
        <v>1551601605778721</v>
      </c>
      <c r="C4589" t="s">
        <v>40</v>
      </c>
      <c r="D4589">
        <v>5.6090090000000004</v>
      </c>
      <c r="E4589">
        <v>0.59319960000000005</v>
      </c>
      <c r="F4589" t="s">
        <v>44</v>
      </c>
      <c r="G4589">
        <v>-304.9409</v>
      </c>
      <c r="H4589">
        <v>-0.05</v>
      </c>
      <c r="I4589">
        <v>5.6403349999999897</v>
      </c>
      <c r="J4589">
        <v>-307.45920000000001</v>
      </c>
      <c r="K4589">
        <v>1.0562499999999999</v>
      </c>
      <c r="L4589">
        <v>12.545500000000001</v>
      </c>
      <c r="M4589">
        <v>0.86809049999999999</v>
      </c>
      <c r="N4589">
        <v>-1.371939E-2</v>
      </c>
      <c r="O4589">
        <v>-0.49621690000000002</v>
      </c>
      <c r="P4589">
        <v>0.53854849999999999</v>
      </c>
      <c r="Q4589">
        <v>0.17278979999999999</v>
      </c>
      <c r="R4589">
        <v>-0.82468779999999997</v>
      </c>
      <c r="S4589">
        <v>1.1826779999999999</v>
      </c>
      <c r="T4589">
        <v>-0.46599269999999998</v>
      </c>
      <c r="U4589">
        <v>-2.981506</v>
      </c>
      <c r="V4589">
        <v>0.45500079999999998</v>
      </c>
      <c r="W4589">
        <v>0.16871839999999999</v>
      </c>
      <c r="X4589">
        <v>0.87436170000000002</v>
      </c>
      <c r="Y4589">
        <v>0.62143899999999996</v>
      </c>
      <c r="Z4589">
        <v>1.7050829999999999E-2</v>
      </c>
      <c r="AA4589">
        <v>0.783277</v>
      </c>
      <c r="AB4589">
        <v>34</v>
      </c>
      <c r="AC4589">
        <v>2.5183</v>
      </c>
      <c r="AD4589">
        <v>-1.10625</v>
      </c>
      <c r="AE4589">
        <v>-6.9051650000000002</v>
      </c>
      <c r="AF4589">
        <v>4.6400197853598399</v>
      </c>
      <c r="AG4589">
        <v>-1.10625</v>
      </c>
      <c r="AH4589">
        <v>5.4887614045744098</v>
      </c>
      <c r="AI4589">
        <v>98.750228865082093</v>
      </c>
      <c r="AJ4589">
        <v>49.789912055877998</v>
      </c>
      <c r="AK4589">
        <v>7.2718687025672004</v>
      </c>
      <c r="AL4589">
        <v>80.286687556339004</v>
      </c>
      <c r="AM4589">
        <v>62.508409172943601</v>
      </c>
      <c r="AN4589">
        <v>1.0000000044630399</v>
      </c>
    </row>
    <row r="4590" spans="1:40" x14ac:dyDescent="0.25">
      <c r="A4590" t="str">
        <f>"20190303162645808"</f>
        <v>20190303162645808</v>
      </c>
      <c r="B4590" t="str">
        <f>"1551601605798242"</f>
        <v>1551601605798242</v>
      </c>
      <c r="C4590" t="s">
        <v>40</v>
      </c>
      <c r="D4590">
        <v>5.5979919999999996</v>
      </c>
      <c r="E4590">
        <v>0.59302460000000001</v>
      </c>
      <c r="F4590" t="s">
        <v>44</v>
      </c>
      <c r="G4590">
        <v>-304.86680000000001</v>
      </c>
      <c r="H4590">
        <v>-0.05</v>
      </c>
      <c r="I4590">
        <v>5.6159359999999996</v>
      </c>
      <c r="J4590">
        <v>-307.1662</v>
      </c>
      <c r="K4590">
        <v>1.055895</v>
      </c>
      <c r="L4590">
        <v>12.36185</v>
      </c>
      <c r="M4590">
        <v>0.85943659999999999</v>
      </c>
      <c r="N4590">
        <v>-1.374271E-2</v>
      </c>
      <c r="O4590">
        <v>-0.51105749999999905</v>
      </c>
      <c r="P4590">
        <v>0.52301339999999996</v>
      </c>
      <c r="Q4590">
        <v>0.17105319999999999</v>
      </c>
      <c r="R4590">
        <v>-0.83498379999999905</v>
      </c>
      <c r="S4590">
        <v>1.1239319999999999</v>
      </c>
      <c r="T4590">
        <v>-0.4796088</v>
      </c>
      <c r="U4590">
        <v>-3.0042719999999998</v>
      </c>
      <c r="V4590">
        <v>0.45670830000000001</v>
      </c>
      <c r="W4590">
        <v>0.16663539999999999</v>
      </c>
      <c r="X4590">
        <v>0.87387079999999995</v>
      </c>
      <c r="Y4590">
        <v>0.62333359999999904</v>
      </c>
      <c r="Z4590">
        <v>2.01421E-2</v>
      </c>
      <c r="AA4590">
        <v>0.78169659999999996</v>
      </c>
      <c r="AB4590">
        <v>34</v>
      </c>
      <c r="AC4590">
        <v>2.2993999999999901</v>
      </c>
      <c r="AD4590">
        <v>-1.1058950000000001</v>
      </c>
      <c r="AE4590">
        <v>-6.745914</v>
      </c>
      <c r="AF4590">
        <v>4.5143037141483102</v>
      </c>
      <c r="AG4590">
        <v>-1.1058950000000001</v>
      </c>
      <c r="AH4590">
        <v>5.2967195379927299</v>
      </c>
      <c r="AI4590">
        <v>99.029101298344202</v>
      </c>
      <c r="AJ4590">
        <v>49.559611055483003</v>
      </c>
      <c r="AK4590">
        <v>7.0467850569427899</v>
      </c>
      <c r="AL4590">
        <v>80.407748642301101</v>
      </c>
      <c r="AM4590">
        <v>62.407225566060497</v>
      </c>
      <c r="AN4590">
        <v>1.00000000145734</v>
      </c>
    </row>
    <row r="4591" spans="1:40" x14ac:dyDescent="0.25">
      <c r="A4591" t="str">
        <f>"20190303162645830"</f>
        <v>20190303162645830</v>
      </c>
      <c r="B4591" t="str">
        <f>"1551601605818737"</f>
        <v>1551601605818737</v>
      </c>
      <c r="C4591" t="s">
        <v>40</v>
      </c>
      <c r="D4591">
        <v>5.5917219999999999</v>
      </c>
      <c r="E4591">
        <v>0.59284899999999996</v>
      </c>
      <c r="F4591" t="s">
        <v>44</v>
      </c>
      <c r="G4591">
        <v>-304.74650000000003</v>
      </c>
      <c r="H4591">
        <v>-0.05</v>
      </c>
      <c r="I4591">
        <v>5.485214</v>
      </c>
      <c r="J4591">
        <v>-306.87540000000001</v>
      </c>
      <c r="K4591">
        <v>1.055566</v>
      </c>
      <c r="L4591">
        <v>12.17245</v>
      </c>
      <c r="M4591">
        <v>0.85034709999999902</v>
      </c>
      <c r="N4591">
        <v>-1.377245E-2</v>
      </c>
      <c r="O4591">
        <v>-0.52604209999999996</v>
      </c>
      <c r="P4591">
        <v>0.50782349999999998</v>
      </c>
      <c r="Q4591">
        <v>0.16894579999999901</v>
      </c>
      <c r="R4591">
        <v>-0.84473259999999994</v>
      </c>
      <c r="S4591">
        <v>1.0646359999999999</v>
      </c>
      <c r="T4591">
        <v>-0.48658970000000001</v>
      </c>
      <c r="U4591">
        <v>-3.0256959999999999</v>
      </c>
      <c r="V4591">
        <v>0.45758929999999998</v>
      </c>
      <c r="W4591">
        <v>0.16423660000000001</v>
      </c>
      <c r="X4591">
        <v>0.87386409999999903</v>
      </c>
      <c r="Y4591">
        <v>0.62502519999999995</v>
      </c>
      <c r="Z4591">
        <v>2.2973779999999999E-2</v>
      </c>
      <c r="AA4591">
        <v>0.78026649999999997</v>
      </c>
      <c r="AB4591">
        <v>34</v>
      </c>
      <c r="AC4591">
        <v>2.1288999999999798</v>
      </c>
      <c r="AD4591">
        <v>-1.105566</v>
      </c>
      <c r="AE4591">
        <v>-6.6872360000000004</v>
      </c>
      <c r="AF4591">
        <v>4.4564180609450004</v>
      </c>
      <c r="AG4591">
        <v>-1.105566</v>
      </c>
      <c r="AH4591">
        <v>5.1995390084375099</v>
      </c>
      <c r="AI4591">
        <v>99.170930870393207</v>
      </c>
      <c r="AJ4591">
        <v>49.400799542483597</v>
      </c>
      <c r="AK4591">
        <v>6.9366522195174403</v>
      </c>
      <c r="AL4591">
        <v>80.547110554522504</v>
      </c>
      <c r="AM4591">
        <v>62.3616931066163</v>
      </c>
      <c r="AN4591">
        <v>1.0000000467614201</v>
      </c>
    </row>
    <row r="4592" spans="1:40" x14ac:dyDescent="0.25">
      <c r="A4592" t="str">
        <f>"20190303162645854"</f>
        <v>20190303162645854</v>
      </c>
      <c r="B4592" t="str">
        <f>"1551601605848017"</f>
        <v>1551601605848017</v>
      </c>
      <c r="C4592" t="s">
        <v>40</v>
      </c>
      <c r="D4592">
        <v>5.5526339999999896</v>
      </c>
      <c r="E4592">
        <v>0.59298819999999997</v>
      </c>
      <c r="F4592" t="s">
        <v>44</v>
      </c>
      <c r="G4592">
        <v>-304.61509999999998</v>
      </c>
      <c r="H4592">
        <v>-0.05</v>
      </c>
      <c r="I4592">
        <v>5.3467250000000002</v>
      </c>
      <c r="J4592">
        <v>-306.56180000000001</v>
      </c>
      <c r="K4592">
        <v>1.0552220000000001</v>
      </c>
      <c r="L4592">
        <v>11.960050000000001</v>
      </c>
      <c r="M4592">
        <v>0.83996719999999903</v>
      </c>
      <c r="N4592">
        <v>-1.38104E-2</v>
      </c>
      <c r="O4592">
        <v>-0.54246159999999999</v>
      </c>
      <c r="P4592">
        <v>0.49131380000000002</v>
      </c>
      <c r="Q4592">
        <v>0.16475619999999999</v>
      </c>
      <c r="R4592">
        <v>-0.85525830000000003</v>
      </c>
      <c r="S4592">
        <v>1.0079959999999999</v>
      </c>
      <c r="T4592">
        <v>-0.49304320000000001</v>
      </c>
      <c r="U4592">
        <v>-3.0440369999999999</v>
      </c>
      <c r="V4592">
        <v>0.45822990000000002</v>
      </c>
      <c r="W4592">
        <v>0.15976889999999999</v>
      </c>
      <c r="X4592">
        <v>0.87435649999999998</v>
      </c>
      <c r="Y4592">
        <v>0.62441859999999905</v>
      </c>
      <c r="Z4592">
        <v>2.6349529999999999E-2</v>
      </c>
      <c r="AA4592">
        <v>0.78064529999999999</v>
      </c>
      <c r="AB4592">
        <v>34</v>
      </c>
      <c r="AC4592">
        <v>1.9467000000000201</v>
      </c>
      <c r="AD4592">
        <v>-1.1052219999999999</v>
      </c>
      <c r="AE4592">
        <v>-6.6133249999999997</v>
      </c>
      <c r="AF4592">
        <v>4.3866481628828202</v>
      </c>
      <c r="AG4592">
        <v>-1.1052219999999999</v>
      </c>
      <c r="AH4592">
        <v>5.0922543925513502</v>
      </c>
      <c r="AI4592">
        <v>99.338126839226504</v>
      </c>
      <c r="AJ4592">
        <v>49.257226138942102</v>
      </c>
      <c r="AK4592">
        <v>6.8114060642914103</v>
      </c>
      <c r="AL4592">
        <v>80.806517536782906</v>
      </c>
      <c r="AM4592">
        <v>62.342012166237701</v>
      </c>
      <c r="AN4592">
        <v>1.0000000158767299</v>
      </c>
    </row>
    <row r="4593" spans="1:40" x14ac:dyDescent="0.25">
      <c r="A4593" t="str">
        <f>"20190303162645876"</f>
        <v>20190303162645876</v>
      </c>
      <c r="B4593" t="str">
        <f>"1551601605868514"</f>
        <v>1551601605868514</v>
      </c>
      <c r="C4593" t="s">
        <v>40</v>
      </c>
      <c r="D4593">
        <v>5.5721259999999999</v>
      </c>
      <c r="E4593">
        <v>0.59295299999999995</v>
      </c>
      <c r="F4593" t="s">
        <v>44</v>
      </c>
      <c r="G4593">
        <v>-304.47629999999998</v>
      </c>
      <c r="H4593">
        <v>-0.05</v>
      </c>
      <c r="I4593">
        <v>5.1881259999999996</v>
      </c>
      <c r="J4593">
        <v>-306.2953</v>
      </c>
      <c r="K4593">
        <v>1.054945</v>
      </c>
      <c r="L4593">
        <v>11.772309999999999</v>
      </c>
      <c r="M4593">
        <v>0.83065089999999997</v>
      </c>
      <c r="N4593">
        <v>-1.3846249999999999E-2</v>
      </c>
      <c r="O4593">
        <v>-0.55662159999999905</v>
      </c>
      <c r="P4593">
        <v>0.47879519999999998</v>
      </c>
      <c r="Q4593">
        <v>0.15904949999999901</v>
      </c>
      <c r="R4593">
        <v>-0.86339979999999905</v>
      </c>
      <c r="S4593">
        <v>0.94305419999999995</v>
      </c>
      <c r="T4593">
        <v>-0.499776</v>
      </c>
      <c r="U4593">
        <v>-3.0622250000000002</v>
      </c>
      <c r="V4593">
        <v>0.45690409999999998</v>
      </c>
      <c r="W4593">
        <v>0.15393019999999999</v>
      </c>
      <c r="X4593">
        <v>0.87609599999999899</v>
      </c>
      <c r="Y4593">
        <v>0.62760000000000005</v>
      </c>
      <c r="Z4593">
        <v>2.9084840000000001E-2</v>
      </c>
      <c r="AA4593">
        <v>0.77799249999999998</v>
      </c>
      <c r="AB4593">
        <v>34</v>
      </c>
      <c r="AC4593">
        <v>1.8190000000000099</v>
      </c>
      <c r="AD4593">
        <v>-1.1049450000000001</v>
      </c>
      <c r="AE4593">
        <v>-6.5841839999999996</v>
      </c>
      <c r="AF4593">
        <v>4.3434407206421399</v>
      </c>
      <c r="AG4593">
        <v>-1.1049450000000001</v>
      </c>
      <c r="AH4593">
        <v>5.0443588321155302</v>
      </c>
      <c r="AI4593">
        <v>99.424655384241703</v>
      </c>
      <c r="AJ4593">
        <v>49.269932954128798</v>
      </c>
      <c r="AK4593">
        <v>6.7477356775365198</v>
      </c>
      <c r="AL4593">
        <v>81.145243646250904</v>
      </c>
      <c r="AM4593">
        <v>62.456928885140897</v>
      </c>
      <c r="AN4593">
        <v>1.0000000321424201</v>
      </c>
    </row>
    <row r="4594" spans="1:40" x14ac:dyDescent="0.25">
      <c r="A4594" t="str">
        <f>"20190303162645896"</f>
        <v>20190303162645896</v>
      </c>
      <c r="B4594" t="str">
        <f>"1551601605888034"</f>
        <v>1551601605888034</v>
      </c>
      <c r="C4594" t="s">
        <v>40</v>
      </c>
      <c r="D4594">
        <v>5.5577909999999999</v>
      </c>
      <c r="E4594">
        <v>0.59343159999999995</v>
      </c>
      <c r="F4594" t="s">
        <v>44</v>
      </c>
      <c r="G4594">
        <v>-304.36720000000003</v>
      </c>
      <c r="H4594">
        <v>-0.05</v>
      </c>
      <c r="I4594">
        <v>5.1186369999999997</v>
      </c>
      <c r="J4594">
        <v>-306.02710000000002</v>
      </c>
      <c r="K4594">
        <v>1.0546819999999999</v>
      </c>
      <c r="L4594">
        <v>11.57629</v>
      </c>
      <c r="M4594">
        <v>0.82080069999999905</v>
      </c>
      <c r="N4594">
        <v>-1.3883990000000001E-2</v>
      </c>
      <c r="O4594">
        <v>-0.5710459</v>
      </c>
      <c r="P4594">
        <v>0.46602510000000003</v>
      </c>
      <c r="Q4594">
        <v>0.15520439999999999</v>
      </c>
      <c r="R4594">
        <v>-0.87105239999999995</v>
      </c>
      <c r="S4594">
        <v>0.89099119999999998</v>
      </c>
      <c r="T4594">
        <v>-0.51058599999999998</v>
      </c>
      <c r="U4594">
        <v>-3.0746150000000001</v>
      </c>
      <c r="V4594">
        <v>0.45499790000000001</v>
      </c>
      <c r="W4594">
        <v>0.1499906</v>
      </c>
      <c r="X4594">
        <v>0.87776980000000004</v>
      </c>
      <c r="Y4594">
        <v>0.62700900000000004</v>
      </c>
      <c r="Z4594">
        <v>3.2702580000000002E-2</v>
      </c>
      <c r="AA4594">
        <v>0.77832539999999995</v>
      </c>
      <c r="AB4594">
        <v>34</v>
      </c>
      <c r="AC4594">
        <v>1.6598999999999899</v>
      </c>
      <c r="AD4594">
        <v>-1.1046819999999999</v>
      </c>
      <c r="AE4594">
        <v>-6.4576529999999996</v>
      </c>
      <c r="AF4594">
        <v>4.2366904407127901</v>
      </c>
      <c r="AG4594">
        <v>-1.1046819999999999</v>
      </c>
      <c r="AH4594">
        <v>4.9156176250532697</v>
      </c>
      <c r="AI4594">
        <v>99.660719579746598</v>
      </c>
      <c r="AJ4594">
        <v>49.242486600909402</v>
      </c>
      <c r="AK4594">
        <v>6.5827930885973798</v>
      </c>
      <c r="AL4594">
        <v>81.373618579478901</v>
      </c>
      <c r="AM4594">
        <v>62.599729785866401</v>
      </c>
      <c r="AN4594">
        <v>1.0000000454424001</v>
      </c>
    </row>
    <row r="4595" spans="1:40" x14ac:dyDescent="0.25">
      <c r="A4595" t="str">
        <f>"20190303162645920"</f>
        <v>20190303162645920</v>
      </c>
      <c r="B4595" t="str">
        <f>"1551601605908530"</f>
        <v>1551601605908530</v>
      </c>
      <c r="C4595" t="s">
        <v>40</v>
      </c>
      <c r="D4595">
        <v>5.5425060000000004</v>
      </c>
      <c r="E4595">
        <v>0.59324849999999996</v>
      </c>
      <c r="F4595" t="s">
        <v>44</v>
      </c>
      <c r="G4595">
        <v>-304.22329999999999</v>
      </c>
      <c r="H4595">
        <v>-0.05</v>
      </c>
      <c r="I4595">
        <v>4.9021150000000002</v>
      </c>
      <c r="J4595">
        <v>-305.75470000000001</v>
      </c>
      <c r="K4595">
        <v>1.0544279999999999</v>
      </c>
      <c r="L4595">
        <v>11.369630000000001</v>
      </c>
      <c r="M4595">
        <v>0.81029229999999997</v>
      </c>
      <c r="N4595">
        <v>-1.3922729999999999E-2</v>
      </c>
      <c r="O4595">
        <v>-0.58586059999999995</v>
      </c>
      <c r="P4595">
        <v>0.4515556</v>
      </c>
      <c r="Q4595">
        <v>0.1538902</v>
      </c>
      <c r="R4595">
        <v>-0.87887159999999998</v>
      </c>
      <c r="S4595">
        <v>0.83471679999999904</v>
      </c>
      <c r="T4595">
        <v>-0.51121499999999997</v>
      </c>
      <c r="U4595">
        <v>-3.0886230000000001</v>
      </c>
      <c r="V4595">
        <v>0.45377479999999998</v>
      </c>
      <c r="W4595">
        <v>0.14856059999999999</v>
      </c>
      <c r="X4595">
        <v>0.87864569999999997</v>
      </c>
      <c r="Y4595">
        <v>0.62705699999999998</v>
      </c>
      <c r="Z4595">
        <v>3.551994E-2</v>
      </c>
      <c r="AA4595">
        <v>0.778163099999999</v>
      </c>
      <c r="AB4595">
        <v>34</v>
      </c>
      <c r="AC4595">
        <v>1.5314000000000101</v>
      </c>
      <c r="AD4595">
        <v>-1.104428</v>
      </c>
      <c r="AE4595">
        <v>-6.4675149999999997</v>
      </c>
      <c r="AF4595">
        <v>4.2270901696333496</v>
      </c>
      <c r="AG4595">
        <v>-1.104428</v>
      </c>
      <c r="AH4595">
        <v>4.8952598892413599</v>
      </c>
      <c r="AI4595">
        <v>99.690310712934206</v>
      </c>
      <c r="AJ4595">
        <v>49.1891686268497</v>
      </c>
      <c r="AK4595">
        <v>6.56137347608031</v>
      </c>
      <c r="AL4595">
        <v>81.456479941433898</v>
      </c>
      <c r="AM4595">
        <v>62.685999217811997</v>
      </c>
      <c r="AN4595">
        <v>1.0000000435579399</v>
      </c>
    </row>
    <row r="4596" spans="1:40" x14ac:dyDescent="0.25">
      <c r="A4596" t="str">
        <f>"20190303162645942"</f>
        <v>20190303162645942</v>
      </c>
      <c r="B4596" t="str">
        <f>"1551601605938785"</f>
        <v>1551601605938785</v>
      </c>
      <c r="C4596" t="s">
        <v>40</v>
      </c>
      <c r="D4596">
        <v>5.569903</v>
      </c>
      <c r="E4596">
        <v>0.59813459999999996</v>
      </c>
      <c r="F4596" t="s">
        <v>44</v>
      </c>
      <c r="G4596">
        <v>-304.05650000000003</v>
      </c>
      <c r="H4596">
        <v>-0.05</v>
      </c>
      <c r="I4596">
        <v>4.6331480000000003</v>
      </c>
      <c r="J4596">
        <v>-305.47250000000003</v>
      </c>
      <c r="K4596">
        <v>1.054189</v>
      </c>
      <c r="L4596">
        <v>11.14664</v>
      </c>
      <c r="M4596">
        <v>0.79883800000000005</v>
      </c>
      <c r="N4596">
        <v>-1.3963110000000001E-2</v>
      </c>
      <c r="O4596">
        <v>-0.60138459999999905</v>
      </c>
      <c r="P4596">
        <v>0.4358282</v>
      </c>
      <c r="Q4596">
        <v>0.1517096</v>
      </c>
      <c r="R4596">
        <v>-0.8871523</v>
      </c>
      <c r="S4596">
        <v>0.78167719999999996</v>
      </c>
      <c r="T4596">
        <v>-0.50838209999999995</v>
      </c>
      <c r="U4596">
        <v>-3.1008909999999998</v>
      </c>
      <c r="V4596">
        <v>0.4527543</v>
      </c>
      <c r="W4596">
        <v>0.14626510000000001</v>
      </c>
      <c r="X4596">
        <v>0.87955669999999897</v>
      </c>
      <c r="Y4596">
        <v>0.62540859999999998</v>
      </c>
      <c r="Z4596">
        <v>3.8330629999999997E-2</v>
      </c>
      <c r="AA4596">
        <v>0.77935549999999998</v>
      </c>
      <c r="AB4596">
        <v>34</v>
      </c>
      <c r="AC4596">
        <v>1.4159999999999899</v>
      </c>
      <c r="AD4596">
        <v>-1.1041889999999901</v>
      </c>
      <c r="AE4596">
        <v>-6.5134919999999896</v>
      </c>
      <c r="AF4596">
        <v>4.2358502582550699</v>
      </c>
      <c r="AG4596">
        <v>-1.1041889999999901</v>
      </c>
      <c r="AH4596">
        <v>4.9139150780484302</v>
      </c>
      <c r="AI4596">
        <v>99.659173827564203</v>
      </c>
      <c r="AJ4596">
        <v>49.238290696251703</v>
      </c>
      <c r="AK4596">
        <v>6.5808982785294798</v>
      </c>
      <c r="AL4596">
        <v>81.589454486694507</v>
      </c>
      <c r="AM4596">
        <v>62.762726829900203</v>
      </c>
      <c r="AN4596">
        <v>0.99999996208069397</v>
      </c>
    </row>
    <row r="4597" spans="1:40" x14ac:dyDescent="0.25">
      <c r="A4597" t="str">
        <f>"20190303162645965"</f>
        <v>20190303162645965</v>
      </c>
      <c r="B4597" t="str">
        <f>"1551601605958306"</f>
        <v>1551601605958306</v>
      </c>
      <c r="C4597" t="s">
        <v>40</v>
      </c>
      <c r="D4597">
        <v>5.5506000000000002</v>
      </c>
      <c r="E4597">
        <v>0.59512039999999999</v>
      </c>
      <c r="F4597" t="s">
        <v>44</v>
      </c>
      <c r="G4597">
        <v>-303.2414</v>
      </c>
      <c r="H4597">
        <v>-0.05</v>
      </c>
      <c r="I4597">
        <v>0.92495729999999998</v>
      </c>
      <c r="J4597">
        <v>-305.2054</v>
      </c>
      <c r="K4597">
        <v>1.0539860000000001</v>
      </c>
      <c r="L4597">
        <v>10.927519999999999</v>
      </c>
      <c r="M4597">
        <v>0.78746930000000004</v>
      </c>
      <c r="N4597">
        <v>-1.399976E-2</v>
      </c>
      <c r="O4597">
        <v>-0.61619499999999905</v>
      </c>
      <c r="P4597">
        <v>0.41945519999999997</v>
      </c>
      <c r="Q4597">
        <v>0.149429799999999</v>
      </c>
      <c r="R4597">
        <v>-0.89539299999999999</v>
      </c>
      <c r="S4597">
        <v>0.677948</v>
      </c>
      <c r="T4597">
        <v>-0.3355185</v>
      </c>
      <c r="U4597">
        <v>-3.1059570000000001</v>
      </c>
      <c r="V4597">
        <v>0.4527603</v>
      </c>
      <c r="W4597">
        <v>0.14384630000000001</v>
      </c>
      <c r="X4597">
        <v>0.87995239999999997</v>
      </c>
      <c r="Y4597">
        <v>0.6367294</v>
      </c>
      <c r="Z4597">
        <v>2.2465349999999999E-2</v>
      </c>
      <c r="AA4597">
        <v>0.77075990000000005</v>
      </c>
      <c r="AB4597">
        <v>34</v>
      </c>
      <c r="AC4597">
        <v>1.96399999999999</v>
      </c>
      <c r="AD4597">
        <v>-1.1039859999999999</v>
      </c>
      <c r="AE4597">
        <v>-10.0025627</v>
      </c>
      <c r="AF4597">
        <v>6.5898617639601396</v>
      </c>
      <c r="AG4597">
        <v>-1.1039859999999999</v>
      </c>
      <c r="AH4597">
        <v>7.6214784759804797</v>
      </c>
      <c r="AI4597">
        <v>96.253106397725006</v>
      </c>
      <c r="AJ4597">
        <v>49.151880710013799</v>
      </c>
      <c r="AK4597">
        <v>10.1356794205486</v>
      </c>
      <c r="AL4597">
        <v>81.729522785406502</v>
      </c>
      <c r="AM4597">
        <v>62.772903422768302</v>
      </c>
      <c r="AN4597">
        <v>0.999999936772767</v>
      </c>
    </row>
    <row r="4598" spans="1:40" x14ac:dyDescent="0.25">
      <c r="A4598" t="str">
        <f>"20190303162645986"</f>
        <v>20190303162645986</v>
      </c>
      <c r="B4598" t="str">
        <f>"1551601605978802"</f>
        <v>1551601605978802</v>
      </c>
      <c r="C4598" t="s">
        <v>40</v>
      </c>
      <c r="D4598">
        <v>5.5504309999999997</v>
      </c>
      <c r="E4598">
        <v>0.59209829999999997</v>
      </c>
      <c r="F4598" t="s">
        <v>44</v>
      </c>
      <c r="G4598">
        <v>-303.28269999999998</v>
      </c>
      <c r="H4598">
        <v>-0.05</v>
      </c>
      <c r="I4598">
        <v>1.6685639999999999</v>
      </c>
      <c r="J4598">
        <v>-304.94729999999998</v>
      </c>
      <c r="K4598">
        <v>1.0538160000000001</v>
      </c>
      <c r="L4598">
        <v>10.70782</v>
      </c>
      <c r="M4598">
        <v>0.77597430000000001</v>
      </c>
      <c r="N4598">
        <v>-1.4033469999999999E-2</v>
      </c>
      <c r="O4598">
        <v>-0.63060859999999996</v>
      </c>
      <c r="P4598">
        <v>0.40352539999999998</v>
      </c>
      <c r="Q4598">
        <v>0.14929020000000001</v>
      </c>
      <c r="R4598">
        <v>-0.90270700000000004</v>
      </c>
      <c r="S4598">
        <v>0.64575199999999999</v>
      </c>
      <c r="T4598">
        <v>-0.37079879999999998</v>
      </c>
      <c r="U4598">
        <v>-3.1098330000000001</v>
      </c>
      <c r="V4598">
        <v>0.45218970000000003</v>
      </c>
      <c r="W4598">
        <v>0.1436075</v>
      </c>
      <c r="X4598">
        <v>0.88028479999999998</v>
      </c>
      <c r="Y4598">
        <v>0.63022259999999997</v>
      </c>
      <c r="Z4598">
        <v>2.8618640000000001E-2</v>
      </c>
      <c r="AA4598">
        <v>0.77588690000000005</v>
      </c>
      <c r="AB4598">
        <v>34</v>
      </c>
      <c r="AC4598">
        <v>1.6646000000000001</v>
      </c>
      <c r="AD4598">
        <v>-1.1038159999999999</v>
      </c>
      <c r="AE4598">
        <v>-9.039256</v>
      </c>
      <c r="AF4598">
        <v>5.8802965794844404</v>
      </c>
      <c r="AG4598">
        <v>-1.1038159999999999</v>
      </c>
      <c r="AH4598">
        <v>6.8931891753383896</v>
      </c>
      <c r="AI4598">
        <v>96.945905961324399</v>
      </c>
      <c r="AJ4598">
        <v>49.533867250801698</v>
      </c>
      <c r="AK4598">
        <v>9.1275601686077596</v>
      </c>
      <c r="AL4598">
        <v>81.743348958631898</v>
      </c>
      <c r="AM4598">
        <v>62.811083258015202</v>
      </c>
      <c r="AN4598">
        <v>0.99999998397668899</v>
      </c>
    </row>
    <row r="4599" spans="1:40" x14ac:dyDescent="0.25">
      <c r="A4599" t="str">
        <f>"20190303162646009"</f>
        <v>20190303162646009</v>
      </c>
      <c r="B4599" t="str">
        <f>"1551601605998322"</f>
        <v>1551601605998322</v>
      </c>
      <c r="C4599" t="s">
        <v>40</v>
      </c>
      <c r="D4599">
        <v>5.5401119999999997</v>
      </c>
      <c r="E4599">
        <v>0.59109829999999997</v>
      </c>
      <c r="F4599" t="s">
        <v>44</v>
      </c>
      <c r="G4599">
        <v>-303.25020000000001</v>
      </c>
      <c r="H4599">
        <v>-0.05</v>
      </c>
      <c r="I4599">
        <v>2.1282199999999998</v>
      </c>
      <c r="J4599">
        <v>-304.69290000000001</v>
      </c>
      <c r="K4599">
        <v>1.0536719999999999</v>
      </c>
      <c r="L4599">
        <v>10.48315</v>
      </c>
      <c r="M4599">
        <v>0.76412690000000005</v>
      </c>
      <c r="N4599">
        <v>-1.406519E-2</v>
      </c>
      <c r="O4599">
        <v>-0.6449125</v>
      </c>
      <c r="P4599">
        <v>0.38726880000000002</v>
      </c>
      <c r="Q4599">
        <v>0.1510522</v>
      </c>
      <c r="R4599">
        <v>-0.90950889999999995</v>
      </c>
      <c r="S4599">
        <v>0.61602780000000001</v>
      </c>
      <c r="T4599">
        <v>-0.40066770000000002</v>
      </c>
      <c r="U4599">
        <v>-3.114258</v>
      </c>
      <c r="V4599">
        <v>0.45152409999999998</v>
      </c>
      <c r="W4599">
        <v>0.14528350000000001</v>
      </c>
      <c r="X4599">
        <v>0.88035149999999995</v>
      </c>
      <c r="Y4599">
        <v>0.62305269999999902</v>
      </c>
      <c r="Z4599">
        <v>3.464163E-2</v>
      </c>
      <c r="AA4599">
        <v>0.78141240000000001</v>
      </c>
      <c r="AB4599">
        <v>34</v>
      </c>
      <c r="AC4599">
        <v>1.4427000000000001</v>
      </c>
      <c r="AD4599">
        <v>-1.103672</v>
      </c>
      <c r="AE4599">
        <v>-8.3549299999999995</v>
      </c>
      <c r="AF4599">
        <v>5.3634689062971299</v>
      </c>
      <c r="AG4599">
        <v>-1.103672</v>
      </c>
      <c r="AH4599">
        <v>6.3830875641200304</v>
      </c>
      <c r="AI4599">
        <v>97.540833411565998</v>
      </c>
      <c r="AJ4599">
        <v>49.960924868085201</v>
      </c>
      <c r="AK4599">
        <v>8.4100355197599495</v>
      </c>
      <c r="AL4599">
        <v>81.646303915792004</v>
      </c>
      <c r="AM4599">
        <v>62.8471341750069</v>
      </c>
      <c r="AN4599">
        <v>1.00000003590265</v>
      </c>
    </row>
    <row r="4600" spans="1:40" x14ac:dyDescent="0.25">
      <c r="A4600" t="str">
        <f>"20190303162646031"</f>
        <v>20190303162646031</v>
      </c>
      <c r="B4600" t="str">
        <f>"1551601606018818"</f>
        <v>1551601606018818</v>
      </c>
      <c r="C4600" t="s">
        <v>40</v>
      </c>
      <c r="D4600">
        <v>5.5673579999999996</v>
      </c>
      <c r="E4600">
        <v>0.59047749999999999</v>
      </c>
      <c r="F4600" t="s">
        <v>44</v>
      </c>
      <c r="G4600">
        <v>-303.1103</v>
      </c>
      <c r="H4600">
        <v>-0.05</v>
      </c>
      <c r="I4600">
        <v>1.778</v>
      </c>
      <c r="J4600">
        <v>-304.43049999999999</v>
      </c>
      <c r="K4600">
        <v>1.053542</v>
      </c>
      <c r="L4600">
        <v>10.24249</v>
      </c>
      <c r="M4600">
        <v>0.75134690000000004</v>
      </c>
      <c r="N4600">
        <v>-1.409702E-2</v>
      </c>
      <c r="O4600">
        <v>-0.65975680000000003</v>
      </c>
      <c r="P4600">
        <v>0.37066290000000002</v>
      </c>
      <c r="Q4600">
        <v>0.15436540000000001</v>
      </c>
      <c r="R4600">
        <v>-0.91584969999999999</v>
      </c>
      <c r="S4600">
        <v>0.56768799999999997</v>
      </c>
      <c r="T4600">
        <v>-0.39588190000000001</v>
      </c>
      <c r="U4600">
        <v>-3.1224980000000002</v>
      </c>
      <c r="V4600">
        <v>0.45005489999999998</v>
      </c>
      <c r="W4600">
        <v>0.14855209999999999</v>
      </c>
      <c r="X4600">
        <v>0.88055830000000002</v>
      </c>
      <c r="Y4600">
        <v>0.61989249999999996</v>
      </c>
      <c r="Z4600">
        <v>3.6546799999999997E-2</v>
      </c>
      <c r="AA4600">
        <v>0.78383510000000001</v>
      </c>
      <c r="AB4600">
        <v>34</v>
      </c>
      <c r="AC4600">
        <v>1.32019999999999</v>
      </c>
      <c r="AD4600">
        <v>-1.103542</v>
      </c>
      <c r="AE4600">
        <v>-8.4644899999999996</v>
      </c>
      <c r="AF4600">
        <v>5.3997031325416804</v>
      </c>
      <c r="AG4600">
        <v>-1.103542</v>
      </c>
      <c r="AH4600">
        <v>6.4697313787014696</v>
      </c>
      <c r="AI4600">
        <v>97.460613906027703</v>
      </c>
      <c r="AJ4600">
        <v>50.151283650392301</v>
      </c>
      <c r="AK4600">
        <v>8.4989424623242993</v>
      </c>
      <c r="AL4600">
        <v>81.456972299661402</v>
      </c>
      <c r="AM4600">
        <v>62.928344409692698</v>
      </c>
      <c r="AN4600">
        <v>1.00000002956365</v>
      </c>
    </row>
    <row r="4601" spans="1:40" x14ac:dyDescent="0.25">
      <c r="A4601" t="str">
        <f>"20190303162646054"</f>
        <v>20190303162646054</v>
      </c>
      <c r="B4601" t="str">
        <f>"1551601606048098"</f>
        <v>1551601606048098</v>
      </c>
      <c r="C4601" t="s">
        <v>40</v>
      </c>
      <c r="D4601">
        <v>5.5781729999999996</v>
      </c>
      <c r="E4601">
        <v>0.58891640000000001</v>
      </c>
      <c r="F4601" t="s">
        <v>44</v>
      </c>
      <c r="G4601">
        <v>-302.93779999999998</v>
      </c>
      <c r="H4601">
        <v>-0.05</v>
      </c>
      <c r="I4601">
        <v>1.1745909999999999</v>
      </c>
      <c r="J4601">
        <v>-304.17169999999999</v>
      </c>
      <c r="K4601">
        <v>1.053426</v>
      </c>
      <c r="L4601">
        <v>9.9958799999999997</v>
      </c>
      <c r="M4601">
        <v>0.73815850000000005</v>
      </c>
      <c r="N4601">
        <v>-1.412791E-2</v>
      </c>
      <c r="O4601">
        <v>-0.67447950000000001</v>
      </c>
      <c r="P4601">
        <v>0.35422150000000002</v>
      </c>
      <c r="Q4601">
        <v>0.1583782</v>
      </c>
      <c r="R4601">
        <v>-0.92165300000000006</v>
      </c>
      <c r="S4601">
        <v>0.51544190000000001</v>
      </c>
      <c r="T4601">
        <v>-0.3810694</v>
      </c>
      <c r="U4601">
        <v>-3.1312869999999999</v>
      </c>
      <c r="V4601">
        <v>0.44810299999999997</v>
      </c>
      <c r="W4601">
        <v>0.15255189999999999</v>
      </c>
      <c r="X4601">
        <v>0.88086969999999998</v>
      </c>
      <c r="Y4601">
        <v>0.61759439999999999</v>
      </c>
      <c r="Z4601">
        <v>3.7008439999999997E-2</v>
      </c>
      <c r="AA4601">
        <v>0.78562559999999904</v>
      </c>
      <c r="AB4601">
        <v>34</v>
      </c>
      <c r="AC4601">
        <v>1.2339</v>
      </c>
      <c r="AD4601">
        <v>-1.103426</v>
      </c>
      <c r="AE4601">
        <v>-8.8212890000000002</v>
      </c>
      <c r="AF4601">
        <v>5.5939879107530404</v>
      </c>
      <c r="AG4601">
        <v>-1.103426</v>
      </c>
      <c r="AH4601">
        <v>6.75757204014438</v>
      </c>
      <c r="AI4601">
        <v>97.169116585223193</v>
      </c>
      <c r="AJ4601">
        <v>50.381691337435498</v>
      </c>
      <c r="AK4601">
        <v>8.8416644112332303</v>
      </c>
      <c r="AL4601">
        <v>81.225157180313005</v>
      </c>
      <c r="AM4601">
        <v>63.037322658919202</v>
      </c>
      <c r="AN4601">
        <v>0.99999990459034505</v>
      </c>
    </row>
    <row r="4602" spans="1:40" x14ac:dyDescent="0.25">
      <c r="A4602" t="str">
        <f>"20190303162646079"</f>
        <v>20190303162646079</v>
      </c>
      <c r="B4602" t="str">
        <f>"1551601606068594"</f>
        <v>1551601606068594</v>
      </c>
      <c r="C4602" t="s">
        <v>40</v>
      </c>
      <c r="D4602">
        <v>6.5143069999999996</v>
      </c>
      <c r="E4602">
        <v>0.58800039999999998</v>
      </c>
      <c r="F4602" t="s">
        <v>44</v>
      </c>
      <c r="G4602">
        <v>-302.75099999999998</v>
      </c>
      <c r="H4602">
        <v>-0.05</v>
      </c>
      <c r="I4602">
        <v>0.58346560000000003</v>
      </c>
      <c r="J4602">
        <v>-303.9058</v>
      </c>
      <c r="K4602">
        <v>1.053307</v>
      </c>
      <c r="L4602">
        <v>9.732208</v>
      </c>
      <c r="M4602">
        <v>0.72396669999999996</v>
      </c>
      <c r="N4602">
        <v>-1.415928E-2</v>
      </c>
      <c r="O4602">
        <v>-0.68968980000000002</v>
      </c>
      <c r="P4602">
        <v>0.33645340000000001</v>
      </c>
      <c r="Q4602">
        <v>0.16135859999999999</v>
      </c>
      <c r="R4602">
        <v>-0.92777310000000002</v>
      </c>
      <c r="S4602">
        <v>0.4733887</v>
      </c>
      <c r="T4602">
        <v>-0.36767080000000002</v>
      </c>
      <c r="U4602">
        <v>-3.1362920000000001</v>
      </c>
      <c r="V4602">
        <v>0.44648979999999999</v>
      </c>
      <c r="W4602">
        <v>0.15551029999999999</v>
      </c>
      <c r="X4602">
        <v>0.88117160000000005</v>
      </c>
      <c r="Y4602">
        <v>0.61182590000000003</v>
      </c>
      <c r="Z4602">
        <v>3.7811589999999999E-2</v>
      </c>
      <c r="AA4602">
        <v>0.79008819999999902</v>
      </c>
      <c r="AB4602">
        <v>34</v>
      </c>
      <c r="AC4602">
        <v>1.15480000000002</v>
      </c>
      <c r="AD4602">
        <v>-1.103307</v>
      </c>
      <c r="AE4602">
        <v>-9.1487423999999997</v>
      </c>
      <c r="AF4602">
        <v>5.7452683200946097</v>
      </c>
      <c r="AG4602">
        <v>-1.103307</v>
      </c>
      <c r="AH4602">
        <v>7.0456843182258204</v>
      </c>
      <c r="AI4602">
        <v>96.919576589476904</v>
      </c>
      <c r="AJ4602">
        <v>50.805135938173002</v>
      </c>
      <c r="AK4602">
        <v>9.1578961513125403</v>
      </c>
      <c r="AL4602">
        <v>81.053606755964296</v>
      </c>
      <c r="AM4602">
        <v>63.128659429440397</v>
      </c>
      <c r="AN4602">
        <v>0.99999999177834498</v>
      </c>
    </row>
    <row r="4603" spans="1:40" x14ac:dyDescent="0.25">
      <c r="A4603" t="str">
        <f>"20190303162646101"</f>
        <v>20190303162646101</v>
      </c>
      <c r="B4603" t="str">
        <f>"1551601606088114"</f>
        <v>1551601606088114</v>
      </c>
      <c r="C4603" t="s">
        <v>40</v>
      </c>
      <c r="D4603">
        <v>5.531034</v>
      </c>
      <c r="E4603">
        <v>0.58764110000000003</v>
      </c>
      <c r="F4603" t="s">
        <v>44</v>
      </c>
      <c r="G4603">
        <v>-302.61160000000001</v>
      </c>
      <c r="H4603">
        <v>-0.05</v>
      </c>
      <c r="I4603">
        <v>0.1019897</v>
      </c>
      <c r="J4603">
        <v>-303.66559999999998</v>
      </c>
      <c r="K4603">
        <v>1.0532060000000001</v>
      </c>
      <c r="L4603">
        <v>9.4836120000000008</v>
      </c>
      <c r="M4603">
        <v>0.71052789999999999</v>
      </c>
      <c r="N4603">
        <v>-1.418793E-2</v>
      </c>
      <c r="O4603">
        <v>-0.70352630000000005</v>
      </c>
      <c r="P4603">
        <v>0.31929150000000001</v>
      </c>
      <c r="Q4603">
        <v>0.1638715</v>
      </c>
      <c r="R4603">
        <v>-0.93338089999999996</v>
      </c>
      <c r="S4603">
        <v>0.42239379999999999</v>
      </c>
      <c r="T4603">
        <v>-0.36008499999999999</v>
      </c>
      <c r="U4603">
        <v>-3.143005</v>
      </c>
      <c r="V4603">
        <v>0.44556849999999998</v>
      </c>
      <c r="W4603">
        <v>0.15798409999999999</v>
      </c>
      <c r="X4603">
        <v>0.88119789999999998</v>
      </c>
      <c r="Y4603">
        <v>0.60945640000000001</v>
      </c>
      <c r="Z4603">
        <v>3.8848750000000001E-2</v>
      </c>
      <c r="AA4603">
        <v>0.79186730000000005</v>
      </c>
      <c r="AB4603">
        <v>34</v>
      </c>
      <c r="AC4603">
        <v>1.0539999999999701</v>
      </c>
      <c r="AD4603">
        <v>-1.1032059999999999</v>
      </c>
      <c r="AE4603">
        <v>-9.3816222999999894</v>
      </c>
      <c r="AF4603">
        <v>5.8451636378168299</v>
      </c>
      <c r="AG4603">
        <v>-1.1032059999999999</v>
      </c>
      <c r="AH4603">
        <v>7.2508382010214696</v>
      </c>
      <c r="AI4603">
        <v>96.755369276867896</v>
      </c>
      <c r="AJ4603">
        <v>51.126453143883403</v>
      </c>
      <c r="AK4603">
        <v>9.3785743078937305</v>
      </c>
      <c r="AL4603">
        <v>80.910094513991098</v>
      </c>
      <c r="AM4603">
        <v>63.177034944618001</v>
      </c>
      <c r="AN4603">
        <v>1.0000000015047299</v>
      </c>
    </row>
    <row r="4604" spans="1:40" x14ac:dyDescent="0.25">
      <c r="A4604" t="str">
        <f>"20190303162646121"</f>
        <v>20190303162646121</v>
      </c>
      <c r="B4604" t="str">
        <f>"1551601606108610"</f>
        <v>1551601606108610</v>
      </c>
      <c r="C4604" t="s">
        <v>40</v>
      </c>
      <c r="D4604">
        <v>5.2551489999999896</v>
      </c>
      <c r="E4604">
        <v>0.58878079999999999</v>
      </c>
      <c r="F4604" t="s">
        <v>44</v>
      </c>
      <c r="G4604">
        <v>-302.5068</v>
      </c>
      <c r="H4604">
        <v>-0.05</v>
      </c>
      <c r="I4604">
        <v>-0.48797610000000002</v>
      </c>
      <c r="J4604">
        <v>-303.45049999999998</v>
      </c>
      <c r="K4604">
        <v>1.0531299999999999</v>
      </c>
      <c r="L4604">
        <v>9.2528690000000005</v>
      </c>
      <c r="M4604">
        <v>0.69799449999999996</v>
      </c>
      <c r="N4604">
        <v>-1.421276E-2</v>
      </c>
      <c r="O4604">
        <v>-0.71596219999999999</v>
      </c>
      <c r="P4604">
        <v>0.30365720000000002</v>
      </c>
      <c r="Q4604">
        <v>0.1658945</v>
      </c>
      <c r="R4604">
        <v>-0.93822810000000001</v>
      </c>
      <c r="S4604">
        <v>0.3660583</v>
      </c>
      <c r="T4604">
        <v>-0.34850940000000002</v>
      </c>
      <c r="U4604">
        <v>-3.1500849999999998</v>
      </c>
      <c r="V4604">
        <v>0.44459470000000001</v>
      </c>
      <c r="W4604">
        <v>0.1599854</v>
      </c>
      <c r="X4604">
        <v>0.88132869999999996</v>
      </c>
      <c r="Y4604">
        <v>0.60970880000000005</v>
      </c>
      <c r="Z4604">
        <v>3.885218E-2</v>
      </c>
      <c r="AA4604">
        <v>0.79167270000000001</v>
      </c>
      <c r="AB4604">
        <v>34</v>
      </c>
      <c r="AC4604">
        <v>0.943699999999978</v>
      </c>
      <c r="AD4604">
        <v>-1.1031299999999999</v>
      </c>
      <c r="AE4604">
        <v>-9.7408450999999996</v>
      </c>
      <c r="AF4604">
        <v>6.0471862460091499</v>
      </c>
      <c r="AG4604">
        <v>-1.1031299999999999</v>
      </c>
      <c r="AH4604">
        <v>7.5377709796968997</v>
      </c>
      <c r="AI4604">
        <v>96.512257445884998</v>
      </c>
      <c r="AJ4604">
        <v>51.261627131242797</v>
      </c>
      <c r="AK4604">
        <v>9.7264252751554601</v>
      </c>
      <c r="AL4604">
        <v>80.793951459256604</v>
      </c>
      <c r="AM4604">
        <v>63.230901886022203</v>
      </c>
      <c r="AN4604">
        <v>1.00000002646246</v>
      </c>
    </row>
    <row r="4605" spans="1:40" x14ac:dyDescent="0.25">
      <c r="A4605" t="str">
        <f>"20190303162646143"</f>
        <v>20190303162646143</v>
      </c>
      <c r="B4605" t="str">
        <f>"1551601606138865"</f>
        <v>1551601606138865</v>
      </c>
      <c r="C4605" t="s">
        <v>40</v>
      </c>
      <c r="D4605">
        <v>5.2941250000000002</v>
      </c>
      <c r="E4605">
        <v>0.59094820000000003</v>
      </c>
      <c r="F4605" t="s">
        <v>41</v>
      </c>
      <c r="G4605">
        <v>-301.84879999999998</v>
      </c>
      <c r="H4605" s="1">
        <v>-1.1882079999999999E-6</v>
      </c>
      <c r="I4605">
        <v>-7.9896859999999998</v>
      </c>
      <c r="J4605">
        <v>-303.21899999999999</v>
      </c>
      <c r="K4605">
        <v>1.053045</v>
      </c>
      <c r="L4605">
        <v>8.9951170000000005</v>
      </c>
      <c r="M4605">
        <v>0.68393839999999995</v>
      </c>
      <c r="N4605">
        <v>-1.423864E-2</v>
      </c>
      <c r="O4605">
        <v>-0.72940070000000001</v>
      </c>
      <c r="P4605">
        <v>0.28570200000000001</v>
      </c>
      <c r="Q4605">
        <v>0.16728959999999901</v>
      </c>
      <c r="R4605">
        <v>-0.9436042</v>
      </c>
      <c r="S4605">
        <v>0.29141240000000002</v>
      </c>
      <c r="T4605">
        <v>-0.1916051</v>
      </c>
      <c r="U4605">
        <v>-3.1370849999999999</v>
      </c>
      <c r="V4605">
        <v>0.44419229999999998</v>
      </c>
      <c r="W4605">
        <v>0.16133239999999999</v>
      </c>
      <c r="X4605">
        <v>0.88128600000000001</v>
      </c>
      <c r="Y4605">
        <v>0.61308660000000004</v>
      </c>
      <c r="Z4605">
        <v>1.6363019999999999E-2</v>
      </c>
      <c r="AA4605">
        <v>0.78984619999999905</v>
      </c>
      <c r="AB4605">
        <v>34</v>
      </c>
      <c r="AC4605">
        <v>1.3702000000000101</v>
      </c>
      <c r="AD4605">
        <v>-1.053046188208</v>
      </c>
      <c r="AE4605">
        <v>-16.984802999999999</v>
      </c>
      <c r="AF4605">
        <v>10.5778140192899</v>
      </c>
      <c r="AG4605">
        <v>-1.053046188208</v>
      </c>
      <c r="AH4605">
        <v>13.2765078076955</v>
      </c>
      <c r="AI4605">
        <v>93.549769826430307</v>
      </c>
      <c r="AJ4605">
        <v>51.454558355271502</v>
      </c>
      <c r="AK4605">
        <v>17.007783961145201</v>
      </c>
      <c r="AL4605">
        <v>80.715757858254193</v>
      </c>
      <c r="AM4605">
        <v>63.250643495152197</v>
      </c>
      <c r="AN4605">
        <v>0.99999997823252396</v>
      </c>
    </row>
    <row r="4606" spans="1:40" x14ac:dyDescent="0.25">
      <c r="A4606" t="str">
        <f>"20190303162646166"</f>
        <v>20190303162646166</v>
      </c>
      <c r="B4606" t="str">
        <f>"1551601606158385"</f>
        <v>1551601606158385</v>
      </c>
      <c r="C4606" t="s">
        <v>40</v>
      </c>
      <c r="D4606">
        <v>5.2964710000000004</v>
      </c>
      <c r="E4606">
        <v>0.59107180000000004</v>
      </c>
      <c r="F4606" t="s">
        <v>41</v>
      </c>
      <c r="G4606">
        <v>-301.64409999999998</v>
      </c>
      <c r="H4606" s="1">
        <v>-2.999345E-6</v>
      </c>
      <c r="I4606">
        <v>-14.439030000000001</v>
      </c>
      <c r="J4606">
        <v>-302.99889999999999</v>
      </c>
      <c r="K4606">
        <v>1.05297</v>
      </c>
      <c r="L4606">
        <v>8.7403870000000001</v>
      </c>
      <c r="M4606">
        <v>0.66999180000000003</v>
      </c>
      <c r="N4606">
        <v>-1.426212E-2</v>
      </c>
      <c r="O4606">
        <v>-0.74223149999999904</v>
      </c>
      <c r="P4606">
        <v>0.26738489999999998</v>
      </c>
      <c r="Q4606">
        <v>0.16866329999999999</v>
      </c>
      <c r="R4606">
        <v>-0.94871430000000001</v>
      </c>
      <c r="S4606">
        <v>0.21105960000000001</v>
      </c>
      <c r="T4606">
        <v>-0.14111899999999999</v>
      </c>
      <c r="U4606">
        <v>-3.1404109999999998</v>
      </c>
      <c r="V4606">
        <v>0.44447320000000001</v>
      </c>
      <c r="W4606">
        <v>0.16263150000000001</v>
      </c>
      <c r="X4606">
        <v>0.88090550000000001</v>
      </c>
      <c r="Y4606">
        <v>0.61840119999999998</v>
      </c>
      <c r="Z4606">
        <v>8.9705289999999997E-3</v>
      </c>
      <c r="AA4606">
        <v>0.78581140000000005</v>
      </c>
      <c r="AB4606">
        <v>34</v>
      </c>
      <c r="AC4606">
        <v>1.35480000000001</v>
      </c>
      <c r="AD4606">
        <v>-1.0529729993449899</v>
      </c>
      <c r="AE4606">
        <v>-23.179417000000001</v>
      </c>
      <c r="AF4606">
        <v>14.496108764488699</v>
      </c>
      <c r="AG4606">
        <v>-1.0529729993449899</v>
      </c>
      <c r="AH4606">
        <v>18.0768637755173</v>
      </c>
      <c r="AI4606">
        <v>92.601898615119694</v>
      </c>
      <c r="AJ4606">
        <v>51.2733498509917</v>
      </c>
      <c r="AK4606">
        <v>23.1952349720335</v>
      </c>
      <c r="AL4606">
        <v>80.640328642151701</v>
      </c>
      <c r="AM4606">
        <v>63.2261327539495</v>
      </c>
      <c r="AN4606">
        <v>0.99999996512036904</v>
      </c>
    </row>
    <row r="4607" spans="1:40" x14ac:dyDescent="0.25">
      <c r="A4607" t="str">
        <f>"20190303162646187"</f>
        <v>20190303162646187</v>
      </c>
      <c r="B4607" t="str">
        <f>"1551601606178882"</f>
        <v>1551601606178882</v>
      </c>
      <c r="C4607" t="s">
        <v>40</v>
      </c>
      <c r="D4607">
        <v>5.2978550000000002</v>
      </c>
      <c r="E4607">
        <v>0.59016449999999998</v>
      </c>
      <c r="F4607" t="s">
        <v>41</v>
      </c>
      <c r="G4607">
        <v>-301.80590000000001</v>
      </c>
      <c r="H4607" s="1">
        <v>-2.2852390000000002E-6</v>
      </c>
      <c r="I4607">
        <v>-16.20402</v>
      </c>
      <c r="J4607">
        <v>-302.78320000000002</v>
      </c>
      <c r="K4607">
        <v>1.0528919999999999</v>
      </c>
      <c r="L4607">
        <v>8.4812320000000003</v>
      </c>
      <c r="M4607">
        <v>0.65575269999999997</v>
      </c>
      <c r="N4607">
        <v>-1.428389E-2</v>
      </c>
      <c r="O4607">
        <v>-0.75484069999999903</v>
      </c>
      <c r="P4607">
        <v>0.24898139999999999</v>
      </c>
      <c r="Q4607">
        <v>0.16902679999999901</v>
      </c>
      <c r="R4607">
        <v>-0.95364490000000002</v>
      </c>
      <c r="S4607">
        <v>0.15032960000000001</v>
      </c>
      <c r="T4607">
        <v>-0.13269159999999999</v>
      </c>
      <c r="U4607">
        <v>-3.143402</v>
      </c>
      <c r="V4607">
        <v>0.44476060000000001</v>
      </c>
      <c r="W4607">
        <v>0.16292879999999901</v>
      </c>
      <c r="X4607">
        <v>0.88070550000000003</v>
      </c>
      <c r="Y4607">
        <v>0.61866119999999902</v>
      </c>
      <c r="Z4607">
        <v>8.2111949999999993E-3</v>
      </c>
      <c r="AA4607">
        <v>0.78561499999999995</v>
      </c>
      <c r="AB4607">
        <v>34</v>
      </c>
      <c r="AC4607">
        <v>0.97730000000001305</v>
      </c>
      <c r="AD4607">
        <v>-1.052894285239</v>
      </c>
      <c r="AE4607">
        <v>-24.685251999999998</v>
      </c>
      <c r="AF4607">
        <v>15.4232752676725</v>
      </c>
      <c r="AG4607">
        <v>-1.052894285239</v>
      </c>
      <c r="AH4607">
        <v>19.241315319096302</v>
      </c>
      <c r="AI4607">
        <v>92.444861077401697</v>
      </c>
      <c r="AJ4607">
        <v>51.285357861783403</v>
      </c>
      <c r="AK4607">
        <v>24.682265324867998</v>
      </c>
      <c r="AL4607">
        <v>80.623064495842002</v>
      </c>
      <c r="AM4607">
        <v>63.206000306367997</v>
      </c>
      <c r="AN4607">
        <v>0.99999998145602398</v>
      </c>
    </row>
    <row r="4608" spans="1:40" x14ac:dyDescent="0.25">
      <c r="A4608" t="str">
        <f>"20190303162646210"</f>
        <v>20190303162646210</v>
      </c>
      <c r="B4608" t="str">
        <f>"1551601606198402"</f>
        <v>1551601606198402</v>
      </c>
      <c r="C4608" t="s">
        <v>40</v>
      </c>
      <c r="D4608">
        <v>5.3100399999999999</v>
      </c>
      <c r="E4608">
        <v>0.58727589999999996</v>
      </c>
      <c r="F4608" t="s">
        <v>41</v>
      </c>
      <c r="G4608">
        <v>-302.00760000000002</v>
      </c>
      <c r="H4608" s="1">
        <v>-2.064803E-6</v>
      </c>
      <c r="I4608">
        <v>-16.842960000000001</v>
      </c>
      <c r="J4608">
        <v>-302.56880000000001</v>
      </c>
      <c r="K4608">
        <v>1.052805</v>
      </c>
      <c r="L4608">
        <v>8.2134400000000003</v>
      </c>
      <c r="M4608">
        <v>0.64099450000000002</v>
      </c>
      <c r="N4608">
        <v>-1.430409E-2</v>
      </c>
      <c r="O4608">
        <v>-0.76741239999999999</v>
      </c>
      <c r="P4608">
        <v>0.2309524</v>
      </c>
      <c r="Q4608">
        <v>0.16681770000000001</v>
      </c>
      <c r="R4608">
        <v>-0.95855800000000002</v>
      </c>
      <c r="S4608">
        <v>9.6282960000000001E-2</v>
      </c>
      <c r="T4608">
        <v>-0.13071099999999999</v>
      </c>
      <c r="U4608">
        <v>-3.1438600000000001</v>
      </c>
      <c r="V4608">
        <v>0.44447300000000001</v>
      </c>
      <c r="W4608">
        <v>0.1606899</v>
      </c>
      <c r="X4608">
        <v>0.88126179999999998</v>
      </c>
      <c r="Y4608">
        <v>0.61692769999999997</v>
      </c>
      <c r="Z4608">
        <v>8.5433230000000002E-3</v>
      </c>
      <c r="AA4608">
        <v>0.78697340000000005</v>
      </c>
      <c r="AB4608">
        <v>34</v>
      </c>
      <c r="AC4608">
        <v>0.56119999999998504</v>
      </c>
      <c r="AD4608">
        <v>-1.0528070648029999</v>
      </c>
      <c r="AE4608">
        <v>-25.0564</v>
      </c>
      <c r="AF4608">
        <v>15.6044040295667</v>
      </c>
      <c r="AG4608">
        <v>-1.0528070648029999</v>
      </c>
      <c r="AH4608">
        <v>19.555811148764398</v>
      </c>
      <c r="AI4608">
        <v>92.409646658488697</v>
      </c>
      <c r="AJ4608">
        <v>51.412161440180697</v>
      </c>
      <c r="AK4608">
        <v>25.0406784556608</v>
      </c>
      <c r="AL4608">
        <v>80.753056568123696</v>
      </c>
      <c r="AM4608">
        <v>63.235460319009803</v>
      </c>
      <c r="AN4608">
        <v>0.99999992591512199</v>
      </c>
    </row>
    <row r="4609" spans="1:40" x14ac:dyDescent="0.25">
      <c r="A4609" t="str">
        <f>"20190303162646232"</f>
        <v>20190303162646232</v>
      </c>
      <c r="B4609" t="str">
        <f>"1551601606228659"</f>
        <v>1551601606228659</v>
      </c>
      <c r="C4609" t="s">
        <v>40</v>
      </c>
      <c r="D4609">
        <v>5.3177219999999998</v>
      </c>
      <c r="E4609">
        <v>0.58349640000000003</v>
      </c>
      <c r="F4609" t="s">
        <v>41</v>
      </c>
      <c r="G4609">
        <v>-302.13909999999998</v>
      </c>
      <c r="H4609" s="1">
        <v>-2.801469E-6</v>
      </c>
      <c r="I4609">
        <v>-15.20734</v>
      </c>
      <c r="J4609">
        <v>-302.35059999999999</v>
      </c>
      <c r="K4609">
        <v>1.052724</v>
      </c>
      <c r="L4609">
        <v>7.9297789999999901</v>
      </c>
      <c r="M4609">
        <v>0.62531729999999996</v>
      </c>
      <c r="N4609">
        <v>-1.4323000000000001E-2</v>
      </c>
      <c r="O4609">
        <v>-0.78023920000000002</v>
      </c>
      <c r="P4609">
        <v>0.21150369999999999</v>
      </c>
      <c r="Q4609">
        <v>0.1647112</v>
      </c>
      <c r="R4609">
        <v>-0.96339859999999999</v>
      </c>
      <c r="S4609">
        <v>5.7617189999999999E-2</v>
      </c>
      <c r="T4609">
        <v>-0.14116600000000001</v>
      </c>
      <c r="U4609">
        <v>-3.1403810000000001</v>
      </c>
      <c r="V4609">
        <v>0.44461800000000001</v>
      </c>
      <c r="W4609">
        <v>0.1585355</v>
      </c>
      <c r="X4609">
        <v>0.88157890000000005</v>
      </c>
      <c r="Y4609">
        <v>0.61060509999999901</v>
      </c>
      <c r="Z4609">
        <v>1.125054E-2</v>
      </c>
      <c r="AA4609">
        <v>0.79185530000000004</v>
      </c>
      <c r="AB4609">
        <v>34</v>
      </c>
      <c r="AC4609">
        <v>0.21149999999999999</v>
      </c>
      <c r="AD4609">
        <v>-1.0527268014690001</v>
      </c>
      <c r="AE4609">
        <v>-23.137118999999998</v>
      </c>
      <c r="AF4609">
        <v>14.274937402906399</v>
      </c>
      <c r="AG4609">
        <v>-1.0527268014690001</v>
      </c>
      <c r="AH4609">
        <v>18.1490376014569</v>
      </c>
      <c r="AI4609">
        <v>92.610407581968005</v>
      </c>
      <c r="AJ4609">
        <v>51.813546505465297</v>
      </c>
      <c r="AK4609">
        <v>23.114273456774001</v>
      </c>
      <c r="AL4609">
        <v>80.878098502982198</v>
      </c>
      <c r="AM4609">
        <v>63.236234010373003</v>
      </c>
      <c r="AN4609">
        <v>1.00000001380472</v>
      </c>
    </row>
    <row r="4610" spans="1:40" x14ac:dyDescent="0.25">
      <c r="A4610" t="str">
        <f>"20190303162646255"</f>
        <v>20190303162646255</v>
      </c>
      <c r="B4610" t="str">
        <f>"1551601606248179"</f>
        <v>1551601606248179</v>
      </c>
      <c r="C4610" t="s">
        <v>40</v>
      </c>
      <c r="D4610">
        <v>5.3440279999999998</v>
      </c>
      <c r="E4610">
        <v>0.58137329999999998</v>
      </c>
      <c r="F4610" t="s">
        <v>41</v>
      </c>
      <c r="G4610">
        <v>-302.18959999999998</v>
      </c>
      <c r="H4610" s="1">
        <v>-3.4033219999999999E-6</v>
      </c>
      <c r="I4610">
        <v>-13.835710000000001</v>
      </c>
      <c r="J4610">
        <v>-302.14240000000001</v>
      </c>
      <c r="K4610">
        <v>1.052648</v>
      </c>
      <c r="L4610">
        <v>7.6476439999999997</v>
      </c>
      <c r="M4610">
        <v>0.60968120000000003</v>
      </c>
      <c r="N4610">
        <v>-1.433939E-2</v>
      </c>
      <c r="O4610">
        <v>-0.79251709999999997</v>
      </c>
      <c r="P4610">
        <v>0.19074369999999999</v>
      </c>
      <c r="Q4610">
        <v>0.1639101</v>
      </c>
      <c r="R4610">
        <v>-0.96785880000000002</v>
      </c>
      <c r="S4610">
        <v>2.319336E-2</v>
      </c>
      <c r="T4610">
        <v>-0.15162010000000001</v>
      </c>
      <c r="U4610">
        <v>-3.1347960000000001</v>
      </c>
      <c r="V4610">
        <v>0.44611329999999999</v>
      </c>
      <c r="W4610">
        <v>0.15762300000000001</v>
      </c>
      <c r="X4610">
        <v>0.88098690000000002</v>
      </c>
      <c r="Y4610">
        <v>0.60348760000000001</v>
      </c>
      <c r="Z4610">
        <v>1.4112929999999999E-2</v>
      </c>
      <c r="AA4610">
        <v>0.7972475</v>
      </c>
      <c r="AB4610">
        <v>34</v>
      </c>
      <c r="AC4610">
        <v>-4.7199999999975199E-2</v>
      </c>
      <c r="AD4610">
        <v>-1.052651403322</v>
      </c>
      <c r="AE4610">
        <v>-21.483353999999999</v>
      </c>
      <c r="AF4610">
        <v>13.1052899171747</v>
      </c>
      <c r="AG4610">
        <v>-1.052651403322</v>
      </c>
      <c r="AH4610">
        <v>16.9581811706576</v>
      </c>
      <c r="AI4610">
        <v>92.811879018185294</v>
      </c>
      <c r="AJ4610">
        <v>52.3031346717394</v>
      </c>
      <c r="AK4610">
        <v>21.457786638117302</v>
      </c>
      <c r="AL4610">
        <v>80.931046544892794</v>
      </c>
      <c r="AM4610">
        <v>63.143301898734897</v>
      </c>
      <c r="AN4610">
        <v>1.0000000022687401</v>
      </c>
    </row>
    <row r="4611" spans="1:40" x14ac:dyDescent="0.25">
      <c r="A4611" t="str">
        <f>"20190303162646284"</f>
        <v>20190303162646284</v>
      </c>
      <c r="B4611" t="str">
        <f>"1551601606278434"</f>
        <v>1551601606278434</v>
      </c>
      <c r="C4611" t="s">
        <v>40</v>
      </c>
      <c r="D4611">
        <v>5.3245329999999997</v>
      </c>
      <c r="E4611">
        <v>0.56346399999999996</v>
      </c>
      <c r="F4611" t="s">
        <v>41</v>
      </c>
      <c r="G4611">
        <v>-302.3168</v>
      </c>
      <c r="H4611" s="1">
        <v>-3.8279030000000001E-6</v>
      </c>
      <c r="I4611">
        <v>-12.92488</v>
      </c>
      <c r="J4611">
        <v>-301.89620000000002</v>
      </c>
      <c r="K4611">
        <v>1.0525709999999999</v>
      </c>
      <c r="L4611">
        <v>7.2975459999999996</v>
      </c>
      <c r="M4611">
        <v>0.59024860000000001</v>
      </c>
      <c r="N4611">
        <v>-1.4356870000000001E-2</v>
      </c>
      <c r="O4611">
        <v>-0.80709390000000003</v>
      </c>
      <c r="P4611">
        <v>0.16484079999999901</v>
      </c>
      <c r="Q4611">
        <v>0.16211709999999999</v>
      </c>
      <c r="R4611">
        <v>-0.97290589999999999</v>
      </c>
      <c r="S4611">
        <v>-2.6550290000000001E-2</v>
      </c>
      <c r="T4611">
        <v>-0.16025710000000001</v>
      </c>
      <c r="U4611">
        <v>-3.1319889999999999</v>
      </c>
      <c r="V4611">
        <v>0.44835130000000001</v>
      </c>
      <c r="W4611">
        <v>0.15568080000000001</v>
      </c>
      <c r="X4611">
        <v>0.88019579999999997</v>
      </c>
      <c r="Y4611">
        <v>0.59674130000000003</v>
      </c>
      <c r="Z4611">
        <v>1.6882129999999999E-2</v>
      </c>
      <c r="AA4611">
        <v>0.80225619999999997</v>
      </c>
      <c r="AB4611">
        <v>34</v>
      </c>
      <c r="AC4611">
        <v>-0.42059999999997899</v>
      </c>
      <c r="AD4611">
        <v>-1.0525748279029901</v>
      </c>
      <c r="AE4611">
        <v>-20.222425999999999</v>
      </c>
      <c r="AF4611">
        <v>12.2438305694267</v>
      </c>
      <c r="AG4611">
        <v>-1.0525748279029901</v>
      </c>
      <c r="AH4611">
        <v>16.031380835707999</v>
      </c>
      <c r="AI4611">
        <v>92.986958874246099</v>
      </c>
      <c r="AJ4611">
        <v>52.629526392868499</v>
      </c>
      <c r="AK4611">
        <v>20.199615646855001</v>
      </c>
      <c r="AL4611">
        <v>81.043717663350904</v>
      </c>
      <c r="AM4611">
        <v>63.006763013575501</v>
      </c>
      <c r="AN4611">
        <v>1.0000000230189801</v>
      </c>
    </row>
    <row r="4612" spans="1:40" x14ac:dyDescent="0.25">
      <c r="A4612" t="str">
        <f>"20190303162646322"</f>
        <v>20190303162646322</v>
      </c>
      <c r="B4612" t="str">
        <f>"1551601606308690"</f>
        <v>1551601606308690</v>
      </c>
      <c r="C4612" t="s">
        <v>40</v>
      </c>
      <c r="D4612">
        <v>5.5061749999999998</v>
      </c>
      <c r="E4612">
        <v>0.56188199999999999</v>
      </c>
      <c r="F4612" t="s">
        <v>41</v>
      </c>
      <c r="G4612">
        <v>-301.71440000000001</v>
      </c>
      <c r="H4612" s="1">
        <v>-4.5477030000000004E-6</v>
      </c>
      <c r="I4612">
        <v>-10.54322</v>
      </c>
      <c r="J4612">
        <v>-301.56540000000001</v>
      </c>
      <c r="K4612">
        <v>1.052478</v>
      </c>
      <c r="L4612">
        <v>6.7973020000000002</v>
      </c>
      <c r="M4612">
        <v>0.56239919999999899</v>
      </c>
      <c r="N4612">
        <v>-1.437719E-2</v>
      </c>
      <c r="O4612">
        <v>-0.82674099999999995</v>
      </c>
      <c r="P4612">
        <v>0.13069939999999999</v>
      </c>
      <c r="Q4612">
        <v>0.15620100000000001</v>
      </c>
      <c r="R4612">
        <v>-0.97904029999999997</v>
      </c>
      <c r="S4612">
        <v>3.1677249999999997E-2</v>
      </c>
      <c r="T4612">
        <v>-0.1834102</v>
      </c>
      <c r="U4612">
        <v>-3.1087340000000001</v>
      </c>
      <c r="V4612">
        <v>0.44946199999999997</v>
      </c>
      <c r="W4612">
        <v>0.149671</v>
      </c>
      <c r="X4612">
        <v>0.8806716</v>
      </c>
      <c r="Y4612">
        <v>0.55360279999999995</v>
      </c>
      <c r="Z4612">
        <v>2.4383309999999998E-2</v>
      </c>
      <c r="AA4612">
        <v>0.83242380000000005</v>
      </c>
      <c r="AB4612">
        <v>34</v>
      </c>
      <c r="AC4612">
        <v>-0.14899999999999999</v>
      </c>
      <c r="AD4612">
        <v>-1.052482547703</v>
      </c>
      <c r="AE4612">
        <v>-17.340522</v>
      </c>
      <c r="AF4612">
        <v>9.8402520755898006</v>
      </c>
      <c r="AG4612">
        <v>-1.052482547703</v>
      </c>
      <c r="AH4612">
        <v>14.201481812173</v>
      </c>
      <c r="AI4612">
        <v>93.485939433477995</v>
      </c>
      <c r="AJ4612">
        <v>55.281788042472101</v>
      </c>
      <c r="AK4612">
        <v>17.309545519332602</v>
      </c>
      <c r="AL4612">
        <v>81.392138831994004</v>
      </c>
      <c r="AM4612">
        <v>62.961925814746202</v>
      </c>
      <c r="AN4612">
        <v>0.99999998236577903</v>
      </c>
    </row>
    <row r="4613" spans="1:40" x14ac:dyDescent="0.25">
      <c r="A4613" t="str">
        <f>"20190303162646345"</f>
        <v>20190303162646345</v>
      </c>
      <c r="B4613" t="str">
        <f>"1551601606337970"</f>
        <v>1551601606337970</v>
      </c>
      <c r="C4613" t="s">
        <v>40</v>
      </c>
      <c r="D4613">
        <v>5.3863329999999996</v>
      </c>
      <c r="E4613">
        <v>0.56023780000000001</v>
      </c>
      <c r="F4613" t="s">
        <v>41</v>
      </c>
      <c r="G4613">
        <v>-301.94310000000002</v>
      </c>
      <c r="H4613" s="1">
        <v>-4.5379539999999996E-6</v>
      </c>
      <c r="I4613">
        <v>-10.69106</v>
      </c>
      <c r="J4613">
        <v>-301.37130000000002</v>
      </c>
      <c r="K4613">
        <v>1.052438</v>
      </c>
      <c r="L4613">
        <v>6.4849240000000004</v>
      </c>
      <c r="M4613">
        <v>0.54497640000000003</v>
      </c>
      <c r="N4613">
        <v>-1.438766E-2</v>
      </c>
      <c r="O4613">
        <v>-0.83832799999999996</v>
      </c>
      <c r="P4613">
        <v>0.111614</v>
      </c>
      <c r="Q4613">
        <v>0.15579399999999999</v>
      </c>
      <c r="R4613">
        <v>-0.9814638</v>
      </c>
      <c r="S4613">
        <v>-6.7016599999999996E-2</v>
      </c>
      <c r="T4613">
        <v>-0.1867424</v>
      </c>
      <c r="U4613">
        <v>-3.1029659999999999</v>
      </c>
      <c r="V4613">
        <v>0.44820599999999999</v>
      </c>
      <c r="W4613">
        <v>0.1493042</v>
      </c>
      <c r="X4613">
        <v>0.88137369999999904</v>
      </c>
      <c r="Y4613">
        <v>0.56258609999999998</v>
      </c>
      <c r="Z4613">
        <v>2.5821500000000001E-2</v>
      </c>
      <c r="AA4613">
        <v>0.82633539999999905</v>
      </c>
      <c r="AB4613">
        <v>34</v>
      </c>
      <c r="AC4613">
        <v>-0.57179999999999598</v>
      </c>
      <c r="AD4613">
        <v>-1.0524425379539999</v>
      </c>
      <c r="AE4613">
        <v>-17.175984</v>
      </c>
      <c r="AF4613">
        <v>9.8041110034879608</v>
      </c>
      <c r="AG4613">
        <v>-1.0524425379539999</v>
      </c>
      <c r="AH4613">
        <v>14.0363071533218</v>
      </c>
      <c r="AI4613">
        <v>93.517535432659898</v>
      </c>
      <c r="AJ4613">
        <v>55.0663853848286</v>
      </c>
      <c r="AK4613">
        <v>17.1536044715623</v>
      </c>
      <c r="AL4613">
        <v>81.413393739779096</v>
      </c>
      <c r="AM4613">
        <v>63.045244619265503</v>
      </c>
      <c r="AN4613">
        <v>0.99999998081266395</v>
      </c>
    </row>
    <row r="4614" spans="1:40" x14ac:dyDescent="0.25">
      <c r="A4614" t="str">
        <f>"20190303162646370"</f>
        <v>20190303162646370</v>
      </c>
      <c r="B4614" t="str">
        <f>"1551601606358467"</f>
        <v>1551601606358467</v>
      </c>
      <c r="C4614" t="s">
        <v>40</v>
      </c>
      <c r="D4614">
        <v>5.4317310000000001</v>
      </c>
      <c r="E4614">
        <v>0.55932329999999997</v>
      </c>
      <c r="F4614" t="s">
        <v>41</v>
      </c>
      <c r="G4614">
        <v>-302.06630000000001</v>
      </c>
      <c r="H4614" s="1">
        <v>-4.0872800000000001E-6</v>
      </c>
      <c r="I4614">
        <v>-12.07958</v>
      </c>
      <c r="J4614">
        <v>-301.18299999999999</v>
      </c>
      <c r="K4614">
        <v>1.0524070000000001</v>
      </c>
      <c r="L4614">
        <v>6.1679079999999997</v>
      </c>
      <c r="M4614">
        <v>0.52726390000000001</v>
      </c>
      <c r="N4614">
        <v>-1.439695E-2</v>
      </c>
      <c r="O4614">
        <v>-0.8495798</v>
      </c>
      <c r="P4614">
        <v>9.3136239999999995E-2</v>
      </c>
      <c r="Q4614">
        <v>0.1571032</v>
      </c>
      <c r="R4614">
        <v>-0.98318099999999997</v>
      </c>
      <c r="S4614">
        <v>-0.11596679999999999</v>
      </c>
      <c r="T4614">
        <v>-0.17561299999999999</v>
      </c>
      <c r="U4614">
        <v>-3.0977169999999998</v>
      </c>
      <c r="V4614">
        <v>0.44623819999999997</v>
      </c>
      <c r="W4614">
        <v>0.15069160000000001</v>
      </c>
      <c r="X4614">
        <v>0.88213580000000003</v>
      </c>
      <c r="Y4614">
        <v>0.55834249999999996</v>
      </c>
      <c r="Z4614">
        <v>2.4428910000000002E-2</v>
      </c>
      <c r="AA4614">
        <v>0.82925079999999995</v>
      </c>
      <c r="AB4614">
        <v>34</v>
      </c>
      <c r="AC4614">
        <v>-0.88330000000001896</v>
      </c>
      <c r="AD4614">
        <v>-1.0524110872800001</v>
      </c>
      <c r="AE4614">
        <v>-18.247488000000001</v>
      </c>
      <c r="AF4614">
        <v>10.338440247570199</v>
      </c>
      <c r="AG4614">
        <v>-1.0524110872800001</v>
      </c>
      <c r="AH4614">
        <v>14.988780144912001</v>
      </c>
      <c r="AI4614">
        <v>93.307902285718896</v>
      </c>
      <c r="AJ4614">
        <v>55.404213033575303</v>
      </c>
      <c r="AK4614">
        <v>18.2388170143164</v>
      </c>
      <c r="AL4614">
        <v>81.332992351597397</v>
      </c>
      <c r="AM4614">
        <v>63.166925394118898</v>
      </c>
      <c r="AN4614">
        <v>1.0000000295457101</v>
      </c>
    </row>
    <row r="4615" spans="1:40" x14ac:dyDescent="0.25">
      <c r="A4615" t="str">
        <f>"20190303162646391"</f>
        <v>20190303162646391</v>
      </c>
      <c r="B4615" t="str">
        <f>"1551601606378962"</f>
        <v>1551601606378962</v>
      </c>
      <c r="C4615" t="s">
        <v>40</v>
      </c>
      <c r="D4615">
        <v>5.4071230000000003</v>
      </c>
      <c r="E4615">
        <v>0.55826759999999997</v>
      </c>
      <c r="F4615" t="s">
        <v>41</v>
      </c>
      <c r="G4615">
        <v>-302.17869999999999</v>
      </c>
      <c r="H4615" s="1">
        <v>-4.0180999999999997E-6</v>
      </c>
      <c r="I4615">
        <v>-12.3415</v>
      </c>
      <c r="J4615">
        <v>-301.0145</v>
      </c>
      <c r="K4615">
        <v>1.0523880000000001</v>
      </c>
      <c r="L4615">
        <v>5.8706360000000002</v>
      </c>
      <c r="M4615">
        <v>0.51062839999999998</v>
      </c>
      <c r="N4615">
        <v>-1.440457E-2</v>
      </c>
      <c r="O4615">
        <v>-0.85968099999999903</v>
      </c>
      <c r="P4615">
        <v>7.6229359999999996E-2</v>
      </c>
      <c r="Q4615">
        <v>0.1575384</v>
      </c>
      <c r="R4615">
        <v>-0.98456670000000002</v>
      </c>
      <c r="S4615">
        <v>-0.16650390000000001</v>
      </c>
      <c r="T4615">
        <v>-0.17598829999999999</v>
      </c>
      <c r="U4615">
        <v>-3.095215</v>
      </c>
      <c r="V4615">
        <v>0.44421270000000002</v>
      </c>
      <c r="W4615">
        <v>0.15121299999999999</v>
      </c>
      <c r="X4615">
        <v>0.88306839999999998</v>
      </c>
      <c r="Y4615">
        <v>0.5557339</v>
      </c>
      <c r="Z4615">
        <v>2.5357109999999999E-2</v>
      </c>
      <c r="AA4615">
        <v>0.83097339999999997</v>
      </c>
      <c r="AB4615">
        <v>34</v>
      </c>
      <c r="AC4615">
        <v>-1.1641999999999899</v>
      </c>
      <c r="AD4615">
        <v>-1.0523920180999999</v>
      </c>
      <c r="AE4615">
        <v>-18.212135999999902</v>
      </c>
      <c r="AF4615">
        <v>10.2673972132797</v>
      </c>
      <c r="AG4615">
        <v>-1.0523920180999999</v>
      </c>
      <c r="AH4615">
        <v>15.013785547783099</v>
      </c>
      <c r="AI4615">
        <v>93.311400474866701</v>
      </c>
      <c r="AJ4615">
        <v>55.633155581173497</v>
      </c>
      <c r="AK4615">
        <v>18.219240680386399</v>
      </c>
      <c r="AL4615">
        <v>81.302772189444298</v>
      </c>
      <c r="AM4615">
        <v>63.296087122591203</v>
      </c>
      <c r="AN4615">
        <v>1.0000000466444201</v>
      </c>
    </row>
    <row r="4616" spans="1:40" x14ac:dyDescent="0.25">
      <c r="A4616" t="str">
        <f>"20190303162646416"</f>
        <v>20190303162646416</v>
      </c>
      <c r="B4616" t="str">
        <f>"1551601606409218"</f>
        <v>1551601606409218</v>
      </c>
      <c r="C4616" t="s">
        <v>40</v>
      </c>
      <c r="D4616">
        <v>5.4960060000000004</v>
      </c>
      <c r="E4616">
        <v>0.55623230000000001</v>
      </c>
      <c r="F4616" t="s">
        <v>41</v>
      </c>
      <c r="G4616">
        <v>-302.25940000000003</v>
      </c>
      <c r="H4616" s="1">
        <v>-4.0102969999999997E-6</v>
      </c>
      <c r="I4616">
        <v>-12.40648</v>
      </c>
      <c r="J4616">
        <v>-300.8365</v>
      </c>
      <c r="K4616">
        <v>1.0523640000000001</v>
      </c>
      <c r="L4616">
        <v>5.5419309999999999</v>
      </c>
      <c r="M4616">
        <v>0.49220619999999998</v>
      </c>
      <c r="N4616">
        <v>-1.441188E-2</v>
      </c>
      <c r="O4616">
        <v>-0.87035929999999995</v>
      </c>
      <c r="P4616">
        <v>5.8612890000000001E-2</v>
      </c>
      <c r="Q4616">
        <v>0.15713260000000001</v>
      </c>
      <c r="R4616">
        <v>-0.98583670000000001</v>
      </c>
      <c r="S4616">
        <v>-0.21060180000000001</v>
      </c>
      <c r="T4616">
        <v>-0.17802670000000001</v>
      </c>
      <c r="U4616">
        <v>-3.0918269999999999</v>
      </c>
      <c r="V4616">
        <v>0.4412121</v>
      </c>
      <c r="W4616">
        <v>0.1509452</v>
      </c>
      <c r="X4616">
        <v>0.88461710000000005</v>
      </c>
      <c r="Y4616">
        <v>0.5498769</v>
      </c>
      <c r="Z4616">
        <v>2.6815800000000001E-2</v>
      </c>
      <c r="AA4616">
        <v>0.83481510000000003</v>
      </c>
      <c r="AB4616">
        <v>34</v>
      </c>
      <c r="AC4616">
        <v>-1.42290000000002</v>
      </c>
      <c r="AD4616">
        <v>-1.0523680102969999</v>
      </c>
      <c r="AE4616">
        <v>-17.948411</v>
      </c>
      <c r="AF4616">
        <v>10.0395014227527</v>
      </c>
      <c r="AG4616">
        <v>-1.0523680102969999</v>
      </c>
      <c r="AH4616">
        <v>14.8719486038804</v>
      </c>
      <c r="AI4616">
        <v>93.3565085147752</v>
      </c>
      <c r="AJ4616">
        <v>55.978172463525702</v>
      </c>
      <c r="AK4616">
        <v>17.974257217560002</v>
      </c>
      <c r="AL4616">
        <v>81.318293687576599</v>
      </c>
      <c r="AM4616">
        <v>63.4917897756632</v>
      </c>
      <c r="AN4616">
        <v>0.99999999210093005</v>
      </c>
    </row>
    <row r="4617" spans="1:40" x14ac:dyDescent="0.25">
      <c r="A4617" t="str">
        <f>"20190303162646438"</f>
        <v>20190303162646438</v>
      </c>
      <c r="B4617" t="str">
        <f>"1551601606428739"</f>
        <v>1551601606428739</v>
      </c>
      <c r="C4617" t="s">
        <v>40</v>
      </c>
      <c r="D4617">
        <v>5.4714109999999998</v>
      </c>
      <c r="E4617">
        <v>0.55492759999999997</v>
      </c>
      <c r="F4617" t="s">
        <v>41</v>
      </c>
      <c r="G4617">
        <v>-302.2484</v>
      </c>
      <c r="H4617" s="1">
        <v>-4.1759019999999997E-6</v>
      </c>
      <c r="I4617">
        <v>-11.914070000000001</v>
      </c>
      <c r="J4617">
        <v>-300.67970000000003</v>
      </c>
      <c r="K4617">
        <v>1.052352</v>
      </c>
      <c r="L4617">
        <v>5.2372439999999996</v>
      </c>
      <c r="M4617">
        <v>0.47511249999999999</v>
      </c>
      <c r="N4617">
        <v>-1.4417839999999999E-2</v>
      </c>
      <c r="O4617">
        <v>-0.87980720000000001</v>
      </c>
      <c r="P4617">
        <v>4.420412E-2</v>
      </c>
      <c r="Q4617">
        <v>0.1585355</v>
      </c>
      <c r="R4617">
        <v>-0.98636380000000001</v>
      </c>
      <c r="S4617">
        <v>-0.24972530000000001</v>
      </c>
      <c r="T4617">
        <v>-0.1861428</v>
      </c>
      <c r="U4617">
        <v>-3.0876160000000001</v>
      </c>
      <c r="V4617">
        <v>0.43680540000000001</v>
      </c>
      <c r="W4617">
        <v>0.1525571</v>
      </c>
      <c r="X4617">
        <v>0.88652549999999997</v>
      </c>
      <c r="Y4617">
        <v>0.54413250000000002</v>
      </c>
      <c r="Z4617">
        <v>2.9657630000000001E-2</v>
      </c>
      <c r="AA4617">
        <v>0.83847490000000002</v>
      </c>
      <c r="AB4617">
        <v>34</v>
      </c>
      <c r="AC4617">
        <v>-1.56869999999997</v>
      </c>
      <c r="AD4617">
        <v>-1.0523561759019999</v>
      </c>
      <c r="AE4617">
        <v>-17.151313999999999</v>
      </c>
      <c r="AF4617">
        <v>9.4944981150694403</v>
      </c>
      <c r="AG4617">
        <v>-1.0523561759019999</v>
      </c>
      <c r="AH4617">
        <v>14.292667091737799</v>
      </c>
      <c r="AI4617">
        <v>93.509569132247194</v>
      </c>
      <c r="AJ4617">
        <v>56.404247502775299</v>
      </c>
      <c r="AK4617">
        <v>17.191081425357201</v>
      </c>
      <c r="AL4617">
        <v>81.224856948255393</v>
      </c>
      <c r="AM4617">
        <v>63.769789303822598</v>
      </c>
      <c r="AN4617">
        <v>1.0000000441899</v>
      </c>
    </row>
    <row r="4618" spans="1:40" x14ac:dyDescent="0.25">
      <c r="A4618" t="str">
        <f>"20190303162646465"</f>
        <v>20190303162646465</v>
      </c>
      <c r="B4618" t="str">
        <f>"1551601606458018"</f>
        <v>1551601606458018</v>
      </c>
      <c r="C4618" t="s">
        <v>40</v>
      </c>
      <c r="D4618">
        <v>5.4508409999999996</v>
      </c>
      <c r="E4618">
        <v>0.54046300000000003</v>
      </c>
      <c r="F4618" t="s">
        <v>41</v>
      </c>
      <c r="G4618">
        <v>-302.29750000000001</v>
      </c>
      <c r="H4618" s="1">
        <v>-4.0546610000000003E-6</v>
      </c>
      <c r="I4618">
        <v>-12.29599</v>
      </c>
      <c r="J4618">
        <v>-300.49779999999998</v>
      </c>
      <c r="K4618">
        <v>1.0523499999999999</v>
      </c>
      <c r="L4618">
        <v>4.8625489999999996</v>
      </c>
      <c r="M4618">
        <v>0.45408559999999998</v>
      </c>
      <c r="N4618">
        <v>-1.4424319999999999E-2</v>
      </c>
      <c r="O4618">
        <v>-0.89084140000000001</v>
      </c>
      <c r="P4618">
        <v>2.6019319999999999E-2</v>
      </c>
      <c r="Q4618">
        <v>0.16138129999999901</v>
      </c>
      <c r="R4618">
        <v>-0.98654940000000002</v>
      </c>
      <c r="S4618">
        <v>-0.28457640000000001</v>
      </c>
      <c r="T4618">
        <v>-0.18510280000000001</v>
      </c>
      <c r="U4618">
        <v>-3.0839840000000001</v>
      </c>
      <c r="V4618">
        <v>0.43199599999999999</v>
      </c>
      <c r="W4618">
        <v>0.1556313</v>
      </c>
      <c r="X4618">
        <v>0.88834579999999996</v>
      </c>
      <c r="Y4618">
        <v>0.53366630000000004</v>
      </c>
      <c r="Z4618">
        <v>3.0599319999999999E-2</v>
      </c>
      <c r="AA4618">
        <v>0.84514140000000004</v>
      </c>
      <c r="AB4618">
        <v>34</v>
      </c>
      <c r="AC4618">
        <v>-1.7997000000000201</v>
      </c>
      <c r="AD4618">
        <v>-1.052354054661</v>
      </c>
      <c r="AE4618">
        <v>-17.158538999999902</v>
      </c>
      <c r="AF4618">
        <v>9.3608414980336505</v>
      </c>
      <c r="AG4618">
        <v>-1.052354054661</v>
      </c>
      <c r="AH4618">
        <v>14.416186357211901</v>
      </c>
      <c r="AI4618">
        <v>93.503478507702198</v>
      </c>
      <c r="AJ4618">
        <v>57.003185239539697</v>
      </c>
      <c r="AK4618">
        <v>17.220895205927398</v>
      </c>
      <c r="AL4618">
        <v>81.0465881673844</v>
      </c>
      <c r="AM4618">
        <v>64.066687512078403</v>
      </c>
      <c r="AN4618">
        <v>0.999999952966664</v>
      </c>
    </row>
    <row r="4619" spans="1:40" x14ac:dyDescent="0.25">
      <c r="A4619" t="str">
        <f>"20190303162646501"</f>
        <v>20190303162646501</v>
      </c>
      <c r="B4619" t="str">
        <f>"1551601606488274"</f>
        <v>1551601606488274</v>
      </c>
      <c r="C4619" t="s">
        <v>40</v>
      </c>
      <c r="D4619">
        <v>5.4808680000000001</v>
      </c>
      <c r="E4619">
        <v>0.53939839999999994</v>
      </c>
      <c r="F4619" t="s">
        <v>41</v>
      </c>
      <c r="G4619">
        <v>-301.61599999999999</v>
      </c>
      <c r="H4619" s="1">
        <v>-4.5727339999999999E-6</v>
      </c>
      <c r="I4619">
        <v>-10.41835</v>
      </c>
      <c r="J4619">
        <v>-300.26580000000001</v>
      </c>
      <c r="K4619">
        <v>1.0523359999999999</v>
      </c>
      <c r="L4619">
        <v>4.3509520000000004</v>
      </c>
      <c r="M4619">
        <v>0.42531029999999997</v>
      </c>
      <c r="N4619">
        <v>-1.4431889999999999E-2</v>
      </c>
      <c r="O4619">
        <v>-0.90493250000000003</v>
      </c>
      <c r="P4619">
        <v>3.08976E-3</v>
      </c>
      <c r="Q4619">
        <v>0.1646745</v>
      </c>
      <c r="R4619">
        <v>-0.98634330000000003</v>
      </c>
      <c r="S4619">
        <v>-0.22549440000000001</v>
      </c>
      <c r="T4619">
        <v>-0.21221970000000001</v>
      </c>
      <c r="U4619">
        <v>-3.0815730000000001</v>
      </c>
      <c r="V4619">
        <v>0.42406129999999997</v>
      </c>
      <c r="W4619">
        <v>0.15930849999999999</v>
      </c>
      <c r="X4619">
        <v>0.89151150000000001</v>
      </c>
      <c r="Y4619">
        <v>0.48983500000000002</v>
      </c>
      <c r="Z4619">
        <v>3.9753499999999997E-2</v>
      </c>
      <c r="AA4619">
        <v>0.87090829999999997</v>
      </c>
      <c r="AB4619">
        <v>34</v>
      </c>
      <c r="AC4619">
        <v>-1.3501999999999701</v>
      </c>
      <c r="AD4619">
        <v>-1.0523405727339901</v>
      </c>
      <c r="AE4619">
        <v>-14.769302</v>
      </c>
      <c r="AF4619">
        <v>7.4665654847281004</v>
      </c>
      <c r="AG4619">
        <v>-1.0523405727339901</v>
      </c>
      <c r="AH4619">
        <v>12.728216500801</v>
      </c>
      <c r="AI4619">
        <v>94.079042161968005</v>
      </c>
      <c r="AJ4619">
        <v>59.603465384548898</v>
      </c>
      <c r="AK4619">
        <v>14.794070302321099</v>
      </c>
      <c r="AL4619">
        <v>80.833238338744593</v>
      </c>
      <c r="AM4619">
        <v>64.5611770618478</v>
      </c>
      <c r="AN4619">
        <v>0.99999996948109404</v>
      </c>
    </row>
    <row r="4620" spans="1:40" x14ac:dyDescent="0.25">
      <c r="A4620" t="str">
        <f>"20190303162646531"</f>
        <v>20190303162646531</v>
      </c>
      <c r="B4620" t="str">
        <f>"1551601606518531"</f>
        <v>1551601606518531</v>
      </c>
      <c r="C4620" t="s">
        <v>40</v>
      </c>
      <c r="D4620">
        <v>5.4220620000000004</v>
      </c>
      <c r="E4620">
        <v>0.53944380000000003</v>
      </c>
      <c r="F4620" t="s">
        <v>41</v>
      </c>
      <c r="G4620">
        <v>-301.72930000000002</v>
      </c>
      <c r="H4620" s="1">
        <v>-4.2859269999999996E-6</v>
      </c>
      <c r="I4620">
        <v>-11.320209999999999</v>
      </c>
      <c r="J4620">
        <v>-300.09339999999997</v>
      </c>
      <c r="K4620">
        <v>1.05233</v>
      </c>
      <c r="L4620">
        <v>3.9385680000000001</v>
      </c>
      <c r="M4620">
        <v>0.40209129999999998</v>
      </c>
      <c r="N4620">
        <v>-1.443698E-2</v>
      </c>
      <c r="O4620">
        <v>-0.91548589999999996</v>
      </c>
      <c r="P4620">
        <v>-1.6251479999999999E-2</v>
      </c>
      <c r="Q4620">
        <v>0.16546720000000001</v>
      </c>
      <c r="R4620">
        <v>-0.98608150000000006</v>
      </c>
      <c r="S4620">
        <v>-0.28735349999999998</v>
      </c>
      <c r="T4620">
        <v>-0.20662059999999999</v>
      </c>
      <c r="U4620">
        <v>-3.0769350000000002</v>
      </c>
      <c r="V4620">
        <v>0.41877239999999999</v>
      </c>
      <c r="W4620">
        <v>0.16036049999999999</v>
      </c>
      <c r="X4620">
        <v>0.89381999999999995</v>
      </c>
      <c r="Y4620">
        <v>0.48509669999999999</v>
      </c>
      <c r="Z4620">
        <v>3.9447990000000002E-2</v>
      </c>
      <c r="AA4620">
        <v>0.87357030000000002</v>
      </c>
      <c r="AB4620">
        <v>34</v>
      </c>
      <c r="AC4620">
        <v>-1.6359000000000401</v>
      </c>
      <c r="AD4620">
        <v>-1.052334285927</v>
      </c>
      <c r="AE4620">
        <v>-15.258778</v>
      </c>
      <c r="AF4620">
        <v>7.5981315927765101</v>
      </c>
      <c r="AG4620">
        <v>-1.052334285927</v>
      </c>
      <c r="AH4620">
        <v>13.250493604832901</v>
      </c>
      <c r="AI4620">
        <v>93.941182721237297</v>
      </c>
      <c r="AJ4620">
        <v>60.169069130311001</v>
      </c>
      <c r="AK4620">
        <v>15.310603904556</v>
      </c>
      <c r="AL4620">
        <v>80.772178482645998</v>
      </c>
      <c r="AM4620">
        <v>64.8959778489955</v>
      </c>
      <c r="AN4620">
        <v>1.0000000026810001</v>
      </c>
    </row>
    <row r="4621" spans="1:40" x14ac:dyDescent="0.25">
      <c r="A4621" t="str">
        <f>"20190303162646554"</f>
        <v>20190303162646554</v>
      </c>
      <c r="B4621" t="str">
        <f>"1551601606548786"</f>
        <v>1551601606548786</v>
      </c>
      <c r="C4621" t="s">
        <v>40</v>
      </c>
      <c r="D4621">
        <v>5.4155360000000003</v>
      </c>
      <c r="E4621">
        <v>0.53203699999999998</v>
      </c>
      <c r="F4621" t="s">
        <v>41</v>
      </c>
      <c r="G4621">
        <v>-301.92790000000002</v>
      </c>
      <c r="H4621" s="1">
        <v>-4.0146639999999997E-6</v>
      </c>
      <c r="I4621">
        <v>-12.22087</v>
      </c>
      <c r="J4621">
        <v>-299.96179999999998</v>
      </c>
      <c r="K4621">
        <v>1.0523340000000001</v>
      </c>
      <c r="L4621">
        <v>3.6030579999999999</v>
      </c>
      <c r="M4621">
        <v>0.3831715</v>
      </c>
      <c r="N4621">
        <v>-1.444054E-2</v>
      </c>
      <c r="O4621">
        <v>-0.92356459999999996</v>
      </c>
      <c r="P4621">
        <v>-3.017837E-2</v>
      </c>
      <c r="Q4621">
        <v>0.16727899999999901</v>
      </c>
      <c r="R4621">
        <v>-0.98544810000000005</v>
      </c>
      <c r="S4621">
        <v>-0.3485413</v>
      </c>
      <c r="T4621">
        <v>-0.19993469999999999</v>
      </c>
      <c r="U4621">
        <v>-3.07016</v>
      </c>
      <c r="V4621">
        <v>0.4129544</v>
      </c>
      <c r="W4621">
        <v>0.16245789999999999</v>
      </c>
      <c r="X4621">
        <v>0.89614519999999998</v>
      </c>
      <c r="Y4621">
        <v>0.48453049999999998</v>
      </c>
      <c r="Z4621">
        <v>3.850725E-2</v>
      </c>
      <c r="AA4621">
        <v>0.87392639999999999</v>
      </c>
      <c r="AB4621">
        <v>34</v>
      </c>
      <c r="AC4621">
        <v>-1.9661000000000399</v>
      </c>
      <c r="AD4621">
        <v>-1.052338014664</v>
      </c>
      <c r="AE4621">
        <v>-15.823928</v>
      </c>
      <c r="AF4621">
        <v>7.8457468524405902</v>
      </c>
      <c r="AG4621">
        <v>-1.052338014664</v>
      </c>
      <c r="AH4621">
        <v>13.8023932145197</v>
      </c>
      <c r="AI4621">
        <v>93.792185444002499</v>
      </c>
      <c r="AJ4621">
        <v>60.384636254042199</v>
      </c>
      <c r="AK4621">
        <v>15.911292135395801</v>
      </c>
      <c r="AL4621">
        <v>80.650410169760804</v>
      </c>
      <c r="AM4621">
        <v>65.259185922518697</v>
      </c>
      <c r="AN4621">
        <v>1.0000000626173999</v>
      </c>
    </row>
    <row r="4622" spans="1:40" x14ac:dyDescent="0.25">
      <c r="A4622" t="str">
        <f>"20190303162646602"</f>
        <v>20190303162646602</v>
      </c>
      <c r="B4622" t="str">
        <f>"1551601606588803"</f>
        <v>1551601606588803</v>
      </c>
      <c r="C4622" t="s">
        <v>40</v>
      </c>
      <c r="D4622">
        <v>5.4649190000000001</v>
      </c>
      <c r="E4622">
        <v>0.52920690000000004</v>
      </c>
      <c r="F4622" t="s">
        <v>41</v>
      </c>
      <c r="G4622">
        <v>-302.4246</v>
      </c>
      <c r="H4622" s="1">
        <v>-1.318693E-6</v>
      </c>
      <c r="I4622">
        <v>-18.84075</v>
      </c>
      <c r="J4622">
        <v>-299.71600000000001</v>
      </c>
      <c r="K4622">
        <v>1.0523450000000001</v>
      </c>
      <c r="L4622">
        <v>2.9134519999999999</v>
      </c>
      <c r="M4622">
        <v>0.34422560000000002</v>
      </c>
      <c r="N4622">
        <v>-1.444723E-2</v>
      </c>
      <c r="O4622">
        <v>-0.9387759</v>
      </c>
      <c r="P4622">
        <v>-5.0404749999999998E-2</v>
      </c>
      <c r="Q4622">
        <v>0.17141389999999901</v>
      </c>
      <c r="R4622">
        <v>-0.98390909999999998</v>
      </c>
      <c r="S4622">
        <v>-0.33560180000000001</v>
      </c>
      <c r="T4622">
        <v>-0.1434</v>
      </c>
      <c r="U4622">
        <v>-3.0583800000000001</v>
      </c>
      <c r="V4622">
        <v>0.39369720000000002</v>
      </c>
      <c r="W4622">
        <v>0.16754279999999999</v>
      </c>
      <c r="X4622">
        <v>0.9038429</v>
      </c>
      <c r="Y4622">
        <v>0.44436120000000001</v>
      </c>
      <c r="Z4622">
        <v>2.523748E-2</v>
      </c>
      <c r="AA4622">
        <v>0.89549210000000001</v>
      </c>
      <c r="AB4622">
        <v>34</v>
      </c>
      <c r="AC4622">
        <v>-2.7085999999999899</v>
      </c>
      <c r="AD4622">
        <v>-1.052346318693</v>
      </c>
      <c r="AE4622">
        <v>-21.754201999999999</v>
      </c>
      <c r="AF4622">
        <v>10.009103215336401</v>
      </c>
      <c r="AG4622">
        <v>-1.052346318693</v>
      </c>
      <c r="AH4622">
        <v>19.447170442103399</v>
      </c>
      <c r="AI4622">
        <v>92.754624942603499</v>
      </c>
      <c r="AJ4622">
        <v>62.765947573368798</v>
      </c>
      <c r="AK4622">
        <v>21.897077845090301</v>
      </c>
      <c r="AL4622">
        <v>80.355017432571898</v>
      </c>
      <c r="AM4622">
        <v>66.462952053253204</v>
      </c>
      <c r="AN4622">
        <v>1.0000000315000399</v>
      </c>
    </row>
    <row r="4623" spans="1:40" x14ac:dyDescent="0.25">
      <c r="A4623" t="str">
        <f>"20190303162646637"</f>
        <v>20190303162646637</v>
      </c>
      <c r="B4623" t="str">
        <f>"1551601606628819"</f>
        <v>1551601606628819</v>
      </c>
      <c r="C4623" t="s">
        <v>40</v>
      </c>
      <c r="D4623">
        <v>5.6170609999999996</v>
      </c>
      <c r="E4623">
        <v>0.49705510000000003</v>
      </c>
      <c r="F4623" t="s">
        <v>41</v>
      </c>
      <c r="G4623">
        <v>-302.60809999999998</v>
      </c>
      <c r="H4623" s="1">
        <v>-4.7176810000000003E-6</v>
      </c>
      <c r="I4623">
        <v>-20.50956</v>
      </c>
      <c r="J4623">
        <v>-299.5498</v>
      </c>
      <c r="K4623">
        <v>1.052354</v>
      </c>
      <c r="L4623">
        <v>2.3869630000000002</v>
      </c>
      <c r="M4623">
        <v>0.31443070000000001</v>
      </c>
      <c r="N4623">
        <v>-1.445249E-2</v>
      </c>
      <c r="O4623">
        <v>-0.94917059999999998</v>
      </c>
      <c r="P4623">
        <v>-7.2065900000000002E-2</v>
      </c>
      <c r="Q4623">
        <v>0.1736828</v>
      </c>
      <c r="R4623">
        <v>-0.98216190000000003</v>
      </c>
      <c r="S4623">
        <v>-0.37704470000000001</v>
      </c>
      <c r="T4623">
        <v>-0.13719439999999999</v>
      </c>
      <c r="U4623">
        <v>-3.0536500000000002</v>
      </c>
      <c r="V4623">
        <v>0.3850268</v>
      </c>
      <c r="W4623">
        <v>0.17023820000000001</v>
      </c>
      <c r="X4623">
        <v>0.9070686</v>
      </c>
      <c r="Y4623">
        <v>0.42818139999999999</v>
      </c>
      <c r="Z4623">
        <v>2.440438E-2</v>
      </c>
      <c r="AA4623">
        <v>0.90336320000000003</v>
      </c>
      <c r="AB4623">
        <v>34</v>
      </c>
      <c r="AC4623">
        <v>-3.0582999999999698</v>
      </c>
      <c r="AD4623">
        <v>-1.0523587176809901</v>
      </c>
      <c r="AE4623">
        <v>-22.896522999999998</v>
      </c>
      <c r="AF4623">
        <v>10.0823463301125</v>
      </c>
      <c r="AG4623">
        <v>-1.0523587176809901</v>
      </c>
      <c r="AH4623">
        <v>20.7302246841077</v>
      </c>
      <c r="AI4623">
        <v>92.613821347347795</v>
      </c>
      <c r="AJ4623">
        <v>64.063577858705003</v>
      </c>
      <c r="AK4623">
        <v>23.076034794665201</v>
      </c>
      <c r="AL4623">
        <v>80.198331834415299</v>
      </c>
      <c r="AM4623">
        <v>67.000052305986898</v>
      </c>
      <c r="AN4623">
        <v>1.0000000632817101</v>
      </c>
    </row>
    <row r="4624" spans="1:40" x14ac:dyDescent="0.25">
      <c r="A4624" t="str">
        <f>"20190303162646713"</f>
        <v>20190303162646713</v>
      </c>
      <c r="B4624" t="str">
        <f>"1551601606698114"</f>
        <v>1551601606698114</v>
      </c>
      <c r="C4624" t="s">
        <v>40</v>
      </c>
      <c r="D4624">
        <v>5.6053750000000004</v>
      </c>
      <c r="E4624">
        <v>0.49555680000000002</v>
      </c>
      <c r="F4624" t="s">
        <v>41</v>
      </c>
      <c r="G4624">
        <v>-301.3279</v>
      </c>
      <c r="H4624" s="1">
        <v>-2.1035490000000001E-6</v>
      </c>
      <c r="I4624">
        <v>-26.331029999999998</v>
      </c>
      <c r="J4624">
        <v>-299.25369999999998</v>
      </c>
      <c r="K4624">
        <v>1.052386</v>
      </c>
      <c r="L4624">
        <v>1.254761</v>
      </c>
      <c r="M4624">
        <v>0.25015540000000003</v>
      </c>
      <c r="N4624">
        <v>-1.4467560000000001E-2</v>
      </c>
      <c r="O4624">
        <v>-0.96809769999999995</v>
      </c>
      <c r="P4624">
        <v>-0.1012458</v>
      </c>
      <c r="Q4624">
        <v>0.17887500000000001</v>
      </c>
      <c r="R4624">
        <v>-0.97864879999999999</v>
      </c>
      <c r="S4624">
        <v>-0.1894836</v>
      </c>
      <c r="T4624">
        <v>-0.1121477</v>
      </c>
      <c r="U4624">
        <v>-3.060425</v>
      </c>
      <c r="V4624">
        <v>0.35090179999999999</v>
      </c>
      <c r="W4624">
        <v>0.17710209999999901</v>
      </c>
      <c r="X4624">
        <v>0.91951229999999995</v>
      </c>
      <c r="Y4624">
        <v>0.30940279999999998</v>
      </c>
      <c r="Z4624">
        <v>1.9362339999999999E-2</v>
      </c>
      <c r="AA4624">
        <v>0.95073399999999997</v>
      </c>
      <c r="AB4624">
        <v>34</v>
      </c>
      <c r="AC4624">
        <v>-2.07420000000001</v>
      </c>
      <c r="AD4624">
        <v>-1.0523881035489999</v>
      </c>
      <c r="AE4624">
        <v>-27.585791</v>
      </c>
      <c r="AF4624">
        <v>8.8968188793365606</v>
      </c>
      <c r="AG4624">
        <v>-1.0523881035489999</v>
      </c>
      <c r="AH4624">
        <v>26.151759832127699</v>
      </c>
      <c r="AI4624">
        <v>92.181760032883503</v>
      </c>
      <c r="AJ4624">
        <v>71.211714935398106</v>
      </c>
      <c r="AK4624">
        <v>27.643723504793901</v>
      </c>
      <c r="AL4624">
        <v>79.798989889547997</v>
      </c>
      <c r="AM4624">
        <v>69.112280475732007</v>
      </c>
      <c r="AN4624">
        <v>1.00000004845946</v>
      </c>
    </row>
    <row r="4625" spans="1:40" x14ac:dyDescent="0.25">
      <c r="A4625" t="str">
        <f>"20190303162646758"</f>
        <v>20190303162646758</v>
      </c>
      <c r="B4625" t="str">
        <f>"1551601606748292"</f>
        <v>1551601606748292</v>
      </c>
      <c r="C4625" t="s">
        <v>40</v>
      </c>
      <c r="D4625">
        <v>5.6106490000000004</v>
      </c>
      <c r="E4625">
        <v>0.49452030000000002</v>
      </c>
      <c r="F4625" t="s">
        <v>41</v>
      </c>
      <c r="G4625">
        <v>-301.92360000000002</v>
      </c>
      <c r="H4625" s="1">
        <v>-1.224051E-6</v>
      </c>
      <c r="I4625">
        <v>-28.75065</v>
      </c>
      <c r="J4625">
        <v>-299.1164</v>
      </c>
      <c r="K4625">
        <v>1.05355</v>
      </c>
      <c r="L4625">
        <v>0.59698490000000004</v>
      </c>
      <c r="M4625">
        <v>0.21288879999999999</v>
      </c>
      <c r="N4625">
        <v>-1.5614589999999999E-2</v>
      </c>
      <c r="O4625">
        <v>-0.97695200000000004</v>
      </c>
      <c r="P4625">
        <v>-0.1247849</v>
      </c>
      <c r="Q4625">
        <v>0.18450810000000001</v>
      </c>
      <c r="R4625">
        <v>-0.97487769999999996</v>
      </c>
      <c r="S4625">
        <v>-0.2720032</v>
      </c>
      <c r="T4625">
        <v>-0.1072159</v>
      </c>
      <c r="U4625">
        <v>-3.056915</v>
      </c>
      <c r="V4625">
        <v>0.33754020000000001</v>
      </c>
      <c r="W4625">
        <v>0.1849558</v>
      </c>
      <c r="X4625">
        <v>0.92296149999999999</v>
      </c>
      <c r="Y4625">
        <v>0.29853930000000001</v>
      </c>
      <c r="Z4625">
        <v>1.7219140000000001E-2</v>
      </c>
      <c r="AA4625">
        <v>0.95424200000000003</v>
      </c>
      <c r="AB4625">
        <v>34</v>
      </c>
      <c r="AC4625">
        <v>-2.8072000000000199</v>
      </c>
      <c r="AD4625">
        <v>-1.0535512240510001</v>
      </c>
      <c r="AE4625">
        <v>-29.347634899999999</v>
      </c>
      <c r="AF4625">
        <v>8.9799077824339602</v>
      </c>
      <c r="AG4625">
        <v>-1.0535512240510001</v>
      </c>
      <c r="AH4625">
        <v>28.041212655098398</v>
      </c>
      <c r="AI4625">
        <v>92.049257030099398</v>
      </c>
      <c r="AJ4625">
        <v>72.242874387439301</v>
      </c>
      <c r="AK4625">
        <v>29.462829482776499</v>
      </c>
      <c r="AL4625">
        <v>79.341444358482804</v>
      </c>
      <c r="AM4625">
        <v>69.911812240737405</v>
      </c>
      <c r="AN4625">
        <v>0.999999982525964</v>
      </c>
    </row>
    <row r="4626" spans="1:40" x14ac:dyDescent="0.25">
      <c r="A4626" t="str">
        <f>"20190303162646789"</f>
        <v>20190303162646789</v>
      </c>
      <c r="B4626" t="str">
        <f>"1551601606778547"</f>
        <v>1551601606778547</v>
      </c>
      <c r="C4626" t="s">
        <v>40</v>
      </c>
      <c r="D4626">
        <v>5.7241489999999997</v>
      </c>
      <c r="E4626">
        <v>0.4943282</v>
      </c>
      <c r="F4626" t="s">
        <v>41</v>
      </c>
      <c r="G4626">
        <v>-302.57839999999999</v>
      </c>
      <c r="H4626" s="1">
        <v>-4.6105670000000001E-6</v>
      </c>
      <c r="I4626">
        <v>-30.808820000000001</v>
      </c>
      <c r="J4626">
        <v>-299.03489999999999</v>
      </c>
      <c r="K4626">
        <v>1.054238</v>
      </c>
      <c r="L4626">
        <v>0.1329041</v>
      </c>
      <c r="M4626">
        <v>0.18723970000000001</v>
      </c>
      <c r="N4626">
        <v>-1.5815920000000001E-2</v>
      </c>
      <c r="O4626">
        <v>-0.98218709999999998</v>
      </c>
      <c r="P4626">
        <v>-0.1407352</v>
      </c>
      <c r="Q4626">
        <v>0.1858987</v>
      </c>
      <c r="R4626">
        <v>-0.97243809999999997</v>
      </c>
      <c r="S4626">
        <v>-0.33660889999999999</v>
      </c>
      <c r="T4626">
        <v>-0.10243819999999999</v>
      </c>
      <c r="U4626">
        <v>-3.0536189999999999</v>
      </c>
      <c r="V4626">
        <v>0.32861010000000002</v>
      </c>
      <c r="W4626">
        <v>0.18672069999999999</v>
      </c>
      <c r="X4626">
        <v>0.92582430000000004</v>
      </c>
      <c r="Y4626">
        <v>0.29363590000000001</v>
      </c>
      <c r="Z4626">
        <v>1.5823779999999999E-2</v>
      </c>
      <c r="AA4626">
        <v>0.95578629999999998</v>
      </c>
      <c r="AB4626">
        <v>33</v>
      </c>
      <c r="AC4626">
        <v>-3.5434999999999901</v>
      </c>
      <c r="AD4626">
        <v>-1.054242610567</v>
      </c>
      <c r="AE4626">
        <v>-30.941724099999998</v>
      </c>
      <c r="AF4626">
        <v>9.2644418371207795</v>
      </c>
      <c r="AG4626">
        <v>-1.054242610567</v>
      </c>
      <c r="AH4626">
        <v>29.696763456987799</v>
      </c>
      <c r="AI4626">
        <v>91.940977255019803</v>
      </c>
      <c r="AJ4626">
        <v>72.673745656398097</v>
      </c>
      <c r="AK4626">
        <v>31.126179814677201</v>
      </c>
      <c r="AL4626">
        <v>79.238529678368195</v>
      </c>
      <c r="AM4626">
        <v>70.458299386648306</v>
      </c>
      <c r="AN4626">
        <v>0.99999992605049204</v>
      </c>
    </row>
    <row r="4627" spans="1:40" x14ac:dyDescent="0.25">
      <c r="A4627" t="str">
        <f>"20190303162646826"</f>
        <v>20190303162646826</v>
      </c>
      <c r="B4627" t="str">
        <f>"1551601606818563"</f>
        <v>1551601606818563</v>
      </c>
      <c r="C4627" t="s">
        <v>40</v>
      </c>
      <c r="D4627">
        <v>5.7287910000000002</v>
      </c>
      <c r="E4627">
        <v>0.49377779999999999</v>
      </c>
      <c r="F4627" t="s">
        <v>41</v>
      </c>
      <c r="G4627">
        <v>-302.971</v>
      </c>
      <c r="H4627" s="1">
        <v>-4.629226E-6</v>
      </c>
      <c r="I4627">
        <v>-30.958649999999999</v>
      </c>
      <c r="J4627">
        <v>-298.95589999999999</v>
      </c>
      <c r="K4627">
        <v>1.0551950000000001</v>
      </c>
      <c r="L4627">
        <v>-0.41882320000000001</v>
      </c>
      <c r="M4627">
        <v>0.15550629999999999</v>
      </c>
      <c r="N4627">
        <v>-1.364513E-2</v>
      </c>
      <c r="O4627">
        <v>-0.98774070000000003</v>
      </c>
      <c r="P4627">
        <v>-0.15041389999999999</v>
      </c>
      <c r="Q4627">
        <v>0.18795010000000001</v>
      </c>
      <c r="R4627">
        <v>-0.97059289999999998</v>
      </c>
      <c r="S4627">
        <v>-0.3859863</v>
      </c>
      <c r="T4627">
        <v>-0.1033828</v>
      </c>
      <c r="U4627">
        <v>-3.04895</v>
      </c>
      <c r="V4627">
        <v>0.30808639999999998</v>
      </c>
      <c r="W4627">
        <v>0.18729789999999999</v>
      </c>
      <c r="X4627">
        <v>0.93273910000000004</v>
      </c>
      <c r="Y4627">
        <v>0.27824159999999998</v>
      </c>
      <c r="Z4627">
        <v>1.8693649999999999E-2</v>
      </c>
      <c r="AA4627">
        <v>0.96032919999999999</v>
      </c>
      <c r="AB4627">
        <v>33</v>
      </c>
      <c r="AC4627">
        <v>-4.0151000000000101</v>
      </c>
      <c r="AD4627">
        <v>-1.055199629226</v>
      </c>
      <c r="AE4627">
        <v>-30.539826799999901</v>
      </c>
      <c r="AF4627">
        <v>8.7056079199160994</v>
      </c>
      <c r="AG4627">
        <v>-1.055199629226</v>
      </c>
      <c r="AH4627">
        <v>29.5091758792382</v>
      </c>
      <c r="AI4627">
        <v>91.964303613899801</v>
      </c>
      <c r="AJ4627">
        <v>73.563224455029399</v>
      </c>
      <c r="AK4627">
        <v>30.784614933187601</v>
      </c>
      <c r="AL4627">
        <v>79.204865237187803</v>
      </c>
      <c r="AM4627">
        <v>71.721462565236195</v>
      </c>
      <c r="AN4627">
        <v>0.99999998093908904</v>
      </c>
    </row>
    <row r="4628" spans="1:40" x14ac:dyDescent="0.25">
      <c r="A4628" t="str">
        <f>"20190303162646869"</f>
        <v>20190303162646869</v>
      </c>
      <c r="B4628" t="str">
        <f>"1551601606858579"</f>
        <v>1551601606858579</v>
      </c>
      <c r="C4628" t="s">
        <v>40</v>
      </c>
      <c r="D4628">
        <v>5.6700850000000003</v>
      </c>
      <c r="E4628">
        <v>0.4931005</v>
      </c>
      <c r="F4628" t="s">
        <v>41</v>
      </c>
      <c r="G4628">
        <v>-302.88260000000002</v>
      </c>
      <c r="H4628" s="1">
        <v>-1.1122440000000001E-6</v>
      </c>
      <c r="I4628">
        <v>-29.606100000000001</v>
      </c>
      <c r="J4628">
        <v>-298.88780000000003</v>
      </c>
      <c r="K4628">
        <v>1.0578510000000001</v>
      </c>
      <c r="L4628">
        <v>-1.0794979999999901</v>
      </c>
      <c r="M4628">
        <v>0.11737</v>
      </c>
      <c r="N4628">
        <v>-9.8069479999999994E-3</v>
      </c>
      <c r="O4628">
        <v>-0.99304009999999998</v>
      </c>
      <c r="P4628">
        <v>-0.17149329999999999</v>
      </c>
      <c r="Q4628">
        <v>0.19286410000000001</v>
      </c>
      <c r="R4628">
        <v>-0.96612350000000002</v>
      </c>
      <c r="S4628">
        <v>-0.41015629999999997</v>
      </c>
      <c r="T4628">
        <v>-0.1102176</v>
      </c>
      <c r="U4628">
        <v>-3.0486759999999999</v>
      </c>
      <c r="V4628">
        <v>0.29232140000000001</v>
      </c>
      <c r="W4628">
        <v>0.1893907</v>
      </c>
      <c r="X4628">
        <v>0.93737899999999996</v>
      </c>
      <c r="Y4628">
        <v>0.24864140000000001</v>
      </c>
      <c r="Z4628">
        <v>2.514868E-2</v>
      </c>
      <c r="AA4628">
        <v>0.96826909999999999</v>
      </c>
      <c r="AB4628">
        <v>33</v>
      </c>
      <c r="AC4628">
        <v>-3.9947999999999899</v>
      </c>
      <c r="AD4628">
        <v>-1.0578521122439899</v>
      </c>
      <c r="AE4628">
        <v>-28.526602</v>
      </c>
      <c r="AF4628">
        <v>7.3056605672877302</v>
      </c>
      <c r="AG4628">
        <v>-1.0578521122439899</v>
      </c>
      <c r="AH4628">
        <v>27.8229974996386</v>
      </c>
      <c r="AI4628">
        <v>92.1060567348067</v>
      </c>
      <c r="AJ4628">
        <v>75.287604728421201</v>
      </c>
      <c r="AK4628">
        <v>28.7856026040918</v>
      </c>
      <c r="AL4628">
        <v>79.082771862383098</v>
      </c>
      <c r="AM4628">
        <v>72.679923961732399</v>
      </c>
      <c r="AN4628">
        <v>1.0000000138927201</v>
      </c>
    </row>
    <row r="4629" spans="1:40" x14ac:dyDescent="0.25">
      <c r="A4629" t="str">
        <f>"20190303162646915"</f>
        <v>20190303162646915</v>
      </c>
      <c r="B4629" t="str">
        <f>"1551601606908357"</f>
        <v>1551601606908357</v>
      </c>
      <c r="C4629" t="s">
        <v>40</v>
      </c>
      <c r="D4629">
        <v>5.6679170000000001</v>
      </c>
      <c r="E4629">
        <v>0.48756169999999999</v>
      </c>
      <c r="F4629" t="s">
        <v>41</v>
      </c>
      <c r="G4629">
        <v>-303.53030000000001</v>
      </c>
      <c r="H4629" s="1">
        <v>-4.7264329999999996E-6</v>
      </c>
      <c r="I4629">
        <v>-30.96454</v>
      </c>
      <c r="J4629">
        <v>-298.84379999999999</v>
      </c>
      <c r="K4629">
        <v>1.0619730000000001</v>
      </c>
      <c r="L4629">
        <v>-1.7749330000000001</v>
      </c>
      <c r="M4629">
        <v>7.6629429999999998E-2</v>
      </c>
      <c r="N4629">
        <v>-6.1724709999999997E-3</v>
      </c>
      <c r="O4629">
        <v>-0.9970407</v>
      </c>
      <c r="P4629">
        <v>-0.1871524</v>
      </c>
      <c r="Q4629">
        <v>0.18908549999999999</v>
      </c>
      <c r="R4629">
        <v>-0.96396119999999996</v>
      </c>
      <c r="S4629">
        <v>-0.47268680000000002</v>
      </c>
      <c r="T4629">
        <v>-0.107707</v>
      </c>
      <c r="U4629">
        <v>-3.042786</v>
      </c>
      <c r="V4629">
        <v>0.268414599999999</v>
      </c>
      <c r="W4629">
        <v>0.18383430000000001</v>
      </c>
      <c r="X4629">
        <v>0.94559959999999998</v>
      </c>
      <c r="Y4629">
        <v>0.22868540000000001</v>
      </c>
      <c r="Z4629">
        <v>2.833743E-2</v>
      </c>
      <c r="AA4629">
        <v>0.97308779999999995</v>
      </c>
      <c r="AB4629">
        <v>33</v>
      </c>
      <c r="AC4629">
        <v>-4.6865000000000201</v>
      </c>
      <c r="AD4629">
        <v>-1.0619777264329999</v>
      </c>
      <c r="AE4629">
        <v>-29.189606999999999</v>
      </c>
      <c r="AF4629">
        <v>6.9006401648076601</v>
      </c>
      <c r="AG4629">
        <v>-1.0619777264329999</v>
      </c>
      <c r="AH4629">
        <v>28.707601247618499</v>
      </c>
      <c r="AI4629">
        <v>92.059947141498299</v>
      </c>
      <c r="AJ4629">
        <v>76.4838574050695</v>
      </c>
      <c r="AK4629">
        <v>29.5444241908327</v>
      </c>
      <c r="AL4629">
        <v>79.406823133678103</v>
      </c>
      <c r="AM4629">
        <v>74.153061744113202</v>
      </c>
      <c r="AN4629">
        <v>1.0000000254349</v>
      </c>
    </row>
    <row r="4630" spans="1:40" x14ac:dyDescent="0.25">
      <c r="A4630" t="str">
        <f>"20190303162646959"</f>
        <v>20190303162646959</v>
      </c>
      <c r="B4630" t="str">
        <f>"1551601606948879"</f>
        <v>1551601606948879</v>
      </c>
      <c r="C4630" t="s">
        <v>40</v>
      </c>
      <c r="D4630">
        <v>5.7384789999999999</v>
      </c>
      <c r="E4630">
        <v>0.48731790000000003</v>
      </c>
      <c r="F4630" t="s">
        <v>41</v>
      </c>
      <c r="G4630">
        <v>-301.3768</v>
      </c>
      <c r="H4630" s="1">
        <v>-1.4500629999999999E-6</v>
      </c>
      <c r="I4630">
        <v>-17.88466</v>
      </c>
      <c r="J4630">
        <v>-298.82409999999999</v>
      </c>
      <c r="K4630">
        <v>1.0672710000000001</v>
      </c>
      <c r="L4630">
        <v>-2.4374690000000001</v>
      </c>
      <c r="M4630">
        <v>3.5268330000000001E-2</v>
      </c>
      <c r="N4630">
        <v>-5.738043E-3</v>
      </c>
      <c r="O4630">
        <v>-0.99936139999999996</v>
      </c>
      <c r="P4630">
        <v>-0.19373480000000001</v>
      </c>
      <c r="Q4630">
        <v>0.19132350000000001</v>
      </c>
      <c r="R4630">
        <v>-0.9622174</v>
      </c>
      <c r="S4630">
        <v>-0.4808655</v>
      </c>
      <c r="T4630">
        <v>-0.2016104</v>
      </c>
      <c r="U4630">
        <v>-3.0583499999999999</v>
      </c>
      <c r="V4630">
        <v>0.2352089</v>
      </c>
      <c r="W4630">
        <v>0.18757889999999999</v>
      </c>
      <c r="X4630">
        <v>0.95367230000000003</v>
      </c>
      <c r="Y4630">
        <v>0.18975690000000001</v>
      </c>
      <c r="Z4630">
        <v>5.898101E-2</v>
      </c>
      <c r="AA4630">
        <v>0.98005799999999998</v>
      </c>
      <c r="AB4630">
        <v>33</v>
      </c>
      <c r="AC4630">
        <v>-2.55270000000001</v>
      </c>
      <c r="AD4630">
        <v>-1.06727245006299</v>
      </c>
      <c r="AE4630">
        <v>-15.447191</v>
      </c>
      <c r="AF4630">
        <v>3.0815980026816998</v>
      </c>
      <c r="AG4630">
        <v>-1.06727245006299</v>
      </c>
      <c r="AH4630">
        <v>15.276563128765501</v>
      </c>
      <c r="AI4630">
        <v>93.917723214051506</v>
      </c>
      <c r="AJ4630">
        <v>78.595305624482194</v>
      </c>
      <c r="AK4630">
        <v>15.620777757843999</v>
      </c>
      <c r="AL4630">
        <v>79.188474425927495</v>
      </c>
      <c r="AM4630">
        <v>76.145362649481598</v>
      </c>
      <c r="AN4630">
        <v>0.99999996307585404</v>
      </c>
    </row>
    <row r="4631" spans="1:40" x14ac:dyDescent="0.25">
      <c r="A4631" t="str">
        <f>"20190303162647004"</f>
        <v>20190303162647004</v>
      </c>
      <c r="B4631" t="str">
        <f>"1551601606998656"</f>
        <v>1551601606998656</v>
      </c>
      <c r="C4631" t="s">
        <v>40</v>
      </c>
      <c r="D4631">
        <v>5.7443999999999997</v>
      </c>
      <c r="E4631">
        <v>0.48746539999999999</v>
      </c>
      <c r="F4631" t="s">
        <v>41</v>
      </c>
      <c r="G4631">
        <v>-301.55930000000001</v>
      </c>
      <c r="H4631" s="1">
        <v>-9.8721180000000008E-7</v>
      </c>
      <c r="I4631">
        <v>-19.076799999999999</v>
      </c>
      <c r="J4631">
        <v>-298.83109999999999</v>
      </c>
      <c r="K4631">
        <v>1.072473</v>
      </c>
      <c r="L4631">
        <v>-3.1203310000000002</v>
      </c>
      <c r="M4631">
        <v>-6.3828890000000001E-3</v>
      </c>
      <c r="N4631">
        <v>-5.9859850000000001E-3</v>
      </c>
      <c r="O4631">
        <v>-0.99996180000000001</v>
      </c>
      <c r="P4631">
        <v>-0.18498619999999999</v>
      </c>
      <c r="Q4631">
        <v>0.1892066</v>
      </c>
      <c r="R4631">
        <v>-0.96435530000000003</v>
      </c>
      <c r="S4631">
        <v>-0.50228879999999998</v>
      </c>
      <c r="T4631">
        <v>-0.1959931</v>
      </c>
      <c r="U4631">
        <v>-3.055634</v>
      </c>
      <c r="V4631">
        <v>0.18666849999999999</v>
      </c>
      <c r="W4631">
        <v>0.1874894</v>
      </c>
      <c r="X4631">
        <v>0.96436639999999996</v>
      </c>
      <c r="Y4631">
        <v>0.15560479999999999</v>
      </c>
      <c r="Z4631">
        <v>5.7224079999999997E-2</v>
      </c>
      <c r="AA4631">
        <v>0.9861605</v>
      </c>
      <c r="AB4631">
        <v>33</v>
      </c>
      <c r="AC4631">
        <v>-2.72820000000001</v>
      </c>
      <c r="AD4631">
        <v>-1.0724739872118001</v>
      </c>
      <c r="AE4631">
        <v>-15.956468999999901</v>
      </c>
      <c r="AF4631">
        <v>2.6148172609720799</v>
      </c>
      <c r="AG4631">
        <v>-1.0724739872118001</v>
      </c>
      <c r="AH4631">
        <v>15.903753180507101</v>
      </c>
      <c r="AI4631">
        <v>93.8069568064967</v>
      </c>
      <c r="AJ4631">
        <v>80.663241754673805</v>
      </c>
      <c r="AK4631">
        <v>16.152920323830401</v>
      </c>
      <c r="AL4631">
        <v>79.193695192930804</v>
      </c>
      <c r="AM4631">
        <v>79.044967320957994</v>
      </c>
      <c r="AN4631">
        <v>0.99999997872678403</v>
      </c>
    </row>
    <row r="4632" spans="1:40" x14ac:dyDescent="0.25">
      <c r="A4632" t="str">
        <f>"20190303162647035"</f>
        <v>20190303162647035</v>
      </c>
      <c r="B4632" t="str">
        <f>"1551601607028910"</f>
        <v>1551601607028910</v>
      </c>
      <c r="C4632" t="s">
        <v>40</v>
      </c>
      <c r="D4632">
        <v>5.7326110000000003</v>
      </c>
      <c r="E4632">
        <v>0.4881972</v>
      </c>
      <c r="F4632" t="s">
        <v>42</v>
      </c>
      <c r="G4632">
        <v>-298.98180000000002</v>
      </c>
      <c r="H4632">
        <v>1.008024</v>
      </c>
      <c r="I4632">
        <v>-4.071752</v>
      </c>
      <c r="J4632">
        <v>-298.85309999999998</v>
      </c>
      <c r="K4632">
        <v>1.0767599999999999</v>
      </c>
      <c r="L4632">
        <v>-3.6117249999999999</v>
      </c>
      <c r="M4632">
        <v>-3.5904030000000003E-2</v>
      </c>
      <c r="N4632">
        <v>-6.03697E-3</v>
      </c>
      <c r="O4632">
        <v>-0.99933700000000003</v>
      </c>
      <c r="P4632">
        <v>-0.1915927</v>
      </c>
      <c r="Q4632">
        <v>0.18915499999999999</v>
      </c>
      <c r="R4632">
        <v>-0.96307489999999996</v>
      </c>
      <c r="S4632">
        <v>-0.48449710000000001</v>
      </c>
      <c r="T4632">
        <v>-0.2064213</v>
      </c>
      <c r="U4632">
        <v>-3.0584410000000002</v>
      </c>
      <c r="V4632">
        <v>0.16474720000000001</v>
      </c>
      <c r="W4632">
        <v>0.1884121</v>
      </c>
      <c r="X4632">
        <v>0.96817310000000001</v>
      </c>
      <c r="Y4632">
        <v>0.12058480000000001</v>
      </c>
      <c r="Z4632">
        <v>6.060753E-2</v>
      </c>
      <c r="AA4632">
        <v>0.99085120000000004</v>
      </c>
      <c r="AB4632">
        <v>33</v>
      </c>
      <c r="AC4632">
        <v>-0.12870000000003701</v>
      </c>
      <c r="AD4632">
        <v>-6.8735999999999894E-2</v>
      </c>
      <c r="AE4632">
        <v>-0.46002700000000002</v>
      </c>
      <c r="AF4632">
        <v>0.109825948885935</v>
      </c>
      <c r="AG4632">
        <v>-6.8735999999999894E-2</v>
      </c>
      <c r="AH4632">
        <v>0.454931961572142</v>
      </c>
      <c r="AI4632">
        <v>98.355381145959498</v>
      </c>
      <c r="AJ4632">
        <v>76.427805981233206</v>
      </c>
      <c r="AK4632">
        <v>0.47302163418238402</v>
      </c>
      <c r="AL4632">
        <v>79.139868853964501</v>
      </c>
      <c r="AM4632">
        <v>80.342880293911705</v>
      </c>
      <c r="AN4632">
        <v>0.99999995544892895</v>
      </c>
    </row>
    <row r="4633" spans="1:40" x14ac:dyDescent="0.25">
      <c r="A4633" t="str">
        <f>"20190303162647070"</f>
        <v>20190303162647070</v>
      </c>
      <c r="B4633" t="str">
        <f>"1551601607058191"</f>
        <v>1551601607058191</v>
      </c>
      <c r="C4633" t="s">
        <v>40</v>
      </c>
      <c r="D4633">
        <v>5.7367980000000003</v>
      </c>
      <c r="E4633">
        <v>0.48864609999999897</v>
      </c>
      <c r="F4633" t="s">
        <v>42</v>
      </c>
      <c r="G4633">
        <v>-298.98390000000001</v>
      </c>
      <c r="H4633">
        <v>1.0242910000000001</v>
      </c>
      <c r="I4633">
        <v>-4.3871000000000002</v>
      </c>
      <c r="J4633">
        <v>-298.8929</v>
      </c>
      <c r="K4633">
        <v>1.081464</v>
      </c>
      <c r="L4633">
        <v>-4.1358639999999998</v>
      </c>
      <c r="M4633">
        <v>-6.6480139999999993E-2</v>
      </c>
      <c r="N4633">
        <v>-6.4482000000000003E-3</v>
      </c>
      <c r="O4633">
        <v>-0.99776710000000002</v>
      </c>
      <c r="P4633">
        <v>-0.17085999999999901</v>
      </c>
      <c r="Q4633">
        <v>0.1974639</v>
      </c>
      <c r="R4633">
        <v>-0.96530590000000005</v>
      </c>
      <c r="S4633">
        <v>-0.51504519999999998</v>
      </c>
      <c r="T4633">
        <v>-0.20637559999999999</v>
      </c>
      <c r="U4633">
        <v>-3.0531009999999998</v>
      </c>
      <c r="V4633">
        <v>0.1144848</v>
      </c>
      <c r="W4633">
        <v>0.19926340000000001</v>
      </c>
      <c r="X4633">
        <v>0.97323550000000003</v>
      </c>
      <c r="Y4633">
        <v>0.1000968</v>
      </c>
      <c r="Z4633">
        <v>6.0181739999999997E-2</v>
      </c>
      <c r="AA4633">
        <v>0.99315600000000004</v>
      </c>
      <c r="AB4633">
        <v>33</v>
      </c>
      <c r="AC4633">
        <v>-9.1000000000008199E-2</v>
      </c>
      <c r="AD4633">
        <v>-5.7172999999999898E-2</v>
      </c>
      <c r="AE4633">
        <v>-0.25123600000000001</v>
      </c>
      <c r="AF4633">
        <v>7.0852466806572298E-2</v>
      </c>
      <c r="AG4633">
        <v>-5.7172999999999898E-2</v>
      </c>
      <c r="AH4633">
        <v>0.2454912832901</v>
      </c>
      <c r="AI4633">
        <v>102.612696039242</v>
      </c>
      <c r="AJ4633">
        <v>73.901066704999494</v>
      </c>
      <c r="AK4633">
        <v>0.26182970448938098</v>
      </c>
      <c r="AL4633">
        <v>78.5061120774687</v>
      </c>
      <c r="AM4633">
        <v>83.290946766399301</v>
      </c>
      <c r="AN4633">
        <v>1.0000000052354201</v>
      </c>
    </row>
    <row r="4634" spans="1:40" x14ac:dyDescent="0.25">
      <c r="A4634" t="str">
        <f>"20190303162647115"</f>
        <v>20190303162647115</v>
      </c>
      <c r="B4634" t="str">
        <f>"1551601607108943"</f>
        <v>1551601607108943</v>
      </c>
      <c r="C4634" t="s">
        <v>40</v>
      </c>
      <c r="D4634">
        <v>5.7181419999999896</v>
      </c>
      <c r="E4634">
        <v>0.5001179</v>
      </c>
      <c r="F4634" t="s">
        <v>42</v>
      </c>
      <c r="G4634">
        <v>-299.02010000000001</v>
      </c>
      <c r="H4634">
        <v>1.0312269999999999</v>
      </c>
      <c r="I4634">
        <v>-4.9965279999999996</v>
      </c>
      <c r="J4634">
        <v>-298.96850000000001</v>
      </c>
      <c r="K4634">
        <v>1.0871010000000001</v>
      </c>
      <c r="L4634">
        <v>-4.8226930000000001</v>
      </c>
      <c r="M4634">
        <v>-0.1053998</v>
      </c>
      <c r="N4634">
        <v>-7.3664790000000004E-3</v>
      </c>
      <c r="O4634">
        <v>-0.99440280000000003</v>
      </c>
      <c r="P4634">
        <v>-0.16653499999999999</v>
      </c>
      <c r="Q4634">
        <v>0.1886034</v>
      </c>
      <c r="R4634">
        <v>-0.96783039999999998</v>
      </c>
      <c r="S4634">
        <v>-0.45315549999999999</v>
      </c>
      <c r="T4634">
        <v>-0.178441299999999</v>
      </c>
      <c r="U4634">
        <v>-3.064117</v>
      </c>
      <c r="V4634">
        <v>7.1366079999999998E-2</v>
      </c>
      <c r="W4634">
        <v>0.19312090000000001</v>
      </c>
      <c r="X4634">
        <v>0.97857609999999995</v>
      </c>
      <c r="Y4634">
        <v>4.1022419999999997E-2</v>
      </c>
      <c r="Z4634">
        <v>5.0019429999999997E-2</v>
      </c>
      <c r="AA4634">
        <v>0.99790540000000005</v>
      </c>
      <c r="AB4634">
        <v>33</v>
      </c>
      <c r="AC4634">
        <v>-5.1600000000007598E-2</v>
      </c>
      <c r="AD4634">
        <v>-5.5873999999999903E-2</v>
      </c>
      <c r="AE4634">
        <v>-0.17383499999999899</v>
      </c>
      <c r="AF4634">
        <v>3.0129274883536401E-2</v>
      </c>
      <c r="AG4634">
        <v>-5.5873999999999903E-2</v>
      </c>
      <c r="AH4634">
        <v>0.162844200745665</v>
      </c>
      <c r="AI4634">
        <v>108.643731320402</v>
      </c>
      <c r="AJ4634">
        <v>79.517728003992602</v>
      </c>
      <c r="AK4634">
        <v>0.174779606354695</v>
      </c>
      <c r="AL4634">
        <v>78.865027240851006</v>
      </c>
      <c r="AM4634">
        <v>85.828889475454503</v>
      </c>
      <c r="AN4634">
        <v>0.99999999144129303</v>
      </c>
    </row>
    <row r="4635" spans="1:40" x14ac:dyDescent="0.25">
      <c r="A4635" t="str">
        <f>"20190303162647160"</f>
        <v>20190303162647160</v>
      </c>
      <c r="B4635" t="str">
        <f>"1551601607147984"</f>
        <v>1551601607147984</v>
      </c>
      <c r="C4635" t="s">
        <v>40</v>
      </c>
      <c r="D4635">
        <v>5.5158149999999999</v>
      </c>
      <c r="E4635">
        <v>0.50866129999999998</v>
      </c>
      <c r="F4635" t="s">
        <v>41</v>
      </c>
      <c r="G4635">
        <v>-301.86810000000003</v>
      </c>
      <c r="H4635" s="1">
        <v>-4.4005800000000001E-6</v>
      </c>
      <c r="I4635">
        <v>-21.05565</v>
      </c>
      <c r="J4635">
        <v>-299.06849999999997</v>
      </c>
      <c r="K4635">
        <v>1.0916669999999999</v>
      </c>
      <c r="L4635">
        <v>-5.4945680000000001</v>
      </c>
      <c r="M4635">
        <v>-0.14225599999999999</v>
      </c>
      <c r="N4635">
        <v>-8.3596150000000008E-3</v>
      </c>
      <c r="O4635">
        <v>-0.98979470000000003</v>
      </c>
      <c r="P4635">
        <v>-0.17233879999999999</v>
      </c>
      <c r="Q4635">
        <v>0.17400969999999999</v>
      </c>
      <c r="R4635">
        <v>-0.96954640000000003</v>
      </c>
      <c r="S4635">
        <v>-0.54406739999999998</v>
      </c>
      <c r="T4635">
        <v>-0.20397689999999999</v>
      </c>
      <c r="U4635">
        <v>-3.0458370000000001</v>
      </c>
      <c r="V4635">
        <v>3.9805340000000002E-2</v>
      </c>
      <c r="W4635">
        <v>0.18080460000000001</v>
      </c>
      <c r="X4635">
        <v>0.98271319999999995</v>
      </c>
      <c r="Y4635">
        <v>3.3710829999999997E-2</v>
      </c>
      <c r="Z4635">
        <v>5.703395E-2</v>
      </c>
      <c r="AA4635">
        <v>0.99780290000000005</v>
      </c>
      <c r="AB4635">
        <v>33</v>
      </c>
      <c r="AC4635">
        <v>-2.79960000000005</v>
      </c>
      <c r="AD4635">
        <v>-1.0916714005799999</v>
      </c>
      <c r="AE4635">
        <v>-15.561082000000001</v>
      </c>
      <c r="AF4635">
        <v>0.55474675341164403</v>
      </c>
      <c r="AG4635">
        <v>-1.0916714005799999</v>
      </c>
      <c r="AH4635">
        <v>15.726116264207199</v>
      </c>
      <c r="AI4635">
        <v>93.968512579749699</v>
      </c>
      <c r="AJ4635">
        <v>87.979699939537397</v>
      </c>
      <c r="AK4635">
        <v>15.773719382651199</v>
      </c>
      <c r="AL4635">
        <v>79.583371032276503</v>
      </c>
      <c r="AM4635">
        <v>87.680470855626396</v>
      </c>
      <c r="AN4635">
        <v>1.00000000096395</v>
      </c>
    </row>
    <row r="4636" spans="1:40" x14ac:dyDescent="0.25">
      <c r="A4636" t="str">
        <f>"20190303162647279"</f>
        <v>20190303162647279</v>
      </c>
      <c r="B4636" t="str">
        <f>"1551601607268031"</f>
        <v>1551601607268031</v>
      </c>
      <c r="C4636" t="s">
        <v>40</v>
      </c>
      <c r="D4636">
        <v>5.5197989999999999</v>
      </c>
      <c r="E4636">
        <v>0.52445580000000003</v>
      </c>
      <c r="F4636" t="s">
        <v>42</v>
      </c>
      <c r="G4636">
        <v>-299.46589999999998</v>
      </c>
      <c r="H4636">
        <v>1.0148600000000001</v>
      </c>
      <c r="I4636">
        <v>-7.3753899999999897</v>
      </c>
      <c r="J4636">
        <v>-299.45049999999998</v>
      </c>
      <c r="K4636">
        <v>1.1007389999999999</v>
      </c>
      <c r="L4636">
        <v>-7.2722470000000001</v>
      </c>
      <c r="M4636">
        <v>-0.22935549999999999</v>
      </c>
      <c r="N4636">
        <v>-1.0140420000000001E-2</v>
      </c>
      <c r="O4636">
        <v>-0.97328999999999999</v>
      </c>
      <c r="P4636">
        <v>-0.20172390000000001</v>
      </c>
      <c r="Q4636">
        <v>0.17269679999999901</v>
      </c>
      <c r="R4636">
        <v>-0.96409710000000004</v>
      </c>
      <c r="S4636">
        <v>-0.69113159999999996</v>
      </c>
      <c r="T4636">
        <v>-0.28274860000000002</v>
      </c>
      <c r="U4636">
        <v>-3.0159910000000001</v>
      </c>
      <c r="V4636">
        <v>-1.8365659999999999E-2</v>
      </c>
      <c r="W4636">
        <v>0.18342929999999999</v>
      </c>
      <c r="X4636">
        <v>0.98286130000000005</v>
      </c>
      <c r="Y4636">
        <v>-6.8692900000000001E-3</v>
      </c>
      <c r="Z4636">
        <v>7.867093E-2</v>
      </c>
      <c r="AA4636">
        <v>0.99687700000000001</v>
      </c>
      <c r="AB4636">
        <v>33</v>
      </c>
      <c r="AC4636">
        <v>-1.53999999999996E-2</v>
      </c>
      <c r="AD4636">
        <v>-8.5878999999999803E-2</v>
      </c>
      <c r="AE4636">
        <v>-0.103142999999999</v>
      </c>
      <c r="AF4636">
        <v>-5.16535837077527E-3</v>
      </c>
      <c r="AG4636">
        <v>-8.5878999999999803E-2</v>
      </c>
      <c r="AH4636">
        <v>6.1928965585958402E-2</v>
      </c>
      <c r="AI4636">
        <v>144.10964122742601</v>
      </c>
      <c r="AJ4636">
        <v>94.767878493180604</v>
      </c>
      <c r="AK4636">
        <v>0.106005095852252</v>
      </c>
      <c r="AL4636">
        <v>79.430428755838406</v>
      </c>
      <c r="AM4636">
        <v>91.070499326510301</v>
      </c>
      <c r="AN4636">
        <v>0.99999997030170695</v>
      </c>
    </row>
    <row r="4637" spans="1:40" x14ac:dyDescent="0.25">
      <c r="A4637" t="str">
        <f>"20190303162647317"</f>
        <v>20190303162647317</v>
      </c>
      <c r="B4637" t="str">
        <f>"1551601607308047"</f>
        <v>1551601607308047</v>
      </c>
      <c r="C4637" t="s">
        <v>40</v>
      </c>
      <c r="D4637">
        <v>5.5173680000000003</v>
      </c>
      <c r="E4637">
        <v>0.52475229999999995</v>
      </c>
      <c r="F4637" t="s">
        <v>42</v>
      </c>
      <c r="G4637">
        <v>-299.72340000000003</v>
      </c>
      <c r="H4637">
        <v>1.0085299999999999</v>
      </c>
      <c r="I4637">
        <v>-8.2500719999999994</v>
      </c>
      <c r="J4637">
        <v>-299.60079999999999</v>
      </c>
      <c r="K4637">
        <v>1.1037360000000001</v>
      </c>
      <c r="L4637">
        <v>-7.8338009999999896</v>
      </c>
      <c r="M4637">
        <v>-0.25046069999999998</v>
      </c>
      <c r="N4637">
        <v>-1.0348359999999999E-2</v>
      </c>
      <c r="O4637">
        <v>-0.96807149999999997</v>
      </c>
      <c r="P4637">
        <v>-0.20609259999999999</v>
      </c>
      <c r="Q4637">
        <v>0.17347099999999999</v>
      </c>
      <c r="R4637">
        <v>-0.96303360000000005</v>
      </c>
      <c r="S4637">
        <v>-0.83306880000000005</v>
      </c>
      <c r="T4637">
        <v>-0.2813078</v>
      </c>
      <c r="U4637">
        <v>-2.9877929999999999</v>
      </c>
      <c r="V4637">
        <v>-3.5968189999999997E-2</v>
      </c>
      <c r="W4637">
        <v>0.1848504</v>
      </c>
      <c r="X4637">
        <v>0.98210819999999999</v>
      </c>
      <c r="Y4637">
        <v>1.7898560000000001E-2</v>
      </c>
      <c r="Z4637">
        <v>7.7696689999999999E-2</v>
      </c>
      <c r="AA4637">
        <v>0.99681629999999999</v>
      </c>
      <c r="AB4637">
        <v>34</v>
      </c>
      <c r="AC4637">
        <v>-0.122600000000034</v>
      </c>
      <c r="AD4637">
        <v>-9.5206000000000096E-2</v>
      </c>
      <c r="AE4637">
        <v>-0.416271</v>
      </c>
      <c r="AF4637">
        <v>1.37642847604189E-2</v>
      </c>
      <c r="AG4637">
        <v>-9.5206000000000096E-2</v>
      </c>
      <c r="AH4637">
        <v>0.413792388775998</v>
      </c>
      <c r="AI4637">
        <v>102.950281959656</v>
      </c>
      <c r="AJ4637">
        <v>88.094830233236195</v>
      </c>
      <c r="AK4637">
        <v>0.42482676349297099</v>
      </c>
      <c r="AL4637">
        <v>79.347588928771103</v>
      </c>
      <c r="AM4637">
        <v>92.097431673213407</v>
      </c>
      <c r="AN4637">
        <v>0.99999994878963605</v>
      </c>
    </row>
    <row r="4638" spans="1:40" x14ac:dyDescent="0.25">
      <c r="A4638" t="str">
        <f>"20190303162647361"</f>
        <v>20190303162647361</v>
      </c>
      <c r="B4638" t="str">
        <f>"1551601607348063"</f>
        <v>1551601607348063</v>
      </c>
      <c r="C4638" t="s">
        <v>40</v>
      </c>
      <c r="D4638">
        <v>5.5486940000000002</v>
      </c>
      <c r="E4638">
        <v>0.52607999999999999</v>
      </c>
      <c r="F4638" t="s">
        <v>42</v>
      </c>
      <c r="G4638">
        <v>-299.8116</v>
      </c>
      <c r="H4638">
        <v>1.0351629999999901</v>
      </c>
      <c r="I4638">
        <v>-8.5654760000000003</v>
      </c>
      <c r="J4638">
        <v>-299.78219999999999</v>
      </c>
      <c r="K4638">
        <v>1.1075379999999999</v>
      </c>
      <c r="L4638">
        <v>-8.4723509999999997</v>
      </c>
      <c r="M4638">
        <v>-0.2684822</v>
      </c>
      <c r="N4638">
        <v>-1.0508689999999999E-2</v>
      </c>
      <c r="O4638">
        <v>-0.96322730000000001</v>
      </c>
      <c r="P4638">
        <v>-0.21649679999999999</v>
      </c>
      <c r="Q4638">
        <v>0.1772108</v>
      </c>
      <c r="R4638">
        <v>-0.96006530000000001</v>
      </c>
      <c r="S4638">
        <v>-0.85931399999999902</v>
      </c>
      <c r="T4638">
        <v>-0.27954469999999998</v>
      </c>
      <c r="U4638">
        <v>-2.9816280000000002</v>
      </c>
      <c r="V4638">
        <v>-4.456301E-2</v>
      </c>
      <c r="W4638">
        <v>0.18869349999999999</v>
      </c>
      <c r="X4638">
        <v>0.98102440000000002</v>
      </c>
      <c r="Y4638">
        <v>7.9200620000000003E-3</v>
      </c>
      <c r="Z4638">
        <v>7.6461779999999993E-2</v>
      </c>
      <c r="AA4638">
        <v>0.99704099999999996</v>
      </c>
      <c r="AB4638">
        <v>34</v>
      </c>
      <c r="AC4638">
        <v>-2.9400000000009599E-2</v>
      </c>
      <c r="AD4638">
        <v>-7.2374999999999995E-2</v>
      </c>
      <c r="AE4638">
        <v>-9.3125000000000499E-2</v>
      </c>
      <c r="AF4638">
        <v>2.14079555223652E-3</v>
      </c>
      <c r="AG4638">
        <v>-7.2374999999999995E-2</v>
      </c>
      <c r="AH4638">
        <v>6.2997144491288404E-2</v>
      </c>
      <c r="AI4638">
        <v>138.946438436942</v>
      </c>
      <c r="AJ4638">
        <v>88.053699607303301</v>
      </c>
      <c r="AK4638">
        <v>9.5975850320029699E-2</v>
      </c>
      <c r="AL4638">
        <v>79.123451678181297</v>
      </c>
      <c r="AM4638">
        <v>92.600871498666095</v>
      </c>
      <c r="AN4638">
        <v>0.99999998609893503</v>
      </c>
    </row>
    <row r="4639" spans="1:40" x14ac:dyDescent="0.25">
      <c r="A4639" t="str">
        <f>"20190303162647414"</f>
        <v>20190303162647414</v>
      </c>
      <c r="B4639" t="str">
        <f>"1551601607408575"</f>
        <v>1551601607408575</v>
      </c>
      <c r="C4639" t="s">
        <v>40</v>
      </c>
      <c r="D4639">
        <v>5.5574899999999996</v>
      </c>
      <c r="E4639">
        <v>0.52605239999999998</v>
      </c>
      <c r="F4639" t="s">
        <v>42</v>
      </c>
      <c r="G4639">
        <v>-300.0668</v>
      </c>
      <c r="H4639">
        <v>1.0222340000000001</v>
      </c>
      <c r="I4639">
        <v>-9.4219930000000005</v>
      </c>
      <c r="J4639">
        <v>-300.01209999999998</v>
      </c>
      <c r="K4639">
        <v>1.111734</v>
      </c>
      <c r="L4639">
        <v>-9.2508540000000004</v>
      </c>
      <c r="M4639">
        <v>-0.28171639999999998</v>
      </c>
      <c r="N4639">
        <v>-1.0698839999999999E-2</v>
      </c>
      <c r="O4639">
        <v>-0.95943809999999996</v>
      </c>
      <c r="P4639">
        <v>-0.21655089999999999</v>
      </c>
      <c r="Q4639">
        <v>0.17337959999999999</v>
      </c>
      <c r="R4639">
        <v>-0.96075259999999996</v>
      </c>
      <c r="S4639">
        <v>-0.89004519999999998</v>
      </c>
      <c r="T4639">
        <v>-0.26689990000000002</v>
      </c>
      <c r="U4639">
        <v>-2.9733580000000002</v>
      </c>
      <c r="V4639">
        <v>-5.9731159999999998E-2</v>
      </c>
      <c r="W4639">
        <v>0.18493709999999999</v>
      </c>
      <c r="X4639">
        <v>0.98093350000000001</v>
      </c>
      <c r="Y4639">
        <v>4.4724509999999997E-3</v>
      </c>
      <c r="Z4639">
        <v>7.2045730000000002E-2</v>
      </c>
      <c r="AA4639">
        <v>0.99739129999999998</v>
      </c>
      <c r="AB4639">
        <v>34</v>
      </c>
      <c r="AC4639">
        <v>-5.4700000000025201E-2</v>
      </c>
      <c r="AD4639">
        <v>-8.9499999999999899E-2</v>
      </c>
      <c r="AE4639">
        <v>-0.17113900000000001</v>
      </c>
      <c r="AF4639">
        <v>3.4201543802361099E-3</v>
      </c>
      <c r="AG4639">
        <v>-8.9499999999999899E-2</v>
      </c>
      <c r="AH4639">
        <v>0.14390762123779399</v>
      </c>
      <c r="AI4639">
        <v>121.87133184815301</v>
      </c>
      <c r="AJ4639">
        <v>88.638546542599798</v>
      </c>
      <c r="AK4639">
        <v>0.169503247480114</v>
      </c>
      <c r="AL4639">
        <v>79.342535184287996</v>
      </c>
      <c r="AM4639">
        <v>93.484561295496704</v>
      </c>
      <c r="AN4639">
        <v>1.0000000369268001</v>
      </c>
    </row>
    <row r="4640" spans="1:40" x14ac:dyDescent="0.25">
      <c r="A4640" t="str">
        <f>"20190303162647450"</f>
        <v>20190303162647450</v>
      </c>
      <c r="B4640" t="str">
        <f>"1551601607438832"</f>
        <v>1551601607438832</v>
      </c>
      <c r="C4640" t="s">
        <v>40</v>
      </c>
      <c r="D4640">
        <v>5.5507119999999999</v>
      </c>
      <c r="E4640">
        <v>0.52545090000000005</v>
      </c>
      <c r="F4640" t="s">
        <v>41</v>
      </c>
      <c r="G4640">
        <v>-303.6712</v>
      </c>
      <c r="H4640" s="1">
        <v>-4.5385050000000002E-6</v>
      </c>
      <c r="I4640">
        <v>-21.590209999999999</v>
      </c>
      <c r="J4640">
        <v>-300.16899999999998</v>
      </c>
      <c r="K4640">
        <v>1.1141430000000001</v>
      </c>
      <c r="L4640">
        <v>-9.7733460000000001</v>
      </c>
      <c r="M4640">
        <v>-0.28545520000000002</v>
      </c>
      <c r="N4640">
        <v>-1.0789730000000001E-2</v>
      </c>
      <c r="O4640">
        <v>-0.9583313</v>
      </c>
      <c r="P4640">
        <v>-0.2028819</v>
      </c>
      <c r="Q4640">
        <v>0.16834270000000001</v>
      </c>
      <c r="R4640">
        <v>-0.96462420000000004</v>
      </c>
      <c r="S4640">
        <v>-0.881378199999999</v>
      </c>
      <c r="T4640">
        <v>-0.26778879999999999</v>
      </c>
      <c r="U4640">
        <v>-2.972229</v>
      </c>
      <c r="V4640">
        <v>-7.8697180000000005E-2</v>
      </c>
      <c r="W4640">
        <v>0.17992759999999999</v>
      </c>
      <c r="X4640">
        <v>0.98052680000000003</v>
      </c>
      <c r="Y4640">
        <v>-1.993926E-3</v>
      </c>
      <c r="Z4640">
        <v>7.2153490000000001E-2</v>
      </c>
      <c r="AA4640">
        <v>0.99739149999999999</v>
      </c>
      <c r="AB4640">
        <v>34</v>
      </c>
      <c r="AC4640">
        <v>-3.5021999999999598</v>
      </c>
      <c r="AD4640">
        <v>-1.1141475385049999</v>
      </c>
      <c r="AE4640">
        <v>-11.816864000000001</v>
      </c>
      <c r="AF4640">
        <v>-1.67812498950272E-2</v>
      </c>
      <c r="AG4640">
        <v>-1.1141475385049999</v>
      </c>
      <c r="AH4640">
        <v>12.225009278492699</v>
      </c>
      <c r="AI4640">
        <v>95.207360398053893</v>
      </c>
      <c r="AJ4640">
        <v>90.078649771801494</v>
      </c>
      <c r="AK4640">
        <v>12.275685651202499</v>
      </c>
      <c r="AL4640">
        <v>79.634457222798204</v>
      </c>
      <c r="AM4640">
        <v>94.588728872208904</v>
      </c>
      <c r="AN4640">
        <v>0.99999999644997595</v>
      </c>
    </row>
    <row r="4641" spans="1:40" x14ac:dyDescent="0.25">
      <c r="A4641" t="str">
        <f>"20190303162647476"</f>
        <v>20190303162647476</v>
      </c>
      <c r="B4641" t="str">
        <f>"1551601607468111"</f>
        <v>1551601607468111</v>
      </c>
      <c r="C4641" t="s">
        <v>40</v>
      </c>
      <c r="D4641">
        <v>5.8244540000000002</v>
      </c>
      <c r="E4641">
        <v>0.47637869999999999</v>
      </c>
      <c r="F4641" t="s">
        <v>41</v>
      </c>
      <c r="G4641">
        <v>-303.50720000000001</v>
      </c>
      <c r="H4641" s="1">
        <v>-4.4501799999999996E-6</v>
      </c>
      <c r="I4641">
        <v>-21.764250000000001</v>
      </c>
      <c r="J4641">
        <v>-300.2867</v>
      </c>
      <c r="K4641">
        <v>1.1159809999999999</v>
      </c>
      <c r="L4641">
        <v>-10.165190000000001</v>
      </c>
      <c r="M4641">
        <v>-0.28584530000000002</v>
      </c>
      <c r="N4641">
        <v>-1.085383E-2</v>
      </c>
      <c r="O4641">
        <v>-0.95821449999999997</v>
      </c>
      <c r="P4641">
        <v>-0.19002050000000001</v>
      </c>
      <c r="Q4641">
        <v>0.16237079999999901</v>
      </c>
      <c r="R4641">
        <v>-0.96826060000000003</v>
      </c>
      <c r="S4641">
        <v>-0.83062739999999902</v>
      </c>
      <c r="T4641">
        <v>-0.27723409999999998</v>
      </c>
      <c r="U4641">
        <v>-2.9837039999999999</v>
      </c>
      <c r="V4641">
        <v>-9.3189540000000001E-2</v>
      </c>
      <c r="W4641">
        <v>0.17383860000000001</v>
      </c>
      <c r="X4641">
        <v>0.98035499999999998</v>
      </c>
      <c r="Y4641">
        <v>-1.9165789999999999E-2</v>
      </c>
      <c r="Z4641">
        <v>7.4808570000000005E-2</v>
      </c>
      <c r="AA4641">
        <v>0.9970137</v>
      </c>
      <c r="AB4641">
        <v>34</v>
      </c>
      <c r="AC4641">
        <v>-3.2205000000000101</v>
      </c>
      <c r="AD4641">
        <v>-1.1159854501799999</v>
      </c>
      <c r="AE4641">
        <v>-11.59906</v>
      </c>
      <c r="AF4641">
        <v>-0.227663820833655</v>
      </c>
      <c r="AG4641">
        <v>-1.1159854501799999</v>
      </c>
      <c r="AH4641">
        <v>11.933100288114201</v>
      </c>
      <c r="AI4641">
        <v>95.341804194479593</v>
      </c>
      <c r="AJ4641">
        <v>91.092976132896794</v>
      </c>
      <c r="AK4641">
        <v>11.9873323482133</v>
      </c>
      <c r="AL4641">
        <v>79.988921485106601</v>
      </c>
      <c r="AM4641">
        <v>95.430045351430607</v>
      </c>
      <c r="AN4641">
        <v>1.0000000376201801</v>
      </c>
    </row>
    <row r="4642" spans="1:40" x14ac:dyDescent="0.25">
      <c r="A4642" t="str">
        <f>"20190303162647521"</f>
        <v>20190303162647521</v>
      </c>
      <c r="B4642" t="str">
        <f>"1551601607508129"</f>
        <v>1551601607508129</v>
      </c>
      <c r="C4642" t="s">
        <v>40</v>
      </c>
      <c r="D4642">
        <v>5.7914719999999997</v>
      </c>
      <c r="E4642">
        <v>0.46953070000000002</v>
      </c>
      <c r="F4642" t="s">
        <v>41</v>
      </c>
      <c r="G4642">
        <v>-301.90640000000002</v>
      </c>
      <c r="H4642" s="1">
        <v>-3.9102430000000004E-6</v>
      </c>
      <c r="I4642">
        <v>-22.47842</v>
      </c>
      <c r="J4642">
        <v>-300.4624</v>
      </c>
      <c r="K4642">
        <v>1.1187510000000001</v>
      </c>
      <c r="L4642">
        <v>-10.759919999999999</v>
      </c>
      <c r="M4642">
        <v>-0.28295569999999998</v>
      </c>
      <c r="N4642">
        <v>-1.096362E-2</v>
      </c>
      <c r="O4642">
        <v>-0.9590706</v>
      </c>
      <c r="P4642">
        <v>-0.179542799999999</v>
      </c>
      <c r="Q4642">
        <v>0.15616289999999999</v>
      </c>
      <c r="R4642">
        <v>-0.97127640000000004</v>
      </c>
      <c r="S4642">
        <v>-0.40328979999999998</v>
      </c>
      <c r="T4642">
        <v>-0.27786230000000001</v>
      </c>
      <c r="U4642">
        <v>-3.0657960000000002</v>
      </c>
      <c r="V4642">
        <v>-0.10217759999999999</v>
      </c>
      <c r="W4642">
        <v>0.1672081</v>
      </c>
      <c r="X4642">
        <v>0.9806127</v>
      </c>
      <c r="Y4642">
        <v>-0.15573499999999901</v>
      </c>
      <c r="Z4642">
        <v>7.3144410000000007E-2</v>
      </c>
      <c r="AA4642">
        <v>0.98508700000000005</v>
      </c>
      <c r="AB4642">
        <v>34</v>
      </c>
      <c r="AC4642">
        <v>-1.4440000000000099</v>
      </c>
      <c r="AD4642">
        <v>-1.1187549102429999</v>
      </c>
      <c r="AE4642">
        <v>-11.718500000000001</v>
      </c>
      <c r="AF4642">
        <v>-1.9138513434078399</v>
      </c>
      <c r="AG4642">
        <v>-1.1187549102429999</v>
      </c>
      <c r="AH4642">
        <v>11.5445068394489</v>
      </c>
      <c r="AI4642">
        <v>95.461059710841695</v>
      </c>
      <c r="AJ4642">
        <v>99.412900377054399</v>
      </c>
      <c r="AK4642">
        <v>11.7554275838839</v>
      </c>
      <c r="AL4642">
        <v>80.374468797489499</v>
      </c>
      <c r="AM4642">
        <v>95.948622738691697</v>
      </c>
      <c r="AN4642">
        <v>1.00000003902432</v>
      </c>
    </row>
    <row r="4643" spans="1:40" x14ac:dyDescent="0.25">
      <c r="A4643" t="str">
        <f>"20190303162647562"</f>
        <v>20190303162647562</v>
      </c>
      <c r="B4643" t="str">
        <f>"1551601607548144"</f>
        <v>1551601607548144</v>
      </c>
      <c r="C4643" t="s">
        <v>40</v>
      </c>
      <c r="D4643">
        <v>5.7824169999999997</v>
      </c>
      <c r="E4643">
        <v>0.47055010000000003</v>
      </c>
      <c r="F4643" t="s">
        <v>41</v>
      </c>
      <c r="G4643">
        <v>-301.61660000000001</v>
      </c>
      <c r="H4643" s="1">
        <v>-3.9593829999999999E-6</v>
      </c>
      <c r="I4643">
        <v>-22.184100000000001</v>
      </c>
      <c r="J4643">
        <v>-300.64240000000001</v>
      </c>
      <c r="K4643">
        <v>1.121173</v>
      </c>
      <c r="L4643">
        <v>-11.3894</v>
      </c>
      <c r="M4643">
        <v>-0.27669480000000002</v>
      </c>
      <c r="N4643">
        <v>-1.105502E-2</v>
      </c>
      <c r="O4643">
        <v>-0.96089449999999998</v>
      </c>
      <c r="P4643">
        <v>-0.17333080000000001</v>
      </c>
      <c r="Q4643">
        <v>0.15629879999999999</v>
      </c>
      <c r="R4643">
        <v>-0.97238239999999998</v>
      </c>
      <c r="S4643">
        <v>-0.31112669999999998</v>
      </c>
      <c r="T4643">
        <v>-0.3015893</v>
      </c>
      <c r="U4643">
        <v>-3.0796809999999999</v>
      </c>
      <c r="V4643">
        <v>-0.1029219</v>
      </c>
      <c r="W4643">
        <v>0.1668945</v>
      </c>
      <c r="X4643">
        <v>0.98058829999999997</v>
      </c>
      <c r="Y4643">
        <v>-0.17893619999999999</v>
      </c>
      <c r="Z4643">
        <v>7.9923449999999993E-2</v>
      </c>
      <c r="AA4643">
        <v>0.98060910000000001</v>
      </c>
      <c r="AB4643">
        <v>34</v>
      </c>
      <c r="AC4643">
        <v>-0.97419999999999596</v>
      </c>
      <c r="AD4643">
        <v>-1.1211769593830001</v>
      </c>
      <c r="AE4643">
        <v>-10.794700000000001</v>
      </c>
      <c r="AF4643">
        <v>-2.0291458957175501</v>
      </c>
      <c r="AG4643">
        <v>-1.1211769593830001</v>
      </c>
      <c r="AH4643">
        <v>10.530094482512</v>
      </c>
      <c r="AI4643">
        <v>95.968597966102706</v>
      </c>
      <c r="AJ4643">
        <v>100.907184055491</v>
      </c>
      <c r="AK4643">
        <v>10.782270663037</v>
      </c>
      <c r="AL4643">
        <v>80.392692967941102</v>
      </c>
      <c r="AM4643">
        <v>95.991788652191104</v>
      </c>
      <c r="AN4643">
        <v>1.0000000528633699</v>
      </c>
    </row>
    <row r="4644" spans="1:40" x14ac:dyDescent="0.25">
      <c r="A4644" t="str">
        <f>"20190303162647603"</f>
        <v>20190303162647603</v>
      </c>
      <c r="B4644" t="str">
        <f>"1551601607588160"</f>
        <v>1551601607588160</v>
      </c>
      <c r="C4644" t="s">
        <v>40</v>
      </c>
      <c r="D4644">
        <v>5.8930030000000002</v>
      </c>
      <c r="E4644">
        <v>0.47204889999999999</v>
      </c>
      <c r="F4644" t="s">
        <v>41</v>
      </c>
      <c r="G4644">
        <v>-301.81450000000001</v>
      </c>
      <c r="H4644" s="1">
        <v>-3.5178250000000001E-6</v>
      </c>
      <c r="I4644">
        <v>-23.336169999999999</v>
      </c>
      <c r="J4644">
        <v>-300.80540000000002</v>
      </c>
      <c r="K4644">
        <v>1.1228640000000001</v>
      </c>
      <c r="L4644">
        <v>-11.9834</v>
      </c>
      <c r="M4644">
        <v>-0.2686192</v>
      </c>
      <c r="N4644">
        <v>-1.109418E-2</v>
      </c>
      <c r="O4644">
        <v>-0.96318250000000005</v>
      </c>
      <c r="P4644">
        <v>-0.16953109999999999</v>
      </c>
      <c r="Q4644">
        <v>0.157792299999999</v>
      </c>
      <c r="R4644">
        <v>-0.97281059999999997</v>
      </c>
      <c r="S4644">
        <v>-0.3019714</v>
      </c>
      <c r="T4644">
        <v>-0.2888463</v>
      </c>
      <c r="U4644">
        <v>-3.07782</v>
      </c>
      <c r="V4644">
        <v>-9.9082779999999995E-2</v>
      </c>
      <c r="W4644">
        <v>0.1680693</v>
      </c>
      <c r="X4644">
        <v>0.98078299999999996</v>
      </c>
      <c r="Y4644">
        <v>-0.17348420000000001</v>
      </c>
      <c r="Z4644">
        <v>7.6496239999999993E-2</v>
      </c>
      <c r="AA4644">
        <v>0.98186130000000005</v>
      </c>
      <c r="AB4644">
        <v>34</v>
      </c>
      <c r="AC4644">
        <v>-1.0090999999999799</v>
      </c>
      <c r="AD4644">
        <v>-1.1228675178249901</v>
      </c>
      <c r="AE4644">
        <v>-11.35277</v>
      </c>
      <c r="AF4644">
        <v>-2.0577799276230802</v>
      </c>
      <c r="AG4644">
        <v>-1.1228675178249901</v>
      </c>
      <c r="AH4644">
        <v>11.0988193704236</v>
      </c>
      <c r="AI4644">
        <v>95.680792934782701</v>
      </c>
      <c r="AJ4644">
        <v>100.503669986446</v>
      </c>
      <c r="AK4644">
        <v>11.3436802277922</v>
      </c>
      <c r="AL4644">
        <v>80.324416890723896</v>
      </c>
      <c r="AM4644">
        <v>95.768686356004196</v>
      </c>
      <c r="AN4644">
        <v>0.99999998999200901</v>
      </c>
    </row>
    <row r="4645" spans="1:40" x14ac:dyDescent="0.25">
      <c r="A4645" t="str">
        <f>"20190303162647630"</f>
        <v>20190303162647630</v>
      </c>
      <c r="B4645" t="str">
        <f>"1551601607618416"</f>
        <v>1551601607618416</v>
      </c>
      <c r="C4645" t="s">
        <v>40</v>
      </c>
      <c r="D4645">
        <v>5.7675669999999997</v>
      </c>
      <c r="E4645">
        <v>0.47269820000000001</v>
      </c>
      <c r="F4645" t="s">
        <v>41</v>
      </c>
      <c r="G4645">
        <v>-302.04270000000002</v>
      </c>
      <c r="H4645" s="1">
        <v>-2.8710659999999998E-6</v>
      </c>
      <c r="I4645">
        <v>-24.985309999999998</v>
      </c>
      <c r="J4645">
        <v>-300.90570000000002</v>
      </c>
      <c r="K4645">
        <v>1.1237509999999999</v>
      </c>
      <c r="L4645">
        <v>-12.36322</v>
      </c>
      <c r="M4645">
        <v>-0.26247530000000002</v>
      </c>
      <c r="N4645">
        <v>-1.112227E-2</v>
      </c>
      <c r="O4645">
        <v>-0.96487480000000003</v>
      </c>
      <c r="P4645">
        <v>-0.18567330000000001</v>
      </c>
      <c r="Q4645">
        <v>0.15318880000000001</v>
      </c>
      <c r="R4645">
        <v>-0.97059740000000005</v>
      </c>
      <c r="S4645">
        <v>-0.292724599999999</v>
      </c>
      <c r="T4645">
        <v>-0.2656423</v>
      </c>
      <c r="U4645">
        <v>-3.0759280000000002</v>
      </c>
      <c r="V4645">
        <v>-7.6968350000000005E-2</v>
      </c>
      <c r="W4645">
        <v>0.1635056</v>
      </c>
      <c r="X4645">
        <v>0.9835353</v>
      </c>
      <c r="Y4645">
        <v>-0.17003389999999999</v>
      </c>
      <c r="Z4645">
        <v>6.9787290000000002E-2</v>
      </c>
      <c r="AA4645">
        <v>0.98296399999999995</v>
      </c>
      <c r="AB4645">
        <v>34</v>
      </c>
      <c r="AC4645">
        <v>-1.137</v>
      </c>
      <c r="AD4645">
        <v>-1.123753871066</v>
      </c>
      <c r="AE4645">
        <v>-12.62209</v>
      </c>
      <c r="AF4645">
        <v>-2.1987726546316502</v>
      </c>
      <c r="AG4645">
        <v>-1.123753871066</v>
      </c>
      <c r="AH4645">
        <v>12.3805959667443</v>
      </c>
      <c r="AI4645">
        <v>95.1068932248252</v>
      </c>
      <c r="AJ4645">
        <v>100.07062876949</v>
      </c>
      <c r="AK4645">
        <v>12.6244437675985</v>
      </c>
      <c r="AL4645">
        <v>80.589566769397393</v>
      </c>
      <c r="AM4645">
        <v>94.474666188834803</v>
      </c>
      <c r="AN4645">
        <v>0.99999994723958396</v>
      </c>
    </row>
    <row r="4646" spans="1:40" x14ac:dyDescent="0.25">
      <c r="A4646" t="str">
        <f>"20190303162647674"</f>
        <v>20190303162647674</v>
      </c>
      <c r="B4646" t="str">
        <f>"1551601607658434"</f>
        <v>1551601607658434</v>
      </c>
      <c r="C4646" t="s">
        <v>40</v>
      </c>
      <c r="D4646">
        <v>5.8379469999999998</v>
      </c>
      <c r="E4646">
        <v>0.47316760000000002</v>
      </c>
      <c r="F4646" t="s">
        <v>41</v>
      </c>
      <c r="G4646">
        <v>-302.29399999999998</v>
      </c>
      <c r="H4646" s="1">
        <v>-2.8529950000000001E-6</v>
      </c>
      <c r="I4646">
        <v>-25.18328</v>
      </c>
      <c r="J4646">
        <v>-301.06909999999999</v>
      </c>
      <c r="K4646">
        <v>1.1251530000000001</v>
      </c>
      <c r="L4646">
        <v>-13.01196</v>
      </c>
      <c r="M4646">
        <v>-0.25052140000000001</v>
      </c>
      <c r="N4646">
        <v>-1.1185469999999999E-2</v>
      </c>
      <c r="O4646">
        <v>-0.96804650000000003</v>
      </c>
      <c r="P4646">
        <v>-0.1892847</v>
      </c>
      <c r="Q4646">
        <v>0.1587886</v>
      </c>
      <c r="R4646">
        <v>-0.96899809999999997</v>
      </c>
      <c r="S4646">
        <v>-0.332428</v>
      </c>
      <c r="T4646">
        <v>-0.26908290000000001</v>
      </c>
      <c r="U4646">
        <v>-3.069763</v>
      </c>
      <c r="V4646">
        <v>-6.1449289999999997E-2</v>
      </c>
      <c r="W4646">
        <v>0.1691146</v>
      </c>
      <c r="X4646">
        <v>0.98367890000000002</v>
      </c>
      <c r="Y4646">
        <v>-0.14505170000000001</v>
      </c>
      <c r="Z4646">
        <v>7.1472179999999996E-2</v>
      </c>
      <c r="AA4646">
        <v>0.98683929999999997</v>
      </c>
      <c r="AB4646">
        <v>34</v>
      </c>
      <c r="AC4646">
        <v>-1.2249000000000401</v>
      </c>
      <c r="AD4646">
        <v>-1.1251558529950001</v>
      </c>
      <c r="AE4646">
        <v>-12.17132</v>
      </c>
      <c r="AF4646">
        <v>-1.84789910266358</v>
      </c>
      <c r="AG4646">
        <v>-1.1251558529950001</v>
      </c>
      <c r="AH4646">
        <v>11.988598755887599</v>
      </c>
      <c r="AI4646">
        <v>95.299406243533099</v>
      </c>
      <c r="AJ4646">
        <v>98.762498656075806</v>
      </c>
      <c r="AK4646">
        <v>12.1822496656743</v>
      </c>
      <c r="AL4646">
        <v>80.263655682029096</v>
      </c>
      <c r="AM4646">
        <v>93.574556572799096</v>
      </c>
      <c r="AN4646">
        <v>0.99999997073993596</v>
      </c>
    </row>
    <row r="4647" spans="1:40" x14ac:dyDescent="0.25">
      <c r="A4647" t="str">
        <f>"20190303162647741"</f>
        <v>20190303162647741</v>
      </c>
      <c r="B4647" t="str">
        <f>"1551601607728703"</f>
        <v>1551601607728703</v>
      </c>
      <c r="C4647" t="s">
        <v>40</v>
      </c>
      <c r="D4647">
        <v>5.8636879999999998</v>
      </c>
      <c r="E4647">
        <v>0.47274480000000002</v>
      </c>
      <c r="F4647" t="s">
        <v>41</v>
      </c>
      <c r="G4647">
        <v>-302.6671</v>
      </c>
      <c r="H4647" s="1">
        <v>-2.094429E-6</v>
      </c>
      <c r="I4647">
        <v>-27.182929999999999</v>
      </c>
      <c r="J4647">
        <v>-301.29770000000002</v>
      </c>
      <c r="K4647">
        <v>1.1264540000000001</v>
      </c>
      <c r="L4647">
        <v>-14.001829999999901</v>
      </c>
      <c r="M4647">
        <v>-0.2296503</v>
      </c>
      <c r="N4647">
        <v>-1.1273470000000001E-2</v>
      </c>
      <c r="O4647">
        <v>-0.97320799999999996</v>
      </c>
      <c r="P4647">
        <v>-0.1529131</v>
      </c>
      <c r="Q4647">
        <v>0.15076639999999999</v>
      </c>
      <c r="R4647">
        <v>-0.97667150000000003</v>
      </c>
      <c r="S4647">
        <v>-0.34600829999999999</v>
      </c>
      <c r="T4647">
        <v>-0.243621</v>
      </c>
      <c r="U4647">
        <v>-3.0683289999999999</v>
      </c>
      <c r="V4647">
        <v>-7.7823260000000005E-2</v>
      </c>
      <c r="W4647">
        <v>0.16075629999999999</v>
      </c>
      <c r="X4647">
        <v>0.98392120000000005</v>
      </c>
      <c r="Y4647">
        <v>-0.11933149999999999</v>
      </c>
      <c r="Z4647">
        <v>6.4376370000000002E-2</v>
      </c>
      <c r="AA4647">
        <v>0.99076520000000001</v>
      </c>
      <c r="AB4647">
        <v>34</v>
      </c>
      <c r="AC4647">
        <v>-1.36939999999998</v>
      </c>
      <c r="AD4647">
        <v>-1.1264560944290001</v>
      </c>
      <c r="AE4647">
        <v>-13.181100000000001</v>
      </c>
      <c r="AF4647">
        <v>-1.6822848663152199</v>
      </c>
      <c r="AG4647">
        <v>-1.1264560944290001</v>
      </c>
      <c r="AH4647">
        <v>13.048984902571201</v>
      </c>
      <c r="AI4647">
        <v>94.893537585531504</v>
      </c>
      <c r="AJ4647">
        <v>97.346094725542301</v>
      </c>
      <c r="AK4647">
        <v>13.2051123695197</v>
      </c>
      <c r="AL4647">
        <v>80.749202594618097</v>
      </c>
      <c r="AM4647">
        <v>94.522395367442101</v>
      </c>
      <c r="AN4647">
        <v>0.99999998779807797</v>
      </c>
    </row>
    <row r="4648" spans="1:40" x14ac:dyDescent="0.25">
      <c r="A4648" t="str">
        <f>"20190303162647773"</f>
        <v>20190303162647773</v>
      </c>
      <c r="B4648" t="str">
        <f>"1551601607768101"</f>
        <v>1551601607768101</v>
      </c>
      <c r="C4648" t="s">
        <v>40</v>
      </c>
      <c r="D4648">
        <v>5.5774470000000003</v>
      </c>
      <c r="E4648">
        <v>0.47241719999999998</v>
      </c>
      <c r="F4648" t="s">
        <v>41</v>
      </c>
      <c r="G4648">
        <v>-302.31729999999999</v>
      </c>
      <c r="H4648" s="1">
        <v>-2.1943969999999998E-6</v>
      </c>
      <c r="I4648">
        <v>-26.732959999999999</v>
      </c>
      <c r="J4648">
        <v>-301.40069999999997</v>
      </c>
      <c r="K4648">
        <v>1.1266969999999901</v>
      </c>
      <c r="L4648">
        <v>-14.486689999999999</v>
      </c>
      <c r="M4648">
        <v>-0.21892149999999999</v>
      </c>
      <c r="N4648">
        <v>-1.129485E-2</v>
      </c>
      <c r="O4648">
        <v>-0.97567729999999997</v>
      </c>
      <c r="P4648">
        <v>-0.13230359999999999</v>
      </c>
      <c r="Q4648">
        <v>0.13856079999999901</v>
      </c>
      <c r="R4648">
        <v>-0.98147680000000004</v>
      </c>
      <c r="S4648">
        <v>-0.24627689999999999</v>
      </c>
      <c r="T4648">
        <v>-0.27208660000000001</v>
      </c>
      <c r="U4648">
        <v>-3.0751040000000001</v>
      </c>
      <c r="V4648">
        <v>-8.8051439999999995E-2</v>
      </c>
      <c r="W4648">
        <v>0.148374799999999</v>
      </c>
      <c r="X4648">
        <v>0.98500350000000003</v>
      </c>
      <c r="Y4648">
        <v>-0.14047750000000001</v>
      </c>
      <c r="Z4648">
        <v>7.3215009999999997E-2</v>
      </c>
      <c r="AA4648">
        <v>0.9873731</v>
      </c>
      <c r="AB4648">
        <v>34</v>
      </c>
      <c r="AC4648">
        <v>-0.91660000000001596</v>
      </c>
      <c r="AD4648">
        <v>-1.1266991943969999</v>
      </c>
      <c r="AE4648">
        <v>-12.246270000000001</v>
      </c>
      <c r="AF4648">
        <v>-1.7718649731313101</v>
      </c>
      <c r="AG4648">
        <v>-1.1266991943969999</v>
      </c>
      <c r="AH4648">
        <v>12.0484263514104</v>
      </c>
      <c r="AI4648">
        <v>95.285906523700106</v>
      </c>
      <c r="AJ4648">
        <v>98.366060997548601</v>
      </c>
      <c r="AK4648">
        <v>12.230025924053701</v>
      </c>
      <c r="AL4648">
        <v>81.467244565682606</v>
      </c>
      <c r="AM4648">
        <v>95.108207166697198</v>
      </c>
      <c r="AN4648">
        <v>1.00000001618668</v>
      </c>
    </row>
    <row r="4649" spans="1:40" x14ac:dyDescent="0.25">
      <c r="A4649" t="str">
        <f>"20190303162647808"</f>
        <v>20190303162647808</v>
      </c>
      <c r="B4649" t="str">
        <f>"1551601607798356"</f>
        <v>1551601607798356</v>
      </c>
      <c r="C4649" t="s">
        <v>40</v>
      </c>
      <c r="D4649">
        <v>5.8513260000000002</v>
      </c>
      <c r="E4649">
        <v>0.47257159999999898</v>
      </c>
      <c r="F4649" t="s">
        <v>41</v>
      </c>
      <c r="G4649">
        <v>-302.04419999999999</v>
      </c>
      <c r="H4649" s="1">
        <v>-2.5609170000000002E-6</v>
      </c>
      <c r="I4649">
        <v>-25.70918</v>
      </c>
      <c r="J4649">
        <v>-301.4991</v>
      </c>
      <c r="K4649">
        <v>1.1268199999999999</v>
      </c>
      <c r="L4649">
        <v>-14.976290000000001</v>
      </c>
      <c r="M4649">
        <v>-0.20809659999999999</v>
      </c>
      <c r="N4649">
        <v>-1.1309049999999999E-2</v>
      </c>
      <c r="O4649">
        <v>-0.97804279999999999</v>
      </c>
      <c r="P4649">
        <v>-0.1117061</v>
      </c>
      <c r="Q4649">
        <v>0.13335359999999999</v>
      </c>
      <c r="R4649">
        <v>-0.98475310000000005</v>
      </c>
      <c r="S4649">
        <v>-0.17639160000000001</v>
      </c>
      <c r="T4649">
        <v>-0.3088651</v>
      </c>
      <c r="U4649">
        <v>-3.0764469999999999</v>
      </c>
      <c r="V4649">
        <v>-9.7904080000000004E-2</v>
      </c>
      <c r="W4649">
        <v>0.14300109999999999</v>
      </c>
      <c r="X4649">
        <v>0.98486830000000003</v>
      </c>
      <c r="Y4649">
        <v>-0.1518881</v>
      </c>
      <c r="Z4649">
        <v>8.4778060000000002E-2</v>
      </c>
      <c r="AA4649">
        <v>0.98475520000000005</v>
      </c>
      <c r="AB4649">
        <v>34</v>
      </c>
      <c r="AC4649">
        <v>-0.54509999999999004</v>
      </c>
      <c r="AD4649">
        <v>-1.1268225609169999</v>
      </c>
      <c r="AE4649">
        <v>-10.732889999999999</v>
      </c>
      <c r="AF4649">
        <v>-1.68196404406905</v>
      </c>
      <c r="AG4649">
        <v>-1.1268225609169999</v>
      </c>
      <c r="AH4649">
        <v>10.495945574413801</v>
      </c>
      <c r="AI4649">
        <v>96.051065236228595</v>
      </c>
      <c r="AJ4649">
        <v>99.104182990216003</v>
      </c>
      <c r="AK4649">
        <v>10.6894155888145</v>
      </c>
      <c r="AL4649">
        <v>81.778455978926004</v>
      </c>
      <c r="AM4649">
        <v>95.677024727126906</v>
      </c>
      <c r="AN4649">
        <v>1.00000004591337</v>
      </c>
    </row>
    <row r="4650" spans="1:40" x14ac:dyDescent="0.25">
      <c r="A4650" t="str">
        <f>"20190303162647843"</f>
        <v>20190303162647843</v>
      </c>
      <c r="B4650" t="str">
        <f>"1551601607828613"</f>
        <v>1551601607828613</v>
      </c>
      <c r="C4650" t="s">
        <v>40</v>
      </c>
      <c r="D4650">
        <v>5.8539700000000003</v>
      </c>
      <c r="E4650">
        <v>0.47283969999999997</v>
      </c>
      <c r="F4650" t="s">
        <v>41</v>
      </c>
      <c r="G4650">
        <v>-301.88560000000001</v>
      </c>
      <c r="H4650" s="1">
        <v>-2.491908E-6</v>
      </c>
      <c r="I4650">
        <v>-25.77168</v>
      </c>
      <c r="J4650">
        <v>-301.59629999999999</v>
      </c>
      <c r="K4650">
        <v>1.126922</v>
      </c>
      <c r="L4650">
        <v>-15.48776</v>
      </c>
      <c r="M4650">
        <v>-0.1969185</v>
      </c>
      <c r="N4650">
        <v>-1.132239E-2</v>
      </c>
      <c r="O4650">
        <v>-0.98035450000000002</v>
      </c>
      <c r="P4650">
        <v>-9.6911150000000001E-2</v>
      </c>
      <c r="Q4650">
        <v>0.14220329999999901</v>
      </c>
      <c r="R4650">
        <v>-0.98508200000000001</v>
      </c>
      <c r="S4650">
        <v>-0.1101685</v>
      </c>
      <c r="T4650">
        <v>-0.32122430000000002</v>
      </c>
      <c r="U4650">
        <v>-3.0774539999999999</v>
      </c>
      <c r="V4650">
        <v>-0.1013642</v>
      </c>
      <c r="W4650">
        <v>0.15178</v>
      </c>
      <c r="X4650">
        <v>0.98320300000000005</v>
      </c>
      <c r="Y4650">
        <v>-0.1617606</v>
      </c>
      <c r="Z4650">
        <v>8.883307E-2</v>
      </c>
      <c r="AA4650">
        <v>0.98282360000000002</v>
      </c>
      <c r="AB4650">
        <v>34</v>
      </c>
      <c r="AC4650">
        <v>-0.28930000000002498</v>
      </c>
      <c r="AD4650">
        <v>-1.1269244919079999</v>
      </c>
      <c r="AE4650">
        <v>-10.28392</v>
      </c>
      <c r="AF4650">
        <v>-1.7209403610651299</v>
      </c>
      <c r="AG4650">
        <v>-1.1269244919079999</v>
      </c>
      <c r="AH4650">
        <v>10.019288606931401</v>
      </c>
      <c r="AI4650">
        <v>96.325536643898204</v>
      </c>
      <c r="AJ4650">
        <v>99.746176785280596</v>
      </c>
      <c r="AK4650">
        <v>10.228281318275799</v>
      </c>
      <c r="AL4650">
        <v>81.269905764448197</v>
      </c>
      <c r="AM4650">
        <v>95.886164622806106</v>
      </c>
      <c r="AN4650">
        <v>1.0000000043253101</v>
      </c>
    </row>
    <row r="4651" spans="1:40" x14ac:dyDescent="0.25">
      <c r="A4651" t="str">
        <f>"20190303162647875"</f>
        <v>20190303162647875</v>
      </c>
      <c r="B4651" t="str">
        <f>"1551601607868629"</f>
        <v>1551601607868629</v>
      </c>
      <c r="C4651" t="s">
        <v>40</v>
      </c>
      <c r="D4651">
        <v>5.8687690000000003</v>
      </c>
      <c r="E4651">
        <v>0.47989369999999998</v>
      </c>
      <c r="F4651" t="s">
        <v>41</v>
      </c>
      <c r="G4651">
        <v>-301.85660000000001</v>
      </c>
      <c r="H4651" s="1">
        <v>-1.767905E-6</v>
      </c>
      <c r="I4651">
        <v>-27.441369999999999</v>
      </c>
      <c r="J4651">
        <v>-301.68549999999999</v>
      </c>
      <c r="K4651">
        <v>1.126984</v>
      </c>
      <c r="L4651">
        <v>-15.986879999999999</v>
      </c>
      <c r="M4651">
        <v>-0.18612999999999999</v>
      </c>
      <c r="N4651">
        <v>-1.133873E-2</v>
      </c>
      <c r="O4651">
        <v>-0.98245970000000005</v>
      </c>
      <c r="P4651">
        <v>-9.2756069999999996E-2</v>
      </c>
      <c r="Q4651">
        <v>0.14383360000000001</v>
      </c>
      <c r="R4651">
        <v>-0.9852455</v>
      </c>
      <c r="S4651">
        <v>-6.7077639999999994E-2</v>
      </c>
      <c r="T4651">
        <v>-0.2904369</v>
      </c>
      <c r="U4651">
        <v>-3.0807500000000001</v>
      </c>
      <c r="V4651">
        <v>-9.4691919999999999E-2</v>
      </c>
      <c r="W4651">
        <v>0.1535231</v>
      </c>
      <c r="X4651">
        <v>0.98359750000000001</v>
      </c>
      <c r="Y4651">
        <v>-0.16467560000000001</v>
      </c>
      <c r="Z4651">
        <v>7.9480659999999995E-2</v>
      </c>
      <c r="AA4651">
        <v>0.98314029999999997</v>
      </c>
      <c r="AB4651">
        <v>34</v>
      </c>
      <c r="AC4651">
        <v>-0.17110000000002401</v>
      </c>
      <c r="AD4651">
        <v>-1.1269857679049999</v>
      </c>
      <c r="AE4651">
        <v>-11.45449</v>
      </c>
      <c r="AF4651">
        <v>-1.9452256067786899</v>
      </c>
      <c r="AG4651">
        <v>-1.1269857679049999</v>
      </c>
      <c r="AH4651">
        <v>11.1779660913037</v>
      </c>
      <c r="AI4651">
        <v>95.672539887269906</v>
      </c>
      <c r="AJ4651">
        <v>99.871933927032799</v>
      </c>
      <c r="AK4651">
        <v>11.401794837685101</v>
      </c>
      <c r="AL4651">
        <v>81.168848813152806</v>
      </c>
      <c r="AM4651">
        <v>95.498975705275697</v>
      </c>
      <c r="AN4651">
        <v>0.99999997197657198</v>
      </c>
    </row>
    <row r="4652" spans="1:40" x14ac:dyDescent="0.25">
      <c r="A4652" t="str">
        <f>"20190303162647908"</f>
        <v>20190303162647908</v>
      </c>
      <c r="B4652" t="str">
        <f>"1551601607898885"</f>
        <v>1551601607898885</v>
      </c>
      <c r="C4652" t="s">
        <v>40</v>
      </c>
      <c r="D4652">
        <v>5.706861</v>
      </c>
      <c r="E4652">
        <v>0.43885679999999999</v>
      </c>
      <c r="F4652" t="s">
        <v>41</v>
      </c>
      <c r="G4652">
        <v>-302.2876</v>
      </c>
      <c r="H4652" s="1">
        <v>-3.3559119999999998E-6</v>
      </c>
      <c r="I4652">
        <v>-34.006999999999998</v>
      </c>
      <c r="J4652">
        <v>-301.76749999999998</v>
      </c>
      <c r="K4652">
        <v>1.1270910000000001</v>
      </c>
      <c r="L4652">
        <v>-16.478549999999998</v>
      </c>
      <c r="M4652">
        <v>-0.1754783</v>
      </c>
      <c r="N4652">
        <v>-1.136066E-2</v>
      </c>
      <c r="O4652">
        <v>-0.98441800000000002</v>
      </c>
      <c r="P4652">
        <v>-8.2800490000000004E-2</v>
      </c>
      <c r="Q4652">
        <v>0.13833819999999999</v>
      </c>
      <c r="R4652">
        <v>-0.98691819999999997</v>
      </c>
      <c r="S4652">
        <v>-0.102356</v>
      </c>
      <c r="T4652">
        <v>-0.191578</v>
      </c>
      <c r="U4652">
        <v>-3.0632630000000001</v>
      </c>
      <c r="V4652">
        <v>-9.4062229999999997E-2</v>
      </c>
      <c r="W4652">
        <v>0.14804419999999999</v>
      </c>
      <c r="X4652">
        <v>0.98449739999999997</v>
      </c>
      <c r="Y4652">
        <v>-0.14249400000000001</v>
      </c>
      <c r="Z4652">
        <v>4.9323699999999998E-2</v>
      </c>
      <c r="AA4652">
        <v>0.98856599999999994</v>
      </c>
      <c r="AB4652">
        <v>34</v>
      </c>
      <c r="AC4652">
        <v>-0.520100000000013</v>
      </c>
      <c r="AD4652">
        <v>-1.1270943559119999</v>
      </c>
      <c r="AE4652">
        <v>-17.528449999999999</v>
      </c>
      <c r="AF4652">
        <v>-2.5534832910782499</v>
      </c>
      <c r="AG4652">
        <v>-1.1270943559119999</v>
      </c>
      <c r="AH4652">
        <v>17.2763352612075</v>
      </c>
      <c r="AI4652">
        <v>93.692638330899001</v>
      </c>
      <c r="AJ4652">
        <v>98.407581888855802</v>
      </c>
      <c r="AK4652">
        <v>17.500353672500101</v>
      </c>
      <c r="AL4652">
        <v>81.486397595116898</v>
      </c>
      <c r="AM4652">
        <v>95.457667031944993</v>
      </c>
      <c r="AN4652">
        <v>0.99999995943648501</v>
      </c>
    </row>
    <row r="4653" spans="1:40" x14ac:dyDescent="0.25">
      <c r="A4653" t="str">
        <f>"20190303162647945"</f>
        <v>20190303162647945</v>
      </c>
      <c r="B4653" t="str">
        <f>"1551601607938901"</f>
        <v>1551601607938901</v>
      </c>
      <c r="C4653" t="s">
        <v>40</v>
      </c>
      <c r="D4653">
        <v>5.6185479999999997</v>
      </c>
      <c r="E4653">
        <v>0.43459950000000003</v>
      </c>
      <c r="F4653" t="s">
        <v>41</v>
      </c>
      <c r="G4653">
        <v>-300.75290000000001</v>
      </c>
      <c r="H4653" s="1">
        <v>-8.6374459999999999E-7</v>
      </c>
      <c r="I4653">
        <v>-28.864470000000001</v>
      </c>
      <c r="J4653">
        <v>-301.85149999999999</v>
      </c>
      <c r="K4653">
        <v>1.127313</v>
      </c>
      <c r="L4653">
        <v>-17.021149999999999</v>
      </c>
      <c r="M4653">
        <v>-0.1634786</v>
      </c>
      <c r="N4653">
        <v>-1.139476E-2</v>
      </c>
      <c r="O4653">
        <v>-0.98648119999999995</v>
      </c>
      <c r="P4653">
        <v>-7.3980050000000006E-2</v>
      </c>
      <c r="Q4653">
        <v>0.14014779999999999</v>
      </c>
      <c r="R4653">
        <v>-0.9873632</v>
      </c>
      <c r="S4653">
        <v>0.25396729999999901</v>
      </c>
      <c r="T4653">
        <v>-0.28214929999999999</v>
      </c>
      <c r="U4653">
        <v>-3.100616</v>
      </c>
      <c r="V4653">
        <v>-9.0924619999999998E-2</v>
      </c>
      <c r="W4653">
        <v>0.14989630000000001</v>
      </c>
      <c r="X4653">
        <v>0.98451200000000005</v>
      </c>
      <c r="Y4653">
        <v>-0.24309</v>
      </c>
      <c r="Z4653">
        <v>7.5857540000000001E-2</v>
      </c>
      <c r="AA4653">
        <v>0.96703300000000003</v>
      </c>
      <c r="AB4653">
        <v>34</v>
      </c>
      <c r="AC4653">
        <v>1.09859999999997</v>
      </c>
      <c r="AD4653">
        <v>-1.1273138637446001</v>
      </c>
      <c r="AE4653">
        <v>-11.84332</v>
      </c>
      <c r="AF4653">
        <v>-2.9931854995710698</v>
      </c>
      <c r="AG4653">
        <v>-1.1273138637446001</v>
      </c>
      <c r="AH4653">
        <v>11.401936687176001</v>
      </c>
      <c r="AI4653">
        <v>95.462591384737806</v>
      </c>
      <c r="AJ4653">
        <v>104.709136560915</v>
      </c>
      <c r="AK4653">
        <v>11.8420503376993</v>
      </c>
      <c r="AL4653">
        <v>81.379083242223899</v>
      </c>
      <c r="AM4653">
        <v>95.276584398017604</v>
      </c>
      <c r="AN4653">
        <v>1.0000000327099099</v>
      </c>
    </row>
    <row r="4654" spans="1:40" x14ac:dyDescent="0.25">
      <c r="A4654" t="str">
        <f>"20190303162648008"</f>
        <v>20190303162648008</v>
      </c>
      <c r="B4654" t="str">
        <f>"1551601607998438"</f>
        <v>1551601607998438</v>
      </c>
      <c r="C4654" t="s">
        <v>40</v>
      </c>
      <c r="D4654">
        <v>5.7460809999999896</v>
      </c>
      <c r="E4654">
        <v>0.43581320000000001</v>
      </c>
      <c r="F4654" t="s">
        <v>41</v>
      </c>
      <c r="G4654">
        <v>-300.62040000000002</v>
      </c>
      <c r="H4654" s="1">
        <v>-6.6933550000000002E-7</v>
      </c>
      <c r="I4654">
        <v>-29.235410000000002</v>
      </c>
      <c r="J4654">
        <v>-301.98079999999999</v>
      </c>
      <c r="K4654">
        <v>1.1277740000000001</v>
      </c>
      <c r="L4654">
        <v>-17.97101</v>
      </c>
      <c r="M4654">
        <v>-0.14138039999999999</v>
      </c>
      <c r="N4654">
        <v>-1.1469490000000001E-2</v>
      </c>
      <c r="O4654">
        <v>-0.98988900000000002</v>
      </c>
      <c r="P4654">
        <v>-4.9617880000000003E-2</v>
      </c>
      <c r="Q4654">
        <v>0.13913020000000001</v>
      </c>
      <c r="R4654">
        <v>-0.98903019999999997</v>
      </c>
      <c r="S4654">
        <v>0.31271359999999998</v>
      </c>
      <c r="T4654">
        <v>-0.28634270000000001</v>
      </c>
      <c r="U4654">
        <v>-3.1024780000000001</v>
      </c>
      <c r="V4654">
        <v>-9.3352790000000005E-2</v>
      </c>
      <c r="W4654">
        <v>0.14881140000000001</v>
      </c>
      <c r="X4654">
        <v>0.98444929999999997</v>
      </c>
      <c r="Y4654">
        <v>-0.2395012</v>
      </c>
      <c r="Z4654">
        <v>7.7447370000000001E-2</v>
      </c>
      <c r="AA4654">
        <v>0.96780219999999995</v>
      </c>
      <c r="AB4654">
        <v>34</v>
      </c>
      <c r="AC4654">
        <v>1.3603999999999601</v>
      </c>
      <c r="AD4654">
        <v>-1.1277746693355</v>
      </c>
      <c r="AE4654">
        <v>-11.264399999999901</v>
      </c>
      <c r="AF4654">
        <v>-2.91064735451334</v>
      </c>
      <c r="AG4654">
        <v>-1.1277746693355</v>
      </c>
      <c r="AH4654">
        <v>10.8516810907321</v>
      </c>
      <c r="AI4654">
        <v>95.732049383587494</v>
      </c>
      <c r="AJ4654">
        <v>105.01452232474</v>
      </c>
      <c r="AK4654">
        <v>11.2917105091338</v>
      </c>
      <c r="AL4654">
        <v>81.441948263558203</v>
      </c>
      <c r="AM4654">
        <v>95.417012834986494</v>
      </c>
      <c r="AN4654">
        <v>1.00000000022061</v>
      </c>
    </row>
    <row r="4655" spans="1:40" x14ac:dyDescent="0.25">
      <c r="A4655" t="str">
        <f>"20190303162648042"</f>
        <v>20190303162648042</v>
      </c>
      <c r="B4655" t="str">
        <f>"1551601608028693"</f>
        <v>1551601608028693</v>
      </c>
      <c r="C4655" t="s">
        <v>40</v>
      </c>
      <c r="D4655">
        <v>5.5934160000000004</v>
      </c>
      <c r="E4655">
        <v>0.43688450000000001</v>
      </c>
      <c r="F4655" t="s">
        <v>41</v>
      </c>
      <c r="G4655">
        <v>-300.46620000000001</v>
      </c>
      <c r="H4655" s="1">
        <v>-4.3481440000000003E-6</v>
      </c>
      <c r="I4655">
        <v>-30.478999999999999</v>
      </c>
      <c r="J4655">
        <v>-302.04059999999998</v>
      </c>
      <c r="K4655">
        <v>1.1280349999999999</v>
      </c>
      <c r="L4655">
        <v>-18.479310000000002</v>
      </c>
      <c r="M4655">
        <v>-0.12883430000000001</v>
      </c>
      <c r="N4655">
        <v>-1.1515589999999999E-2</v>
      </c>
      <c r="O4655">
        <v>-0.99159940000000002</v>
      </c>
      <c r="P4655">
        <v>-3.6320779999999997E-2</v>
      </c>
      <c r="Q4655">
        <v>0.1358047</v>
      </c>
      <c r="R4655">
        <v>-0.99006989999999995</v>
      </c>
      <c r="S4655">
        <v>0.37432860000000001</v>
      </c>
      <c r="T4655">
        <v>-0.27872380000000002</v>
      </c>
      <c r="U4655">
        <v>-3.091278</v>
      </c>
      <c r="V4655">
        <v>-9.4216560000000005E-2</v>
      </c>
      <c r="W4655">
        <v>0.1454599</v>
      </c>
      <c r="X4655">
        <v>0.98486779999999996</v>
      </c>
      <c r="Y4655">
        <v>-0.2466238</v>
      </c>
      <c r="Z4655">
        <v>7.5408320000000001E-2</v>
      </c>
      <c r="AA4655">
        <v>0.96617299999999995</v>
      </c>
      <c r="AB4655">
        <v>34</v>
      </c>
      <c r="AC4655">
        <v>1.5743999999999601</v>
      </c>
      <c r="AD4655">
        <v>-1.1280393481440001</v>
      </c>
      <c r="AE4655">
        <v>-11.9996899999999</v>
      </c>
      <c r="AF4655">
        <v>-3.08058871150409</v>
      </c>
      <c r="AG4655">
        <v>-1.1280393481440001</v>
      </c>
      <c r="AH4655">
        <v>11.5960815361765</v>
      </c>
      <c r="AI4655">
        <v>95.3709678078054</v>
      </c>
      <c r="AJ4655">
        <v>104.877433747688</v>
      </c>
      <c r="AK4655">
        <v>12.0512076811439</v>
      </c>
      <c r="AL4655">
        <v>81.636087809164593</v>
      </c>
      <c r="AM4655">
        <v>95.464523868776794</v>
      </c>
      <c r="AN4655">
        <v>0.99999996308154104</v>
      </c>
    </row>
    <row r="4656" spans="1:40" x14ac:dyDescent="0.25">
      <c r="A4656" t="str">
        <f>"20190303162648077"</f>
        <v>20190303162648077</v>
      </c>
      <c r="B4656" t="str">
        <f>"1551601608068709"</f>
        <v>1551601608068709</v>
      </c>
      <c r="C4656" t="s">
        <v>40</v>
      </c>
      <c r="D4656">
        <v>5.5666200000000003</v>
      </c>
      <c r="E4656">
        <v>0.43875989999999998</v>
      </c>
      <c r="F4656" t="s">
        <v>41</v>
      </c>
      <c r="G4656">
        <v>-300.42959999999999</v>
      </c>
      <c r="H4656" s="1">
        <v>-4.2741859999999997E-6</v>
      </c>
      <c r="I4656">
        <v>-30.67726</v>
      </c>
      <c r="J4656">
        <v>-302.0951</v>
      </c>
      <c r="K4656">
        <v>1.1282650000000001</v>
      </c>
      <c r="L4656">
        <v>-19.005680000000002</v>
      </c>
      <c r="M4656">
        <v>-0.1153853</v>
      </c>
      <c r="N4656">
        <v>-1.1559760000000001E-2</v>
      </c>
      <c r="O4656">
        <v>-0.99325370000000002</v>
      </c>
      <c r="P4656">
        <v>-2.5349750000000001E-2</v>
      </c>
      <c r="Q4656">
        <v>0.13730919999999999</v>
      </c>
      <c r="R4656">
        <v>-0.99020419999999998</v>
      </c>
      <c r="S4656">
        <v>0.40731810000000002</v>
      </c>
      <c r="T4656">
        <v>-0.28521679999999999</v>
      </c>
      <c r="U4656">
        <v>-3.0841669999999999</v>
      </c>
      <c r="V4656">
        <v>-9.1869619999999999E-2</v>
      </c>
      <c r="W4656">
        <v>0.1469982</v>
      </c>
      <c r="X4656">
        <v>0.98486110000000004</v>
      </c>
      <c r="Y4656">
        <v>-0.2439037</v>
      </c>
      <c r="Z4656">
        <v>7.7779929999999997E-2</v>
      </c>
      <c r="AA4656">
        <v>0.96667530000000002</v>
      </c>
      <c r="AB4656">
        <v>34</v>
      </c>
      <c r="AC4656">
        <v>1.6655</v>
      </c>
      <c r="AD4656">
        <v>-1.1282692741859901</v>
      </c>
      <c r="AE4656">
        <v>-11.671580000000001</v>
      </c>
      <c r="AF4656">
        <v>-2.9739566710716199</v>
      </c>
      <c r="AG4656">
        <v>-1.1282692741859901</v>
      </c>
      <c r="AH4656">
        <v>11.297956513284101</v>
      </c>
      <c r="AI4656">
        <v>95.516238284970797</v>
      </c>
      <c r="AJ4656">
        <v>104.74740555023099</v>
      </c>
      <c r="AK4656">
        <v>11.7371730502937</v>
      </c>
      <c r="AL4656">
        <v>81.546991807554406</v>
      </c>
      <c r="AM4656">
        <v>95.329231945462695</v>
      </c>
      <c r="AN4656">
        <v>0.99999994208769505</v>
      </c>
    </row>
    <row r="4657" spans="1:40" x14ac:dyDescent="0.25">
      <c r="A4657" t="str">
        <f>"20190303162648109"</f>
        <v>20190303162648109</v>
      </c>
      <c r="B4657" t="str">
        <f>"1551601608097990"</f>
        <v>1551601608097990</v>
      </c>
      <c r="C4657" t="s">
        <v>40</v>
      </c>
      <c r="D4657">
        <v>5.5029870000000001</v>
      </c>
      <c r="E4657">
        <v>0.44049070000000001</v>
      </c>
      <c r="F4657" t="s">
        <v>41</v>
      </c>
      <c r="G4657">
        <v>-300.35149999999999</v>
      </c>
      <c r="H4657" s="1">
        <v>-3.8779639999999998E-6</v>
      </c>
      <c r="I4657">
        <v>-31.589259999999999</v>
      </c>
      <c r="J4657">
        <v>-302.1386</v>
      </c>
      <c r="K4657">
        <v>1.1283840000000001</v>
      </c>
      <c r="L4657">
        <v>-19.493870000000001</v>
      </c>
      <c r="M4657">
        <v>-0.1026271</v>
      </c>
      <c r="N4657">
        <v>-1.159054E-2</v>
      </c>
      <c r="O4657">
        <v>-0.9946526</v>
      </c>
      <c r="P4657">
        <v>-7.0564499999999997E-3</v>
      </c>
      <c r="Q4657">
        <v>0.1324186</v>
      </c>
      <c r="R4657">
        <v>-0.99116890000000002</v>
      </c>
      <c r="S4657">
        <v>0.42660520000000002</v>
      </c>
      <c r="T4657">
        <v>-0.2760592</v>
      </c>
      <c r="U4657">
        <v>-3.0788880000000001</v>
      </c>
      <c r="V4657">
        <v>-9.7459009999999999E-2</v>
      </c>
      <c r="W4657">
        <v>0.1419967</v>
      </c>
      <c r="X4657">
        <v>0.98505770000000004</v>
      </c>
      <c r="Y4657">
        <v>-0.2376499</v>
      </c>
      <c r="Z4657">
        <v>7.5271169999999998E-2</v>
      </c>
      <c r="AA4657">
        <v>0.96843000000000001</v>
      </c>
      <c r="AB4657">
        <v>34</v>
      </c>
      <c r="AC4657">
        <v>1.7870999999999999</v>
      </c>
      <c r="AD4657">
        <v>-1.128387877964</v>
      </c>
      <c r="AE4657">
        <v>-12.095389999999901</v>
      </c>
      <c r="AF4657">
        <v>-2.9935637006833198</v>
      </c>
      <c r="AG4657">
        <v>-1.128387877964</v>
      </c>
      <c r="AH4657">
        <v>11.748038643773199</v>
      </c>
      <c r="AI4657">
        <v>95.317478166969494</v>
      </c>
      <c r="AJ4657">
        <v>104.295540385667</v>
      </c>
      <c r="AK4657">
        <v>12.1758406202107</v>
      </c>
      <c r="AL4657">
        <v>81.836596790225201</v>
      </c>
      <c r="AM4657">
        <v>95.650304947983201</v>
      </c>
      <c r="AN4657">
        <v>0.99999999688517904</v>
      </c>
    </row>
    <row r="4658" spans="1:40" x14ac:dyDescent="0.25">
      <c r="A4658" t="str">
        <f>"20190303162648146"</f>
        <v>20190303162648146</v>
      </c>
      <c r="B4658" t="str">
        <f>"1551601608128246"</f>
        <v>1551601608128246</v>
      </c>
      <c r="C4658" t="s">
        <v>40</v>
      </c>
      <c r="D4658">
        <v>5.3323539999999996</v>
      </c>
      <c r="E4658">
        <v>0.45699529999999999</v>
      </c>
      <c r="F4658" t="s">
        <v>41</v>
      </c>
      <c r="G4658">
        <v>-300.3134</v>
      </c>
      <c r="H4658" s="1">
        <v>-3.8888010000000002E-6</v>
      </c>
      <c r="I4658">
        <v>-31.540389999999999</v>
      </c>
      <c r="J4658">
        <v>-302.18060000000003</v>
      </c>
      <c r="K4658">
        <v>1.1284730000000001</v>
      </c>
      <c r="L4658">
        <v>-20.04721</v>
      </c>
      <c r="M4658">
        <v>-8.8061630000000002E-2</v>
      </c>
      <c r="N4658">
        <v>-1.161272E-2</v>
      </c>
      <c r="O4658">
        <v>-0.99604740000000003</v>
      </c>
      <c r="P4658">
        <v>1.156574E-2</v>
      </c>
      <c r="Q4658">
        <v>0.13588020000000001</v>
      </c>
      <c r="R4658">
        <v>-0.99065769999999997</v>
      </c>
      <c r="S4658">
        <v>0.46490480000000001</v>
      </c>
      <c r="T4658">
        <v>-0.28741929999999999</v>
      </c>
      <c r="U4658">
        <v>-3.068451</v>
      </c>
      <c r="V4658">
        <v>-0.1016146</v>
      </c>
      <c r="W4658">
        <v>0.14536840000000001</v>
      </c>
      <c r="X4658">
        <v>0.98414559999999995</v>
      </c>
      <c r="Y4658">
        <v>-0.2356732</v>
      </c>
      <c r="Z4658">
        <v>7.9242759999999995E-2</v>
      </c>
      <c r="AA4658">
        <v>0.96859629999999997</v>
      </c>
      <c r="AB4658">
        <v>34</v>
      </c>
      <c r="AC4658">
        <v>1.86720000000002</v>
      </c>
      <c r="AD4658">
        <v>-1.1284768888009999</v>
      </c>
      <c r="AE4658">
        <v>-11.493180000000001</v>
      </c>
      <c r="AF4658">
        <v>-2.84539537767649</v>
      </c>
      <c r="AG4658">
        <v>-1.1284768888009999</v>
      </c>
      <c r="AH4658">
        <v>11.179081664781799</v>
      </c>
      <c r="AI4658">
        <v>95.587255994075605</v>
      </c>
      <c r="AJ4658">
        <v>104.280185779528</v>
      </c>
      <c r="AK4658">
        <v>11.5905824621424</v>
      </c>
      <c r="AL4658">
        <v>81.641387261814501</v>
      </c>
      <c r="AM4658">
        <v>95.894991057035298</v>
      </c>
      <c r="AN4658">
        <v>1.0000000303255301</v>
      </c>
    </row>
    <row r="4659" spans="1:40" x14ac:dyDescent="0.25">
      <c r="A4659" t="str">
        <f>"20190303162648177"</f>
        <v>20190303162648177</v>
      </c>
      <c r="B4659" t="str">
        <f>"1551601608168261"</f>
        <v>1551601608168261</v>
      </c>
      <c r="C4659" t="s">
        <v>40</v>
      </c>
      <c r="D4659">
        <v>5.2208940000000004</v>
      </c>
      <c r="E4659">
        <v>0.45834429999999998</v>
      </c>
      <c r="F4659" t="s">
        <v>41</v>
      </c>
      <c r="G4659">
        <v>-300.26420000000002</v>
      </c>
      <c r="H4659" s="1">
        <v>-2.334768E-6</v>
      </c>
      <c r="I4659">
        <v>-35.13232</v>
      </c>
      <c r="J4659">
        <v>-302.20979999999997</v>
      </c>
      <c r="K4659">
        <v>1.1284650000000001</v>
      </c>
      <c r="L4659">
        <v>-20.51126</v>
      </c>
      <c r="M4659">
        <v>-7.5923119999999997E-2</v>
      </c>
      <c r="N4659">
        <v>-1.162089E-2</v>
      </c>
      <c r="O4659">
        <v>-0.99704610000000005</v>
      </c>
      <c r="P4659">
        <v>2.8349329999999999E-2</v>
      </c>
      <c r="Q4659">
        <v>0.1364447</v>
      </c>
      <c r="R4659">
        <v>-0.99024210000000001</v>
      </c>
      <c r="S4659">
        <v>0.38812259999999998</v>
      </c>
      <c r="T4659">
        <v>-0.22854479999999999</v>
      </c>
      <c r="U4659">
        <v>-3.0551149999999998</v>
      </c>
      <c r="V4659">
        <v>-0.1063132</v>
      </c>
      <c r="W4659">
        <v>0.1458439</v>
      </c>
      <c r="X4659">
        <v>0.98357870000000003</v>
      </c>
      <c r="Y4659">
        <v>-0.20064470000000001</v>
      </c>
      <c r="Z4659">
        <v>6.1574669999999998E-2</v>
      </c>
      <c r="AA4659">
        <v>0.97772709999999996</v>
      </c>
      <c r="AB4659">
        <v>34</v>
      </c>
      <c r="AC4659">
        <v>1.94559999999995</v>
      </c>
      <c r="AD4659">
        <v>-1.1284673347679901</v>
      </c>
      <c r="AE4659">
        <v>-14.62106</v>
      </c>
      <c r="AF4659">
        <v>-3.0323855760959799</v>
      </c>
      <c r="AG4659">
        <v>-1.1284673347679901</v>
      </c>
      <c r="AH4659">
        <v>14.3471496675641</v>
      </c>
      <c r="AI4659">
        <v>94.400488291989205</v>
      </c>
      <c r="AJ4659">
        <v>101.934282749906</v>
      </c>
      <c r="AK4659">
        <v>14.707464240692101</v>
      </c>
      <c r="AL4659">
        <v>81.613849379333303</v>
      </c>
      <c r="AM4659">
        <v>96.169044668790605</v>
      </c>
      <c r="AN4659">
        <v>0.99999999937757</v>
      </c>
    </row>
    <row r="4660" spans="1:40" x14ac:dyDescent="0.25">
      <c r="A4660" t="str">
        <f>"20190303162648220"</f>
        <v>20190303162648220</v>
      </c>
      <c r="B4660" t="str">
        <f>"1551601608208278"</f>
        <v>1551601608208278</v>
      </c>
      <c r="C4660" t="s">
        <v>40</v>
      </c>
      <c r="D4660">
        <v>5.214677</v>
      </c>
      <c r="E4660">
        <v>0.46498630000000002</v>
      </c>
      <c r="F4660" t="s">
        <v>41</v>
      </c>
      <c r="G4660">
        <v>-300.05779999999999</v>
      </c>
      <c r="H4660" s="1">
        <v>-1.990653E-6</v>
      </c>
      <c r="I4660">
        <v>-35.806469999999997</v>
      </c>
      <c r="J4660">
        <v>-302.24200000000002</v>
      </c>
      <c r="K4660">
        <v>1.128263</v>
      </c>
      <c r="L4660">
        <v>-21.171600000000002</v>
      </c>
      <c r="M4660">
        <v>-5.923718E-2</v>
      </c>
      <c r="N4660">
        <v>-1.161094E-2</v>
      </c>
      <c r="O4660">
        <v>-0.99817650000000002</v>
      </c>
      <c r="P4660">
        <v>5.2938730000000003E-2</v>
      </c>
      <c r="Q4660">
        <v>0.1337595</v>
      </c>
      <c r="R4660">
        <v>-0.98959909999999995</v>
      </c>
      <c r="S4660">
        <v>0.428894</v>
      </c>
      <c r="T4660">
        <v>-0.2248994</v>
      </c>
      <c r="U4660">
        <v>-3.048279</v>
      </c>
      <c r="V4660">
        <v>-0.11420810000000001</v>
      </c>
      <c r="W4660">
        <v>0.14304029999999901</v>
      </c>
      <c r="X4660">
        <v>0.98310529999999996</v>
      </c>
      <c r="Y4660">
        <v>-0.19739139999999999</v>
      </c>
      <c r="Z4660">
        <v>6.0674239999999997E-2</v>
      </c>
      <c r="AA4660">
        <v>0.97844540000000002</v>
      </c>
      <c r="AB4660">
        <v>34</v>
      </c>
      <c r="AC4660">
        <v>2.1842000000000299</v>
      </c>
      <c r="AD4660">
        <v>-1.128264990653</v>
      </c>
      <c r="AE4660">
        <v>-14.634869999999999</v>
      </c>
      <c r="AF4660">
        <v>-3.02973571853174</v>
      </c>
      <c r="AG4660">
        <v>-1.128264990653</v>
      </c>
      <c r="AH4660">
        <v>14.3960730695796</v>
      </c>
      <c r="AI4660">
        <v>94.385604763888296</v>
      </c>
      <c r="AJ4660">
        <v>101.884784028675</v>
      </c>
      <c r="AK4660">
        <v>14.754633178698599</v>
      </c>
      <c r="AL4660">
        <v>81.776186475409503</v>
      </c>
      <c r="AM4660">
        <v>96.626392216277495</v>
      </c>
      <c r="AN4660">
        <v>1.00000002420889</v>
      </c>
    </row>
    <row r="4661" spans="1:40" x14ac:dyDescent="0.25">
      <c r="A4661" t="str">
        <f>"20190303162648254"</f>
        <v>20190303162648254</v>
      </c>
      <c r="B4661" t="str">
        <f>"1551601608248294"</f>
        <v>1551601608248294</v>
      </c>
      <c r="C4661" t="s">
        <v>40</v>
      </c>
      <c r="D4661">
        <v>5.084301</v>
      </c>
      <c r="E4661">
        <v>0.46718419999999999</v>
      </c>
      <c r="F4661" t="s">
        <v>41</v>
      </c>
      <c r="G4661">
        <v>-300.04719999999998</v>
      </c>
      <c r="H4661" s="1">
        <v>-1.8689049999999999E-6</v>
      </c>
      <c r="I4661">
        <v>-36.08372</v>
      </c>
      <c r="J4661">
        <v>-302.2604</v>
      </c>
      <c r="K4661">
        <v>1.1280269999999999</v>
      </c>
      <c r="L4661">
        <v>-21.694210000000002</v>
      </c>
      <c r="M4661">
        <v>-4.6679709999999999E-2</v>
      </c>
      <c r="N4661">
        <v>-1.1588579999999999E-2</v>
      </c>
      <c r="O4661">
        <v>-0.99884280000000003</v>
      </c>
      <c r="P4661">
        <v>6.7430939999999995E-2</v>
      </c>
      <c r="Q4661">
        <v>0.13512439999999901</v>
      </c>
      <c r="R4661">
        <v>-0.98853170000000001</v>
      </c>
      <c r="S4661">
        <v>0.4472351</v>
      </c>
      <c r="T4661">
        <v>-0.22990830000000001</v>
      </c>
      <c r="U4661">
        <v>-3.0386660000000001</v>
      </c>
      <c r="V4661">
        <v>-0.1161816</v>
      </c>
      <c r="W4661">
        <v>0.14440919999999999</v>
      </c>
      <c r="X4661">
        <v>0.98267380000000004</v>
      </c>
      <c r="Y4661">
        <v>-0.1912565</v>
      </c>
      <c r="Z4661">
        <v>6.2627420000000003E-2</v>
      </c>
      <c r="AA4661">
        <v>0.97954010000000002</v>
      </c>
      <c r="AB4661">
        <v>34</v>
      </c>
      <c r="AC4661">
        <v>2.21320000000002</v>
      </c>
      <c r="AD4661">
        <v>-1.128028868905</v>
      </c>
      <c r="AE4661">
        <v>-14.3895099999999</v>
      </c>
      <c r="AF4661">
        <v>-2.86532867726969</v>
      </c>
      <c r="AG4661">
        <v>-1.128028868905</v>
      </c>
      <c r="AH4661">
        <v>14.1853438598657</v>
      </c>
      <c r="AI4661">
        <v>94.456992743197603</v>
      </c>
      <c r="AJ4661">
        <v>101.41964424977201</v>
      </c>
      <c r="AK4661">
        <v>14.5157341523086</v>
      </c>
      <c r="AL4661">
        <v>81.696931136005901</v>
      </c>
      <c r="AM4661">
        <v>96.742783077413904</v>
      </c>
      <c r="AN4661">
        <v>0.99999998921482003</v>
      </c>
    </row>
    <row r="4662" spans="1:40" x14ac:dyDescent="0.25">
      <c r="A4662" t="str">
        <f>"20190303162648288"</f>
        <v>20190303162648288</v>
      </c>
      <c r="B4662" t="str">
        <f>"1551601608278550"</f>
        <v>1551601608278550</v>
      </c>
      <c r="C4662" t="s">
        <v>40</v>
      </c>
      <c r="D4662">
        <v>4.9324159999999999</v>
      </c>
      <c r="E4662">
        <v>0.4735876</v>
      </c>
      <c r="F4662" t="s">
        <v>41</v>
      </c>
      <c r="G4662">
        <v>-299.77190000000002</v>
      </c>
      <c r="H4662" s="1">
        <v>-1.234652E-6</v>
      </c>
      <c r="I4662">
        <v>-37.583509999999997</v>
      </c>
      <c r="J4662">
        <v>-302.2724</v>
      </c>
      <c r="K4662">
        <v>1.12781</v>
      </c>
      <c r="L4662">
        <v>-22.196899999999999</v>
      </c>
      <c r="M4662">
        <v>-3.5204989999999999E-2</v>
      </c>
      <c r="N4662">
        <v>-1.156888E-2</v>
      </c>
      <c r="O4662">
        <v>-0.99931340000000002</v>
      </c>
      <c r="P4662">
        <v>8.3897689999999997E-2</v>
      </c>
      <c r="Q4662">
        <v>0.14068369999999999</v>
      </c>
      <c r="R4662">
        <v>-0.98649359999999997</v>
      </c>
      <c r="S4662">
        <v>0.474823</v>
      </c>
      <c r="T4662">
        <v>-0.2152386</v>
      </c>
      <c r="U4662">
        <v>-3.0318299999999998</v>
      </c>
      <c r="V4662">
        <v>-0.12125909999999999</v>
      </c>
      <c r="W4662">
        <v>0.14991570000000001</v>
      </c>
      <c r="X4662">
        <v>0.98123470000000002</v>
      </c>
      <c r="Y4662">
        <v>-0.1890628</v>
      </c>
      <c r="Z4662">
        <v>5.811115E-2</v>
      </c>
      <c r="AA4662">
        <v>0.980244</v>
      </c>
      <c r="AB4662">
        <v>34</v>
      </c>
      <c r="AC4662">
        <v>2.5004999999999802</v>
      </c>
      <c r="AD4662">
        <v>-1.1278112346519999</v>
      </c>
      <c r="AE4662">
        <v>-15.3866099999999</v>
      </c>
      <c r="AF4662">
        <v>-3.0248381493407499</v>
      </c>
      <c r="AG4662">
        <v>-1.1278112346519999</v>
      </c>
      <c r="AH4662">
        <v>15.209422758007101</v>
      </c>
      <c r="AI4662">
        <v>94.159671657673201</v>
      </c>
      <c r="AJ4662">
        <v>101.248173120469</v>
      </c>
      <c r="AK4662">
        <v>15.5482521410768</v>
      </c>
      <c r="AL4662">
        <v>81.377958815893294</v>
      </c>
      <c r="AM4662">
        <v>97.044785715879399</v>
      </c>
      <c r="AN4662">
        <v>1.00000001146169</v>
      </c>
    </row>
    <row r="4663" spans="1:40" x14ac:dyDescent="0.25">
      <c r="A4663" t="str">
        <f>"20190303162648321"</f>
        <v>20190303162648321</v>
      </c>
      <c r="B4663" t="str">
        <f>"1551601608308806"</f>
        <v>1551601608308806</v>
      </c>
      <c r="C4663" t="s">
        <v>40</v>
      </c>
      <c r="D4663">
        <v>5.0300820000000002</v>
      </c>
      <c r="E4663">
        <v>0.47521409999999997</v>
      </c>
      <c r="F4663" t="s">
        <v>41</v>
      </c>
      <c r="G4663">
        <v>-299.46469999999999</v>
      </c>
      <c r="H4663" s="1">
        <v>-2.1105519999999999E-7</v>
      </c>
      <c r="I4663">
        <v>-40.150280000000002</v>
      </c>
      <c r="J4663">
        <v>-302.27960000000002</v>
      </c>
      <c r="K4663">
        <v>1.127575</v>
      </c>
      <c r="L4663">
        <v>-22.71359</v>
      </c>
      <c r="M4663">
        <v>-2.4052730000000001E-2</v>
      </c>
      <c r="N4663">
        <v>-1.154464E-2</v>
      </c>
      <c r="O4663">
        <v>-0.99964410000000004</v>
      </c>
      <c r="P4663">
        <v>9.5106860000000001E-2</v>
      </c>
      <c r="Q4663">
        <v>0.1489307</v>
      </c>
      <c r="R4663">
        <v>-0.98426360000000002</v>
      </c>
      <c r="S4663">
        <v>0.4735413</v>
      </c>
      <c r="T4663">
        <v>-0.19021060000000001</v>
      </c>
      <c r="U4663">
        <v>-3.0279240000000001</v>
      </c>
      <c r="V4663">
        <v>-0.121472</v>
      </c>
      <c r="W4663">
        <v>0.15820490000000001</v>
      </c>
      <c r="X4663">
        <v>0.97990600000000005</v>
      </c>
      <c r="Y4663">
        <v>-0.17796319999999999</v>
      </c>
      <c r="Z4663">
        <v>5.0245680000000001E-2</v>
      </c>
      <c r="AA4663">
        <v>0.98275349999999995</v>
      </c>
      <c r="AB4663">
        <v>34</v>
      </c>
      <c r="AC4663">
        <v>2.8149000000000202</v>
      </c>
      <c r="AD4663">
        <v>-1.1275752110552</v>
      </c>
      <c r="AE4663">
        <v>-17.436689999999999</v>
      </c>
      <c r="AF4663">
        <v>-3.2203884790686601</v>
      </c>
      <c r="AG4663">
        <v>-1.1275752110552</v>
      </c>
      <c r="AH4663">
        <v>17.2934533234166</v>
      </c>
      <c r="AI4663">
        <v>93.667668465945894</v>
      </c>
      <c r="AJ4663">
        <v>100.54879615668</v>
      </c>
      <c r="AK4663">
        <v>17.6268504180949</v>
      </c>
      <c r="AL4663">
        <v>80.897282495317896</v>
      </c>
      <c r="AM4663">
        <v>97.066502228885497</v>
      </c>
      <c r="AN4663">
        <v>1.000000003002</v>
      </c>
    </row>
    <row r="4664" spans="1:40" x14ac:dyDescent="0.25">
      <c r="A4664" t="str">
        <f>"20190303162648357"</f>
        <v>20190303162648357</v>
      </c>
      <c r="B4664" t="str">
        <f>"1551601608348823"</f>
        <v>1551601608348823</v>
      </c>
      <c r="C4664" t="s">
        <v>40</v>
      </c>
      <c r="D4664">
        <v>5.0780019999999997</v>
      </c>
      <c r="E4664">
        <v>0.47723339999999997</v>
      </c>
      <c r="F4664" t="s">
        <v>59</v>
      </c>
      <c r="G4664">
        <v>-298.745</v>
      </c>
      <c r="H4664" s="1">
        <v>-2.705593E-6</v>
      </c>
      <c r="I4664">
        <v>-44.135060000000003</v>
      </c>
      <c r="J4664">
        <v>-302.28129999999999</v>
      </c>
      <c r="K4664">
        <v>1.1273340000000001</v>
      </c>
      <c r="L4664">
        <v>-23.254760000000001</v>
      </c>
      <c r="M4664">
        <v>-1.2933770000000001E-2</v>
      </c>
      <c r="N4664">
        <v>-1.152162E-2</v>
      </c>
      <c r="O4664">
        <v>-0.99985000000000002</v>
      </c>
      <c r="P4664">
        <v>0.1059773</v>
      </c>
      <c r="Q4664">
        <v>0.1511151</v>
      </c>
      <c r="R4664">
        <v>-0.98281870000000005</v>
      </c>
      <c r="S4664">
        <v>0.49893189999999998</v>
      </c>
      <c r="T4664">
        <v>-0.1591678</v>
      </c>
      <c r="U4664">
        <v>-3.0238339999999999</v>
      </c>
      <c r="V4664">
        <v>-0.1213328</v>
      </c>
      <c r="W4664">
        <v>0.16044050000000001</v>
      </c>
      <c r="X4664">
        <v>0.97955970000000003</v>
      </c>
      <c r="Y4664">
        <v>-0.17535110000000001</v>
      </c>
      <c r="Z4664">
        <v>4.0280410000000003E-2</v>
      </c>
      <c r="AA4664">
        <v>0.98368160000000004</v>
      </c>
      <c r="AB4664">
        <v>34</v>
      </c>
      <c r="AC4664">
        <v>3.5362999999999798</v>
      </c>
      <c r="AD4664">
        <v>-1.1273367055929999</v>
      </c>
      <c r="AE4664">
        <v>-20.880299999999899</v>
      </c>
      <c r="AF4664">
        <v>-3.7953283034496299</v>
      </c>
      <c r="AG4664">
        <v>-1.1273367055929999</v>
      </c>
      <c r="AH4664">
        <v>20.773945604627201</v>
      </c>
      <c r="AI4664">
        <v>93.055734654732404</v>
      </c>
      <c r="AJ4664">
        <v>100.353555557257</v>
      </c>
      <c r="AK4664">
        <v>21.147865636105099</v>
      </c>
      <c r="AL4664">
        <v>80.767534706065902</v>
      </c>
      <c r="AM4664">
        <v>97.060956324721602</v>
      </c>
      <c r="AN4664">
        <v>1.0000000041300801</v>
      </c>
    </row>
    <row r="4665" spans="1:40" x14ac:dyDescent="0.25">
      <c r="A4665" t="str">
        <f>"20190303162648387"</f>
        <v>20190303162648387</v>
      </c>
      <c r="B4665" t="str">
        <f>"1551601608378102"</f>
        <v>1551601608378102</v>
      </c>
      <c r="C4665" t="s">
        <v>40</v>
      </c>
      <c r="D4665">
        <v>5.0704469999999997</v>
      </c>
      <c r="E4665">
        <v>0.4781107</v>
      </c>
      <c r="F4665" t="s">
        <v>59</v>
      </c>
      <c r="G4665">
        <v>-298.66669999999999</v>
      </c>
      <c r="H4665" s="1">
        <v>-2.8997520000000001E-6</v>
      </c>
      <c r="I4665">
        <v>-44.407710000000002</v>
      </c>
      <c r="J4665">
        <v>-302.27800000000002</v>
      </c>
      <c r="K4665">
        <v>1.1271719999999901</v>
      </c>
      <c r="L4665">
        <v>-23.726959999999998</v>
      </c>
      <c r="M4665">
        <v>-3.5571069999999999E-3</v>
      </c>
      <c r="N4665">
        <v>-1.150793E-2</v>
      </c>
      <c r="O4665">
        <v>-0.99992740000000002</v>
      </c>
      <c r="P4665">
        <v>0.1164847</v>
      </c>
      <c r="Q4665">
        <v>0.15113550000000001</v>
      </c>
      <c r="R4665">
        <v>-0.98162570000000005</v>
      </c>
      <c r="S4665">
        <v>0.51632690000000003</v>
      </c>
      <c r="T4665">
        <v>-0.16103029999999999</v>
      </c>
      <c r="U4665">
        <v>-3.021515</v>
      </c>
      <c r="V4665">
        <v>-0.1225647</v>
      </c>
      <c r="W4665">
        <v>0.160473</v>
      </c>
      <c r="X4665">
        <v>0.97940099999999997</v>
      </c>
      <c r="Y4665">
        <v>-0.17174310000000001</v>
      </c>
      <c r="Z4665">
        <v>4.0945389999999998E-2</v>
      </c>
      <c r="AA4665">
        <v>0.98429049999999996</v>
      </c>
      <c r="AB4665">
        <v>34</v>
      </c>
      <c r="AC4665">
        <v>3.6113000000000199</v>
      </c>
      <c r="AD4665">
        <v>-1.1271748997519999</v>
      </c>
      <c r="AE4665">
        <v>-20.68075</v>
      </c>
      <c r="AF4665">
        <v>-3.67425375538062</v>
      </c>
      <c r="AG4665">
        <v>-1.1271748997519999</v>
      </c>
      <c r="AH4665">
        <v>20.608364000079</v>
      </c>
      <c r="AI4665">
        <v>93.082167030714402</v>
      </c>
      <c r="AJ4665">
        <v>100.10901362984001</v>
      </c>
      <c r="AK4665">
        <v>20.963666918583499</v>
      </c>
      <c r="AL4665">
        <v>80.765648148671403</v>
      </c>
      <c r="AM4665">
        <v>97.133055843041205</v>
      </c>
      <c r="AN4665">
        <v>1.0000000041080399</v>
      </c>
    </row>
    <row r="4666" spans="1:40" x14ac:dyDescent="0.25">
      <c r="A4666" t="str">
        <f>"20190303162648422"</f>
        <v>20190303162648422</v>
      </c>
      <c r="B4666" t="str">
        <f>"1551601608408357"</f>
        <v>1551601608408357</v>
      </c>
      <c r="C4666" t="s">
        <v>40</v>
      </c>
      <c r="D4666">
        <v>5.1337140000000003</v>
      </c>
      <c r="E4666">
        <v>0.47922409999999999</v>
      </c>
      <c r="F4666" t="s">
        <v>59</v>
      </c>
      <c r="G4666">
        <v>-298.7955</v>
      </c>
      <c r="H4666" s="1">
        <v>-2.0577689999999998E-6</v>
      </c>
      <c r="I4666">
        <v>-43.137009999999997</v>
      </c>
      <c r="J4666">
        <v>-302.2697</v>
      </c>
      <c r="K4666">
        <v>1.1270469999999999</v>
      </c>
      <c r="L4666">
        <v>-24.241820000000001</v>
      </c>
      <c r="M4666">
        <v>6.4790259999999997E-3</v>
      </c>
      <c r="N4666">
        <v>-1.14974E-2</v>
      </c>
      <c r="O4666">
        <v>-0.9999131</v>
      </c>
      <c r="P4666">
        <v>0.124807</v>
      </c>
      <c r="Q4666">
        <v>0.14998029999999901</v>
      </c>
      <c r="R4666">
        <v>-0.98077990000000004</v>
      </c>
      <c r="S4666">
        <v>0.54162600000000005</v>
      </c>
      <c r="T4666">
        <v>-0.175310299999999</v>
      </c>
      <c r="U4666">
        <v>-3.0188600000000001</v>
      </c>
      <c r="V4666">
        <v>-0.1209715</v>
      </c>
      <c r="W4666">
        <v>0.15937299999999999</v>
      </c>
      <c r="X4666">
        <v>0.97977860000000006</v>
      </c>
      <c r="Y4666">
        <v>-0.16996269999999999</v>
      </c>
      <c r="Z4666">
        <v>4.5620710000000002E-2</v>
      </c>
      <c r="AA4666">
        <v>0.98439399999999999</v>
      </c>
      <c r="AB4666">
        <v>34</v>
      </c>
      <c r="AC4666">
        <v>3.47419999999999</v>
      </c>
      <c r="AD4666">
        <v>-1.127049057769</v>
      </c>
      <c r="AE4666">
        <v>-18.895189999999999</v>
      </c>
      <c r="AF4666">
        <v>-3.3402013800391299</v>
      </c>
      <c r="AG4666">
        <v>-1.127049057769</v>
      </c>
      <c r="AH4666">
        <v>18.852424271258101</v>
      </c>
      <c r="AI4666">
        <v>93.368880491006706</v>
      </c>
      <c r="AJ4666">
        <v>100.047184074699</v>
      </c>
      <c r="AK4666">
        <v>19.179183656802401</v>
      </c>
      <c r="AL4666">
        <v>80.829495040135996</v>
      </c>
      <c r="AM4666">
        <v>97.038584677559101</v>
      </c>
      <c r="AN4666">
        <v>0.99999998097960396</v>
      </c>
    </row>
    <row r="4667" spans="1:40" x14ac:dyDescent="0.25">
      <c r="A4667" t="str">
        <f>"20190303162648455"</f>
        <v>20190303162648455</v>
      </c>
      <c r="B4667" t="str">
        <f>"1551601608448879"</f>
        <v>1551601608448879</v>
      </c>
      <c r="C4667" t="s">
        <v>40</v>
      </c>
      <c r="D4667">
        <v>4.9854659999999997</v>
      </c>
      <c r="E4667">
        <v>0.47944009999999998</v>
      </c>
      <c r="F4667" t="s">
        <v>59</v>
      </c>
      <c r="G4667">
        <v>-298.85070000000002</v>
      </c>
      <c r="H4667" s="1">
        <v>-1.808364E-6</v>
      </c>
      <c r="I4667">
        <v>-42.767719999999997</v>
      </c>
      <c r="J4667">
        <v>-302.2559</v>
      </c>
      <c r="K4667">
        <v>1.126933</v>
      </c>
      <c r="L4667">
        <v>-24.763210000000001</v>
      </c>
      <c r="M4667">
        <v>1.6514299999999999E-2</v>
      </c>
      <c r="N4667">
        <v>-1.1489040000000001E-2</v>
      </c>
      <c r="O4667">
        <v>-0.99979759999999995</v>
      </c>
      <c r="P4667">
        <v>0.13567599999999999</v>
      </c>
      <c r="Q4667">
        <v>0.1467821</v>
      </c>
      <c r="R4667">
        <v>-0.97982000000000002</v>
      </c>
      <c r="S4667">
        <v>0.5566101</v>
      </c>
      <c r="T4667">
        <v>-0.1834838</v>
      </c>
      <c r="U4667">
        <v>-3.016022</v>
      </c>
      <c r="V4667">
        <v>-0.1219093</v>
      </c>
      <c r="W4667">
        <v>0.1561843</v>
      </c>
      <c r="X4667">
        <v>0.98017580000000004</v>
      </c>
      <c r="Y4667">
        <v>-0.16494139999999999</v>
      </c>
      <c r="Z4667">
        <v>4.833817E-2</v>
      </c>
      <c r="AA4667">
        <v>0.98511819999999894</v>
      </c>
      <c r="AB4667">
        <v>34</v>
      </c>
      <c r="AC4667">
        <v>3.4051999999999798</v>
      </c>
      <c r="AD4667">
        <v>-1.1269348083640001</v>
      </c>
      <c r="AE4667">
        <v>-18.00451</v>
      </c>
      <c r="AF4667">
        <v>-3.0956748693381799</v>
      </c>
      <c r="AG4667">
        <v>-1.1269348083640001</v>
      </c>
      <c r="AH4667">
        <v>17.9902456597625</v>
      </c>
      <c r="AI4667">
        <v>93.532622078742804</v>
      </c>
      <c r="AJ4667">
        <v>99.7635652782417</v>
      </c>
      <c r="AK4667">
        <v>18.289399220793399</v>
      </c>
      <c r="AL4667">
        <v>81.014511831615906</v>
      </c>
      <c r="AM4667">
        <v>97.089750950816097</v>
      </c>
      <c r="AN4667">
        <v>1.0000000059493099</v>
      </c>
    </row>
    <row r="4668" spans="1:40" x14ac:dyDescent="0.25">
      <c r="A4668" t="str">
        <f>"20190303162648490"</f>
        <v>20190303162648490</v>
      </c>
      <c r="B4668" t="str">
        <f>"1551601608479135"</f>
        <v>1551601608479135</v>
      </c>
      <c r="C4668" t="s">
        <v>40</v>
      </c>
      <c r="D4668">
        <v>5.0268240000000004</v>
      </c>
      <c r="E4668">
        <v>0.45208340000000002</v>
      </c>
      <c r="F4668" t="s">
        <v>59</v>
      </c>
      <c r="G4668">
        <v>-298.94549999999998</v>
      </c>
      <c r="H4668" s="1">
        <v>-1.186371E-6</v>
      </c>
      <c r="I4668">
        <v>-41.828879999999998</v>
      </c>
      <c r="J4668">
        <v>-302.23750000000001</v>
      </c>
      <c r="K4668">
        <v>1.1268309999999999</v>
      </c>
      <c r="L4668">
        <v>-25.26962</v>
      </c>
      <c r="M4668">
        <v>2.612834E-2</v>
      </c>
      <c r="N4668">
        <v>-1.148005E-2</v>
      </c>
      <c r="O4668">
        <v>-0.9995927</v>
      </c>
      <c r="P4668">
        <v>0.14080119999999999</v>
      </c>
      <c r="Q4668">
        <v>0.14633360000000001</v>
      </c>
      <c r="R4668">
        <v>-0.97916380000000003</v>
      </c>
      <c r="S4668">
        <v>0.5840149</v>
      </c>
      <c r="T4668">
        <v>-0.19881270000000001</v>
      </c>
      <c r="U4668">
        <v>-3.0107119999999998</v>
      </c>
      <c r="V4668">
        <v>-0.1175517</v>
      </c>
      <c r="W4668">
        <v>0.15583239999999901</v>
      </c>
      <c r="X4668">
        <v>0.98076390000000002</v>
      </c>
      <c r="Y4668">
        <v>-0.16436979999999901</v>
      </c>
      <c r="Z4668">
        <v>5.3377559999999998E-2</v>
      </c>
      <c r="AA4668">
        <v>0.98495350000000004</v>
      </c>
      <c r="AB4668">
        <v>35</v>
      </c>
      <c r="AC4668">
        <v>3.29200000000003</v>
      </c>
      <c r="AD4668">
        <v>-1.126832186371</v>
      </c>
      <c r="AE4668">
        <v>-16.559259999999998</v>
      </c>
      <c r="AF4668">
        <v>-2.8455060489039901</v>
      </c>
      <c r="AG4668">
        <v>-1.126832186371</v>
      </c>
      <c r="AH4668">
        <v>16.565832842588701</v>
      </c>
      <c r="AI4668">
        <v>93.835350517693101</v>
      </c>
      <c r="AJ4668">
        <v>99.746557690156195</v>
      </c>
      <c r="AK4668">
        <v>16.846170877062299</v>
      </c>
      <c r="AL4668">
        <v>81.034923945528902</v>
      </c>
      <c r="AM4668">
        <v>96.834712485298098</v>
      </c>
      <c r="AN4668">
        <v>0.99999998330292905</v>
      </c>
    </row>
    <row r="4669" spans="1:40" x14ac:dyDescent="0.25">
      <c r="A4669" t="str">
        <f>"20190303162648524"</f>
        <v>20190303162648524</v>
      </c>
      <c r="B4669" t="str">
        <f>"1551601608508415"</f>
        <v>1551601608508415</v>
      </c>
      <c r="C4669" t="s">
        <v>40</v>
      </c>
      <c r="D4669">
        <v>5.0113890000000003</v>
      </c>
      <c r="E4669">
        <v>0.45337329999999998</v>
      </c>
      <c r="F4669" t="s">
        <v>59</v>
      </c>
      <c r="G4669">
        <v>-297.60739999999998</v>
      </c>
      <c r="H4669" s="1">
        <v>-1.730668E-6</v>
      </c>
      <c r="I4669">
        <v>-42.125039999999998</v>
      </c>
      <c r="J4669">
        <v>-302.21409999999997</v>
      </c>
      <c r="K4669">
        <v>1.1266830000000001</v>
      </c>
      <c r="L4669">
        <v>-25.787479999999999</v>
      </c>
      <c r="M4669">
        <v>3.5730669999999999E-2</v>
      </c>
      <c r="N4669">
        <v>-1.146607E-2</v>
      </c>
      <c r="O4669">
        <v>-0.99929579999999996</v>
      </c>
      <c r="P4669">
        <v>0.13718929999999999</v>
      </c>
      <c r="Q4669">
        <v>0.14883869999999999</v>
      </c>
      <c r="R4669">
        <v>-0.97929889999999997</v>
      </c>
      <c r="S4669">
        <v>0.81750489999999998</v>
      </c>
      <c r="T4669">
        <v>-0.19895489999999999</v>
      </c>
      <c r="U4669">
        <v>-2.976013</v>
      </c>
      <c r="V4669">
        <v>-0.1044673</v>
      </c>
      <c r="W4669">
        <v>0.15857779999999999</v>
      </c>
      <c r="X4669">
        <v>0.98180429999999996</v>
      </c>
      <c r="Y4669">
        <v>-0.22978770000000001</v>
      </c>
      <c r="Z4669">
        <v>5.3167079999999999E-2</v>
      </c>
      <c r="AA4669">
        <v>0.97178750000000003</v>
      </c>
      <c r="AB4669">
        <v>35</v>
      </c>
      <c r="AC4669">
        <v>4.6066999999999796</v>
      </c>
      <c r="AD4669">
        <v>-1.1266847306679999</v>
      </c>
      <c r="AE4669">
        <v>-16.33756</v>
      </c>
      <c r="AF4669">
        <v>-4.0023350792666301</v>
      </c>
      <c r="AG4669">
        <v>-1.1266847306679999</v>
      </c>
      <c r="AH4669">
        <v>16.419400361281099</v>
      </c>
      <c r="AI4669">
        <v>93.814099893443895</v>
      </c>
      <c r="AJ4669">
        <v>103.699066945761</v>
      </c>
      <c r="AK4669">
        <v>16.937674361998099</v>
      </c>
      <c r="AL4669">
        <v>80.875643799784001</v>
      </c>
      <c r="AM4669">
        <v>96.073612460644895</v>
      </c>
      <c r="AN4669">
        <v>1.0000000094603001</v>
      </c>
    </row>
    <row r="4670" spans="1:40" x14ac:dyDescent="0.25">
      <c r="A4670" t="str">
        <f>"20190303162648567"</f>
        <v>20190303162648567</v>
      </c>
      <c r="B4670" t="str">
        <f>"1551601608558698"</f>
        <v>1551601608558698</v>
      </c>
      <c r="C4670" t="s">
        <v>40</v>
      </c>
      <c r="D4670">
        <v>5.2079940000000002</v>
      </c>
      <c r="E4670">
        <v>0.45485930000000002</v>
      </c>
      <c r="F4670" t="s">
        <v>59</v>
      </c>
      <c r="G4670">
        <v>-297.48540000000003</v>
      </c>
      <c r="H4670" s="1">
        <v>-2.5162309999999999E-6</v>
      </c>
      <c r="I4670">
        <v>-43.30988</v>
      </c>
      <c r="J4670">
        <v>-302.17590000000001</v>
      </c>
      <c r="K4670">
        <v>1.126377</v>
      </c>
      <c r="L4670">
        <v>-26.475100000000001</v>
      </c>
      <c r="M4670">
        <v>4.7848090000000003E-2</v>
      </c>
      <c r="N4670">
        <v>-1.143948E-2</v>
      </c>
      <c r="O4670">
        <v>-0.99878920000000004</v>
      </c>
      <c r="P4670">
        <v>0.12623570000000001</v>
      </c>
      <c r="Q4670">
        <v>0.1509991</v>
      </c>
      <c r="R4670">
        <v>-0.9804408</v>
      </c>
      <c r="S4670">
        <v>0.80416869999999996</v>
      </c>
      <c r="T4670">
        <v>-0.1916059</v>
      </c>
      <c r="U4670">
        <v>-2.979889</v>
      </c>
      <c r="V4670">
        <v>-8.1439109999999995E-2</v>
      </c>
      <c r="W4670">
        <v>0.16113749999999999</v>
      </c>
      <c r="X4670">
        <v>0.98356619999999995</v>
      </c>
      <c r="Y4670">
        <v>-0.2136227</v>
      </c>
      <c r="Z4670">
        <v>5.0860349999999999E-2</v>
      </c>
      <c r="AA4670">
        <v>0.9755914</v>
      </c>
      <c r="AB4670">
        <v>35</v>
      </c>
      <c r="AC4670">
        <v>4.6904999999999797</v>
      </c>
      <c r="AD4670">
        <v>-1.126379516231</v>
      </c>
      <c r="AE4670">
        <v>-16.834779999999999</v>
      </c>
      <c r="AF4670">
        <v>-3.8635124720823999</v>
      </c>
      <c r="AG4670">
        <v>-1.126379516231</v>
      </c>
      <c r="AH4670">
        <v>16.969447313671601</v>
      </c>
      <c r="AI4670">
        <v>93.703057282201698</v>
      </c>
      <c r="AJ4670">
        <v>102.82615995024599</v>
      </c>
      <c r="AK4670">
        <v>17.440114723475801</v>
      </c>
      <c r="AL4670">
        <v>80.727073486213499</v>
      </c>
      <c r="AM4670">
        <v>94.733283433794</v>
      </c>
      <c r="AN4670">
        <v>1.00000004616314</v>
      </c>
    </row>
    <row r="4671" spans="1:40" x14ac:dyDescent="0.25">
      <c r="A4671" t="str">
        <f>"20190303162648612"</f>
        <v>20190303162648612</v>
      </c>
      <c r="B4671" t="str">
        <f>"1551601608598714"</f>
        <v>1551601608598714</v>
      </c>
      <c r="C4671" t="s">
        <v>40</v>
      </c>
      <c r="D4671">
        <v>5.2108999999999996</v>
      </c>
      <c r="E4671">
        <v>0.45554280000000003</v>
      </c>
      <c r="F4671" t="s">
        <v>59</v>
      </c>
      <c r="G4671">
        <v>-297.34710000000001</v>
      </c>
      <c r="H4671" s="1">
        <v>-3.711684E-6</v>
      </c>
      <c r="I4671">
        <v>-45.303710000000002</v>
      </c>
      <c r="J4671">
        <v>-302.13069999999999</v>
      </c>
      <c r="K4671">
        <v>1.1258570000000001</v>
      </c>
      <c r="L4671">
        <v>-27.161470000000001</v>
      </c>
      <c r="M4671">
        <v>5.8698640000000003E-2</v>
      </c>
      <c r="N4671">
        <v>-1.140176E-2</v>
      </c>
      <c r="O4671">
        <v>-0.99821070000000001</v>
      </c>
      <c r="P4671">
        <v>0.130942899999999</v>
      </c>
      <c r="Q4671">
        <v>0.1530502</v>
      </c>
      <c r="R4671">
        <v>-0.97950490000000001</v>
      </c>
      <c r="S4671">
        <v>0.76647949999999998</v>
      </c>
      <c r="T4671">
        <v>-0.17879300000000001</v>
      </c>
      <c r="U4671">
        <v>-2.9887079999999999</v>
      </c>
      <c r="V4671">
        <v>-7.5297989999999995E-2</v>
      </c>
      <c r="W4671">
        <v>0.1633339</v>
      </c>
      <c r="X4671">
        <v>0.98369320000000005</v>
      </c>
      <c r="Y4671">
        <v>-0.1907826</v>
      </c>
      <c r="Z4671">
        <v>4.6775829999999997E-2</v>
      </c>
      <c r="AA4671">
        <v>0.98051719999999998</v>
      </c>
      <c r="AB4671">
        <v>35</v>
      </c>
      <c r="AC4671">
        <v>4.7835999999999697</v>
      </c>
      <c r="AD4671">
        <v>-1.12586071168399</v>
      </c>
      <c r="AE4671">
        <v>-18.142239999999902</v>
      </c>
      <c r="AF4671">
        <v>-3.6970445565075201</v>
      </c>
      <c r="AG4671">
        <v>-1.12586071168399</v>
      </c>
      <c r="AH4671">
        <v>18.325775979798699</v>
      </c>
      <c r="AI4671">
        <v>93.446340094608203</v>
      </c>
      <c r="AJ4671">
        <v>101.40576810725599</v>
      </c>
      <c r="AK4671">
        <v>18.7288484978837</v>
      </c>
      <c r="AL4671">
        <v>80.599539303185097</v>
      </c>
      <c r="AM4671">
        <v>94.377239086596305</v>
      </c>
      <c r="AN4671">
        <v>1.0000000309567401</v>
      </c>
    </row>
    <row r="4672" spans="1:40" x14ac:dyDescent="0.25">
      <c r="A4672" t="str">
        <f>"20190303162648657"</f>
        <v>20190303162648657</v>
      </c>
      <c r="B4672" t="str">
        <f>"1551601608648490"</f>
        <v>1551601608648490</v>
      </c>
      <c r="C4672" t="s">
        <v>40</v>
      </c>
      <c r="D4672">
        <v>5.2114320000000003</v>
      </c>
      <c r="E4672">
        <v>0.45575270000000001</v>
      </c>
      <c r="F4672" t="s">
        <v>59</v>
      </c>
      <c r="G4672">
        <v>-297.09559999999999</v>
      </c>
      <c r="H4672" s="1">
        <v>-4.4975340000000002E-6</v>
      </c>
      <c r="I4672">
        <v>-46.730649999999997</v>
      </c>
      <c r="J4672">
        <v>-302.0804</v>
      </c>
      <c r="K4672">
        <v>1.1248739999999999</v>
      </c>
      <c r="L4672">
        <v>-27.849910000000001</v>
      </c>
      <c r="M4672">
        <v>6.7276399999999903E-2</v>
      </c>
      <c r="N4672">
        <v>-1.134888E-2</v>
      </c>
      <c r="O4672">
        <v>-0.9976701</v>
      </c>
      <c r="P4672">
        <v>0.14253450000000001</v>
      </c>
      <c r="Q4672">
        <v>0.14917720000000001</v>
      </c>
      <c r="R4672">
        <v>-0.97848420000000003</v>
      </c>
      <c r="S4672">
        <v>0.76852419999999899</v>
      </c>
      <c r="T4672">
        <v>-0.1718421</v>
      </c>
      <c r="U4672">
        <v>-2.9868769999999998</v>
      </c>
      <c r="V4672">
        <v>-7.8036179999999997E-2</v>
      </c>
      <c r="W4672">
        <v>0.15955559999999999</v>
      </c>
      <c r="X4672">
        <v>0.98409970000000002</v>
      </c>
      <c r="Y4672">
        <v>-0.18314440000000001</v>
      </c>
      <c r="Z4672">
        <v>4.461271E-2</v>
      </c>
      <c r="AA4672">
        <v>0.98207319999999998</v>
      </c>
      <c r="AB4672">
        <v>35</v>
      </c>
      <c r="AC4672">
        <v>4.9847999999999999</v>
      </c>
      <c r="AD4672">
        <v>-1.1248784975339901</v>
      </c>
      <c r="AE4672">
        <v>-18.880739999999999</v>
      </c>
      <c r="AF4672">
        <v>-3.6909476857039998</v>
      </c>
      <c r="AG4672">
        <v>-1.1248784975339901</v>
      </c>
      <c r="AH4672">
        <v>19.109927176060001</v>
      </c>
      <c r="AI4672">
        <v>93.307754633323498</v>
      </c>
      <c r="AJ4672">
        <v>100.93166983916601</v>
      </c>
      <c r="AK4672">
        <v>19.495583169711399</v>
      </c>
      <c r="AL4672">
        <v>80.818896719684602</v>
      </c>
      <c r="AM4672">
        <v>94.533897752014695</v>
      </c>
      <c r="AN4672">
        <v>0.99999992721021802</v>
      </c>
    </row>
    <row r="4673" spans="1:40" x14ac:dyDescent="0.25">
      <c r="A4673" t="str">
        <f>"20190303162648701"</f>
        <v>20190303162648701</v>
      </c>
      <c r="B4673" t="str">
        <f>"1551601608688506"</f>
        <v>1551601608688506</v>
      </c>
      <c r="C4673" t="s">
        <v>40</v>
      </c>
      <c r="D4673">
        <v>5.4700639999999998</v>
      </c>
      <c r="E4673">
        <v>0.45597339999999997</v>
      </c>
      <c r="F4673" t="s">
        <v>59</v>
      </c>
      <c r="G4673">
        <v>-297.39569999999998</v>
      </c>
      <c r="H4673" s="1">
        <v>-3.771255E-6</v>
      </c>
      <c r="I4673">
        <v>-45.435890000000001</v>
      </c>
      <c r="J4673">
        <v>-302.02839999999998</v>
      </c>
      <c r="K4673">
        <v>1.123548</v>
      </c>
      <c r="L4673">
        <v>-28.527249999999999</v>
      </c>
      <c r="M4673">
        <v>7.2489330000000005E-2</v>
      </c>
      <c r="N4673">
        <v>-1.130569E-2</v>
      </c>
      <c r="O4673">
        <v>-0.99730540000000001</v>
      </c>
      <c r="P4673">
        <v>0.16066140000000001</v>
      </c>
      <c r="Q4673">
        <v>0.14799989999999999</v>
      </c>
      <c r="R4673">
        <v>-0.97585060000000001</v>
      </c>
      <c r="S4673">
        <v>0.79367069999999995</v>
      </c>
      <c r="T4673">
        <v>-0.19057579999999999</v>
      </c>
      <c r="U4673">
        <v>-2.9794010000000002</v>
      </c>
      <c r="V4673">
        <v>-9.0624120000000002E-2</v>
      </c>
      <c r="W4673">
        <v>0.15848599999999999</v>
      </c>
      <c r="X4673">
        <v>0.98319350000000005</v>
      </c>
      <c r="Y4673">
        <v>-0.18627360000000001</v>
      </c>
      <c r="Z4673">
        <v>5.0768550000000003E-2</v>
      </c>
      <c r="AA4673">
        <v>0.98118539999999999</v>
      </c>
      <c r="AB4673">
        <v>35</v>
      </c>
      <c r="AC4673">
        <v>4.6326999999999998</v>
      </c>
      <c r="AD4673">
        <v>-1.1235517712549901</v>
      </c>
      <c r="AE4673">
        <v>-16.908639999999998</v>
      </c>
      <c r="AF4673">
        <v>-3.3808512887903901</v>
      </c>
      <c r="AG4673">
        <v>-1.1235517712549901</v>
      </c>
      <c r="AH4673">
        <v>17.129640759321202</v>
      </c>
      <c r="AI4673">
        <v>93.681890410561607</v>
      </c>
      <c r="AJ4673">
        <v>101.164883844226</v>
      </c>
      <c r="AK4673">
        <v>17.4962029184336</v>
      </c>
      <c r="AL4673">
        <v>80.880970840929194</v>
      </c>
      <c r="AM4673">
        <v>95.266256795382105</v>
      </c>
      <c r="AN4673">
        <v>1.00000000088201</v>
      </c>
    </row>
    <row r="4674" spans="1:40" x14ac:dyDescent="0.25">
      <c r="A4674" t="str">
        <f>"20190303162648748"</f>
        <v>20190303162648748</v>
      </c>
      <c r="B4674" t="str">
        <f>"1551601608738283"</f>
        <v>1551601608738283</v>
      </c>
      <c r="C4674" t="s">
        <v>40</v>
      </c>
      <c r="D4674">
        <v>5.3872059999999999</v>
      </c>
      <c r="E4674">
        <v>0.48174309999999998</v>
      </c>
      <c r="F4674" t="s">
        <v>59</v>
      </c>
      <c r="G4674">
        <v>-297.2285</v>
      </c>
      <c r="H4674" s="1">
        <v>-3.80158E-6</v>
      </c>
      <c r="I4674">
        <v>-45.42266</v>
      </c>
      <c r="J4674">
        <v>-301.97300000000001</v>
      </c>
      <c r="K4674">
        <v>1.122252</v>
      </c>
      <c r="L4674">
        <v>-29.25159</v>
      </c>
      <c r="M4674">
        <v>7.4605439999999995E-2</v>
      </c>
      <c r="N4674">
        <v>-1.12815E-2</v>
      </c>
      <c r="O4674">
        <v>-0.99714930000000002</v>
      </c>
      <c r="P4674">
        <v>0.17186989999999999</v>
      </c>
      <c r="Q4674">
        <v>0.155833</v>
      </c>
      <c r="R4674">
        <v>-0.97271629999999998</v>
      </c>
      <c r="S4674">
        <v>0.84246829999999995</v>
      </c>
      <c r="T4674">
        <v>-0.19720399999999999</v>
      </c>
      <c r="U4674">
        <v>-2.9654539999999998</v>
      </c>
      <c r="V4674">
        <v>-9.9448549999999997E-2</v>
      </c>
      <c r="W4674">
        <v>0.1665353</v>
      </c>
      <c r="X4674">
        <v>0.98100759999999998</v>
      </c>
      <c r="Y4674">
        <v>-0.20028099999999999</v>
      </c>
      <c r="Z4674">
        <v>5.2997410000000002E-2</v>
      </c>
      <c r="AA4674">
        <v>0.97830399999999995</v>
      </c>
      <c r="AB4674">
        <v>35</v>
      </c>
      <c r="AC4674">
        <v>4.7445000000000102</v>
      </c>
      <c r="AD4674">
        <v>-1.1222558015799999</v>
      </c>
      <c r="AE4674">
        <v>-16.171069999999901</v>
      </c>
      <c r="AF4674">
        <v>-3.50918794090247</v>
      </c>
      <c r="AG4674">
        <v>-1.1222558015799999</v>
      </c>
      <c r="AH4674">
        <v>16.407227848943698</v>
      </c>
      <c r="AI4674">
        <v>93.826660983021199</v>
      </c>
      <c r="AJ4674">
        <v>102.072563613631</v>
      </c>
      <c r="AK4674">
        <v>16.815795662885201</v>
      </c>
      <c r="AL4674">
        <v>80.413564879172995</v>
      </c>
      <c r="AM4674">
        <v>95.788520822791995</v>
      </c>
      <c r="AN4674">
        <v>0.99999996575047501</v>
      </c>
    </row>
    <row r="4675" spans="1:40" x14ac:dyDescent="0.25">
      <c r="A4675" t="str">
        <f>"20190303162648790"</f>
        <v>20190303162648790</v>
      </c>
      <c r="B4675" t="str">
        <f>"1551601608778300"</f>
        <v>1551601608778300</v>
      </c>
      <c r="C4675" t="s">
        <v>40</v>
      </c>
      <c r="D4675">
        <v>5.4453449999999997</v>
      </c>
      <c r="E4675">
        <v>0.48340880000000003</v>
      </c>
      <c r="F4675" t="s">
        <v>59</v>
      </c>
      <c r="G4675">
        <v>-297.46030000000002</v>
      </c>
      <c r="H4675" s="1">
        <v>-5.7131189999999999E-6</v>
      </c>
      <c r="I4675">
        <v>-49.323590000000003</v>
      </c>
      <c r="J4675">
        <v>-301.92360000000002</v>
      </c>
      <c r="K4675">
        <v>1.1212530000000001</v>
      </c>
      <c r="L4675">
        <v>-29.913509999999999</v>
      </c>
      <c r="M4675">
        <v>7.3981309999999995E-2</v>
      </c>
      <c r="N4675">
        <v>-1.1258900000000001E-2</v>
      </c>
      <c r="O4675">
        <v>-0.99719610000000003</v>
      </c>
      <c r="P4675">
        <v>0.184831</v>
      </c>
      <c r="Q4675">
        <v>0.16146559999999999</v>
      </c>
      <c r="R4675">
        <v>-0.96941560000000004</v>
      </c>
      <c r="S4675">
        <v>0.67269899999999905</v>
      </c>
      <c r="T4675">
        <v>-0.167293</v>
      </c>
      <c r="U4675">
        <v>-2.9920960000000001</v>
      </c>
      <c r="V4675">
        <v>-0.11282490000000001</v>
      </c>
      <c r="W4675">
        <v>0.17234749999999999</v>
      </c>
      <c r="X4675">
        <v>0.97855349999999997</v>
      </c>
      <c r="Y4675">
        <v>-0.14630370000000001</v>
      </c>
      <c r="Z4675">
        <v>4.346295E-2</v>
      </c>
      <c r="AA4675">
        <v>0.98828450000000001</v>
      </c>
      <c r="AB4675">
        <v>35</v>
      </c>
      <c r="AC4675">
        <v>4.4633000000000003</v>
      </c>
      <c r="AD4675">
        <v>-1.1212587131189999</v>
      </c>
      <c r="AE4675">
        <v>-19.410080000000001</v>
      </c>
      <c r="AF4675">
        <v>-3.0054676290915299</v>
      </c>
      <c r="AG4675">
        <v>-1.1212587131189999</v>
      </c>
      <c r="AH4675">
        <v>19.624904542260801</v>
      </c>
      <c r="AI4675">
        <v>93.232404781747505</v>
      </c>
      <c r="AJ4675">
        <v>98.706946991931403</v>
      </c>
      <c r="AK4675">
        <v>19.885344730834099</v>
      </c>
      <c r="AL4675">
        <v>80.075664552832606</v>
      </c>
      <c r="AM4675">
        <v>96.577026228822405</v>
      </c>
      <c r="AN4675">
        <v>1.00000003558925</v>
      </c>
    </row>
    <row r="4676" spans="1:40" x14ac:dyDescent="0.25">
      <c r="A4676" t="str">
        <f>"20190303162648835"</f>
        <v>20190303162648835</v>
      </c>
      <c r="B4676" t="str">
        <f>"1551601608828075"</f>
        <v>1551601608828075</v>
      </c>
      <c r="C4676" t="s">
        <v>40</v>
      </c>
      <c r="D4676">
        <v>5.4945139999999997</v>
      </c>
      <c r="E4676">
        <v>0.4842148</v>
      </c>
      <c r="F4676" t="s">
        <v>59</v>
      </c>
      <c r="G4676">
        <v>-296.78730000000002</v>
      </c>
      <c r="H4676" s="1">
        <v>-8.2400609999999992E-6</v>
      </c>
      <c r="I4676">
        <v>-51.803710000000002</v>
      </c>
      <c r="J4676">
        <v>-301.87279999999998</v>
      </c>
      <c r="K4676">
        <v>1.1203050000000001</v>
      </c>
      <c r="L4676">
        <v>-30.62753</v>
      </c>
      <c r="M4676">
        <v>7.1320529999999993E-2</v>
      </c>
      <c r="N4676">
        <v>-1.1241559999999999E-2</v>
      </c>
      <c r="O4676">
        <v>-0.99739029999999995</v>
      </c>
      <c r="P4676">
        <v>0.1923657</v>
      </c>
      <c r="Q4676">
        <v>0.16397390000000001</v>
      </c>
      <c r="R4676">
        <v>-0.96752700000000003</v>
      </c>
      <c r="S4676">
        <v>0.70074459999999905</v>
      </c>
      <c r="T4676">
        <v>-0.15297520000000001</v>
      </c>
      <c r="U4676">
        <v>-2.9865110000000001</v>
      </c>
      <c r="V4676">
        <v>-0.1226833</v>
      </c>
      <c r="W4676">
        <v>0.1750951</v>
      </c>
      <c r="X4676">
        <v>0.97687789999999997</v>
      </c>
      <c r="Y4676">
        <v>-0.15818589999999999</v>
      </c>
      <c r="Z4676">
        <v>3.8823730000000001E-2</v>
      </c>
      <c r="AA4676">
        <v>0.98664580000000002</v>
      </c>
      <c r="AB4676">
        <v>35</v>
      </c>
      <c r="AC4676">
        <v>5.0854999999999597</v>
      </c>
      <c r="AD4676">
        <v>-1.1203132400610001</v>
      </c>
      <c r="AE4676">
        <v>-21.176179999999899</v>
      </c>
      <c r="AF4676">
        <v>-3.55275485320184</v>
      </c>
      <c r="AG4676">
        <v>-1.1203132400610001</v>
      </c>
      <c r="AH4676">
        <v>21.428265632460501</v>
      </c>
      <c r="AI4676">
        <v>92.952581201388597</v>
      </c>
      <c r="AJ4676">
        <v>99.413866900002802</v>
      </c>
      <c r="AK4676">
        <v>21.749660613860001</v>
      </c>
      <c r="AL4676">
        <v>79.915807194667096</v>
      </c>
      <c r="AM4676">
        <v>97.158136955592397</v>
      </c>
      <c r="AN4676">
        <v>0.99999995882565396</v>
      </c>
    </row>
    <row r="4677" spans="1:40" x14ac:dyDescent="0.25">
      <c r="A4677" t="str">
        <f>"20190303162648879"</f>
        <v>20190303162648879</v>
      </c>
      <c r="B4677" t="str">
        <f>"1551601608868091"</f>
        <v>1551601608868091</v>
      </c>
      <c r="C4677" t="s">
        <v>40</v>
      </c>
      <c r="D4677">
        <v>5.598122</v>
      </c>
      <c r="E4677">
        <v>0.48538999999999999</v>
      </c>
      <c r="F4677" t="s">
        <v>59</v>
      </c>
      <c r="G4677">
        <v>-296.55810000000002</v>
      </c>
      <c r="H4677" s="1">
        <v>-8.2105719999999905E-6</v>
      </c>
      <c r="I4677">
        <v>-52.781289999999998</v>
      </c>
      <c r="J4677">
        <v>-301.82740000000001</v>
      </c>
      <c r="K4677">
        <v>1.1196549999999901</v>
      </c>
      <c r="L4677">
        <v>-31.308109999999999</v>
      </c>
      <c r="M4677">
        <v>6.7776299999999998E-2</v>
      </c>
      <c r="N4677">
        <v>-1.1224100000000001E-2</v>
      </c>
      <c r="O4677">
        <v>-0.99763760000000001</v>
      </c>
      <c r="P4677">
        <v>0.19550409999999999</v>
      </c>
      <c r="Q4677">
        <v>0.16095789999999999</v>
      </c>
      <c r="R4677">
        <v>-0.96740440000000005</v>
      </c>
      <c r="S4677">
        <v>0.71585080000000001</v>
      </c>
      <c r="T4677">
        <v>-0.150898</v>
      </c>
      <c r="U4677">
        <v>-2.9839479999999998</v>
      </c>
      <c r="V4677">
        <v>-0.12902739999999999</v>
      </c>
      <c r="W4677">
        <v>0.172272799999999</v>
      </c>
      <c r="X4677">
        <v>0.97656229999999999</v>
      </c>
      <c r="Y4677">
        <v>-0.16660910000000001</v>
      </c>
      <c r="Z4677">
        <v>3.8157910000000003E-2</v>
      </c>
      <c r="AA4677">
        <v>0.98528439999999995</v>
      </c>
      <c r="AB4677">
        <v>35</v>
      </c>
      <c r="AC4677">
        <v>5.2692999999999799</v>
      </c>
      <c r="AD4677">
        <v>-1.1196632105719999</v>
      </c>
      <c r="AE4677">
        <v>-21.473179999999999</v>
      </c>
      <c r="AF4677">
        <v>-3.7919936257248001</v>
      </c>
      <c r="AG4677">
        <v>-1.1196632105719999</v>
      </c>
      <c r="AH4677">
        <v>21.725240768570501</v>
      </c>
      <c r="AI4677">
        <v>92.906404263798606</v>
      </c>
      <c r="AJ4677">
        <v>99.900850035410201</v>
      </c>
      <c r="AK4677">
        <v>22.082095639114598</v>
      </c>
      <c r="AL4677">
        <v>80.0800087456917</v>
      </c>
      <c r="AM4677">
        <v>97.526557984981594</v>
      </c>
      <c r="AN4677">
        <v>0.99999995667594399</v>
      </c>
    </row>
    <row r="4678" spans="1:40" x14ac:dyDescent="0.25">
      <c r="A4678" t="str">
        <f>"20190303162648925"</f>
        <v>20190303162648925</v>
      </c>
      <c r="B4678" t="str">
        <f>"1551601608918843"</f>
        <v>1551601608918843</v>
      </c>
      <c r="C4678" t="s">
        <v>40</v>
      </c>
      <c r="D4678">
        <v>5.6014799999999996</v>
      </c>
      <c r="E4678">
        <v>0.49486459999999999</v>
      </c>
      <c r="F4678" t="s">
        <v>59</v>
      </c>
      <c r="G4678">
        <v>-297.03460000000001</v>
      </c>
      <c r="H4678" s="1">
        <v>-8.2050339999999999E-6</v>
      </c>
      <c r="I4678">
        <v>-51.343470000000003</v>
      </c>
      <c r="J4678">
        <v>-301.78339999999997</v>
      </c>
      <c r="K4678">
        <v>1.119275</v>
      </c>
      <c r="L4678">
        <v>-32.017429999999997</v>
      </c>
      <c r="M4678">
        <v>6.3729999999999995E-2</v>
      </c>
      <c r="N4678">
        <v>-1.1203869999999999E-2</v>
      </c>
      <c r="O4678">
        <v>-0.99790449999999997</v>
      </c>
      <c r="P4678">
        <v>0.19373360000000001</v>
      </c>
      <c r="Q4678">
        <v>0.15785299999999999</v>
      </c>
      <c r="R4678">
        <v>-0.96827169999999896</v>
      </c>
      <c r="S4678">
        <v>0.71395869999999995</v>
      </c>
      <c r="T4678">
        <v>-0.1667901</v>
      </c>
      <c r="U4678">
        <v>-2.9845579999999998</v>
      </c>
      <c r="V4678">
        <v>-0.13103629999999999</v>
      </c>
      <c r="W4678">
        <v>0.16926729999999901</v>
      </c>
      <c r="X4678">
        <v>0.97682029999999997</v>
      </c>
      <c r="Y4678">
        <v>-0.16991510000000001</v>
      </c>
      <c r="Z4678">
        <v>4.3349970000000002E-2</v>
      </c>
      <c r="AA4678">
        <v>0.98450479999999996</v>
      </c>
      <c r="AB4678">
        <v>35</v>
      </c>
      <c r="AC4678">
        <v>4.7487999999999602</v>
      </c>
      <c r="AD4678">
        <v>-1.119283205034</v>
      </c>
      <c r="AE4678">
        <v>-19.326039999999999</v>
      </c>
      <c r="AF4678">
        <v>-3.4963598936301898</v>
      </c>
      <c r="AG4678">
        <v>-1.119283205034</v>
      </c>
      <c r="AH4678">
        <v>19.527637849720701</v>
      </c>
      <c r="AI4678">
        <v>93.229242922355695</v>
      </c>
      <c r="AJ4678">
        <v>100.151061238284</v>
      </c>
      <c r="AK4678">
        <v>19.869724894640701</v>
      </c>
      <c r="AL4678">
        <v>80.254778086322702</v>
      </c>
      <c r="AM4678">
        <v>97.6403739465661</v>
      </c>
      <c r="AN4678">
        <v>0.99999991462953097</v>
      </c>
    </row>
    <row r="4679" spans="1:40" x14ac:dyDescent="0.25">
      <c r="A4679" t="str">
        <f>"20190303162648969"</f>
        <v>20190303162648969</v>
      </c>
      <c r="B4679" t="str">
        <f>"1551601608958858"</f>
        <v>1551601608958858</v>
      </c>
      <c r="C4679" t="s">
        <v>40</v>
      </c>
      <c r="D4679">
        <v>5.2690989999999998</v>
      </c>
      <c r="E4679">
        <v>0.49553900000000001</v>
      </c>
      <c r="F4679" t="s">
        <v>59</v>
      </c>
      <c r="G4679">
        <v>-298.67700000000002</v>
      </c>
      <c r="H4679" s="1">
        <v>-4.2103850000000002E-6</v>
      </c>
      <c r="I4679">
        <v>-46.8553</v>
      </c>
      <c r="J4679">
        <v>-301.74329999999998</v>
      </c>
      <c r="K4679">
        <v>1.1191500000000001</v>
      </c>
      <c r="L4679">
        <v>-32.70984</v>
      </c>
      <c r="M4679">
        <v>5.990823E-2</v>
      </c>
      <c r="N4679">
        <v>-1.1188210000000001E-2</v>
      </c>
      <c r="O4679">
        <v>-0.99814150000000001</v>
      </c>
      <c r="P4679">
        <v>0.18896689999999999</v>
      </c>
      <c r="Q4679">
        <v>0.153713299999999</v>
      </c>
      <c r="R4679">
        <v>-0.96987849999999998</v>
      </c>
      <c r="S4679">
        <v>0.63000489999999998</v>
      </c>
      <c r="T4679">
        <v>-0.22699929999999999</v>
      </c>
      <c r="U4679">
        <v>-3.0092469999999998</v>
      </c>
      <c r="V4679">
        <v>-0.12990180000000001</v>
      </c>
      <c r="W4679">
        <v>0.16514999999999999</v>
      </c>
      <c r="X4679">
        <v>0.97767630000000005</v>
      </c>
      <c r="Y4679">
        <v>-0.14543299999999901</v>
      </c>
      <c r="Z4679">
        <v>6.2730419999999995E-2</v>
      </c>
      <c r="AA4679">
        <v>0.98737739999999996</v>
      </c>
      <c r="AB4679">
        <v>35</v>
      </c>
      <c r="AC4679">
        <v>3.0662999999999498</v>
      </c>
      <c r="AD4679">
        <v>-1.1191542103850001</v>
      </c>
      <c r="AE4679">
        <v>-14.14546</v>
      </c>
      <c r="AF4679">
        <v>-2.20015567210684</v>
      </c>
      <c r="AG4679">
        <v>-1.1191542103850001</v>
      </c>
      <c r="AH4679">
        <v>14.2187490374461</v>
      </c>
      <c r="AI4679">
        <v>94.447742441739805</v>
      </c>
      <c r="AJ4679">
        <v>98.795974258049398</v>
      </c>
      <c r="AK4679">
        <v>14.4314245768739</v>
      </c>
      <c r="AL4679">
        <v>80.494051367755503</v>
      </c>
      <c r="AM4679">
        <v>97.568440393361001</v>
      </c>
      <c r="AN4679">
        <v>0.99999997386246398</v>
      </c>
    </row>
    <row r="4680" spans="1:40" x14ac:dyDescent="0.25">
      <c r="A4680" t="str">
        <f>"20190303162649003"</f>
        <v>20190303162649003</v>
      </c>
      <c r="B4680" t="str">
        <f>"1551601608998875"</f>
        <v>1551601608998875</v>
      </c>
      <c r="C4680" t="s">
        <v>40</v>
      </c>
      <c r="D4680">
        <v>5.3535789999999999</v>
      </c>
      <c r="E4680">
        <v>0.49583110000000002</v>
      </c>
      <c r="F4680" t="s">
        <v>59</v>
      </c>
      <c r="G4680">
        <v>-298.9015</v>
      </c>
      <c r="H4680" s="1">
        <v>-4.1273189999999997E-6</v>
      </c>
      <c r="I4680">
        <v>-46.789969999999997</v>
      </c>
      <c r="J4680">
        <v>-301.71350000000001</v>
      </c>
      <c r="K4680">
        <v>1.1191629999999999</v>
      </c>
      <c r="L4680">
        <v>-33.250120000000003</v>
      </c>
      <c r="M4680">
        <v>5.7207180000000003E-2</v>
      </c>
      <c r="N4680">
        <v>-1.1179089999999999E-2</v>
      </c>
      <c r="O4680">
        <v>-0.99829970000000001</v>
      </c>
      <c r="P4680">
        <v>0.186083</v>
      </c>
      <c r="Q4680">
        <v>0.15317320000000001</v>
      </c>
      <c r="R4680">
        <v>-0.97052119999999997</v>
      </c>
      <c r="S4680">
        <v>0.60803219999999902</v>
      </c>
      <c r="T4680">
        <v>-0.2394606</v>
      </c>
      <c r="U4680">
        <v>-3.0126650000000001</v>
      </c>
      <c r="V4680">
        <v>-0.1296455</v>
      </c>
      <c r="W4680">
        <v>0.16459550000000001</v>
      </c>
      <c r="X4680">
        <v>0.97780389999999995</v>
      </c>
      <c r="Y4680">
        <v>-0.14092109999999999</v>
      </c>
      <c r="Z4680">
        <v>6.6779920000000006E-2</v>
      </c>
      <c r="AA4680">
        <v>0.98776600000000003</v>
      </c>
      <c r="AB4680">
        <v>35</v>
      </c>
      <c r="AC4680">
        <v>2.81200000000001</v>
      </c>
      <c r="AD4680">
        <v>-1.11916712731899</v>
      </c>
      <c r="AE4680">
        <v>-13.539849999999999</v>
      </c>
      <c r="AF4680">
        <v>-2.0195417860696701</v>
      </c>
      <c r="AG4680">
        <v>-1.11916712731899</v>
      </c>
      <c r="AH4680">
        <v>13.5895423381392</v>
      </c>
      <c r="AI4680">
        <v>94.6570550868406</v>
      </c>
      <c r="AJ4680">
        <v>98.452860717337003</v>
      </c>
      <c r="AK4680">
        <v>13.784293418403101</v>
      </c>
      <c r="AL4680">
        <v>80.526263429203098</v>
      </c>
      <c r="AM4680">
        <v>97.552705889630005</v>
      </c>
      <c r="AN4680">
        <v>1.0000000505728499</v>
      </c>
    </row>
    <row r="4681" spans="1:40" x14ac:dyDescent="0.25">
      <c r="A4681" t="str">
        <f>"20190303162649035"</f>
        <v>20190303162649035</v>
      </c>
      <c r="B4681" t="str">
        <f>"1551601609028155"</f>
        <v>1551601609028155</v>
      </c>
      <c r="C4681" t="s">
        <v>40</v>
      </c>
      <c r="D4681">
        <v>5.6018569999999999</v>
      </c>
      <c r="E4681">
        <v>0.49630390000000002</v>
      </c>
      <c r="F4681" t="s">
        <v>59</v>
      </c>
      <c r="G4681">
        <v>-298.93200000000002</v>
      </c>
      <c r="H4681" s="1">
        <v>-4.3943870000000001E-6</v>
      </c>
      <c r="I4681">
        <v>-47.327370000000002</v>
      </c>
      <c r="J4681">
        <v>-301.6866</v>
      </c>
      <c r="K4681">
        <v>1.1192150000000001</v>
      </c>
      <c r="L4681">
        <v>-33.759430000000002</v>
      </c>
      <c r="M4681">
        <v>5.4894720000000001E-2</v>
      </c>
      <c r="N4681">
        <v>-1.117316E-2</v>
      </c>
      <c r="O4681">
        <v>-0.99842980000000003</v>
      </c>
      <c r="P4681">
        <v>0.187838</v>
      </c>
      <c r="Q4681">
        <v>0.15215879999999901</v>
      </c>
      <c r="R4681">
        <v>-0.97034279999999995</v>
      </c>
      <c r="S4681">
        <v>0.5956726</v>
      </c>
      <c r="T4681">
        <v>-0.23967740000000001</v>
      </c>
      <c r="U4681">
        <v>-3.0147400000000002</v>
      </c>
      <c r="V4681">
        <v>-0.1336996</v>
      </c>
      <c r="W4681">
        <v>0.16356960000000001</v>
      </c>
      <c r="X4681">
        <v>0.97743000000000002</v>
      </c>
      <c r="Y4681">
        <v>-0.13918749999999999</v>
      </c>
      <c r="Z4681">
        <v>6.6855419999999999E-2</v>
      </c>
      <c r="AA4681">
        <v>0.98800670000000002</v>
      </c>
      <c r="AB4681">
        <v>35</v>
      </c>
      <c r="AC4681">
        <v>2.75459999999998</v>
      </c>
      <c r="AD4681">
        <v>-1.1192193943869999</v>
      </c>
      <c r="AE4681">
        <v>-13.56794</v>
      </c>
      <c r="AF4681">
        <v>-1.9925694168515</v>
      </c>
      <c r="AG4681">
        <v>-1.1192193943869999</v>
      </c>
      <c r="AH4681">
        <v>13.609758515845501</v>
      </c>
      <c r="AI4681">
        <v>94.651856475378494</v>
      </c>
      <c r="AJ4681">
        <v>98.329349212020105</v>
      </c>
      <c r="AK4681">
        <v>13.8003083948647</v>
      </c>
      <c r="AL4681">
        <v>80.585850308741598</v>
      </c>
      <c r="AM4681">
        <v>97.788972036307598</v>
      </c>
      <c r="AN4681">
        <v>1.0000000009921599</v>
      </c>
    </row>
    <row r="4682" spans="1:40" x14ac:dyDescent="0.25">
      <c r="A4682" t="str">
        <f>"20190303162649071"</f>
        <v>20190303162649071</v>
      </c>
      <c r="B4682" t="str">
        <f>"1551601609058411"</f>
        <v>1551601609058411</v>
      </c>
      <c r="C4682" t="s">
        <v>40</v>
      </c>
      <c r="D4682">
        <v>4.7743039999999999</v>
      </c>
      <c r="E4682">
        <v>0.49639689999999997</v>
      </c>
      <c r="F4682" t="s">
        <v>59</v>
      </c>
      <c r="G4682">
        <v>-298.94260000000003</v>
      </c>
      <c r="H4682" s="1">
        <v>-4.5977120000000004E-6</v>
      </c>
      <c r="I4682">
        <v>-47.731000000000002</v>
      </c>
      <c r="J4682">
        <v>-301.65910000000002</v>
      </c>
      <c r="K4682">
        <v>1.119248</v>
      </c>
      <c r="L4682">
        <v>-34.302489999999999</v>
      </c>
      <c r="M4682">
        <v>5.2614380000000002E-2</v>
      </c>
      <c r="N4682">
        <v>-1.116954E-2</v>
      </c>
      <c r="O4682">
        <v>-0.99855269999999996</v>
      </c>
      <c r="P4682">
        <v>0.1869092</v>
      </c>
      <c r="Q4682">
        <v>0.15232679999999901</v>
      </c>
      <c r="R4682">
        <v>-0.97049580000000002</v>
      </c>
      <c r="S4682">
        <v>0.59213260000000001</v>
      </c>
      <c r="T4682">
        <v>-0.24151619999999999</v>
      </c>
      <c r="U4682">
        <v>-3.014923</v>
      </c>
      <c r="V4682">
        <v>-0.13501649999999901</v>
      </c>
      <c r="W4682">
        <v>0.16372249999999999</v>
      </c>
      <c r="X4682">
        <v>0.97722339999999996</v>
      </c>
      <c r="Y4682">
        <v>-0.14031179999999999</v>
      </c>
      <c r="Z4682">
        <v>6.7463270000000006E-2</v>
      </c>
      <c r="AA4682">
        <v>0.98780630000000003</v>
      </c>
      <c r="AB4682">
        <v>35</v>
      </c>
      <c r="AC4682">
        <v>2.7164999999999901</v>
      </c>
      <c r="AD4682">
        <v>-1.119252597712</v>
      </c>
      <c r="AE4682">
        <v>-13.428509999999999</v>
      </c>
      <c r="AF4682">
        <v>-1.9928600776432699</v>
      </c>
      <c r="AG4682">
        <v>-1.119252597712</v>
      </c>
      <c r="AH4682">
        <v>13.4629925919697</v>
      </c>
      <c r="AI4682">
        <v>94.701389996328004</v>
      </c>
      <c r="AJ4682">
        <v>98.420067060021495</v>
      </c>
      <c r="AK4682">
        <v>13.6556357302756</v>
      </c>
      <c r="AL4682">
        <v>80.576970469043601</v>
      </c>
      <c r="AM4682">
        <v>97.8663774613063</v>
      </c>
      <c r="AN4682">
        <v>1.00000004289302</v>
      </c>
    </row>
    <row r="4683" spans="1:40" x14ac:dyDescent="0.25">
      <c r="A4683" t="str">
        <f>"20190303162649103"</f>
        <v>20190303162649103</v>
      </c>
      <c r="B4683" t="str">
        <f>"1551601609088667"</f>
        <v>1551601609088667</v>
      </c>
      <c r="C4683" t="s">
        <v>40</v>
      </c>
      <c r="D4683">
        <v>5.6533199999999999</v>
      </c>
      <c r="E4683">
        <v>0.4964655</v>
      </c>
      <c r="F4683" t="s">
        <v>59</v>
      </c>
      <c r="G4683">
        <v>-298.9117</v>
      </c>
      <c r="H4683" s="1">
        <v>-4.9269990000000002E-6</v>
      </c>
      <c r="I4683">
        <v>-48.363799999999998</v>
      </c>
      <c r="J4683">
        <v>-301.63440000000003</v>
      </c>
      <c r="K4683">
        <v>1.1192359999999999</v>
      </c>
      <c r="L4683">
        <v>-34.811039999999998</v>
      </c>
      <c r="M4683">
        <v>5.0570459999999998E-2</v>
      </c>
      <c r="N4683">
        <v>-1.1168020000000001E-2</v>
      </c>
      <c r="O4683">
        <v>-0.99865809999999999</v>
      </c>
      <c r="P4683">
        <v>0.18187809999999999</v>
      </c>
      <c r="Q4683">
        <v>0.14552399999999999</v>
      </c>
      <c r="R4683">
        <v>-0.97249339999999995</v>
      </c>
      <c r="S4683">
        <v>0.58917240000000004</v>
      </c>
      <c r="T4683">
        <v>-0.24002080000000001</v>
      </c>
      <c r="U4683">
        <v>-3.0154109999999998</v>
      </c>
      <c r="V4683">
        <v>-0.13192709999999999</v>
      </c>
      <c r="W4683">
        <v>0.1569171</v>
      </c>
      <c r="X4683">
        <v>0.97876059999999998</v>
      </c>
      <c r="Y4683">
        <v>-0.14138010000000001</v>
      </c>
      <c r="Z4683">
        <v>6.6979869999999997E-2</v>
      </c>
      <c r="AA4683">
        <v>0.98768690000000003</v>
      </c>
      <c r="AB4683">
        <v>35</v>
      </c>
      <c r="AC4683">
        <v>2.7227000000000299</v>
      </c>
      <c r="AD4683">
        <v>-1.119240926999</v>
      </c>
      <c r="AE4683">
        <v>-13.5527599999999</v>
      </c>
      <c r="AF4683">
        <v>-2.0205579962104001</v>
      </c>
      <c r="AG4683">
        <v>-1.119240926999</v>
      </c>
      <c r="AH4683">
        <v>13.584062962438001</v>
      </c>
      <c r="AI4683">
        <v>94.659140265404901</v>
      </c>
      <c r="AJ4683">
        <v>98.460414547436898</v>
      </c>
      <c r="AK4683">
        <v>13.7790464632427</v>
      </c>
      <c r="AL4683">
        <v>80.972001490607695</v>
      </c>
      <c r="AM4683">
        <v>97.676628314655403</v>
      </c>
      <c r="AN4683">
        <v>1.0000000240495801</v>
      </c>
    </row>
    <row r="4684" spans="1:40" x14ac:dyDescent="0.25">
      <c r="A4684" t="str">
        <f>"20190303162649148"</f>
        <v>20190303162649148</v>
      </c>
      <c r="B4684" t="str">
        <f>"1551601609138443"</f>
        <v>1551601609138443</v>
      </c>
      <c r="C4684" t="s">
        <v>40</v>
      </c>
      <c r="D4684">
        <v>5.3643970000000003</v>
      </c>
      <c r="E4684">
        <v>0.54097890000000004</v>
      </c>
      <c r="F4684" t="s">
        <v>59</v>
      </c>
      <c r="G4684">
        <v>-299.16140000000001</v>
      </c>
      <c r="H4684" s="1">
        <v>-4.5894620000000001E-6</v>
      </c>
      <c r="I4684">
        <v>-47.810040000000001</v>
      </c>
      <c r="J4684">
        <v>-301.60199999999998</v>
      </c>
      <c r="K4684">
        <v>1.1192340000000001</v>
      </c>
      <c r="L4684">
        <v>-35.515140000000002</v>
      </c>
      <c r="M4684">
        <v>4.7812830000000001E-2</v>
      </c>
      <c r="N4684">
        <v>-1.116787E-2</v>
      </c>
      <c r="O4684">
        <v>-0.99879399999999996</v>
      </c>
      <c r="P4684">
        <v>0.17786769999999999</v>
      </c>
      <c r="Q4684">
        <v>0.1374389</v>
      </c>
      <c r="R4684">
        <v>-0.97440959999999999</v>
      </c>
      <c r="S4684">
        <v>0.57385249999999999</v>
      </c>
      <c r="T4684">
        <v>-0.25971709999999998</v>
      </c>
      <c r="U4684">
        <v>-3.0163880000000001</v>
      </c>
      <c r="V4684">
        <v>-0.13057340000000001</v>
      </c>
      <c r="W4684">
        <v>0.1488341</v>
      </c>
      <c r="X4684">
        <v>0.98020359999999995</v>
      </c>
      <c r="Y4684">
        <v>-0.1391281</v>
      </c>
      <c r="Z4684">
        <v>7.338683E-2</v>
      </c>
      <c r="AA4684">
        <v>0.98755139999999997</v>
      </c>
      <c r="AB4684">
        <v>35</v>
      </c>
      <c r="AC4684">
        <v>2.4406000000000101</v>
      </c>
      <c r="AD4684">
        <v>-1.1192385894620001</v>
      </c>
      <c r="AE4684">
        <v>-12.294899999999901</v>
      </c>
      <c r="AF4684">
        <v>-1.83528545087541</v>
      </c>
      <c r="AG4684">
        <v>-1.1192385894620001</v>
      </c>
      <c r="AH4684">
        <v>12.2994747340852</v>
      </c>
      <c r="AI4684">
        <v>95.142902730882497</v>
      </c>
      <c r="AJ4684">
        <v>98.486861161903505</v>
      </c>
      <c r="AK4684">
        <v>12.485913920924499</v>
      </c>
      <c r="AL4684">
        <v>81.440633429864107</v>
      </c>
      <c r="AM4684">
        <v>97.587727687771803</v>
      </c>
      <c r="AN4684">
        <v>1.0000000497816599</v>
      </c>
    </row>
    <row r="4685" spans="1:40" x14ac:dyDescent="0.25">
      <c r="A4685" t="str">
        <f>"20190303162649193"</f>
        <v>20190303162649193</v>
      </c>
      <c r="B4685" t="str">
        <f>"1551601609178459"</f>
        <v>1551601609178459</v>
      </c>
      <c r="C4685" t="s">
        <v>40</v>
      </c>
      <c r="D4685">
        <v>5.315734</v>
      </c>
      <c r="E4685">
        <v>0.54096259999999996</v>
      </c>
      <c r="F4685" t="s">
        <v>42</v>
      </c>
      <c r="G4685">
        <v>-301.5505</v>
      </c>
      <c r="H4685">
        <v>0.8844573</v>
      </c>
      <c r="I4685">
        <v>-36.335039999999999</v>
      </c>
      <c r="J4685">
        <v>-301.57130000000001</v>
      </c>
      <c r="K4685">
        <v>1.119305</v>
      </c>
      <c r="L4685">
        <v>-36.222050000000003</v>
      </c>
      <c r="M4685">
        <v>4.5135069999999999E-2</v>
      </c>
      <c r="N4685">
        <v>-1.1174369999999999E-2</v>
      </c>
      <c r="O4685">
        <v>-0.99891850000000004</v>
      </c>
      <c r="P4685">
        <v>0.173598</v>
      </c>
      <c r="Q4685">
        <v>0.14185149999999999</v>
      </c>
      <c r="R4685">
        <v>-0.97454730000000001</v>
      </c>
      <c r="S4685">
        <v>0.19903560000000001</v>
      </c>
      <c r="T4685">
        <v>-0.9078676</v>
      </c>
      <c r="U4685">
        <v>-3.1705019999999999</v>
      </c>
      <c r="V4685">
        <v>-0.12894050000000001</v>
      </c>
      <c r="W4685">
        <v>0.1532239</v>
      </c>
      <c r="X4685">
        <v>0.97974320000000004</v>
      </c>
      <c r="Y4685">
        <v>-1.528972E-2</v>
      </c>
      <c r="Z4685">
        <v>0.26386500000000002</v>
      </c>
      <c r="AA4685">
        <v>0.96443840000000003</v>
      </c>
      <c r="AB4685">
        <v>35</v>
      </c>
      <c r="AC4685">
        <v>2.0800000000008301E-2</v>
      </c>
      <c r="AD4685">
        <v>-0.23484769999999999</v>
      </c>
      <c r="AE4685">
        <v>-0.112989999999996</v>
      </c>
      <c r="AF4685">
        <v>-3.0276545182659599E-3</v>
      </c>
      <c r="AG4685">
        <v>-0.23484769999999999</v>
      </c>
      <c r="AH4685">
        <v>2.19781758718588E-2</v>
      </c>
      <c r="AI4685">
        <v>174.60336290401199</v>
      </c>
      <c r="AJ4685">
        <v>97.843545562017198</v>
      </c>
      <c r="AK4685">
        <v>0.23589330024785801</v>
      </c>
      <c r="AL4685">
        <v>81.186197014003397</v>
      </c>
      <c r="AM4685">
        <v>97.497405195345294</v>
      </c>
      <c r="AN4685">
        <v>0.99999997700884902</v>
      </c>
    </row>
    <row r="4686" spans="1:40" x14ac:dyDescent="0.25">
      <c r="A4686" t="str">
        <f>"20190303162649224"</f>
        <v>20190303162649224</v>
      </c>
      <c r="B4686" t="str">
        <f>"1551601609218474"</f>
        <v>1551601609218474</v>
      </c>
      <c r="C4686" t="s">
        <v>40</v>
      </c>
      <c r="D4686">
        <v>5.3211320000000004</v>
      </c>
      <c r="E4686">
        <v>0.54063760000000005</v>
      </c>
      <c r="F4686" t="s">
        <v>42</v>
      </c>
      <c r="G4686">
        <v>-301.52850000000001</v>
      </c>
      <c r="H4686">
        <v>0.90282110000000004</v>
      </c>
      <c r="I4686">
        <v>-36.972720000000002</v>
      </c>
      <c r="J4686">
        <v>-301.55079999999998</v>
      </c>
      <c r="K4686">
        <v>1.119416</v>
      </c>
      <c r="L4686">
        <v>-36.719149999999999</v>
      </c>
      <c r="M4686">
        <v>4.3450370000000002E-2</v>
      </c>
      <c r="N4686">
        <v>-1.1216719999999999E-2</v>
      </c>
      <c r="O4686">
        <v>-0.99899289999999996</v>
      </c>
      <c r="P4686">
        <v>0.17159449999999901</v>
      </c>
      <c r="Q4686">
        <v>0.14166400000000001</v>
      </c>
      <c r="R4686">
        <v>-0.9749295</v>
      </c>
      <c r="S4686">
        <v>0.18130489999999999</v>
      </c>
      <c r="T4686">
        <v>-0.91693659999999999</v>
      </c>
      <c r="U4686">
        <v>-3.179535</v>
      </c>
      <c r="V4686">
        <v>-0.1286166</v>
      </c>
      <c r="W4686">
        <v>0.15304579999999901</v>
      </c>
      <c r="X4686">
        <v>0.97981359999999995</v>
      </c>
      <c r="Y4686">
        <v>-1.1422959999999999E-2</v>
      </c>
      <c r="Z4686">
        <v>0.26571489999999998</v>
      </c>
      <c r="AA4686">
        <v>0.96398399999999995</v>
      </c>
      <c r="AB4686">
        <v>35</v>
      </c>
      <c r="AC4686">
        <v>2.22999999999728E-2</v>
      </c>
      <c r="AD4686">
        <v>-0.21659490000000001</v>
      </c>
      <c r="AE4686">
        <v>-0.25357000000000302</v>
      </c>
      <c r="AF4686">
        <v>-6.5315316839115603E-3</v>
      </c>
      <c r="AG4686">
        <v>-0.21659490000000001</v>
      </c>
      <c r="AH4686">
        <v>0.14750320512193901</v>
      </c>
      <c r="AI4686">
        <v>145.71864855249899</v>
      </c>
      <c r="AJ4686">
        <v>92.535435711641995</v>
      </c>
      <c r="AK4686">
        <v>0.26213204140927299</v>
      </c>
      <c r="AL4686">
        <v>81.196523113125593</v>
      </c>
      <c r="AM4686">
        <v>97.478253815992105</v>
      </c>
      <c r="AN4686">
        <v>0.99999996871907904</v>
      </c>
    </row>
    <row r="4687" spans="1:40" x14ac:dyDescent="0.25">
      <c r="A4687" t="str">
        <f>"20190303162649259"</f>
        <v>20190303162649259</v>
      </c>
      <c r="B4687" t="str">
        <f>"1551601609248732"</f>
        <v>1551601609248732</v>
      </c>
      <c r="C4687" t="s">
        <v>40</v>
      </c>
      <c r="D4687">
        <v>5.3131849999999998</v>
      </c>
      <c r="E4687">
        <v>0.54056269999999995</v>
      </c>
      <c r="F4687" t="s">
        <v>42</v>
      </c>
      <c r="G4687">
        <v>-301.5027</v>
      </c>
      <c r="H4687">
        <v>0.871565699999999</v>
      </c>
      <c r="I4687">
        <v>-37.589010000000002</v>
      </c>
      <c r="J4687">
        <v>-301.52870000000001</v>
      </c>
      <c r="K4687">
        <v>1.119704</v>
      </c>
      <c r="L4687">
        <v>-37.264189999999999</v>
      </c>
      <c r="M4687">
        <v>4.2059289999999999E-2</v>
      </c>
      <c r="N4687">
        <v>-1.1424159999999999E-2</v>
      </c>
      <c r="O4687">
        <v>-0.99905010000000005</v>
      </c>
      <c r="P4687">
        <v>0.16762349999999901</v>
      </c>
      <c r="Q4687">
        <v>0.1418836</v>
      </c>
      <c r="R4687">
        <v>-0.97558789999999995</v>
      </c>
      <c r="S4687">
        <v>0.17559810000000001</v>
      </c>
      <c r="T4687">
        <v>-0.90544970000000002</v>
      </c>
      <c r="U4687">
        <v>-3.1777950000000001</v>
      </c>
      <c r="V4687">
        <v>-0.1260762</v>
      </c>
      <c r="W4687">
        <v>0.15338979999999999</v>
      </c>
      <c r="X4687">
        <v>0.98009000000000002</v>
      </c>
      <c r="Y4687">
        <v>-1.116897E-2</v>
      </c>
      <c r="Z4687">
        <v>0.2624764</v>
      </c>
      <c r="AA4687">
        <v>0.9648738</v>
      </c>
      <c r="AB4687">
        <v>35</v>
      </c>
      <c r="AC4687">
        <v>2.60000000000104E-2</v>
      </c>
      <c r="AD4687">
        <v>-0.24813830000000001</v>
      </c>
      <c r="AE4687">
        <v>-0.324819999999995</v>
      </c>
      <c r="AF4687">
        <v>-7.7945826973593096E-3</v>
      </c>
      <c r="AG4687">
        <v>-0.24813830000000001</v>
      </c>
      <c r="AH4687">
        <v>0.206109848570279</v>
      </c>
      <c r="AI4687">
        <v>140.26600908843801</v>
      </c>
      <c r="AJ4687">
        <v>92.165757599050593</v>
      </c>
      <c r="AK4687">
        <v>0.32266800449375099</v>
      </c>
      <c r="AL4687">
        <v>81.176578346967204</v>
      </c>
      <c r="AM4687">
        <v>97.330123357075607</v>
      </c>
      <c r="AN4687">
        <v>1.00000002352523</v>
      </c>
    </row>
    <row r="4688" spans="1:40" x14ac:dyDescent="0.25">
      <c r="A4688" t="str">
        <f>"20190303162649304"</f>
        <v>20190303162649304</v>
      </c>
      <c r="B4688" t="str">
        <f>"1551601609298507"</f>
        <v>1551601609298507</v>
      </c>
      <c r="C4688" t="s">
        <v>40</v>
      </c>
      <c r="D4688">
        <v>5.2835869999999998</v>
      </c>
      <c r="E4688">
        <v>0.54175790000000001</v>
      </c>
      <c r="F4688" t="s">
        <v>42</v>
      </c>
      <c r="G4688">
        <v>-301.47640000000001</v>
      </c>
      <c r="H4688">
        <v>0.85154889999999905</v>
      </c>
      <c r="I4688">
        <v>-38.208970000000001</v>
      </c>
      <c r="J4688">
        <v>-301.49990000000003</v>
      </c>
      <c r="K4688">
        <v>1.120306</v>
      </c>
      <c r="L4688">
        <v>-37.975099999999998</v>
      </c>
      <c r="M4688">
        <v>4.133096E-2</v>
      </c>
      <c r="N4688">
        <v>-1.1964549999999999E-2</v>
      </c>
      <c r="O4688">
        <v>-0.99907389999999996</v>
      </c>
      <c r="P4688">
        <v>0.15925059999999999</v>
      </c>
      <c r="Q4688">
        <v>0.13726089999999999</v>
      </c>
      <c r="R4688">
        <v>-0.97764969999999995</v>
      </c>
      <c r="S4688">
        <v>0.1760864</v>
      </c>
      <c r="T4688">
        <v>-0.90142</v>
      </c>
      <c r="U4688">
        <v>-3.1759029999999999</v>
      </c>
      <c r="V4688">
        <v>-0.1185301</v>
      </c>
      <c r="W4688">
        <v>0.1491557</v>
      </c>
      <c r="X4688">
        <v>0.98168390000000005</v>
      </c>
      <c r="Y4688">
        <v>-1.2097109999999999E-2</v>
      </c>
      <c r="Z4688">
        <v>0.26098519999999997</v>
      </c>
      <c r="AA4688">
        <v>0.96526699999999999</v>
      </c>
      <c r="AB4688">
        <v>35</v>
      </c>
      <c r="AC4688">
        <v>2.3500000000012702E-2</v>
      </c>
      <c r="AD4688">
        <v>-0.26875710000000003</v>
      </c>
      <c r="AE4688">
        <v>-0.23387000000000299</v>
      </c>
      <c r="AF4688">
        <v>-5.98646310505716E-3</v>
      </c>
      <c r="AG4688">
        <v>-0.26875710000000003</v>
      </c>
      <c r="AH4688">
        <v>0.101690940557898</v>
      </c>
      <c r="AI4688">
        <v>159.24179003696801</v>
      </c>
      <c r="AJ4688">
        <v>93.369067684198995</v>
      </c>
      <c r="AK4688">
        <v>0.28741479421294203</v>
      </c>
      <c r="AL4688">
        <v>81.421999056664106</v>
      </c>
      <c r="AM4688">
        <v>96.884657978233093</v>
      </c>
      <c r="AN4688">
        <v>1.0000000434838501</v>
      </c>
    </row>
    <row r="4689" spans="1:40" x14ac:dyDescent="0.25">
      <c r="A4689" t="str">
        <f>"20190303162649350"</f>
        <v>20190303162649350</v>
      </c>
      <c r="B4689" t="str">
        <f>"1551601609338524"</f>
        <v>1551601609338524</v>
      </c>
      <c r="C4689" t="s">
        <v>40</v>
      </c>
      <c r="D4689">
        <v>5.2230309999999998</v>
      </c>
      <c r="E4689">
        <v>0.54194160000000002</v>
      </c>
      <c r="F4689" t="s">
        <v>42</v>
      </c>
      <c r="G4689">
        <v>-301.46449999999999</v>
      </c>
      <c r="H4689">
        <v>0.82615159999999999</v>
      </c>
      <c r="I4689">
        <v>-38.824579999999997</v>
      </c>
      <c r="J4689">
        <v>-301.47000000000003</v>
      </c>
      <c r="K4689">
        <v>1.1210929999999999</v>
      </c>
      <c r="L4689">
        <v>-38.682250000000003</v>
      </c>
      <c r="M4689">
        <v>4.2316289999999999E-2</v>
      </c>
      <c r="N4689">
        <v>-1.2534139999999999E-2</v>
      </c>
      <c r="O4689">
        <v>-0.99902579999999996</v>
      </c>
      <c r="P4689">
        <v>0.15182200000000001</v>
      </c>
      <c r="Q4689">
        <v>0.13975170000000001</v>
      </c>
      <c r="R4689">
        <v>-0.97847810000000002</v>
      </c>
      <c r="S4689">
        <v>0.13406370000000001</v>
      </c>
      <c r="T4689">
        <v>-1.1089819999999999</v>
      </c>
      <c r="U4689">
        <v>-3.2024539999999999</v>
      </c>
      <c r="V4689">
        <v>-0.1103568</v>
      </c>
      <c r="W4689">
        <v>0.15201700000000001</v>
      </c>
      <c r="X4689">
        <v>0.9821976</v>
      </c>
      <c r="Y4689">
        <v>2.6215230000000002E-3</v>
      </c>
      <c r="Z4689">
        <v>0.31481429999999999</v>
      </c>
      <c r="AA4689">
        <v>0.94914969999999999</v>
      </c>
      <c r="AB4689">
        <v>35</v>
      </c>
      <c r="AC4689">
        <v>5.5000000000404699E-3</v>
      </c>
      <c r="AD4689">
        <v>-0.29494140000000002</v>
      </c>
      <c r="AE4689">
        <v>-0.14232999999999399</v>
      </c>
      <c r="AF4689" s="1">
        <v>9.9905629145888097E-5</v>
      </c>
      <c r="AG4689">
        <v>-0.29494140000000002</v>
      </c>
      <c r="AH4689">
        <v>2.6936779704699602E-2</v>
      </c>
      <c r="AI4689">
        <v>174.781659736206</v>
      </c>
      <c r="AJ4689">
        <v>89.787497068483503</v>
      </c>
      <c r="AK4689">
        <v>0.296168920577352</v>
      </c>
      <c r="AL4689">
        <v>81.256166840633199</v>
      </c>
      <c r="AM4689">
        <v>96.410697103050197</v>
      </c>
      <c r="AN4689">
        <v>0.99999995852049905</v>
      </c>
    </row>
    <row r="4690" spans="1:40" x14ac:dyDescent="0.25">
      <c r="A4690" t="str">
        <f>"20190303162649395"</f>
        <v>20190303162649395</v>
      </c>
      <c r="B4690" t="str">
        <f>"1551601609388300"</f>
        <v>1551601609388300</v>
      </c>
      <c r="C4690" t="s">
        <v>40</v>
      </c>
      <c r="D4690">
        <v>5.2341889999999998</v>
      </c>
      <c r="E4690">
        <v>0.54224119999999998</v>
      </c>
      <c r="F4690" t="s">
        <v>42</v>
      </c>
      <c r="G4690">
        <v>-301.44229999999999</v>
      </c>
      <c r="H4690">
        <v>0.85377729999999996</v>
      </c>
      <c r="I4690">
        <v>-39.460720000000002</v>
      </c>
      <c r="J4690">
        <v>-301.43759999999997</v>
      </c>
      <c r="K4690">
        <v>1.1221209999999999</v>
      </c>
      <c r="L4690">
        <v>-39.372340000000001</v>
      </c>
      <c r="M4690">
        <v>4.5615940000000001E-2</v>
      </c>
      <c r="N4690">
        <v>-1.302964E-2</v>
      </c>
      <c r="O4690">
        <v>-0.99887420000000005</v>
      </c>
      <c r="P4690">
        <v>0.1519547</v>
      </c>
      <c r="Q4690">
        <v>0.13497770000000001</v>
      </c>
      <c r="R4690">
        <v>-0.97912750000000004</v>
      </c>
      <c r="S4690">
        <v>0.114563</v>
      </c>
      <c r="T4690">
        <v>-1.1007549999999999</v>
      </c>
      <c r="U4690">
        <v>-3.2054140000000002</v>
      </c>
      <c r="V4690">
        <v>-0.1075628</v>
      </c>
      <c r="W4690">
        <v>0.14748539999999999</v>
      </c>
      <c r="X4690">
        <v>0.98319800000000002</v>
      </c>
      <c r="Y4690">
        <v>1.1670959999999999E-2</v>
      </c>
      <c r="Z4690">
        <v>0.31185170000000001</v>
      </c>
      <c r="AA4690">
        <v>0.95005910000000005</v>
      </c>
      <c r="AB4690">
        <v>35</v>
      </c>
      <c r="AC4690">
        <v>-4.7000000000139101E-3</v>
      </c>
      <c r="AD4690">
        <v>-0.26834369999999902</v>
      </c>
      <c r="AE4690">
        <v>-8.8380000000000694E-2</v>
      </c>
      <c r="AF4690">
        <v>8.5619022274238503E-4</v>
      </c>
      <c r="AG4690">
        <v>-0.26834369999999902</v>
      </c>
      <c r="AH4690">
        <v>8.6407538631807102E-3</v>
      </c>
      <c r="AI4690">
        <v>178.146669043061</v>
      </c>
      <c r="AJ4690">
        <v>84.341179400372198</v>
      </c>
      <c r="AK4690">
        <v>0.26848414668041598</v>
      </c>
      <c r="AL4690">
        <v>81.518770217633303</v>
      </c>
      <c r="AM4690">
        <v>96.243383866524297</v>
      </c>
      <c r="AN4690">
        <v>1.0000000031805001</v>
      </c>
    </row>
    <row r="4691" spans="1:40" x14ac:dyDescent="0.25">
      <c r="A4691" t="str">
        <f>"20190303162649438"</f>
        <v>20190303162649438</v>
      </c>
      <c r="B4691" t="str">
        <f>"1551601609428315"</f>
        <v>1551601609428315</v>
      </c>
      <c r="C4691" t="s">
        <v>40</v>
      </c>
      <c r="D4691">
        <v>5.1983439999999996</v>
      </c>
      <c r="E4691">
        <v>0.54235509999999998</v>
      </c>
      <c r="F4691" t="s">
        <v>42</v>
      </c>
      <c r="G4691">
        <v>-301.41309999999999</v>
      </c>
      <c r="H4691">
        <v>0.87318280000000004</v>
      </c>
      <c r="I4691">
        <v>-40.090499999999999</v>
      </c>
      <c r="J4691">
        <v>-301.40039999999999</v>
      </c>
      <c r="K4691">
        <v>1.123354</v>
      </c>
      <c r="L4691">
        <v>-40.05151</v>
      </c>
      <c r="M4691">
        <v>5.1526799999999998E-2</v>
      </c>
      <c r="N4691">
        <v>-1.345905E-2</v>
      </c>
      <c r="O4691">
        <v>-0.99858089999999999</v>
      </c>
      <c r="P4691">
        <v>0.15687039999999999</v>
      </c>
      <c r="Q4691">
        <v>0.1361385</v>
      </c>
      <c r="R4691">
        <v>-0.97819140000000004</v>
      </c>
      <c r="S4691">
        <v>0.1094666</v>
      </c>
      <c r="T4691">
        <v>-1.109175</v>
      </c>
      <c r="U4691">
        <v>-3.1998600000000001</v>
      </c>
      <c r="V4691">
        <v>-0.107123</v>
      </c>
      <c r="W4691">
        <v>0.14876139999999999</v>
      </c>
      <c r="X4691">
        <v>0.98305370000000003</v>
      </c>
      <c r="Y4691">
        <v>1.9047870000000001E-2</v>
      </c>
      <c r="Z4691">
        <v>0.31403039999999999</v>
      </c>
      <c r="AA4691">
        <v>0.9492218</v>
      </c>
      <c r="AB4691">
        <v>35</v>
      </c>
      <c r="AC4691">
        <v>-1.26999999999952E-2</v>
      </c>
      <c r="AD4691">
        <v>-0.25017119999999998</v>
      </c>
      <c r="AE4691">
        <v>-3.8989999999998297E-2</v>
      </c>
      <c r="AF4691">
        <v>3.8441597961218801E-4</v>
      </c>
      <c r="AG4691">
        <v>-0.25017119999999998</v>
      </c>
      <c r="AH4691">
        <v>1.0016706521539E-3</v>
      </c>
      <c r="AI4691">
        <v>179.75427864079199</v>
      </c>
      <c r="AJ4691">
        <v>69.004455033380495</v>
      </c>
      <c r="AK4691">
        <v>0.25017350065340799</v>
      </c>
      <c r="AL4691">
        <v>81.444844729091997</v>
      </c>
      <c r="AM4691">
        <v>96.218962035819004</v>
      </c>
      <c r="AN4691">
        <v>0.99999993417132205</v>
      </c>
    </row>
    <row r="4692" spans="1:40" x14ac:dyDescent="0.25">
      <c r="A4692" t="str">
        <f>"20190303162649472"</f>
        <v>20190303162649472</v>
      </c>
      <c r="B4692" t="str">
        <f>"1551601609458574"</f>
        <v>1551601609458574</v>
      </c>
      <c r="C4692" t="s">
        <v>40</v>
      </c>
      <c r="D4692">
        <v>5.1979470000000001</v>
      </c>
      <c r="E4692">
        <v>0.5424563</v>
      </c>
      <c r="F4692" t="s">
        <v>42</v>
      </c>
      <c r="G4692">
        <v>-301.37430000000001</v>
      </c>
      <c r="H4692">
        <v>0.8939357</v>
      </c>
      <c r="I4692">
        <v>-40.717750000000002</v>
      </c>
      <c r="J4692">
        <v>-301.36700000000002</v>
      </c>
      <c r="K4692">
        <v>1.124363</v>
      </c>
      <c r="L4692">
        <v>-40.568420000000003</v>
      </c>
      <c r="M4692">
        <v>5.8054500000000002E-2</v>
      </c>
      <c r="N4692">
        <v>-1.374535E-2</v>
      </c>
      <c r="O4692">
        <v>-0.99821879999999996</v>
      </c>
      <c r="P4692">
        <v>0.16645370000000001</v>
      </c>
      <c r="Q4692">
        <v>0.14329800000000001</v>
      </c>
      <c r="R4692">
        <v>-0.97558149999999999</v>
      </c>
      <c r="S4692">
        <v>0.12625120000000001</v>
      </c>
      <c r="T4692">
        <v>-1.1022459999999901</v>
      </c>
      <c r="U4692">
        <v>-3.200043</v>
      </c>
      <c r="V4692">
        <v>-0.1107997</v>
      </c>
      <c r="W4692">
        <v>0.15591060000000001</v>
      </c>
      <c r="X4692">
        <v>0.9815372</v>
      </c>
      <c r="Y4692">
        <v>2.0581740000000001E-2</v>
      </c>
      <c r="Z4692">
        <v>0.31170989999999998</v>
      </c>
      <c r="AA4692">
        <v>0.94995439999999998</v>
      </c>
      <c r="AB4692">
        <v>35</v>
      </c>
      <c r="AC4692">
        <v>-7.2999999999865299E-3</v>
      </c>
      <c r="AD4692">
        <v>-0.230427299999999</v>
      </c>
      <c r="AE4692">
        <v>-0.14932999999999899</v>
      </c>
      <c r="AF4692">
        <v>4.7276688967470499E-3</v>
      </c>
      <c r="AG4692">
        <v>-0.230427299999999</v>
      </c>
      <c r="AH4692">
        <v>4.4040460066756298E-2</v>
      </c>
      <c r="AI4692">
        <v>169.11913809890001</v>
      </c>
      <c r="AJ4692">
        <v>83.872858785911504</v>
      </c>
      <c r="AK4692">
        <v>0.23464580448279601</v>
      </c>
      <c r="AL4692">
        <v>81.030387960701802</v>
      </c>
      <c r="AM4692">
        <v>96.440504030328597</v>
      </c>
      <c r="AN4692">
        <v>0.99999998184814398</v>
      </c>
    </row>
    <row r="4693" spans="1:40" x14ac:dyDescent="0.25">
      <c r="A4693" t="str">
        <f>"20190303162649505"</f>
        <v>20190303162649505</v>
      </c>
      <c r="B4693" t="str">
        <f>"1551601609498588"</f>
        <v>1551601609498588</v>
      </c>
      <c r="C4693" t="s">
        <v>40</v>
      </c>
      <c r="D4693">
        <v>5.1377879999999996</v>
      </c>
      <c r="E4693">
        <v>0.5425875</v>
      </c>
      <c r="F4693" t="s">
        <v>42</v>
      </c>
      <c r="G4693">
        <v>-301.32839999999999</v>
      </c>
      <c r="H4693">
        <v>0.87043760000000003</v>
      </c>
      <c r="I4693">
        <v>-41.323650000000001</v>
      </c>
      <c r="J4693">
        <v>-301.32760000000002</v>
      </c>
      <c r="K4693">
        <v>1.125329</v>
      </c>
      <c r="L4693">
        <v>-41.09872</v>
      </c>
      <c r="M4693">
        <v>6.6393709999999995E-2</v>
      </c>
      <c r="N4693">
        <v>-1.400677E-2</v>
      </c>
      <c r="O4693">
        <v>-0.99769509999999995</v>
      </c>
      <c r="P4693">
        <v>0.1840649</v>
      </c>
      <c r="Q4693">
        <v>0.14393310000000001</v>
      </c>
      <c r="R4693">
        <v>-0.97231860000000003</v>
      </c>
      <c r="S4693">
        <v>0.16387939999999901</v>
      </c>
      <c r="T4693">
        <v>-1.0776950000000001</v>
      </c>
      <c r="U4693">
        <v>-3.2054140000000002</v>
      </c>
      <c r="V4693">
        <v>-0.1207304</v>
      </c>
      <c r="W4693">
        <v>0.15643199999999999</v>
      </c>
      <c r="X4693">
        <v>0.98028219999999999</v>
      </c>
      <c r="Y4693">
        <v>1.7755070000000001E-2</v>
      </c>
      <c r="Z4693">
        <v>0.30416090000000001</v>
      </c>
      <c r="AA4693">
        <v>0.95245519999999995</v>
      </c>
      <c r="AB4693">
        <v>35</v>
      </c>
      <c r="AC4693">
        <v>-7.9999999996971296E-4</v>
      </c>
      <c r="AD4693">
        <v>-0.25489139999999999</v>
      </c>
      <c r="AE4693">
        <v>-0.22492999999999999</v>
      </c>
      <c r="AF4693">
        <v>6.88823115456758E-3</v>
      </c>
      <c r="AG4693">
        <v>-0.25489139999999999</v>
      </c>
      <c r="AH4693">
        <v>9.8234405068689995E-2</v>
      </c>
      <c r="AI4693">
        <v>158.87628943993201</v>
      </c>
      <c r="AJ4693">
        <v>85.988965025411105</v>
      </c>
      <c r="AK4693">
        <v>0.27325276185538899</v>
      </c>
      <c r="AL4693">
        <v>81.000142959447302</v>
      </c>
      <c r="AM4693">
        <v>97.021124084628894</v>
      </c>
      <c r="AN4693">
        <v>0.99999999587249999</v>
      </c>
    </row>
    <row r="4694" spans="1:40" x14ac:dyDescent="0.25">
      <c r="A4694" t="str">
        <f>"20190303162649541"</f>
        <v>20190303162649541</v>
      </c>
      <c r="B4694" t="str">
        <f>"1551601609528844"</f>
        <v>1551601609528844</v>
      </c>
      <c r="C4694" t="s">
        <v>40</v>
      </c>
      <c r="D4694">
        <v>5.2082569999999997</v>
      </c>
      <c r="E4694">
        <v>0.54252109999999998</v>
      </c>
      <c r="F4694" t="s">
        <v>42</v>
      </c>
      <c r="G4694">
        <v>-301.27050000000003</v>
      </c>
      <c r="H4694">
        <v>0.84809859999999904</v>
      </c>
      <c r="I4694">
        <v>-41.926780000000001</v>
      </c>
      <c r="J4694">
        <v>-301.2824</v>
      </c>
      <c r="K4694">
        <v>1.1262019999999999</v>
      </c>
      <c r="L4694">
        <v>-41.627380000000002</v>
      </c>
      <c r="M4694">
        <v>7.6193360000000002E-2</v>
      </c>
      <c r="N4694">
        <v>-1.4234200000000001E-2</v>
      </c>
      <c r="O4694">
        <v>-0.99699170000000004</v>
      </c>
      <c r="P4694">
        <v>0.20894370000000001</v>
      </c>
      <c r="Q4694">
        <v>0.1463315</v>
      </c>
      <c r="R4694">
        <v>-0.96691800000000006</v>
      </c>
      <c r="S4694">
        <v>0.22085569999999999</v>
      </c>
      <c r="T4694">
        <v>-1.0722100000000001</v>
      </c>
      <c r="U4694">
        <v>-3.2023009999999998</v>
      </c>
      <c r="V4694">
        <v>-0.13664799999999999</v>
      </c>
      <c r="W4694">
        <v>0.15857170000000001</v>
      </c>
      <c r="X4694">
        <v>0.97784570000000004</v>
      </c>
      <c r="Y4694">
        <v>1.0627589999999999E-2</v>
      </c>
      <c r="Z4694">
        <v>0.30231799999999998</v>
      </c>
      <c r="AA4694">
        <v>0.95314790000000005</v>
      </c>
      <c r="AB4694">
        <v>35</v>
      </c>
      <c r="AC4694">
        <v>1.18999999999687E-2</v>
      </c>
      <c r="AD4694">
        <v>-0.2781034</v>
      </c>
      <c r="AE4694">
        <v>-0.299399999999998</v>
      </c>
      <c r="AF4694">
        <v>5.8821211724698497E-3</v>
      </c>
      <c r="AG4694">
        <v>-0.2781034</v>
      </c>
      <c r="AH4694">
        <v>0.160862976498273</v>
      </c>
      <c r="AI4694">
        <v>149.93708787004499</v>
      </c>
      <c r="AJ4694">
        <v>87.905853552040099</v>
      </c>
      <c r="AK4694">
        <v>0.32133004473427601</v>
      </c>
      <c r="AL4694">
        <v>80.875997111404899</v>
      </c>
      <c r="AM4694">
        <v>97.955220135926993</v>
      </c>
      <c r="AN4694">
        <v>0.99999993647668795</v>
      </c>
    </row>
    <row r="4695" spans="1:40" x14ac:dyDescent="0.25">
      <c r="A4695" t="str">
        <f>"20190303162649580"</f>
        <v>20190303162649580</v>
      </c>
      <c r="B4695" t="str">
        <f>"1551601609568860"</f>
        <v>1551601609568860</v>
      </c>
      <c r="C4695" t="s">
        <v>40</v>
      </c>
      <c r="D4695">
        <v>5.4449630000000004</v>
      </c>
      <c r="E4695">
        <v>0.52334320000000001</v>
      </c>
      <c r="F4695" t="s">
        <v>42</v>
      </c>
      <c r="G4695">
        <v>-301.19459999999998</v>
      </c>
      <c r="H4695">
        <v>0.82596239999999999</v>
      </c>
      <c r="I4695">
        <v>-42.526429999999998</v>
      </c>
      <c r="J4695">
        <v>-301.22379999999998</v>
      </c>
      <c r="K4695">
        <v>1.1270610000000001</v>
      </c>
      <c r="L4695">
        <v>-42.218809999999998</v>
      </c>
      <c r="M4695">
        <v>8.8753600000000002E-2</v>
      </c>
      <c r="N4695">
        <v>-1.4448880000000001E-2</v>
      </c>
      <c r="O4695">
        <v>-0.99594879999999997</v>
      </c>
      <c r="P4695">
        <v>0.24495549999999999</v>
      </c>
      <c r="Q4695">
        <v>0.15182889999999999</v>
      </c>
      <c r="R4695">
        <v>-0.9575726</v>
      </c>
      <c r="S4695">
        <v>0.31246950000000001</v>
      </c>
      <c r="T4695">
        <v>-1.067936</v>
      </c>
      <c r="U4695">
        <v>-3.1967469999999998</v>
      </c>
      <c r="V4695">
        <v>-0.16139200000000001</v>
      </c>
      <c r="W4695">
        <v>0.16357430000000001</v>
      </c>
      <c r="X4695">
        <v>0.97323999999999999</v>
      </c>
      <c r="Y4695">
        <v>-4.0150610000000003E-3</v>
      </c>
      <c r="Z4695">
        <v>0.30069000000000001</v>
      </c>
      <c r="AA4695">
        <v>0.95371349999999999</v>
      </c>
      <c r="AB4695">
        <v>35</v>
      </c>
      <c r="AC4695">
        <v>2.9200000000002901E-2</v>
      </c>
      <c r="AD4695">
        <v>-0.30109859999999999</v>
      </c>
      <c r="AE4695">
        <v>-0.30762</v>
      </c>
      <c r="AF4695">
        <v>-9.1280467420315297E-4</v>
      </c>
      <c r="AG4695">
        <v>-0.30109859999999999</v>
      </c>
      <c r="AH4695">
        <v>0.15850135880736199</v>
      </c>
      <c r="AI4695">
        <v>152.23683430049101</v>
      </c>
      <c r="AJ4695">
        <v>90.329961065121594</v>
      </c>
      <c r="AK4695">
        <v>0.34027030560734101</v>
      </c>
      <c r="AL4695">
        <v>80.585577460378303</v>
      </c>
      <c r="AM4695">
        <v>99.415651728278803</v>
      </c>
      <c r="AN4695">
        <v>1.00000001344224</v>
      </c>
    </row>
    <row r="4696" spans="1:40" x14ac:dyDescent="0.25">
      <c r="A4696" t="str">
        <f>"20190303162649613"</f>
        <v>20190303162649613</v>
      </c>
      <c r="B4696" t="str">
        <f>"1551601609608875"</f>
        <v>1551601609608875</v>
      </c>
      <c r="C4696" t="s">
        <v>40</v>
      </c>
      <c r="D4696">
        <v>5.3898260000000002</v>
      </c>
      <c r="E4696">
        <v>0.4221743</v>
      </c>
      <c r="F4696" t="s">
        <v>42</v>
      </c>
      <c r="G4696">
        <v>-301.04539999999997</v>
      </c>
      <c r="H4696">
        <v>0.92598150000000001</v>
      </c>
      <c r="I4696">
        <v>-43.169730000000001</v>
      </c>
      <c r="J4696">
        <v>-301.16449999999998</v>
      </c>
      <c r="K4696">
        <v>1.12771</v>
      </c>
      <c r="L4696">
        <v>-42.739109999999997</v>
      </c>
      <c r="M4696">
        <v>0.10100000000000001</v>
      </c>
      <c r="N4696">
        <v>-1.46106E-2</v>
      </c>
      <c r="O4696">
        <v>-0.99477910000000003</v>
      </c>
      <c r="P4696">
        <v>0.27846599999999999</v>
      </c>
      <c r="Q4696">
        <v>0.14908339999999901</v>
      </c>
      <c r="R4696">
        <v>-0.94880500000000001</v>
      </c>
      <c r="S4696">
        <v>0.57919309999999902</v>
      </c>
      <c r="T4696">
        <v>-0.65308559999999904</v>
      </c>
      <c r="U4696">
        <v>-3.0883180000000001</v>
      </c>
      <c r="V4696">
        <v>-0.1838186</v>
      </c>
      <c r="W4696">
        <v>0.16031909999999999</v>
      </c>
      <c r="X4696">
        <v>0.9697981</v>
      </c>
      <c r="Y4696">
        <v>-8.0632399999999896E-2</v>
      </c>
      <c r="Z4696">
        <v>0.18912039999999999</v>
      </c>
      <c r="AA4696">
        <v>0.9786378</v>
      </c>
      <c r="AB4696">
        <v>34</v>
      </c>
      <c r="AC4696">
        <v>0.119100000000003</v>
      </c>
      <c r="AD4696">
        <v>-0.20172850000000001</v>
      </c>
      <c r="AE4696">
        <v>-0.430620000000004</v>
      </c>
      <c r="AF4696">
        <v>-6.2294221621678601E-2</v>
      </c>
      <c r="AG4696">
        <v>-0.20172850000000001</v>
      </c>
      <c r="AH4696">
        <v>0.36586278504240499</v>
      </c>
      <c r="AI4696">
        <v>118.526501604407</v>
      </c>
      <c r="AJ4696">
        <v>99.662892059057398</v>
      </c>
      <c r="AK4696">
        <v>0.42241038722868302</v>
      </c>
      <c r="AL4696">
        <v>80.774580879858703</v>
      </c>
      <c r="AM4696">
        <v>100.732702167415</v>
      </c>
      <c r="AN4696">
        <v>0.999999923147187</v>
      </c>
    </row>
    <row r="4697" spans="1:40" x14ac:dyDescent="0.25">
      <c r="A4697" t="str">
        <f>"20190303162649647"</f>
        <v>20190303162649647</v>
      </c>
      <c r="B4697" t="str">
        <f>"1551601609638156"</f>
        <v>1551601609638156</v>
      </c>
      <c r="C4697" t="s">
        <v>40</v>
      </c>
      <c r="D4697">
        <v>5.3258140000000003</v>
      </c>
      <c r="E4697">
        <v>0.4093444</v>
      </c>
      <c r="F4697" t="s">
        <v>59</v>
      </c>
      <c r="G4697">
        <v>-291.66539999999998</v>
      </c>
      <c r="H4697" s="1">
        <v>-1.0447640000000001E-5</v>
      </c>
      <c r="I4697">
        <v>-60.940300000000001</v>
      </c>
      <c r="J4697">
        <v>-301.09960000000001</v>
      </c>
      <c r="K4697">
        <v>1.1282760000000001</v>
      </c>
      <c r="L4697">
        <v>-43.246980000000001</v>
      </c>
      <c r="M4697">
        <v>0.1138721</v>
      </c>
      <c r="N4697">
        <v>-1.4747740000000001E-2</v>
      </c>
      <c r="O4697">
        <v>-0.99338599999999999</v>
      </c>
      <c r="P4697">
        <v>0.31116179999999999</v>
      </c>
      <c r="Q4697">
        <v>0.1451171</v>
      </c>
      <c r="R4697">
        <v>-0.93921250000000001</v>
      </c>
      <c r="S4697">
        <v>1.443176</v>
      </c>
      <c r="T4697">
        <v>-0.17133139999999999</v>
      </c>
      <c r="U4697">
        <v>-2.7652589999999999</v>
      </c>
      <c r="V4697">
        <v>-0.2049465</v>
      </c>
      <c r="W4697">
        <v>0.1558061</v>
      </c>
      <c r="X4697">
        <v>0.96629259999999995</v>
      </c>
      <c r="Y4697">
        <v>-0.35813640000000002</v>
      </c>
      <c r="Z4697">
        <v>4.1322749999999998E-2</v>
      </c>
      <c r="AA4697">
        <v>0.93275439999999998</v>
      </c>
      <c r="AB4697">
        <v>34</v>
      </c>
      <c r="AC4697">
        <v>9.4342000000000308</v>
      </c>
      <c r="AD4697">
        <v>-1.1282864476400001</v>
      </c>
      <c r="AE4697">
        <v>-17.69332</v>
      </c>
      <c r="AF4697">
        <v>-7.3346030728857103</v>
      </c>
      <c r="AG4697">
        <v>-1.1282864476400001</v>
      </c>
      <c r="AH4697">
        <v>18.5937430578342</v>
      </c>
      <c r="AI4697">
        <v>93.230800199857399</v>
      </c>
      <c r="AJ4697">
        <v>111.527558246269</v>
      </c>
      <c r="AK4697">
        <v>20.019907927996801</v>
      </c>
      <c r="AL4697">
        <v>81.036449597281106</v>
      </c>
      <c r="AM4697">
        <v>101.974733333039</v>
      </c>
      <c r="AN4697">
        <v>0.99999999873710899</v>
      </c>
    </row>
    <row r="4698" spans="1:40" x14ac:dyDescent="0.25">
      <c r="A4698" t="str">
        <f>"20190303162649679"</f>
        <v>20190303162649679</v>
      </c>
      <c r="B4698" t="str">
        <f>"1551601609668412"</f>
        <v>1551601609668412</v>
      </c>
      <c r="C4698" t="s">
        <v>40</v>
      </c>
      <c r="D4698">
        <v>5.3496180000000004</v>
      </c>
      <c r="E4698">
        <v>0.40814990000000001</v>
      </c>
      <c r="F4698" t="s">
        <v>42</v>
      </c>
      <c r="G4698">
        <v>-300.5514</v>
      </c>
      <c r="H4698">
        <v>1.044335</v>
      </c>
      <c r="I4698">
        <v>-44.149120000000003</v>
      </c>
      <c r="J4698">
        <v>-301.03469999999999</v>
      </c>
      <c r="K4698">
        <v>1.1287590000000001</v>
      </c>
      <c r="L4698">
        <v>-43.706879999999998</v>
      </c>
      <c r="M4698">
        <v>0.1262539</v>
      </c>
      <c r="N4698">
        <v>-1.486225E-2</v>
      </c>
      <c r="O4698">
        <v>-0.99188670000000001</v>
      </c>
      <c r="P4698">
        <v>0.333231</v>
      </c>
      <c r="Q4698">
        <v>0.14303270000000001</v>
      </c>
      <c r="R4698">
        <v>-0.93193289999999995</v>
      </c>
      <c r="S4698">
        <v>1.6358029999999999</v>
      </c>
      <c r="T4698">
        <v>-0.25038100000000002</v>
      </c>
      <c r="U4698">
        <v>-2.6909179999999999</v>
      </c>
      <c r="V4698">
        <v>-0.21581210000000001</v>
      </c>
      <c r="W4698">
        <v>0.1533516</v>
      </c>
      <c r="X4698">
        <v>0.9643176</v>
      </c>
      <c r="Y4698">
        <v>-0.40598970000000001</v>
      </c>
      <c r="Z4698">
        <v>6.6446359999999996E-2</v>
      </c>
      <c r="AA4698">
        <v>0.91145880000000001</v>
      </c>
      <c r="AB4698">
        <v>34</v>
      </c>
      <c r="AC4698">
        <v>0.48329999999998502</v>
      </c>
      <c r="AD4698">
        <v>-8.4423999999999999E-2</v>
      </c>
      <c r="AE4698">
        <v>-0.44224000000000502</v>
      </c>
      <c r="AF4698">
        <v>-0.41667099346819603</v>
      </c>
      <c r="AG4698">
        <v>-8.4423999999999999E-2</v>
      </c>
      <c r="AH4698">
        <v>0.49156177634105602</v>
      </c>
      <c r="AI4698">
        <v>97.463945372732795</v>
      </c>
      <c r="AJ4698">
        <v>130.286186151056</v>
      </c>
      <c r="AK4698">
        <v>0.649903922540362</v>
      </c>
      <c r="AL4698">
        <v>81.178793083437895</v>
      </c>
      <c r="AM4698">
        <v>102.614801475503</v>
      </c>
      <c r="AN4698">
        <v>1.00000000469936</v>
      </c>
    </row>
    <row r="4699" spans="1:40" x14ac:dyDescent="0.25">
      <c r="A4699" t="str">
        <f>"20190303162649708"</f>
        <v>20190303162649708</v>
      </c>
      <c r="B4699" t="str">
        <f>"1551601609698667"</f>
        <v>1551601609698667</v>
      </c>
      <c r="C4699" t="s">
        <v>40</v>
      </c>
      <c r="D4699">
        <v>5.3816449999999998</v>
      </c>
      <c r="E4699">
        <v>0.40963539999999998</v>
      </c>
      <c r="F4699" t="s">
        <v>59</v>
      </c>
      <c r="G4699">
        <v>-294.49689999999998</v>
      </c>
      <c r="H4699" s="1">
        <v>-8.8114440000000004E-6</v>
      </c>
      <c r="I4699">
        <v>-53.871279999999999</v>
      </c>
      <c r="J4699">
        <v>-300.9658</v>
      </c>
      <c r="K4699">
        <v>1.1291819999999999</v>
      </c>
      <c r="L4699">
        <v>-44.146819999999998</v>
      </c>
      <c r="M4699">
        <v>0.1388182</v>
      </c>
      <c r="N4699">
        <v>-1.4965569999999999E-2</v>
      </c>
      <c r="O4699">
        <v>-0.99020509999999995</v>
      </c>
      <c r="P4699">
        <v>0.35705759999999998</v>
      </c>
      <c r="Q4699">
        <v>0.14182059999999999</v>
      </c>
      <c r="R4699">
        <v>-0.92325360000000001</v>
      </c>
      <c r="S4699">
        <v>1.707031</v>
      </c>
      <c r="T4699">
        <v>-0.29472540000000003</v>
      </c>
      <c r="U4699">
        <v>-2.6539609999999998</v>
      </c>
      <c r="V4699">
        <v>-0.22848679999999999</v>
      </c>
      <c r="W4699">
        <v>0.15171119999999999</v>
      </c>
      <c r="X4699">
        <v>0.96165350000000005</v>
      </c>
      <c r="Y4699">
        <v>-0.41689320000000002</v>
      </c>
      <c r="Z4699">
        <v>8.0612760000000006E-2</v>
      </c>
      <c r="AA4699">
        <v>0.90537380000000001</v>
      </c>
      <c r="AB4699">
        <v>34</v>
      </c>
      <c r="AC4699">
        <v>6.4689000000000103</v>
      </c>
      <c r="AD4699">
        <v>-1.1291908114439999</v>
      </c>
      <c r="AE4699">
        <v>-9.7244600000000005</v>
      </c>
      <c r="AF4699">
        <v>-5.0093469608106798</v>
      </c>
      <c r="AG4699">
        <v>-1.1291908114439999</v>
      </c>
      <c r="AH4699">
        <v>10.430886992055299</v>
      </c>
      <c r="AI4699">
        <v>95.573547417396696</v>
      </c>
      <c r="AJ4699">
        <v>115.65226022076</v>
      </c>
      <c r="AK4699">
        <v>11.6263507732849</v>
      </c>
      <c r="AL4699">
        <v>81.273893684576095</v>
      </c>
      <c r="AM4699">
        <v>103.365525141585</v>
      </c>
      <c r="AN4699">
        <v>0.99999998002096402</v>
      </c>
    </row>
    <row r="4700" spans="1:40" x14ac:dyDescent="0.25">
      <c r="A4700" t="str">
        <f>"20190303162649741"</f>
        <v>20190303162649741</v>
      </c>
      <c r="B4700" t="str">
        <f>"1551601609728924"</f>
        <v>1551601609728924</v>
      </c>
      <c r="C4700" t="s">
        <v>40</v>
      </c>
      <c r="D4700">
        <v>5.3656030000000001</v>
      </c>
      <c r="E4700">
        <v>0.41195290000000001</v>
      </c>
      <c r="F4700" t="s">
        <v>42</v>
      </c>
      <c r="G4700">
        <v>-300.4126</v>
      </c>
      <c r="H4700">
        <v>1.0316689999999999</v>
      </c>
      <c r="I4700">
        <v>-44.967359999999999</v>
      </c>
      <c r="J4700">
        <v>-300.88029999999998</v>
      </c>
      <c r="K4700">
        <v>1.129669</v>
      </c>
      <c r="L4700">
        <v>-44.647190000000002</v>
      </c>
      <c r="M4700">
        <v>0.15382470000000001</v>
      </c>
      <c r="N4700">
        <v>-1.5077460000000001E-2</v>
      </c>
      <c r="O4700">
        <v>-0.98798330000000001</v>
      </c>
      <c r="P4700">
        <v>0.38844030000000002</v>
      </c>
      <c r="Q4700">
        <v>0.14326340000000001</v>
      </c>
      <c r="R4700">
        <v>-0.91026929999999995</v>
      </c>
      <c r="S4700">
        <v>1.76272599999999</v>
      </c>
      <c r="T4700">
        <v>-0.31080190000000002</v>
      </c>
      <c r="U4700">
        <v>-2.6154169999999999</v>
      </c>
      <c r="V4700">
        <v>-0.2470551</v>
      </c>
      <c r="W4700">
        <v>0.15252550000000001</v>
      </c>
      <c r="X4700">
        <v>0.95692200000000005</v>
      </c>
      <c r="Y4700">
        <v>-0.4222706</v>
      </c>
      <c r="Z4700">
        <v>8.5934650000000001E-2</v>
      </c>
      <c r="AA4700">
        <v>0.9023873</v>
      </c>
      <c r="AB4700">
        <v>34</v>
      </c>
      <c r="AC4700">
        <v>0.46769999999997902</v>
      </c>
      <c r="AD4700">
        <v>-9.8000000000000004E-2</v>
      </c>
      <c r="AE4700">
        <v>-0.32016999999999701</v>
      </c>
      <c r="AF4700">
        <v>-0.40089172361983</v>
      </c>
      <c r="AG4700">
        <v>-9.8000000000000004E-2</v>
      </c>
      <c r="AH4700">
        <v>0.377038723732249</v>
      </c>
      <c r="AI4700">
        <v>100.096952251959</v>
      </c>
      <c r="AJ4700">
        <v>136.75626004561801</v>
      </c>
      <c r="AK4700">
        <v>0.55899586157727699</v>
      </c>
      <c r="AL4700">
        <v>81.226688387409297</v>
      </c>
      <c r="AM4700">
        <v>104.47632788941</v>
      </c>
      <c r="AN4700">
        <v>0.99999998233512899</v>
      </c>
    </row>
    <row r="4701" spans="1:40" x14ac:dyDescent="0.25">
      <c r="A4701" t="str">
        <f>"20190303162649807"</f>
        <v>20190303162649807</v>
      </c>
      <c r="B4701" t="str">
        <f>"1551601609798219"</f>
        <v>1551601609798219</v>
      </c>
      <c r="C4701" t="s">
        <v>40</v>
      </c>
      <c r="D4701">
        <v>5.3433479999999998</v>
      </c>
      <c r="E4701">
        <v>0.3631103</v>
      </c>
      <c r="F4701" t="s">
        <v>42</v>
      </c>
      <c r="G4701">
        <v>-300.24709999999999</v>
      </c>
      <c r="H4701">
        <v>1.022483</v>
      </c>
      <c r="I4701">
        <v>-45.529960000000003</v>
      </c>
      <c r="J4701">
        <v>-300.69209999999998</v>
      </c>
      <c r="K4701">
        <v>1.1305259999999999</v>
      </c>
      <c r="L4701">
        <v>-45.60275</v>
      </c>
      <c r="M4701">
        <v>0.18465989999999999</v>
      </c>
      <c r="N4701">
        <v>-1.5275520000000001E-2</v>
      </c>
      <c r="O4701">
        <v>-0.9826838</v>
      </c>
      <c r="P4701">
        <v>0.4432489</v>
      </c>
      <c r="Q4701">
        <v>0.1423344</v>
      </c>
      <c r="R4701">
        <v>-0.88502619999999899</v>
      </c>
      <c r="S4701">
        <v>1.8366389999999999</v>
      </c>
      <c r="T4701">
        <v>-0.31094110000000003</v>
      </c>
      <c r="U4701">
        <v>-2.5609130000000002</v>
      </c>
      <c r="V4701">
        <v>-0.27574140000000003</v>
      </c>
      <c r="W4701">
        <v>0.1505002</v>
      </c>
      <c r="X4701">
        <v>0.94937680000000002</v>
      </c>
      <c r="Y4701">
        <v>-0.42019309999999999</v>
      </c>
      <c r="Z4701">
        <v>8.6185419999999999E-2</v>
      </c>
      <c r="AA4701">
        <v>0.90333260000000004</v>
      </c>
      <c r="AB4701">
        <v>34</v>
      </c>
      <c r="AC4701">
        <v>0.44499999999999301</v>
      </c>
      <c r="AD4701">
        <v>-0.108042999999999</v>
      </c>
      <c r="AE4701">
        <v>7.2790000000004795E-2</v>
      </c>
      <c r="AF4701">
        <v>-0.42631262182968799</v>
      </c>
      <c r="AG4701">
        <v>-0.108042999999999</v>
      </c>
      <c r="AH4701">
        <v>1.00673522236775E-2</v>
      </c>
      <c r="AI4701">
        <v>104.217582303345</v>
      </c>
      <c r="AJ4701">
        <v>178.64721433070201</v>
      </c>
      <c r="AK4701">
        <v>0.43990577736726499</v>
      </c>
      <c r="AL4701">
        <v>81.344084746764693</v>
      </c>
      <c r="AM4701">
        <v>106.195655731176</v>
      </c>
      <c r="AN4701">
        <v>0.99999996912611899</v>
      </c>
    </row>
    <row r="4702" spans="1:40" x14ac:dyDescent="0.25">
      <c r="A4702" t="str">
        <f>"20190303162649844"</f>
        <v>20190303162649844</v>
      </c>
      <c r="B4702" t="str">
        <f>"1551601609838236"</f>
        <v>1551601609838236</v>
      </c>
      <c r="C4702" t="s">
        <v>40</v>
      </c>
      <c r="D4702">
        <v>5.2634379999999998</v>
      </c>
      <c r="E4702">
        <v>0.35731220000000002</v>
      </c>
      <c r="F4702" t="s">
        <v>42</v>
      </c>
      <c r="G4702">
        <v>-299.9282</v>
      </c>
      <c r="H4702">
        <v>1.019339</v>
      </c>
      <c r="I4702">
        <v>-46.342460000000003</v>
      </c>
      <c r="J4702">
        <v>-300.57049999999998</v>
      </c>
      <c r="K4702">
        <v>1.1309119999999999</v>
      </c>
      <c r="L4702">
        <v>-46.14481</v>
      </c>
      <c r="M4702">
        <v>0.2032622</v>
      </c>
      <c r="N4702">
        <v>-1.537825E-2</v>
      </c>
      <c r="O4702">
        <v>-0.97900370000000003</v>
      </c>
      <c r="P4702">
        <v>0.46574539999999998</v>
      </c>
      <c r="Q4702">
        <v>0.139155</v>
      </c>
      <c r="R4702">
        <v>-0.87390909999999999</v>
      </c>
      <c r="S4702">
        <v>2.3450929999999999</v>
      </c>
      <c r="T4702">
        <v>-0.34124100000000002</v>
      </c>
      <c r="U4702">
        <v>-2.270111</v>
      </c>
      <c r="V4702">
        <v>-0.28200649999999999</v>
      </c>
      <c r="W4702">
        <v>0.14697079999999901</v>
      </c>
      <c r="X4702">
        <v>0.9480885</v>
      </c>
      <c r="Y4702">
        <v>-0.55848589999999998</v>
      </c>
      <c r="Z4702">
        <v>9.4272350000000005E-2</v>
      </c>
      <c r="AA4702">
        <v>0.82413969999999903</v>
      </c>
      <c r="AB4702">
        <v>34</v>
      </c>
      <c r="AC4702">
        <v>0.642299999999977</v>
      </c>
      <c r="AD4702">
        <v>-0.11157300000000001</v>
      </c>
      <c r="AE4702">
        <v>-0.197649999999995</v>
      </c>
      <c r="AF4702">
        <v>-0.57291668396198903</v>
      </c>
      <c r="AG4702">
        <v>-0.11157300000000001</v>
      </c>
      <c r="AH4702">
        <v>0.31539983818356498</v>
      </c>
      <c r="AI4702">
        <v>99.681565072838893</v>
      </c>
      <c r="AJ4702">
        <v>151.16650999714301</v>
      </c>
      <c r="AK4702">
        <v>0.66344488770147403</v>
      </c>
      <c r="AL4702">
        <v>81.548578957744397</v>
      </c>
      <c r="AM4702">
        <v>106.564975153276</v>
      </c>
      <c r="AN4702">
        <v>0.99999994296356798</v>
      </c>
    </row>
    <row r="4703" spans="1:40" x14ac:dyDescent="0.25">
      <c r="A4703" t="str">
        <f>"20190303162649874"</f>
        <v>20190303162649874</v>
      </c>
      <c r="B4703" t="str">
        <f>"1551601609868492"</f>
        <v>1551601609868492</v>
      </c>
      <c r="C4703" t="s">
        <v>40</v>
      </c>
      <c r="D4703">
        <v>5.2615420000000004</v>
      </c>
      <c r="E4703">
        <v>0.36016090000000001</v>
      </c>
      <c r="F4703" t="s">
        <v>59</v>
      </c>
      <c r="G4703">
        <v>-292.58030000000002</v>
      </c>
      <c r="H4703" s="1">
        <v>-9.5515330000000002E-6</v>
      </c>
      <c r="I4703">
        <v>-53.30639</v>
      </c>
      <c r="J4703">
        <v>-300.464</v>
      </c>
      <c r="K4703">
        <v>1.1312789999999999</v>
      </c>
      <c r="L4703">
        <v>-46.581330000000001</v>
      </c>
      <c r="M4703">
        <v>0.21892980000000001</v>
      </c>
      <c r="N4703">
        <v>-1.5457729999999999E-2</v>
      </c>
      <c r="O4703">
        <v>-0.97561819999999999</v>
      </c>
      <c r="P4703">
        <v>0.48588120000000001</v>
      </c>
      <c r="Q4703">
        <v>0.139557399999999</v>
      </c>
      <c r="R4703">
        <v>-0.862811199999999</v>
      </c>
      <c r="S4703">
        <v>2.440369</v>
      </c>
      <c r="T4703">
        <v>-0.34540559999999998</v>
      </c>
      <c r="U4703">
        <v>-2.1872859999999998</v>
      </c>
      <c r="V4703">
        <v>-0.28895019999999999</v>
      </c>
      <c r="W4703">
        <v>0.14700050000000001</v>
      </c>
      <c r="X4703">
        <v>0.94599080000000002</v>
      </c>
      <c r="Y4703">
        <v>-0.57660540000000005</v>
      </c>
      <c r="Z4703">
        <v>9.5666769999999998E-2</v>
      </c>
      <c r="AA4703">
        <v>0.81140259999999997</v>
      </c>
      <c r="AB4703">
        <v>34</v>
      </c>
      <c r="AC4703">
        <v>7.88369999999997</v>
      </c>
      <c r="AD4703">
        <v>-1.131288551533</v>
      </c>
      <c r="AE4703">
        <v>-6.7250599999999903</v>
      </c>
      <c r="AF4703">
        <v>-6.1466483789222801</v>
      </c>
      <c r="AG4703">
        <v>-1.131288551533</v>
      </c>
      <c r="AH4703">
        <v>8.1904388298258795</v>
      </c>
      <c r="AI4703">
        <v>96.304114975743403</v>
      </c>
      <c r="AJ4703">
        <v>126.88699295892199</v>
      </c>
      <c r="AK4703">
        <v>10.3026398707349</v>
      </c>
      <c r="AL4703">
        <v>81.546858897512806</v>
      </c>
      <c r="AM4703">
        <v>106.985142666439</v>
      </c>
      <c r="AN4703">
        <v>0.99999997938246399</v>
      </c>
    </row>
    <row r="4704" spans="1:40" x14ac:dyDescent="0.25">
      <c r="A4704" t="str">
        <f>"20190303162649907"</f>
        <v>20190303162649907</v>
      </c>
      <c r="B4704" t="str">
        <f>"1551601609898748"</f>
        <v>1551601609898748</v>
      </c>
      <c r="C4704" t="s">
        <v>40</v>
      </c>
      <c r="D4704">
        <v>5.286651</v>
      </c>
      <c r="E4704">
        <v>0.36405729999999997</v>
      </c>
      <c r="F4704" t="s">
        <v>42</v>
      </c>
      <c r="G4704">
        <v>-299.74279999999999</v>
      </c>
      <c r="H4704">
        <v>1.0313969999999999</v>
      </c>
      <c r="I4704">
        <v>-47.205849999999998</v>
      </c>
      <c r="J4704">
        <v>-300.3381</v>
      </c>
      <c r="K4704">
        <v>1.1316889999999999</v>
      </c>
      <c r="L4704">
        <v>-47.05865</v>
      </c>
      <c r="M4704">
        <v>0.23683950000000001</v>
      </c>
      <c r="N4704">
        <v>-1.555756E-2</v>
      </c>
      <c r="O4704">
        <v>-0.97142450000000002</v>
      </c>
      <c r="P4704">
        <v>0.50595900000000005</v>
      </c>
      <c r="Q4704">
        <v>0.1374756</v>
      </c>
      <c r="R4704">
        <v>-0.85153179999999995</v>
      </c>
      <c r="S4704">
        <v>2.4719850000000001</v>
      </c>
      <c r="T4704">
        <v>-0.34232509999999999</v>
      </c>
      <c r="U4704">
        <v>-2.14032</v>
      </c>
      <c r="V4704">
        <v>-0.293736</v>
      </c>
      <c r="W4704">
        <v>0.14457149999999999</v>
      </c>
      <c r="X4704">
        <v>0.94489060000000002</v>
      </c>
      <c r="Y4704">
        <v>-0.57557029999999998</v>
      </c>
      <c r="Z4704">
        <v>9.5141939999999994E-2</v>
      </c>
      <c r="AA4704">
        <v>0.8121988</v>
      </c>
      <c r="AB4704">
        <v>34</v>
      </c>
      <c r="AC4704">
        <v>0.59530000000000804</v>
      </c>
      <c r="AD4704">
        <v>-0.10029200000000001</v>
      </c>
      <c r="AE4704">
        <v>-0.147199999999998</v>
      </c>
      <c r="AF4704">
        <v>-0.52933338775288696</v>
      </c>
      <c r="AG4704">
        <v>-0.10029200000000001</v>
      </c>
      <c r="AH4704">
        <v>0.276619588458488</v>
      </c>
      <c r="AI4704">
        <v>99.532282685454206</v>
      </c>
      <c r="AJ4704">
        <v>152.409285301935</v>
      </c>
      <c r="AK4704">
        <v>0.60561598176805997</v>
      </c>
      <c r="AL4704">
        <v>81.687533512957899</v>
      </c>
      <c r="AM4704">
        <v>107.26878360962201</v>
      </c>
      <c r="AN4704">
        <v>1.0000000011382999</v>
      </c>
    </row>
    <row r="4705" spans="1:40" x14ac:dyDescent="0.25">
      <c r="A4705" t="str">
        <f>"20190303162649940"</f>
        <v>20190303162649940</v>
      </c>
      <c r="B4705" t="str">
        <f>"1551601609929003"</f>
        <v>1551601609929003</v>
      </c>
      <c r="C4705" t="s">
        <v>40</v>
      </c>
      <c r="D4705">
        <v>5.2311670000000001</v>
      </c>
      <c r="E4705">
        <v>0.36765829999999999</v>
      </c>
      <c r="F4705" t="s">
        <v>59</v>
      </c>
      <c r="G4705">
        <v>-291.7226</v>
      </c>
      <c r="H4705" s="1">
        <v>-9.7674650000000002E-6</v>
      </c>
      <c r="I4705">
        <v>-54.266440000000003</v>
      </c>
      <c r="J4705">
        <v>-300.20330000000001</v>
      </c>
      <c r="K4705">
        <v>1.132125</v>
      </c>
      <c r="L4705">
        <v>-47.532809999999998</v>
      </c>
      <c r="M4705">
        <v>0.25540950000000001</v>
      </c>
      <c r="N4705">
        <v>-1.566557E-2</v>
      </c>
      <c r="O4705">
        <v>-0.96670610000000001</v>
      </c>
      <c r="P4705">
        <v>0.53262200000000004</v>
      </c>
      <c r="Q4705">
        <v>0.1413027</v>
      </c>
      <c r="R4705">
        <v>-0.83447439999999995</v>
      </c>
      <c r="S4705">
        <v>2.49939</v>
      </c>
      <c r="T4705">
        <v>-0.32830949999999998</v>
      </c>
      <c r="U4705">
        <v>-2.0910030000000002</v>
      </c>
      <c r="V4705">
        <v>-0.30592530000000001</v>
      </c>
      <c r="W4705">
        <v>0.14779139999999999</v>
      </c>
      <c r="X4705">
        <v>0.94051439999999997</v>
      </c>
      <c r="Y4705">
        <v>-0.5739995</v>
      </c>
      <c r="Z4705">
        <v>9.1226039999999994E-2</v>
      </c>
      <c r="AA4705">
        <v>0.81375830000000005</v>
      </c>
      <c r="AB4705">
        <v>34</v>
      </c>
      <c r="AC4705">
        <v>8.4807000000000095</v>
      </c>
      <c r="AD4705">
        <v>-1.132134767465</v>
      </c>
      <c r="AE4705">
        <v>-6.7336299999999998</v>
      </c>
      <c r="AF4705">
        <v>-6.40925117260824</v>
      </c>
      <c r="AG4705">
        <v>-1.132134767465</v>
      </c>
      <c r="AH4705">
        <v>8.5827449767626796</v>
      </c>
      <c r="AI4705">
        <v>96.033234478727493</v>
      </c>
      <c r="AJ4705">
        <v>126.750906517263</v>
      </c>
      <c r="AK4705">
        <v>10.771431708989599</v>
      </c>
      <c r="AL4705">
        <v>81.5010430947614</v>
      </c>
      <c r="AM4705">
        <v>108.018382796137</v>
      </c>
      <c r="AN4705">
        <v>0.99999996185070406</v>
      </c>
    </row>
    <row r="4706" spans="1:40" x14ac:dyDescent="0.25">
      <c r="A4706" t="str">
        <f>"20190303162649974"</f>
        <v>20190303162649974</v>
      </c>
      <c r="B4706" t="str">
        <f>"1551601609969021"</f>
        <v>1551601609969021</v>
      </c>
      <c r="C4706" t="s">
        <v>40</v>
      </c>
      <c r="D4706">
        <v>5.2766089999999997</v>
      </c>
      <c r="E4706">
        <v>0.38303920000000002</v>
      </c>
      <c r="F4706" t="s">
        <v>59</v>
      </c>
      <c r="G4706">
        <v>-291.27760000000001</v>
      </c>
      <c r="H4706" s="1">
        <v>-9.8879569999999999E-6</v>
      </c>
      <c r="I4706">
        <v>-54.680010000000003</v>
      </c>
      <c r="J4706">
        <v>-300.05470000000003</v>
      </c>
      <c r="K4706">
        <v>1.13256</v>
      </c>
      <c r="L4706">
        <v>-48.015349999999998</v>
      </c>
      <c r="M4706">
        <v>0.27510810000000002</v>
      </c>
      <c r="N4706">
        <v>-1.5775560000000001E-2</v>
      </c>
      <c r="O4706">
        <v>-0.96128400000000003</v>
      </c>
      <c r="P4706">
        <v>0.56085680000000004</v>
      </c>
      <c r="Q4706">
        <v>0.147202799999999</v>
      </c>
      <c r="R4706">
        <v>-0.81472169999999999</v>
      </c>
      <c r="S4706">
        <v>2.536133</v>
      </c>
      <c r="T4706">
        <v>-0.32168259999999899</v>
      </c>
      <c r="U4706">
        <v>-2.0307919999999999</v>
      </c>
      <c r="V4706">
        <v>-0.31948599999999999</v>
      </c>
      <c r="W4706">
        <v>0.15302979999999899</v>
      </c>
      <c r="X4706">
        <v>0.93515269999999995</v>
      </c>
      <c r="Y4706">
        <v>-0.57489849999999998</v>
      </c>
      <c r="Z4706">
        <v>8.9615050000000002E-2</v>
      </c>
      <c r="AA4706">
        <v>0.81330239999999998</v>
      </c>
      <c r="AB4706">
        <v>34</v>
      </c>
      <c r="AC4706">
        <v>8.7771000000000097</v>
      </c>
      <c r="AD4706">
        <v>-1.1325698879570001</v>
      </c>
      <c r="AE4706">
        <v>-6.6646599999999898</v>
      </c>
      <c r="AF4706">
        <v>-6.5355811708487197</v>
      </c>
      <c r="AG4706">
        <v>-1.1325698879570001</v>
      </c>
      <c r="AH4706">
        <v>8.7301777320439804</v>
      </c>
      <c r="AI4706">
        <v>95.929091413947404</v>
      </c>
      <c r="AJ4706">
        <v>126.819241629987</v>
      </c>
      <c r="AK4706">
        <v>10.9641478932444</v>
      </c>
      <c r="AL4706">
        <v>81.197451033838007</v>
      </c>
      <c r="AM4706">
        <v>108.862243050388</v>
      </c>
      <c r="AN4706">
        <v>0.99999999810066498</v>
      </c>
    </row>
    <row r="4707" spans="1:40" x14ac:dyDescent="0.25">
      <c r="A4707" t="str">
        <f>"20190303162650010"</f>
        <v>20190303162650010</v>
      </c>
      <c r="B4707" t="str">
        <f>"1551601609998300"</f>
        <v>1551601609998300</v>
      </c>
      <c r="C4707" t="s">
        <v>40</v>
      </c>
      <c r="D4707">
        <v>5.1834280000000001</v>
      </c>
      <c r="E4707">
        <v>0.31986530000000002</v>
      </c>
      <c r="F4707" t="s">
        <v>42</v>
      </c>
      <c r="G4707">
        <v>-299.3279</v>
      </c>
      <c r="H4707">
        <v>1.056481</v>
      </c>
      <c r="I4707">
        <v>-48.59834</v>
      </c>
      <c r="J4707">
        <v>-299.89240000000001</v>
      </c>
      <c r="K4707">
        <v>1.1328670000000001</v>
      </c>
      <c r="L4707">
        <v>-48.504089999999998</v>
      </c>
      <c r="M4707">
        <v>0.29573189999999999</v>
      </c>
      <c r="N4707">
        <v>-1.5875799999999999E-2</v>
      </c>
      <c r="O4707">
        <v>-0.95513930000000002</v>
      </c>
      <c r="P4707">
        <v>0.58728089999999999</v>
      </c>
      <c r="Q4707">
        <v>0.14632500000000001</v>
      </c>
      <c r="R4707">
        <v>-0.79604699999999995</v>
      </c>
      <c r="S4707">
        <v>2.5028079999999999</v>
      </c>
      <c r="T4707">
        <v>-0.26187310000000003</v>
      </c>
      <c r="U4707">
        <v>-2.0065919999999999</v>
      </c>
      <c r="V4707">
        <v>-0.33009949999999999</v>
      </c>
      <c r="W4707">
        <v>0.15161929999999901</v>
      </c>
      <c r="X4707">
        <v>0.93168989999999996</v>
      </c>
      <c r="Y4707">
        <v>-0.55792799999999998</v>
      </c>
      <c r="Z4707">
        <v>7.1397340000000004E-2</v>
      </c>
      <c r="AA4707">
        <v>0.8268124</v>
      </c>
      <c r="AB4707">
        <v>34</v>
      </c>
      <c r="AC4707">
        <v>0.56450000000000899</v>
      </c>
      <c r="AD4707">
        <v>-7.6385999999999996E-2</v>
      </c>
      <c r="AE4707">
        <v>-9.4249999999995199E-2</v>
      </c>
      <c r="AF4707">
        <v>-0.50241771281707004</v>
      </c>
      <c r="AG4707">
        <v>-7.6385999999999996E-2</v>
      </c>
      <c r="AH4707">
        <v>0.25249691099013499</v>
      </c>
      <c r="AI4707">
        <v>97.736063226297006</v>
      </c>
      <c r="AJ4707">
        <v>153.31755744453901</v>
      </c>
      <c r="AK4707">
        <v>0.56746195397391697</v>
      </c>
      <c r="AL4707">
        <v>81.279221677819905</v>
      </c>
      <c r="AM4707">
        <v>109.50933283731599</v>
      </c>
      <c r="AN4707">
        <v>1.0000000808973699</v>
      </c>
    </row>
    <row r="4708" spans="1:40" x14ac:dyDescent="0.25">
      <c r="A4708" t="str">
        <f>"20190303162650041"</f>
        <v>20190303162650041</v>
      </c>
      <c r="B4708" t="str">
        <f>"1551601610028556"</f>
        <v>1551601610028556</v>
      </c>
      <c r="C4708" t="s">
        <v>40</v>
      </c>
      <c r="D4708">
        <v>5.1760429999999999</v>
      </c>
      <c r="E4708">
        <v>0.30961460000000002</v>
      </c>
      <c r="F4708" t="s">
        <v>59</v>
      </c>
      <c r="G4708">
        <v>-292.30009999999999</v>
      </c>
      <c r="H4708" s="1">
        <v>-9.7158159999999998E-6</v>
      </c>
      <c r="I4708">
        <v>-52.686309999999999</v>
      </c>
      <c r="J4708">
        <v>-299.73899999999998</v>
      </c>
      <c r="K4708">
        <v>1.133059</v>
      </c>
      <c r="L4708">
        <v>-48.936680000000003</v>
      </c>
      <c r="M4708">
        <v>0.31441330000000001</v>
      </c>
      <c r="N4708">
        <v>-1.5952549999999999E-2</v>
      </c>
      <c r="O4708">
        <v>-0.9491522</v>
      </c>
      <c r="P4708">
        <v>0.60895580000000005</v>
      </c>
      <c r="Q4708">
        <v>0.14057939999999999</v>
      </c>
      <c r="R4708">
        <v>-0.78064730000000004</v>
      </c>
      <c r="S4708">
        <v>2.9881899999999999</v>
      </c>
      <c r="T4708">
        <v>-0.44588270000000002</v>
      </c>
      <c r="U4708">
        <v>-1.6460570000000001</v>
      </c>
      <c r="V4708">
        <v>-0.33704450000000002</v>
      </c>
      <c r="W4708">
        <v>0.1455217</v>
      </c>
      <c r="X4708">
        <v>0.93017439999999996</v>
      </c>
      <c r="Y4708">
        <v>-0.67213420000000001</v>
      </c>
      <c r="Z4708">
        <v>0.12585379999999999</v>
      </c>
      <c r="AA4708">
        <v>0.7296551</v>
      </c>
      <c r="AB4708">
        <v>33</v>
      </c>
      <c r="AC4708">
        <v>7.4389000000000403</v>
      </c>
      <c r="AD4708">
        <v>-1.133068715816</v>
      </c>
      <c r="AE4708">
        <v>-3.7496299999999998</v>
      </c>
      <c r="AF4708">
        <v>-5.7756140488175296</v>
      </c>
      <c r="AG4708">
        <v>-1.133068715816</v>
      </c>
      <c r="AH4708">
        <v>5.7914667302595397</v>
      </c>
      <c r="AI4708">
        <v>97.887046079515201</v>
      </c>
      <c r="AJ4708">
        <v>134.921476197039</v>
      </c>
      <c r="AK4708">
        <v>8.2572785615699296</v>
      </c>
      <c r="AL4708">
        <v>81.632509052257305</v>
      </c>
      <c r="AM4708">
        <v>109.917755765647</v>
      </c>
      <c r="AN4708">
        <v>0.99999998728324901</v>
      </c>
    </row>
    <row r="4709" spans="1:40" x14ac:dyDescent="0.25">
      <c r="A4709" t="str">
        <f>"20190303162650074"</f>
        <v>20190303162650074</v>
      </c>
      <c r="B4709" t="str">
        <f>"1551601610068572"</f>
        <v>1551601610068572</v>
      </c>
      <c r="C4709" t="s">
        <v>40</v>
      </c>
      <c r="D4709">
        <v>5.1856330000000002</v>
      </c>
      <c r="E4709">
        <v>0.31351669999999998</v>
      </c>
      <c r="F4709" t="s">
        <v>59</v>
      </c>
      <c r="G4709">
        <v>-292.77690000000001</v>
      </c>
      <c r="H4709" s="1">
        <v>-9.584566E-6</v>
      </c>
      <c r="I4709">
        <v>-52.36551</v>
      </c>
      <c r="J4709">
        <v>-299.56349999999998</v>
      </c>
      <c r="K4709">
        <v>1.133237</v>
      </c>
      <c r="L4709">
        <v>-49.399169999999998</v>
      </c>
      <c r="M4709">
        <v>0.33475100000000002</v>
      </c>
      <c r="N4709">
        <v>-1.602019E-2</v>
      </c>
      <c r="O4709">
        <v>-0.94217059999999997</v>
      </c>
      <c r="P4709">
        <v>0.62638549999999904</v>
      </c>
      <c r="Q4709">
        <v>0.13899710000000001</v>
      </c>
      <c r="R4709">
        <v>-0.76702109999999901</v>
      </c>
      <c r="S4709">
        <v>3.0910340000000001</v>
      </c>
      <c r="T4709">
        <v>-0.50306139999999999</v>
      </c>
      <c r="U4709">
        <v>-1.5223390000000001</v>
      </c>
      <c r="V4709">
        <v>-0.33792139999999998</v>
      </c>
      <c r="W4709">
        <v>0.14382029999999901</v>
      </c>
      <c r="X4709">
        <v>0.93012090000000003</v>
      </c>
      <c r="Y4709">
        <v>-0.68743069999999995</v>
      </c>
      <c r="Z4709">
        <v>0.142877</v>
      </c>
      <c r="AA4709">
        <v>0.71205699999999905</v>
      </c>
      <c r="AB4709">
        <v>33</v>
      </c>
      <c r="AC4709">
        <v>6.78659999999996</v>
      </c>
      <c r="AD4709">
        <v>-1.133246584566</v>
      </c>
      <c r="AE4709">
        <v>-2.9663400000000002</v>
      </c>
      <c r="AF4709">
        <v>-5.2782735758613004</v>
      </c>
      <c r="AG4709">
        <v>-1.133246584566</v>
      </c>
      <c r="AH4709">
        <v>4.9513538991798898</v>
      </c>
      <c r="AI4709">
        <v>98.899551663626099</v>
      </c>
      <c r="AJ4709">
        <v>136.830442490004</v>
      </c>
      <c r="AK4709">
        <v>7.3253208256014304</v>
      </c>
      <c r="AL4709">
        <v>81.731028820981606</v>
      </c>
      <c r="AM4709">
        <v>109.966544537361</v>
      </c>
      <c r="AN4709">
        <v>1.00000001994342</v>
      </c>
    </row>
    <row r="4710" spans="1:40" x14ac:dyDescent="0.25">
      <c r="A4710" t="str">
        <f>"20190303162650107"</f>
        <v>20190303162650107</v>
      </c>
      <c r="B4710" t="str">
        <f>"1551601610098829"</f>
        <v>1551601610098829</v>
      </c>
      <c r="C4710" t="s">
        <v>40</v>
      </c>
      <c r="D4710">
        <v>5.1934399999999998</v>
      </c>
      <c r="E4710">
        <v>0.3170404</v>
      </c>
      <c r="F4710" t="s">
        <v>59</v>
      </c>
      <c r="G4710">
        <v>-292.54329999999999</v>
      </c>
      <c r="H4710" s="1">
        <v>-9.6260370000000002E-6</v>
      </c>
      <c r="I4710">
        <v>-52.725610000000003</v>
      </c>
      <c r="J4710">
        <v>-299.38409999999999</v>
      </c>
      <c r="K4710">
        <v>1.133359</v>
      </c>
      <c r="L4710">
        <v>-49.842930000000003</v>
      </c>
      <c r="M4710">
        <v>0.35450749999999998</v>
      </c>
      <c r="N4710">
        <v>-1.6071240000000001E-2</v>
      </c>
      <c r="O4710">
        <v>-0.93491519999999995</v>
      </c>
      <c r="P4710">
        <v>0.64161999999999997</v>
      </c>
      <c r="Q4710">
        <v>0.1396242</v>
      </c>
      <c r="R4710">
        <v>-0.75420750000000003</v>
      </c>
      <c r="S4710">
        <v>3.101105</v>
      </c>
      <c r="T4710">
        <v>-0.5006003</v>
      </c>
      <c r="U4710">
        <v>-1.4694210000000001</v>
      </c>
      <c r="V4710">
        <v>-0.3370765</v>
      </c>
      <c r="W4710">
        <v>0.1444172</v>
      </c>
      <c r="X4710">
        <v>0.93033489999999996</v>
      </c>
      <c r="Y4710">
        <v>-0.68305979999999999</v>
      </c>
      <c r="Z4710">
        <v>0.14285880000000001</v>
      </c>
      <c r="AA4710">
        <v>0.71625459999999996</v>
      </c>
      <c r="AB4710">
        <v>33</v>
      </c>
      <c r="AC4710">
        <v>6.8407999999999998</v>
      </c>
      <c r="AD4710">
        <v>-1.1333686260369999</v>
      </c>
      <c r="AE4710">
        <v>-2.8826800000000001</v>
      </c>
      <c r="AF4710">
        <v>-5.2519081007522699</v>
      </c>
      <c r="AG4710">
        <v>-1.1333686260369999</v>
      </c>
      <c r="AH4710">
        <v>5.0041897233652302</v>
      </c>
      <c r="AI4710">
        <v>98.879801185069397</v>
      </c>
      <c r="AJ4710">
        <v>136.38361184967101</v>
      </c>
      <c r="AK4710">
        <v>7.3422733488114202</v>
      </c>
      <c r="AL4710">
        <v>81.696467672513506</v>
      </c>
      <c r="AM4710">
        <v>109.916331829642</v>
      </c>
      <c r="AN4710">
        <v>0.99999996033304905</v>
      </c>
    </row>
    <row r="4711" spans="1:40" x14ac:dyDescent="0.25">
      <c r="A4711" t="str">
        <f>"20190303162650142"</f>
        <v>20190303162650142</v>
      </c>
      <c r="B4711" t="str">
        <f>"1551601610128108"</f>
        <v>1551601610128108</v>
      </c>
      <c r="C4711" t="s">
        <v>40</v>
      </c>
      <c r="D4711">
        <v>5.1990089999999904</v>
      </c>
      <c r="E4711">
        <v>0.3204901</v>
      </c>
      <c r="F4711" t="s">
        <v>59</v>
      </c>
      <c r="G4711">
        <v>-292.24059999999997</v>
      </c>
      <c r="H4711" s="1">
        <v>-9.694227E-6</v>
      </c>
      <c r="I4711">
        <v>-53.11403</v>
      </c>
      <c r="J4711">
        <v>-299.18790000000001</v>
      </c>
      <c r="K4711">
        <v>1.133453</v>
      </c>
      <c r="L4711">
        <v>-50.300350000000002</v>
      </c>
      <c r="M4711">
        <v>0.37503579999999997</v>
      </c>
      <c r="N4711">
        <v>-1.6112319999999999E-2</v>
      </c>
      <c r="O4711">
        <v>-0.92687050000000004</v>
      </c>
      <c r="P4711">
        <v>0.66120610000000002</v>
      </c>
      <c r="Q4711">
        <v>0.13861370000000001</v>
      </c>
      <c r="R4711">
        <v>-0.73728769999999999</v>
      </c>
      <c r="S4711">
        <v>3.109375</v>
      </c>
      <c r="T4711">
        <v>-0.49332680000000001</v>
      </c>
      <c r="U4711">
        <v>-1.4238280000000001</v>
      </c>
      <c r="V4711">
        <v>-0.34093559999999901</v>
      </c>
      <c r="W4711">
        <v>0.14322480000000001</v>
      </c>
      <c r="X4711">
        <v>0.9291123</v>
      </c>
      <c r="Y4711">
        <v>-0.67669209999999902</v>
      </c>
      <c r="Z4711">
        <v>0.1411058</v>
      </c>
      <c r="AA4711">
        <v>0.72261819999999999</v>
      </c>
      <c r="AB4711">
        <v>33</v>
      </c>
      <c r="AC4711">
        <v>6.9473000000000402</v>
      </c>
      <c r="AD4711">
        <v>-1.1334626942270001</v>
      </c>
      <c r="AE4711">
        <v>-2.8136800000000002</v>
      </c>
      <c r="AF4711">
        <v>-5.2643324504957798</v>
      </c>
      <c r="AG4711">
        <v>-1.1334626942270001</v>
      </c>
      <c r="AH4711">
        <v>5.0975116177882001</v>
      </c>
      <c r="AI4711">
        <v>98.792722725727998</v>
      </c>
      <c r="AJ4711">
        <v>135.92235551010401</v>
      </c>
      <c r="AK4711">
        <v>7.4150224896511903</v>
      </c>
      <c r="AL4711">
        <v>81.765505610779897</v>
      </c>
      <c r="AM4711">
        <v>110.15049472155501</v>
      </c>
      <c r="AN4711">
        <v>1.0000000463468399</v>
      </c>
    </row>
    <row r="4712" spans="1:40" x14ac:dyDescent="0.25">
      <c r="A4712" t="str">
        <f>"20190303162650176"</f>
        <v>20190303162650176</v>
      </c>
      <c r="B4712" t="str">
        <f>"1551601610168630"</f>
        <v>1551601610168630</v>
      </c>
      <c r="C4712" t="s">
        <v>40</v>
      </c>
      <c r="D4712">
        <v>5.25875</v>
      </c>
      <c r="E4712">
        <v>0.32379340000000001</v>
      </c>
      <c r="F4712" t="s">
        <v>59</v>
      </c>
      <c r="G4712">
        <v>-292.02159999999998</v>
      </c>
      <c r="H4712" s="1">
        <v>-9.7428850000000001E-6</v>
      </c>
      <c r="I4712">
        <v>-53.424210000000002</v>
      </c>
      <c r="J4712">
        <v>-298.98360000000002</v>
      </c>
      <c r="K4712">
        <v>1.1334900000000001</v>
      </c>
      <c r="L4712">
        <v>-50.748809999999999</v>
      </c>
      <c r="M4712">
        <v>0.39529110000000001</v>
      </c>
      <c r="N4712">
        <v>-1.6143210000000002E-2</v>
      </c>
      <c r="O4712">
        <v>-0.91841410000000001</v>
      </c>
      <c r="P4712">
        <v>0.67891689999999905</v>
      </c>
      <c r="Q4712">
        <v>0.1374822</v>
      </c>
      <c r="R4712">
        <v>-0.72122819999999899</v>
      </c>
      <c r="S4712">
        <v>3.122833</v>
      </c>
      <c r="T4712">
        <v>-0.4939228</v>
      </c>
      <c r="U4712">
        <v>-1.361267</v>
      </c>
      <c r="V4712">
        <v>-0.34301359999999997</v>
      </c>
      <c r="W4712">
        <v>0.14199059999999999</v>
      </c>
      <c r="X4712">
        <v>0.92853669999999999</v>
      </c>
      <c r="Y4712">
        <v>-0.67381000000000002</v>
      </c>
      <c r="Z4712">
        <v>0.1419156</v>
      </c>
      <c r="AA4712">
        <v>0.72514829999999997</v>
      </c>
      <c r="AB4712">
        <v>33</v>
      </c>
      <c r="AC4712">
        <v>6.9620000000000397</v>
      </c>
      <c r="AD4712">
        <v>-1.133499742885</v>
      </c>
      <c r="AE4712">
        <v>-2.67539999999999</v>
      </c>
      <c r="AF4712">
        <v>-5.21664351103108</v>
      </c>
      <c r="AG4712">
        <v>-1.133499742885</v>
      </c>
      <c r="AH4712">
        <v>5.0922056360926904</v>
      </c>
      <c r="AI4712">
        <v>98.837989734903005</v>
      </c>
      <c r="AJ4712">
        <v>135.69158241477899</v>
      </c>
      <c r="AK4712">
        <v>7.3775842542499799</v>
      </c>
      <c r="AL4712">
        <v>81.836950158686605</v>
      </c>
      <c r="AM4712">
        <v>110.274889226936</v>
      </c>
      <c r="AN4712">
        <v>1.0000000317601001</v>
      </c>
    </row>
    <row r="4713" spans="1:40" x14ac:dyDescent="0.25">
      <c r="A4713" t="str">
        <f>"20190303162650209"</f>
        <v>20190303162650209</v>
      </c>
      <c r="B4713" t="str">
        <f>"1551601610198888"</f>
        <v>1551601610198888</v>
      </c>
      <c r="C4713" t="s">
        <v>40</v>
      </c>
      <c r="D4713">
        <v>5.1699380000000001</v>
      </c>
      <c r="E4713">
        <v>0.34557379999999999</v>
      </c>
      <c r="F4713" t="s">
        <v>59</v>
      </c>
      <c r="G4713">
        <v>-291.86020000000002</v>
      </c>
      <c r="H4713" s="1">
        <v>-9.772277E-6</v>
      </c>
      <c r="I4713">
        <v>-53.717460000000003</v>
      </c>
      <c r="J4713">
        <v>-298.77480000000003</v>
      </c>
      <c r="K4713">
        <v>1.133518</v>
      </c>
      <c r="L4713">
        <v>-51.180790000000002</v>
      </c>
      <c r="M4713">
        <v>0.4148965</v>
      </c>
      <c r="N4713">
        <v>-1.6165849999999999E-2</v>
      </c>
      <c r="O4713">
        <v>-0.90972520000000001</v>
      </c>
      <c r="P4713">
        <v>0.70013239999999999</v>
      </c>
      <c r="Q4713">
        <v>0.138341299999999</v>
      </c>
      <c r="R4713">
        <v>-0.70048339999999998</v>
      </c>
      <c r="S4713">
        <v>3.1327820000000002</v>
      </c>
      <c r="T4713">
        <v>-0.49849739999999998</v>
      </c>
      <c r="U4713">
        <v>-1.3055730000000001</v>
      </c>
      <c r="V4713">
        <v>-0.35092050000000002</v>
      </c>
      <c r="W4713">
        <v>0.14253950000000001</v>
      </c>
      <c r="X4713">
        <v>0.92549300000000001</v>
      </c>
      <c r="Y4713">
        <v>-0.6695797</v>
      </c>
      <c r="Z4713">
        <v>0.14378279999999999</v>
      </c>
      <c r="AA4713">
        <v>0.72869030000000001</v>
      </c>
      <c r="AB4713">
        <v>33</v>
      </c>
      <c r="AC4713">
        <v>6.9146000000000001</v>
      </c>
      <c r="AD4713">
        <v>-1.1335277722769901</v>
      </c>
      <c r="AE4713">
        <v>-2.5366699999999902</v>
      </c>
      <c r="AF4713">
        <v>-5.1174026327985302</v>
      </c>
      <c r="AG4713">
        <v>-1.1335277722769901</v>
      </c>
      <c r="AH4713">
        <v>5.0574014115124797</v>
      </c>
      <c r="AI4713">
        <v>98.953255719443007</v>
      </c>
      <c r="AJ4713">
        <v>135.337871558122</v>
      </c>
      <c r="AK4713">
        <v>7.2835433652766204</v>
      </c>
      <c r="AL4713">
        <v>81.805177067330604</v>
      </c>
      <c r="AM4713">
        <v>110.765296006752</v>
      </c>
      <c r="AN4713">
        <v>0.99999999971474995</v>
      </c>
    </row>
    <row r="4714" spans="1:40" x14ac:dyDescent="0.25">
      <c r="A4714" t="str">
        <f>"20190303162650242"</f>
        <v>20190303162650242</v>
      </c>
      <c r="B4714" t="str">
        <f>"1551601610228166"</f>
        <v>1551601610228166</v>
      </c>
      <c r="C4714" t="s">
        <v>40</v>
      </c>
      <c r="D4714">
        <v>5.2897449999999999</v>
      </c>
      <c r="E4714">
        <v>0.34645500000000001</v>
      </c>
      <c r="F4714" t="s">
        <v>59</v>
      </c>
      <c r="G4714">
        <v>-290.94439999999997</v>
      </c>
      <c r="H4714" s="1">
        <v>-1.0017439999999999E-5</v>
      </c>
      <c r="I4714">
        <v>-54.596420000000002</v>
      </c>
      <c r="J4714">
        <v>-298.55669999999998</v>
      </c>
      <c r="K4714">
        <v>1.133535</v>
      </c>
      <c r="L4714">
        <v>-51.609250000000003</v>
      </c>
      <c r="M4714">
        <v>0.43440610000000002</v>
      </c>
      <c r="N4714">
        <v>-1.6183429999999999E-2</v>
      </c>
      <c r="O4714">
        <v>-0.90057199999999904</v>
      </c>
      <c r="P4714">
        <v>0.72157499999999997</v>
      </c>
      <c r="Q4714">
        <v>0.13631559999999901</v>
      </c>
      <c r="R4714">
        <v>-0.67878450000000001</v>
      </c>
      <c r="S4714">
        <v>3.0436399999999999</v>
      </c>
      <c r="T4714">
        <v>-0.44059510000000002</v>
      </c>
      <c r="U4714">
        <v>-1.327637</v>
      </c>
      <c r="V4714">
        <v>-0.35952770000000001</v>
      </c>
      <c r="W4714">
        <v>0.14018639999999999</v>
      </c>
      <c r="X4714">
        <v>0.92254409999999998</v>
      </c>
      <c r="Y4714">
        <v>-0.64340169999999997</v>
      </c>
      <c r="Z4714">
        <v>0.1276736</v>
      </c>
      <c r="AA4714">
        <v>0.75480709999999995</v>
      </c>
      <c r="AB4714">
        <v>33</v>
      </c>
      <c r="AC4714">
        <v>7.6123000000000003</v>
      </c>
      <c r="AD4714">
        <v>-1.1335450174399999</v>
      </c>
      <c r="AE4714">
        <v>-2.9871699999999901</v>
      </c>
      <c r="AF4714">
        <v>-5.4537119281039601</v>
      </c>
      <c r="AG4714">
        <v>-1.1335450174399999</v>
      </c>
      <c r="AH4714">
        <v>5.8846996931530402</v>
      </c>
      <c r="AI4714">
        <v>98.041660715996002</v>
      </c>
      <c r="AJ4714">
        <v>132.82316094408</v>
      </c>
      <c r="AK4714">
        <v>8.1029370341810001</v>
      </c>
      <c r="AL4714">
        <v>81.9413674899059</v>
      </c>
      <c r="AM4714">
        <v>111.291523881429</v>
      </c>
      <c r="AN4714">
        <v>1.00000000512853</v>
      </c>
    </row>
    <row r="4715" spans="1:40" x14ac:dyDescent="0.25">
      <c r="A4715" t="str">
        <f>"20190303162650275"</f>
        <v>20190303162650275</v>
      </c>
      <c r="B4715" t="str">
        <f>"1551601610268689"</f>
        <v>1551601610268689</v>
      </c>
      <c r="C4715" t="s">
        <v>40</v>
      </c>
      <c r="D4715">
        <v>5.2636750000000001</v>
      </c>
      <c r="E4715">
        <v>0.31706810000000002</v>
      </c>
      <c r="F4715" t="s">
        <v>59</v>
      </c>
      <c r="G4715">
        <v>-290.58589999999998</v>
      </c>
      <c r="H4715" s="1">
        <v>-1.0127139999999999E-5</v>
      </c>
      <c r="I4715">
        <v>-54.803100000000001</v>
      </c>
      <c r="J4715">
        <v>-298.3297</v>
      </c>
      <c r="K4715">
        <v>1.133532</v>
      </c>
      <c r="L4715">
        <v>-52.03192</v>
      </c>
      <c r="M4715">
        <v>0.45374500000000001</v>
      </c>
      <c r="N4715">
        <v>-1.619814E-2</v>
      </c>
      <c r="O4715">
        <v>-0.89098440000000001</v>
      </c>
      <c r="P4715">
        <v>0.73901519999999898</v>
      </c>
      <c r="Q4715">
        <v>0.13207459999999999</v>
      </c>
      <c r="R4715">
        <v>-0.66061550000000002</v>
      </c>
      <c r="S4715">
        <v>3.079529</v>
      </c>
      <c r="T4715">
        <v>-0.43794729999999998</v>
      </c>
      <c r="U4715">
        <v>-1.233948</v>
      </c>
      <c r="V4715">
        <v>-0.36314279999999999</v>
      </c>
      <c r="W4715">
        <v>0.13580599999999901</v>
      </c>
      <c r="X4715">
        <v>0.92178309999999997</v>
      </c>
      <c r="Y4715">
        <v>-0.64981519999999904</v>
      </c>
      <c r="Z4715">
        <v>0.12723709999999999</v>
      </c>
      <c r="AA4715">
        <v>0.74936700000000001</v>
      </c>
      <c r="AB4715">
        <v>33</v>
      </c>
      <c r="AC4715">
        <v>7.7438000000000198</v>
      </c>
      <c r="AD4715">
        <v>-1.1335421271399999</v>
      </c>
      <c r="AE4715">
        <v>-2.7711800000000002</v>
      </c>
      <c r="AF4715">
        <v>-5.5377477389896601</v>
      </c>
      <c r="AG4715">
        <v>-1.1335421271399999</v>
      </c>
      <c r="AH4715">
        <v>5.8720354475135501</v>
      </c>
      <c r="AI4715">
        <v>97.994300489703903</v>
      </c>
      <c r="AJ4715">
        <v>133.321808836733</v>
      </c>
      <c r="AK4715">
        <v>8.1506053806782894</v>
      </c>
      <c r="AL4715">
        <v>82.194770646960507</v>
      </c>
      <c r="AM4715">
        <v>111.50230192068</v>
      </c>
      <c r="AN4715">
        <v>1.0000000231367201</v>
      </c>
    </row>
    <row r="4716" spans="1:40" x14ac:dyDescent="0.25">
      <c r="A4716" t="str">
        <f>"20190303162650309"</f>
        <v>20190303162650309</v>
      </c>
      <c r="B4716" t="str">
        <f>"1551601610298945"</f>
        <v>1551601610298945</v>
      </c>
      <c r="C4716" t="s">
        <v>40</v>
      </c>
      <c r="D4716">
        <v>5.2607889999999999</v>
      </c>
      <c r="E4716">
        <v>0.31954349999999998</v>
      </c>
      <c r="F4716" t="s">
        <v>59</v>
      </c>
      <c r="G4716">
        <v>-290.28359999999998</v>
      </c>
      <c r="H4716" s="1">
        <v>-1.027317E-5</v>
      </c>
      <c r="I4716">
        <v>-54.441459999999999</v>
      </c>
      <c r="J4716">
        <v>-298.09460000000001</v>
      </c>
      <c r="K4716">
        <v>1.1335809999999999</v>
      </c>
      <c r="L4716">
        <v>-52.44699</v>
      </c>
      <c r="M4716">
        <v>0.47288550000000001</v>
      </c>
      <c r="N4716">
        <v>-1.6213439999999999E-2</v>
      </c>
      <c r="O4716">
        <v>-0.880974699999999</v>
      </c>
      <c r="P4716">
        <v>0.75114539999999996</v>
      </c>
      <c r="Q4716">
        <v>0.1326707</v>
      </c>
      <c r="R4716">
        <v>-0.64666780000000001</v>
      </c>
      <c r="S4716">
        <v>3.2671199999999998</v>
      </c>
      <c r="T4716">
        <v>-0.46027610000000002</v>
      </c>
      <c r="U4716">
        <v>-0.97839359999999997</v>
      </c>
      <c r="V4716">
        <v>-0.3604175</v>
      </c>
      <c r="W4716">
        <v>0.13648060000000001</v>
      </c>
      <c r="X4716">
        <v>0.92275260000000003</v>
      </c>
      <c r="Y4716">
        <v>-0.69873580000000002</v>
      </c>
      <c r="Z4716">
        <v>0.13295889999999999</v>
      </c>
      <c r="AA4716">
        <v>0.70291550000000003</v>
      </c>
      <c r="AB4716">
        <v>33</v>
      </c>
      <c r="AC4716">
        <v>7.8110000000000301</v>
      </c>
      <c r="AD4716">
        <v>-1.13359127317</v>
      </c>
      <c r="AE4716">
        <v>-1.99447</v>
      </c>
      <c r="AF4716">
        <v>-5.8237657551845396</v>
      </c>
      <c r="AG4716">
        <v>-1.13359127317</v>
      </c>
      <c r="AH4716">
        <v>5.3458012100004701</v>
      </c>
      <c r="AI4716">
        <v>98.160372724765693</v>
      </c>
      <c r="AJ4716">
        <v>137.45028784565599</v>
      </c>
      <c r="AK4716">
        <v>7.9861672486061703</v>
      </c>
      <c r="AL4716">
        <v>82.155755821425402</v>
      </c>
      <c r="AM4716">
        <v>111.33509580352801</v>
      </c>
      <c r="AN4716">
        <v>1.00000004464468</v>
      </c>
    </row>
    <row r="4717" spans="1:40" x14ac:dyDescent="0.25">
      <c r="A4717" t="str">
        <f>"20190303162650343"</f>
        <v>20190303162650343</v>
      </c>
      <c r="B4717" t="str">
        <f>"1551601610338961"</f>
        <v>1551601610338961</v>
      </c>
      <c r="C4717" t="s">
        <v>40</v>
      </c>
      <c r="D4717">
        <v>5.2358789999999997</v>
      </c>
      <c r="E4717">
        <v>0.32383109999999998</v>
      </c>
      <c r="F4717" t="s">
        <v>59</v>
      </c>
      <c r="G4717">
        <v>-290.05220000000003</v>
      </c>
      <c r="H4717" s="1">
        <v>-1.0328130000000001E-5</v>
      </c>
      <c r="I4717">
        <v>-54.733719999999998</v>
      </c>
      <c r="J4717">
        <v>-297.84019999999998</v>
      </c>
      <c r="K4717">
        <v>1.1336619999999999</v>
      </c>
      <c r="L4717">
        <v>-52.873899999999999</v>
      </c>
      <c r="M4717">
        <v>0.49277860000000001</v>
      </c>
      <c r="N4717">
        <v>-1.6235719999999999E-2</v>
      </c>
      <c r="O4717">
        <v>-0.87000350000000004</v>
      </c>
      <c r="P4717">
        <v>0.76131169999999904</v>
      </c>
      <c r="Q4717">
        <v>0.1359389</v>
      </c>
      <c r="R4717">
        <v>-0.63397599999999998</v>
      </c>
      <c r="S4717">
        <v>3.273987</v>
      </c>
      <c r="T4717">
        <v>-0.46147500000000002</v>
      </c>
      <c r="U4717">
        <v>-0.93090819999999996</v>
      </c>
      <c r="V4717">
        <v>-0.3545412</v>
      </c>
      <c r="W4717">
        <v>0.13992199999999999</v>
      </c>
      <c r="X4717">
        <v>0.924512</v>
      </c>
      <c r="Y4717">
        <v>-0.6923549</v>
      </c>
      <c r="Z4717">
        <v>0.13315080000000001</v>
      </c>
      <c r="AA4717">
        <v>0.70916539999999995</v>
      </c>
      <c r="AB4717">
        <v>33</v>
      </c>
      <c r="AC4717">
        <v>7.7879999999999496</v>
      </c>
      <c r="AD4717">
        <v>-1.1336723281299901</v>
      </c>
      <c r="AE4717">
        <v>-1.85981999999999</v>
      </c>
      <c r="AF4717">
        <v>-5.7447178872498403</v>
      </c>
      <c r="AG4717">
        <v>-1.1336723281299901</v>
      </c>
      <c r="AH4717">
        <v>5.3492935334394396</v>
      </c>
      <c r="AI4717">
        <v>98.218040743827203</v>
      </c>
      <c r="AJ4717">
        <v>137.04133191444399</v>
      </c>
      <c r="AK4717">
        <v>7.93107419323215</v>
      </c>
      <c r="AL4717">
        <v>81.956667519890601</v>
      </c>
      <c r="AM4717">
        <v>110.98132434914901</v>
      </c>
      <c r="AN4717">
        <v>1.0000000333627099</v>
      </c>
    </row>
    <row r="4718" spans="1:40" x14ac:dyDescent="0.25">
      <c r="A4718" t="str">
        <f>"20190303162650377"</f>
        <v>20190303162650377</v>
      </c>
      <c r="B4718" t="str">
        <f>"1551601610368748"</f>
        <v>1551601610368748</v>
      </c>
      <c r="C4718" t="s">
        <v>40</v>
      </c>
      <c r="D4718">
        <v>5.1971160000000003</v>
      </c>
      <c r="E4718">
        <v>0.32584600000000002</v>
      </c>
      <c r="F4718" t="s">
        <v>59</v>
      </c>
      <c r="G4718">
        <v>-289.50779999999997</v>
      </c>
      <c r="H4718" s="1">
        <v>-2.2970039999999999E-6</v>
      </c>
      <c r="I4718">
        <v>-55.178280000000001</v>
      </c>
      <c r="J4718">
        <v>-297.58679999999998</v>
      </c>
      <c r="K4718">
        <v>1.1337680000000001</v>
      </c>
      <c r="L4718">
        <v>-53.278170000000003</v>
      </c>
      <c r="M4718">
        <v>0.51186739999999997</v>
      </c>
      <c r="N4718">
        <v>-1.6263840000000002E-2</v>
      </c>
      <c r="O4718">
        <v>-0.85891070000000003</v>
      </c>
      <c r="P4718">
        <v>0.77513390000000004</v>
      </c>
      <c r="Q4718">
        <v>0.13586219999999999</v>
      </c>
      <c r="R4718">
        <v>-0.61701640000000002</v>
      </c>
      <c r="S4718">
        <v>3.2674259999999999</v>
      </c>
      <c r="T4718">
        <v>-0.44454929999999898</v>
      </c>
      <c r="U4718">
        <v>-0.90362549999999997</v>
      </c>
      <c r="V4718">
        <v>-0.35457620000000001</v>
      </c>
      <c r="W4718">
        <v>0.139794899999999</v>
      </c>
      <c r="X4718">
        <v>0.92451779999999995</v>
      </c>
      <c r="Y4718">
        <v>-0.68234099999999998</v>
      </c>
      <c r="Z4718">
        <v>0.12772800000000001</v>
      </c>
      <c r="AA4718">
        <v>0.71978900000000001</v>
      </c>
      <c r="AB4718">
        <v>33</v>
      </c>
      <c r="AC4718">
        <v>8.0790000000000006</v>
      </c>
      <c r="AD4718">
        <v>-1.133770297004</v>
      </c>
      <c r="AE4718">
        <v>-1.90011000000001</v>
      </c>
      <c r="AF4718">
        <v>-5.8580027328735902</v>
      </c>
      <c r="AG4718">
        <v>-1.133770297004</v>
      </c>
      <c r="AH4718">
        <v>5.6624913678877604</v>
      </c>
      <c r="AI4718">
        <v>97.922257897663698</v>
      </c>
      <c r="AJ4718">
        <v>135.97225871873101</v>
      </c>
      <c r="AK4718">
        <v>8.2259005340525704</v>
      </c>
      <c r="AL4718">
        <v>81.964022063112694</v>
      </c>
      <c r="AM4718">
        <v>110.983095139087</v>
      </c>
      <c r="AN4718">
        <v>1.00000002909464</v>
      </c>
    </row>
    <row r="4719" spans="1:40" x14ac:dyDescent="0.25">
      <c r="A4719" t="str">
        <f>"20190303162650409"</f>
        <v>20190303162650409</v>
      </c>
      <c r="B4719" t="str">
        <f>"1551601610399003"</f>
        <v>1551601610399003</v>
      </c>
      <c r="C4719" t="s">
        <v>40</v>
      </c>
      <c r="D4719">
        <v>5.1405120000000002</v>
      </c>
      <c r="E4719">
        <v>0.3282678</v>
      </c>
      <c r="F4719" t="s">
        <v>59</v>
      </c>
      <c r="G4719">
        <v>-289.2407</v>
      </c>
      <c r="H4719" s="1">
        <v>-2.397987E-6</v>
      </c>
      <c r="I4719">
        <v>-55.435270000000003</v>
      </c>
      <c r="J4719">
        <v>-297.33240000000001</v>
      </c>
      <c r="K4719">
        <v>1.1338900000000001</v>
      </c>
      <c r="L4719">
        <v>-53.663240000000002</v>
      </c>
      <c r="M4719">
        <v>0.53037979999999996</v>
      </c>
      <c r="N4719">
        <v>-1.6296109999999999E-2</v>
      </c>
      <c r="O4719">
        <v>-0.84760369999999996</v>
      </c>
      <c r="P4719">
        <v>0.78592620000000002</v>
      </c>
      <c r="Q4719">
        <v>0.1387352</v>
      </c>
      <c r="R4719">
        <v>-0.60255539999999996</v>
      </c>
      <c r="S4719">
        <v>3.2746279999999999</v>
      </c>
      <c r="T4719">
        <v>-0.44483780000000001</v>
      </c>
      <c r="U4719">
        <v>-0.84634399999999999</v>
      </c>
      <c r="V4719">
        <v>-0.35133690000000001</v>
      </c>
      <c r="W4719">
        <v>0.14272550000000001</v>
      </c>
      <c r="X4719">
        <v>0.92530639999999997</v>
      </c>
      <c r="Y4719">
        <v>-0.67873549999999905</v>
      </c>
      <c r="Z4719">
        <v>0.12768679999999999</v>
      </c>
      <c r="AA4719">
        <v>0.72319719999999998</v>
      </c>
      <c r="AB4719">
        <v>33</v>
      </c>
      <c r="AC4719">
        <v>8.0916999999999994</v>
      </c>
      <c r="AD4719">
        <v>-1.1338923979869999</v>
      </c>
      <c r="AE4719">
        <v>-1.77202999999999</v>
      </c>
      <c r="AF4719">
        <v>-5.8106125286574004</v>
      </c>
      <c r="AG4719">
        <v>-1.1338923979869999</v>
      </c>
      <c r="AH4719">
        <v>5.6878438347285396</v>
      </c>
      <c r="AI4719">
        <v>97.938773861674804</v>
      </c>
      <c r="AJ4719">
        <v>135.611722175822</v>
      </c>
      <c r="AK4719">
        <v>8.2097805949162002</v>
      </c>
      <c r="AL4719">
        <v>81.794410462590605</v>
      </c>
      <c r="AM4719">
        <v>110.791664657106</v>
      </c>
      <c r="AN4719">
        <v>1.0000000597664001</v>
      </c>
    </row>
    <row r="4720" spans="1:40" x14ac:dyDescent="0.25">
      <c r="A4720" t="str">
        <f>"20190303162650443"</f>
        <v>20190303162650443</v>
      </c>
      <c r="B4720" t="str">
        <f>"1551601610439019"</f>
        <v>1551601610439019</v>
      </c>
      <c r="C4720" t="s">
        <v>40</v>
      </c>
      <c r="D4720">
        <v>5.1393550000000001</v>
      </c>
      <c r="E4720">
        <v>0.34062979999999998</v>
      </c>
      <c r="F4720" t="s">
        <v>59</v>
      </c>
      <c r="G4720">
        <v>-288.6508</v>
      </c>
      <c r="H4720" s="1">
        <v>-2.670027E-6</v>
      </c>
      <c r="I4720">
        <v>-55.782069999999997</v>
      </c>
      <c r="J4720">
        <v>-297.05700000000002</v>
      </c>
      <c r="K4720">
        <v>1.1340269999999999</v>
      </c>
      <c r="L4720">
        <v>-54.0608199999999</v>
      </c>
      <c r="M4720">
        <v>0.54983470000000001</v>
      </c>
      <c r="N4720">
        <v>-1.6338129999999999E-2</v>
      </c>
      <c r="O4720">
        <v>-0.83511380000000002</v>
      </c>
      <c r="P4720">
        <v>0.7976029</v>
      </c>
      <c r="Q4720">
        <v>0.1387108</v>
      </c>
      <c r="R4720">
        <v>-0.58701709999999996</v>
      </c>
      <c r="S4720">
        <v>3.2792050000000001</v>
      </c>
      <c r="T4720">
        <v>-0.42829230000000001</v>
      </c>
      <c r="U4720">
        <v>-0.80032349999999997</v>
      </c>
      <c r="V4720">
        <v>-0.3481417</v>
      </c>
      <c r="W4720">
        <v>0.14275099999999999</v>
      </c>
      <c r="X4720">
        <v>0.92650929999999998</v>
      </c>
      <c r="Y4720">
        <v>-0.67238540000000002</v>
      </c>
      <c r="Z4720">
        <v>0.1221728</v>
      </c>
      <c r="AA4720">
        <v>0.73004910000000001</v>
      </c>
      <c r="AB4720">
        <v>32</v>
      </c>
      <c r="AC4720">
        <v>8.4062000000000108</v>
      </c>
      <c r="AD4720">
        <v>-1.1340296700270001</v>
      </c>
      <c r="AE4720">
        <v>-1.7212499999999999</v>
      </c>
      <c r="AF4720">
        <v>-5.9702597882511004</v>
      </c>
      <c r="AG4720">
        <v>-1.1340296700270001</v>
      </c>
      <c r="AH4720">
        <v>5.9562323339423298</v>
      </c>
      <c r="AI4720">
        <v>97.658639592562196</v>
      </c>
      <c r="AJ4720">
        <v>135.067388931327</v>
      </c>
      <c r="AK4720">
        <v>8.5092143496100601</v>
      </c>
      <c r="AL4720">
        <v>81.792933704930505</v>
      </c>
      <c r="AM4720">
        <v>110.594025817131</v>
      </c>
      <c r="AN4720">
        <v>0.99999998713318905</v>
      </c>
    </row>
    <row r="4721" spans="1:40" x14ac:dyDescent="0.25">
      <c r="A4721" t="str">
        <f>"20190303162650476"</f>
        <v>20190303162650476</v>
      </c>
      <c r="B4721" t="str">
        <f>"1551601610468805"</f>
        <v>1551601610468805</v>
      </c>
      <c r="C4721" t="s">
        <v>40</v>
      </c>
      <c r="D4721">
        <v>5.2137379999999904</v>
      </c>
      <c r="E4721">
        <v>0.3428119</v>
      </c>
      <c r="F4721" t="s">
        <v>59</v>
      </c>
      <c r="G4721">
        <v>-287.88459999999998</v>
      </c>
      <c r="H4721" s="1">
        <v>-2.9929569999999998E-6</v>
      </c>
      <c r="I4721">
        <v>-56.369430000000001</v>
      </c>
      <c r="J4721">
        <v>-296.78089999999997</v>
      </c>
      <c r="K4721">
        <v>1.134172</v>
      </c>
      <c r="L4721">
        <v>-54.44003</v>
      </c>
      <c r="M4721">
        <v>0.56876009999999999</v>
      </c>
      <c r="N4721">
        <v>-1.6385509999999999E-2</v>
      </c>
      <c r="O4721">
        <v>-0.82234050000000003</v>
      </c>
      <c r="P4721">
        <v>0.81046079999999998</v>
      </c>
      <c r="Q4721">
        <v>0.1388953</v>
      </c>
      <c r="R4721">
        <v>-0.5690885</v>
      </c>
      <c r="S4721">
        <v>3.232056</v>
      </c>
      <c r="T4721">
        <v>-0.39959539999999999</v>
      </c>
      <c r="U4721">
        <v>-0.81347659999999999</v>
      </c>
      <c r="V4721">
        <v>-0.3476707</v>
      </c>
      <c r="W4721">
        <v>0.14288120000000001</v>
      </c>
      <c r="X4721">
        <v>0.92666610000000005</v>
      </c>
      <c r="Y4721">
        <v>-0.65117499999999995</v>
      </c>
      <c r="Z4721">
        <v>0.1133416</v>
      </c>
      <c r="AA4721">
        <v>0.75041650000000004</v>
      </c>
      <c r="AB4721">
        <v>32</v>
      </c>
      <c r="AC4721">
        <v>8.8962999999999894</v>
      </c>
      <c r="AD4721">
        <v>-1.134174992957</v>
      </c>
      <c r="AE4721">
        <v>-1.92939999999999</v>
      </c>
      <c r="AF4721">
        <v>-6.1241889354199497</v>
      </c>
      <c r="AG4721">
        <v>-1.134174992957</v>
      </c>
      <c r="AH4721">
        <v>6.54576432469901</v>
      </c>
      <c r="AI4721">
        <v>97.211088280457801</v>
      </c>
      <c r="AJ4721">
        <v>133.09426428956999</v>
      </c>
      <c r="AK4721">
        <v>9.0354343352088797</v>
      </c>
      <c r="AL4721">
        <v>81.785396696271306</v>
      </c>
      <c r="AM4721">
        <v>110.565309335064</v>
      </c>
      <c r="AN4721">
        <v>1.0000000069205699</v>
      </c>
    </row>
    <row r="4722" spans="1:40" x14ac:dyDescent="0.25">
      <c r="A4722" t="str">
        <f>"20190303162650510"</f>
        <v>20190303162650510</v>
      </c>
      <c r="B4722" t="str">
        <f>"1551601610498085"</f>
        <v>1551601610498085</v>
      </c>
      <c r="C4722" t="s">
        <v>40</v>
      </c>
      <c r="D4722">
        <v>5.217479</v>
      </c>
      <c r="E4722">
        <v>0.3988853</v>
      </c>
      <c r="F4722" t="s">
        <v>59</v>
      </c>
      <c r="G4722">
        <v>-287.62740000000002</v>
      </c>
      <c r="H4722" s="1">
        <v>-3.098919E-6</v>
      </c>
      <c r="I4722">
        <v>-56.577489999999997</v>
      </c>
      <c r="J4722">
        <v>-296.48829999999998</v>
      </c>
      <c r="K4722">
        <v>1.134331</v>
      </c>
      <c r="L4722">
        <v>-54.82141</v>
      </c>
      <c r="M4722">
        <v>0.58824909999999997</v>
      </c>
      <c r="N4722">
        <v>-1.6438310000000001E-2</v>
      </c>
      <c r="O4722">
        <v>-0.80851269999999997</v>
      </c>
      <c r="P4722">
        <v>0.81939919999999999</v>
      </c>
      <c r="Q4722">
        <v>0.13947950000000001</v>
      </c>
      <c r="R4722">
        <v>-0.55599489999999996</v>
      </c>
      <c r="S4722">
        <v>3.239258</v>
      </c>
      <c r="T4722">
        <v>-0.40136470000000002</v>
      </c>
      <c r="U4722">
        <v>-0.75640869999999905</v>
      </c>
      <c r="V4722">
        <v>-0.34038239999999997</v>
      </c>
      <c r="W4722">
        <v>0.1436655</v>
      </c>
      <c r="X4722">
        <v>0.92924700000000005</v>
      </c>
      <c r="Y4722">
        <v>-0.64596100000000001</v>
      </c>
      <c r="Z4722">
        <v>0.11333989999999999</v>
      </c>
      <c r="AA4722">
        <v>0.75490959999999996</v>
      </c>
      <c r="AB4722">
        <v>32</v>
      </c>
      <c r="AC4722">
        <v>8.8608999999999494</v>
      </c>
      <c r="AD4722">
        <v>-1.1343340989190001</v>
      </c>
      <c r="AE4722">
        <v>-1.7560800000000001</v>
      </c>
      <c r="AF4722">
        <v>-6.0367742905229003</v>
      </c>
      <c r="AG4722">
        <v>-1.1343340989190001</v>
      </c>
      <c r="AH4722">
        <v>6.5301537919980603</v>
      </c>
      <c r="AI4722">
        <v>97.269025237286399</v>
      </c>
      <c r="AJ4722">
        <v>132.75171367589601</v>
      </c>
      <c r="AK4722">
        <v>8.9650580717491906</v>
      </c>
      <c r="AL4722">
        <v>81.739990871326796</v>
      </c>
      <c r="AM4722">
        <v>110.117740327831</v>
      </c>
      <c r="AN4722">
        <v>0.99999997056450396</v>
      </c>
    </row>
    <row r="4723" spans="1:40" x14ac:dyDescent="0.25">
      <c r="A4723" t="str">
        <f>"20190303162650544"</f>
        <v>20190303162650544</v>
      </c>
      <c r="B4723" t="str">
        <f>"1551601610539077"</f>
        <v>1551601610539077</v>
      </c>
      <c r="C4723" t="s">
        <v>40</v>
      </c>
      <c r="D4723">
        <v>5.1802789999999996</v>
      </c>
      <c r="E4723">
        <v>0.41155960000000003</v>
      </c>
      <c r="F4723" t="s">
        <v>42</v>
      </c>
      <c r="G4723">
        <v>-295.56639999999999</v>
      </c>
      <c r="H4723">
        <v>1.048557</v>
      </c>
      <c r="I4723">
        <v>-55.148600000000002</v>
      </c>
      <c r="J4723">
        <v>-296.19220000000001</v>
      </c>
      <c r="K4723">
        <v>1.134517</v>
      </c>
      <c r="L4723">
        <v>-55.188720000000004</v>
      </c>
      <c r="M4723">
        <v>0.60743059999999904</v>
      </c>
      <c r="N4723">
        <v>-1.6497250000000001E-2</v>
      </c>
      <c r="O4723">
        <v>-0.79420139999999995</v>
      </c>
      <c r="P4723">
        <v>0.82969199999999999</v>
      </c>
      <c r="Q4723">
        <v>0.14075079999999901</v>
      </c>
      <c r="R4723">
        <v>-0.54018549999999999</v>
      </c>
      <c r="S4723">
        <v>2.9887999999999999</v>
      </c>
      <c r="T4723">
        <v>-0.27810240000000003</v>
      </c>
      <c r="U4723">
        <v>-1.06073</v>
      </c>
      <c r="V4723">
        <v>-0.33587470000000003</v>
      </c>
      <c r="W4723">
        <v>0.14502870000000001</v>
      </c>
      <c r="X4723">
        <v>0.93067440000000001</v>
      </c>
      <c r="Y4723">
        <v>-0.54190819999999995</v>
      </c>
      <c r="Z4723">
        <v>7.4995270000000003E-2</v>
      </c>
      <c r="AA4723">
        <v>0.83708490000000002</v>
      </c>
      <c r="AB4723">
        <v>32</v>
      </c>
      <c r="AC4723">
        <v>0.625800000000026</v>
      </c>
      <c r="AD4723">
        <v>-8.5959999999999995E-2</v>
      </c>
      <c r="AE4723">
        <v>4.0119999999994597E-2</v>
      </c>
      <c r="AF4723">
        <v>-0.51183465289696695</v>
      </c>
      <c r="AG4723">
        <v>-8.5959999999999995E-2</v>
      </c>
      <c r="AH4723">
        <v>0.34188980803324498</v>
      </c>
      <c r="AI4723">
        <v>97.950197453636406</v>
      </c>
      <c r="AJ4723">
        <v>146.258294951116</v>
      </c>
      <c r="AK4723">
        <v>0.62149213538319803</v>
      </c>
      <c r="AL4723">
        <v>81.661058756921307</v>
      </c>
      <c r="AM4723">
        <v>109.84420323844</v>
      </c>
      <c r="AN4723">
        <v>0.99999998836957005</v>
      </c>
    </row>
    <row r="4724" spans="1:40" x14ac:dyDescent="0.25">
      <c r="A4724" t="str">
        <f>"20190303162650579"</f>
        <v>20190303162650579</v>
      </c>
      <c r="B4724" t="str">
        <f>"1551601610568865"</f>
        <v>1551601610568865</v>
      </c>
      <c r="C4724" t="s">
        <v>40</v>
      </c>
      <c r="D4724">
        <v>5.1703739999999998</v>
      </c>
      <c r="E4724">
        <v>0.41401450000000001</v>
      </c>
      <c r="F4724" t="s">
        <v>42</v>
      </c>
      <c r="G4724">
        <v>-295.2004</v>
      </c>
      <c r="H4724">
        <v>1.047504</v>
      </c>
      <c r="I4724">
        <v>-55.554569999999998</v>
      </c>
      <c r="J4724">
        <v>-295.88010000000003</v>
      </c>
      <c r="K4724">
        <v>1.1346959999999999</v>
      </c>
      <c r="L4724">
        <v>-55.557040000000001</v>
      </c>
      <c r="M4724">
        <v>0.62706700000000004</v>
      </c>
      <c r="N4724">
        <v>-1.656144E-2</v>
      </c>
      <c r="O4724">
        <v>-0.77878950000000002</v>
      </c>
      <c r="P4724">
        <v>0.84318079999999995</v>
      </c>
      <c r="Q4724">
        <v>0.1426819</v>
      </c>
      <c r="R4724">
        <v>-0.51835180000000003</v>
      </c>
      <c r="S4724">
        <v>2.9509889999999999</v>
      </c>
      <c r="T4724">
        <v>-0.25890659999999999</v>
      </c>
      <c r="U4724">
        <v>-1.0885929999999999</v>
      </c>
      <c r="V4724">
        <v>-0.33680369999999998</v>
      </c>
      <c r="W4724">
        <v>0.14684159999999999</v>
      </c>
      <c r="X4724">
        <v>0.93005420000000005</v>
      </c>
      <c r="Y4724">
        <v>-0.51077829999999902</v>
      </c>
      <c r="Z4724">
        <v>6.8091819999999997E-2</v>
      </c>
      <c r="AA4724">
        <v>0.85701170000000004</v>
      </c>
      <c r="AB4724">
        <v>32</v>
      </c>
      <c r="AC4724">
        <v>0.67970000000002495</v>
      </c>
      <c r="AD4724">
        <v>-8.7191999999999895E-2</v>
      </c>
      <c r="AE4724">
        <v>2.4700000000024099E-3</v>
      </c>
      <c r="AF4724">
        <v>-0.52236891742862801</v>
      </c>
      <c r="AG4724">
        <v>-8.7191999999999895E-2</v>
      </c>
      <c r="AH4724">
        <v>0.41748204103992198</v>
      </c>
      <c r="AI4724">
        <v>97.428895479297694</v>
      </c>
      <c r="AJ4724">
        <v>141.36783038932501</v>
      </c>
      <c r="AK4724">
        <v>0.67436116832926896</v>
      </c>
      <c r="AL4724">
        <v>81.556063265922404</v>
      </c>
      <c r="AM4724">
        <v>109.90701397578501</v>
      </c>
      <c r="AN4724">
        <v>1.00000000138094</v>
      </c>
    </row>
    <row r="4725" spans="1:40" x14ac:dyDescent="0.25">
      <c r="A4725" t="str">
        <f>"20190303162650607"</f>
        <v>20190303162650607</v>
      </c>
      <c r="B4725" t="str">
        <f>"1551601610599120"</f>
        <v>1551601610599120</v>
      </c>
      <c r="C4725" t="s">
        <v>40</v>
      </c>
      <c r="D4725">
        <v>5.1802830000000002</v>
      </c>
      <c r="E4725">
        <v>0.41598950000000001</v>
      </c>
      <c r="F4725" t="s">
        <v>42</v>
      </c>
      <c r="G4725">
        <v>-294.80950000000001</v>
      </c>
      <c r="H4725">
        <v>1.043083</v>
      </c>
      <c r="I4725">
        <v>-55.928980000000003</v>
      </c>
      <c r="J4725">
        <v>-295.61149999999998</v>
      </c>
      <c r="K4725">
        <v>1.1348320000000001</v>
      </c>
      <c r="L4725">
        <v>-55.858089999999997</v>
      </c>
      <c r="M4725">
        <v>0.64347449999999995</v>
      </c>
      <c r="N4725">
        <v>-1.661412E-2</v>
      </c>
      <c r="O4725">
        <v>-0.76528739999999995</v>
      </c>
      <c r="P4725">
        <v>0.85381280000000004</v>
      </c>
      <c r="Q4725">
        <v>0.14191029999999999</v>
      </c>
      <c r="R4725">
        <v>-0.50086469999999905</v>
      </c>
      <c r="S4725">
        <v>2.967346</v>
      </c>
      <c r="T4725">
        <v>-0.25389250000000002</v>
      </c>
      <c r="U4725">
        <v>-1.03064</v>
      </c>
      <c r="V4725">
        <v>-0.33632630000000002</v>
      </c>
      <c r="W4725">
        <v>0.14603360000000001</v>
      </c>
      <c r="X4725">
        <v>0.93035409999999996</v>
      </c>
      <c r="Y4725">
        <v>-0.5090401</v>
      </c>
      <c r="Z4725">
        <v>6.6161429999999993E-2</v>
      </c>
      <c r="AA4725">
        <v>0.85819630000000002</v>
      </c>
      <c r="AB4725">
        <v>32</v>
      </c>
      <c r="AC4725">
        <v>0.80199999999996396</v>
      </c>
      <c r="AD4725">
        <v>-9.1748999999999997E-2</v>
      </c>
      <c r="AE4725">
        <v>-7.0889999999998496E-2</v>
      </c>
      <c r="AF4725">
        <v>-0.56093861566651104</v>
      </c>
      <c r="AG4725">
        <v>-9.1748999999999997E-2</v>
      </c>
      <c r="AH4725">
        <v>0.56308423770631</v>
      </c>
      <c r="AI4725">
        <v>96.584837081234497</v>
      </c>
      <c r="AJ4725">
        <v>134.890629503106</v>
      </c>
      <c r="AK4725">
        <v>0.80008366331288105</v>
      </c>
      <c r="AL4725">
        <v>81.602862510459801</v>
      </c>
      <c r="AM4725">
        <v>109.875102584205</v>
      </c>
      <c r="AN4725">
        <v>0.99999997189372902</v>
      </c>
    </row>
    <row r="4726" spans="1:40" x14ac:dyDescent="0.25">
      <c r="A4726" t="str">
        <f>"20190303162650631"</f>
        <v>20190303162650631</v>
      </c>
      <c r="B4726" t="str">
        <f>"1551601610618642"</f>
        <v>1551601610618642</v>
      </c>
      <c r="C4726" t="s">
        <v>40</v>
      </c>
      <c r="D4726">
        <v>5.1867380000000001</v>
      </c>
      <c r="E4726">
        <v>0.41710510000000001</v>
      </c>
      <c r="F4726" t="s">
        <v>42</v>
      </c>
      <c r="G4726">
        <v>-294.6576</v>
      </c>
      <c r="H4726">
        <v>1.0533729999999999</v>
      </c>
      <c r="I4726">
        <v>-56.172379999999997</v>
      </c>
      <c r="J4726">
        <v>-295.3897</v>
      </c>
      <c r="K4726">
        <v>1.1349389999999999</v>
      </c>
      <c r="L4726">
        <v>-56.097470000000001</v>
      </c>
      <c r="M4726">
        <v>0.65667529999999996</v>
      </c>
      <c r="N4726">
        <v>-1.6654289999999999E-2</v>
      </c>
      <c r="O4726">
        <v>-0.75398949999999998</v>
      </c>
      <c r="P4726">
        <v>0.86137140000000001</v>
      </c>
      <c r="Q4726">
        <v>0.14302429999999999</v>
      </c>
      <c r="R4726">
        <v>-0.4874252</v>
      </c>
      <c r="S4726">
        <v>2.9804379999999999</v>
      </c>
      <c r="T4726">
        <v>-0.25446020000000003</v>
      </c>
      <c r="U4726">
        <v>-0.98114009999999996</v>
      </c>
      <c r="V4726">
        <v>-0.3346672</v>
      </c>
      <c r="W4726">
        <v>0.1471731</v>
      </c>
      <c r="X4726">
        <v>0.93077279999999996</v>
      </c>
      <c r="Y4726">
        <v>-0.50805719999999999</v>
      </c>
      <c r="Z4726">
        <v>6.5979609999999994E-2</v>
      </c>
      <c r="AA4726">
        <v>0.85879249999999996</v>
      </c>
      <c r="AB4726">
        <v>32</v>
      </c>
      <c r="AC4726">
        <v>0.73210000000000197</v>
      </c>
      <c r="AD4726">
        <v>-8.1566E-2</v>
      </c>
      <c r="AE4726">
        <v>-7.4910000000009802E-2</v>
      </c>
      <c r="AF4726">
        <v>-0.496771374291682</v>
      </c>
      <c r="AG4726">
        <v>-8.1566E-2</v>
      </c>
      <c r="AH4726">
        <v>0.53078745730255605</v>
      </c>
      <c r="AI4726">
        <v>96.401618960516501</v>
      </c>
      <c r="AJ4726">
        <v>133.103985422508</v>
      </c>
      <c r="AK4726">
        <v>0.73155323490594903</v>
      </c>
      <c r="AL4726">
        <v>81.536861340684197</v>
      </c>
      <c r="AM4726">
        <v>109.77647544558501</v>
      </c>
      <c r="AN4726">
        <v>1.0000000306696399</v>
      </c>
    </row>
    <row r="4727" spans="1:40" x14ac:dyDescent="0.25">
      <c r="A4727" t="str">
        <f>"20190303162650651"</f>
        <v>20190303162650651</v>
      </c>
      <c r="B4727" t="str">
        <f>"1551601610639136"</f>
        <v>1551601610639136</v>
      </c>
      <c r="C4727" t="s">
        <v>40</v>
      </c>
      <c r="D4727">
        <v>5.2376310000000004</v>
      </c>
      <c r="E4727">
        <v>0.4183057</v>
      </c>
      <c r="F4727" t="s">
        <v>42</v>
      </c>
      <c r="G4727">
        <v>-294.47949999999997</v>
      </c>
      <c r="H4727">
        <v>1.0592839999999999</v>
      </c>
      <c r="I4727">
        <v>-56.383749999999999</v>
      </c>
      <c r="J4727">
        <v>-295.19970000000001</v>
      </c>
      <c r="K4727">
        <v>1.13500499999999</v>
      </c>
      <c r="L4727">
        <v>-56.296019999999999</v>
      </c>
      <c r="M4727">
        <v>0.66773890000000002</v>
      </c>
      <c r="N4727">
        <v>-1.6685700000000001E-2</v>
      </c>
      <c r="O4727">
        <v>-0.744208599999999</v>
      </c>
      <c r="P4727">
        <v>0.86873319999999998</v>
      </c>
      <c r="Q4727">
        <v>0.14324310000000001</v>
      </c>
      <c r="R4727">
        <v>-0.47411419999999999</v>
      </c>
      <c r="S4727">
        <v>2.9915159999999998</v>
      </c>
      <c r="T4727">
        <v>-0.24867359999999999</v>
      </c>
      <c r="U4727">
        <v>-0.94113159999999896</v>
      </c>
      <c r="V4727">
        <v>-0.33524989999999999</v>
      </c>
      <c r="W4727">
        <v>0.1473411</v>
      </c>
      <c r="X4727">
        <v>0.93053649999999999</v>
      </c>
      <c r="Y4727">
        <v>-0.5068549</v>
      </c>
      <c r="Z4727">
        <v>6.3922199999999998E-2</v>
      </c>
      <c r="AA4727">
        <v>0.85965809999999998</v>
      </c>
      <c r="AB4727">
        <v>32</v>
      </c>
      <c r="AC4727">
        <v>0.72020000000003304</v>
      </c>
      <c r="AD4727">
        <v>-7.5720999999999705E-2</v>
      </c>
      <c r="AE4727">
        <v>-8.7730000000000502E-2</v>
      </c>
      <c r="AF4727">
        <v>-0.47231998049246698</v>
      </c>
      <c r="AG4727">
        <v>-7.5720999999999705E-2</v>
      </c>
      <c r="AH4727">
        <v>0.540384832788116</v>
      </c>
      <c r="AI4727">
        <v>96.022664999177096</v>
      </c>
      <c r="AJ4727">
        <v>131.154879155223</v>
      </c>
      <c r="AK4727">
        <v>0.72168940779316104</v>
      </c>
      <c r="AL4727">
        <v>81.527129606426797</v>
      </c>
      <c r="AM4727">
        <v>109.812870735906</v>
      </c>
      <c r="AN4727">
        <v>1.00000003651573</v>
      </c>
    </row>
    <row r="4728" spans="1:40" x14ac:dyDescent="0.25">
      <c r="A4728" t="str">
        <f>"20190303162650670"</f>
        <v>20190303162650670</v>
      </c>
      <c r="B4728" t="str">
        <f>"1551601610659164"</f>
        <v>1551601610659164</v>
      </c>
      <c r="C4728" t="s">
        <v>40</v>
      </c>
      <c r="D4728">
        <v>5.2023900000000003</v>
      </c>
      <c r="E4728">
        <v>0.4196569</v>
      </c>
      <c r="F4728" t="s">
        <v>42</v>
      </c>
      <c r="G4728">
        <v>-294.28370000000001</v>
      </c>
      <c r="H4728">
        <v>1.0591660000000001</v>
      </c>
      <c r="I4728">
        <v>-56.571750000000002</v>
      </c>
      <c r="J4728">
        <v>-295.0059</v>
      </c>
      <c r="K4728">
        <v>1.1350530000000001</v>
      </c>
      <c r="L4728">
        <v>-56.492429999999999</v>
      </c>
      <c r="M4728">
        <v>0.67877200000000004</v>
      </c>
      <c r="N4728">
        <v>-1.6714489999999999E-2</v>
      </c>
      <c r="O4728">
        <v>-0.7341588</v>
      </c>
      <c r="P4728">
        <v>0.87656849999999997</v>
      </c>
      <c r="Q4728">
        <v>0.14107349999999999</v>
      </c>
      <c r="R4728">
        <v>-0.46013660000000001</v>
      </c>
      <c r="S4728">
        <v>3.0015260000000001</v>
      </c>
      <c r="T4728">
        <v>-0.24846889999999999</v>
      </c>
      <c r="U4728">
        <v>-0.90292360000000005</v>
      </c>
      <c r="V4728">
        <v>-0.33647529999999998</v>
      </c>
      <c r="W4728">
        <v>0.14510419999999999</v>
      </c>
      <c r="X4728">
        <v>0.93044570000000004</v>
      </c>
      <c r="Y4728">
        <v>-0.50483880000000003</v>
      </c>
      <c r="Z4728">
        <v>6.346533E-2</v>
      </c>
      <c r="AA4728">
        <v>0.86087749999999996</v>
      </c>
      <c r="AB4728">
        <v>32</v>
      </c>
      <c r="AC4728">
        <v>0.72219999999998596</v>
      </c>
      <c r="AD4728">
        <v>-7.5886999999999996E-2</v>
      </c>
      <c r="AE4728">
        <v>-7.9319999999995602E-2</v>
      </c>
      <c r="AF4728">
        <v>-0.47129418751410201</v>
      </c>
      <c r="AG4728">
        <v>-7.5886999999999996E-2</v>
      </c>
      <c r="AH4728">
        <v>0.54259966293306705</v>
      </c>
      <c r="AI4728">
        <v>96.027467868138203</v>
      </c>
      <c r="AJ4728">
        <v>130.97710649977299</v>
      </c>
      <c r="AK4728">
        <v>0.72269733787295498</v>
      </c>
      <c r="AL4728">
        <v>81.656687014559495</v>
      </c>
      <c r="AM4728">
        <v>109.881413679716</v>
      </c>
      <c r="AN4728">
        <v>1.0000000285081001</v>
      </c>
    </row>
    <row r="4729" spans="1:40" x14ac:dyDescent="0.25">
      <c r="A4729" t="str">
        <f>"20190303162650689"</f>
        <v>20190303162650689</v>
      </c>
      <c r="B4729" t="str">
        <f>"1551601610678683"</f>
        <v>1551601610678683</v>
      </c>
      <c r="C4729" t="s">
        <v>40</v>
      </c>
      <c r="D4729">
        <v>5.2424169999999997</v>
      </c>
      <c r="E4729">
        <v>0.42088730000000002</v>
      </c>
      <c r="F4729" t="s">
        <v>42</v>
      </c>
      <c r="G4729">
        <v>-294.08510000000001</v>
      </c>
      <c r="H4729">
        <v>1.0582659999999999</v>
      </c>
      <c r="I4729">
        <v>-56.75609</v>
      </c>
      <c r="J4729">
        <v>-294.81720000000001</v>
      </c>
      <c r="K4729">
        <v>1.1350880000000001</v>
      </c>
      <c r="L4729">
        <v>-56.67801</v>
      </c>
      <c r="M4729">
        <v>0.68927419999999995</v>
      </c>
      <c r="N4729">
        <v>-1.6739110000000001E-2</v>
      </c>
      <c r="O4729">
        <v>-0.72430729999999999</v>
      </c>
      <c r="P4729">
        <v>0.88316479999999997</v>
      </c>
      <c r="Q4729">
        <v>0.13860129999999901</v>
      </c>
      <c r="R4729">
        <v>-0.44811790000000001</v>
      </c>
      <c r="S4729">
        <v>3.0103149999999999</v>
      </c>
      <c r="T4729">
        <v>-0.25104749999999998</v>
      </c>
      <c r="U4729">
        <v>-0.86206050000000001</v>
      </c>
      <c r="V4729">
        <v>-0.33600190000000002</v>
      </c>
      <c r="W4729">
        <v>0.14263960000000001</v>
      </c>
      <c r="X4729">
        <v>0.93099770000000004</v>
      </c>
      <c r="Y4729">
        <v>-0.5038205</v>
      </c>
      <c r="Z4729">
        <v>6.3886410000000005E-2</v>
      </c>
      <c r="AA4729">
        <v>0.86144259999999995</v>
      </c>
      <c r="AB4729">
        <v>32</v>
      </c>
      <c r="AC4729">
        <v>0.73210000000000197</v>
      </c>
      <c r="AD4729">
        <v>-7.6821999999999904E-2</v>
      </c>
      <c r="AE4729">
        <v>-7.8079999999999899E-2</v>
      </c>
      <c r="AF4729">
        <v>-0.471381514299402</v>
      </c>
      <c r="AG4729">
        <v>-7.6821999999999904E-2</v>
      </c>
      <c r="AH4729">
        <v>0.55520547705801904</v>
      </c>
      <c r="AI4729">
        <v>96.021180338426703</v>
      </c>
      <c r="AJ4729">
        <v>130.331980496223</v>
      </c>
      <c r="AK4729">
        <v>0.732362801801416</v>
      </c>
      <c r="AL4729">
        <v>81.799382758411298</v>
      </c>
      <c r="AM4729">
        <v>109.844776219084</v>
      </c>
      <c r="AN4729">
        <v>1.0000000248485199</v>
      </c>
    </row>
    <row r="4730" spans="1:40" x14ac:dyDescent="0.25">
      <c r="A4730" t="str">
        <f>"20190303162650710"</f>
        <v>20190303162650710</v>
      </c>
      <c r="B4730" t="str">
        <f>"1551601610699180"</f>
        <v>1551601610699180</v>
      </c>
      <c r="C4730" t="s">
        <v>40</v>
      </c>
      <c r="D4730">
        <v>5.2559950000000004</v>
      </c>
      <c r="E4730">
        <v>0.43928899999999999</v>
      </c>
      <c r="F4730" t="s">
        <v>42</v>
      </c>
      <c r="G4730">
        <v>-293.8827</v>
      </c>
      <c r="H4730">
        <v>1.054816</v>
      </c>
      <c r="I4730">
        <v>-56.934809999999999</v>
      </c>
      <c r="J4730">
        <v>-294.60169999999999</v>
      </c>
      <c r="K4730">
        <v>1.135108</v>
      </c>
      <c r="L4730">
        <v>-56.883609999999997</v>
      </c>
      <c r="M4730">
        <v>0.70098130000000003</v>
      </c>
      <c r="N4730">
        <v>-1.6763170000000001E-2</v>
      </c>
      <c r="O4730">
        <v>-0.71298289999999998</v>
      </c>
      <c r="P4730">
        <v>0.89002349999999997</v>
      </c>
      <c r="Q4730">
        <v>0.1363026</v>
      </c>
      <c r="R4730">
        <v>-0.43506339999999999</v>
      </c>
      <c r="S4730">
        <v>3.017242</v>
      </c>
      <c r="T4730">
        <v>-0.25910830000000001</v>
      </c>
      <c r="U4730">
        <v>-0.82839969999999996</v>
      </c>
      <c r="V4730">
        <v>-0.33473259999999899</v>
      </c>
      <c r="W4730">
        <v>0.14038419999999999</v>
      </c>
      <c r="X4730">
        <v>0.9317974</v>
      </c>
      <c r="Y4730">
        <v>-0.49901839999999997</v>
      </c>
      <c r="Z4730">
        <v>6.5625680000000006E-2</v>
      </c>
      <c r="AA4730">
        <v>0.86410299999999995</v>
      </c>
      <c r="AB4730">
        <v>32</v>
      </c>
      <c r="AC4730">
        <v>0.71899999999999398</v>
      </c>
      <c r="AD4730">
        <v>-8.0292000000000002E-2</v>
      </c>
      <c r="AE4730">
        <v>-5.1200000000001397E-2</v>
      </c>
      <c r="AF4730">
        <v>-0.47096775370745197</v>
      </c>
      <c r="AG4730">
        <v>-8.0292000000000002E-2</v>
      </c>
      <c r="AH4730">
        <v>0.53396092045817001</v>
      </c>
      <c r="AI4730">
        <v>96.434163977330002</v>
      </c>
      <c r="AJ4730">
        <v>131.41315197731799</v>
      </c>
      <c r="AK4730">
        <v>0.716499612611745</v>
      </c>
      <c r="AL4730">
        <v>81.929921281075394</v>
      </c>
      <c r="AM4730">
        <v>109.75997516538401</v>
      </c>
      <c r="AN4730">
        <v>1.0000000158795701</v>
      </c>
    </row>
    <row r="4731" spans="1:40" x14ac:dyDescent="0.25">
      <c r="A4731" t="str">
        <f>"20190303162650734"</f>
        <v>20190303162650734</v>
      </c>
      <c r="B4731" t="str">
        <f>"1551601610728459"</f>
        <v>1551601610728459</v>
      </c>
      <c r="C4731" t="s">
        <v>40</v>
      </c>
      <c r="D4731">
        <v>5.3482059999999896</v>
      </c>
      <c r="E4731">
        <v>0.4378822</v>
      </c>
      <c r="F4731" t="s">
        <v>42</v>
      </c>
      <c r="G4731">
        <v>-293.70949999999999</v>
      </c>
      <c r="H4731">
        <v>1.07167099999999</v>
      </c>
      <c r="I4731">
        <v>-57.15878</v>
      </c>
      <c r="J4731">
        <v>-294.37090000000001</v>
      </c>
      <c r="K4731">
        <v>1.135124</v>
      </c>
      <c r="L4731">
        <v>-57.096530000000001</v>
      </c>
      <c r="M4731">
        <v>0.71317830000000004</v>
      </c>
      <c r="N4731">
        <v>-1.678439E-2</v>
      </c>
      <c r="O4731">
        <v>-0.70078180000000001</v>
      </c>
      <c r="P4731">
        <v>0.89663930000000003</v>
      </c>
      <c r="Q4731">
        <v>0.13495509999999999</v>
      </c>
      <c r="R4731">
        <v>-0.42169309999999899</v>
      </c>
      <c r="S4731">
        <v>2.957214</v>
      </c>
      <c r="T4731">
        <v>-0.21023749999999999</v>
      </c>
      <c r="U4731">
        <v>-0.91174319999999998</v>
      </c>
      <c r="V4731">
        <v>-0.33270640000000001</v>
      </c>
      <c r="W4731">
        <v>0.13911309999999999</v>
      </c>
      <c r="X4731">
        <v>0.93271329999999997</v>
      </c>
      <c r="Y4731">
        <v>-0.45776840000000002</v>
      </c>
      <c r="Z4731">
        <v>5.0423030000000001E-2</v>
      </c>
      <c r="AA4731">
        <v>0.88764050000000005</v>
      </c>
      <c r="AB4731">
        <v>32</v>
      </c>
      <c r="AC4731">
        <v>0.66140000000001398</v>
      </c>
      <c r="AD4731">
        <v>-6.3453000000000204E-2</v>
      </c>
      <c r="AE4731">
        <v>-6.2250000000005898E-2</v>
      </c>
      <c r="AF4731">
        <v>-0.41537124887327298</v>
      </c>
      <c r="AG4731">
        <v>-6.3453000000000204E-2</v>
      </c>
      <c r="AH4731">
        <v>0.51073285947256297</v>
      </c>
      <c r="AI4731">
        <v>95.505542960350198</v>
      </c>
      <c r="AJ4731">
        <v>129.12093219764799</v>
      </c>
      <c r="AK4731">
        <v>0.66136798481976999</v>
      </c>
      <c r="AL4731">
        <v>82.003471987524406</v>
      </c>
      <c r="AM4731">
        <v>109.631729706765</v>
      </c>
      <c r="AN4731">
        <v>1.0000000515947201</v>
      </c>
    </row>
    <row r="4732" spans="1:40" x14ac:dyDescent="0.25">
      <c r="A4732" t="str">
        <f>"20190303162650756"</f>
        <v>20190303162650756</v>
      </c>
      <c r="B4732" t="str">
        <f>"1551601610748955"</f>
        <v>1551601610748955</v>
      </c>
      <c r="C4732" t="s">
        <v>40</v>
      </c>
      <c r="D4732">
        <v>5.32803</v>
      </c>
      <c r="E4732">
        <v>0.4392837</v>
      </c>
      <c r="F4732" t="s">
        <v>42</v>
      </c>
      <c r="G4732">
        <v>-293.50959999999998</v>
      </c>
      <c r="H4732">
        <v>1.064208</v>
      </c>
      <c r="I4732">
        <v>-57.345350000000003</v>
      </c>
      <c r="J4732">
        <v>-294.14550000000003</v>
      </c>
      <c r="K4732">
        <v>1.135146</v>
      </c>
      <c r="L4732">
        <v>-57.297609999999999</v>
      </c>
      <c r="M4732">
        <v>0.72475809999999996</v>
      </c>
      <c r="N4732">
        <v>-1.6801259999999998E-2</v>
      </c>
      <c r="O4732">
        <v>-0.68879869999999899</v>
      </c>
      <c r="P4732">
        <v>0.90318169999999998</v>
      </c>
      <c r="Q4732">
        <v>0.1334408</v>
      </c>
      <c r="R4732">
        <v>-0.4079912</v>
      </c>
      <c r="S4732">
        <v>2.978424</v>
      </c>
      <c r="T4732">
        <v>-0.2451682</v>
      </c>
      <c r="U4732">
        <v>-0.85964969999999996</v>
      </c>
      <c r="V4732">
        <v>-0.33147280000000001</v>
      </c>
      <c r="W4732">
        <v>0.1376473</v>
      </c>
      <c r="X4732">
        <v>0.93336969999999997</v>
      </c>
      <c r="Y4732">
        <v>-0.45828989999999997</v>
      </c>
      <c r="Z4732">
        <v>5.9659040000000003E-2</v>
      </c>
      <c r="AA4732">
        <v>0.88679830000000004</v>
      </c>
      <c r="AB4732">
        <v>32</v>
      </c>
      <c r="AC4732">
        <v>0.63590000000004898</v>
      </c>
      <c r="AD4732">
        <v>-7.0937999999999904E-2</v>
      </c>
      <c r="AE4732">
        <v>-4.7740000000004501E-2</v>
      </c>
      <c r="AF4732">
        <v>-0.398532273524908</v>
      </c>
      <c r="AG4732">
        <v>-7.0937999999999904E-2</v>
      </c>
      <c r="AH4732">
        <v>0.487790249277752</v>
      </c>
      <c r="AI4732">
        <v>96.425509897757607</v>
      </c>
      <c r="AJ4732">
        <v>129.24936064574999</v>
      </c>
      <c r="AK4732">
        <v>0.63387656540953097</v>
      </c>
      <c r="AL4732">
        <v>82.088271552562404</v>
      </c>
      <c r="AM4732">
        <v>109.551761336879</v>
      </c>
      <c r="AN4732">
        <v>0.99999999660760996</v>
      </c>
    </row>
    <row r="4733" spans="1:40" x14ac:dyDescent="0.25">
      <c r="A4733" t="str">
        <f>"20190303162650780"</f>
        <v>20190303162650780</v>
      </c>
      <c r="B4733" t="str">
        <f>"1551601610768982"</f>
        <v>1551601610768982</v>
      </c>
      <c r="C4733" t="s">
        <v>40</v>
      </c>
      <c r="D4733">
        <v>5.3309550000000003</v>
      </c>
      <c r="E4733">
        <v>0.4406986</v>
      </c>
      <c r="F4733" t="s">
        <v>42</v>
      </c>
      <c r="G4733">
        <v>-293.25580000000002</v>
      </c>
      <c r="H4733">
        <v>1.060654</v>
      </c>
      <c r="I4733">
        <v>-57.543080000000003</v>
      </c>
      <c r="J4733">
        <v>-293.90359999999998</v>
      </c>
      <c r="K4733">
        <v>1.1351469999999999</v>
      </c>
      <c r="L4733">
        <v>-57.505859999999998</v>
      </c>
      <c r="M4733">
        <v>0.73681359999999996</v>
      </c>
      <c r="N4733">
        <v>-1.6815529999999999E-2</v>
      </c>
      <c r="O4733">
        <v>-0.67588689999999996</v>
      </c>
      <c r="P4733">
        <v>0.91029289999999996</v>
      </c>
      <c r="Q4733">
        <v>0.1324941</v>
      </c>
      <c r="R4733">
        <v>-0.39218930000000002</v>
      </c>
      <c r="S4733">
        <v>2.986237</v>
      </c>
      <c r="T4733">
        <v>-0.25005500000000003</v>
      </c>
      <c r="U4733">
        <v>-0.82415769999999899</v>
      </c>
      <c r="V4733">
        <v>-0.331316099999999</v>
      </c>
      <c r="W4733">
        <v>0.13670689999999999</v>
      </c>
      <c r="X4733">
        <v>0.93356349999999999</v>
      </c>
      <c r="Y4733">
        <v>-0.45289119999999999</v>
      </c>
      <c r="Z4733">
        <v>6.0288099999999997E-2</v>
      </c>
      <c r="AA4733">
        <v>0.88952509999999996</v>
      </c>
      <c r="AB4733">
        <v>32</v>
      </c>
      <c r="AC4733">
        <v>0.64779999999996096</v>
      </c>
      <c r="AD4733">
        <v>-7.4492999999999907E-2</v>
      </c>
      <c r="AE4733">
        <v>-3.7220000000004902E-2</v>
      </c>
      <c r="AF4733">
        <v>-0.405133649336062</v>
      </c>
      <c r="AG4733">
        <v>-7.4492999999999907E-2</v>
      </c>
      <c r="AH4733">
        <v>0.49599808862496603</v>
      </c>
      <c r="AI4733">
        <v>96.634693717415701</v>
      </c>
      <c r="AJ4733">
        <v>129.24211673677701</v>
      </c>
      <c r="AK4733">
        <v>0.64474536430514595</v>
      </c>
      <c r="AL4733">
        <v>82.142666530796603</v>
      </c>
      <c r="AM4733">
        <v>109.539469355121</v>
      </c>
      <c r="AN4733">
        <v>0.99999997157953402</v>
      </c>
    </row>
    <row r="4734" spans="1:40" x14ac:dyDescent="0.25">
      <c r="A4734" t="str">
        <f>"20190303162650801"</f>
        <v>20190303162650801</v>
      </c>
      <c r="B4734" t="str">
        <f>"1551601610788503"</f>
        <v>1551601610788503</v>
      </c>
      <c r="C4734" t="s">
        <v>40</v>
      </c>
      <c r="D4734">
        <v>5.3868489999999998</v>
      </c>
      <c r="E4734">
        <v>0.44197629999999999</v>
      </c>
      <c r="F4734" t="s">
        <v>42</v>
      </c>
      <c r="G4734">
        <v>-292.84059999999999</v>
      </c>
      <c r="H4734">
        <v>1.0480860000000001</v>
      </c>
      <c r="I4734">
        <v>-57.783320000000003</v>
      </c>
      <c r="J4734">
        <v>-293.66849999999999</v>
      </c>
      <c r="K4734">
        <v>1.1351530000000001</v>
      </c>
      <c r="L4734">
        <v>-57.700710000000001</v>
      </c>
      <c r="M4734">
        <v>0.74816300000000002</v>
      </c>
      <c r="N4734">
        <v>-1.6826290000000001E-2</v>
      </c>
      <c r="O4734">
        <v>-0.66330140000000004</v>
      </c>
      <c r="P4734">
        <v>0.91632119999999995</v>
      </c>
      <c r="Q4734">
        <v>0.13244979999999901</v>
      </c>
      <c r="R4734">
        <v>-0.37790499999999999</v>
      </c>
      <c r="S4734">
        <v>2.994659</v>
      </c>
      <c r="T4734">
        <v>-0.24526129999999999</v>
      </c>
      <c r="U4734">
        <v>-0.78149409999999997</v>
      </c>
      <c r="V4734">
        <v>-0.33009699999999997</v>
      </c>
      <c r="W4734">
        <v>0.13671440000000001</v>
      </c>
      <c r="X4734">
        <v>0.9339942</v>
      </c>
      <c r="Y4734">
        <v>-0.4503837</v>
      </c>
      <c r="Z4734">
        <v>5.8405680000000001E-2</v>
      </c>
      <c r="AA4734">
        <v>0.89092269999999896</v>
      </c>
      <c r="AB4734">
        <v>31</v>
      </c>
      <c r="AC4734">
        <v>0.82789999999999897</v>
      </c>
      <c r="AD4734">
        <v>-8.7066999999999894E-2</v>
      </c>
      <c r="AE4734">
        <v>-8.2609999999995395E-2</v>
      </c>
      <c r="AF4734">
        <v>-0.48213079667495901</v>
      </c>
      <c r="AG4734">
        <v>-8.7066999999999894E-2</v>
      </c>
      <c r="AH4734">
        <v>0.66699089154326396</v>
      </c>
      <c r="AI4734">
        <v>96.038994385429902</v>
      </c>
      <c r="AJ4734">
        <v>125.86108339532601</v>
      </c>
      <c r="AK4734">
        <v>0.82759145536497103</v>
      </c>
      <c r="AL4734">
        <v>82.142233052125803</v>
      </c>
      <c r="AM4734">
        <v>109.464686937406</v>
      </c>
      <c r="AN4734">
        <v>1.00000001110499</v>
      </c>
    </row>
    <row r="4735" spans="1:40" x14ac:dyDescent="0.25">
      <c r="A4735" t="str">
        <f>"20190303162650846"</f>
        <v>20190303162650846</v>
      </c>
      <c r="B4735" t="str">
        <f>"1551601610838278"</f>
        <v>1551601610838278</v>
      </c>
      <c r="C4735" t="s">
        <v>40</v>
      </c>
      <c r="D4735">
        <v>5.3830090000000004</v>
      </c>
      <c r="E4735">
        <v>0.44470009999999999</v>
      </c>
      <c r="F4735" t="s">
        <v>42</v>
      </c>
      <c r="G4735">
        <v>-292.63400000000001</v>
      </c>
      <c r="H4735">
        <v>1.0518099999999999</v>
      </c>
      <c r="I4735">
        <v>-57.957810000000002</v>
      </c>
      <c r="J4735">
        <v>-293.18630000000002</v>
      </c>
      <c r="K4735">
        <v>1.135173</v>
      </c>
      <c r="L4735">
        <v>-58.080260000000003</v>
      </c>
      <c r="M4735">
        <v>0.77039329999999995</v>
      </c>
      <c r="N4735">
        <v>-1.6840620000000001E-2</v>
      </c>
      <c r="O4735">
        <v>-0.63734659999999999</v>
      </c>
      <c r="P4735">
        <v>0.92558019999999996</v>
      </c>
      <c r="Q4735">
        <v>0.13254830000000001</v>
      </c>
      <c r="R4735">
        <v>-0.354587599999999</v>
      </c>
      <c r="S4735">
        <v>3.0013429999999999</v>
      </c>
      <c r="T4735">
        <v>-0.2417792</v>
      </c>
      <c r="U4735">
        <v>-0.74563599999999997</v>
      </c>
      <c r="V4735">
        <v>-0.32178980000000001</v>
      </c>
      <c r="W4735">
        <v>0.13716030000000001</v>
      </c>
      <c r="X4735">
        <v>0.93682350000000003</v>
      </c>
      <c r="Y4735">
        <v>-0.43043110000000001</v>
      </c>
      <c r="Z4735">
        <v>5.556498E-2</v>
      </c>
      <c r="AA4735">
        <v>0.90091149999999998</v>
      </c>
      <c r="AB4735">
        <v>31</v>
      </c>
      <c r="AC4735">
        <v>0.55230000000000201</v>
      </c>
      <c r="AD4735">
        <v>-8.3362999999999798E-2</v>
      </c>
      <c r="AE4735">
        <v>0.12245</v>
      </c>
      <c r="AF4735">
        <v>-0.43691687671090901</v>
      </c>
      <c r="AG4735">
        <v>-8.3362999999999798E-2</v>
      </c>
      <c r="AH4735">
        <v>0.34010896784574002</v>
      </c>
      <c r="AI4735">
        <v>98.562114876489801</v>
      </c>
      <c r="AJ4735">
        <v>142.101758895258</v>
      </c>
      <c r="AK4735">
        <v>0.55992843911781298</v>
      </c>
      <c r="AL4735">
        <v>82.116441393170504</v>
      </c>
      <c r="AM4735">
        <v>108.957100290846</v>
      </c>
      <c r="AN4735">
        <v>0.99999994671618797</v>
      </c>
    </row>
    <row r="4736" spans="1:40" x14ac:dyDescent="0.25">
      <c r="A4736" t="str">
        <f>"20190303162650867"</f>
        <v>20190303162650867</v>
      </c>
      <c r="B4736" t="str">
        <f>"1551601610858775"</f>
        <v>1551601610858775</v>
      </c>
      <c r="C4736" t="s">
        <v>40</v>
      </c>
      <c r="D4736">
        <v>5.3848000000000003</v>
      </c>
      <c r="E4736">
        <v>0.4456949</v>
      </c>
      <c r="F4736" t="s">
        <v>42</v>
      </c>
      <c r="G4736">
        <v>-292.21690000000001</v>
      </c>
      <c r="H4736">
        <v>1.0583899999999999</v>
      </c>
      <c r="I4736">
        <v>-58.303620000000002</v>
      </c>
      <c r="J4736">
        <v>-292.95269999999999</v>
      </c>
      <c r="K4736">
        <v>1.1351770000000001</v>
      </c>
      <c r="L4736">
        <v>-58.254759999999997</v>
      </c>
      <c r="M4736">
        <v>0.78066720000000001</v>
      </c>
      <c r="N4736">
        <v>-1.6844830000000002E-2</v>
      </c>
      <c r="O4736">
        <v>-0.62471999999999905</v>
      </c>
      <c r="P4736">
        <v>0.92985450000000003</v>
      </c>
      <c r="Q4736">
        <v>0.13460820000000001</v>
      </c>
      <c r="R4736">
        <v>-0.34241959999999999</v>
      </c>
      <c r="S4736">
        <v>3.0097960000000001</v>
      </c>
      <c r="T4736">
        <v>-0.23838229999999999</v>
      </c>
      <c r="U4736">
        <v>-0.69320680000000001</v>
      </c>
      <c r="V4736">
        <v>-0.31870229999999999</v>
      </c>
      <c r="W4736">
        <v>0.13934830000000001</v>
      </c>
      <c r="X4736">
        <v>0.93755580000000005</v>
      </c>
      <c r="Y4736">
        <v>-0.43126330000000002</v>
      </c>
      <c r="Z4736">
        <v>5.4250890000000003E-2</v>
      </c>
      <c r="AA4736">
        <v>0.90059359999999999</v>
      </c>
      <c r="AB4736">
        <v>31</v>
      </c>
      <c r="AC4736">
        <v>0.73579999999998302</v>
      </c>
      <c r="AD4736">
        <v>-7.6787000000000105E-2</v>
      </c>
      <c r="AE4736">
        <v>-4.88599999999976E-2</v>
      </c>
      <c r="AF4736">
        <v>-0.417063200832401</v>
      </c>
      <c r="AG4736">
        <v>-7.6787000000000105E-2</v>
      </c>
      <c r="AH4736">
        <v>0.59853471125235602</v>
      </c>
      <c r="AI4736">
        <v>96.008728258440996</v>
      </c>
      <c r="AJ4736">
        <v>124.869055330566</v>
      </c>
      <c r="AK4736">
        <v>0.733540562908084</v>
      </c>
      <c r="AL4736">
        <v>81.989862988426395</v>
      </c>
      <c r="AM4736">
        <v>108.77438089339999</v>
      </c>
      <c r="AN4736">
        <v>0.99999999142591001</v>
      </c>
    </row>
    <row r="4737" spans="1:40" x14ac:dyDescent="0.25">
      <c r="A4737" t="str">
        <f>"20190303162650890"</f>
        <v>20190303162650890</v>
      </c>
      <c r="B4737" t="str">
        <f>"1551601610878295"</f>
        <v>1551601610878295</v>
      </c>
      <c r="C4737" t="s">
        <v>40</v>
      </c>
      <c r="D4737">
        <v>5.4430489999999896</v>
      </c>
      <c r="E4737">
        <v>0.44665519999999997</v>
      </c>
      <c r="F4737" t="s">
        <v>42</v>
      </c>
      <c r="G4737">
        <v>-291.99489999999997</v>
      </c>
      <c r="H4737">
        <v>1.06216</v>
      </c>
      <c r="I4737">
        <v>-58.464530000000003</v>
      </c>
      <c r="J4737">
        <v>-292.70530000000002</v>
      </c>
      <c r="K4737">
        <v>1.1351719999999901</v>
      </c>
      <c r="L4737">
        <v>-58.433259999999997</v>
      </c>
      <c r="M4737">
        <v>0.79121079999999999</v>
      </c>
      <c r="N4737">
        <v>-1.684766E-2</v>
      </c>
      <c r="O4737">
        <v>-0.61131159999999996</v>
      </c>
      <c r="P4737">
        <v>0.93520619999999999</v>
      </c>
      <c r="Q4737">
        <v>0.13567009999999999</v>
      </c>
      <c r="R4737">
        <v>-0.32708310000000002</v>
      </c>
      <c r="S4737">
        <v>3.016235</v>
      </c>
      <c r="T4737">
        <v>-0.229964</v>
      </c>
      <c r="U4737">
        <v>-0.66085819999999995</v>
      </c>
      <c r="V4737">
        <v>-0.31806509999999999</v>
      </c>
      <c r="W4737">
        <v>0.1404427</v>
      </c>
      <c r="X4737">
        <v>0.93760889999999997</v>
      </c>
      <c r="Y4737">
        <v>-0.42569679999999999</v>
      </c>
      <c r="Z4737">
        <v>5.1303349999999998E-2</v>
      </c>
      <c r="AA4737">
        <v>0.9034103</v>
      </c>
      <c r="AB4737">
        <v>31</v>
      </c>
      <c r="AC4737">
        <v>0.71040000000004899</v>
      </c>
      <c r="AD4737">
        <v>-7.3011999999999799E-2</v>
      </c>
      <c r="AE4737">
        <v>-3.12700000000063E-2</v>
      </c>
      <c r="AF4737">
        <v>-0.40531961719597098</v>
      </c>
      <c r="AG4737">
        <v>-7.3011999999999799E-2</v>
      </c>
      <c r="AH4737">
        <v>0.57521016608740205</v>
      </c>
      <c r="AI4737">
        <v>95.923751939639004</v>
      </c>
      <c r="AJ4737">
        <v>125.170290645821</v>
      </c>
      <c r="AK4737">
        <v>0.70744715661184598</v>
      </c>
      <c r="AL4737">
        <v>81.926535847548294</v>
      </c>
      <c r="AM4737">
        <v>108.738479538055</v>
      </c>
      <c r="AN4737">
        <v>1.00000000459025</v>
      </c>
    </row>
    <row r="4738" spans="1:40" x14ac:dyDescent="0.25">
      <c r="A4738" t="str">
        <f>"20190303162650913"</f>
        <v>20190303162650913</v>
      </c>
      <c r="B4738" t="str">
        <f>"1551601610898791"</f>
        <v>1551601610898791</v>
      </c>
      <c r="C4738" t="s">
        <v>40</v>
      </c>
      <c r="D4738">
        <v>5.4457420000000001</v>
      </c>
      <c r="E4738">
        <v>0.44710509999999898</v>
      </c>
      <c r="F4738" t="s">
        <v>42</v>
      </c>
      <c r="G4738">
        <v>-291.7176</v>
      </c>
      <c r="H4738">
        <v>1.061642</v>
      </c>
      <c r="I4738">
        <v>-58.634709999999998</v>
      </c>
      <c r="J4738">
        <v>-292.44330000000002</v>
      </c>
      <c r="K4738">
        <v>1.1351629999999999</v>
      </c>
      <c r="L4738">
        <v>-58.615389999999998</v>
      </c>
      <c r="M4738">
        <v>0.80200389999999999</v>
      </c>
      <c r="N4738">
        <v>-1.684919E-2</v>
      </c>
      <c r="O4738">
        <v>-0.59708109999999903</v>
      </c>
      <c r="P4738">
        <v>0.94038869999999997</v>
      </c>
      <c r="Q4738">
        <v>0.13568069999999999</v>
      </c>
      <c r="R4738">
        <v>-0.31186510000000001</v>
      </c>
      <c r="S4738">
        <v>3.0249630000000001</v>
      </c>
      <c r="T4738">
        <v>-0.22516929999999999</v>
      </c>
      <c r="U4738">
        <v>-0.61633300000000002</v>
      </c>
      <c r="V4738">
        <v>-0.31652279999999999</v>
      </c>
      <c r="W4738">
        <v>0.14052629999999999</v>
      </c>
      <c r="X4738">
        <v>0.93811820000000001</v>
      </c>
      <c r="Y4738">
        <v>-0.42293540000000002</v>
      </c>
      <c r="Z4738">
        <v>4.9401590000000002E-2</v>
      </c>
      <c r="AA4738">
        <v>0.90481219999999996</v>
      </c>
      <c r="AB4738">
        <v>31</v>
      </c>
      <c r="AC4738">
        <v>0.725700000000017</v>
      </c>
      <c r="AD4738">
        <v>-7.3520999999999906E-2</v>
      </c>
      <c r="AE4738">
        <v>-1.9319999999993301E-2</v>
      </c>
      <c r="AF4738">
        <v>-0.41362400913866998</v>
      </c>
      <c r="AG4738">
        <v>-7.3520999999999906E-2</v>
      </c>
      <c r="AH4738">
        <v>0.58760729323971395</v>
      </c>
      <c r="AI4738">
        <v>95.841793007830006</v>
      </c>
      <c r="AJ4738">
        <v>125.142186160764</v>
      </c>
      <c r="AK4738">
        <v>0.72233820987502195</v>
      </c>
      <c r="AL4738">
        <v>81.921698234669293</v>
      </c>
      <c r="AM4738">
        <v>108.644489193209</v>
      </c>
      <c r="AN4738">
        <v>1.00000004054138</v>
      </c>
    </row>
    <row r="4739" spans="1:40" x14ac:dyDescent="0.25">
      <c r="A4739" t="str">
        <f>"20190303162650934"</f>
        <v>20190303162650934</v>
      </c>
      <c r="B4739" t="str">
        <f>"1551601610929046"</f>
        <v>1551601610929046</v>
      </c>
      <c r="C4739" t="s">
        <v>40</v>
      </c>
      <c r="D4739">
        <v>5.4480769999999996</v>
      </c>
      <c r="E4739">
        <v>0.45946559999999997</v>
      </c>
      <c r="F4739" t="s">
        <v>41</v>
      </c>
      <c r="G4739">
        <v>-277.09960000000001</v>
      </c>
      <c r="H4739" s="1">
        <v>-2.4481100000000002E-6</v>
      </c>
      <c r="I4739">
        <v>-61.499510000000001</v>
      </c>
      <c r="J4739">
        <v>-292.19959999999998</v>
      </c>
      <c r="K4739">
        <v>1.135141</v>
      </c>
      <c r="L4739">
        <v>-58.77863</v>
      </c>
      <c r="M4739">
        <v>0.81171419999999905</v>
      </c>
      <c r="N4739">
        <v>-1.6849679999999999E-2</v>
      </c>
      <c r="O4739">
        <v>-0.58381209999999994</v>
      </c>
      <c r="P4739">
        <v>0.94468680000000005</v>
      </c>
      <c r="Q4739">
        <v>0.13479079999999999</v>
      </c>
      <c r="R4739">
        <v>-0.29899629999999999</v>
      </c>
      <c r="S4739">
        <v>3.0334469999999998</v>
      </c>
      <c r="T4739">
        <v>-0.2244216</v>
      </c>
      <c r="U4739">
        <v>-0.57019039999999999</v>
      </c>
      <c r="V4739">
        <v>-0.31393720000000003</v>
      </c>
      <c r="W4739">
        <v>0.1397543</v>
      </c>
      <c r="X4739">
        <v>0.93910179999999999</v>
      </c>
      <c r="Y4739">
        <v>-0.42182560000000002</v>
      </c>
      <c r="Z4739">
        <v>4.863141E-2</v>
      </c>
      <c r="AA4739">
        <v>0.90537179999999995</v>
      </c>
      <c r="AB4739">
        <v>31</v>
      </c>
      <c r="AC4739">
        <v>15.0999999999999</v>
      </c>
      <c r="AD4739">
        <v>-1.13514344811</v>
      </c>
      <c r="AE4739">
        <v>-2.72087999999999</v>
      </c>
      <c r="AF4739">
        <v>-6.5719504487481197</v>
      </c>
      <c r="AG4739">
        <v>-1.13514344811</v>
      </c>
      <c r="AH4739">
        <v>13.7719482835868</v>
      </c>
      <c r="AI4739">
        <v>94.254313404829503</v>
      </c>
      <c r="AJ4739">
        <v>115.510397592982</v>
      </c>
      <c r="AK4739">
        <v>15.301818286542799</v>
      </c>
      <c r="AL4739">
        <v>81.9663711819843</v>
      </c>
      <c r="AM4739">
        <v>108.484532992658</v>
      </c>
      <c r="AN4739">
        <v>1.00000001033778</v>
      </c>
    </row>
    <row r="4740" spans="1:40" x14ac:dyDescent="0.25">
      <c r="A4740" t="str">
        <f>"20190303162650957"</f>
        <v>20190303162650957</v>
      </c>
      <c r="B4740" t="str">
        <f>"1551601610948566"</f>
        <v>1551601610948566</v>
      </c>
      <c r="C4740" t="s">
        <v>40</v>
      </c>
      <c r="D4740">
        <v>5.5031809999999997</v>
      </c>
      <c r="E4740">
        <v>0.45990189999999997</v>
      </c>
      <c r="F4740" t="s">
        <v>41</v>
      </c>
      <c r="G4740">
        <v>-278.0598</v>
      </c>
      <c r="H4740" s="1">
        <v>-2.9061189999999999E-6</v>
      </c>
      <c r="I4740">
        <v>-61.706859999999999</v>
      </c>
      <c r="J4740">
        <v>-291.94749999999999</v>
      </c>
      <c r="K4740">
        <v>1.1351180000000001</v>
      </c>
      <c r="L4740">
        <v>-58.941470000000002</v>
      </c>
      <c r="M4740">
        <v>0.82143290000000002</v>
      </c>
      <c r="N4740">
        <v>-1.6849039999999999E-2</v>
      </c>
      <c r="O4740">
        <v>-0.57005620000000001</v>
      </c>
      <c r="P4740">
        <v>0.9493471</v>
      </c>
      <c r="Q4740">
        <v>0.13140460000000001</v>
      </c>
      <c r="R4740">
        <v>-0.28543499999999999</v>
      </c>
      <c r="S4740">
        <v>3.0126949999999999</v>
      </c>
      <c r="T4740">
        <v>-0.24185899999999999</v>
      </c>
      <c r="U4740">
        <v>-0.62390140000000005</v>
      </c>
      <c r="V4740">
        <v>-0.31171070000000001</v>
      </c>
      <c r="W4740">
        <v>0.1364773</v>
      </c>
      <c r="X4740">
        <v>0.94032459999999995</v>
      </c>
      <c r="Y4740">
        <v>-0.38939970000000002</v>
      </c>
      <c r="Z4740">
        <v>5.1022999999999999E-2</v>
      </c>
      <c r="AA4740">
        <v>0.91965450000000004</v>
      </c>
      <c r="AB4740">
        <v>31</v>
      </c>
      <c r="AC4740">
        <v>13.887699999999899</v>
      </c>
      <c r="AD4740">
        <v>-1.135120906119</v>
      </c>
      <c r="AE4740">
        <v>-2.76539</v>
      </c>
      <c r="AF4740">
        <v>-5.6099396338933101</v>
      </c>
      <c r="AG4740">
        <v>-1.135120906119</v>
      </c>
      <c r="AH4740">
        <v>12.9031701455774</v>
      </c>
      <c r="AI4740">
        <v>94.612463067199798</v>
      </c>
      <c r="AJ4740">
        <v>113.49806397360101</v>
      </c>
      <c r="AK4740">
        <v>14.1156552087799</v>
      </c>
      <c r="AL4740">
        <v>82.155946201833899</v>
      </c>
      <c r="AM4740">
        <v>108.33997977555499</v>
      </c>
      <c r="AN4740">
        <v>0.999999983637469</v>
      </c>
    </row>
    <row r="4741" spans="1:40" x14ac:dyDescent="0.25">
      <c r="A4741" t="str">
        <f>"20190303162650980"</f>
        <v>20190303162650980</v>
      </c>
      <c r="B4741" t="str">
        <f>"1551601610969062"</f>
        <v>1551601610969062</v>
      </c>
      <c r="C4741" t="s">
        <v>40</v>
      </c>
      <c r="D4741">
        <v>5.4444059999999999</v>
      </c>
      <c r="E4741">
        <v>0.46087549999999999</v>
      </c>
      <c r="F4741" t="s">
        <v>41</v>
      </c>
      <c r="G4741">
        <v>-278.726</v>
      </c>
      <c r="H4741" s="1">
        <v>-3.1464859999999999E-6</v>
      </c>
      <c r="I4741">
        <v>-61.502479999999998</v>
      </c>
      <c r="J4741">
        <v>-291.68729999999999</v>
      </c>
      <c r="K4741">
        <v>1.1350899999999999</v>
      </c>
      <c r="L4741">
        <v>-59.103059999999999</v>
      </c>
      <c r="M4741">
        <v>0.83112209999999997</v>
      </c>
      <c r="N4741">
        <v>-1.6847460000000002E-2</v>
      </c>
      <c r="O4741">
        <v>-0.55583470000000001</v>
      </c>
      <c r="P4741">
        <v>0.95383490000000004</v>
      </c>
      <c r="Q4741">
        <v>0.12880919999999901</v>
      </c>
      <c r="R4741">
        <v>-0.27130609999999999</v>
      </c>
      <c r="S4741">
        <v>3.0200809999999998</v>
      </c>
      <c r="T4741">
        <v>-0.25928689999999999</v>
      </c>
      <c r="U4741">
        <v>-0.5849915</v>
      </c>
      <c r="V4741">
        <v>-0.30958439999999998</v>
      </c>
      <c r="W4741">
        <v>0.13398650000000001</v>
      </c>
      <c r="X4741">
        <v>0.94138469999999996</v>
      </c>
      <c r="Y4741">
        <v>-0.38506299999999999</v>
      </c>
      <c r="Z4741">
        <v>5.4220900000000002E-2</v>
      </c>
      <c r="AA4741">
        <v>0.92129620000000001</v>
      </c>
      <c r="AB4741">
        <v>31</v>
      </c>
      <c r="AC4741">
        <v>12.9612999999999</v>
      </c>
      <c r="AD4741">
        <v>-1.1350931464859999</v>
      </c>
      <c r="AE4741">
        <v>-2.3994200000000001</v>
      </c>
      <c r="AF4741">
        <v>-5.1725128744068103</v>
      </c>
      <c r="AG4741">
        <v>-1.1350931464859999</v>
      </c>
      <c r="AH4741">
        <v>12.018699328070401</v>
      </c>
      <c r="AI4741">
        <v>94.958053693672298</v>
      </c>
      <c r="AJ4741">
        <v>113.285695278171</v>
      </c>
      <c r="AK4741">
        <v>13.133638468667501</v>
      </c>
      <c r="AL4741">
        <v>82.299981952397701</v>
      </c>
      <c r="AM4741">
        <v>108.20400175463</v>
      </c>
      <c r="AN4741">
        <v>1.0000000181498401</v>
      </c>
    </row>
    <row r="4742" spans="1:40" x14ac:dyDescent="0.25">
      <c r="A4742" t="str">
        <f>"20190303162651004"</f>
        <v>20190303162651004</v>
      </c>
      <c r="B4742" t="str">
        <f>"1551601610988583"</f>
        <v>1551601610988583</v>
      </c>
      <c r="C4742" t="s">
        <v>40</v>
      </c>
      <c r="D4742">
        <v>5.5059449999999996</v>
      </c>
      <c r="E4742">
        <v>0.46148679999999997</v>
      </c>
      <c r="F4742" t="s">
        <v>42</v>
      </c>
      <c r="G4742">
        <v>-290.53710000000001</v>
      </c>
      <c r="H4742">
        <v>1.033061</v>
      </c>
      <c r="I4742">
        <v>-59.310479999999998</v>
      </c>
      <c r="J4742">
        <v>-291.41340000000002</v>
      </c>
      <c r="K4742">
        <v>1.1350610000000001</v>
      </c>
      <c r="L4742">
        <v>-59.266170000000002</v>
      </c>
      <c r="M4742">
        <v>0.84095339999999996</v>
      </c>
      <c r="N4742">
        <v>-1.6844939999999999E-2</v>
      </c>
      <c r="O4742">
        <v>-0.54084560000000004</v>
      </c>
      <c r="P4742">
        <v>0.95818289999999995</v>
      </c>
      <c r="Q4742">
        <v>0.12761510000000001</v>
      </c>
      <c r="R4742">
        <v>-0.2561254</v>
      </c>
      <c r="S4742">
        <v>3.0261840000000002</v>
      </c>
      <c r="T4742">
        <v>-0.26845809999999998</v>
      </c>
      <c r="U4742">
        <v>-0.545929</v>
      </c>
      <c r="V4742">
        <v>-0.30768959999999901</v>
      </c>
      <c r="W4742">
        <v>0.13288730000000001</v>
      </c>
      <c r="X4742">
        <v>0.94216140000000004</v>
      </c>
      <c r="Y4742">
        <v>-0.38020500000000002</v>
      </c>
      <c r="Z4742">
        <v>5.5301059999999999E-2</v>
      </c>
      <c r="AA4742">
        <v>0.9232475</v>
      </c>
      <c r="AB4742">
        <v>31</v>
      </c>
      <c r="AC4742">
        <v>0.87630000000001396</v>
      </c>
      <c r="AD4742">
        <v>-0.10199999999999999</v>
      </c>
      <c r="AE4742">
        <v>-4.4310000000010001E-2</v>
      </c>
      <c r="AF4742">
        <v>-0.43091878753857099</v>
      </c>
      <c r="AG4742">
        <v>-0.10199999999999999</v>
      </c>
      <c r="AH4742">
        <v>0.75085310906887004</v>
      </c>
      <c r="AI4742">
        <v>96.719665682811495</v>
      </c>
      <c r="AJ4742">
        <v>119.851754507064</v>
      </c>
      <c r="AK4742">
        <v>0.87170831867781395</v>
      </c>
      <c r="AL4742">
        <v>82.363529732293799</v>
      </c>
      <c r="AM4742">
        <v>108.08592163477</v>
      </c>
      <c r="AN4742">
        <v>1.0000000140497001</v>
      </c>
    </row>
    <row r="4743" spans="1:40" x14ac:dyDescent="0.25">
      <c r="A4743" t="str">
        <f>"20190303162651025"</f>
        <v>20190303162651025</v>
      </c>
      <c r="B4743" t="str">
        <f>"1551601611018838"</f>
        <v>1551601611018838</v>
      </c>
      <c r="C4743" t="s">
        <v>40</v>
      </c>
      <c r="D4743">
        <v>5.5033659999999998</v>
      </c>
      <c r="E4743">
        <v>0.46814499999999998</v>
      </c>
      <c r="F4743" t="s">
        <v>41</v>
      </c>
      <c r="G4743">
        <v>-278.60390000000001</v>
      </c>
      <c r="H4743" s="1">
        <v>-3.0659620000000002E-6</v>
      </c>
      <c r="I4743">
        <v>-61.37594</v>
      </c>
      <c r="J4743">
        <v>-291.15320000000003</v>
      </c>
      <c r="K4743">
        <v>1.1350309999999999</v>
      </c>
      <c r="L4743">
        <v>-59.415190000000003</v>
      </c>
      <c r="M4743">
        <v>0.84996499999999997</v>
      </c>
      <c r="N4743">
        <v>-1.6842019999999999E-2</v>
      </c>
      <c r="O4743">
        <v>-0.52656999999999998</v>
      </c>
      <c r="P4743">
        <v>0.96200509999999995</v>
      </c>
      <c r="Q4743">
        <v>0.1266486</v>
      </c>
      <c r="R4743">
        <v>-0.2418805</v>
      </c>
      <c r="S4743">
        <v>3.0331730000000001</v>
      </c>
      <c r="T4743">
        <v>-0.26877240000000002</v>
      </c>
      <c r="U4743">
        <v>-0.49957279999999998</v>
      </c>
      <c r="V4743">
        <v>-0.30578230000000001</v>
      </c>
      <c r="W4743">
        <v>0.13201579999999999</v>
      </c>
      <c r="X4743">
        <v>0.94290459999999998</v>
      </c>
      <c r="Y4743">
        <v>-0.37869950000000002</v>
      </c>
      <c r="Z4743">
        <v>5.4500430000000002E-2</v>
      </c>
      <c r="AA4743">
        <v>0.92391369999999895</v>
      </c>
      <c r="AB4743">
        <v>31</v>
      </c>
      <c r="AC4743">
        <v>12.549300000000001</v>
      </c>
      <c r="AD4743">
        <v>-1.135034065962</v>
      </c>
      <c r="AE4743">
        <v>-1.96074999999999</v>
      </c>
      <c r="AF4743">
        <v>-4.9030631317303603</v>
      </c>
      <c r="AG4743">
        <v>-1.135034065962</v>
      </c>
      <c r="AH4743">
        <v>11.607901460074901</v>
      </c>
      <c r="AI4743">
        <v>95.147051596744603</v>
      </c>
      <c r="AJ4743">
        <v>112.898716535152</v>
      </c>
      <c r="AK4743">
        <v>12.651944779813</v>
      </c>
      <c r="AL4743">
        <v>82.413907017945405</v>
      </c>
      <c r="AM4743">
        <v>107.96778732473901</v>
      </c>
      <c r="AN4743">
        <v>1.00000003557204</v>
      </c>
    </row>
    <row r="4744" spans="1:40" x14ac:dyDescent="0.25">
      <c r="A4744" t="str">
        <f>"20190303162651047"</f>
        <v>20190303162651047</v>
      </c>
      <c r="B4744" t="str">
        <f>"1551601611038358"</f>
        <v>1551601611038358</v>
      </c>
      <c r="C4744" t="s">
        <v>40</v>
      </c>
      <c r="D4744">
        <v>5.5642800000000001</v>
      </c>
      <c r="E4744">
        <v>0.46903739999999999</v>
      </c>
      <c r="F4744" t="s">
        <v>41</v>
      </c>
      <c r="G4744">
        <v>-277.7355</v>
      </c>
      <c r="H4744" s="1">
        <v>-2.7550459999999999E-6</v>
      </c>
      <c r="I4744">
        <v>-61.653030000000001</v>
      </c>
      <c r="J4744">
        <v>-290.90190000000001</v>
      </c>
      <c r="K4744">
        <v>1.134989</v>
      </c>
      <c r="L4744">
        <v>-59.553620000000002</v>
      </c>
      <c r="M4744">
        <v>0.85836679999999999</v>
      </c>
      <c r="N4744">
        <v>-1.683875E-2</v>
      </c>
      <c r="O4744">
        <v>-0.51275999999999999</v>
      </c>
      <c r="P4744">
        <v>0.96538069999999998</v>
      </c>
      <c r="Q4744">
        <v>0.12598989999999999</v>
      </c>
      <c r="R4744">
        <v>-0.2284004</v>
      </c>
      <c r="S4744">
        <v>3.02536</v>
      </c>
      <c r="T4744">
        <v>-0.25592219999999999</v>
      </c>
      <c r="U4744">
        <v>-0.50457759999999996</v>
      </c>
      <c r="V4744">
        <v>-0.30373610000000001</v>
      </c>
      <c r="W4744">
        <v>0.13145699999999999</v>
      </c>
      <c r="X4744">
        <v>0.94364369999999997</v>
      </c>
      <c r="Y4744">
        <v>-0.36216809999999999</v>
      </c>
      <c r="Z4744">
        <v>5.0199790000000001E-2</v>
      </c>
      <c r="AA4744">
        <v>0.93076009999999998</v>
      </c>
      <c r="AB4744">
        <v>31</v>
      </c>
      <c r="AC4744">
        <v>13.166399999999999</v>
      </c>
      <c r="AD4744">
        <v>-1.134991755046</v>
      </c>
      <c r="AE4744">
        <v>-2.0994100000000002</v>
      </c>
      <c r="AF4744">
        <v>-4.9142288759721104</v>
      </c>
      <c r="AG4744">
        <v>-1.134991755046</v>
      </c>
      <c r="AH4744">
        <v>12.290780744593601</v>
      </c>
      <c r="AI4744">
        <v>94.900848593973194</v>
      </c>
      <c r="AJ4744">
        <v>111.793036357536</v>
      </c>
      <c r="AK4744">
        <v>13.285373274437401</v>
      </c>
      <c r="AL4744">
        <v>82.446205092447599</v>
      </c>
      <c r="AM4744">
        <v>107.842112299086</v>
      </c>
      <c r="AN4744">
        <v>0.99999999692094899</v>
      </c>
    </row>
    <row r="4745" spans="1:40" x14ac:dyDescent="0.25">
      <c r="A4745" t="str">
        <f>"20190303162651069"</f>
        <v>20190303162651069</v>
      </c>
      <c r="B4745" t="str">
        <f>"1551601611058855"</f>
        <v>1551601611058855</v>
      </c>
      <c r="C4745" t="s">
        <v>40</v>
      </c>
      <c r="D4745">
        <v>5.499263</v>
      </c>
      <c r="E4745">
        <v>0.46982420000000003</v>
      </c>
      <c r="F4745" t="s">
        <v>41</v>
      </c>
      <c r="G4745">
        <v>-277.63709999999998</v>
      </c>
      <c r="H4745" s="1">
        <v>-2.7039099999999902E-6</v>
      </c>
      <c r="I4745">
        <v>-61.612859999999998</v>
      </c>
      <c r="J4745">
        <v>-290.64</v>
      </c>
      <c r="K4745">
        <v>1.1349590000000001</v>
      </c>
      <c r="L4745">
        <v>-59.69229</v>
      </c>
      <c r="M4745">
        <v>0.86681929999999996</v>
      </c>
      <c r="N4745">
        <v>-1.6834849999999998E-2</v>
      </c>
      <c r="O4745">
        <v>-0.49833860000000002</v>
      </c>
      <c r="P4745">
        <v>0.96827580000000002</v>
      </c>
      <c r="Q4745">
        <v>0.1244019</v>
      </c>
      <c r="R4745">
        <v>-0.21671699999999999</v>
      </c>
      <c r="S4745">
        <v>3.0301209999999998</v>
      </c>
      <c r="T4745">
        <v>-0.25927</v>
      </c>
      <c r="U4745">
        <v>-0.47039789999999998</v>
      </c>
      <c r="V4745">
        <v>-0.29939130000000003</v>
      </c>
      <c r="W4745">
        <v>0.13006289999999901</v>
      </c>
      <c r="X4745">
        <v>0.94522399999999995</v>
      </c>
      <c r="Y4745">
        <v>-0.35703699999999999</v>
      </c>
      <c r="Z4745">
        <v>4.9883370000000003E-2</v>
      </c>
      <c r="AA4745">
        <v>0.93275739999999996</v>
      </c>
      <c r="AB4745">
        <v>31</v>
      </c>
      <c r="AC4745">
        <v>13.0029</v>
      </c>
      <c r="AD4745">
        <v>-1.13496170391</v>
      </c>
      <c r="AE4745">
        <v>-1.9205699999999899</v>
      </c>
      <c r="AF4745">
        <v>-4.7801004745767397</v>
      </c>
      <c r="AG4745">
        <v>-1.13496170391</v>
      </c>
      <c r="AH4745">
        <v>12.1394765266006</v>
      </c>
      <c r="AI4745">
        <v>94.971773959953495</v>
      </c>
      <c r="AJ4745">
        <v>111.492782062624</v>
      </c>
      <c r="AK4745">
        <v>13.0959684237661</v>
      </c>
      <c r="AL4745">
        <v>82.526772613714002</v>
      </c>
      <c r="AM4745">
        <v>107.575135308985</v>
      </c>
      <c r="AN4745">
        <v>0.99999995932404895</v>
      </c>
    </row>
    <row r="4746" spans="1:40" x14ac:dyDescent="0.25">
      <c r="A4746" t="str">
        <f>"20190303162651091"</f>
        <v>20190303162651091</v>
      </c>
      <c r="B4746" t="str">
        <f>"1551601611078374"</f>
        <v>1551601611078374</v>
      </c>
      <c r="C4746" t="s">
        <v>40</v>
      </c>
      <c r="D4746">
        <v>5.5561759999999998</v>
      </c>
      <c r="E4746">
        <v>0.47093980000000002</v>
      </c>
      <c r="F4746" t="s">
        <v>41</v>
      </c>
      <c r="G4746">
        <v>-277.7654</v>
      </c>
      <c r="H4746" s="1">
        <v>-2.7466289999999998E-6</v>
      </c>
      <c r="I4746">
        <v>-61.557470000000002</v>
      </c>
      <c r="J4746">
        <v>-290.3689</v>
      </c>
      <c r="K4746">
        <v>1.1349359999999999</v>
      </c>
      <c r="L4746">
        <v>-59.83005</v>
      </c>
      <c r="M4746">
        <v>0.87524679999999999</v>
      </c>
      <c r="N4746">
        <v>-1.6830379999999999E-2</v>
      </c>
      <c r="O4746">
        <v>-0.48338389999999998</v>
      </c>
      <c r="P4746">
        <v>0.9710259</v>
      </c>
      <c r="Q4746">
        <v>0.1240356</v>
      </c>
      <c r="R4746">
        <v>-0.2042639</v>
      </c>
      <c r="S4746">
        <v>3.0342099999999999</v>
      </c>
      <c r="T4746">
        <v>-0.26748100000000002</v>
      </c>
      <c r="U4746">
        <v>-0.4395752</v>
      </c>
      <c r="V4746">
        <v>-0.29529319999999998</v>
      </c>
      <c r="W4746">
        <v>0.12987950000000001</v>
      </c>
      <c r="X4746">
        <v>0.94653750000000003</v>
      </c>
      <c r="Y4746">
        <v>-0.3503462</v>
      </c>
      <c r="Z4746">
        <v>5.0424049999999998E-2</v>
      </c>
      <c r="AA4746">
        <v>0.93526200000000004</v>
      </c>
      <c r="AB4746">
        <v>31</v>
      </c>
      <c r="AC4746">
        <v>12.603499999999899</v>
      </c>
      <c r="AD4746">
        <v>-1.134938746629</v>
      </c>
      <c r="AE4746">
        <v>-1.72741999999999</v>
      </c>
      <c r="AF4746">
        <v>-4.5448840072399097</v>
      </c>
      <c r="AG4746">
        <v>-1.134938746629</v>
      </c>
      <c r="AH4746">
        <v>11.7741447036081</v>
      </c>
      <c r="AI4746">
        <v>95.138531932875296</v>
      </c>
      <c r="AJ4746">
        <v>111.10685998315699</v>
      </c>
      <c r="AK4746">
        <v>12.671800980893201</v>
      </c>
      <c r="AL4746">
        <v>82.537370849796403</v>
      </c>
      <c r="AM4746">
        <v>107.326459965838</v>
      </c>
      <c r="AN4746">
        <v>0.99999999869637002</v>
      </c>
    </row>
    <row r="4747" spans="1:40" x14ac:dyDescent="0.25">
      <c r="A4747" t="str">
        <f>"20190303162651127"</f>
        <v>20190303162651127</v>
      </c>
      <c r="B4747" t="str">
        <f>"1551601611118391"</f>
        <v>1551601611118391</v>
      </c>
      <c r="C4747" t="s">
        <v>40</v>
      </c>
      <c r="D4747">
        <v>5.6078910000000004</v>
      </c>
      <c r="E4747">
        <v>0.47704249999999998</v>
      </c>
      <c r="F4747" t="s">
        <v>41</v>
      </c>
      <c r="G4747">
        <v>-277.47000000000003</v>
      </c>
      <c r="H4747" s="1">
        <v>-2.6209199999999999E-6</v>
      </c>
      <c r="I4747">
        <v>-61.562139999999999</v>
      </c>
      <c r="J4747">
        <v>-289.93869999999998</v>
      </c>
      <c r="K4747">
        <v>1.134887</v>
      </c>
      <c r="L4747">
        <v>-60.036499999999997</v>
      </c>
      <c r="M4747">
        <v>0.88796450000000005</v>
      </c>
      <c r="N4747">
        <v>-1.6822139999999999E-2</v>
      </c>
      <c r="O4747">
        <v>-0.45960410000000002</v>
      </c>
      <c r="P4747">
        <v>0.9753811</v>
      </c>
      <c r="Q4747">
        <v>0.1230234</v>
      </c>
      <c r="R4747">
        <v>-0.1830215</v>
      </c>
      <c r="S4747">
        <v>3.0378419999999999</v>
      </c>
      <c r="T4747">
        <v>-0.267291099999999</v>
      </c>
      <c r="U4747">
        <v>-0.40792850000000003</v>
      </c>
      <c r="V4747">
        <v>-0.29042010000000001</v>
      </c>
      <c r="W4747">
        <v>0.12909129999999999</v>
      </c>
      <c r="X4747">
        <v>0.94815170000000004</v>
      </c>
      <c r="Y4747">
        <v>-0.33488630000000003</v>
      </c>
      <c r="Z4747">
        <v>4.8188219999999997E-2</v>
      </c>
      <c r="AA4747">
        <v>0.94102560000000002</v>
      </c>
      <c r="AB4747">
        <v>31</v>
      </c>
      <c r="AC4747">
        <v>12.468699999999901</v>
      </c>
      <c r="AD4747">
        <v>-1.1348896209199999</v>
      </c>
      <c r="AE4747">
        <v>-1.5256400000000001</v>
      </c>
      <c r="AF4747">
        <v>-4.3411375204348603</v>
      </c>
      <c r="AG4747">
        <v>-1.1348896209199999</v>
      </c>
      <c r="AH4747">
        <v>11.679290725714599</v>
      </c>
      <c r="AI4747">
        <v>95.204295430334199</v>
      </c>
      <c r="AJ4747">
        <v>110.38986393603</v>
      </c>
      <c r="AK4747">
        <v>12.511565900348501</v>
      </c>
      <c r="AL4747">
        <v>82.582914979535104</v>
      </c>
      <c r="AM4747">
        <v>107.029894629756</v>
      </c>
      <c r="AN4747">
        <v>1.0000000222162899</v>
      </c>
    </row>
    <row r="4748" spans="1:40" x14ac:dyDescent="0.25">
      <c r="A4748" t="str">
        <f>"20190303162651145"</f>
        <v>20190303162651145</v>
      </c>
      <c r="B4748" t="str">
        <f>"1551601611138886"</f>
        <v>1551601611138886</v>
      </c>
      <c r="C4748" t="s">
        <v>40</v>
      </c>
      <c r="D4748">
        <v>5.6179810000000003</v>
      </c>
      <c r="E4748">
        <v>0.477883</v>
      </c>
      <c r="F4748" t="s">
        <v>41</v>
      </c>
      <c r="G4748">
        <v>-276.44040000000001</v>
      </c>
      <c r="H4748" s="1">
        <v>-2.2249289999999998E-6</v>
      </c>
      <c r="I4748">
        <v>-61.767650000000003</v>
      </c>
      <c r="J4748">
        <v>-289.70319999999998</v>
      </c>
      <c r="K4748">
        <v>1.1348579999999999</v>
      </c>
      <c r="L4748">
        <v>-60.143459999999997</v>
      </c>
      <c r="M4748">
        <v>0.89459489999999997</v>
      </c>
      <c r="N4748">
        <v>-1.681705E-2</v>
      </c>
      <c r="O4748">
        <v>-0.44656190000000001</v>
      </c>
      <c r="P4748">
        <v>0.97740470000000002</v>
      </c>
      <c r="Q4748">
        <v>0.121435</v>
      </c>
      <c r="R4748">
        <v>-0.1730139</v>
      </c>
      <c r="S4748">
        <v>3.0348820000000001</v>
      </c>
      <c r="T4748">
        <v>-0.25516179999999999</v>
      </c>
      <c r="U4748">
        <v>-0.38922119999999999</v>
      </c>
      <c r="V4748">
        <v>-0.28627960000000002</v>
      </c>
      <c r="W4748">
        <v>0.12768489999999999</v>
      </c>
      <c r="X4748">
        <v>0.94960020000000001</v>
      </c>
      <c r="Y4748">
        <v>-0.32695689999999999</v>
      </c>
      <c r="Z4748">
        <v>4.4727370000000002E-2</v>
      </c>
      <c r="AA4748">
        <v>0.94398020000000005</v>
      </c>
      <c r="AB4748">
        <v>31</v>
      </c>
      <c r="AC4748">
        <v>13.262799999999899</v>
      </c>
      <c r="AD4748">
        <v>-1.1348602249290001</v>
      </c>
      <c r="AE4748">
        <v>-1.62419</v>
      </c>
      <c r="AF4748">
        <v>-4.4382845783720102</v>
      </c>
      <c r="AG4748">
        <v>-1.1348602249290001</v>
      </c>
      <c r="AH4748">
        <v>12.501730962557099</v>
      </c>
      <c r="AI4748">
        <v>94.889482929587501</v>
      </c>
      <c r="AJ4748">
        <v>109.545554592389</v>
      </c>
      <c r="AK4748">
        <v>13.314636862824999</v>
      </c>
      <c r="AL4748">
        <v>82.664167993868801</v>
      </c>
      <c r="AM4748">
        <v>106.776684040148</v>
      </c>
      <c r="AN4748">
        <v>0.99999999145210505</v>
      </c>
    </row>
    <row r="4749" spans="1:40" x14ac:dyDescent="0.25">
      <c r="A4749" t="str">
        <f>"20190303162651170"</f>
        <v>20190303162651170</v>
      </c>
      <c r="B4749" t="str">
        <f>"1551601611158406"</f>
        <v>1551601611158406</v>
      </c>
      <c r="C4749" t="s">
        <v>40</v>
      </c>
      <c r="D4749">
        <v>5.5572210000000002</v>
      </c>
      <c r="E4749">
        <v>0.47870279999999998</v>
      </c>
      <c r="F4749" t="s">
        <v>41</v>
      </c>
      <c r="G4749">
        <v>-276.39010000000002</v>
      </c>
      <c r="H4749" s="1">
        <v>-2.1966459999999999E-6</v>
      </c>
      <c r="I4749">
        <v>-61.737369999999999</v>
      </c>
      <c r="J4749">
        <v>-289.4169</v>
      </c>
      <c r="K4749">
        <v>1.1348199999999999</v>
      </c>
      <c r="L4749">
        <v>-60.268009999999997</v>
      </c>
      <c r="M4749">
        <v>0.9023523</v>
      </c>
      <c r="N4749">
        <v>-1.6810539999999999E-2</v>
      </c>
      <c r="O4749">
        <v>-0.43067119999999998</v>
      </c>
      <c r="P4749">
        <v>0.97960749999999996</v>
      </c>
      <c r="Q4749">
        <v>0.1210329</v>
      </c>
      <c r="R4749">
        <v>-0.16037499999999999</v>
      </c>
      <c r="S4749">
        <v>3.0371090000000001</v>
      </c>
      <c r="T4749">
        <v>-0.25889479999999998</v>
      </c>
      <c r="U4749">
        <v>-0.36361690000000002</v>
      </c>
      <c r="V4749">
        <v>-0.28173670000000001</v>
      </c>
      <c r="W4749">
        <v>0.12748110000000001</v>
      </c>
      <c r="X4749">
        <v>0.95098530000000003</v>
      </c>
      <c r="Y4749">
        <v>-0.31815870000000002</v>
      </c>
      <c r="Z4749">
        <v>4.408981E-2</v>
      </c>
      <c r="AA4749">
        <v>0.94701170000000001</v>
      </c>
      <c r="AB4749">
        <v>31</v>
      </c>
      <c r="AC4749">
        <v>13.0267999999999</v>
      </c>
      <c r="AD4749">
        <v>-1.1348221966459999</v>
      </c>
      <c r="AE4749">
        <v>-1.46936</v>
      </c>
      <c r="AF4749">
        <v>-4.25312169434351</v>
      </c>
      <c r="AG4749">
        <v>-1.1348221966459999</v>
      </c>
      <c r="AH4749">
        <v>12.2971750691858</v>
      </c>
      <c r="AI4749">
        <v>94.984392125520202</v>
      </c>
      <c r="AJ4749">
        <v>109.078542226435</v>
      </c>
      <c r="AK4749">
        <v>13.0612932073015</v>
      </c>
      <c r="AL4749">
        <v>82.675941294259999</v>
      </c>
      <c r="AM4749">
        <v>106.50232744852499</v>
      </c>
      <c r="AN4749">
        <v>1.00000001990009</v>
      </c>
    </row>
    <row r="4750" spans="1:40" x14ac:dyDescent="0.25">
      <c r="A4750" t="str">
        <f>"20190303162651192"</f>
        <v>20190303162651192</v>
      </c>
      <c r="B4750" t="str">
        <f>"1551601611178903"</f>
        <v>1551601611178903</v>
      </c>
      <c r="C4750" t="s">
        <v>40</v>
      </c>
      <c r="D4750">
        <v>5.677962</v>
      </c>
      <c r="E4750">
        <v>0.47916059999999999</v>
      </c>
      <c r="F4750" t="s">
        <v>41</v>
      </c>
      <c r="G4750">
        <v>-276.19150000000002</v>
      </c>
      <c r="H4750" s="1">
        <v>-2.1029619999999998E-6</v>
      </c>
      <c r="I4750">
        <v>-61.69923</v>
      </c>
      <c r="J4750">
        <v>-289.14080000000001</v>
      </c>
      <c r="K4750">
        <v>1.134779</v>
      </c>
      <c r="L4750">
        <v>-60.382420000000003</v>
      </c>
      <c r="M4750">
        <v>0.90951599999999999</v>
      </c>
      <c r="N4750">
        <v>-1.6804050000000001E-2</v>
      </c>
      <c r="O4750">
        <v>-0.415329</v>
      </c>
      <c r="P4750">
        <v>0.98180060000000002</v>
      </c>
      <c r="Q4750">
        <v>0.11987730000000001</v>
      </c>
      <c r="R4750">
        <v>-0.1473006</v>
      </c>
      <c r="S4750">
        <v>3.0408019999999998</v>
      </c>
      <c r="T4750">
        <v>-0.26092110000000002</v>
      </c>
      <c r="U4750">
        <v>-0.329071</v>
      </c>
      <c r="V4750">
        <v>-0.2783118</v>
      </c>
      <c r="W4750">
        <v>0.1264798</v>
      </c>
      <c r="X4750">
        <v>0.95212680000000005</v>
      </c>
      <c r="Y4750">
        <v>-0.31287900000000002</v>
      </c>
      <c r="Z4750">
        <v>4.3282809999999998E-2</v>
      </c>
      <c r="AA4750">
        <v>0.94880629999999999</v>
      </c>
      <c r="AB4750">
        <v>30</v>
      </c>
      <c r="AC4750">
        <v>12.9492999999999</v>
      </c>
      <c r="AD4750">
        <v>-1.1347811029620001</v>
      </c>
      <c r="AE4750">
        <v>-1.31681000000001</v>
      </c>
      <c r="AF4750">
        <v>-4.1496099412233303</v>
      </c>
      <c r="AG4750">
        <v>-1.1347811029620001</v>
      </c>
      <c r="AH4750">
        <v>12.233262398305399</v>
      </c>
      <c r="AI4750">
        <v>95.020299380697395</v>
      </c>
      <c r="AJ4750">
        <v>108.737303077581</v>
      </c>
      <c r="AK4750">
        <v>12.967640483979</v>
      </c>
      <c r="AL4750">
        <v>82.733779754022805</v>
      </c>
      <c r="AM4750">
        <v>106.29392617162</v>
      </c>
      <c r="AN4750">
        <v>1.0000000205527599</v>
      </c>
    </row>
    <row r="4751" spans="1:40" x14ac:dyDescent="0.25">
      <c r="A4751" t="str">
        <f>"20190303162651215"</f>
        <v>20190303162651215</v>
      </c>
      <c r="B4751" t="str">
        <f>"1551601611209159"</f>
        <v>1551601611209159</v>
      </c>
      <c r="C4751" t="s">
        <v>40</v>
      </c>
      <c r="D4751">
        <v>5.673883</v>
      </c>
      <c r="E4751">
        <v>0.48445630000000001</v>
      </c>
      <c r="F4751" t="s">
        <v>41</v>
      </c>
      <c r="G4751">
        <v>-276.05869999999999</v>
      </c>
      <c r="H4751" s="1">
        <v>-2.0326400000000001E-6</v>
      </c>
      <c r="I4751">
        <v>-61.639159999999997</v>
      </c>
      <c r="J4751">
        <v>-288.85809999999998</v>
      </c>
      <c r="K4751">
        <v>1.1347339999999999</v>
      </c>
      <c r="L4751">
        <v>-60.4940199999999</v>
      </c>
      <c r="M4751">
        <v>0.91654239999999998</v>
      </c>
      <c r="N4751">
        <v>-1.679721E-2</v>
      </c>
      <c r="O4751">
        <v>-0.39958490000000002</v>
      </c>
      <c r="P4751">
        <v>0.98427200000000004</v>
      </c>
      <c r="Q4751">
        <v>0.1181488</v>
      </c>
      <c r="R4751">
        <v>-0.13133729999999999</v>
      </c>
      <c r="S4751">
        <v>3.0439449999999999</v>
      </c>
      <c r="T4751">
        <v>-0.26404119999999998</v>
      </c>
      <c r="U4751">
        <v>-0.2924194</v>
      </c>
      <c r="V4751">
        <v>-0.27736699999999997</v>
      </c>
      <c r="W4751">
        <v>0.1248094</v>
      </c>
      <c r="X4751">
        <v>0.95262279999999999</v>
      </c>
      <c r="Y4751">
        <v>-0.3079131</v>
      </c>
      <c r="Z4751">
        <v>4.2634970000000001E-2</v>
      </c>
      <c r="AA4751">
        <v>0.95045869999999999</v>
      </c>
      <c r="AB4751">
        <v>30</v>
      </c>
      <c r="AC4751">
        <v>12.799399999999901</v>
      </c>
      <c r="AD4751">
        <v>-1.13473603264</v>
      </c>
      <c r="AE4751">
        <v>-1.14514</v>
      </c>
      <c r="AF4751">
        <v>-4.0339961971520504</v>
      </c>
      <c r="AG4751">
        <v>-1.13473603264</v>
      </c>
      <c r="AH4751">
        <v>12.0961737374201</v>
      </c>
      <c r="AI4751">
        <v>95.085425480442893</v>
      </c>
      <c r="AJ4751">
        <v>108.443211367372</v>
      </c>
      <c r="AK4751">
        <v>12.801490939271901</v>
      </c>
      <c r="AL4751">
        <v>82.830251128281901</v>
      </c>
      <c r="AM4751">
        <v>106.233521749715</v>
      </c>
      <c r="AN4751">
        <v>1.00000001904859</v>
      </c>
    </row>
    <row r="4752" spans="1:40" x14ac:dyDescent="0.25">
      <c r="A4752" t="str">
        <f>"20190303162651236"</f>
        <v>20190303162651236</v>
      </c>
      <c r="B4752" t="str">
        <f>"1551601611228679"</f>
        <v>1551601611228679</v>
      </c>
      <c r="C4752" t="s">
        <v>40</v>
      </c>
      <c r="D4752">
        <v>5.6215199999999896</v>
      </c>
      <c r="E4752">
        <v>0.48528090000000002</v>
      </c>
      <c r="F4752" t="s">
        <v>41</v>
      </c>
      <c r="G4752">
        <v>-275.1397</v>
      </c>
      <c r="H4752" s="1">
        <v>-1.6693930000000001E-6</v>
      </c>
      <c r="I4752">
        <v>-61.778559999999999</v>
      </c>
      <c r="J4752">
        <v>-288.59120000000001</v>
      </c>
      <c r="K4752">
        <v>1.1346989999999999</v>
      </c>
      <c r="L4752">
        <v>-60.594119999999997</v>
      </c>
      <c r="M4752">
        <v>0.92288870000000001</v>
      </c>
      <c r="N4752">
        <v>-1.679081E-2</v>
      </c>
      <c r="O4752">
        <v>-0.38470070000000001</v>
      </c>
      <c r="P4752">
        <v>0.98607809999999996</v>
      </c>
      <c r="Q4752">
        <v>0.11724229999999999</v>
      </c>
      <c r="R4752">
        <v>-0.1179171</v>
      </c>
      <c r="S4752">
        <v>3.0401310000000001</v>
      </c>
      <c r="T4752">
        <v>-0.25146960000000002</v>
      </c>
      <c r="U4752">
        <v>-0.28466799999999998</v>
      </c>
      <c r="V4752">
        <v>-0.27492290000000003</v>
      </c>
      <c r="W4752">
        <v>0.1240169</v>
      </c>
      <c r="X4752">
        <v>0.95343440000000002</v>
      </c>
      <c r="Y4752">
        <v>-0.29507499999999998</v>
      </c>
      <c r="Z4752">
        <v>3.8971060000000002E-2</v>
      </c>
      <c r="AA4752">
        <v>0.95467900000000006</v>
      </c>
      <c r="AB4752">
        <v>30</v>
      </c>
      <c r="AC4752">
        <v>13.451499999999999</v>
      </c>
      <c r="AD4752">
        <v>-1.134700669393</v>
      </c>
      <c r="AE4752">
        <v>-1.1844399999999999</v>
      </c>
      <c r="AF4752">
        <v>-4.0536475891026704</v>
      </c>
      <c r="AG4752">
        <v>-1.134700669393</v>
      </c>
      <c r="AH4752">
        <v>12.7814560972304</v>
      </c>
      <c r="AI4752">
        <v>94.837026130702</v>
      </c>
      <c r="AJ4752">
        <v>107.596460131817</v>
      </c>
      <c r="AK4752">
        <v>13.4567910123918</v>
      </c>
      <c r="AL4752">
        <v>82.876013261011806</v>
      </c>
      <c r="AM4752">
        <v>106.084921445655</v>
      </c>
      <c r="AN4752">
        <v>0.99999997376668903</v>
      </c>
    </row>
    <row r="4753" spans="1:40" x14ac:dyDescent="0.25">
      <c r="A4753" t="str">
        <f>"20190303162651258"</f>
        <v>20190303162651258</v>
      </c>
      <c r="B4753" t="str">
        <f>"1551601611248199"</f>
        <v>1551601611248199</v>
      </c>
      <c r="C4753" t="s">
        <v>40</v>
      </c>
      <c r="D4753">
        <v>5.3126040000000003</v>
      </c>
      <c r="E4753">
        <v>0.48616480000000001</v>
      </c>
      <c r="F4753" t="s">
        <v>41</v>
      </c>
      <c r="G4753">
        <v>-275.02359999999999</v>
      </c>
      <c r="H4753" s="1">
        <v>-1.6028200000000001E-6</v>
      </c>
      <c r="I4753">
        <v>-61.703240000000001</v>
      </c>
      <c r="J4753">
        <v>-288.3184</v>
      </c>
      <c r="K4753">
        <v>1.134671</v>
      </c>
      <c r="L4753">
        <v>-60.69135</v>
      </c>
      <c r="M4753">
        <v>0.92909540000000002</v>
      </c>
      <c r="N4753">
        <v>-1.678377E-2</v>
      </c>
      <c r="O4753">
        <v>-0.36945919999999999</v>
      </c>
      <c r="P4753">
        <v>0.98730649999999998</v>
      </c>
      <c r="Q4753">
        <v>0.1173177</v>
      </c>
      <c r="R4753">
        <v>-0.1070629</v>
      </c>
      <c r="S4753">
        <v>3.0428769999999998</v>
      </c>
      <c r="T4753">
        <v>-0.2544845</v>
      </c>
      <c r="U4753">
        <v>-0.24874879999999999</v>
      </c>
      <c r="V4753">
        <v>-0.26969460000000001</v>
      </c>
      <c r="W4753">
        <v>0.12431209999999999</v>
      </c>
      <c r="X4753">
        <v>0.95488810000000002</v>
      </c>
      <c r="Y4753">
        <v>-0.29061279999999901</v>
      </c>
      <c r="Z4753">
        <v>3.835322E-2</v>
      </c>
      <c r="AA4753">
        <v>0.95607180000000003</v>
      </c>
      <c r="AB4753">
        <v>30</v>
      </c>
      <c r="AC4753">
        <v>13.2948</v>
      </c>
      <c r="AD4753">
        <v>-1.13467260282</v>
      </c>
      <c r="AE4753">
        <v>-1.01189</v>
      </c>
      <c r="AF4753">
        <v>-3.9437419784994701</v>
      </c>
      <c r="AG4753">
        <v>-1.13467260282</v>
      </c>
      <c r="AH4753">
        <v>12.6362679856332</v>
      </c>
      <c r="AI4753">
        <v>94.899262509714006</v>
      </c>
      <c r="AJ4753">
        <v>107.332988993922</v>
      </c>
      <c r="AK4753">
        <v>13.285926814238801</v>
      </c>
      <c r="AL4753">
        <v>82.858967682513807</v>
      </c>
      <c r="AM4753">
        <v>105.771580236294</v>
      </c>
      <c r="AN4753">
        <v>0.99999997949858899</v>
      </c>
    </row>
    <row r="4754" spans="1:40" x14ac:dyDescent="0.25">
      <c r="A4754" t="str">
        <f>"20190303162651282"</f>
        <v>20190303162651282</v>
      </c>
      <c r="B4754" t="str">
        <f>"1551601611268695"</f>
        <v>1551601611268695</v>
      </c>
      <c r="C4754" t="s">
        <v>40</v>
      </c>
      <c r="D4754">
        <v>5.5499109999999998</v>
      </c>
      <c r="E4754">
        <v>0.48650719999999997</v>
      </c>
      <c r="F4754" t="s">
        <v>41</v>
      </c>
      <c r="G4754">
        <v>-274.67739999999998</v>
      </c>
      <c r="H4754" s="1">
        <v>-1.448839E-6</v>
      </c>
      <c r="I4754">
        <v>-61.678750000000001</v>
      </c>
      <c r="J4754">
        <v>-288.02760000000001</v>
      </c>
      <c r="K4754">
        <v>1.1346320000000001</v>
      </c>
      <c r="L4754">
        <v>-60.789000000000001</v>
      </c>
      <c r="M4754">
        <v>0.93539899999999998</v>
      </c>
      <c r="N4754">
        <v>-1.677613E-2</v>
      </c>
      <c r="O4754">
        <v>-0.3531958</v>
      </c>
      <c r="P4754">
        <v>0.98833320000000002</v>
      </c>
      <c r="Q4754">
        <v>0.1173994</v>
      </c>
      <c r="R4754">
        <v>-9.7031300000000001E-2</v>
      </c>
      <c r="S4754">
        <v>3.0448</v>
      </c>
      <c r="T4754">
        <v>-0.25326920000000003</v>
      </c>
      <c r="U4754">
        <v>-0.22039790000000001</v>
      </c>
      <c r="V4754">
        <v>-0.26270329999999997</v>
      </c>
      <c r="W4754">
        <v>0.12467979999999999</v>
      </c>
      <c r="X4754">
        <v>0.95678730000000001</v>
      </c>
      <c r="Y4754">
        <v>-0.28289910000000001</v>
      </c>
      <c r="Z4754">
        <v>3.6793369999999999E-2</v>
      </c>
      <c r="AA4754">
        <v>0.95844370000000001</v>
      </c>
      <c r="AB4754">
        <v>30</v>
      </c>
      <c r="AC4754">
        <v>13.350199999999999</v>
      </c>
      <c r="AD4754">
        <v>-1.134633448839</v>
      </c>
      <c r="AE4754">
        <v>-0.88975000000000604</v>
      </c>
      <c r="AF4754">
        <v>-3.85578152961022</v>
      </c>
      <c r="AG4754">
        <v>-1.134633448839</v>
      </c>
      <c r="AH4754">
        <v>12.7124021388844</v>
      </c>
      <c r="AI4754">
        <v>94.881882047875095</v>
      </c>
      <c r="AJ4754">
        <v>106.873004435768</v>
      </c>
      <c r="AK4754">
        <v>13.332652114565199</v>
      </c>
      <c r="AL4754">
        <v>82.8377350320131</v>
      </c>
      <c r="AM4754">
        <v>105.353244117583</v>
      </c>
      <c r="AN4754">
        <v>1.00000000690011</v>
      </c>
    </row>
    <row r="4755" spans="1:40" x14ac:dyDescent="0.25">
      <c r="A4755" t="str">
        <f>"20190303162651304"</f>
        <v>20190303162651304</v>
      </c>
      <c r="B4755" t="str">
        <f>"1551601611288216"</f>
        <v>1551601611288216</v>
      </c>
      <c r="C4755" t="s">
        <v>40</v>
      </c>
      <c r="D4755">
        <v>5.4311259999999999</v>
      </c>
      <c r="E4755">
        <v>0.49098849999999999</v>
      </c>
      <c r="F4755" t="s">
        <v>41</v>
      </c>
      <c r="G4755">
        <v>-274.26760000000002</v>
      </c>
      <c r="H4755" s="1">
        <v>-1.266269E-6</v>
      </c>
      <c r="I4755">
        <v>-61.648260000000001</v>
      </c>
      <c r="J4755">
        <v>-287.74799999999999</v>
      </c>
      <c r="K4755">
        <v>1.1345989999999999</v>
      </c>
      <c r="L4755">
        <v>-60.877719999999997</v>
      </c>
      <c r="M4755">
        <v>0.94116540000000004</v>
      </c>
      <c r="N4755">
        <v>-1.6768439999999999E-2</v>
      </c>
      <c r="O4755">
        <v>-0.33752989999999999</v>
      </c>
      <c r="P4755">
        <v>0.98931440000000004</v>
      </c>
      <c r="Q4755">
        <v>0.1166283</v>
      </c>
      <c r="R4755">
        <v>-8.7491410000000006E-2</v>
      </c>
      <c r="S4755">
        <v>3.04657</v>
      </c>
      <c r="T4755">
        <v>-0.25121670000000001</v>
      </c>
      <c r="U4755">
        <v>-0.19024659999999999</v>
      </c>
      <c r="V4755">
        <v>-0.25593640000000001</v>
      </c>
      <c r="W4755">
        <v>0.1241844</v>
      </c>
      <c r="X4755">
        <v>0.95868390000000003</v>
      </c>
      <c r="Y4755">
        <v>-0.27645520000000001</v>
      </c>
      <c r="Z4755">
        <v>3.5210690000000003E-2</v>
      </c>
      <c r="AA4755">
        <v>0.96038159999999895</v>
      </c>
      <c r="AB4755">
        <v>30</v>
      </c>
      <c r="AC4755">
        <v>13.4803999999999</v>
      </c>
      <c r="AD4755">
        <v>-1.134600266269</v>
      </c>
      <c r="AE4755">
        <v>-0.770540000000004</v>
      </c>
      <c r="AF4755">
        <v>-3.7985490782134002</v>
      </c>
      <c r="AG4755">
        <v>-1.134600266269</v>
      </c>
      <c r="AH4755">
        <v>12.8583949242669</v>
      </c>
      <c r="AI4755">
        <v>94.837006936472704</v>
      </c>
      <c r="AJ4755">
        <v>106.45787493554</v>
      </c>
      <c r="AK4755">
        <v>13.4556535661493</v>
      </c>
      <c r="AL4755">
        <v>82.866341732988104</v>
      </c>
      <c r="AM4755">
        <v>104.947449874569</v>
      </c>
      <c r="AN4755">
        <v>1.0000000130837601</v>
      </c>
    </row>
    <row r="4756" spans="1:40" x14ac:dyDescent="0.25">
      <c r="A4756" t="str">
        <f>"20190303162651327"</f>
        <v>20190303162651327</v>
      </c>
      <c r="B4756" t="str">
        <f>"1551601611318471"</f>
        <v>1551601611318471</v>
      </c>
      <c r="C4756" t="s">
        <v>40</v>
      </c>
      <c r="D4756">
        <v>5.497109</v>
      </c>
      <c r="E4756">
        <v>0.49167169999999999</v>
      </c>
      <c r="F4756" t="s">
        <v>41</v>
      </c>
      <c r="G4756">
        <v>-273.40550000000002</v>
      </c>
      <c r="H4756" s="1">
        <v>-9.2877380000000004E-7</v>
      </c>
      <c r="I4756">
        <v>-61.79363</v>
      </c>
      <c r="J4756">
        <v>-287.46210000000002</v>
      </c>
      <c r="K4756">
        <v>1.1345780000000001</v>
      </c>
      <c r="L4756">
        <v>-60.96313</v>
      </c>
      <c r="M4756">
        <v>0.94676510000000003</v>
      </c>
      <c r="N4756">
        <v>-1.6760489999999999E-2</v>
      </c>
      <c r="O4756">
        <v>-0.32148850000000001</v>
      </c>
      <c r="P4756">
        <v>0.98995359999999999</v>
      </c>
      <c r="Q4756">
        <v>0.11741649999999999</v>
      </c>
      <c r="R4756">
        <v>-7.8773629999999997E-2</v>
      </c>
      <c r="S4756">
        <v>3.0436100000000001</v>
      </c>
      <c r="T4756">
        <v>-0.24077380000000001</v>
      </c>
      <c r="U4756">
        <v>-0.1943665</v>
      </c>
      <c r="V4756">
        <v>-0.24805430000000001</v>
      </c>
      <c r="W4756">
        <v>0.12528629999999999</v>
      </c>
      <c r="X4756">
        <v>0.96061039999999998</v>
      </c>
      <c r="Y4756">
        <v>-0.25897510000000001</v>
      </c>
      <c r="Z4756">
        <v>3.1885999999999998E-2</v>
      </c>
      <c r="AA4756">
        <v>0.96535749999999998</v>
      </c>
      <c r="AB4756">
        <v>30</v>
      </c>
      <c r="AC4756">
        <v>14.0566</v>
      </c>
      <c r="AD4756">
        <v>-1.1345789287738</v>
      </c>
      <c r="AE4756">
        <v>-0.83050000000000002</v>
      </c>
      <c r="AF4756">
        <v>-3.7091903711585399</v>
      </c>
      <c r="AG4756">
        <v>-1.1345789287738</v>
      </c>
      <c r="AH4756">
        <v>13.489624103881701</v>
      </c>
      <c r="AI4756">
        <v>94.636405570947403</v>
      </c>
      <c r="AJ4756">
        <v>105.37444957743701</v>
      </c>
      <c r="AK4756">
        <v>14.0362146257151</v>
      </c>
      <c r="AL4756">
        <v>82.802710218619296</v>
      </c>
      <c r="AM4756">
        <v>104.478952677019</v>
      </c>
      <c r="AN4756">
        <v>0.99999996665216895</v>
      </c>
    </row>
    <row r="4757" spans="1:40" x14ac:dyDescent="0.25">
      <c r="A4757" t="str">
        <f>"20190303162651348"</f>
        <v>20190303162651348</v>
      </c>
      <c r="B4757" t="str">
        <f>"1551601611338967"</f>
        <v>1551601611338967</v>
      </c>
      <c r="C4757" t="s">
        <v>40</v>
      </c>
      <c r="D4757">
        <v>5.4263379999999897</v>
      </c>
      <c r="E4757">
        <v>0.49204629999999999</v>
      </c>
      <c r="F4757" t="s">
        <v>41</v>
      </c>
      <c r="G4757">
        <v>-272.42450000000002</v>
      </c>
      <c r="H4757" s="1">
        <v>-5.1132629999999999E-7</v>
      </c>
      <c r="I4757">
        <v>-61.809019999999997</v>
      </c>
      <c r="J4757">
        <v>-287.18950000000001</v>
      </c>
      <c r="K4757">
        <v>1.134565</v>
      </c>
      <c r="L4757">
        <v>-61.039700000000003</v>
      </c>
      <c r="M4757">
        <v>0.95182909999999998</v>
      </c>
      <c r="N4757">
        <v>-1.6752699999999999E-2</v>
      </c>
      <c r="O4757">
        <v>-0.30617129999999998</v>
      </c>
      <c r="P4757">
        <v>0.9901124</v>
      </c>
      <c r="Q4757">
        <v>0.11942369999999999</v>
      </c>
      <c r="R4757">
        <v>-7.3592539999999998E-2</v>
      </c>
      <c r="S4757">
        <v>3.044098</v>
      </c>
      <c r="T4757">
        <v>-0.2296752</v>
      </c>
      <c r="U4757">
        <v>-0.1712341</v>
      </c>
      <c r="V4757">
        <v>-0.23753350000000001</v>
      </c>
      <c r="W4757">
        <v>0.12770139999999999</v>
      </c>
      <c r="X4757">
        <v>0.96294869999999999</v>
      </c>
      <c r="Y4757">
        <v>-0.2509033</v>
      </c>
      <c r="Z4757">
        <v>2.9073760000000001E-2</v>
      </c>
      <c r="AA4757">
        <v>0.96757539999999997</v>
      </c>
      <c r="AB4757">
        <v>30</v>
      </c>
      <c r="AC4757">
        <v>14.764999999999899</v>
      </c>
      <c r="AD4757">
        <v>-1.1345655113263</v>
      </c>
      <c r="AE4757">
        <v>-0.76931999999999301</v>
      </c>
      <c r="AF4757">
        <v>-3.7667087279134299</v>
      </c>
      <c r="AG4757">
        <v>-1.1345655113263</v>
      </c>
      <c r="AH4757">
        <v>14.2076412127729</v>
      </c>
      <c r="AI4757">
        <v>94.413870813294693</v>
      </c>
      <c r="AJ4757">
        <v>104.848571668947</v>
      </c>
      <c r="AK4757">
        <v>14.7421980169619</v>
      </c>
      <c r="AL4757">
        <v>82.663214910478004</v>
      </c>
      <c r="AM4757">
        <v>103.856696665005</v>
      </c>
      <c r="AN4757">
        <v>1.0000000050079401</v>
      </c>
    </row>
    <row r="4758" spans="1:40" x14ac:dyDescent="0.25">
      <c r="A4758" t="str">
        <f>"20190303162651371"</f>
        <v>20190303162651371</v>
      </c>
      <c r="B4758" t="str">
        <f>"1551601611358487"</f>
        <v>1551601611358487</v>
      </c>
      <c r="C4758" t="s">
        <v>40</v>
      </c>
      <c r="D4758">
        <v>5.3294920000000001</v>
      </c>
      <c r="E4758">
        <v>0.49236049999999998</v>
      </c>
      <c r="F4758" t="s">
        <v>41</v>
      </c>
      <c r="G4758">
        <v>-271.60919999999999</v>
      </c>
      <c r="H4758" s="1">
        <v>-1.6737989999999999E-7</v>
      </c>
      <c r="I4758">
        <v>-61.835079999999998</v>
      </c>
      <c r="J4758">
        <v>-286.9008</v>
      </c>
      <c r="K4758">
        <v>1.1345419999999999</v>
      </c>
      <c r="L4758">
        <v>-61.115659999999998</v>
      </c>
      <c r="M4758">
        <v>0.9569029</v>
      </c>
      <c r="N4758">
        <v>-1.6744080000000001E-2</v>
      </c>
      <c r="O4758">
        <v>-0.28992489999999999</v>
      </c>
      <c r="P4758">
        <v>0.98989519999999998</v>
      </c>
      <c r="Q4758">
        <v>0.1232834</v>
      </c>
      <c r="R4758">
        <v>-7.0061659999999998E-2</v>
      </c>
      <c r="S4758">
        <v>3.045166</v>
      </c>
      <c r="T4758">
        <v>-0.22175049999999999</v>
      </c>
      <c r="U4758">
        <v>-0.1554565</v>
      </c>
      <c r="V4758">
        <v>-0.22451160000000001</v>
      </c>
      <c r="W4758">
        <v>0.13205639999999999</v>
      </c>
      <c r="X4758">
        <v>0.96548210000000001</v>
      </c>
      <c r="Y4758">
        <v>-0.23958670000000001</v>
      </c>
      <c r="Z4758">
        <v>2.6608349999999999E-2</v>
      </c>
      <c r="AA4758">
        <v>0.97051030000000005</v>
      </c>
      <c r="AB4758">
        <v>30</v>
      </c>
      <c r="AC4758">
        <v>15.291600000000001</v>
      </c>
      <c r="AD4758">
        <v>-1.1345421673799001</v>
      </c>
      <c r="AE4758">
        <v>-0.71942000000000605</v>
      </c>
      <c r="AF4758">
        <v>-3.7250654965106702</v>
      </c>
      <c r="AG4758">
        <v>-1.1345421673799001</v>
      </c>
      <c r="AH4758">
        <v>14.762153178744301</v>
      </c>
      <c r="AI4758">
        <v>94.261741916820597</v>
      </c>
      <c r="AJ4758">
        <v>104.162300108697</v>
      </c>
      <c r="AK4758">
        <v>15.267104026486701</v>
      </c>
      <c r="AL4758">
        <v>82.411560132008503</v>
      </c>
      <c r="AM4758">
        <v>103.09081656345801</v>
      </c>
      <c r="AN4758">
        <v>1.00000001836796</v>
      </c>
    </row>
    <row r="4759" spans="1:40" x14ac:dyDescent="0.25">
      <c r="A4759" t="str">
        <f>"20190303162651394"</f>
        <v>20190303162651394</v>
      </c>
      <c r="B4759" t="str">
        <f>"1551601611378983"</f>
        <v>1551601611378983</v>
      </c>
      <c r="C4759" t="s">
        <v>40</v>
      </c>
      <c r="D4759">
        <v>5.3517609999999998</v>
      </c>
      <c r="E4759">
        <v>0.48978959999999999</v>
      </c>
      <c r="F4759" t="s">
        <v>41</v>
      </c>
      <c r="G4759">
        <v>-270.03399999999999</v>
      </c>
      <c r="H4759" s="1">
        <v>4.892617E-7</v>
      </c>
      <c r="I4759">
        <v>-61.92109</v>
      </c>
      <c r="J4759">
        <v>-286.60629999999998</v>
      </c>
      <c r="K4759">
        <v>1.1345019999999999</v>
      </c>
      <c r="L4759">
        <v>-61.187840000000001</v>
      </c>
      <c r="M4759">
        <v>0.96176830000000002</v>
      </c>
      <c r="N4759">
        <v>-1.6734189999999999E-2</v>
      </c>
      <c r="O4759">
        <v>-0.27335310000000002</v>
      </c>
      <c r="P4759">
        <v>0.99001099999999997</v>
      </c>
      <c r="Q4759">
        <v>0.1256167</v>
      </c>
      <c r="R4759">
        <v>-6.4025189999999996E-2</v>
      </c>
      <c r="S4759">
        <v>3.045868</v>
      </c>
      <c r="T4759">
        <v>-0.2048798</v>
      </c>
      <c r="U4759">
        <v>-0.14544679999999999</v>
      </c>
      <c r="V4759">
        <v>-0.21367059999999999</v>
      </c>
      <c r="W4759">
        <v>0.13480439999999999</v>
      </c>
      <c r="X4759">
        <v>0.96756019999999998</v>
      </c>
      <c r="Y4759">
        <v>-0.22623199999999999</v>
      </c>
      <c r="Z4759">
        <v>2.3020249999999999E-2</v>
      </c>
      <c r="AA4759">
        <v>0.97380140000000004</v>
      </c>
      <c r="AB4759">
        <v>30</v>
      </c>
      <c r="AC4759">
        <v>16.572299999999899</v>
      </c>
      <c r="AD4759">
        <v>-1.1345015107383001</v>
      </c>
      <c r="AE4759">
        <v>-0.73324999999999796</v>
      </c>
      <c r="AF4759">
        <v>-3.8075989412204101</v>
      </c>
      <c r="AG4759">
        <v>-1.1345015107383001</v>
      </c>
      <c r="AH4759">
        <v>16.066260740816698</v>
      </c>
      <c r="AI4759">
        <v>93.930653534021303</v>
      </c>
      <c r="AJ4759">
        <v>103.332743099705</v>
      </c>
      <c r="AK4759">
        <v>16.550215635059299</v>
      </c>
      <c r="AL4759">
        <v>82.252690914892696</v>
      </c>
      <c r="AM4759">
        <v>102.453012409545</v>
      </c>
      <c r="AN4759">
        <v>1.0000000460938701</v>
      </c>
    </row>
    <row r="4760" spans="1:40" x14ac:dyDescent="0.25">
      <c r="A4760" t="str">
        <f>"20190303162651416"</f>
        <v>20190303162651416</v>
      </c>
      <c r="B4760" t="str">
        <f>"1551601611408262"</f>
        <v>1551601611408262</v>
      </c>
      <c r="C4760" t="s">
        <v>40</v>
      </c>
      <c r="D4760">
        <v>5.280138</v>
      </c>
      <c r="E4760">
        <v>0.46188620000000002</v>
      </c>
      <c r="F4760" t="s">
        <v>41</v>
      </c>
      <c r="G4760">
        <v>-268.38900000000001</v>
      </c>
      <c r="H4760" s="1">
        <v>-2.9879249999999999E-6</v>
      </c>
      <c r="I4760">
        <v>-61.826099999999997</v>
      </c>
      <c r="J4760">
        <v>-286.32940000000002</v>
      </c>
      <c r="K4760">
        <v>1.1344479999999999</v>
      </c>
      <c r="L4760">
        <v>-61.250729999999997</v>
      </c>
      <c r="M4760">
        <v>0.96605430000000003</v>
      </c>
      <c r="N4760">
        <v>-1.6722049999999999E-2</v>
      </c>
      <c r="O4760">
        <v>-0.25779760000000002</v>
      </c>
      <c r="P4760">
        <v>0.99042859999999999</v>
      </c>
      <c r="Q4760">
        <v>0.1262153</v>
      </c>
      <c r="R4760">
        <v>-5.5865999999999999E-2</v>
      </c>
      <c r="S4760">
        <v>3.0474239999999999</v>
      </c>
      <c r="T4760">
        <v>-0.1897826</v>
      </c>
      <c r="U4760">
        <v>-0.106781</v>
      </c>
      <c r="V4760">
        <v>-0.20598849999999999</v>
      </c>
      <c r="W4760">
        <v>0.13570399999999999</v>
      </c>
      <c r="X4760">
        <v>0.96909920000000005</v>
      </c>
      <c r="Y4760">
        <v>-0.22303899999999999</v>
      </c>
      <c r="Z4760">
        <v>2.0333509999999999E-2</v>
      </c>
      <c r="AA4760">
        <v>0.97459750000000001</v>
      </c>
      <c r="AB4760">
        <v>30</v>
      </c>
      <c r="AC4760">
        <v>17.9404</v>
      </c>
      <c r="AD4760">
        <v>-1.134450987925</v>
      </c>
      <c r="AE4760">
        <v>-0.57536999999999205</v>
      </c>
      <c r="AF4760">
        <v>-4.0535303920227204</v>
      </c>
      <c r="AG4760">
        <v>-1.134450987925</v>
      </c>
      <c r="AH4760">
        <v>17.4126183209953</v>
      </c>
      <c r="AI4760">
        <v>93.630801159897601</v>
      </c>
      <c r="AJ4760">
        <v>103.10464205135899</v>
      </c>
      <c r="AK4760">
        <v>17.914166586132801</v>
      </c>
      <c r="AL4760">
        <v>82.200669624419902</v>
      </c>
      <c r="AM4760">
        <v>102.000006003503</v>
      </c>
      <c r="AN4760">
        <v>1.00000004859444</v>
      </c>
    </row>
    <row r="4761" spans="1:40" x14ac:dyDescent="0.25">
      <c r="A4761" t="str">
        <f>"20190303162651460"</f>
        <v>20190303162651460</v>
      </c>
      <c r="B4761" t="str">
        <f>"1551601611448279"</f>
        <v>1551601611448279</v>
      </c>
      <c r="C4761" t="s">
        <v>40</v>
      </c>
      <c r="D4761">
        <v>5.2768420000000003</v>
      </c>
      <c r="E4761">
        <v>0.46375240000000001</v>
      </c>
      <c r="F4761" t="s">
        <v>66</v>
      </c>
      <c r="G4761">
        <v>-257.92590000000001</v>
      </c>
      <c r="H4761" s="1">
        <v>-2.628835E-6</v>
      </c>
      <c r="I4761">
        <v>-59.965409999999999</v>
      </c>
      <c r="J4761">
        <v>-285.77089999999998</v>
      </c>
      <c r="K4761">
        <v>1.1342589999999999</v>
      </c>
      <c r="L4761">
        <v>-61.363430000000001</v>
      </c>
      <c r="M4761">
        <v>0.97383339999999996</v>
      </c>
      <c r="N4761">
        <v>-1.66794E-2</v>
      </c>
      <c r="O4761">
        <v>-0.22665009999999999</v>
      </c>
      <c r="P4761">
        <v>0.99120379999999997</v>
      </c>
      <c r="Q4761">
        <v>0.12547079999999999</v>
      </c>
      <c r="R4761">
        <v>-4.2093749999999999E-2</v>
      </c>
      <c r="S4761">
        <v>3.0522770000000001</v>
      </c>
      <c r="T4761">
        <v>-0.12190960000000001</v>
      </c>
      <c r="U4761">
        <v>0.13812260000000001</v>
      </c>
      <c r="V4761">
        <v>-0.18820819999999999</v>
      </c>
      <c r="W4761">
        <v>0.1356562</v>
      </c>
      <c r="X4761">
        <v>0.97271529999999995</v>
      </c>
      <c r="Y4761">
        <v>-0.27011590000000002</v>
      </c>
      <c r="Z4761">
        <v>1.284299E-2</v>
      </c>
      <c r="AA4761">
        <v>0.96274210000000005</v>
      </c>
      <c r="AB4761">
        <v>30</v>
      </c>
      <c r="AC4761">
        <v>27.844999999999899</v>
      </c>
      <c r="AD4761">
        <v>-1.13426162883499</v>
      </c>
      <c r="AE4761">
        <v>1.39802</v>
      </c>
      <c r="AF4761">
        <v>-7.6608982577520202</v>
      </c>
      <c r="AG4761">
        <v>-1.13426162883499</v>
      </c>
      <c r="AH4761">
        <v>26.758968555728199</v>
      </c>
      <c r="AI4761">
        <v>92.333565328392595</v>
      </c>
      <c r="AJ4761">
        <v>105.97603251252001</v>
      </c>
      <c r="AK4761">
        <v>27.857105192835999</v>
      </c>
      <c r="AL4761">
        <v>82.203433488721799</v>
      </c>
      <c r="AM4761">
        <v>100.950697067878</v>
      </c>
      <c r="AN4761">
        <v>0.99999999299988396</v>
      </c>
    </row>
    <row r="4762" spans="1:40" x14ac:dyDescent="0.25">
      <c r="A4762" t="str">
        <f>"20190303162651482"</f>
        <v>20190303162651482</v>
      </c>
      <c r="B4762" t="str">
        <f>"1551601611468775"</f>
        <v>1551601611468775</v>
      </c>
      <c r="C4762" t="s">
        <v>40</v>
      </c>
      <c r="D4762">
        <v>5.2158329999999999</v>
      </c>
      <c r="E4762">
        <v>0.46451170000000003</v>
      </c>
      <c r="F4762" t="s">
        <v>66</v>
      </c>
      <c r="G4762">
        <v>-259.44900000000001</v>
      </c>
      <c r="H4762" s="1">
        <v>-3.2887500000000001E-6</v>
      </c>
      <c r="I4762">
        <v>-59.935850000000002</v>
      </c>
      <c r="J4762">
        <v>-285.4776</v>
      </c>
      <c r="K4762">
        <v>1.134118</v>
      </c>
      <c r="L4762">
        <v>-61.415039999999998</v>
      </c>
      <c r="M4762">
        <v>0.97745979999999999</v>
      </c>
      <c r="N4762">
        <v>-1.6645030000000002E-2</v>
      </c>
      <c r="O4762">
        <v>-0.2104646</v>
      </c>
      <c r="P4762">
        <v>0.99163469999999998</v>
      </c>
      <c r="Q4762">
        <v>0.1238421</v>
      </c>
      <c r="R4762">
        <v>-3.6388320000000002E-2</v>
      </c>
      <c r="S4762">
        <v>3.0503230000000001</v>
      </c>
      <c r="T4762">
        <v>-0.13144429999999999</v>
      </c>
      <c r="U4762">
        <v>0.16543579999999999</v>
      </c>
      <c r="V4762">
        <v>-0.17758589999999999</v>
      </c>
      <c r="W4762">
        <v>0.13443350000000001</v>
      </c>
      <c r="X4762">
        <v>0.97487990000000002</v>
      </c>
      <c r="Y4762">
        <v>-0.26271909999999998</v>
      </c>
      <c r="Z4762">
        <v>1.3348779999999999E-2</v>
      </c>
      <c r="AA4762">
        <v>0.96477999999999997</v>
      </c>
      <c r="AB4762">
        <v>30</v>
      </c>
      <c r="AC4762">
        <v>26.028599999999901</v>
      </c>
      <c r="AD4762">
        <v>-1.1341212887500001</v>
      </c>
      <c r="AE4762">
        <v>1.47919</v>
      </c>
      <c r="AF4762">
        <v>-6.9118267209048803</v>
      </c>
      <c r="AG4762">
        <v>-1.1341212887500001</v>
      </c>
      <c r="AH4762">
        <v>25.086599890773599</v>
      </c>
      <c r="AI4762">
        <v>92.495614404433894</v>
      </c>
      <c r="AJ4762">
        <v>105.40387598017</v>
      </c>
      <c r="AK4762">
        <v>26.046056780195599</v>
      </c>
      <c r="AL4762">
        <v>82.274136531861501</v>
      </c>
      <c r="AM4762">
        <v>100.323904462687</v>
      </c>
      <c r="AN4762">
        <v>0.99999996861253404</v>
      </c>
    </row>
    <row r="4763" spans="1:40" x14ac:dyDescent="0.25">
      <c r="A4763" t="str">
        <f>"20190303162651504"</f>
        <v>20190303162651504</v>
      </c>
      <c r="B4763" t="str">
        <f>"1551601611499031"</f>
        <v>1551601611499031</v>
      </c>
      <c r="C4763" t="s">
        <v>40</v>
      </c>
      <c r="D4763">
        <v>5.1483339999999904</v>
      </c>
      <c r="E4763">
        <v>0.46537200000000001</v>
      </c>
      <c r="F4763" t="s">
        <v>67</v>
      </c>
      <c r="G4763">
        <v>-260.4391</v>
      </c>
      <c r="H4763" s="1">
        <v>7.2962629999999997E-7</v>
      </c>
      <c r="I4763">
        <v>-59.951210000000003</v>
      </c>
      <c r="J4763">
        <v>-285.1866</v>
      </c>
      <c r="K4763">
        <v>1.1339790000000001</v>
      </c>
      <c r="L4763">
        <v>-61.461519999999901</v>
      </c>
      <c r="M4763">
        <v>0.98075570000000001</v>
      </c>
      <c r="N4763">
        <v>-1.66080999999999E-2</v>
      </c>
      <c r="O4763">
        <v>-0.1945308</v>
      </c>
      <c r="P4763">
        <v>0.99187650000000005</v>
      </c>
      <c r="Q4763">
        <v>0.123983</v>
      </c>
      <c r="R4763">
        <v>-2.8444580000000001E-2</v>
      </c>
      <c r="S4763">
        <v>3.0491329999999999</v>
      </c>
      <c r="T4763">
        <v>-0.1381106</v>
      </c>
      <c r="U4763">
        <v>0.1782532</v>
      </c>
      <c r="V4763">
        <v>-0.16946269999999999</v>
      </c>
      <c r="W4763">
        <v>0.1348819</v>
      </c>
      <c r="X4763">
        <v>0.97626290000000004</v>
      </c>
      <c r="Y4763">
        <v>-0.2510426</v>
      </c>
      <c r="Z4763">
        <v>1.329692E-2</v>
      </c>
      <c r="AA4763">
        <v>0.96788470000000004</v>
      </c>
      <c r="AB4763">
        <v>30</v>
      </c>
      <c r="AC4763">
        <v>24.747499999999999</v>
      </c>
      <c r="AD4763">
        <v>-1.1339782703737</v>
      </c>
      <c r="AE4763">
        <v>1.51030999999999</v>
      </c>
      <c r="AF4763">
        <v>-6.28312173627116</v>
      </c>
      <c r="AG4763">
        <v>-1.1339782703737</v>
      </c>
      <c r="AH4763">
        <v>23.930700109123901</v>
      </c>
      <c r="AI4763">
        <v>92.624173110173203</v>
      </c>
      <c r="AJ4763">
        <v>104.711244746948</v>
      </c>
      <c r="AK4763">
        <v>24.767759954895102</v>
      </c>
      <c r="AL4763">
        <v>82.248209140176101</v>
      </c>
      <c r="AM4763">
        <v>99.847454230610893</v>
      </c>
      <c r="AN4763">
        <v>0.99999999177765497</v>
      </c>
    </row>
    <row r="4764" spans="1:40" x14ac:dyDescent="0.25">
      <c r="A4764" t="str">
        <f>"20190303162656147"</f>
        <v>20190303162656147</v>
      </c>
      <c r="B4764" t="str">
        <f>"1551601616139187"</f>
        <v>1551601616139187</v>
      </c>
      <c r="C4764" t="s">
        <v>40</v>
      </c>
      <c r="D4764">
        <v>5.3753669999999998</v>
      </c>
      <c r="E4764">
        <v>0.55231459999999999</v>
      </c>
      <c r="F4764" t="s">
        <v>41</v>
      </c>
      <c r="G4764">
        <v>-260.6123</v>
      </c>
      <c r="H4764" s="1">
        <v>6.4235039999999899E-7</v>
      </c>
      <c r="I4764">
        <v>-59.878039999999999</v>
      </c>
      <c r="J4764">
        <v>-280.90929999999997</v>
      </c>
      <c r="K4764">
        <v>1.131642</v>
      </c>
      <c r="L4764">
        <v>-61.651000000000003</v>
      </c>
      <c r="M4764">
        <v>0.99970760000000003</v>
      </c>
      <c r="N4764">
        <v>-1.594104E-2</v>
      </c>
      <c r="O4764">
        <v>1.8185469999999999E-2</v>
      </c>
      <c r="P4764">
        <v>0.98470570000000002</v>
      </c>
      <c r="Q4764">
        <v>7.8230809999999998E-2</v>
      </c>
      <c r="R4764">
        <v>0.1556749</v>
      </c>
      <c r="S4764">
        <v>3.0477910000000001</v>
      </c>
      <c r="T4764">
        <v>-0.14063979999999901</v>
      </c>
      <c r="U4764">
        <v>0.19638059999999999</v>
      </c>
      <c r="V4764">
        <v>-0.1401982</v>
      </c>
      <c r="W4764">
        <v>9.0250849999999994E-2</v>
      </c>
      <c r="X4764">
        <v>0.98600169999999998</v>
      </c>
      <c r="Y4764">
        <v>-4.6082129999999999E-2</v>
      </c>
      <c r="Z4764">
        <v>8.8139920000000001E-4</v>
      </c>
      <c r="AA4764">
        <v>0.99893719999999997</v>
      </c>
      <c r="AB4764">
        <v>30</v>
      </c>
      <c r="AC4764">
        <v>20.296999999999901</v>
      </c>
      <c r="AD4764">
        <v>-1.1316413576496001</v>
      </c>
      <c r="AE4764">
        <v>1.7729599999999901</v>
      </c>
      <c r="AF4764">
        <v>-1.3991928751006499</v>
      </c>
      <c r="AG4764">
        <v>-1.1316413576496001</v>
      </c>
      <c r="AH4764">
        <v>20.2633766823614</v>
      </c>
      <c r="AI4764">
        <v>93.188878598659798</v>
      </c>
      <c r="AJ4764">
        <v>93.9500226904036</v>
      </c>
      <c r="AK4764">
        <v>20.343126294533601</v>
      </c>
      <c r="AL4764">
        <v>84.821961802216293</v>
      </c>
      <c r="AM4764">
        <v>98.092560180063202</v>
      </c>
      <c r="AN4764">
        <v>1.00000005180592</v>
      </c>
    </row>
    <row r="4765" spans="1:40" x14ac:dyDescent="0.25">
      <c r="A4765" t="str">
        <f>"20190303162656166"</f>
        <v>20190303162656166</v>
      </c>
      <c r="B4765" t="str">
        <f>"1551601616158709"</f>
        <v>1551601616158709</v>
      </c>
      <c r="C4765" t="s">
        <v>40</v>
      </c>
      <c r="D4765">
        <v>5.2221929999999999</v>
      </c>
      <c r="E4765">
        <v>0.54270240000000003</v>
      </c>
      <c r="F4765" t="s">
        <v>42</v>
      </c>
      <c r="G4765">
        <v>-280.0394</v>
      </c>
      <c r="H4765">
        <v>0.81150800000000001</v>
      </c>
      <c r="I4765">
        <v>-61.625889999999998</v>
      </c>
      <c r="J4765">
        <v>-280.60840000000002</v>
      </c>
      <c r="K4765">
        <v>1.131597</v>
      </c>
      <c r="L4765">
        <v>-61.630159999999997</v>
      </c>
      <c r="M4765">
        <v>0.99933479999999997</v>
      </c>
      <c r="N4765">
        <v>-1.5918959999999999E-2</v>
      </c>
      <c r="O4765">
        <v>3.2814049999999997E-2</v>
      </c>
      <c r="P4765">
        <v>0.98210039999999998</v>
      </c>
      <c r="Q4765">
        <v>7.9968880000000006E-2</v>
      </c>
      <c r="R4765">
        <v>0.17053960000000001</v>
      </c>
      <c r="S4765">
        <v>3.1236570000000001</v>
      </c>
      <c r="T4765">
        <v>-1.1504289999999999</v>
      </c>
      <c r="U4765">
        <v>9.0637209999999996E-2</v>
      </c>
      <c r="V4765">
        <v>-0.14070820000000001</v>
      </c>
      <c r="W4765">
        <v>9.1970300000000005E-2</v>
      </c>
      <c r="X4765">
        <v>0.98577009999999998</v>
      </c>
      <c r="Y4765">
        <v>1.7276829999999901E-3</v>
      </c>
      <c r="Z4765">
        <v>-1.1511530000000001E-2</v>
      </c>
      <c r="AA4765">
        <v>0.99993220000000005</v>
      </c>
      <c r="AB4765">
        <v>29</v>
      </c>
      <c r="AC4765">
        <v>0.56900000000001605</v>
      </c>
      <c r="AD4765">
        <v>-0.32008900000000001</v>
      </c>
      <c r="AE4765">
        <v>4.2699999999911099E-3</v>
      </c>
      <c r="AF4765">
        <v>1.09430355200955E-2</v>
      </c>
      <c r="AG4765">
        <v>-0.32008900000000001</v>
      </c>
      <c r="AH4765">
        <v>0.43209966113648601</v>
      </c>
      <c r="AI4765">
        <v>126.521369685881</v>
      </c>
      <c r="AJ4765">
        <v>88.549279681438904</v>
      </c>
      <c r="AK4765">
        <v>0.53785391613491096</v>
      </c>
      <c r="AL4765">
        <v>84.723032889210998</v>
      </c>
      <c r="AM4765">
        <v>98.123489142146695</v>
      </c>
      <c r="AN4765">
        <v>1.0000000118416601</v>
      </c>
    </row>
    <row r="4766" spans="1:40" x14ac:dyDescent="0.25">
      <c r="A4766" t="str">
        <f>"20190303162656319"</f>
        <v>20190303162656319</v>
      </c>
      <c r="B4766" t="str">
        <f>"1551601616308929"</f>
        <v>1551601616308929</v>
      </c>
      <c r="C4766" t="s">
        <v>40</v>
      </c>
      <c r="D4766">
        <v>5.0266120000000001</v>
      </c>
      <c r="E4766">
        <v>0.54270240000000003</v>
      </c>
      <c r="F4766" t="s">
        <v>42</v>
      </c>
      <c r="G4766">
        <v>-278.21089999999998</v>
      </c>
      <c r="H4766">
        <v>0.96444940000000001</v>
      </c>
      <c r="I4766">
        <v>-61.349310000000003</v>
      </c>
      <c r="J4766">
        <v>-278.67590000000001</v>
      </c>
      <c r="K4766">
        <v>1.126636</v>
      </c>
      <c r="L4766">
        <v>-61.416200000000003</v>
      </c>
      <c r="M4766">
        <v>0.99406519999999998</v>
      </c>
      <c r="N4766">
        <v>-1.527944E-2</v>
      </c>
      <c r="O4766">
        <v>0.1077079</v>
      </c>
      <c r="P4766">
        <v>0.96421429999999997</v>
      </c>
      <c r="Q4766">
        <v>8.1682320000000003E-2</v>
      </c>
      <c r="R4766">
        <v>0.25222749999999999</v>
      </c>
      <c r="S4766">
        <v>3.0539550000000002</v>
      </c>
      <c r="T4766">
        <v>-0.6678113</v>
      </c>
      <c r="U4766">
        <v>0.42129519999999998</v>
      </c>
      <c r="V4766">
        <v>-0.148260999999999</v>
      </c>
      <c r="W4766">
        <v>9.4627509999999998E-2</v>
      </c>
      <c r="X4766">
        <v>0.98441060000000002</v>
      </c>
      <c r="Y4766">
        <v>-3.0539E-2</v>
      </c>
      <c r="Z4766">
        <v>-1.7947029999999999E-2</v>
      </c>
      <c r="AA4766">
        <v>0.99937240000000005</v>
      </c>
      <c r="AB4766">
        <v>29</v>
      </c>
      <c r="AC4766">
        <v>0.465000000000031</v>
      </c>
      <c r="AD4766">
        <v>-0.16218659999999899</v>
      </c>
      <c r="AE4766">
        <v>6.6890000000007804E-2</v>
      </c>
      <c r="AF4766">
        <v>-1.46631101517577E-2</v>
      </c>
      <c r="AG4766">
        <v>-0.16218659999999899</v>
      </c>
      <c r="AH4766">
        <v>0.419500648957221</v>
      </c>
      <c r="AI4766">
        <v>111.12564820426699</v>
      </c>
      <c r="AJ4766">
        <v>92.001885886488694</v>
      </c>
      <c r="AK4766">
        <v>0.450000327215894</v>
      </c>
      <c r="AL4766">
        <v>84.570118653158602</v>
      </c>
      <c r="AM4766">
        <v>98.564882400955995</v>
      </c>
      <c r="AN4766">
        <v>0.99999995958107901</v>
      </c>
    </row>
    <row r="4767" spans="1:40" x14ac:dyDescent="0.25">
      <c r="A4767" t="str">
        <f>"20190303162656343"</f>
        <v>20190303162656343</v>
      </c>
      <c r="B4767" t="str">
        <f>"1551601616339183"</f>
        <v>1551601616339183</v>
      </c>
      <c r="C4767" t="s">
        <v>40</v>
      </c>
      <c r="D4767">
        <v>5.8488129999999998</v>
      </c>
      <c r="E4767">
        <v>0.46405730000000001</v>
      </c>
      <c r="F4767" t="s">
        <v>42</v>
      </c>
      <c r="G4767">
        <v>-277.95589999999999</v>
      </c>
      <c r="H4767">
        <v>0.96980140000000004</v>
      </c>
      <c r="I4767">
        <v>-61.311410000000002</v>
      </c>
      <c r="J4767">
        <v>-278.3879</v>
      </c>
      <c r="K4767">
        <v>1.125475</v>
      </c>
      <c r="L4767">
        <v>-61.379150000000003</v>
      </c>
      <c r="M4767">
        <v>0.99344750000000004</v>
      </c>
      <c r="N4767">
        <v>-1.517395E-2</v>
      </c>
      <c r="O4767">
        <v>0.1132789</v>
      </c>
      <c r="P4767">
        <v>0.96236600000000005</v>
      </c>
      <c r="Q4767">
        <v>8.2819119999999996E-2</v>
      </c>
      <c r="R4767">
        <v>0.25882959999999999</v>
      </c>
      <c r="S4767">
        <v>3.0511469999999998</v>
      </c>
      <c r="T4767">
        <v>-0.66496379999999999</v>
      </c>
      <c r="U4767">
        <v>0.44540410000000002</v>
      </c>
      <c r="V4767">
        <v>-0.1492396</v>
      </c>
      <c r="W4767">
        <v>9.6068600000000004E-2</v>
      </c>
      <c r="X4767">
        <v>0.98412319999999998</v>
      </c>
      <c r="Y4767">
        <v>-3.2842900000000001E-2</v>
      </c>
      <c r="Z4767">
        <v>-1.8717520000000001E-2</v>
      </c>
      <c r="AA4767">
        <v>0.99928519999999998</v>
      </c>
      <c r="AB4767">
        <v>29</v>
      </c>
      <c r="AC4767">
        <v>0.43200000000001598</v>
      </c>
      <c r="AD4767">
        <v>-0.155673599999999</v>
      </c>
      <c r="AE4767">
        <v>6.77400000000076E-2</v>
      </c>
      <c r="AF4767">
        <v>-1.6296361735967799E-2</v>
      </c>
      <c r="AG4767">
        <v>-0.155673599999999</v>
      </c>
      <c r="AH4767">
        <v>0.38774972666287999</v>
      </c>
      <c r="AI4767">
        <v>111.856978527065</v>
      </c>
      <c r="AJ4767">
        <v>92.406613106758797</v>
      </c>
      <c r="AK4767">
        <v>0.41815032185797402</v>
      </c>
      <c r="AL4767">
        <v>84.487172882890505</v>
      </c>
      <c r="AM4767">
        <v>98.623048183523807</v>
      </c>
      <c r="AN4767">
        <v>1.0000000534461699</v>
      </c>
    </row>
    <row r="4768" spans="1:40" x14ac:dyDescent="0.25">
      <c r="A4768" t="str">
        <f>"20190303162656365"</f>
        <v>20190303162656365</v>
      </c>
      <c r="B4768" t="str">
        <f>"1551601616358704"</f>
        <v>1551601616358704</v>
      </c>
      <c r="C4768" t="s">
        <v>40</v>
      </c>
      <c r="D4768">
        <v>6.6285920000000003</v>
      </c>
      <c r="E4768">
        <v>0.46703240000000001</v>
      </c>
      <c r="F4768" t="s">
        <v>41</v>
      </c>
      <c r="G4768">
        <v>-270.96519999999998</v>
      </c>
      <c r="H4768" s="1">
        <v>-2.590713E-8</v>
      </c>
      <c r="I4768">
        <v>-58.61824</v>
      </c>
      <c r="J4768">
        <v>-278.10199999999998</v>
      </c>
      <c r="K4768">
        <v>1.1246719999999999</v>
      </c>
      <c r="L4768">
        <v>-61.342039999999997</v>
      </c>
      <c r="M4768">
        <v>0.99296070000000003</v>
      </c>
      <c r="N4768">
        <v>-1.507006E-2</v>
      </c>
      <c r="O4768">
        <v>0.1174818</v>
      </c>
      <c r="P4768">
        <v>0.96115399999999995</v>
      </c>
      <c r="Q4768">
        <v>8.4065390000000004E-2</v>
      </c>
      <c r="R4768">
        <v>0.2628992</v>
      </c>
      <c r="S4768">
        <v>2.8678590000000002</v>
      </c>
      <c r="T4768">
        <v>-0.4348419</v>
      </c>
      <c r="U4768">
        <v>1.066711</v>
      </c>
      <c r="V4768">
        <v>-0.14907039999999999</v>
      </c>
      <c r="W4768">
        <v>9.7509009999999993E-2</v>
      </c>
      <c r="X4768">
        <v>0.98400710000000002</v>
      </c>
      <c r="Y4768">
        <v>-0.23443059999999999</v>
      </c>
      <c r="Z4768">
        <v>3.6318190000000001E-3</v>
      </c>
      <c r="AA4768">
        <v>0.97212609999999999</v>
      </c>
      <c r="AB4768">
        <v>29</v>
      </c>
      <c r="AC4768">
        <v>7.1368000000000498</v>
      </c>
      <c r="AD4768">
        <v>-1.1246720259071299</v>
      </c>
      <c r="AE4768">
        <v>2.7238000000000002</v>
      </c>
      <c r="AF4768">
        <v>-1.8267956773677001</v>
      </c>
      <c r="AG4768">
        <v>-1.1246720259071299</v>
      </c>
      <c r="AH4768">
        <v>7.2502402875721597</v>
      </c>
      <c r="AI4768">
        <v>98.554339683446898</v>
      </c>
      <c r="AJ4768">
        <v>104.142075259641</v>
      </c>
      <c r="AK4768">
        <v>7.56095588138444</v>
      </c>
      <c r="AL4768">
        <v>84.404253756966298</v>
      </c>
      <c r="AM4768">
        <v>98.614419564379006</v>
      </c>
      <c r="AN4768">
        <v>0.99999998201887397</v>
      </c>
    </row>
    <row r="4769" spans="1:40" x14ac:dyDescent="0.25">
      <c r="A4769" t="str">
        <f>"20190303162656387"</f>
        <v>20190303162656387</v>
      </c>
      <c r="B4769" t="str">
        <f>"1551601616379199"</f>
        <v>1551601616379199</v>
      </c>
      <c r="C4769" t="s">
        <v>40</v>
      </c>
      <c r="D4769">
        <v>5.4582379999999997</v>
      </c>
      <c r="E4769">
        <v>0.46779270000000001</v>
      </c>
      <c r="F4769" t="s">
        <v>41</v>
      </c>
      <c r="G4769">
        <v>-267.14510000000001</v>
      </c>
      <c r="H4769" s="1">
        <v>-2.6169770000000001E-6</v>
      </c>
      <c r="I4769">
        <v>-57.302909999999997</v>
      </c>
      <c r="J4769">
        <v>-277.82830000000001</v>
      </c>
      <c r="K4769">
        <v>1.124214</v>
      </c>
      <c r="L4769">
        <v>-61.305999999999997</v>
      </c>
      <c r="M4769">
        <v>0.99257309999999999</v>
      </c>
      <c r="N4769">
        <v>-1.496683E-2</v>
      </c>
      <c r="O4769">
        <v>0.12072529999999999</v>
      </c>
      <c r="P4769">
        <v>0.96032640000000002</v>
      </c>
      <c r="Q4769">
        <v>8.4215020000000002E-2</v>
      </c>
      <c r="R4769">
        <v>0.2658586</v>
      </c>
      <c r="S4769">
        <v>2.858673</v>
      </c>
      <c r="T4769">
        <v>-0.2934312</v>
      </c>
      <c r="U4769">
        <v>1.0538019999999999</v>
      </c>
      <c r="V4769">
        <v>-0.14877670000000001</v>
      </c>
      <c r="W4769">
        <v>9.7729200000000002E-2</v>
      </c>
      <c r="X4769">
        <v>0.98402970000000001</v>
      </c>
      <c r="Y4769">
        <v>-0.22924310000000001</v>
      </c>
      <c r="Z4769">
        <v>3.0146140000000001E-3</v>
      </c>
      <c r="AA4769">
        <v>0.97336449999999997</v>
      </c>
      <c r="AB4769">
        <v>29</v>
      </c>
      <c r="AC4769">
        <v>10.683199999999999</v>
      </c>
      <c r="AD4769">
        <v>-1.124216616977</v>
      </c>
      <c r="AE4769">
        <v>4.0030900000000003</v>
      </c>
      <c r="AF4769">
        <v>-2.6581162061184598</v>
      </c>
      <c r="AG4769">
        <v>-1.124216616977</v>
      </c>
      <c r="AH4769">
        <v>10.981736243781</v>
      </c>
      <c r="AI4769">
        <v>95.682130054563899</v>
      </c>
      <c r="AJ4769">
        <v>103.606676504494</v>
      </c>
      <c r="AK4769">
        <v>11.3546455556785</v>
      </c>
      <c r="AL4769">
        <v>84.391577224424907</v>
      </c>
      <c r="AM4769">
        <v>98.597506717872406</v>
      </c>
      <c r="AN4769">
        <v>0.99999997673880903</v>
      </c>
    </row>
    <row r="4770" spans="1:40" x14ac:dyDescent="0.25">
      <c r="A4770" t="str">
        <f>"20190303162656408"</f>
        <v>20190303162656408</v>
      </c>
      <c r="B4770" t="str">
        <f>"1551601616398720"</f>
        <v>1551601616398720</v>
      </c>
      <c r="C4770" t="s">
        <v>40</v>
      </c>
      <c r="D4770">
        <v>5.3065829999999998</v>
      </c>
      <c r="E4770">
        <v>0.46877799999999997</v>
      </c>
      <c r="F4770" t="s">
        <v>67</v>
      </c>
      <c r="G4770">
        <v>-265.29809999999998</v>
      </c>
      <c r="H4770" s="1">
        <v>-1.9374709999999999E-6</v>
      </c>
      <c r="I4770">
        <v>-56.666730000000001</v>
      </c>
      <c r="J4770">
        <v>-277.55549999999999</v>
      </c>
      <c r="K4770">
        <v>1.1239790000000001</v>
      </c>
      <c r="L4770">
        <v>-61.269350000000003</v>
      </c>
      <c r="M4770">
        <v>0.99223170000000005</v>
      </c>
      <c r="N4770">
        <v>-1.486705E-2</v>
      </c>
      <c r="O4770">
        <v>0.12351289999999999</v>
      </c>
      <c r="P4770">
        <v>0.95991919999999997</v>
      </c>
      <c r="Q4770">
        <v>8.3257940000000003E-2</v>
      </c>
      <c r="R4770">
        <v>0.26762550000000002</v>
      </c>
      <c r="S4770">
        <v>2.8539119999999998</v>
      </c>
      <c r="T4770">
        <v>-0.25605519999999998</v>
      </c>
      <c r="U4770">
        <v>1.0566409999999999</v>
      </c>
      <c r="V4770">
        <v>-0.14774789999999999</v>
      </c>
      <c r="W4770">
        <v>9.6770549999999997E-2</v>
      </c>
      <c r="X4770">
        <v>0.98427949999999997</v>
      </c>
      <c r="Y4770">
        <v>-0.22806109999999999</v>
      </c>
      <c r="Z4770">
        <v>2.7992540000000002E-3</v>
      </c>
      <c r="AA4770">
        <v>0.97364280000000003</v>
      </c>
      <c r="AB4770">
        <v>29</v>
      </c>
      <c r="AC4770">
        <v>12.257400000000001</v>
      </c>
      <c r="AD4770">
        <v>-1.1239809374709999</v>
      </c>
      <c r="AE4770">
        <v>4.6026199999999999</v>
      </c>
      <c r="AF4770">
        <v>-3.0309193035716002</v>
      </c>
      <c r="AG4770">
        <v>-1.1239809374709999</v>
      </c>
      <c r="AH4770">
        <v>12.6389274012113</v>
      </c>
      <c r="AI4770">
        <v>94.942542328892003</v>
      </c>
      <c r="AJ4770">
        <v>103.485345754035</v>
      </c>
      <c r="AK4770">
        <v>13.0457767429023</v>
      </c>
      <c r="AL4770">
        <v>84.446765870203294</v>
      </c>
      <c r="AM4770">
        <v>98.536798667105799</v>
      </c>
      <c r="AN4770">
        <v>1.00000005771097</v>
      </c>
    </row>
    <row r="4771" spans="1:40" x14ac:dyDescent="0.25">
      <c r="A4771" t="str">
        <f>"20190303162656430"</f>
        <v>20190303162656430</v>
      </c>
      <c r="B4771" t="str">
        <f>"1551601616419216"</f>
        <v>1551601616419216</v>
      </c>
      <c r="C4771" t="s">
        <v>40</v>
      </c>
      <c r="D4771">
        <v>5.4935799999999997</v>
      </c>
      <c r="E4771">
        <v>0.46859780000000001</v>
      </c>
      <c r="F4771" t="s">
        <v>67</v>
      </c>
      <c r="G4771">
        <v>-264.84949999999998</v>
      </c>
      <c r="H4771" s="1">
        <v>-1.7608900000000001E-6</v>
      </c>
      <c r="I4771">
        <v>-56.577129999999997</v>
      </c>
      <c r="J4771">
        <v>-277.27319999999997</v>
      </c>
      <c r="K4771">
        <v>1.123866</v>
      </c>
      <c r="L4771">
        <v>-61.230499999999999</v>
      </c>
      <c r="M4771">
        <v>0.99189039999999995</v>
      </c>
      <c r="N4771">
        <v>-1.4776539999999999E-2</v>
      </c>
      <c r="O4771">
        <v>0.1262345</v>
      </c>
      <c r="P4771">
        <v>0.95947669999999996</v>
      </c>
      <c r="Q4771">
        <v>8.2518640000000004E-2</v>
      </c>
      <c r="R4771">
        <v>0.26943529999999999</v>
      </c>
      <c r="S4771">
        <v>2.8533940000000002</v>
      </c>
      <c r="T4771">
        <v>-0.2524112</v>
      </c>
      <c r="U4771">
        <v>1.0537110000000001</v>
      </c>
      <c r="V4771">
        <v>-0.14686060000000001</v>
      </c>
      <c r="W4771">
        <v>9.5994549999999998E-2</v>
      </c>
      <c r="X4771">
        <v>0.98448820000000004</v>
      </c>
      <c r="Y4771">
        <v>-0.22460340000000001</v>
      </c>
      <c r="Z4771">
        <v>2.4244729999999999E-3</v>
      </c>
      <c r="AA4771">
        <v>0.97444730000000002</v>
      </c>
      <c r="AB4771">
        <v>29</v>
      </c>
      <c r="AC4771">
        <v>12.423699999999901</v>
      </c>
      <c r="AD4771">
        <v>-1.1238677608900001</v>
      </c>
      <c r="AE4771">
        <v>4.65336999999999</v>
      </c>
      <c r="AF4771">
        <v>-3.0259504033407301</v>
      </c>
      <c r="AG4771">
        <v>-1.1238677608900001</v>
      </c>
      <c r="AH4771">
        <v>12.8197728630561</v>
      </c>
      <c r="AI4771">
        <v>94.876787725321293</v>
      </c>
      <c r="AJ4771">
        <v>103.280885349724</v>
      </c>
      <c r="AK4771">
        <v>13.219910394847499</v>
      </c>
      <c r="AL4771">
        <v>84.491435054561094</v>
      </c>
      <c r="AM4771">
        <v>98.484506832625897</v>
      </c>
      <c r="AN4771">
        <v>1.0000000027006499</v>
      </c>
    </row>
    <row r="4772" spans="1:40" x14ac:dyDescent="0.25">
      <c r="A4772" t="str">
        <f>"20190303162656454"</f>
        <v>20190303162656454</v>
      </c>
      <c r="B4772" t="str">
        <f>"1551601616448495"</f>
        <v>1551601616448495</v>
      </c>
      <c r="C4772" t="s">
        <v>40</v>
      </c>
      <c r="D4772">
        <v>5.3897279999999999</v>
      </c>
      <c r="E4772">
        <v>0.46939419999999998</v>
      </c>
      <c r="F4772" t="s">
        <v>41</v>
      </c>
      <c r="G4772">
        <v>-264.18450000000001</v>
      </c>
      <c r="H4772" s="1">
        <v>-1.513571E-6</v>
      </c>
      <c r="I4772">
        <v>-56.363289999999999</v>
      </c>
      <c r="J4772">
        <v>-276.97579999999999</v>
      </c>
      <c r="K4772">
        <v>1.1237729999999999</v>
      </c>
      <c r="L4772">
        <v>-61.188630000000003</v>
      </c>
      <c r="M4772">
        <v>0.99151230000000001</v>
      </c>
      <c r="N4772">
        <v>-1.469642E-2</v>
      </c>
      <c r="O4772">
        <v>0.12917989999999999</v>
      </c>
      <c r="P4772">
        <v>0.95915510000000004</v>
      </c>
      <c r="Q4772">
        <v>8.1614190000000003E-2</v>
      </c>
      <c r="R4772">
        <v>0.27085179999999998</v>
      </c>
      <c r="S4772">
        <v>2.8501280000000002</v>
      </c>
      <c r="T4772">
        <v>-0.24472769999999999</v>
      </c>
      <c r="U4772">
        <v>1.0598449999999999</v>
      </c>
      <c r="V4772">
        <v>-0.145347799999999</v>
      </c>
      <c r="W4772">
        <v>9.5060900000000004E-2</v>
      </c>
      <c r="X4772">
        <v>0.98480330000000005</v>
      </c>
      <c r="Y4772">
        <v>-0.22395490000000001</v>
      </c>
      <c r="Z4772">
        <v>2.2093E-3</v>
      </c>
      <c r="AA4772">
        <v>0.97459700000000005</v>
      </c>
      <c r="AB4772">
        <v>29</v>
      </c>
      <c r="AC4772">
        <v>12.7912999999999</v>
      </c>
      <c r="AD4772">
        <v>-1.123774513571</v>
      </c>
      <c r="AE4772">
        <v>4.8253399999999997</v>
      </c>
      <c r="AF4772">
        <v>-3.1113204658949898</v>
      </c>
      <c r="AG4772">
        <v>-1.123774513571</v>
      </c>
      <c r="AH4772">
        <v>13.2181912119462</v>
      </c>
      <c r="AI4772">
        <v>94.730769715979207</v>
      </c>
      <c r="AJ4772">
        <v>103.24527528276801</v>
      </c>
      <c r="AK4772">
        <v>13.62584907866</v>
      </c>
      <c r="AL4772">
        <v>84.545175277823901</v>
      </c>
      <c r="AM4772">
        <v>98.395712541142501</v>
      </c>
      <c r="AN4772">
        <v>1.00000004868226</v>
      </c>
    </row>
    <row r="4773" spans="1:40" x14ac:dyDescent="0.25">
      <c r="A4773" t="str">
        <f>"20190303162656475"</f>
        <v>20190303162656475</v>
      </c>
      <c r="B4773" t="str">
        <f>"1551601616468991"</f>
        <v>1551601616468991</v>
      </c>
      <c r="C4773" t="s">
        <v>40</v>
      </c>
      <c r="D4773">
        <v>5.2003849999999998</v>
      </c>
      <c r="E4773">
        <v>0.46924500000000002</v>
      </c>
      <c r="F4773" t="s">
        <v>41</v>
      </c>
      <c r="G4773">
        <v>-263.51330000000002</v>
      </c>
      <c r="H4773" s="1">
        <v>-1.3119080000000001E-6</v>
      </c>
      <c r="I4773">
        <v>-56.193890000000003</v>
      </c>
      <c r="J4773">
        <v>-276.7002</v>
      </c>
      <c r="K4773">
        <v>1.1236809999999999</v>
      </c>
      <c r="L4773">
        <v>-61.14893</v>
      </c>
      <c r="M4773">
        <v>0.99112889999999998</v>
      </c>
      <c r="N4773">
        <v>-1.4633449999999999E-2</v>
      </c>
      <c r="O4773">
        <v>0.1320971</v>
      </c>
      <c r="P4773">
        <v>0.95862250000000004</v>
      </c>
      <c r="Q4773">
        <v>8.173996E-2</v>
      </c>
      <c r="R4773">
        <v>0.27269359999999998</v>
      </c>
      <c r="S4773">
        <v>2.8495180000000002</v>
      </c>
      <c r="T4773">
        <v>-0.23786199999999999</v>
      </c>
      <c r="U4773">
        <v>1.0571900000000001</v>
      </c>
      <c r="V4773">
        <v>-0.14431930000000001</v>
      </c>
      <c r="W4773">
        <v>9.5169149999999994E-2</v>
      </c>
      <c r="X4773">
        <v>0.98494400000000004</v>
      </c>
      <c r="Y4773">
        <v>-0.22040029999999999</v>
      </c>
      <c r="Z4773">
        <v>1.8717950000000001E-3</v>
      </c>
      <c r="AA4773">
        <v>0.97540769999999999</v>
      </c>
      <c r="AB4773">
        <v>29</v>
      </c>
      <c r="AC4773">
        <v>13.1868999999999</v>
      </c>
      <c r="AD4773">
        <v>-1.1236823119079999</v>
      </c>
      <c r="AE4773">
        <v>4.9550400000000003</v>
      </c>
      <c r="AF4773">
        <v>-3.14943205867525</v>
      </c>
      <c r="AG4773">
        <v>-1.1236823119079999</v>
      </c>
      <c r="AH4773">
        <v>13.639149749673701</v>
      </c>
      <c r="AI4773">
        <v>94.589532585488897</v>
      </c>
      <c r="AJ4773">
        <v>103.00233800415801</v>
      </c>
      <c r="AK4773">
        <v>14.043076234370099</v>
      </c>
      <c r="AL4773">
        <v>84.538944251121194</v>
      </c>
      <c r="AM4773">
        <v>98.335967110494593</v>
      </c>
      <c r="AN4773">
        <v>0.99999995530010499</v>
      </c>
    </row>
    <row r="4774" spans="1:40" x14ac:dyDescent="0.25">
      <c r="A4774" t="str">
        <f>"20190303162656498"</f>
        <v>20190303162656498</v>
      </c>
      <c r="B4774" t="str">
        <f>"1551601616488511"</f>
        <v>1551601616488511</v>
      </c>
      <c r="C4774" t="s">
        <v>40</v>
      </c>
      <c r="D4774">
        <v>5.380007</v>
      </c>
      <c r="E4774">
        <v>0.46925280000000003</v>
      </c>
      <c r="F4774" t="s">
        <v>67</v>
      </c>
      <c r="G4774">
        <v>-263.07260000000002</v>
      </c>
      <c r="H4774" s="1">
        <v>-1.197379E-6</v>
      </c>
      <c r="I4774">
        <v>-56.060749999999999</v>
      </c>
      <c r="J4774">
        <v>-276.42880000000002</v>
      </c>
      <c r="K4774">
        <v>1.1235919999999999</v>
      </c>
      <c r="L4774">
        <v>-61.10904</v>
      </c>
      <c r="M4774">
        <v>0.9907184</v>
      </c>
      <c r="N4774">
        <v>-1.457979E-2</v>
      </c>
      <c r="O4774">
        <v>0.13514670000000001</v>
      </c>
      <c r="P4774">
        <v>0.958094</v>
      </c>
      <c r="Q4774">
        <v>8.0788810000000003E-2</v>
      </c>
      <c r="R4774">
        <v>0.27482590000000001</v>
      </c>
      <c r="S4774">
        <v>2.8471069999999998</v>
      </c>
      <c r="T4774">
        <v>-0.2347622</v>
      </c>
      <c r="U4774">
        <v>1.0630189999999999</v>
      </c>
      <c r="V4774">
        <v>-0.1434376</v>
      </c>
      <c r="W4774">
        <v>9.4208819999999999E-2</v>
      </c>
      <c r="X4774">
        <v>0.98516510000000002</v>
      </c>
      <c r="Y4774">
        <v>-0.21944240000000001</v>
      </c>
      <c r="Z4774">
        <v>1.640252E-3</v>
      </c>
      <c r="AA4774">
        <v>0.97562409999999999</v>
      </c>
      <c r="AB4774">
        <v>29</v>
      </c>
      <c r="AC4774">
        <v>13.356199999999999</v>
      </c>
      <c r="AD4774">
        <v>-1.1235931973790001</v>
      </c>
      <c r="AE4774">
        <v>5.0482899999999997</v>
      </c>
      <c r="AF4774">
        <v>-3.1770534490305899</v>
      </c>
      <c r="AG4774">
        <v>-1.1235931973790001</v>
      </c>
      <c r="AH4774">
        <v>13.830328238607899</v>
      </c>
      <c r="AI4774">
        <v>94.527176764756405</v>
      </c>
      <c r="AJ4774">
        <v>102.937331789734</v>
      </c>
      <c r="AK4774">
        <v>14.2349608176077</v>
      </c>
      <c r="AL4774">
        <v>84.594215479045303</v>
      </c>
      <c r="AM4774">
        <v>98.283915042412502</v>
      </c>
      <c r="AN4774">
        <v>0.99999996055878004</v>
      </c>
    </row>
    <row r="4775" spans="1:40" x14ac:dyDescent="0.25">
      <c r="A4775" t="str">
        <f>"20190303162656520"</f>
        <v>20190303162656520</v>
      </c>
      <c r="B4775" t="str">
        <f>"1551601616509006"</f>
        <v>1551601616509006</v>
      </c>
      <c r="C4775" t="s">
        <v>40</v>
      </c>
      <c r="D4775">
        <v>5.2082079999999999</v>
      </c>
      <c r="E4775">
        <v>0.46939249999999999</v>
      </c>
      <c r="F4775" t="s">
        <v>41</v>
      </c>
      <c r="G4775">
        <v>-262.80439999999999</v>
      </c>
      <c r="H4775" s="1">
        <v>-1.124539E-6</v>
      </c>
      <c r="I4775">
        <v>-55.991509999999998</v>
      </c>
      <c r="J4775">
        <v>-276.14280000000002</v>
      </c>
      <c r="K4775">
        <v>1.1235040000000001</v>
      </c>
      <c r="L4775">
        <v>-61.066130000000001</v>
      </c>
      <c r="M4775">
        <v>0.99025830000000004</v>
      </c>
      <c r="N4775">
        <v>-1.453055E-2</v>
      </c>
      <c r="O4775">
        <v>0.1384821</v>
      </c>
      <c r="P4775">
        <v>0.95744090000000004</v>
      </c>
      <c r="Q4775">
        <v>8.0195169999999996E-2</v>
      </c>
      <c r="R4775">
        <v>0.27726479999999998</v>
      </c>
      <c r="S4775">
        <v>2.8444820000000002</v>
      </c>
      <c r="T4775">
        <v>-0.23458300000000001</v>
      </c>
      <c r="U4775">
        <v>1.0684199999999999</v>
      </c>
      <c r="V4775">
        <v>-0.14259639999999901</v>
      </c>
      <c r="W4775">
        <v>9.3605919999999995E-2</v>
      </c>
      <c r="X4775">
        <v>0.98534469999999996</v>
      </c>
      <c r="Y4775">
        <v>-0.21808939999999999</v>
      </c>
      <c r="Z4775">
        <v>1.352181E-3</v>
      </c>
      <c r="AA4775">
        <v>0.97592780000000001</v>
      </c>
      <c r="AB4775">
        <v>28</v>
      </c>
      <c r="AC4775">
        <v>13.3384</v>
      </c>
      <c r="AD4775">
        <v>-1.123505124539</v>
      </c>
      <c r="AE4775">
        <v>5.0746200000000004</v>
      </c>
      <c r="AF4775">
        <v>-3.1588130502713998</v>
      </c>
      <c r="AG4775">
        <v>-1.123505124539</v>
      </c>
      <c r="AH4775">
        <v>13.8269784276367</v>
      </c>
      <c r="AI4775">
        <v>94.529155787445305</v>
      </c>
      <c r="AJ4775">
        <v>102.868546332682</v>
      </c>
      <c r="AK4775">
        <v>14.227638457936701</v>
      </c>
      <c r="AL4775">
        <v>84.628912591296199</v>
      </c>
      <c r="AM4775">
        <v>98.234521217193702</v>
      </c>
      <c r="AN4775">
        <v>0.999999989685048</v>
      </c>
    </row>
    <row r="4776" spans="1:40" x14ac:dyDescent="0.25">
      <c r="A4776" t="str">
        <f>"20190303162656545"</f>
        <v>20190303162656545</v>
      </c>
      <c r="B4776" t="str">
        <f>"1551601616539262"</f>
        <v>1551601616539262</v>
      </c>
      <c r="C4776" t="s">
        <v>40</v>
      </c>
      <c r="D4776">
        <v>5.3746239999999998</v>
      </c>
      <c r="E4776">
        <v>0.46941529999999998</v>
      </c>
      <c r="F4776" t="s">
        <v>41</v>
      </c>
      <c r="G4776">
        <v>-262.5147</v>
      </c>
      <c r="H4776" s="1">
        <v>-1.047113E-6</v>
      </c>
      <c r="I4776">
        <v>-55.911949999999997</v>
      </c>
      <c r="J4776">
        <v>-275.85160000000002</v>
      </c>
      <c r="K4776">
        <v>1.123451</v>
      </c>
      <c r="L4776">
        <v>-61.021479999999997</v>
      </c>
      <c r="M4776">
        <v>0.98977009999999999</v>
      </c>
      <c r="N4776">
        <v>-1.4486840000000001E-2</v>
      </c>
      <c r="O4776">
        <v>0.14193449999999999</v>
      </c>
      <c r="P4776">
        <v>0.95679320000000001</v>
      </c>
      <c r="Q4776">
        <v>7.971615E-2</v>
      </c>
      <c r="R4776">
        <v>0.27962809999999999</v>
      </c>
      <c r="S4776">
        <v>2.841736</v>
      </c>
      <c r="T4776">
        <v>-0.2342737</v>
      </c>
      <c r="U4776">
        <v>1.074738</v>
      </c>
      <c r="V4776">
        <v>-0.14156969999999999</v>
      </c>
      <c r="W4776">
        <v>9.3113119999999994E-2</v>
      </c>
      <c r="X4776">
        <v>0.98553939999999995</v>
      </c>
      <c r="Y4776">
        <v>-0.21690870000000001</v>
      </c>
      <c r="Z4776">
        <v>1.0677830000000001E-3</v>
      </c>
      <c r="AA4776">
        <v>0.97619129999999998</v>
      </c>
      <c r="AB4776">
        <v>28</v>
      </c>
      <c r="AC4776">
        <v>13.3369</v>
      </c>
      <c r="AD4776">
        <v>-1.1234520471130001</v>
      </c>
      <c r="AE4776">
        <v>5.1095300000000003</v>
      </c>
      <c r="AF4776">
        <v>-3.1451647193524002</v>
      </c>
      <c r="AG4776">
        <v>-1.1234520471130001</v>
      </c>
      <c r="AH4776">
        <v>13.8414986681799</v>
      </c>
      <c r="AI4776">
        <v>94.525407681855498</v>
      </c>
      <c r="AJ4776">
        <v>102.80178458991401</v>
      </c>
      <c r="AK4776">
        <v>14.238725048095001</v>
      </c>
      <c r="AL4776">
        <v>84.657271711946606</v>
      </c>
      <c r="AM4776">
        <v>98.174443358777793</v>
      </c>
      <c r="AN4776">
        <v>0.99999997101329097</v>
      </c>
    </row>
    <row r="4777" spans="1:40" x14ac:dyDescent="0.25">
      <c r="A4777" t="str">
        <f>"20190303162656566"</f>
        <v>20190303162656566</v>
      </c>
      <c r="B4777" t="str">
        <f>"1551601616558782"</f>
        <v>1551601616558782</v>
      </c>
      <c r="C4777" t="s">
        <v>40</v>
      </c>
      <c r="D4777">
        <v>5.4420919999999997</v>
      </c>
      <c r="E4777">
        <v>0.4693698</v>
      </c>
      <c r="F4777" t="s">
        <v>41</v>
      </c>
      <c r="G4777">
        <v>-262.17959999999999</v>
      </c>
      <c r="H4777" s="1">
        <v>-9.5958629999999995E-7</v>
      </c>
      <c r="I4777">
        <v>-55.812240000000003</v>
      </c>
      <c r="J4777">
        <v>-275.5693</v>
      </c>
      <c r="K4777">
        <v>1.123427</v>
      </c>
      <c r="L4777">
        <v>-60.977200000000003</v>
      </c>
      <c r="M4777">
        <v>0.98928439999999995</v>
      </c>
      <c r="N4777">
        <v>-1.444929E-2</v>
      </c>
      <c r="O4777">
        <v>0.14528469999999999</v>
      </c>
      <c r="P4777">
        <v>0.95657650000000005</v>
      </c>
      <c r="Q4777">
        <v>7.8316819999999995E-2</v>
      </c>
      <c r="R4777">
        <v>0.2807635</v>
      </c>
      <c r="S4777">
        <v>2.8387760000000002</v>
      </c>
      <c r="T4777">
        <v>-0.23326720000000001</v>
      </c>
      <c r="U4777">
        <v>1.081604</v>
      </c>
      <c r="V4777">
        <v>-0.13936809999999999</v>
      </c>
      <c r="W4777">
        <v>9.1705830000000002E-2</v>
      </c>
      <c r="X4777">
        <v>0.98598509999999995</v>
      </c>
      <c r="Y4777">
        <v>-0.2160173</v>
      </c>
      <c r="Z4777">
        <v>8.140132E-4</v>
      </c>
      <c r="AA4777">
        <v>0.97638919999999996</v>
      </c>
      <c r="AB4777">
        <v>28</v>
      </c>
      <c r="AC4777">
        <v>13.389699999999999</v>
      </c>
      <c r="AD4777">
        <v>-1.1234279595862999</v>
      </c>
      <c r="AE4777">
        <v>5.1649599999999998</v>
      </c>
      <c r="AF4777">
        <v>-3.14535196505738</v>
      </c>
      <c r="AG4777">
        <v>-1.1234279595862999</v>
      </c>
      <c r="AH4777">
        <v>13.9128168102204</v>
      </c>
      <c r="AI4777">
        <v>94.503322575022494</v>
      </c>
      <c r="AJ4777">
        <v>102.739041688694</v>
      </c>
      <c r="AK4777">
        <v>14.3081026330965</v>
      </c>
      <c r="AL4777">
        <v>84.738250266512793</v>
      </c>
      <c r="AM4777">
        <v>98.045407763232902</v>
      </c>
      <c r="AN4777">
        <v>1.0000000219878</v>
      </c>
    </row>
    <row r="4778" spans="1:40" x14ac:dyDescent="0.25">
      <c r="A4778" t="str">
        <f>"20190303162656588"</f>
        <v>20190303162656588</v>
      </c>
      <c r="B4778" t="str">
        <f>"1551601616579279"</f>
        <v>1551601616579279</v>
      </c>
      <c r="C4778" t="s">
        <v>40</v>
      </c>
      <c r="D4778">
        <v>5.299328</v>
      </c>
      <c r="E4778">
        <v>0.46974650000000001</v>
      </c>
      <c r="F4778" t="s">
        <v>67</v>
      </c>
      <c r="G4778">
        <v>-262.01170000000002</v>
      </c>
      <c r="H4778" s="1">
        <v>-9.0745039999999996E-7</v>
      </c>
      <c r="I4778">
        <v>-55.793480000000002</v>
      </c>
      <c r="J4778">
        <v>-275.30439999999999</v>
      </c>
      <c r="K4778">
        <v>1.123427</v>
      </c>
      <c r="L4778">
        <v>-60.934780000000003</v>
      </c>
      <c r="M4778">
        <v>0.98881859999999999</v>
      </c>
      <c r="N4778">
        <v>-1.4417610000000001E-2</v>
      </c>
      <c r="O4778">
        <v>0.14842459999999999</v>
      </c>
      <c r="P4778">
        <v>0.95720510000000003</v>
      </c>
      <c r="Q4778">
        <v>7.6860380000000006E-2</v>
      </c>
      <c r="R4778">
        <v>0.27901789999999999</v>
      </c>
      <c r="S4778">
        <v>2.8370359999999999</v>
      </c>
      <c r="T4778">
        <v>-0.2350854</v>
      </c>
      <c r="U4778">
        <v>1.0847169999999999</v>
      </c>
      <c r="V4778">
        <v>-0.1344023</v>
      </c>
      <c r="W4778">
        <v>9.0264620000000004E-2</v>
      </c>
      <c r="X4778">
        <v>0.98680710000000005</v>
      </c>
      <c r="Y4778">
        <v>-0.21405979999999999</v>
      </c>
      <c r="Z4778">
        <v>4.8924470000000003E-4</v>
      </c>
      <c r="AA4778">
        <v>0.97682040000000003</v>
      </c>
      <c r="AB4778">
        <v>28</v>
      </c>
      <c r="AC4778">
        <v>13.2926999999999</v>
      </c>
      <c r="AD4778">
        <v>-1.1234279074504001</v>
      </c>
      <c r="AE4778">
        <v>5.1413000000000002</v>
      </c>
      <c r="AF4778">
        <v>-3.0919617022889998</v>
      </c>
      <c r="AG4778">
        <v>-1.1234279074504001</v>
      </c>
      <c r="AH4778">
        <v>13.822726320999401</v>
      </c>
      <c r="AI4778">
        <v>94.534859960827703</v>
      </c>
      <c r="AJ4778">
        <v>102.608749211656</v>
      </c>
      <c r="AK4778">
        <v>14.2088029185048</v>
      </c>
      <c r="AL4778">
        <v>84.821169161634401</v>
      </c>
      <c r="AM4778">
        <v>97.755914158454999</v>
      </c>
      <c r="AN4778">
        <v>0.99999996623972098</v>
      </c>
    </row>
    <row r="4779" spans="1:40" x14ac:dyDescent="0.25">
      <c r="A4779" t="str">
        <f>"20190303162656611"</f>
        <v>20190303162656611</v>
      </c>
      <c r="B4779" t="str">
        <f>"1551601616598799"</f>
        <v>1551601616598799</v>
      </c>
      <c r="C4779" t="s">
        <v>40</v>
      </c>
      <c r="D4779">
        <v>5.2894779999999999</v>
      </c>
      <c r="E4779">
        <v>0.52546329999999997</v>
      </c>
      <c r="F4779" t="s">
        <v>41</v>
      </c>
      <c r="G4779">
        <v>-261.87099999999998</v>
      </c>
      <c r="H4779" s="1">
        <v>-8.4580590000000003E-7</v>
      </c>
      <c r="I4779">
        <v>-55.845219999999998</v>
      </c>
      <c r="J4779">
        <v>-275.02510000000001</v>
      </c>
      <c r="K4779">
        <v>1.123434</v>
      </c>
      <c r="L4779">
        <v>-60.889130000000002</v>
      </c>
      <c r="M4779">
        <v>0.988317</v>
      </c>
      <c r="N4779">
        <v>-1.4387759999999999E-2</v>
      </c>
      <c r="O4779">
        <v>0.15173120000000001</v>
      </c>
      <c r="P4779">
        <v>0.95870880000000003</v>
      </c>
      <c r="Q4779">
        <v>7.7318789999999998E-2</v>
      </c>
      <c r="R4779">
        <v>0.27367709999999901</v>
      </c>
      <c r="S4779">
        <v>2.8395999999999999</v>
      </c>
      <c r="T4779">
        <v>-0.2374744</v>
      </c>
      <c r="U4779">
        <v>1.075836</v>
      </c>
      <c r="V4779">
        <v>-0.12559119999999999</v>
      </c>
      <c r="W4779">
        <v>9.0766579999999999E-2</v>
      </c>
      <c r="X4779">
        <v>0.98792120000000005</v>
      </c>
      <c r="Y4779">
        <v>-0.20784849999999999</v>
      </c>
      <c r="Z4779" s="1">
        <v>-6.108265E-5</v>
      </c>
      <c r="AA4779">
        <v>0.97816099999999995</v>
      </c>
      <c r="AB4779">
        <v>28</v>
      </c>
      <c r="AC4779">
        <v>13.1541</v>
      </c>
      <c r="AD4779">
        <v>-1.1234348458059</v>
      </c>
      <c r="AE4779">
        <v>5.0439100000000003</v>
      </c>
      <c r="AF4779">
        <v>-2.97051437011228</v>
      </c>
      <c r="AG4779">
        <v>-1.1234348458059</v>
      </c>
      <c r="AH4779">
        <v>13.680171151180099</v>
      </c>
      <c r="AI4779">
        <v>94.588226441872095</v>
      </c>
      <c r="AJ4779">
        <v>102.251032116931</v>
      </c>
      <c r="AK4779">
        <v>14.043971810046999</v>
      </c>
      <c r="AL4779">
        <v>84.7922906505691</v>
      </c>
      <c r="AM4779">
        <v>97.244963250806705</v>
      </c>
      <c r="AN4779">
        <v>1.0000000094858801</v>
      </c>
    </row>
    <row r="4780" spans="1:40" x14ac:dyDescent="0.25">
      <c r="A4780" t="str">
        <f>"20190303162656631"</f>
        <v>20190303162656631</v>
      </c>
      <c r="B4780" t="str">
        <f>"1551601616619295"</f>
        <v>1551601616619295</v>
      </c>
      <c r="C4780" t="s">
        <v>40</v>
      </c>
      <c r="D4780">
        <v>5.224977</v>
      </c>
      <c r="E4780">
        <v>0.52892850000000002</v>
      </c>
      <c r="F4780" t="s">
        <v>41</v>
      </c>
      <c r="G4780">
        <v>-261.45</v>
      </c>
      <c r="H4780" s="1">
        <v>-1.3071410000000001E-7</v>
      </c>
      <c r="I4780">
        <v>-57.994320000000002</v>
      </c>
      <c r="J4780">
        <v>-274.75779999999997</v>
      </c>
      <c r="K4780">
        <v>1.1234309999999901</v>
      </c>
      <c r="L4780">
        <v>-60.8446</v>
      </c>
      <c r="M4780">
        <v>0.98782650000000005</v>
      </c>
      <c r="N4780">
        <v>-1.436219E-2</v>
      </c>
      <c r="O4780">
        <v>0.15489539999999999</v>
      </c>
      <c r="P4780">
        <v>0.95957119999999996</v>
      </c>
      <c r="Q4780">
        <v>7.8684729999999994E-2</v>
      </c>
      <c r="R4780">
        <v>0.2702446</v>
      </c>
      <c r="S4780">
        <v>2.9683229999999998</v>
      </c>
      <c r="T4780">
        <v>-0.2456499</v>
      </c>
      <c r="U4780">
        <v>0.63296509999999995</v>
      </c>
      <c r="V4780">
        <v>-0.118906</v>
      </c>
      <c r="W4780">
        <v>9.2160229999999996E-2</v>
      </c>
      <c r="X4780">
        <v>0.98861909999999997</v>
      </c>
      <c r="Y4780">
        <v>-5.4658190000000002E-2</v>
      </c>
      <c r="Z4780">
        <v>-7.7221939999999999E-3</v>
      </c>
      <c r="AA4780">
        <v>0.99847529999999995</v>
      </c>
      <c r="AB4780">
        <v>28</v>
      </c>
      <c r="AC4780">
        <v>13.307799999999901</v>
      </c>
      <c r="AD4780">
        <v>-1.1234311307140901</v>
      </c>
      <c r="AE4780">
        <v>2.8502800000000001</v>
      </c>
      <c r="AF4780">
        <v>-0.74923760297767295</v>
      </c>
      <c r="AG4780">
        <v>-1.1234311307140901</v>
      </c>
      <c r="AH4780">
        <v>13.4967274642687</v>
      </c>
      <c r="AI4780">
        <v>94.750896105276595</v>
      </c>
      <c r="AJ4780">
        <v>93.177373001932693</v>
      </c>
      <c r="AK4780">
        <v>13.564110982143999</v>
      </c>
      <c r="AL4780">
        <v>84.712103879631201</v>
      </c>
      <c r="AM4780">
        <v>96.858296306586297</v>
      </c>
      <c r="AN4780">
        <v>0.99999993485722904</v>
      </c>
    </row>
    <row r="4781" spans="1:40" x14ac:dyDescent="0.25">
      <c r="A4781" t="str">
        <f>"20190303162656656"</f>
        <v>20190303162656656</v>
      </c>
      <c r="B4781" t="str">
        <f>"1551601616648574"</f>
        <v>1551601616648574</v>
      </c>
      <c r="C4781" t="s">
        <v>40</v>
      </c>
      <c r="D4781">
        <v>5.208577</v>
      </c>
      <c r="E4781">
        <v>0.53001869999999995</v>
      </c>
      <c r="F4781" t="s">
        <v>41</v>
      </c>
      <c r="G4781">
        <v>-263.11079999999998</v>
      </c>
      <c r="H4781" s="1">
        <v>-6.7158159999999896E-7</v>
      </c>
      <c r="I4781">
        <v>-58.513240000000003</v>
      </c>
      <c r="J4781">
        <v>-274.46190000000001</v>
      </c>
      <c r="K4781">
        <v>1.1234150000000001</v>
      </c>
      <c r="L4781">
        <v>-60.794249999999998</v>
      </c>
      <c r="M4781">
        <v>0.98727109999999996</v>
      </c>
      <c r="N4781">
        <v>-1.43372E-2</v>
      </c>
      <c r="O4781">
        <v>0.15839879999999901</v>
      </c>
      <c r="P4781">
        <v>0.96113979999999999</v>
      </c>
      <c r="Q4781">
        <v>7.7880489999999997E-2</v>
      </c>
      <c r="R4781">
        <v>0.26484930000000001</v>
      </c>
      <c r="S4781">
        <v>2.9818730000000002</v>
      </c>
      <c r="T4781">
        <v>-0.2876223</v>
      </c>
      <c r="U4781">
        <v>0.59686280000000003</v>
      </c>
      <c r="V4781">
        <v>-0.1098114</v>
      </c>
      <c r="W4781">
        <v>9.1405260000000002E-2</v>
      </c>
      <c r="X4781">
        <v>0.98974059999999997</v>
      </c>
      <c r="Y4781">
        <v>-3.8762699999999997E-2</v>
      </c>
      <c r="Z4781">
        <v>-1.0598929999999999E-2</v>
      </c>
      <c r="AA4781">
        <v>0.99919219999999997</v>
      </c>
      <c r="AB4781">
        <v>28</v>
      </c>
      <c r="AC4781">
        <v>11.351100000000001</v>
      </c>
      <c r="AD4781">
        <v>-1.1234156715815999</v>
      </c>
      <c r="AE4781">
        <v>2.28100999999999</v>
      </c>
      <c r="AF4781">
        <v>-0.449786642030923</v>
      </c>
      <c r="AG4781">
        <v>-1.1234156715815999</v>
      </c>
      <c r="AH4781">
        <v>11.4612062335306</v>
      </c>
      <c r="AI4781">
        <v>95.593911963931404</v>
      </c>
      <c r="AJ4781">
        <v>92.247377626793707</v>
      </c>
      <c r="AK4781">
        <v>11.524912976765799</v>
      </c>
      <c r="AL4781">
        <v>84.755543969149301</v>
      </c>
      <c r="AM4781">
        <v>96.331054896204705</v>
      </c>
      <c r="AN4781">
        <v>0.999999960206993</v>
      </c>
    </row>
    <row r="4782" spans="1:40" x14ac:dyDescent="0.25">
      <c r="A4782" t="str">
        <f>"20190303162656677"</f>
        <v>20190303162656677</v>
      </c>
      <c r="B4782" t="str">
        <f>"1551601616669071"</f>
        <v>1551601616669071</v>
      </c>
      <c r="C4782" t="s">
        <v>40</v>
      </c>
      <c r="D4782">
        <v>5.2387420000000002</v>
      </c>
      <c r="E4782">
        <v>0.52954449999999997</v>
      </c>
      <c r="F4782" t="s">
        <v>41</v>
      </c>
      <c r="G4782">
        <v>-263.68150000000003</v>
      </c>
      <c r="H4782" s="1">
        <v>-8.7789309999999995E-7</v>
      </c>
      <c r="I4782">
        <v>-58.730310000000003</v>
      </c>
      <c r="J4782">
        <v>-274.19459999999998</v>
      </c>
      <c r="K4782">
        <v>1.1234040000000001</v>
      </c>
      <c r="L4782">
        <v>-60.747889999999998</v>
      </c>
      <c r="M4782">
        <v>0.98675860000000004</v>
      </c>
      <c r="N4782">
        <v>-1.4317359999999999E-2</v>
      </c>
      <c r="O4782">
        <v>0.16156289999999901</v>
      </c>
      <c r="P4782">
        <v>0.96272970000000002</v>
      </c>
      <c r="Q4782">
        <v>7.6839759999999993E-2</v>
      </c>
      <c r="R4782">
        <v>0.25932119999999997</v>
      </c>
      <c r="S4782">
        <v>2.988861</v>
      </c>
      <c r="T4782">
        <v>-0.31146570000000001</v>
      </c>
      <c r="U4782">
        <v>0.57220459999999995</v>
      </c>
      <c r="V4782">
        <v>-0.1009135</v>
      </c>
      <c r="W4782">
        <v>9.04166E-2</v>
      </c>
      <c r="X4782">
        <v>0.99077809999999999</v>
      </c>
      <c r="Y4782">
        <v>-2.73171E-2</v>
      </c>
      <c r="Z4782">
        <v>-1.261409E-2</v>
      </c>
      <c r="AA4782">
        <v>0.99954719999999997</v>
      </c>
      <c r="AB4782">
        <v>28</v>
      </c>
      <c r="AC4782">
        <v>10.5130999999999</v>
      </c>
      <c r="AD4782">
        <v>-1.1234048778931001</v>
      </c>
      <c r="AE4782">
        <v>2.0175800000000002</v>
      </c>
      <c r="AF4782">
        <v>-0.28918269248578798</v>
      </c>
      <c r="AG4782">
        <v>-1.1234048778931001</v>
      </c>
      <c r="AH4782">
        <v>10.5843889449822</v>
      </c>
      <c r="AI4782">
        <v>96.056328337467804</v>
      </c>
      <c r="AJ4782">
        <v>91.565024393213506</v>
      </c>
      <c r="AK4782">
        <v>10.647767582360601</v>
      </c>
      <c r="AL4782">
        <v>84.812425613879</v>
      </c>
      <c r="AM4782">
        <v>95.815678942205807</v>
      </c>
      <c r="AN4782">
        <v>0.99999996973870897</v>
      </c>
    </row>
    <row r="4783" spans="1:40" x14ac:dyDescent="0.25">
      <c r="A4783" t="str">
        <f>"20190303162656698"</f>
        <v>20190303162656698</v>
      </c>
      <c r="B4783" t="str">
        <f>"1551601616688591"</f>
        <v>1551601616688591</v>
      </c>
      <c r="C4783" t="s">
        <v>40</v>
      </c>
      <c r="D4783">
        <v>5.2435919999999996</v>
      </c>
      <c r="E4783">
        <v>0.52921300000000004</v>
      </c>
      <c r="F4783" t="s">
        <v>41</v>
      </c>
      <c r="G4783">
        <v>-264.01010000000002</v>
      </c>
      <c r="H4783" s="1">
        <v>-9.9826960000000009E-7</v>
      </c>
      <c r="I4783">
        <v>-58.84639</v>
      </c>
      <c r="J4783">
        <v>-273.93509999999998</v>
      </c>
      <c r="K4783">
        <v>1.1233839999999999</v>
      </c>
      <c r="L4783">
        <v>-60.701999999999998</v>
      </c>
      <c r="M4783">
        <v>0.98625119999999999</v>
      </c>
      <c r="N4783">
        <v>-1.430009E-2</v>
      </c>
      <c r="O4783">
        <v>0.16463329999999901</v>
      </c>
      <c r="P4783">
        <v>0.96466819999999998</v>
      </c>
      <c r="Q4783">
        <v>7.6593090000000003E-2</v>
      </c>
      <c r="R4783">
        <v>0.25208920000000001</v>
      </c>
      <c r="S4783">
        <v>2.9919739999999999</v>
      </c>
      <c r="T4783">
        <v>-0.33002890000000001</v>
      </c>
      <c r="U4783">
        <v>0.55859380000000003</v>
      </c>
      <c r="V4783">
        <v>-9.0370279999999997E-2</v>
      </c>
      <c r="W4783">
        <v>9.0233750000000001E-2</v>
      </c>
      <c r="X4783">
        <v>0.99181200000000003</v>
      </c>
      <c r="Y4783">
        <v>-1.9754939999999999E-2</v>
      </c>
      <c r="Z4783">
        <v>-1.425643E-2</v>
      </c>
      <c r="AA4783">
        <v>0.99970320000000001</v>
      </c>
      <c r="AB4783">
        <v>28</v>
      </c>
      <c r="AC4783">
        <v>9.9249999999999492</v>
      </c>
      <c r="AD4783">
        <v>-1.1233849982696</v>
      </c>
      <c r="AE4783">
        <v>1.85560999999999</v>
      </c>
      <c r="AF4783">
        <v>-0.193733964651051</v>
      </c>
      <c r="AG4783">
        <v>-1.1233849982696</v>
      </c>
      <c r="AH4783">
        <v>9.9716346044047199</v>
      </c>
      <c r="AI4783">
        <v>96.426526858448597</v>
      </c>
      <c r="AJ4783">
        <v>91.113031376960095</v>
      </c>
      <c r="AK4783">
        <v>10.0365842489941</v>
      </c>
      <c r="AL4783">
        <v>84.8229452024556</v>
      </c>
      <c r="AM4783">
        <v>95.206205887677598</v>
      </c>
      <c r="AN4783">
        <v>0.99999998024517001</v>
      </c>
    </row>
    <row r="4784" spans="1:40" x14ac:dyDescent="0.25">
      <c r="A4784" t="str">
        <f>"20190303162656720"</f>
        <v>20190303162656720</v>
      </c>
      <c r="B4784" t="str">
        <f>"1551601616709087"</f>
        <v>1551601616709087</v>
      </c>
      <c r="C4784" t="s">
        <v>40</v>
      </c>
      <c r="D4784">
        <v>5.3132250000000001</v>
      </c>
      <c r="E4784">
        <v>0.52870349999999999</v>
      </c>
      <c r="F4784" t="s">
        <v>42</v>
      </c>
      <c r="G4784">
        <v>-273.16910000000001</v>
      </c>
      <c r="H4784">
        <v>1.0384960000000001</v>
      </c>
      <c r="I4784">
        <v>-60.564140000000002</v>
      </c>
      <c r="J4784">
        <v>-273.66219999999998</v>
      </c>
      <c r="K4784">
        <v>1.1233610000000001</v>
      </c>
      <c r="L4784">
        <v>-60.652889999999999</v>
      </c>
      <c r="M4784">
        <v>0.98570749999999996</v>
      </c>
      <c r="N4784">
        <v>-1.428391E-2</v>
      </c>
      <c r="O4784">
        <v>0.16785990000000001</v>
      </c>
      <c r="P4784">
        <v>0.96680520000000003</v>
      </c>
      <c r="Q4784">
        <v>7.7367699999999998E-2</v>
      </c>
      <c r="R4784">
        <v>0.24352019999999999</v>
      </c>
      <c r="S4784">
        <v>2.9952390000000002</v>
      </c>
      <c r="T4784">
        <v>-0.33205750000000001</v>
      </c>
      <c r="U4784">
        <v>0.5395508</v>
      </c>
      <c r="V4784">
        <v>-7.8316990000000003E-2</v>
      </c>
      <c r="W4784">
        <v>9.1080930000000004E-2</v>
      </c>
      <c r="X4784">
        <v>0.99275919999999895</v>
      </c>
      <c r="Y4784">
        <v>-1.022233E-2</v>
      </c>
      <c r="Z4784">
        <v>-1.524702E-2</v>
      </c>
      <c r="AA4784">
        <v>0.99983149999999998</v>
      </c>
      <c r="AB4784">
        <v>28</v>
      </c>
      <c r="AC4784">
        <v>0.49309999999996901</v>
      </c>
      <c r="AD4784">
        <v>-8.4865000000000093E-2</v>
      </c>
      <c r="AE4784">
        <v>8.87499999999974E-2</v>
      </c>
      <c r="AF4784">
        <v>-4.57893098910597E-3</v>
      </c>
      <c r="AG4784">
        <v>-8.4865000000000093E-2</v>
      </c>
      <c r="AH4784">
        <v>0.48702779767476001</v>
      </c>
      <c r="AI4784">
        <v>99.884163438413097</v>
      </c>
      <c r="AJ4784">
        <v>90.538666769948307</v>
      </c>
      <c r="AK4784">
        <v>0.49438761163881301</v>
      </c>
      <c r="AL4784">
        <v>84.774205062236902</v>
      </c>
      <c r="AM4784">
        <v>94.510619551107894</v>
      </c>
      <c r="AN4784">
        <v>1.00000005795848</v>
      </c>
    </row>
    <row r="4785" spans="1:40" x14ac:dyDescent="0.25">
      <c r="A4785" t="str">
        <f>"20190303162656746"</f>
        <v>20190303162656746</v>
      </c>
      <c r="B4785" t="str">
        <f>"1551601616739343"</f>
        <v>1551601616739343</v>
      </c>
      <c r="C4785" t="s">
        <v>40</v>
      </c>
      <c r="D4785">
        <v>5.3946990000000001</v>
      </c>
      <c r="E4785">
        <v>0.52748139999999999</v>
      </c>
      <c r="F4785" t="s">
        <v>42</v>
      </c>
      <c r="G4785">
        <v>-272.9194</v>
      </c>
      <c r="H4785">
        <v>1.0412859999999999</v>
      </c>
      <c r="I4785">
        <v>-60.524540000000002</v>
      </c>
      <c r="J4785">
        <v>-273.36630000000002</v>
      </c>
      <c r="K4785">
        <v>1.123367</v>
      </c>
      <c r="L4785">
        <v>-60.598509999999997</v>
      </c>
      <c r="M4785">
        <v>0.98510589999999998</v>
      </c>
      <c r="N4785">
        <v>-1.4268599999999999E-2</v>
      </c>
      <c r="O4785">
        <v>0.17135590000000001</v>
      </c>
      <c r="P4785">
        <v>0.96902750000000004</v>
      </c>
      <c r="Q4785">
        <v>7.9862829999999996E-2</v>
      </c>
      <c r="R4785">
        <v>0.23368330000000001</v>
      </c>
      <c r="S4785">
        <v>2.9987789999999999</v>
      </c>
      <c r="T4785">
        <v>-0.33153650000000001</v>
      </c>
      <c r="U4785">
        <v>0.51916499999999999</v>
      </c>
      <c r="V4785">
        <v>-6.4732109999999995E-2</v>
      </c>
      <c r="W4785">
        <v>9.3656240000000002E-2</v>
      </c>
      <c r="X4785">
        <v>0.99349799999999999</v>
      </c>
      <c r="Y4785" s="1">
        <v>4.2731000000000001E-5</v>
      </c>
      <c r="Z4785">
        <v>-1.6174230000000001E-2</v>
      </c>
      <c r="AA4785">
        <v>0.99986920000000001</v>
      </c>
      <c r="AB4785">
        <v>28</v>
      </c>
      <c r="AC4785">
        <v>0.446900000000027</v>
      </c>
      <c r="AD4785">
        <v>-8.2080999999999807E-2</v>
      </c>
      <c r="AE4785">
        <v>7.3969999999995595E-2</v>
      </c>
      <c r="AF4785">
        <v>3.5930703097140199E-3</v>
      </c>
      <c r="AG4785">
        <v>-8.2080999999999807E-2</v>
      </c>
      <c r="AH4785">
        <v>0.43856517668927503</v>
      </c>
      <c r="AI4785">
        <v>100.60037911004299</v>
      </c>
      <c r="AJ4785">
        <v>89.530598485011794</v>
      </c>
      <c r="AK4785">
        <v>0.44619459310904502</v>
      </c>
      <c r="AL4785">
        <v>84.626016837679202</v>
      </c>
      <c r="AM4785">
        <v>93.7278803109363</v>
      </c>
      <c r="AN4785">
        <v>1.0000000066799899</v>
      </c>
    </row>
    <row r="4786" spans="1:40" x14ac:dyDescent="0.25">
      <c r="A4786" t="str">
        <f>"20190303162656767"</f>
        <v>20190303162656767</v>
      </c>
      <c r="B4786" t="str">
        <f>"1551601616758862"</f>
        <v>1551601616758862</v>
      </c>
      <c r="C4786" t="s">
        <v>40</v>
      </c>
      <c r="D4786">
        <v>5.3655749999999998</v>
      </c>
      <c r="E4786">
        <v>0.526563</v>
      </c>
      <c r="F4786" t="s">
        <v>42</v>
      </c>
      <c r="G4786">
        <v>-272.44529999999997</v>
      </c>
      <c r="H4786">
        <v>1.022953</v>
      </c>
      <c r="I4786">
        <v>-60.445749999999997</v>
      </c>
      <c r="J4786">
        <v>-273.08879999999999</v>
      </c>
      <c r="K4786">
        <v>1.1233930000000001</v>
      </c>
      <c r="L4786">
        <v>-60.54654</v>
      </c>
      <c r="M4786">
        <v>0.98453029999999997</v>
      </c>
      <c r="N4786">
        <v>-1.4255800000000001E-2</v>
      </c>
      <c r="O4786">
        <v>0.17463339999999999</v>
      </c>
      <c r="P4786">
        <v>0.97075820000000002</v>
      </c>
      <c r="Q4786">
        <v>8.4584099999999995E-2</v>
      </c>
      <c r="R4786">
        <v>0.22466430000000001</v>
      </c>
      <c r="S4786">
        <v>3.0025629999999999</v>
      </c>
      <c r="T4786">
        <v>-0.32757219999999998</v>
      </c>
      <c r="U4786">
        <v>0.49899290000000002</v>
      </c>
      <c r="V4786">
        <v>-5.2265600000000002E-2</v>
      </c>
      <c r="W4786">
        <v>9.8446229999999996E-2</v>
      </c>
      <c r="X4786">
        <v>0.99376889999999996</v>
      </c>
      <c r="Y4786">
        <v>1.005471E-2</v>
      </c>
      <c r="Z4786">
        <v>-1.6857339999999998E-2</v>
      </c>
      <c r="AA4786">
        <v>0.99980740000000001</v>
      </c>
      <c r="AB4786">
        <v>28</v>
      </c>
      <c r="AC4786">
        <v>0.64350000000001695</v>
      </c>
      <c r="AD4786">
        <v>-0.10044</v>
      </c>
      <c r="AE4786">
        <v>0.100790000000003</v>
      </c>
      <c r="AF4786">
        <v>1.28417580896699E-2</v>
      </c>
      <c r="AG4786">
        <v>-0.10044</v>
      </c>
      <c r="AH4786">
        <v>0.63608731738436997</v>
      </c>
      <c r="AI4786">
        <v>98.971281793248394</v>
      </c>
      <c r="AJ4786">
        <v>88.843431426911494</v>
      </c>
      <c r="AK4786">
        <v>0.64409640558543502</v>
      </c>
      <c r="AL4786">
        <v>84.350295433704503</v>
      </c>
      <c r="AM4786">
        <v>93.0106011476486</v>
      </c>
      <c r="AN4786">
        <v>0.999999989875891</v>
      </c>
    </row>
    <row r="4787" spans="1:40" x14ac:dyDescent="0.25">
      <c r="A4787" t="str">
        <f>"20190303162656788"</f>
        <v>20190303162656788</v>
      </c>
      <c r="B4787" t="str">
        <f>"1551601616779358"</f>
        <v>1551601616779358</v>
      </c>
      <c r="C4787" t="s">
        <v>40</v>
      </c>
      <c r="D4787">
        <v>5.3865080000000001</v>
      </c>
      <c r="E4787">
        <v>0.52598789999999995</v>
      </c>
      <c r="F4787" t="s">
        <v>42</v>
      </c>
      <c r="G4787">
        <v>-272.1961</v>
      </c>
      <c r="H4787">
        <v>1.030397</v>
      </c>
      <c r="I4787">
        <v>-60.405119999999997</v>
      </c>
      <c r="J4787">
        <v>-272.84190000000001</v>
      </c>
      <c r="K4787">
        <v>1.1234440000000001</v>
      </c>
      <c r="L4787">
        <v>-60.499540000000003</v>
      </c>
      <c r="M4787">
        <v>0.98400860000000001</v>
      </c>
      <c r="N4787">
        <v>-1.4245519999999999E-2</v>
      </c>
      <c r="O4787">
        <v>0.17755090000000001</v>
      </c>
      <c r="P4787">
        <v>0.97199069999999999</v>
      </c>
      <c r="Q4787">
        <v>9.2225269999999998E-2</v>
      </c>
      <c r="R4787">
        <v>0.2161681</v>
      </c>
      <c r="S4787">
        <v>3.007355</v>
      </c>
      <c r="T4787">
        <v>-0.31333860000000002</v>
      </c>
      <c r="U4787">
        <v>0.47665410000000002</v>
      </c>
      <c r="V4787">
        <v>-4.0780360000000002E-2</v>
      </c>
      <c r="W4787">
        <v>0.10614469999999999</v>
      </c>
      <c r="X4787">
        <v>0.99351409999999996</v>
      </c>
      <c r="Y4787">
        <v>2.0517759999999999E-2</v>
      </c>
      <c r="Z4787">
        <v>-1.6878549999999999E-2</v>
      </c>
      <c r="AA4787">
        <v>0.99964699999999995</v>
      </c>
      <c r="AB4787">
        <v>28</v>
      </c>
      <c r="AC4787">
        <v>0.64580000000000803</v>
      </c>
      <c r="AD4787">
        <v>-9.3047000000000102E-2</v>
      </c>
      <c r="AE4787">
        <v>9.4420000000006596E-2</v>
      </c>
      <c r="AF4787">
        <v>2.1321140171334799E-2</v>
      </c>
      <c r="AG4787">
        <v>-9.3047000000000102E-2</v>
      </c>
      <c r="AH4787">
        <v>0.63930950459286495</v>
      </c>
      <c r="AI4787">
        <v>98.276316240340904</v>
      </c>
      <c r="AJ4787">
        <v>88.089878640778693</v>
      </c>
      <c r="AK4787">
        <v>0.64639691977142</v>
      </c>
      <c r="AL4787">
        <v>83.906878381762795</v>
      </c>
      <c r="AM4787">
        <v>92.350476576512307</v>
      </c>
      <c r="AN4787">
        <v>1.00000000099931</v>
      </c>
    </row>
    <row r="4788" spans="1:40" x14ac:dyDescent="0.25">
      <c r="A4788" t="str">
        <f>"20190303162656810"</f>
        <v>20190303162656810</v>
      </c>
      <c r="B4788" t="str">
        <f>"1551601616798879"</f>
        <v>1551601616798879</v>
      </c>
      <c r="C4788" t="s">
        <v>40</v>
      </c>
      <c r="D4788">
        <v>5.4518760000000004</v>
      </c>
      <c r="E4788">
        <v>0.53666569999999902</v>
      </c>
      <c r="F4788" t="s">
        <v>42</v>
      </c>
      <c r="G4788">
        <v>-271.94690000000003</v>
      </c>
      <c r="H4788">
        <v>1.0380940000000001</v>
      </c>
      <c r="I4788">
        <v>-60.364699999999999</v>
      </c>
      <c r="J4788">
        <v>-272.56799999999998</v>
      </c>
      <c r="K4788">
        <v>1.123515</v>
      </c>
      <c r="L4788">
        <v>-60.446469999999998</v>
      </c>
      <c r="M4788">
        <v>0.9834195</v>
      </c>
      <c r="N4788">
        <v>-1.423516E-2</v>
      </c>
      <c r="O4788">
        <v>0.18078640000000001</v>
      </c>
      <c r="P4788">
        <v>0.97278220000000004</v>
      </c>
      <c r="Q4788">
        <v>0.1057623</v>
      </c>
      <c r="R4788">
        <v>0.2061788</v>
      </c>
      <c r="S4788">
        <v>3.0125730000000002</v>
      </c>
      <c r="T4788">
        <v>-0.2875066</v>
      </c>
      <c r="U4788">
        <v>0.45492549999999998</v>
      </c>
      <c r="V4788">
        <v>-2.762001E-2</v>
      </c>
      <c r="W4788">
        <v>0.1197375</v>
      </c>
      <c r="X4788">
        <v>0.99242129999999995</v>
      </c>
      <c r="Y4788">
        <v>3.119444E-2</v>
      </c>
      <c r="Z4788">
        <v>-1.6116080000000001E-2</v>
      </c>
      <c r="AA4788">
        <v>0.99938340000000003</v>
      </c>
      <c r="AB4788">
        <v>28</v>
      </c>
      <c r="AC4788">
        <v>0.62109999999995502</v>
      </c>
      <c r="AD4788">
        <v>-8.54209999999999E-2</v>
      </c>
      <c r="AE4788">
        <v>8.1769999999998705E-2</v>
      </c>
      <c r="AF4788">
        <v>3.1293612105595198E-2</v>
      </c>
      <c r="AG4788">
        <v>-8.54209999999999E-2</v>
      </c>
      <c r="AH4788">
        <v>0.61422788721670396</v>
      </c>
      <c r="AI4788">
        <v>97.907247216445697</v>
      </c>
      <c r="AJ4788">
        <v>87.083422945036304</v>
      </c>
      <c r="AK4788">
        <v>0.62092828477555395</v>
      </c>
      <c r="AL4788">
        <v>83.123046691881498</v>
      </c>
      <c r="AM4788">
        <v>91.5941834475815</v>
      </c>
      <c r="AN4788">
        <v>0.99999998527616996</v>
      </c>
    </row>
    <row r="4789" spans="1:40" x14ac:dyDescent="0.25">
      <c r="A4789" t="str">
        <f>"20190303162656834"</f>
        <v>20190303162656834</v>
      </c>
      <c r="B4789" t="str">
        <f>"1551601616829135"</f>
        <v>1551601616829135</v>
      </c>
      <c r="C4789" t="s">
        <v>40</v>
      </c>
      <c r="D4789">
        <v>5.3969239999999896</v>
      </c>
      <c r="E4789">
        <v>0.539354</v>
      </c>
      <c r="F4789" t="s">
        <v>68</v>
      </c>
      <c r="G4789">
        <v>-232.19229999999999</v>
      </c>
      <c r="H4789" s="1">
        <v>-9.2657270000000002E-7</v>
      </c>
      <c r="I4789">
        <v>-55.898589999999999</v>
      </c>
      <c r="J4789">
        <v>-272.28699999999998</v>
      </c>
      <c r="K4789">
        <v>1.123594</v>
      </c>
      <c r="L4789">
        <v>-60.391109999999998</v>
      </c>
      <c r="M4789">
        <v>0.98280310000000004</v>
      </c>
      <c r="N4789">
        <v>-1.4225730000000001E-2</v>
      </c>
      <c r="O4789">
        <v>0.1841083</v>
      </c>
      <c r="P4789">
        <v>0.9733195</v>
      </c>
      <c r="Q4789">
        <v>0.1205542</v>
      </c>
      <c r="R4789">
        <v>0.19523409999999999</v>
      </c>
      <c r="S4789">
        <v>3.0209350000000001</v>
      </c>
      <c r="T4789">
        <v>-8.4062100000000001E-2</v>
      </c>
      <c r="U4789">
        <v>0.34027099999999999</v>
      </c>
      <c r="V4789">
        <v>-1.3491619999999999E-2</v>
      </c>
      <c r="W4789">
        <v>0.13458419999999999</v>
      </c>
      <c r="X4789">
        <v>0.99081030000000003</v>
      </c>
      <c r="Y4789">
        <v>7.2895740000000001E-2</v>
      </c>
      <c r="Z4789">
        <v>-3.9731760000000001E-3</v>
      </c>
      <c r="AA4789">
        <v>0.99733170000000004</v>
      </c>
      <c r="AB4789">
        <v>28</v>
      </c>
      <c r="AC4789">
        <v>40.094700000000003</v>
      </c>
      <c r="AD4789">
        <v>-1.1235949265727001</v>
      </c>
      <c r="AE4789">
        <v>4.4925199999999901</v>
      </c>
      <c r="AF4789">
        <v>2.9645052193747801</v>
      </c>
      <c r="AG4789">
        <v>-1.1235949265727001</v>
      </c>
      <c r="AH4789">
        <v>40.2051914076347</v>
      </c>
      <c r="AI4789">
        <v>91.5964689449075</v>
      </c>
      <c r="AJ4789">
        <v>85.782962003463197</v>
      </c>
      <c r="AK4789">
        <v>40.329990985360602</v>
      </c>
      <c r="AL4789">
        <v>82.265423042714104</v>
      </c>
      <c r="AM4789">
        <v>90.780134314099399</v>
      </c>
      <c r="AN4789">
        <v>0.99999999064297695</v>
      </c>
    </row>
    <row r="4790" spans="1:40" x14ac:dyDescent="0.25">
      <c r="A4790" t="str">
        <f>"20190303162656856"</f>
        <v>20190303162656856</v>
      </c>
      <c r="B4790" t="str">
        <f>"1551601616848655"</f>
        <v>1551601616848655</v>
      </c>
      <c r="C4790" t="s">
        <v>40</v>
      </c>
      <c r="D4790">
        <v>5.3427280000000001</v>
      </c>
      <c r="E4790">
        <v>0.53802119999999998</v>
      </c>
      <c r="F4790" t="s">
        <v>56</v>
      </c>
      <c r="G4790">
        <v>-157.3501</v>
      </c>
      <c r="H4790">
        <v>1.5614189999999999</v>
      </c>
      <c r="I4790">
        <v>-49.504170000000002</v>
      </c>
      <c r="J4790">
        <v>-272.0127</v>
      </c>
      <c r="K4790">
        <v>1.1236759999999999</v>
      </c>
      <c r="L4790">
        <v>-60.336089999999999</v>
      </c>
      <c r="M4790">
        <v>0.98219009999999995</v>
      </c>
      <c r="N4790">
        <v>-1.421737E-2</v>
      </c>
      <c r="O4790">
        <v>0.1873513</v>
      </c>
      <c r="P4790">
        <v>0.97409889999999999</v>
      </c>
      <c r="Q4790">
        <v>0.1360654</v>
      </c>
      <c r="R4790">
        <v>0.18060380000000001</v>
      </c>
      <c r="S4790">
        <v>3.0233759999999998</v>
      </c>
      <c r="T4790">
        <v>1.151633E-2</v>
      </c>
      <c r="U4790">
        <v>0.28637699999999999</v>
      </c>
      <c r="V4790">
        <v>4.2121440000000001E-3</v>
      </c>
      <c r="W4790">
        <v>0.1501651</v>
      </c>
      <c r="X4790">
        <v>0.98865199999999998</v>
      </c>
      <c r="Y4790">
        <v>9.3878020000000006E-2</v>
      </c>
      <c r="Z4790">
        <v>2.8924139999999998E-3</v>
      </c>
      <c r="AA4790">
        <v>0.99557949999999995</v>
      </c>
      <c r="AB4790">
        <v>28</v>
      </c>
      <c r="AC4790">
        <v>114.6626</v>
      </c>
      <c r="AD4790">
        <v>0.43774299999999999</v>
      </c>
      <c r="AE4790">
        <v>10.83192</v>
      </c>
      <c r="AF4790">
        <v>10.8441217913253</v>
      </c>
      <c r="AG4790">
        <v>0.43774299999999999</v>
      </c>
      <c r="AH4790">
        <v>114.65977552157101</v>
      </c>
      <c r="AI4790">
        <v>89.782231540651793</v>
      </c>
      <c r="AJ4790">
        <v>84.597235432130304</v>
      </c>
      <c r="AK4790">
        <v>115.172265407155</v>
      </c>
      <c r="AL4790">
        <v>81.363505869899697</v>
      </c>
      <c r="AM4790">
        <v>89.755893263071599</v>
      </c>
      <c r="AN4790">
        <v>1.00000003825954</v>
      </c>
    </row>
    <row r="4791" spans="1:40" x14ac:dyDescent="0.25">
      <c r="A4791" t="str">
        <f>"20190303162656876"</f>
        <v>20190303162656876</v>
      </c>
      <c r="B4791" t="str">
        <f>"1551601616869150"</f>
        <v>1551601616869150</v>
      </c>
      <c r="C4791" t="s">
        <v>40</v>
      </c>
      <c r="D4791">
        <v>5.3750859999999996</v>
      </c>
      <c r="E4791">
        <v>0.53561559999999997</v>
      </c>
      <c r="F4791" t="s">
        <v>56</v>
      </c>
      <c r="G4791">
        <v>-157.3501</v>
      </c>
      <c r="H4791">
        <v>2.8557090000000001</v>
      </c>
      <c r="I4791">
        <v>-50.693660000000001</v>
      </c>
      <c r="J4791">
        <v>-271.75779999999997</v>
      </c>
      <c r="K4791">
        <v>1.1237280000000001</v>
      </c>
      <c r="L4791">
        <v>-60.284179999999999</v>
      </c>
      <c r="M4791">
        <v>0.98161069999999995</v>
      </c>
      <c r="N4791">
        <v>-1.4210230000000001E-2</v>
      </c>
      <c r="O4791">
        <v>0.19036449999999999</v>
      </c>
      <c r="P4791">
        <v>0.97564079999999997</v>
      </c>
      <c r="Q4791">
        <v>0.14663809999999999</v>
      </c>
      <c r="R4791">
        <v>0.16316349999999999</v>
      </c>
      <c r="S4791">
        <v>3.0262150000000001</v>
      </c>
      <c r="T4791">
        <v>4.5711870000000002E-2</v>
      </c>
      <c r="U4791">
        <v>0.25448609999999999</v>
      </c>
      <c r="V4791">
        <v>2.460621E-2</v>
      </c>
      <c r="W4791">
        <v>0.160825</v>
      </c>
      <c r="X4791">
        <v>0.9866762</v>
      </c>
      <c r="Y4791">
        <v>0.1073669</v>
      </c>
      <c r="Z4791">
        <v>5.6146130000000001E-3</v>
      </c>
      <c r="AA4791">
        <v>0.99420359999999997</v>
      </c>
      <c r="AB4791">
        <v>28</v>
      </c>
      <c r="AC4791">
        <v>114.407699999999</v>
      </c>
      <c r="AD4791">
        <v>1.731981</v>
      </c>
      <c r="AE4791">
        <v>9.5905200000000104</v>
      </c>
      <c r="AF4791">
        <v>12.363441641917101</v>
      </c>
      <c r="AG4791">
        <v>1.731981</v>
      </c>
      <c r="AH4791">
        <v>114.115063576175</v>
      </c>
      <c r="AI4791">
        <v>89.135518311547898</v>
      </c>
      <c r="AJ4791">
        <v>83.816585272232302</v>
      </c>
      <c r="AK4791">
        <v>114.795915355956</v>
      </c>
      <c r="AL4791">
        <v>80.745214923287705</v>
      </c>
      <c r="AM4791">
        <v>88.571426147226802</v>
      </c>
      <c r="AN4791">
        <v>1.0000000349210001</v>
      </c>
    </row>
    <row r="4792" spans="1:40" x14ac:dyDescent="0.25">
      <c r="A4792" t="str">
        <f>"20190303162656899"</f>
        <v>20190303162656899</v>
      </c>
      <c r="B4792" t="str">
        <f>"1551601616888671"</f>
        <v>1551601616888671</v>
      </c>
      <c r="C4792" t="s">
        <v>40</v>
      </c>
      <c r="D4792">
        <v>5.3893060000000004</v>
      </c>
      <c r="E4792">
        <v>0.53379319999999997</v>
      </c>
      <c r="F4792" t="s">
        <v>56</v>
      </c>
      <c r="G4792">
        <v>-157.9383</v>
      </c>
      <c r="H4792">
        <v>3.0546639999999998</v>
      </c>
      <c r="I4792">
        <v>-51.8992</v>
      </c>
      <c r="J4792">
        <v>-271.48719999999997</v>
      </c>
      <c r="K4792">
        <v>1.1237600000000001</v>
      </c>
      <c r="L4792">
        <v>-60.228149999999999</v>
      </c>
      <c r="M4792">
        <v>0.98098479999999999</v>
      </c>
      <c r="N4792">
        <v>-1.420333E-2</v>
      </c>
      <c r="O4792">
        <v>0.1935646</v>
      </c>
      <c r="P4792">
        <v>0.97778609999999999</v>
      </c>
      <c r="Q4792">
        <v>0.1528872</v>
      </c>
      <c r="R4792">
        <v>0.1433876</v>
      </c>
      <c r="S4792">
        <v>3.029846</v>
      </c>
      <c r="T4792">
        <v>5.1400420000000002E-2</v>
      </c>
      <c r="U4792">
        <v>0.2232056</v>
      </c>
      <c r="V4792">
        <v>4.7613040000000002E-2</v>
      </c>
      <c r="W4792">
        <v>0.16717799999999999</v>
      </c>
      <c r="X4792">
        <v>0.9847764</v>
      </c>
      <c r="Y4792">
        <v>0.1208847</v>
      </c>
      <c r="Z4792">
        <v>6.1851900000000001E-3</v>
      </c>
      <c r="AA4792">
        <v>0.99264730000000001</v>
      </c>
      <c r="AB4792">
        <v>28</v>
      </c>
      <c r="AC4792">
        <v>113.54889999999899</v>
      </c>
      <c r="AD4792">
        <v>1.930904</v>
      </c>
      <c r="AE4792">
        <v>8.3289499999999901</v>
      </c>
      <c r="AF4792">
        <v>13.8058950348073</v>
      </c>
      <c r="AG4792">
        <v>1.930904</v>
      </c>
      <c r="AH4792">
        <v>112.9808293339</v>
      </c>
      <c r="AI4792">
        <v>89.028107088059599</v>
      </c>
      <c r="AJ4792">
        <v>83.033178795746096</v>
      </c>
      <c r="AK4792">
        <v>113.83759890715</v>
      </c>
      <c r="AL4792">
        <v>80.376217853163098</v>
      </c>
      <c r="AM4792">
        <v>87.2319569100938</v>
      </c>
      <c r="AN4792">
        <v>1.0000000216295</v>
      </c>
    </row>
    <row r="4793" spans="1:40" x14ac:dyDescent="0.25">
      <c r="A4793" t="str">
        <f>"20190303162656922"</f>
        <v>20190303162656922</v>
      </c>
      <c r="B4793" t="str">
        <f>"1551601616909167"</f>
        <v>1551601616909167</v>
      </c>
      <c r="C4793" t="s">
        <v>40</v>
      </c>
      <c r="D4793">
        <v>5.4359149999999996</v>
      </c>
      <c r="E4793">
        <v>0.52343300000000004</v>
      </c>
      <c r="F4793" t="s">
        <v>56</v>
      </c>
      <c r="G4793">
        <v>-157.9383</v>
      </c>
      <c r="H4793">
        <v>3.0038070000000001</v>
      </c>
      <c r="I4793">
        <v>-53.485770000000002</v>
      </c>
      <c r="J4793">
        <v>-271.21069999999997</v>
      </c>
      <c r="K4793">
        <v>1.1237710000000001</v>
      </c>
      <c r="L4793">
        <v>-60.16995</v>
      </c>
      <c r="M4793">
        <v>0.98033389999999998</v>
      </c>
      <c r="N4793">
        <v>-1.419663E-2</v>
      </c>
      <c r="O4793">
        <v>0.19683539999999999</v>
      </c>
      <c r="P4793">
        <v>0.97974859999999997</v>
      </c>
      <c r="Q4793">
        <v>0.15700500000000001</v>
      </c>
      <c r="R4793">
        <v>0.1242679</v>
      </c>
      <c r="S4793">
        <v>3.0338440000000002</v>
      </c>
      <c r="T4793">
        <v>5.023122E-2</v>
      </c>
      <c r="U4793">
        <v>0.18014530000000001</v>
      </c>
      <c r="V4793">
        <v>7.0014699999999999E-2</v>
      </c>
      <c r="W4793">
        <v>0.17139299999999999</v>
      </c>
      <c r="X4793">
        <v>0.98271169999999997</v>
      </c>
      <c r="Y4793">
        <v>0.13829949999999999</v>
      </c>
      <c r="Z4793">
        <v>6.2059039999999999E-3</v>
      </c>
      <c r="AA4793">
        <v>0.990371</v>
      </c>
      <c r="AB4793">
        <v>28</v>
      </c>
      <c r="AC4793">
        <v>113.272399999999</v>
      </c>
      <c r="AD4793">
        <v>1.880036</v>
      </c>
      <c r="AE4793">
        <v>6.6841799999999996</v>
      </c>
      <c r="AF4793">
        <v>15.740553377489199</v>
      </c>
      <c r="AG4793">
        <v>1.880036</v>
      </c>
      <c r="AH4793">
        <v>112.340926124544</v>
      </c>
      <c r="AI4793">
        <v>89.050512357158794</v>
      </c>
      <c r="AJ4793">
        <v>82.0239751172561</v>
      </c>
      <c r="AK4793">
        <v>113.453881548897</v>
      </c>
      <c r="AL4793">
        <v>80.131178625700599</v>
      </c>
      <c r="AM4793">
        <v>85.924766335121106</v>
      </c>
      <c r="AN4793">
        <v>0.99999995199098801</v>
      </c>
    </row>
    <row r="4794" spans="1:40" x14ac:dyDescent="0.25">
      <c r="A4794" t="str">
        <f>"20190303162656946"</f>
        <v>20190303162656946</v>
      </c>
      <c r="B4794" t="str">
        <f>"1551601616939422"</f>
        <v>1551601616939422</v>
      </c>
      <c r="C4794" t="s">
        <v>40</v>
      </c>
      <c r="D4794">
        <v>5.4161919999999997</v>
      </c>
      <c r="E4794">
        <v>0.51944520000000005</v>
      </c>
      <c r="F4794" t="s">
        <v>68</v>
      </c>
      <c r="G4794">
        <v>-235.4357</v>
      </c>
      <c r="H4794" s="1">
        <v>-1.800155E-6</v>
      </c>
      <c r="I4794">
        <v>-57.671309999999998</v>
      </c>
      <c r="J4794">
        <v>-270.92829999999998</v>
      </c>
      <c r="K4794">
        <v>1.1237710000000001</v>
      </c>
      <c r="L4794">
        <v>-60.109439999999999</v>
      </c>
      <c r="M4794">
        <v>0.97965760000000002</v>
      </c>
      <c r="N4794">
        <v>-1.419028E-2</v>
      </c>
      <c r="O4794">
        <v>0.20017380000000001</v>
      </c>
      <c r="P4794">
        <v>0.98170389999999996</v>
      </c>
      <c r="Q4794">
        <v>0.1579834</v>
      </c>
      <c r="R4794">
        <v>0.10629520000000001</v>
      </c>
      <c r="S4794">
        <v>3.0503849999999999</v>
      </c>
      <c r="T4794">
        <v>-9.5819230000000005E-2</v>
      </c>
      <c r="U4794">
        <v>0.21304319999999999</v>
      </c>
      <c r="V4794">
        <v>9.1367799999999999E-2</v>
      </c>
      <c r="W4794">
        <v>0.17246259999999999</v>
      </c>
      <c r="X4794">
        <v>0.98076940000000001</v>
      </c>
      <c r="Y4794">
        <v>0.13132460000000001</v>
      </c>
      <c r="Z4794">
        <v>-6.3722309999999999E-3</v>
      </c>
      <c r="AA4794">
        <v>0.9913189</v>
      </c>
      <c r="AB4794">
        <v>28</v>
      </c>
      <c r="AC4794">
        <v>35.492599999999896</v>
      </c>
      <c r="AD4794">
        <v>-1.12377280015499</v>
      </c>
      <c r="AE4794">
        <v>2.4381300000000001</v>
      </c>
      <c r="AF4794">
        <v>4.7119296131651502</v>
      </c>
      <c r="AG4794">
        <v>-1.12377280015499</v>
      </c>
      <c r="AH4794">
        <v>35.227047797750103</v>
      </c>
      <c r="AI4794">
        <v>91.8110460809594</v>
      </c>
      <c r="AJ4794">
        <v>82.381403178972207</v>
      </c>
      <c r="AK4794">
        <v>35.558543875287697</v>
      </c>
      <c r="AL4794">
        <v>80.068969398816407</v>
      </c>
      <c r="AM4794">
        <v>84.677726006453099</v>
      </c>
      <c r="AN4794">
        <v>1.00000001962597</v>
      </c>
    </row>
    <row r="4795" spans="1:40" x14ac:dyDescent="0.25">
      <c r="A4795" t="str">
        <f>"20190303162656967"</f>
        <v>20190303162656967</v>
      </c>
      <c r="B4795" t="str">
        <f>"1551601616958944"</f>
        <v>1551601616958944</v>
      </c>
      <c r="C4795" t="s">
        <v>40</v>
      </c>
      <c r="D4795">
        <v>5.6211140000000004</v>
      </c>
      <c r="E4795">
        <v>0.51430520000000002</v>
      </c>
      <c r="F4795" t="s">
        <v>69</v>
      </c>
      <c r="G4795">
        <v>-241.22149999999999</v>
      </c>
      <c r="H4795" s="1">
        <v>2.7400119999999999E-8</v>
      </c>
      <c r="I4795">
        <v>-58.242310000000003</v>
      </c>
      <c r="J4795">
        <v>-270.6669</v>
      </c>
      <c r="K4795">
        <v>1.123772</v>
      </c>
      <c r="L4795">
        <v>-60.052489999999999</v>
      </c>
      <c r="M4795">
        <v>0.97902610000000001</v>
      </c>
      <c r="N4795">
        <v>-1.418468E-2</v>
      </c>
      <c r="O4795">
        <v>0.20324059999999999</v>
      </c>
      <c r="P4795">
        <v>0.98327050000000005</v>
      </c>
      <c r="Q4795">
        <v>0.15963769999999999</v>
      </c>
      <c r="R4795">
        <v>8.77217E-2</v>
      </c>
      <c r="S4795">
        <v>3.0537109999999998</v>
      </c>
      <c r="T4795">
        <v>-0.115518</v>
      </c>
      <c r="U4795">
        <v>0.19192500000000001</v>
      </c>
      <c r="V4795">
        <v>0.11294750000000001</v>
      </c>
      <c r="W4795">
        <v>0.1741983</v>
      </c>
      <c r="X4795">
        <v>0.97821150000000001</v>
      </c>
      <c r="Y4795">
        <v>0.14125170000000001</v>
      </c>
      <c r="Z4795">
        <v>-8.3973740000000009E-3</v>
      </c>
      <c r="AA4795">
        <v>0.98993810000000004</v>
      </c>
      <c r="AB4795">
        <v>28</v>
      </c>
      <c r="AC4795">
        <v>29.445399999999999</v>
      </c>
      <c r="AD4795">
        <v>-1.12377197259988</v>
      </c>
      <c r="AE4795">
        <v>1.8101799999999999</v>
      </c>
      <c r="AF4795">
        <v>4.2066070113705498</v>
      </c>
      <c r="AG4795">
        <v>-1.12377197259988</v>
      </c>
      <c r="AH4795">
        <v>29.156346653511001</v>
      </c>
      <c r="AI4795">
        <v>92.184657935768996</v>
      </c>
      <c r="AJ4795">
        <v>81.790156444013206</v>
      </c>
      <c r="AK4795">
        <v>29.4796702182065</v>
      </c>
      <c r="AL4795">
        <v>79.967992107940901</v>
      </c>
      <c r="AM4795">
        <v>83.413607933371694</v>
      </c>
      <c r="AN4795">
        <v>0.99999996210569397</v>
      </c>
    </row>
    <row r="4796" spans="1:40" x14ac:dyDescent="0.25">
      <c r="A4796" t="str">
        <f>"20190303162656989"</f>
        <v>20190303162656989</v>
      </c>
      <c r="B4796" t="str">
        <f>"1551601616979439"</f>
        <v>1551601616979439</v>
      </c>
      <c r="C4796" t="s">
        <v>40</v>
      </c>
      <c r="D4796">
        <v>5.5705900000000002</v>
      </c>
      <c r="E4796">
        <v>0.51281330000000003</v>
      </c>
      <c r="F4796" t="s">
        <v>68</v>
      </c>
      <c r="G4796">
        <v>-236.5112</v>
      </c>
      <c r="H4796" s="1">
        <v>-2.1854989999999998E-6</v>
      </c>
      <c r="I4796">
        <v>-58.10013</v>
      </c>
      <c r="J4796">
        <v>-270.41269999999997</v>
      </c>
      <c r="K4796">
        <v>1.123742</v>
      </c>
      <c r="L4796">
        <v>-59.996369999999999</v>
      </c>
      <c r="M4796">
        <v>0.97841140000000004</v>
      </c>
      <c r="N4796">
        <v>-1.417876E-2</v>
      </c>
      <c r="O4796">
        <v>0.20618</v>
      </c>
      <c r="P4796">
        <v>0.98429420000000001</v>
      </c>
      <c r="Q4796">
        <v>0.1608067</v>
      </c>
      <c r="R4796">
        <v>7.2845439999999997E-2</v>
      </c>
      <c r="S4796">
        <v>3.0518190000000001</v>
      </c>
      <c r="T4796">
        <v>-0.1004094</v>
      </c>
      <c r="U4796">
        <v>0.1744385</v>
      </c>
      <c r="V4796">
        <v>0.13066659999999999</v>
      </c>
      <c r="W4796">
        <v>0.17542089999999999</v>
      </c>
      <c r="X4796">
        <v>0.97578359999999997</v>
      </c>
      <c r="Y4796">
        <v>0.1498756</v>
      </c>
      <c r="Z4796">
        <v>-7.31539199999999E-3</v>
      </c>
      <c r="AA4796">
        <v>0.98867780000000005</v>
      </c>
      <c r="AB4796">
        <v>28</v>
      </c>
      <c r="AC4796">
        <v>33.901499999999899</v>
      </c>
      <c r="AD4796">
        <v>-1.123744185499</v>
      </c>
      <c r="AE4796">
        <v>1.8962399999999899</v>
      </c>
      <c r="AF4796">
        <v>5.1294060445111702</v>
      </c>
      <c r="AG4796">
        <v>-1.123744185499</v>
      </c>
      <c r="AH4796">
        <v>33.527230179152603</v>
      </c>
      <c r="AI4796">
        <v>91.897620949205603</v>
      </c>
      <c r="AJ4796">
        <v>81.301638293778495</v>
      </c>
      <c r="AK4796">
        <v>33.935951008477602</v>
      </c>
      <c r="AL4796">
        <v>79.896846610807401</v>
      </c>
      <c r="AM4796">
        <v>82.372929213335894</v>
      </c>
      <c r="AN4796">
        <v>0.99999994327066299</v>
      </c>
    </row>
    <row r="4797" spans="1:40" x14ac:dyDescent="0.25">
      <c r="A4797" t="str">
        <f>"20190303162657011"</f>
        <v>20190303162657011</v>
      </c>
      <c r="B4797" t="str">
        <f>"1551601616998959"</f>
        <v>1551601616998959</v>
      </c>
      <c r="C4797" t="s">
        <v>40</v>
      </c>
      <c r="D4797">
        <v>5.6327939999999996</v>
      </c>
      <c r="E4797">
        <v>0.49298940000000002</v>
      </c>
      <c r="F4797" t="s">
        <v>68</v>
      </c>
      <c r="G4797">
        <v>-235.8509</v>
      </c>
      <c r="H4797" s="1">
        <v>-1.8466710000000001E-6</v>
      </c>
      <c r="I4797">
        <v>-58.413369999999901</v>
      </c>
      <c r="J4797">
        <v>-270.14330000000001</v>
      </c>
      <c r="K4797">
        <v>1.1236440000000001</v>
      </c>
      <c r="L4797">
        <v>-59.936070000000001</v>
      </c>
      <c r="M4797">
        <v>0.9777787</v>
      </c>
      <c r="N4797">
        <v>-1.41712E-2</v>
      </c>
      <c r="O4797">
        <v>0.20916009999999999</v>
      </c>
      <c r="P4797">
        <v>0.98531559999999996</v>
      </c>
      <c r="Q4797">
        <v>0.15890019999999999</v>
      </c>
      <c r="R4797">
        <v>6.2483129999999998E-2</v>
      </c>
      <c r="S4797">
        <v>3.053741</v>
      </c>
      <c r="T4797">
        <v>-9.9289420000000003E-2</v>
      </c>
      <c r="U4797">
        <v>0.13986209999999999</v>
      </c>
      <c r="V4797">
        <v>0.1440398</v>
      </c>
      <c r="W4797">
        <v>0.17353250000000001</v>
      </c>
      <c r="X4797">
        <v>0.97423769999999998</v>
      </c>
      <c r="Y4797">
        <v>0.1640645</v>
      </c>
      <c r="Z4797">
        <v>-7.5955329999999998E-3</v>
      </c>
      <c r="AA4797">
        <v>0.98642039999999998</v>
      </c>
      <c r="AB4797">
        <v>28</v>
      </c>
      <c r="AC4797">
        <v>34.292400000000001</v>
      </c>
      <c r="AD4797">
        <v>-1.123645846671</v>
      </c>
      <c r="AE4797">
        <v>1.5226999999999999</v>
      </c>
      <c r="AF4797">
        <v>5.6782246735236699</v>
      </c>
      <c r="AG4797">
        <v>-1.123645846671</v>
      </c>
      <c r="AH4797">
        <v>33.816031265465902</v>
      </c>
      <c r="AI4797">
        <v>91.876878740780697</v>
      </c>
      <c r="AJ4797">
        <v>80.468091236115797</v>
      </c>
      <c r="AK4797">
        <v>34.307853124011103</v>
      </c>
      <c r="AL4797">
        <v>80.006730465023793</v>
      </c>
      <c r="AM4797">
        <v>81.589819048359004</v>
      </c>
      <c r="AN4797">
        <v>1.0000000443207799</v>
      </c>
    </row>
    <row r="4798" spans="1:40" x14ac:dyDescent="0.25">
      <c r="A4798" t="str">
        <f>"20190303162657035"</f>
        <v>20190303162657035</v>
      </c>
      <c r="B4798" t="str">
        <f>"1551601617029215"</f>
        <v>1551601617029215</v>
      </c>
      <c r="C4798" t="s">
        <v>40</v>
      </c>
      <c r="D4798">
        <v>5.1607289999999999</v>
      </c>
      <c r="E4798">
        <v>0.48347059999999997</v>
      </c>
      <c r="F4798" t="s">
        <v>69</v>
      </c>
      <c r="G4798">
        <v>-243.56389999999999</v>
      </c>
      <c r="H4798" s="1">
        <v>-1.004411E-6</v>
      </c>
      <c r="I4798">
        <v>-57.630619999999901</v>
      </c>
      <c r="J4798">
        <v>-269.86340000000001</v>
      </c>
      <c r="K4798">
        <v>1.1234299999999999</v>
      </c>
      <c r="L4798">
        <v>-59.872770000000003</v>
      </c>
      <c r="M4798">
        <v>0.97717279999999995</v>
      </c>
      <c r="N4798">
        <v>-1.416044E-2</v>
      </c>
      <c r="O4798">
        <v>0.21197369999999999</v>
      </c>
      <c r="P4798">
        <v>0.9860662</v>
      </c>
      <c r="Q4798">
        <v>0.1570165</v>
      </c>
      <c r="R4798">
        <v>5.4951060000000003E-2</v>
      </c>
      <c r="S4798">
        <v>3.048737</v>
      </c>
      <c r="T4798">
        <v>-0.12888549999999999</v>
      </c>
      <c r="U4798">
        <v>0.26443480000000003</v>
      </c>
      <c r="V4798">
        <v>0.15445699999999901</v>
      </c>
      <c r="W4798">
        <v>0.1716096</v>
      </c>
      <c r="X4798">
        <v>0.9729816</v>
      </c>
      <c r="Y4798">
        <v>0.1265252</v>
      </c>
      <c r="Z4798">
        <v>-9.415517E-3</v>
      </c>
      <c r="AA4798">
        <v>0.99191870000000004</v>
      </c>
      <c r="AB4798">
        <v>28</v>
      </c>
      <c r="AC4798">
        <v>26.299499999999998</v>
      </c>
      <c r="AD4798">
        <v>-1.1234310044110001</v>
      </c>
      <c r="AE4798">
        <v>2.2421500000000001</v>
      </c>
      <c r="AF4798">
        <v>3.3780540118373801</v>
      </c>
      <c r="AG4798">
        <v>-1.1234310044110001</v>
      </c>
      <c r="AH4798">
        <v>26.129721316645</v>
      </c>
      <c r="AI4798">
        <v>92.441585864260801</v>
      </c>
      <c r="AJ4798">
        <v>82.633651121293596</v>
      </c>
      <c r="AK4798">
        <v>26.371114542508401</v>
      </c>
      <c r="AL4798">
        <v>80.118582269176599</v>
      </c>
      <c r="AM4798">
        <v>80.979788624602406</v>
      </c>
      <c r="AN4798">
        <v>1.00000000679986</v>
      </c>
    </row>
    <row r="4799" spans="1:40" x14ac:dyDescent="0.25">
      <c r="A4799" t="str">
        <f>"20190303162657055"</f>
        <v>20190303162657055</v>
      </c>
      <c r="B4799" t="str">
        <f>"1551601617048735"</f>
        <v>1551601617048735</v>
      </c>
      <c r="C4799" t="s">
        <v>40</v>
      </c>
      <c r="D4799">
        <v>5.5952510000000002</v>
      </c>
      <c r="E4799">
        <v>0.48414109999999999</v>
      </c>
      <c r="F4799" t="s">
        <v>69</v>
      </c>
      <c r="G4799">
        <v>-249.12139999999999</v>
      </c>
      <c r="H4799" s="1">
        <v>-3.3685250000000001E-6</v>
      </c>
      <c r="I4799">
        <v>-57.743380000000002</v>
      </c>
      <c r="J4799">
        <v>-269.60750000000002</v>
      </c>
      <c r="K4799">
        <v>1.1231450000000001</v>
      </c>
      <c r="L4799">
        <v>-59.814509999999999</v>
      </c>
      <c r="M4799">
        <v>0.97669660000000003</v>
      </c>
      <c r="N4799">
        <v>-1.414841E-2</v>
      </c>
      <c r="O4799">
        <v>0.21415799999999999</v>
      </c>
      <c r="P4799">
        <v>0.98667150000000003</v>
      </c>
      <c r="Q4799">
        <v>0.15524350000000001</v>
      </c>
      <c r="R4799">
        <v>4.8775270000000003E-2</v>
      </c>
      <c r="S4799">
        <v>3.0512389999999998</v>
      </c>
      <c r="T4799">
        <v>-0.16526160000000001</v>
      </c>
      <c r="U4799">
        <v>0.31323240000000002</v>
      </c>
      <c r="V4799">
        <v>0.16292290000000001</v>
      </c>
      <c r="W4799">
        <v>0.169742899999999</v>
      </c>
      <c r="X4799">
        <v>0.97192769999999995</v>
      </c>
      <c r="Y4799">
        <v>0.1129386</v>
      </c>
      <c r="Z4799">
        <v>-1.226446E-2</v>
      </c>
      <c r="AA4799">
        <v>0.99352629999999997</v>
      </c>
      <c r="AB4799">
        <v>28</v>
      </c>
      <c r="AC4799">
        <v>20.4861</v>
      </c>
      <c r="AD4799">
        <v>-1.1231483685250001</v>
      </c>
      <c r="AE4799">
        <v>2.0711299999999899</v>
      </c>
      <c r="AF4799">
        <v>2.3576184116953498</v>
      </c>
      <c r="AG4799">
        <v>-1.1231483685250001</v>
      </c>
      <c r="AH4799">
        <v>20.393621527295299</v>
      </c>
      <c r="AI4799">
        <v>93.131481097740803</v>
      </c>
      <c r="AJ4799">
        <v>83.405556207070802</v>
      </c>
      <c r="AK4799">
        <v>20.560146542071401</v>
      </c>
      <c r="AL4799">
        <v>80.227128827814397</v>
      </c>
      <c r="AM4799">
        <v>80.484059871389505</v>
      </c>
      <c r="AN4799">
        <v>0.999999988736054</v>
      </c>
    </row>
    <row r="4800" spans="1:40" x14ac:dyDescent="0.25">
      <c r="A4800" t="str">
        <f>"20190303162657078"</f>
        <v>20190303162657078</v>
      </c>
      <c r="B4800" t="str">
        <f>"1551601617069231"</f>
        <v>1551601617069231</v>
      </c>
      <c r="C4800" t="s">
        <v>40</v>
      </c>
      <c r="D4800">
        <v>5.3900579999999998</v>
      </c>
      <c r="E4800">
        <v>0.51832420000000001</v>
      </c>
      <c r="F4800" t="s">
        <v>69</v>
      </c>
      <c r="G4800">
        <v>-249.9623</v>
      </c>
      <c r="H4800" s="1">
        <v>-3.688649E-6</v>
      </c>
      <c r="I4800">
        <v>-57.9724199999999</v>
      </c>
      <c r="J4800">
        <v>-269.34059999999999</v>
      </c>
      <c r="K4800">
        <v>1.1227309999999999</v>
      </c>
      <c r="L4800">
        <v>-59.753720000000001</v>
      </c>
      <c r="M4800">
        <v>0.97631570000000001</v>
      </c>
      <c r="N4800">
        <v>-1.4135760000000001E-2</v>
      </c>
      <c r="O4800">
        <v>0.21588889999999999</v>
      </c>
      <c r="P4800">
        <v>0.98678339999999998</v>
      </c>
      <c r="Q4800">
        <v>0.15662209999999999</v>
      </c>
      <c r="R4800">
        <v>4.1573119999999998E-2</v>
      </c>
      <c r="S4800">
        <v>3.0538639999999999</v>
      </c>
      <c r="T4800">
        <v>-0.17459479999999999</v>
      </c>
      <c r="U4800">
        <v>0.2863464</v>
      </c>
      <c r="V4800">
        <v>0.1718712</v>
      </c>
      <c r="W4800">
        <v>0.1709514</v>
      </c>
      <c r="X4800">
        <v>0.97017310000000001</v>
      </c>
      <c r="Y4800">
        <v>0.12337339999999999</v>
      </c>
      <c r="Z4800">
        <v>-1.352309E-2</v>
      </c>
      <c r="AA4800">
        <v>0.99226820000000004</v>
      </c>
      <c r="AB4800">
        <v>28</v>
      </c>
      <c r="AC4800">
        <v>19.378299999999999</v>
      </c>
      <c r="AD4800">
        <v>-1.1227346886489999</v>
      </c>
      <c r="AE4800">
        <v>1.7813000000000001</v>
      </c>
      <c r="AF4800">
        <v>2.4365822123709502</v>
      </c>
      <c r="AG4800">
        <v>-1.1227346886489999</v>
      </c>
      <c r="AH4800">
        <v>19.241779370482099</v>
      </c>
      <c r="AI4800">
        <v>93.312957042726893</v>
      </c>
      <c r="AJ4800">
        <v>82.783059484429401</v>
      </c>
      <c r="AK4800">
        <v>19.4279062021889</v>
      </c>
      <c r="AL4800">
        <v>80.156859615413197</v>
      </c>
      <c r="AM4800">
        <v>79.953984502311599</v>
      </c>
      <c r="AN4800">
        <v>0.99999996725750395</v>
      </c>
    </row>
    <row r="4801" spans="1:40" x14ac:dyDescent="0.25">
      <c r="A4801" t="str">
        <f>"20190303162657101"</f>
        <v>20190303162657101</v>
      </c>
      <c r="B4801" t="str">
        <f>"1551601617088751"</f>
        <v>1551601617088751</v>
      </c>
      <c r="C4801" t="s">
        <v>40</v>
      </c>
      <c r="D4801">
        <v>5.3681570000000001</v>
      </c>
      <c r="E4801">
        <v>0.52871630000000003</v>
      </c>
      <c r="F4801" t="s">
        <v>69</v>
      </c>
      <c r="G4801">
        <v>-241.47110000000001</v>
      </c>
      <c r="H4801" s="1">
        <v>2.8619440000000002E-7</v>
      </c>
      <c r="I4801">
        <v>-59.845100000000002</v>
      </c>
      <c r="J4801">
        <v>-269.07580000000002</v>
      </c>
      <c r="K4801">
        <v>1.12222</v>
      </c>
      <c r="L4801">
        <v>-59.693660000000001</v>
      </c>
      <c r="M4801">
        <v>0.97608799999999996</v>
      </c>
      <c r="N4801">
        <v>-1.412601E-2</v>
      </c>
      <c r="O4801">
        <v>0.2169162</v>
      </c>
      <c r="P4801">
        <v>0.98657249999999996</v>
      </c>
      <c r="Q4801">
        <v>0.15929660000000001</v>
      </c>
      <c r="R4801">
        <v>3.6046450000000001E-2</v>
      </c>
      <c r="S4801">
        <v>3.0602109999999998</v>
      </c>
      <c r="T4801">
        <v>-0.12328160000000001</v>
      </c>
      <c r="U4801">
        <v>-1.004028E-2</v>
      </c>
      <c r="V4801">
        <v>0.17845520000000001</v>
      </c>
      <c r="W4801">
        <v>0.17338970000000001</v>
      </c>
      <c r="X4801">
        <v>0.96855029999999998</v>
      </c>
      <c r="Y4801">
        <v>0.2198272</v>
      </c>
      <c r="Z4801">
        <v>-1.1581080000000001E-2</v>
      </c>
      <c r="AA4801">
        <v>0.97547010000000001</v>
      </c>
      <c r="AB4801">
        <v>28</v>
      </c>
      <c r="AC4801">
        <v>27.604700000000001</v>
      </c>
      <c r="AD4801">
        <v>-1.1222197138056</v>
      </c>
      <c r="AE4801">
        <v>-0.15144000000000701</v>
      </c>
      <c r="AF4801">
        <v>6.1262133759402699</v>
      </c>
      <c r="AG4801">
        <v>-1.1222197138056</v>
      </c>
      <c r="AH4801">
        <v>26.870046181605499</v>
      </c>
      <c r="AI4801">
        <v>92.331783549153101</v>
      </c>
      <c r="AJ4801">
        <v>77.156435697242202</v>
      </c>
      <c r="AK4801">
        <v>27.582408328773901</v>
      </c>
      <c r="AL4801">
        <v>80.015037442264003</v>
      </c>
      <c r="AM4801">
        <v>79.560348245970303</v>
      </c>
      <c r="AN4801">
        <v>0.99999996505160904</v>
      </c>
    </row>
    <row r="4802" spans="1:40" x14ac:dyDescent="0.25">
      <c r="A4802" t="str">
        <f>"20190303162657124"</f>
        <v>20190303162657124</v>
      </c>
      <c r="B4802" t="str">
        <f>"1551601617119008"</f>
        <v>1551601617119008</v>
      </c>
      <c r="C4802" t="s">
        <v>40</v>
      </c>
      <c r="D4802">
        <v>5.3038910000000001</v>
      </c>
      <c r="E4802">
        <v>0.53258240000000001</v>
      </c>
      <c r="F4802" t="s">
        <v>68</v>
      </c>
      <c r="G4802">
        <v>-235.2456</v>
      </c>
      <c r="H4802" s="1">
        <v>-1.3827440000000001E-6</v>
      </c>
      <c r="I4802">
        <v>-60.929630000000003</v>
      </c>
      <c r="J4802">
        <v>-268.79500000000002</v>
      </c>
      <c r="K4802">
        <v>1.1215930000000001</v>
      </c>
      <c r="L4802">
        <v>-59.630580000000002</v>
      </c>
      <c r="M4802">
        <v>0.97604919999999995</v>
      </c>
      <c r="N4802">
        <v>-1.412243E-2</v>
      </c>
      <c r="O4802">
        <v>0.2170916</v>
      </c>
      <c r="P4802">
        <v>0.9859523</v>
      </c>
      <c r="Q4802">
        <v>0.16360189999999999</v>
      </c>
      <c r="R4802">
        <v>3.365688E-2</v>
      </c>
      <c r="S4802">
        <v>3.0612789999999999</v>
      </c>
      <c r="T4802">
        <v>-0.1015491</v>
      </c>
      <c r="U4802">
        <v>-0.1118469</v>
      </c>
      <c r="V4802">
        <v>0.18109829999999999</v>
      </c>
      <c r="W4802">
        <v>0.1773941</v>
      </c>
      <c r="X4802">
        <v>0.96733389999999997</v>
      </c>
      <c r="Y4802">
        <v>0.25237389999999998</v>
      </c>
      <c r="Z4802">
        <v>-1.0047530000000001E-2</v>
      </c>
      <c r="AA4802">
        <v>0.96757760000000004</v>
      </c>
      <c r="AB4802">
        <v>27</v>
      </c>
      <c r="AC4802">
        <v>33.549399999999999</v>
      </c>
      <c r="AD4802">
        <v>-1.121594382744</v>
      </c>
      <c r="AE4802">
        <v>-1.29905</v>
      </c>
      <c r="AF4802">
        <v>8.5425482475158496</v>
      </c>
      <c r="AG4802">
        <v>-1.121594382744</v>
      </c>
      <c r="AH4802">
        <v>32.430894192086498</v>
      </c>
      <c r="AI4802">
        <v>91.915450499502498</v>
      </c>
      <c r="AJ4802">
        <v>75.243050542260804</v>
      </c>
      <c r="AK4802">
        <v>33.5558639080988</v>
      </c>
      <c r="AL4802">
        <v>79.781990552484302</v>
      </c>
      <c r="AM4802">
        <v>79.396184123156402</v>
      </c>
      <c r="AN4802">
        <v>1.0000000675334499</v>
      </c>
    </row>
    <row r="4803" spans="1:40" x14ac:dyDescent="0.25">
      <c r="A4803" t="str">
        <f>"20190303162657145"</f>
        <v>20190303162657145</v>
      </c>
      <c r="B4803" t="str">
        <f>"1551601617138526"</f>
        <v>1551601617138526</v>
      </c>
      <c r="C4803" t="s">
        <v>40</v>
      </c>
      <c r="D4803">
        <v>5.2962339999999903</v>
      </c>
      <c r="E4803">
        <v>0.53244040000000004</v>
      </c>
      <c r="F4803" t="s">
        <v>68</v>
      </c>
      <c r="G4803">
        <v>-234.88300000000001</v>
      </c>
      <c r="H4803" s="1">
        <v>-1.32845E-6</v>
      </c>
      <c r="I4803">
        <v>-61.31015</v>
      </c>
      <c r="J4803">
        <v>-268.53620000000001</v>
      </c>
      <c r="K4803">
        <v>1.1209739999999999</v>
      </c>
      <c r="L4803">
        <v>-59.573459999999997</v>
      </c>
      <c r="M4803">
        <v>0.97621460000000004</v>
      </c>
      <c r="N4803">
        <v>-1.412734E-2</v>
      </c>
      <c r="O4803">
        <v>0.21634539999999999</v>
      </c>
      <c r="P4803">
        <v>0.98543510000000001</v>
      </c>
      <c r="Q4803">
        <v>0.16584289999999999</v>
      </c>
      <c r="R4803">
        <v>3.76026E-2</v>
      </c>
      <c r="S4803">
        <v>3.0647579999999999</v>
      </c>
      <c r="T4803">
        <v>-0.1013626</v>
      </c>
      <c r="U4803">
        <v>-0.1517944</v>
      </c>
      <c r="V4803">
        <v>0.17666999999999999</v>
      </c>
      <c r="W4803">
        <v>0.17936939999999901</v>
      </c>
      <c r="X4803">
        <v>0.96778839999999999</v>
      </c>
      <c r="Y4803">
        <v>0.2641558</v>
      </c>
      <c r="Z4803">
        <v>-1.027961E-2</v>
      </c>
      <c r="AA4803">
        <v>0.96442530000000004</v>
      </c>
      <c r="AB4803">
        <v>27</v>
      </c>
      <c r="AC4803">
        <v>33.653199999999998</v>
      </c>
      <c r="AD4803">
        <v>-1.1209753284499999</v>
      </c>
      <c r="AE4803">
        <v>-1.7366900000000001</v>
      </c>
      <c r="AF4803">
        <v>8.9670708323249801</v>
      </c>
      <c r="AG4803">
        <v>-1.1209753284499999</v>
      </c>
      <c r="AH4803">
        <v>32.444361561234402</v>
      </c>
      <c r="AI4803">
        <v>91.907368665456701</v>
      </c>
      <c r="AJ4803">
        <v>74.5501045787869</v>
      </c>
      <c r="AK4803">
        <v>33.679393434487999</v>
      </c>
      <c r="AL4803">
        <v>79.666968999081405</v>
      </c>
      <c r="AM4803">
        <v>79.654557396059005</v>
      </c>
      <c r="AN4803">
        <v>1.00000002886545</v>
      </c>
    </row>
    <row r="4804" spans="1:40" x14ac:dyDescent="0.25">
      <c r="A4804" t="str">
        <f>"20190303162657168"</f>
        <v>20190303162657168</v>
      </c>
      <c r="B4804" t="str">
        <f>"1551601617159024"</f>
        <v>1551601617159024</v>
      </c>
      <c r="C4804" t="s">
        <v>40</v>
      </c>
      <c r="D4804">
        <v>5.2872029999999999</v>
      </c>
      <c r="E4804">
        <v>0.53220149999999999</v>
      </c>
      <c r="F4804" t="s">
        <v>68</v>
      </c>
      <c r="G4804">
        <v>-233.42140000000001</v>
      </c>
      <c r="H4804" s="1">
        <v>-6.6549459999999896E-7</v>
      </c>
      <c r="I4804">
        <v>-61.175130000000003</v>
      </c>
      <c r="J4804">
        <v>-268.26499999999999</v>
      </c>
      <c r="K4804">
        <v>1.1203609999999999</v>
      </c>
      <c r="L4804">
        <v>-59.514740000000003</v>
      </c>
      <c r="M4804">
        <v>0.97656259999999995</v>
      </c>
      <c r="N4804">
        <v>-1.413844E-2</v>
      </c>
      <c r="O4804">
        <v>0.21476890000000001</v>
      </c>
      <c r="P4804">
        <v>0.98524610000000001</v>
      </c>
      <c r="Q4804">
        <v>0.1671183</v>
      </c>
      <c r="R4804">
        <v>3.6903909999999998E-2</v>
      </c>
      <c r="S4804">
        <v>3.0661930000000002</v>
      </c>
      <c r="T4804">
        <v>-9.7882269999999993E-2</v>
      </c>
      <c r="U4804">
        <v>-0.13986209999999999</v>
      </c>
      <c r="V4804">
        <v>0.17601700000000001</v>
      </c>
      <c r="W4804">
        <v>0.18039189999999999</v>
      </c>
      <c r="X4804">
        <v>0.9677173</v>
      </c>
      <c r="Y4804">
        <v>0.25884829999999998</v>
      </c>
      <c r="Z4804">
        <v>-9.7298660000000002E-3</v>
      </c>
      <c r="AA4804">
        <v>0.96586890000000003</v>
      </c>
      <c r="AB4804">
        <v>27</v>
      </c>
      <c r="AC4804">
        <v>34.843599999999903</v>
      </c>
      <c r="AD4804">
        <v>-1.1203616654946</v>
      </c>
      <c r="AE4804">
        <v>-1.66038999999999</v>
      </c>
      <c r="AF4804">
        <v>9.0963229549022095</v>
      </c>
      <c r="AG4804">
        <v>-1.1203616654946</v>
      </c>
      <c r="AH4804">
        <v>33.639020841072004</v>
      </c>
      <c r="AI4804">
        <v>91.841465168899305</v>
      </c>
      <c r="AJ4804">
        <v>74.868539435288795</v>
      </c>
      <c r="AK4804">
        <v>34.865197901452802</v>
      </c>
      <c r="AL4804">
        <v>79.607412274112903</v>
      </c>
      <c r="AM4804">
        <v>79.691233403818103</v>
      </c>
      <c r="AN4804">
        <v>0.99999999729694999</v>
      </c>
    </row>
    <row r="4805" spans="1:40" x14ac:dyDescent="0.25">
      <c r="A4805" t="str">
        <f>"20190303162657180"</f>
        <v>20190303162657180</v>
      </c>
      <c r="B4805" t="str">
        <f>"1551601617168783"</f>
        <v>1551601617168783</v>
      </c>
      <c r="C4805" t="s">
        <v>40</v>
      </c>
      <c r="D4805">
        <v>5.4862950000000001</v>
      </c>
      <c r="E4805">
        <v>0.5315474</v>
      </c>
      <c r="F4805" t="s">
        <v>68</v>
      </c>
      <c r="G4805">
        <v>-231.2389</v>
      </c>
      <c r="H4805" s="1">
        <v>2.5983909999999999E-7</v>
      </c>
      <c r="I4805">
        <v>-61.216259999999998</v>
      </c>
      <c r="J4805">
        <v>-268.12290000000002</v>
      </c>
      <c r="K4805">
        <v>1.1200540000000001</v>
      </c>
      <c r="L4805">
        <v>-59.484470000000002</v>
      </c>
      <c r="M4805">
        <v>0.97680339999999999</v>
      </c>
      <c r="N4805">
        <v>-1.414403E-2</v>
      </c>
      <c r="O4805">
        <v>0.21367040000000001</v>
      </c>
      <c r="P4805">
        <v>0.98541060000000003</v>
      </c>
      <c r="Q4805">
        <v>0.1661677</v>
      </c>
      <c r="R4805">
        <v>3.6801059999999997E-2</v>
      </c>
      <c r="S4805">
        <v>3.0659480000000001</v>
      </c>
      <c r="T4805">
        <v>-9.2771530000000005E-2</v>
      </c>
      <c r="U4805">
        <v>-0.14089969999999999</v>
      </c>
      <c r="V4805">
        <v>0.17519019999999999</v>
      </c>
      <c r="W4805">
        <v>0.17932619999999999</v>
      </c>
      <c r="X4805">
        <v>0.96806530000000002</v>
      </c>
      <c r="Y4805">
        <v>0.25811460000000003</v>
      </c>
      <c r="Z4805">
        <v>-9.1256010000000005E-3</v>
      </c>
      <c r="AA4805">
        <v>0.96607120000000002</v>
      </c>
      <c r="AB4805">
        <v>27</v>
      </c>
      <c r="AC4805">
        <v>36.884</v>
      </c>
      <c r="AD4805">
        <v>-1.1200537401608901</v>
      </c>
      <c r="AE4805">
        <v>-1.7317899999999999</v>
      </c>
      <c r="AF4805">
        <v>9.5647943978970709</v>
      </c>
      <c r="AG4805">
        <v>-1.1200537401608901</v>
      </c>
      <c r="AH4805">
        <v>35.629168930240198</v>
      </c>
      <c r="AI4805">
        <v>91.739047032156407</v>
      </c>
      <c r="AJ4805">
        <v>74.973015337812001</v>
      </c>
      <c r="AK4805">
        <v>36.907688777739601</v>
      </c>
      <c r="AL4805">
        <v>79.669484237726195</v>
      </c>
      <c r="AM4805">
        <v>79.742235757797403</v>
      </c>
      <c r="AN4805">
        <v>0.99999995862328395</v>
      </c>
    </row>
    <row r="4806" spans="1:40" x14ac:dyDescent="0.25">
      <c r="A4806" t="str">
        <f>"20190303162657192"</f>
        <v>20190303162657192</v>
      </c>
      <c r="B4806" t="str">
        <f>"1551601617178543"</f>
        <v>1551601617178543</v>
      </c>
      <c r="C4806" t="s">
        <v>40</v>
      </c>
      <c r="D4806">
        <v>5.2962069999999999</v>
      </c>
      <c r="E4806">
        <v>0.53104449999999903</v>
      </c>
      <c r="F4806" t="s">
        <v>68</v>
      </c>
      <c r="G4806">
        <v>-231.75489999999999</v>
      </c>
      <c r="H4806" s="1">
        <v>7.0020289999999994E-8</v>
      </c>
      <c r="I4806">
        <v>-61.097740000000002</v>
      </c>
      <c r="J4806">
        <v>-267.99650000000003</v>
      </c>
      <c r="K4806">
        <v>1.119801</v>
      </c>
      <c r="L4806">
        <v>-59.457949999999997</v>
      </c>
      <c r="M4806">
        <v>0.97706959999999998</v>
      </c>
      <c r="N4806">
        <v>-1.414867E-2</v>
      </c>
      <c r="O4806">
        <v>0.21244969999999999</v>
      </c>
      <c r="P4806">
        <v>0.9854967</v>
      </c>
      <c r="Q4806">
        <v>0.16569229999999999</v>
      </c>
      <c r="R4806">
        <v>3.6638049999999998E-2</v>
      </c>
      <c r="S4806">
        <v>3.0654300000000001</v>
      </c>
      <c r="T4806">
        <v>-9.4408389999999995E-2</v>
      </c>
      <c r="U4806">
        <v>-0.13598629999999901</v>
      </c>
      <c r="V4806">
        <v>0.17426169999999999</v>
      </c>
      <c r="W4806">
        <v>0.17875669999999999</v>
      </c>
      <c r="X4806">
        <v>0.96833829999999999</v>
      </c>
      <c r="Y4806">
        <v>0.25536360000000002</v>
      </c>
      <c r="Z4806">
        <v>-9.2277660000000001E-3</v>
      </c>
      <c r="AA4806">
        <v>0.96680100000000002</v>
      </c>
      <c r="AB4806">
        <v>27</v>
      </c>
      <c r="AC4806">
        <v>36.241599999999998</v>
      </c>
      <c r="AD4806">
        <v>-1.11980092997971</v>
      </c>
      <c r="AE4806">
        <v>-1.6397900000000001</v>
      </c>
      <c r="AF4806">
        <v>9.2937822367517402</v>
      </c>
      <c r="AG4806">
        <v>-1.11980092997971</v>
      </c>
      <c r="AH4806">
        <v>35.032324571163599</v>
      </c>
      <c r="AI4806">
        <v>91.769650279557695</v>
      </c>
      <c r="AJ4806">
        <v>75.142161692000997</v>
      </c>
      <c r="AK4806">
        <v>36.261441053084198</v>
      </c>
      <c r="AL4806">
        <v>79.7026513648877</v>
      </c>
      <c r="AM4806">
        <v>79.798272590799598</v>
      </c>
      <c r="AN4806">
        <v>1.0000000805643301</v>
      </c>
    </row>
    <row r="4807" spans="1:40" x14ac:dyDescent="0.25">
      <c r="A4807" t="str">
        <f>"20190303162657201"</f>
        <v>20190303162657201</v>
      </c>
      <c r="B4807" t="str">
        <f>"1551601617189280"</f>
        <v>1551601617189280</v>
      </c>
      <c r="C4807" t="s">
        <v>40</v>
      </c>
      <c r="D4807">
        <v>5.2921379999999996</v>
      </c>
      <c r="E4807">
        <v>0.5306128</v>
      </c>
      <c r="F4807" t="s">
        <v>68</v>
      </c>
      <c r="G4807">
        <v>-231.9674</v>
      </c>
      <c r="H4807" s="1">
        <v>1.123453E-9</v>
      </c>
      <c r="I4807">
        <v>-61.014029999999998</v>
      </c>
      <c r="J4807">
        <v>-267.85829999999999</v>
      </c>
      <c r="K4807">
        <v>1.1195280000000001</v>
      </c>
      <c r="L4807">
        <v>-59.429079999999999</v>
      </c>
      <c r="M4807">
        <v>0.97737549999999995</v>
      </c>
      <c r="N4807">
        <v>-1.4152970000000001E-2</v>
      </c>
      <c r="O4807">
        <v>0.21103749999999999</v>
      </c>
      <c r="P4807">
        <v>0.98563460000000003</v>
      </c>
      <c r="Q4807">
        <v>0.16497229999999999</v>
      </c>
      <c r="R4807">
        <v>3.6177849999999998E-2</v>
      </c>
      <c r="S4807">
        <v>3.0650940000000002</v>
      </c>
      <c r="T4807">
        <v>-9.5264429999999997E-2</v>
      </c>
      <c r="U4807">
        <v>-0.13238529999999901</v>
      </c>
      <c r="V4807">
        <v>0.17344999999999999</v>
      </c>
      <c r="W4807">
        <v>0.17793599999999901</v>
      </c>
      <c r="X4807">
        <v>0.96863500000000002</v>
      </c>
      <c r="Y4807">
        <v>0.25283489999999997</v>
      </c>
      <c r="Z4807">
        <v>-9.2429220000000006E-3</v>
      </c>
      <c r="AA4807">
        <v>0.96746529999999997</v>
      </c>
      <c r="AB4807">
        <v>27</v>
      </c>
      <c r="AC4807">
        <v>35.890899999999903</v>
      </c>
      <c r="AD4807">
        <v>-1.1195279988765401</v>
      </c>
      <c r="AE4807">
        <v>-1.5849499999999901</v>
      </c>
      <c r="AF4807">
        <v>9.1154791188423303</v>
      </c>
      <c r="AG4807">
        <v>-1.1195279988765401</v>
      </c>
      <c r="AH4807">
        <v>34.714172472259001</v>
      </c>
      <c r="AI4807">
        <v>91.786614808408501</v>
      </c>
      <c r="AJ4807">
        <v>75.287050233543397</v>
      </c>
      <c r="AK4807">
        <v>35.908481908040301</v>
      </c>
      <c r="AL4807">
        <v>79.750438743520604</v>
      </c>
      <c r="AM4807">
        <v>79.847846299637595</v>
      </c>
      <c r="AN4807">
        <v>0.99999994291049799</v>
      </c>
    </row>
    <row r="4808" spans="1:40" x14ac:dyDescent="0.25">
      <c r="A4808" t="str">
        <f>"20190303162657212"</f>
        <v>20190303162657212</v>
      </c>
      <c r="B4808" t="str">
        <f>"1551601617199039"</f>
        <v>1551601617199039</v>
      </c>
      <c r="C4808" t="s">
        <v>40</v>
      </c>
      <c r="D4808">
        <v>5.2956209999999997</v>
      </c>
      <c r="E4808">
        <v>0.53024009999999999</v>
      </c>
      <c r="F4808" t="s">
        <v>68</v>
      </c>
      <c r="G4808">
        <v>-232.87389999999999</v>
      </c>
      <c r="H4808" s="1">
        <v>-3.6041999999999999E-7</v>
      </c>
      <c r="I4808">
        <v>-60.911219999999901</v>
      </c>
      <c r="J4808">
        <v>-267.73829999999998</v>
      </c>
      <c r="K4808">
        <v>1.1193040000000001</v>
      </c>
      <c r="L4808">
        <v>-59.404629999999997</v>
      </c>
      <c r="M4808">
        <v>0.9776977</v>
      </c>
      <c r="N4808">
        <v>-1.415808E-2</v>
      </c>
      <c r="O4808">
        <v>0.2095399</v>
      </c>
      <c r="P4808">
        <v>0.98575979999999996</v>
      </c>
      <c r="Q4808">
        <v>0.16426260000000001</v>
      </c>
      <c r="R4808">
        <v>3.599144E-2</v>
      </c>
      <c r="S4808">
        <v>3.0649109999999999</v>
      </c>
      <c r="T4808">
        <v>-9.8079559999999996E-2</v>
      </c>
      <c r="U4808">
        <v>-0.1298523</v>
      </c>
      <c r="V4808">
        <v>0.17226279999999999</v>
      </c>
      <c r="W4808">
        <v>0.17714959999999999</v>
      </c>
      <c r="X4808">
        <v>0.96899100000000005</v>
      </c>
      <c r="Y4808">
        <v>0.25054589999999999</v>
      </c>
      <c r="Z4808">
        <v>-9.4732830000000007E-3</v>
      </c>
      <c r="AA4808">
        <v>0.96805830000000004</v>
      </c>
      <c r="AB4808">
        <v>27</v>
      </c>
      <c r="AC4808">
        <v>34.864399999999897</v>
      </c>
      <c r="AD4808">
        <v>-1.1193043604199999</v>
      </c>
      <c r="AE4808">
        <v>-1.5065899999999799</v>
      </c>
      <c r="AF4808">
        <v>8.7703287665526997</v>
      </c>
      <c r="AG4808">
        <v>-1.1193043604199999</v>
      </c>
      <c r="AH4808">
        <v>33.739823814086797</v>
      </c>
      <c r="AI4808">
        <v>91.838996542815906</v>
      </c>
      <c r="AJ4808">
        <v>75.429005566488598</v>
      </c>
      <c r="AK4808">
        <v>34.879036969651203</v>
      </c>
      <c r="AL4808">
        <v>79.796224173838993</v>
      </c>
      <c r="AM4808">
        <v>79.919531932845899</v>
      </c>
      <c r="AN4808">
        <v>1.0000000055625</v>
      </c>
    </row>
    <row r="4809" spans="1:40" x14ac:dyDescent="0.25">
      <c r="A4809" t="str">
        <f>"20190303162657224"</f>
        <v>20190303162657224</v>
      </c>
      <c r="B4809" t="str">
        <f>"1551601617219535"</f>
        <v>1551601617219535</v>
      </c>
      <c r="C4809" t="s">
        <v>40</v>
      </c>
      <c r="D4809">
        <v>5.2743849999999997</v>
      </c>
      <c r="E4809">
        <v>0.52943830000000003</v>
      </c>
      <c r="F4809" t="s">
        <v>68</v>
      </c>
      <c r="G4809">
        <v>-233.5292</v>
      </c>
      <c r="H4809" s="1">
        <v>-6.1660759999999999E-7</v>
      </c>
      <c r="I4809">
        <v>-60.817599999999999</v>
      </c>
      <c r="J4809">
        <v>-267.59010000000001</v>
      </c>
      <c r="K4809">
        <v>1.119027</v>
      </c>
      <c r="L4809">
        <v>-59.374600000000001</v>
      </c>
      <c r="M4809">
        <v>0.97810450000000004</v>
      </c>
      <c r="N4809">
        <v>-1.416414E-2</v>
      </c>
      <c r="O4809">
        <v>0.2076316</v>
      </c>
      <c r="P4809">
        <v>0.98583460000000001</v>
      </c>
      <c r="Q4809">
        <v>0.1640267</v>
      </c>
      <c r="R4809">
        <v>3.50064E-2</v>
      </c>
      <c r="S4809">
        <v>3.064667</v>
      </c>
      <c r="T4809">
        <v>-0.10027419999999999</v>
      </c>
      <c r="U4809">
        <v>-0.1265869</v>
      </c>
      <c r="V4809">
        <v>0.17146069999999999</v>
      </c>
      <c r="W4809">
        <v>0.17681450000000001</v>
      </c>
      <c r="X4809">
        <v>0.96919449999999996</v>
      </c>
      <c r="Y4809">
        <v>0.24762219999999999</v>
      </c>
      <c r="Z4809">
        <v>-9.6097460000000006E-3</v>
      </c>
      <c r="AA4809">
        <v>0.96880900000000003</v>
      </c>
      <c r="AB4809">
        <v>27</v>
      </c>
      <c r="AC4809">
        <v>34.060899999999997</v>
      </c>
      <c r="AD4809">
        <v>-1.1190276166076001</v>
      </c>
      <c r="AE4809">
        <v>-1.4429999999999901</v>
      </c>
      <c r="AF4809">
        <v>8.4752439180396006</v>
      </c>
      <c r="AG4809">
        <v>-1.1190276166076001</v>
      </c>
      <c r="AH4809">
        <v>32.983283561236398</v>
      </c>
      <c r="AI4809">
        <v>91.882042218039899</v>
      </c>
      <c r="AJ4809">
        <v>75.589283606326603</v>
      </c>
      <c r="AK4809">
        <v>34.073141574529402</v>
      </c>
      <c r="AL4809">
        <v>79.815732486990299</v>
      </c>
      <c r="AM4809">
        <v>79.967577239664806</v>
      </c>
      <c r="AN4809">
        <v>1.00000005894249</v>
      </c>
    </row>
    <row r="4810" spans="1:40" x14ac:dyDescent="0.25">
      <c r="A4810" t="str">
        <f>"20190303162657236"</f>
        <v>20190303162657236</v>
      </c>
      <c r="B4810" t="str">
        <f>"1551601617229295"</f>
        <v>1551601617229295</v>
      </c>
      <c r="C4810" t="s">
        <v>40</v>
      </c>
      <c r="D4810">
        <v>5.2930999999999999</v>
      </c>
      <c r="E4810">
        <v>0.52900429999999998</v>
      </c>
      <c r="F4810" t="s">
        <v>68</v>
      </c>
      <c r="G4810">
        <v>-233.50309999999999</v>
      </c>
      <c r="H4810" s="1">
        <v>-5.8324849999999899E-7</v>
      </c>
      <c r="I4810">
        <v>-60.734180000000002</v>
      </c>
      <c r="J4810">
        <v>-267.45299999999997</v>
      </c>
      <c r="K4810">
        <v>1.1187830000000001</v>
      </c>
      <c r="L4810">
        <v>-59.347380000000001</v>
      </c>
      <c r="M4810">
        <v>0.97852419999999996</v>
      </c>
      <c r="N4810">
        <v>-1.4172290000000001E-2</v>
      </c>
      <c r="O4810">
        <v>0.20564389999999999</v>
      </c>
      <c r="P4810">
        <v>0.98590460000000002</v>
      </c>
      <c r="Q4810">
        <v>0.16384409999999999</v>
      </c>
      <c r="R4810">
        <v>3.3874149999999999E-2</v>
      </c>
      <c r="S4810">
        <v>3.064209</v>
      </c>
      <c r="T4810">
        <v>-0.10059360000000001</v>
      </c>
      <c r="U4810">
        <v>-0.1222229</v>
      </c>
      <c r="V4810">
        <v>0.1707099</v>
      </c>
      <c r="W4810">
        <v>0.17654879999999901</v>
      </c>
      <c r="X4810">
        <v>0.9693754</v>
      </c>
      <c r="Y4810">
        <v>0.2442822</v>
      </c>
      <c r="Z4810">
        <v>-9.5307310000000006E-3</v>
      </c>
      <c r="AA4810">
        <v>0.9696574</v>
      </c>
      <c r="AB4810">
        <v>27</v>
      </c>
      <c r="AC4810">
        <v>33.9498999999999</v>
      </c>
      <c r="AD4810">
        <v>-1.1187835832485</v>
      </c>
      <c r="AE4810">
        <v>-1.3868</v>
      </c>
      <c r="AF4810">
        <v>8.3304138048444898</v>
      </c>
      <c r="AG4810">
        <v>-1.1187835832485</v>
      </c>
      <c r="AH4810">
        <v>32.903249715386799</v>
      </c>
      <c r="AI4810">
        <v>91.887911199066906</v>
      </c>
      <c r="AJ4810">
        <v>75.792453020060705</v>
      </c>
      <c r="AK4810">
        <v>33.959848537636198</v>
      </c>
      <c r="AL4810">
        <v>79.831198768457</v>
      </c>
      <c r="AM4810">
        <v>80.012447580078302</v>
      </c>
      <c r="AN4810">
        <v>1.0000000074323001</v>
      </c>
    </row>
    <row r="4811" spans="1:40" x14ac:dyDescent="0.25">
      <c r="A4811" t="str">
        <f>"20190303162657246"</f>
        <v>20190303162657246</v>
      </c>
      <c r="B4811" t="str">
        <f>"1551601617239055"</f>
        <v>1551601617239055</v>
      </c>
      <c r="C4811" t="s">
        <v>40</v>
      </c>
      <c r="D4811">
        <v>5.2733930000000004</v>
      </c>
      <c r="E4811">
        <v>0.52868709999999997</v>
      </c>
      <c r="F4811" t="s">
        <v>68</v>
      </c>
      <c r="G4811">
        <v>-233.32220000000001</v>
      </c>
      <c r="H4811" s="1">
        <v>-4.9629600000000001E-7</v>
      </c>
      <c r="I4811">
        <v>-60.699039999999997</v>
      </c>
      <c r="J4811">
        <v>-267.32380000000001</v>
      </c>
      <c r="K4811">
        <v>1.1185689999999999</v>
      </c>
      <c r="L4811">
        <v>-59.32208</v>
      </c>
      <c r="M4811">
        <v>0.97893140000000001</v>
      </c>
      <c r="N4811">
        <v>-1.417996E-2</v>
      </c>
      <c r="O4811">
        <v>0.2036963</v>
      </c>
      <c r="P4811">
        <v>0.98606859999999996</v>
      </c>
      <c r="Q4811">
        <v>0.16300919999999999</v>
      </c>
      <c r="R4811">
        <v>3.3115609999999997E-2</v>
      </c>
      <c r="S4811">
        <v>3.0637819999999998</v>
      </c>
      <c r="T4811">
        <v>-0.1004288</v>
      </c>
      <c r="U4811">
        <v>-0.121337899999999</v>
      </c>
      <c r="V4811">
        <v>0.16963780000000001</v>
      </c>
      <c r="W4811">
        <v>0.1756453</v>
      </c>
      <c r="X4811">
        <v>0.96972769999999997</v>
      </c>
      <c r="Y4811">
        <v>0.2420805</v>
      </c>
      <c r="Z4811">
        <v>-9.4274059999999993E-3</v>
      </c>
      <c r="AA4811">
        <v>0.97021040000000003</v>
      </c>
      <c r="AB4811">
        <v>27</v>
      </c>
      <c r="AC4811">
        <v>34.001600000000003</v>
      </c>
      <c r="AD4811">
        <v>-1.118569496296</v>
      </c>
      <c r="AE4811">
        <v>-1.37695999999999</v>
      </c>
      <c r="AF4811">
        <v>8.2658506334219108</v>
      </c>
      <c r="AG4811">
        <v>-1.118569496296</v>
      </c>
      <c r="AH4811">
        <v>32.972445907274398</v>
      </c>
      <c r="AI4811">
        <v>91.884702178678495</v>
      </c>
      <c r="AJ4811">
        <v>75.926573367029604</v>
      </c>
      <c r="AK4811">
        <v>34.011140432514502</v>
      </c>
      <c r="AL4811">
        <v>79.883787583295202</v>
      </c>
      <c r="AM4811">
        <v>80.077454959978994</v>
      </c>
      <c r="AN4811">
        <v>1.0000000333740999</v>
      </c>
    </row>
    <row r="4812" spans="1:40" x14ac:dyDescent="0.25">
      <c r="A4812" t="str">
        <f>"20190303162657257"</f>
        <v>20190303162657257</v>
      </c>
      <c r="B4812" t="str">
        <f>"1551601617248816"</f>
        <v>1551601617248816</v>
      </c>
      <c r="C4812" t="s">
        <v>40</v>
      </c>
      <c r="D4812">
        <v>5.275868</v>
      </c>
      <c r="E4812">
        <v>0.52836459999999996</v>
      </c>
      <c r="F4812" t="s">
        <v>68</v>
      </c>
      <c r="G4812">
        <v>-233.803</v>
      </c>
      <c r="H4812" s="1">
        <v>-6.862479E-7</v>
      </c>
      <c r="I4812">
        <v>-60.63776</v>
      </c>
      <c r="J4812">
        <v>-267.19510000000002</v>
      </c>
      <c r="K4812">
        <v>1.1183670000000001</v>
      </c>
      <c r="L4812">
        <v>-59.297330000000002</v>
      </c>
      <c r="M4812">
        <v>0.97935689999999997</v>
      </c>
      <c r="N4812">
        <v>-1.418819E-2</v>
      </c>
      <c r="O4812">
        <v>0.2016404</v>
      </c>
      <c r="P4812">
        <v>0.98622909999999997</v>
      </c>
      <c r="Q4812">
        <v>0.16215969999999999</v>
      </c>
      <c r="R4812">
        <v>3.2501820000000001E-2</v>
      </c>
      <c r="S4812">
        <v>3.0632929999999998</v>
      </c>
      <c r="T4812">
        <v>-0.1022203</v>
      </c>
      <c r="U4812">
        <v>-0.12023929999999999</v>
      </c>
      <c r="V4812">
        <v>0.16830800000000001</v>
      </c>
      <c r="W4812">
        <v>0.17473830000000001</v>
      </c>
      <c r="X4812">
        <v>0.97012319999999996</v>
      </c>
      <c r="Y4812">
        <v>0.23969560000000001</v>
      </c>
      <c r="Z4812">
        <v>-9.5228429999999996E-3</v>
      </c>
      <c r="AA4812">
        <v>0.97080140000000004</v>
      </c>
      <c r="AB4812">
        <v>27</v>
      </c>
      <c r="AC4812">
        <v>33.392099999999999</v>
      </c>
      <c r="AD4812">
        <v>-1.1183676862479</v>
      </c>
      <c r="AE4812">
        <v>-1.34042999999999</v>
      </c>
      <c r="AF4812">
        <v>8.0377638027624503</v>
      </c>
      <c r="AG4812">
        <v>-1.1183676862479</v>
      </c>
      <c r="AH4812">
        <v>32.399477640549399</v>
      </c>
      <c r="AI4812">
        <v>91.918834742042407</v>
      </c>
      <c r="AJ4812">
        <v>76.0671711544517</v>
      </c>
      <c r="AK4812">
        <v>33.400337492473099</v>
      </c>
      <c r="AL4812">
        <v>79.936571254722907</v>
      </c>
      <c r="AM4812">
        <v>80.1576457220892</v>
      </c>
      <c r="AN4812">
        <v>1.0000000397645601</v>
      </c>
    </row>
    <row r="4813" spans="1:40" x14ac:dyDescent="0.25">
      <c r="A4813" t="str">
        <f>"20190303162657268"</f>
        <v>20190303162657268</v>
      </c>
      <c r="B4813" t="str">
        <f>"1551601617259551"</f>
        <v>1551601617259551</v>
      </c>
      <c r="C4813" t="s">
        <v>40</v>
      </c>
      <c r="D4813">
        <v>5.2495779999999996</v>
      </c>
      <c r="E4813">
        <v>0.52819059999999995</v>
      </c>
      <c r="F4813" t="s">
        <v>68</v>
      </c>
      <c r="G4813">
        <v>-234.2253</v>
      </c>
      <c r="H4813" s="1">
        <v>-8.5207009999999897E-7</v>
      </c>
      <c r="I4813">
        <v>-60.5800699999999</v>
      </c>
      <c r="J4813">
        <v>-267.06470000000002</v>
      </c>
      <c r="K4813">
        <v>1.1181749999999999</v>
      </c>
      <c r="L4813">
        <v>-59.27261</v>
      </c>
      <c r="M4813">
        <v>0.97980129999999999</v>
      </c>
      <c r="N4813">
        <v>-1.41958E-2</v>
      </c>
      <c r="O4813">
        <v>0.19946929999999999</v>
      </c>
      <c r="P4813">
        <v>0.98629809999999996</v>
      </c>
      <c r="Q4813">
        <v>0.16189879999999901</v>
      </c>
      <c r="R4813">
        <v>3.1702590000000003E-2</v>
      </c>
      <c r="S4813">
        <v>3.0628660000000001</v>
      </c>
      <c r="T4813">
        <v>-0.1038954</v>
      </c>
      <c r="U4813">
        <v>-0.1191711</v>
      </c>
      <c r="V4813">
        <v>0.16702400000000001</v>
      </c>
      <c r="W4813">
        <v>0.1744251</v>
      </c>
      <c r="X4813">
        <v>0.97040139999999997</v>
      </c>
      <c r="Y4813">
        <v>0.23720540000000001</v>
      </c>
      <c r="Z4813">
        <v>-9.5975920000000003E-3</v>
      </c>
      <c r="AA4813">
        <v>0.9714121</v>
      </c>
      <c r="AB4813">
        <v>27</v>
      </c>
      <c r="AC4813">
        <v>32.839399999999998</v>
      </c>
      <c r="AD4813">
        <v>-1.1181758520701</v>
      </c>
      <c r="AE4813">
        <v>-1.3074599999999901</v>
      </c>
      <c r="AF4813">
        <v>7.82323610021826</v>
      </c>
      <c r="AG4813">
        <v>-1.1181758520701</v>
      </c>
      <c r="AH4813">
        <v>31.881598480998299</v>
      </c>
      <c r="AI4813">
        <v>91.950869166496204</v>
      </c>
      <c r="AJ4813">
        <v>76.212942154003699</v>
      </c>
      <c r="AK4813">
        <v>32.846455851727796</v>
      </c>
      <c r="AL4813">
        <v>79.954795821122104</v>
      </c>
      <c r="AM4813">
        <v>80.234026316869901</v>
      </c>
      <c r="AN4813">
        <v>1.0000000046039801</v>
      </c>
    </row>
    <row r="4814" spans="1:40" x14ac:dyDescent="0.25">
      <c r="A4814" t="str">
        <f>"20190303162657279"</f>
        <v>20190303162657279</v>
      </c>
      <c r="B4814" t="str">
        <f>"1551601617269312"</f>
        <v>1551601617269312</v>
      </c>
      <c r="C4814" t="s">
        <v>40</v>
      </c>
      <c r="D4814">
        <v>5.2367559999999997</v>
      </c>
      <c r="E4814">
        <v>0.52806549999999997</v>
      </c>
      <c r="F4814" t="s">
        <v>68</v>
      </c>
      <c r="G4814">
        <v>-234.74019999999999</v>
      </c>
      <c r="H4814" s="1">
        <v>-1.0613929999999999E-6</v>
      </c>
      <c r="I4814">
        <v>-60.536659999999998</v>
      </c>
      <c r="J4814">
        <v>-266.93189999999998</v>
      </c>
      <c r="K4814">
        <v>1.1179939999999999</v>
      </c>
      <c r="L4814">
        <v>-59.24783</v>
      </c>
      <c r="M4814">
        <v>0.98026380000000002</v>
      </c>
      <c r="N4814">
        <v>-1.420281E-2</v>
      </c>
      <c r="O4814">
        <v>0.197183</v>
      </c>
      <c r="P4814">
        <v>0.98632070000000005</v>
      </c>
      <c r="Q4814">
        <v>0.1618464</v>
      </c>
      <c r="R4814">
        <v>3.126466E-2</v>
      </c>
      <c r="S4814">
        <v>3.0629270000000002</v>
      </c>
      <c r="T4814">
        <v>-0.10595350000000001</v>
      </c>
      <c r="U4814">
        <v>-0.1197815</v>
      </c>
      <c r="V4814">
        <v>0.16525960000000001</v>
      </c>
      <c r="W4814">
        <v>0.17432979999999901</v>
      </c>
      <c r="X4814">
        <v>0.97072049999999999</v>
      </c>
      <c r="Y4814">
        <v>0.23512420000000001</v>
      </c>
      <c r="Z4814">
        <v>-9.7139170000000007E-3</v>
      </c>
      <c r="AA4814">
        <v>0.97191680000000003</v>
      </c>
      <c r="AB4814">
        <v>27</v>
      </c>
      <c r="AC4814">
        <v>32.191699999999997</v>
      </c>
      <c r="AD4814">
        <v>-1.1179950613930001</v>
      </c>
      <c r="AE4814">
        <v>-1.2888299999999899</v>
      </c>
      <c r="AF4814">
        <v>7.6026621650706696</v>
      </c>
      <c r="AG4814">
        <v>-1.1179950613930001</v>
      </c>
      <c r="AH4814">
        <v>31.267728441978299</v>
      </c>
      <c r="AI4814">
        <v>91.989843074478699</v>
      </c>
      <c r="AJ4814">
        <v>76.333885781625298</v>
      </c>
      <c r="AK4814">
        <v>32.198155643992997</v>
      </c>
      <c r="AL4814">
        <v>79.960340533040593</v>
      </c>
      <c r="AM4814">
        <v>80.338352872245494</v>
      </c>
      <c r="AN4814">
        <v>0.99999995184022294</v>
      </c>
    </row>
    <row r="4815" spans="1:40" x14ac:dyDescent="0.25">
      <c r="A4815" t="str">
        <f>"20190303162657290"</f>
        <v>20190303162657290</v>
      </c>
      <c r="B4815" t="str">
        <f>"1551601617279072"</f>
        <v>1551601617279072</v>
      </c>
      <c r="C4815" t="s">
        <v>40</v>
      </c>
      <c r="D4815">
        <v>5.230855</v>
      </c>
      <c r="E4815">
        <v>0.52793869999999998</v>
      </c>
      <c r="F4815" t="s">
        <v>68</v>
      </c>
      <c r="G4815">
        <v>-235.05959999999999</v>
      </c>
      <c r="H4815" s="1">
        <v>-1.1879380000000001E-6</v>
      </c>
      <c r="I4815">
        <v>-60.497320000000002</v>
      </c>
      <c r="J4815">
        <v>-266.79730000000001</v>
      </c>
      <c r="K4815">
        <v>1.117845</v>
      </c>
      <c r="L4815">
        <v>-59.2232699999999</v>
      </c>
      <c r="M4815">
        <v>0.98074749999999999</v>
      </c>
      <c r="N4815">
        <v>-1.4208719999999999E-2</v>
      </c>
      <c r="O4815">
        <v>0.1947623</v>
      </c>
      <c r="P4815">
        <v>0.98631670000000005</v>
      </c>
      <c r="Q4815">
        <v>0.16193569999999999</v>
      </c>
      <c r="R4815">
        <v>3.092174E-2</v>
      </c>
      <c r="S4815">
        <v>3.0630489999999999</v>
      </c>
      <c r="T4815">
        <v>-0.1074436</v>
      </c>
      <c r="U4815">
        <v>-0.1200867</v>
      </c>
      <c r="V4815">
        <v>0.16325509999999999</v>
      </c>
      <c r="W4815">
        <v>0.1743885</v>
      </c>
      <c r="X4815">
        <v>0.9710491</v>
      </c>
      <c r="Y4815">
        <v>0.23281499999999999</v>
      </c>
      <c r="Z4815">
        <v>-9.7597759999999995E-3</v>
      </c>
      <c r="AA4815">
        <v>0.97247209999999995</v>
      </c>
      <c r="AB4815">
        <v>27</v>
      </c>
      <c r="AC4815">
        <v>31.7377</v>
      </c>
      <c r="AD4815">
        <v>-1.1178461879379999</v>
      </c>
      <c r="AE4815">
        <v>-1.2740499999999999</v>
      </c>
      <c r="AF4815">
        <v>7.4223863785566699</v>
      </c>
      <c r="AG4815">
        <v>-1.1178461879379999</v>
      </c>
      <c r="AH4815">
        <v>30.8434508492604</v>
      </c>
      <c r="AI4815">
        <v>92.018075937109302</v>
      </c>
      <c r="AJ4815">
        <v>76.469216137747495</v>
      </c>
      <c r="AK4815">
        <v>31.7436585784186</v>
      </c>
      <c r="AL4815">
        <v>79.956925090878499</v>
      </c>
      <c r="AM4815">
        <v>80.456544175347105</v>
      </c>
      <c r="AN4815">
        <v>0.99999996560953397</v>
      </c>
    </row>
    <row r="4816" spans="1:40" x14ac:dyDescent="0.25">
      <c r="A4816" t="str">
        <f>"20190303162657303"</f>
        <v>20190303162657303</v>
      </c>
      <c r="B4816" t="str">
        <f>"1551601617298592"</f>
        <v>1551601617298592</v>
      </c>
      <c r="C4816" t="s">
        <v>40</v>
      </c>
      <c r="D4816">
        <v>5.2209450000000004</v>
      </c>
      <c r="E4816">
        <v>0.52779109999999996</v>
      </c>
      <c r="F4816" t="s">
        <v>68</v>
      </c>
      <c r="G4816">
        <v>-235.0746</v>
      </c>
      <c r="H4816" s="1">
        <v>-1.1875610000000001E-6</v>
      </c>
      <c r="I4816">
        <v>-60.471609999999998</v>
      </c>
      <c r="J4816">
        <v>-266.64819999999997</v>
      </c>
      <c r="K4816">
        <v>1.117694</v>
      </c>
      <c r="L4816">
        <v>-59.196319999999901</v>
      </c>
      <c r="M4816">
        <v>0.9812862</v>
      </c>
      <c r="N4816">
        <v>-1.421421E-2</v>
      </c>
      <c r="O4816">
        <v>0.19203010000000001</v>
      </c>
      <c r="P4816">
        <v>0.98630770000000001</v>
      </c>
      <c r="Q4816">
        <v>0.1620683</v>
      </c>
      <c r="R4816">
        <v>3.051512E-2</v>
      </c>
      <c r="S4816">
        <v>3.06311</v>
      </c>
      <c r="T4816">
        <v>-0.1079383</v>
      </c>
      <c r="U4816">
        <v>-0.1205444</v>
      </c>
      <c r="V4816">
        <v>0.16100539999999999</v>
      </c>
      <c r="W4816">
        <v>0.17449229999999999</v>
      </c>
      <c r="X4816">
        <v>0.97140599999999999</v>
      </c>
      <c r="Y4816">
        <v>0.2302506</v>
      </c>
      <c r="Z4816">
        <v>-9.6901320000000006E-3</v>
      </c>
      <c r="AA4816">
        <v>0.97308309999999998</v>
      </c>
      <c r="AB4816">
        <v>27</v>
      </c>
      <c r="AC4816">
        <v>31.5735999999999</v>
      </c>
      <c r="AD4816">
        <v>-1.1176951875609999</v>
      </c>
      <c r="AE4816">
        <v>-1.27529</v>
      </c>
      <c r="AF4816">
        <v>7.3061036779577897</v>
      </c>
      <c r="AG4816">
        <v>-1.1176951875609999</v>
      </c>
      <c r="AH4816">
        <v>30.7025345286659</v>
      </c>
      <c r="AI4816">
        <v>92.028287306557402</v>
      </c>
      <c r="AJ4816">
        <v>76.614608287139802</v>
      </c>
      <c r="AK4816">
        <v>31.5796456593371</v>
      </c>
      <c r="AL4816">
        <v>79.950885118328003</v>
      </c>
      <c r="AM4816">
        <v>80.589082338345406</v>
      </c>
      <c r="AN4816">
        <v>0.99999995921222395</v>
      </c>
    </row>
    <row r="4817" spans="1:40" x14ac:dyDescent="0.25">
      <c r="A4817" t="str">
        <f>"20190303162657314"</f>
        <v>20190303162657314</v>
      </c>
      <c r="B4817" t="str">
        <f>"1551601617298592"</f>
        <v>1551601617298592</v>
      </c>
      <c r="C4817" t="s">
        <v>40</v>
      </c>
      <c r="D4817">
        <v>5.2209450000000004</v>
      </c>
      <c r="E4817">
        <v>0.52779109999999996</v>
      </c>
      <c r="F4817" t="s">
        <v>68</v>
      </c>
      <c r="G4817">
        <v>-234.88079999999999</v>
      </c>
      <c r="H4817" s="1">
        <v>-1.099629E-6</v>
      </c>
      <c r="I4817">
        <v>-60.453710000000001</v>
      </c>
      <c r="J4817">
        <v>-266.51249999999999</v>
      </c>
      <c r="K4817">
        <v>1.1175850000000001</v>
      </c>
      <c r="L4817">
        <v>-59.172550000000001</v>
      </c>
      <c r="M4817">
        <v>0.98179099999999997</v>
      </c>
      <c r="N4817">
        <v>-1.4218939999999999E-2</v>
      </c>
      <c r="O4817">
        <v>0.18943170000000001</v>
      </c>
      <c r="P4817">
        <v>0.98618870000000003</v>
      </c>
      <c r="Q4817">
        <v>0.1627652</v>
      </c>
      <c r="R4817">
        <v>3.0655459999999999E-2</v>
      </c>
      <c r="S4817">
        <v>3.0630799999999998</v>
      </c>
      <c r="T4817">
        <v>-0.10777059999999999</v>
      </c>
      <c r="U4817">
        <v>-0.1212463</v>
      </c>
      <c r="V4817">
        <v>0.15831779999999901</v>
      </c>
      <c r="W4817">
        <v>0.17518139999999999</v>
      </c>
      <c r="X4817">
        <v>0.97172369999999997</v>
      </c>
      <c r="Y4817">
        <v>0.2279004</v>
      </c>
      <c r="Z4817">
        <v>-9.5622299999999997E-3</v>
      </c>
      <c r="AA4817">
        <v>0.97363750000000004</v>
      </c>
      <c r="AB4817">
        <v>27</v>
      </c>
      <c r="AC4817">
        <v>31.631699999999899</v>
      </c>
      <c r="AD4817">
        <v>-1.1175860996289999</v>
      </c>
      <c r="AE4817">
        <v>-1.2811600000000001</v>
      </c>
      <c r="AF4817">
        <v>7.2415858167120897</v>
      </c>
      <c r="AG4817">
        <v>-1.1175860996289999</v>
      </c>
      <c r="AH4817">
        <v>30.777782819103798</v>
      </c>
      <c r="AI4817">
        <v>92.024348600130594</v>
      </c>
      <c r="AJ4817">
        <v>76.759913017415201</v>
      </c>
      <c r="AK4817">
        <v>31.6379752685094</v>
      </c>
      <c r="AL4817">
        <v>79.910785352803103</v>
      </c>
      <c r="AM4817">
        <v>80.746407417993098</v>
      </c>
      <c r="AN4817">
        <v>0.999999998922245</v>
      </c>
    </row>
    <row r="4818" spans="1:40" x14ac:dyDescent="0.25">
      <c r="A4818" t="str">
        <f>"20190303162657325"</f>
        <v>20190303162657325</v>
      </c>
      <c r="B4818" t="str">
        <f>"1551601617319088"</f>
        <v>1551601617319088</v>
      </c>
      <c r="C4818" t="s">
        <v>40</v>
      </c>
      <c r="D4818">
        <v>5.2256390000000001</v>
      </c>
      <c r="E4818">
        <v>0.52772289999999999</v>
      </c>
      <c r="F4818" t="s">
        <v>68</v>
      </c>
      <c r="G4818">
        <v>-234.04830000000001</v>
      </c>
      <c r="H4818" s="1">
        <v>-7.4324200000000003E-7</v>
      </c>
      <c r="I4818">
        <v>-60.456499999999998</v>
      </c>
      <c r="J4818">
        <v>-266.3879</v>
      </c>
      <c r="K4818">
        <v>1.1174959999999901</v>
      </c>
      <c r="L4818">
        <v>-59.150880000000001</v>
      </c>
      <c r="M4818">
        <v>0.98225209999999996</v>
      </c>
      <c r="N4818">
        <v>-1.422288E-2</v>
      </c>
      <c r="O4818">
        <v>0.18702550000000001</v>
      </c>
      <c r="P4818">
        <v>0.98595169999999999</v>
      </c>
      <c r="Q4818">
        <v>0.1641426</v>
      </c>
      <c r="R4818">
        <v>3.0931799999999999E-2</v>
      </c>
      <c r="S4818">
        <v>3.063202</v>
      </c>
      <c r="T4818">
        <v>-0.10545110000000001</v>
      </c>
      <c r="U4818">
        <v>-0.12115480000000001</v>
      </c>
      <c r="V4818">
        <v>0.15566640000000001</v>
      </c>
      <c r="W4818">
        <v>0.17655489999999999</v>
      </c>
      <c r="X4818">
        <v>0.97190339999999997</v>
      </c>
      <c r="Y4818">
        <v>0.2254961</v>
      </c>
      <c r="Z4818">
        <v>-9.2268909999999992E-3</v>
      </c>
      <c r="AA4818">
        <v>0.97420039999999997</v>
      </c>
      <c r="AB4818">
        <v>27</v>
      </c>
      <c r="AC4818">
        <v>32.339599999999898</v>
      </c>
      <c r="AD4818">
        <v>-1.11749674324199</v>
      </c>
      <c r="AE4818">
        <v>-1.30561999999999</v>
      </c>
      <c r="AF4818">
        <v>7.3227898099518898</v>
      </c>
      <c r="AG4818">
        <v>-1.11749674324199</v>
      </c>
      <c r="AH4818">
        <v>31.487108190916999</v>
      </c>
      <c r="AI4818">
        <v>91.979817378428905</v>
      </c>
      <c r="AJ4818">
        <v>76.907750439509201</v>
      </c>
      <c r="AK4818">
        <v>32.346715935290902</v>
      </c>
      <c r="AL4818">
        <v>79.830842991954697</v>
      </c>
      <c r="AM4818">
        <v>80.900419736129194</v>
      </c>
      <c r="AN4818">
        <v>0.99999993986726299</v>
      </c>
    </row>
    <row r="4819" spans="1:40" x14ac:dyDescent="0.25">
      <c r="A4819" t="str">
        <f>"20190303162657336"</f>
        <v>20190303162657336</v>
      </c>
      <c r="B4819" t="str">
        <f>"1551601617328848"</f>
        <v>1551601617328848</v>
      </c>
      <c r="C4819" t="s">
        <v>40</v>
      </c>
      <c r="D4819">
        <v>5.1861480000000002</v>
      </c>
      <c r="E4819">
        <v>0.52772859999999999</v>
      </c>
      <c r="F4819" t="s">
        <v>68</v>
      </c>
      <c r="G4819">
        <v>-232.81569999999999</v>
      </c>
      <c r="H4819" s="1">
        <v>-2.1836870000000001E-7</v>
      </c>
      <c r="I4819">
        <v>-60.47119</v>
      </c>
      <c r="J4819">
        <v>-266.24270000000001</v>
      </c>
      <c r="K4819">
        <v>1.117418</v>
      </c>
      <c r="L4819">
        <v>-59.126249999999999</v>
      </c>
      <c r="M4819">
        <v>0.98279530000000004</v>
      </c>
      <c r="N4819">
        <v>-1.42276E-2</v>
      </c>
      <c r="O4819">
        <v>0.18414949999999999</v>
      </c>
      <c r="P4819">
        <v>0.98563970000000001</v>
      </c>
      <c r="Q4819">
        <v>0.16594489999999901</v>
      </c>
      <c r="R4819">
        <v>3.1255610000000003E-2</v>
      </c>
      <c r="S4819">
        <v>3.0634769999999998</v>
      </c>
      <c r="T4819">
        <v>-0.1019719</v>
      </c>
      <c r="U4819">
        <v>-0.12048339999999901</v>
      </c>
      <c r="V4819">
        <v>0.1524904</v>
      </c>
      <c r="W4819">
        <v>0.17836389999999999</v>
      </c>
      <c r="X4819">
        <v>0.97207670000000002</v>
      </c>
      <c r="Y4819">
        <v>0.22244420000000001</v>
      </c>
      <c r="Z4819">
        <v>-8.7605440000000003E-3</v>
      </c>
      <c r="AA4819">
        <v>0.9749061</v>
      </c>
      <c r="AB4819">
        <v>27</v>
      </c>
      <c r="AC4819">
        <v>33.427</v>
      </c>
      <c r="AD4819">
        <v>-1.1174182183687</v>
      </c>
      <c r="AE4819">
        <v>-1.34494</v>
      </c>
      <c r="AF4819">
        <v>7.4697889323154998</v>
      </c>
      <c r="AG4819">
        <v>-1.1174182183687</v>
      </c>
      <c r="AH4819">
        <v>32.5711892919646</v>
      </c>
      <c r="AI4819">
        <v>91.9151914613457</v>
      </c>
      <c r="AJ4819">
        <v>77.083302386016499</v>
      </c>
      <c r="AK4819">
        <v>33.435441406702999</v>
      </c>
      <c r="AL4819">
        <v>79.7255244972947</v>
      </c>
      <c r="AM4819">
        <v>81.084625467468101</v>
      </c>
      <c r="AN4819">
        <v>1.0000000567991201</v>
      </c>
    </row>
    <row r="4820" spans="1:40" x14ac:dyDescent="0.25">
      <c r="A4820" t="str">
        <f>"20190303162657347"</f>
        <v>20190303162657347</v>
      </c>
      <c r="B4820" t="str">
        <f>"1551601617338607"</f>
        <v>1551601617338607</v>
      </c>
      <c r="C4820" t="s">
        <v>40</v>
      </c>
      <c r="D4820">
        <v>5.18553</v>
      </c>
      <c r="E4820">
        <v>0.52775450000000002</v>
      </c>
      <c r="F4820" t="s">
        <v>68</v>
      </c>
      <c r="G4820">
        <v>-230.7654</v>
      </c>
      <c r="H4820" s="1">
        <v>6.4869769999999899E-7</v>
      </c>
      <c r="I4820">
        <v>-60.518160000000002</v>
      </c>
      <c r="J4820">
        <v>-266.11630000000002</v>
      </c>
      <c r="K4820">
        <v>1.117364</v>
      </c>
      <c r="L4820">
        <v>-59.105130000000003</v>
      </c>
      <c r="M4820">
        <v>0.98326570000000002</v>
      </c>
      <c r="N4820">
        <v>-1.423142E-2</v>
      </c>
      <c r="O4820">
        <v>0.1816208</v>
      </c>
      <c r="P4820">
        <v>0.98526420000000003</v>
      </c>
      <c r="Q4820">
        <v>0.1680065</v>
      </c>
      <c r="R4820">
        <v>3.2068659999999999E-2</v>
      </c>
      <c r="S4820">
        <v>3.0637819999999998</v>
      </c>
      <c r="T4820">
        <v>-9.6499089999999996E-2</v>
      </c>
      <c r="U4820">
        <v>-0.1202087</v>
      </c>
      <c r="V4820">
        <v>0.14916189999999999</v>
      </c>
      <c r="W4820">
        <v>0.1804412</v>
      </c>
      <c r="X4820">
        <v>0.97220969999999995</v>
      </c>
      <c r="Y4820">
        <v>0.21986839999999999</v>
      </c>
      <c r="Z4820">
        <v>-8.1320590000000005E-3</v>
      </c>
      <c r="AA4820">
        <v>0.97549560000000002</v>
      </c>
      <c r="AB4820">
        <v>27</v>
      </c>
      <c r="AC4820">
        <v>35.350900000000003</v>
      </c>
      <c r="AD4820">
        <v>-1.1173633513023</v>
      </c>
      <c r="AE4820">
        <v>-1.41302999999999</v>
      </c>
      <c r="AF4820">
        <v>7.8028503206306397</v>
      </c>
      <c r="AG4820">
        <v>-1.1173633513023</v>
      </c>
      <c r="AH4820">
        <v>34.4718006603321</v>
      </c>
      <c r="AI4820">
        <v>91.810749057195196</v>
      </c>
      <c r="AJ4820">
        <v>77.245765453443795</v>
      </c>
      <c r="AK4820">
        <v>35.3615329807783</v>
      </c>
      <c r="AL4820">
        <v>79.604540494249207</v>
      </c>
      <c r="AM4820">
        <v>81.277375550516595</v>
      </c>
      <c r="AN4820">
        <v>0.99999999992156996</v>
      </c>
    </row>
    <row r="4821" spans="1:40" x14ac:dyDescent="0.25">
      <c r="A4821" t="str">
        <f>"20190303162657359"</f>
        <v>20190303162657359</v>
      </c>
      <c r="B4821" t="str">
        <f>"1551601617349343"</f>
        <v>1551601617349343</v>
      </c>
      <c r="C4821" t="s">
        <v>40</v>
      </c>
      <c r="D4821">
        <v>5.1623989999999997</v>
      </c>
      <c r="E4821">
        <v>0.52773789999999998</v>
      </c>
      <c r="F4821" t="s">
        <v>70</v>
      </c>
      <c r="G4821">
        <v>-227.96709999999999</v>
      </c>
      <c r="H4821" s="1">
        <v>-2.5802790000000002E-6</v>
      </c>
      <c r="I4821">
        <v>-60.583190000000002</v>
      </c>
      <c r="J4821">
        <v>-265.97410000000002</v>
      </c>
      <c r="K4821">
        <v>1.117316</v>
      </c>
      <c r="L4821">
        <v>-59.081850000000003</v>
      </c>
      <c r="M4821">
        <v>0.98379280000000002</v>
      </c>
      <c r="N4821">
        <v>-1.423552E-2</v>
      </c>
      <c r="O4821">
        <v>0.17874279999999901</v>
      </c>
      <c r="P4821">
        <v>0.98492460000000004</v>
      </c>
      <c r="Q4821">
        <v>0.16993059999999999</v>
      </c>
      <c r="R4821">
        <v>3.2362700000000001E-2</v>
      </c>
      <c r="S4821">
        <v>3.0640260000000001</v>
      </c>
      <c r="T4821">
        <v>-8.9743489999999995E-2</v>
      </c>
      <c r="U4821">
        <v>-0.1187134</v>
      </c>
      <c r="V4821">
        <v>0.14600270000000001</v>
      </c>
      <c r="W4821">
        <v>0.1823815</v>
      </c>
      <c r="X4821">
        <v>0.97232719999999995</v>
      </c>
      <c r="Y4821">
        <v>0.21656120000000001</v>
      </c>
      <c r="Z4821">
        <v>-7.3761410000000001E-3</v>
      </c>
      <c r="AA4821">
        <v>0.97624120000000003</v>
      </c>
      <c r="AB4821">
        <v>27</v>
      </c>
      <c r="AC4821">
        <v>38.006999999999998</v>
      </c>
      <c r="AD4821">
        <v>-1.117318580279</v>
      </c>
      <c r="AE4821">
        <v>-1.5013399999999899</v>
      </c>
      <c r="AF4821">
        <v>8.2641925854028599</v>
      </c>
      <c r="AG4821">
        <v>-1.117318580279</v>
      </c>
      <c r="AH4821">
        <v>37.094414916918197</v>
      </c>
      <c r="AI4821">
        <v>91.684019020383801</v>
      </c>
      <c r="AJ4821">
        <v>77.440301753168498</v>
      </c>
      <c r="AK4821">
        <v>38.020269566731699</v>
      </c>
      <c r="AL4821">
        <v>79.491493637257307</v>
      </c>
      <c r="AM4821">
        <v>81.460381510153397</v>
      </c>
      <c r="AN4821">
        <v>0.99999999190469002</v>
      </c>
    </row>
    <row r="4822" spans="1:40" x14ac:dyDescent="0.25">
      <c r="A4822" t="str">
        <f>"20190303162657370"</f>
        <v>20190303162657370</v>
      </c>
      <c r="B4822" t="str">
        <f>"1551601617359105"</f>
        <v>1551601617359105</v>
      </c>
      <c r="C4822" t="s">
        <v>40</v>
      </c>
      <c r="D4822">
        <v>5.1533059999999997</v>
      </c>
      <c r="E4822">
        <v>0.52776250000000002</v>
      </c>
      <c r="F4822" t="s">
        <v>70</v>
      </c>
      <c r="G4822">
        <v>-225.31610000000001</v>
      </c>
      <c r="H4822" s="1">
        <v>-1.4585140000000001E-6</v>
      </c>
      <c r="I4822">
        <v>-60.652880000000003</v>
      </c>
      <c r="J4822">
        <v>-265.8347</v>
      </c>
      <c r="K4822">
        <v>1.1172850000000001</v>
      </c>
      <c r="L4822">
        <v>-59.059539999999998</v>
      </c>
      <c r="M4822">
        <v>0.98430660000000003</v>
      </c>
      <c r="N4822">
        <v>-1.423892E-2</v>
      </c>
      <c r="O4822">
        <v>0.17589160000000001</v>
      </c>
      <c r="P4822">
        <v>0.98454699999999995</v>
      </c>
      <c r="Q4822">
        <v>0.1720112</v>
      </c>
      <c r="R4822">
        <v>3.2854910000000001E-2</v>
      </c>
      <c r="S4822">
        <v>3.064362</v>
      </c>
      <c r="T4822">
        <v>-8.4211350000000004E-2</v>
      </c>
      <c r="U4822">
        <v>-0.11840820000000001</v>
      </c>
      <c r="V4822">
        <v>0.14266609999999999</v>
      </c>
      <c r="W4822">
        <v>0.1844848</v>
      </c>
      <c r="X4822">
        <v>0.97242569999999995</v>
      </c>
      <c r="Y4822">
        <v>0.2136508</v>
      </c>
      <c r="Z4822">
        <v>-6.7610489999999999E-3</v>
      </c>
      <c r="AA4822">
        <v>0.9768867</v>
      </c>
      <c r="AB4822">
        <v>27</v>
      </c>
      <c r="AC4822">
        <v>40.5185999999999</v>
      </c>
      <c r="AD4822">
        <v>-1.1172864585140001</v>
      </c>
      <c r="AE4822">
        <v>-1.59333999999999</v>
      </c>
      <c r="AF4822">
        <v>8.6895007298509004</v>
      </c>
      <c r="AG4822">
        <v>-1.1172864585140001</v>
      </c>
      <c r="AH4822">
        <v>39.576437909362099</v>
      </c>
      <c r="AI4822">
        <v>91.579489566481399</v>
      </c>
      <c r="AJ4822">
        <v>77.616494610482405</v>
      </c>
      <c r="AK4822">
        <v>40.534555499697397</v>
      </c>
      <c r="AL4822">
        <v>79.368903392545803</v>
      </c>
      <c r="AM4822">
        <v>81.653589905109101</v>
      </c>
      <c r="AN4822">
        <v>0.99999999977036902</v>
      </c>
    </row>
    <row r="4823" spans="1:40" x14ac:dyDescent="0.25">
      <c r="A4823" t="str">
        <f>"20190303162657383"</f>
        <v>20190303162657383</v>
      </c>
      <c r="B4823" t="str">
        <f>"1551601617378624"</f>
        <v>1551601617378624</v>
      </c>
      <c r="C4823" t="s">
        <v>40</v>
      </c>
      <c r="D4823">
        <v>5.1348240000000001</v>
      </c>
      <c r="E4823">
        <v>0.52803440000000001</v>
      </c>
      <c r="F4823" t="s">
        <v>70</v>
      </c>
      <c r="G4823">
        <v>-221.83199999999999</v>
      </c>
      <c r="H4823" s="1">
        <v>1.406897E-8</v>
      </c>
      <c r="I4823">
        <v>-60.752229999999997</v>
      </c>
      <c r="J4823">
        <v>-265.6884</v>
      </c>
      <c r="K4823">
        <v>1.117259</v>
      </c>
      <c r="L4823">
        <v>-59.036439999999999</v>
      </c>
      <c r="M4823">
        <v>0.98483810000000005</v>
      </c>
      <c r="N4823">
        <v>-1.4242060000000001E-2</v>
      </c>
      <c r="O4823">
        <v>0.17289019999999999</v>
      </c>
      <c r="P4823">
        <v>0.98413740000000005</v>
      </c>
      <c r="Q4823">
        <v>0.17423350000000001</v>
      </c>
      <c r="R4823">
        <v>3.3413379999999999E-2</v>
      </c>
      <c r="S4823">
        <v>3.0646059999999999</v>
      </c>
      <c r="T4823">
        <v>-7.7814339999999996E-2</v>
      </c>
      <c r="U4823">
        <v>-0.11788940000000001</v>
      </c>
      <c r="V4823">
        <v>0.1391115</v>
      </c>
      <c r="W4823">
        <v>0.18673429999999999</v>
      </c>
      <c r="X4823">
        <v>0.97251140000000003</v>
      </c>
      <c r="Y4823">
        <v>0.21052460000000001</v>
      </c>
      <c r="Z4823">
        <v>-6.0774230000000002E-3</v>
      </c>
      <c r="AA4823">
        <v>0.97756960000000004</v>
      </c>
      <c r="AB4823">
        <v>27</v>
      </c>
      <c r="AC4823">
        <v>43.856400000000001</v>
      </c>
      <c r="AD4823">
        <v>-1.11725898593103</v>
      </c>
      <c r="AE4823">
        <v>-1.7157899999999999</v>
      </c>
      <c r="AF4823">
        <v>9.2670528244770196</v>
      </c>
      <c r="AG4823">
        <v>-1.11725898593103</v>
      </c>
      <c r="AH4823">
        <v>42.871381800691097</v>
      </c>
      <c r="AI4823">
        <v>91.459146263856397</v>
      </c>
      <c r="AJ4823">
        <v>77.802640411257499</v>
      </c>
      <c r="AK4823">
        <v>43.875755414510103</v>
      </c>
      <c r="AL4823">
        <v>79.237738025825195</v>
      </c>
      <c r="AM4823">
        <v>81.859430206046994</v>
      </c>
      <c r="AN4823">
        <v>1.00000006567934</v>
      </c>
    </row>
    <row r="4824" spans="1:40" x14ac:dyDescent="0.25">
      <c r="A4824" t="str">
        <f>"20190303162657396"</f>
        <v>20190303162657396</v>
      </c>
      <c r="B4824" t="str">
        <f>"1551601617389359"</f>
        <v>1551601617389359</v>
      </c>
      <c r="C4824" t="s">
        <v>40</v>
      </c>
      <c r="D4824">
        <v>5.1195309999999896</v>
      </c>
      <c r="E4824">
        <v>0.52824569999999904</v>
      </c>
      <c r="F4824" t="s">
        <v>71</v>
      </c>
      <c r="G4824">
        <v>-217.32390000000001</v>
      </c>
      <c r="H4824" s="1">
        <v>-2.2494040000000001E-6</v>
      </c>
      <c r="I4824">
        <v>-60.903930000000003</v>
      </c>
      <c r="J4824">
        <v>-265.53660000000002</v>
      </c>
      <c r="K4824">
        <v>1.117248</v>
      </c>
      <c r="L4824">
        <v>-59.013210000000001</v>
      </c>
      <c r="M4824">
        <v>0.98538389999999998</v>
      </c>
      <c r="N4824">
        <v>-1.424459E-2</v>
      </c>
      <c r="O4824">
        <v>0.16975279999999901</v>
      </c>
      <c r="P4824">
        <v>0.98381810000000003</v>
      </c>
      <c r="Q4824">
        <v>0.1759821</v>
      </c>
      <c r="R4824">
        <v>3.3655520000000001E-2</v>
      </c>
      <c r="S4824">
        <v>3.06488</v>
      </c>
      <c r="T4824">
        <v>-7.0801379999999997E-2</v>
      </c>
      <c r="U4824">
        <v>-0.1183472</v>
      </c>
      <c r="V4824">
        <v>0.13574120000000001</v>
      </c>
      <c r="W4824">
        <v>0.18851270000000001</v>
      </c>
      <c r="X4824">
        <v>0.97264450000000002</v>
      </c>
      <c r="Y4824">
        <v>0.20757310000000001</v>
      </c>
      <c r="Z4824">
        <v>-5.3600109999999996E-3</v>
      </c>
      <c r="AA4824">
        <v>0.97820479999999999</v>
      </c>
      <c r="AB4824">
        <v>27</v>
      </c>
      <c r="AC4824">
        <v>48.212699999999998</v>
      </c>
      <c r="AD4824">
        <v>-1.117250249404</v>
      </c>
      <c r="AE4824">
        <v>-1.89072</v>
      </c>
      <c r="AF4824">
        <v>10.042958764478501</v>
      </c>
      <c r="AG4824">
        <v>-1.117250249404</v>
      </c>
      <c r="AH4824">
        <v>47.166553328035299</v>
      </c>
      <c r="AI4824">
        <v>91.327189859607202</v>
      </c>
      <c r="AJ4824">
        <v>77.979780375938503</v>
      </c>
      <c r="AK4824">
        <v>48.236842990718301</v>
      </c>
      <c r="AL4824">
        <v>79.134000407336799</v>
      </c>
      <c r="AM4824">
        <v>82.055178240463704</v>
      </c>
      <c r="AN4824">
        <v>1.0000000174094801</v>
      </c>
    </row>
    <row r="4825" spans="1:40" x14ac:dyDescent="0.25">
      <c r="A4825" t="str">
        <f>"20190303162657406"</f>
        <v>20190303162657406</v>
      </c>
      <c r="B4825" t="str">
        <f>"1551601617399121"</f>
        <v>1551601617399121</v>
      </c>
      <c r="C4825" t="s">
        <v>40</v>
      </c>
      <c r="D4825">
        <v>5.0956650000000003</v>
      </c>
      <c r="E4825">
        <v>0.52847390000000005</v>
      </c>
      <c r="F4825" t="s">
        <v>71</v>
      </c>
      <c r="G4825">
        <v>-213.1404</v>
      </c>
      <c r="H4825" s="1">
        <v>-4.9225330000000004E-7</v>
      </c>
      <c r="I4825">
        <v>-61.04513</v>
      </c>
      <c r="J4825">
        <v>-265.39800000000002</v>
      </c>
      <c r="K4825">
        <v>1.1172390000000001</v>
      </c>
      <c r="L4825">
        <v>-58.992310000000003</v>
      </c>
      <c r="M4825">
        <v>0.98587329999999995</v>
      </c>
      <c r="N4825">
        <v>-1.424662E-2</v>
      </c>
      <c r="O4825">
        <v>0.16688599999999901</v>
      </c>
      <c r="P4825">
        <v>0.98348060000000004</v>
      </c>
      <c r="Q4825">
        <v>0.17776910000000001</v>
      </c>
      <c r="R4825">
        <v>3.4121039999999998E-2</v>
      </c>
      <c r="S4825">
        <v>3.0650629999999999</v>
      </c>
      <c r="T4825">
        <v>-6.5356609999999996E-2</v>
      </c>
      <c r="U4825">
        <v>-0.118866</v>
      </c>
      <c r="V4825">
        <v>0.1324149</v>
      </c>
      <c r="W4825">
        <v>0.19033130000000001</v>
      </c>
      <c r="X4825">
        <v>0.97274890000000003</v>
      </c>
      <c r="Y4825">
        <v>0.20490439999999999</v>
      </c>
      <c r="Z4825">
        <v>-4.8079569999999999E-3</v>
      </c>
      <c r="AA4825">
        <v>0.97877020000000003</v>
      </c>
      <c r="AB4825">
        <v>27</v>
      </c>
      <c r="AC4825">
        <v>52.257599999999897</v>
      </c>
      <c r="AD4825">
        <v>-1.11723949225329</v>
      </c>
      <c r="AE4825">
        <v>-2.0528200000000099</v>
      </c>
      <c r="AF4825">
        <v>10.741070511889101</v>
      </c>
      <c r="AG4825">
        <v>-1.11723949225329</v>
      </c>
      <c r="AH4825">
        <v>51.158630667256801</v>
      </c>
      <c r="AI4825">
        <v>91.224381234632702</v>
      </c>
      <c r="AJ4825">
        <v>78.142625724436598</v>
      </c>
      <c r="AK4825">
        <v>52.2859858047375</v>
      </c>
      <c r="AL4825">
        <v>79.027881618963804</v>
      </c>
      <c r="AM4825">
        <v>82.248289120627305</v>
      </c>
      <c r="AN4825">
        <v>1.0000000659764501</v>
      </c>
    </row>
    <row r="4826" spans="1:40" x14ac:dyDescent="0.25">
      <c r="A4826" t="str">
        <f>"20190303162657417"</f>
        <v>20190303162657417</v>
      </c>
      <c r="B4826" t="str">
        <f>"1551601617408880"</f>
        <v>1551601617408880</v>
      </c>
      <c r="C4826" t="s">
        <v>40</v>
      </c>
      <c r="D4826">
        <v>5.0762619999999998</v>
      </c>
      <c r="E4826">
        <v>0.52854869999999898</v>
      </c>
      <c r="F4826" t="s">
        <v>59</v>
      </c>
      <c r="G4826">
        <v>-208.3546</v>
      </c>
      <c r="H4826" s="1">
        <v>-1.1317220000000001E-6</v>
      </c>
      <c r="I4826">
        <v>-61.204300000000003</v>
      </c>
      <c r="J4826">
        <v>-265.26889999999997</v>
      </c>
      <c r="K4826">
        <v>1.1172359999999999</v>
      </c>
      <c r="L4826">
        <v>-58.973239999999997</v>
      </c>
      <c r="M4826">
        <v>0.9863229</v>
      </c>
      <c r="N4826">
        <v>-1.424826E-2</v>
      </c>
      <c r="O4826">
        <v>0.164207399999999</v>
      </c>
      <c r="P4826">
        <v>0.98314669999999904</v>
      </c>
      <c r="Q4826">
        <v>0.17955860000000001</v>
      </c>
      <c r="R4826">
        <v>3.4373029999999999E-2</v>
      </c>
      <c r="S4826">
        <v>3.065369</v>
      </c>
      <c r="T4826">
        <v>-6.0037609999999998E-2</v>
      </c>
      <c r="U4826">
        <v>-0.118866</v>
      </c>
      <c r="V4826">
        <v>0.1294845</v>
      </c>
      <c r="W4826">
        <v>0.1921495</v>
      </c>
      <c r="X4826">
        <v>0.97278580000000003</v>
      </c>
      <c r="Y4826">
        <v>0.20225370000000001</v>
      </c>
      <c r="Z4826">
        <v>-4.2826549999999998E-3</v>
      </c>
      <c r="AA4826">
        <v>0.97932379999999997</v>
      </c>
      <c r="AB4826">
        <v>27</v>
      </c>
      <c r="AC4826">
        <v>56.914299999999898</v>
      </c>
      <c r="AD4826">
        <v>-1.117237131722</v>
      </c>
      <c r="AE4826">
        <v>-2.2310599999999998</v>
      </c>
      <c r="AF4826">
        <v>11.5430261035087</v>
      </c>
      <c r="AG4826">
        <v>-1.117237131722</v>
      </c>
      <c r="AH4826">
        <v>55.753732825670198</v>
      </c>
      <c r="AI4826">
        <v>91.124150607375</v>
      </c>
      <c r="AJ4826">
        <v>78.302972883825802</v>
      </c>
      <c r="AK4826">
        <v>56.9470666007565</v>
      </c>
      <c r="AL4826">
        <v>78.9217461104367</v>
      </c>
      <c r="AM4826">
        <v>82.418104196715305</v>
      </c>
      <c r="AN4826">
        <v>0.99999993938606802</v>
      </c>
    </row>
    <row r="4827" spans="1:40" x14ac:dyDescent="0.25">
      <c r="A4827" t="str">
        <f>"20190303162657427"</f>
        <v>20190303162657427</v>
      </c>
      <c r="B4827" t="str">
        <f>"1551601617418639"</f>
        <v>1551601617418639</v>
      </c>
      <c r="C4827" t="s">
        <v>40</v>
      </c>
      <c r="D4827">
        <v>5.0872929999999998</v>
      </c>
      <c r="E4827">
        <v>0.52857069999999995</v>
      </c>
      <c r="F4827" t="s">
        <v>59</v>
      </c>
      <c r="G4827">
        <v>-202.69919999999999</v>
      </c>
      <c r="H4827" s="1">
        <v>-4.3863629999999997E-6</v>
      </c>
      <c r="I4827">
        <v>-61.39996</v>
      </c>
      <c r="J4827">
        <v>-265.15309999999999</v>
      </c>
      <c r="K4827">
        <v>1.1172420000000001</v>
      </c>
      <c r="L4827">
        <v>-58.956479999999999</v>
      </c>
      <c r="M4827">
        <v>0.98671980000000004</v>
      </c>
      <c r="N4827">
        <v>-1.424943E-2</v>
      </c>
      <c r="O4827">
        <v>0.16180520000000001</v>
      </c>
      <c r="P4827">
        <v>0.98289539999999997</v>
      </c>
      <c r="Q4827">
        <v>0.1807638</v>
      </c>
      <c r="R4827">
        <v>3.5228790000000003E-2</v>
      </c>
      <c r="S4827">
        <v>3.065582</v>
      </c>
      <c r="T4827">
        <v>-5.4738879999999997E-2</v>
      </c>
      <c r="U4827">
        <v>-0.1188965</v>
      </c>
      <c r="V4827">
        <v>0.12623869999999901</v>
      </c>
      <c r="W4827">
        <v>0.19338900000000001</v>
      </c>
      <c r="X4827">
        <v>0.97296680000000002</v>
      </c>
      <c r="Y4827">
        <v>0.19988649999999999</v>
      </c>
      <c r="Z4827">
        <v>-3.7785900000000001E-3</v>
      </c>
      <c r="AA4827">
        <v>0.97981180000000001</v>
      </c>
      <c r="AB4827">
        <v>27</v>
      </c>
      <c r="AC4827">
        <v>62.453899999999997</v>
      </c>
      <c r="AD4827">
        <v>-1.117246386363</v>
      </c>
      <c r="AE4827">
        <v>-2.4434799999999899</v>
      </c>
      <c r="AF4827">
        <v>12.5136686766048</v>
      </c>
      <c r="AG4827">
        <v>-1.117246386363</v>
      </c>
      <c r="AH4827">
        <v>61.215790716489899</v>
      </c>
      <c r="AI4827">
        <v>91.024406573629506</v>
      </c>
      <c r="AJ4827">
        <v>78.446825566266199</v>
      </c>
      <c r="AK4827">
        <v>62.491704859771403</v>
      </c>
      <c r="AL4827">
        <v>78.849370682171198</v>
      </c>
      <c r="AM4827">
        <v>82.607390941646301</v>
      </c>
      <c r="AN4827">
        <v>0.99999995430046396</v>
      </c>
    </row>
    <row r="4828" spans="1:40" x14ac:dyDescent="0.25">
      <c r="A4828" t="str">
        <f>"20190303162657438"</f>
        <v>20190303162657438</v>
      </c>
      <c r="B4828" t="str">
        <f>"1551601617429375"</f>
        <v>1551601617429375</v>
      </c>
      <c r="C4828" t="s">
        <v>40</v>
      </c>
      <c r="D4828">
        <v>5.1126180000000003</v>
      </c>
      <c r="E4828">
        <v>0.52841000000000005</v>
      </c>
      <c r="F4828" t="s">
        <v>59</v>
      </c>
      <c r="G4828">
        <v>-199.1129</v>
      </c>
      <c r="H4828" s="1">
        <v>-6.1315149999999999E-6</v>
      </c>
      <c r="I4828">
        <v>-61.472160000000002</v>
      </c>
      <c r="J4828">
        <v>-265.0224</v>
      </c>
      <c r="K4828">
        <v>1.1172390000000001</v>
      </c>
      <c r="L4828">
        <v>-58.937899999999999</v>
      </c>
      <c r="M4828">
        <v>0.9871605</v>
      </c>
      <c r="N4828">
        <v>-1.4250519999999999E-2</v>
      </c>
      <c r="O4828">
        <v>0.15909479999999901</v>
      </c>
      <c r="P4828">
        <v>0.98303339999999995</v>
      </c>
      <c r="Q4828">
        <v>0.18052219999999999</v>
      </c>
      <c r="R4828">
        <v>3.2517219999999999E-2</v>
      </c>
      <c r="S4828">
        <v>3.0659179999999999</v>
      </c>
      <c r="T4828">
        <v>-5.1868320000000002E-2</v>
      </c>
      <c r="U4828">
        <v>-0.1167908</v>
      </c>
      <c r="V4828">
        <v>0.12625639999999999</v>
      </c>
      <c r="W4828">
        <v>0.19314809999999999</v>
      </c>
      <c r="X4828">
        <v>0.9730124</v>
      </c>
      <c r="Y4828">
        <v>0.19652439999999999</v>
      </c>
      <c r="Z4828">
        <v>-3.474469E-3</v>
      </c>
      <c r="AA4828">
        <v>0.98049280000000005</v>
      </c>
      <c r="AB4828">
        <v>27</v>
      </c>
      <c r="AC4828">
        <v>65.909499999999994</v>
      </c>
      <c r="AD4828">
        <v>-1.1172451315149901</v>
      </c>
      <c r="AE4828">
        <v>-2.53425999999999</v>
      </c>
      <c r="AF4828">
        <v>12.985172783807901</v>
      </c>
      <c r="AG4828">
        <v>-1.1172451315149901</v>
      </c>
      <c r="AH4828">
        <v>64.648082356880593</v>
      </c>
      <c r="AI4828">
        <v>90.970700642905697</v>
      </c>
      <c r="AJ4828">
        <v>78.642731129680399</v>
      </c>
      <c r="AK4828">
        <v>65.948749050541196</v>
      </c>
      <c r="AL4828">
        <v>78.863438973797301</v>
      </c>
      <c r="AM4828">
        <v>82.606708554898205</v>
      </c>
      <c r="AN4828">
        <v>0.99999999881416501</v>
      </c>
    </row>
    <row r="4829" spans="1:40" x14ac:dyDescent="0.25">
      <c r="A4829" t="str">
        <f>"20190303162657448"</f>
        <v>20190303162657448</v>
      </c>
      <c r="B4829" t="str">
        <f>"1551601617439136"</f>
        <v>1551601617439136</v>
      </c>
      <c r="C4829" t="s">
        <v>40</v>
      </c>
      <c r="D4829">
        <v>5.0129549999999998</v>
      </c>
      <c r="E4829">
        <v>0.52841000000000005</v>
      </c>
      <c r="F4829" t="s">
        <v>59</v>
      </c>
      <c r="G4829">
        <v>-202.6326</v>
      </c>
      <c r="H4829" s="1">
        <v>-4.424225E-6</v>
      </c>
      <c r="I4829">
        <v>-61.46725</v>
      </c>
      <c r="J4829">
        <v>-264.90359999999998</v>
      </c>
      <c r="K4829">
        <v>1.1172470000000001</v>
      </c>
      <c r="L4829">
        <v>-58.92136</v>
      </c>
      <c r="M4829">
        <v>0.98755459999999995</v>
      </c>
      <c r="N4829">
        <v>-1.425124E-2</v>
      </c>
      <c r="O4829">
        <v>0.15662980000000001</v>
      </c>
      <c r="P4829">
        <v>0.98276680000000005</v>
      </c>
      <c r="Q4829">
        <v>0.1817841</v>
      </c>
      <c r="R4829">
        <v>3.3527979999999999E-2</v>
      </c>
      <c r="S4829">
        <v>3.065979</v>
      </c>
      <c r="T4829">
        <v>-5.4903859999999999E-2</v>
      </c>
      <c r="U4829">
        <v>-0.12429809999999999</v>
      </c>
      <c r="V4829">
        <v>0.1227926</v>
      </c>
      <c r="W4829">
        <v>0.19444900000000001</v>
      </c>
      <c r="X4829">
        <v>0.97319659999999997</v>
      </c>
      <c r="Y4829">
        <v>0.19646749999999999</v>
      </c>
      <c r="Z4829">
        <v>-3.7195510000000002E-3</v>
      </c>
      <c r="AA4829">
        <v>0.98050329999999997</v>
      </c>
      <c r="AB4829">
        <v>27</v>
      </c>
      <c r="AC4829">
        <v>62.271000000000001</v>
      </c>
      <c r="AD4829">
        <v>-1.11725142422499</v>
      </c>
      <c r="AE4829">
        <v>-2.54589</v>
      </c>
      <c r="AF4829">
        <v>12.265003526893199</v>
      </c>
      <c r="AG4829">
        <v>-1.11725142422499</v>
      </c>
      <c r="AH4829">
        <v>61.083822627776897</v>
      </c>
      <c r="AI4829">
        <v>91.027349112050402</v>
      </c>
      <c r="AJ4829">
        <v>78.646566914703797</v>
      </c>
      <c r="AK4829">
        <v>62.3130158881862</v>
      </c>
      <c r="AL4829">
        <v>78.787462821380899</v>
      </c>
      <c r="AM4829">
        <v>82.808734330658893</v>
      </c>
      <c r="AN4829">
        <v>1.0000000292336499</v>
      </c>
    </row>
    <row r="4830" spans="1:40" x14ac:dyDescent="0.25">
      <c r="A4830" t="str">
        <f>"20190303162657458"</f>
        <v>20190303162657458</v>
      </c>
      <c r="B4830" t="str">
        <f>"1551601617448896"</f>
        <v>1551601617448896</v>
      </c>
      <c r="C4830" t="s">
        <v>40</v>
      </c>
      <c r="D4830">
        <v>5.1296670000000004</v>
      </c>
      <c r="E4830">
        <v>0.50672850000000003</v>
      </c>
      <c r="F4830" t="s">
        <v>59</v>
      </c>
      <c r="G4830">
        <v>-197.51609999999999</v>
      </c>
      <c r="H4830" s="1">
        <v>-6.7888939999999998E-6</v>
      </c>
      <c r="I4830">
        <v>-61.592790000000001</v>
      </c>
      <c r="J4830">
        <v>-264.779</v>
      </c>
      <c r="K4830">
        <v>1.117259</v>
      </c>
      <c r="L4830">
        <v>-58.904299999999999</v>
      </c>
      <c r="M4830">
        <v>0.98796079999999997</v>
      </c>
      <c r="N4830">
        <v>-1.425185E-2</v>
      </c>
      <c r="O4830">
        <v>0.1540463</v>
      </c>
      <c r="P4830">
        <v>0.98254750000000002</v>
      </c>
      <c r="Q4830">
        <v>0.1827867</v>
      </c>
      <c r="R4830">
        <v>3.4491149999999998E-2</v>
      </c>
      <c r="S4830">
        <v>3.0661619999999998</v>
      </c>
      <c r="T4830">
        <v>-5.0835610000000003E-2</v>
      </c>
      <c r="U4830">
        <v>-0.12155150000000001</v>
      </c>
      <c r="V4830">
        <v>0.1192632</v>
      </c>
      <c r="W4830">
        <v>0.1954919</v>
      </c>
      <c r="X4830">
        <v>0.97342649999999997</v>
      </c>
      <c r="Y4830">
        <v>0.19303049999999999</v>
      </c>
      <c r="Z4830">
        <v>-3.3232869999999999E-3</v>
      </c>
      <c r="AA4830">
        <v>0.98118709999999998</v>
      </c>
      <c r="AB4830">
        <v>27</v>
      </c>
      <c r="AC4830">
        <v>67.262900000000002</v>
      </c>
      <c r="AD4830">
        <v>-1.1172657888940001</v>
      </c>
      <c r="AE4830">
        <v>-2.6884899999999998</v>
      </c>
      <c r="AF4830">
        <v>13.015461052454</v>
      </c>
      <c r="AG4830">
        <v>-1.1172657888940001</v>
      </c>
      <c r="AH4830">
        <v>66.0274786281975</v>
      </c>
      <c r="AI4830">
        <v>90.951122885630497</v>
      </c>
      <c r="AJ4830">
        <v>78.848716314338304</v>
      </c>
      <c r="AK4830">
        <v>67.307343159926205</v>
      </c>
      <c r="AL4830">
        <v>78.726539237229701</v>
      </c>
      <c r="AM4830">
        <v>83.0149924152106</v>
      </c>
      <c r="AN4830">
        <v>0.99999997237104898</v>
      </c>
    </row>
    <row r="4831" spans="1:40" x14ac:dyDescent="0.25">
      <c r="A4831" t="str">
        <f>"20190303162657469"</f>
        <v>20190303162657469</v>
      </c>
      <c r="B4831" t="str">
        <f>"1551601617459631"</f>
        <v>1551601617459631</v>
      </c>
      <c r="C4831" t="s">
        <v>40</v>
      </c>
      <c r="D4831">
        <v>5.0776890000000003</v>
      </c>
      <c r="E4831">
        <v>0.50643720000000003</v>
      </c>
      <c r="F4831" t="s">
        <v>68</v>
      </c>
      <c r="G4831">
        <v>-239.33930000000001</v>
      </c>
      <c r="H4831" s="1">
        <v>-3.3363900000000001E-6</v>
      </c>
      <c r="I4831">
        <v>-58.451520000000002</v>
      </c>
      <c r="J4831">
        <v>-264.65820000000002</v>
      </c>
      <c r="K4831">
        <v>1.11727</v>
      </c>
      <c r="L4831">
        <v>-58.888120000000001</v>
      </c>
      <c r="M4831">
        <v>0.98834759999999999</v>
      </c>
      <c r="N4831">
        <v>-1.4252229999999999E-2</v>
      </c>
      <c r="O4831">
        <v>0.1515454</v>
      </c>
      <c r="P4831">
        <v>0.98232799999999998</v>
      </c>
      <c r="Q4831">
        <v>0.18386910000000001</v>
      </c>
      <c r="R4831">
        <v>3.4985500000000003E-2</v>
      </c>
      <c r="S4831">
        <v>3.076508</v>
      </c>
      <c r="T4831">
        <v>-0.13511419999999999</v>
      </c>
      <c r="U4831">
        <v>5.4748539999999998E-2</v>
      </c>
      <c r="V4831">
        <v>0.1162792</v>
      </c>
      <c r="W4831">
        <v>0.19660810000000001</v>
      </c>
      <c r="X4831">
        <v>0.9735627</v>
      </c>
      <c r="Y4831">
        <v>0.13371340000000001</v>
      </c>
      <c r="Z4831">
        <v>-8.3523369999999996E-3</v>
      </c>
      <c r="AA4831">
        <v>0.99098489999999995</v>
      </c>
      <c r="AB4831">
        <v>27</v>
      </c>
      <c r="AC4831">
        <v>25.318899999999999</v>
      </c>
      <c r="AD4831">
        <v>-1.11727333639</v>
      </c>
      <c r="AE4831">
        <v>0.43659999999999799</v>
      </c>
      <c r="AF4831">
        <v>3.3991787970195699</v>
      </c>
      <c r="AG4831">
        <v>-1.11727333639</v>
      </c>
      <c r="AH4831">
        <v>25.0438330172455</v>
      </c>
      <c r="AI4831">
        <v>92.531247553103199</v>
      </c>
      <c r="AJ4831">
        <v>82.270525334717206</v>
      </c>
      <c r="AK4831">
        <v>25.298147924264999</v>
      </c>
      <c r="AL4831">
        <v>78.661319936839504</v>
      </c>
      <c r="AM4831">
        <v>83.189040392195494</v>
      </c>
      <c r="AN4831">
        <v>0.99999996408476899</v>
      </c>
    </row>
    <row r="4832" spans="1:40" x14ac:dyDescent="0.25">
      <c r="A4832" t="str">
        <f>"20190303162657491"</f>
        <v>20190303162657491</v>
      </c>
      <c r="B4832" t="str">
        <f>"1551601617479152"</f>
        <v>1551601617479152</v>
      </c>
      <c r="C4832" t="s">
        <v>40</v>
      </c>
      <c r="D4832">
        <v>5.0091489999999999</v>
      </c>
      <c r="E4832">
        <v>0.50686940000000003</v>
      </c>
      <c r="F4832" t="s">
        <v>68</v>
      </c>
      <c r="G4832">
        <v>-238.2919</v>
      </c>
      <c r="H4832" s="1">
        <v>-2.8986410000000002E-6</v>
      </c>
      <c r="I4832">
        <v>-58.386389999999999</v>
      </c>
      <c r="J4832">
        <v>-264.38850000000002</v>
      </c>
      <c r="K4832">
        <v>1.117294</v>
      </c>
      <c r="L4832">
        <v>-58.853090000000002</v>
      </c>
      <c r="M4832">
        <v>0.98918649999999997</v>
      </c>
      <c r="N4832">
        <v>-1.425269E-2</v>
      </c>
      <c r="O4832">
        <v>0.14596919999999999</v>
      </c>
      <c r="P4832">
        <v>0.98202</v>
      </c>
      <c r="Q4832">
        <v>0.1854613</v>
      </c>
      <c r="R4832">
        <v>3.5227099999999997E-2</v>
      </c>
      <c r="S4832">
        <v>3.0762939999999999</v>
      </c>
      <c r="T4832">
        <v>-0.13035830000000001</v>
      </c>
      <c r="U4832">
        <v>5.8532710000000002E-2</v>
      </c>
      <c r="V4832">
        <v>0.110496</v>
      </c>
      <c r="W4832">
        <v>0.198268</v>
      </c>
      <c r="X4832">
        <v>0.97389959999999998</v>
      </c>
      <c r="Y4832">
        <v>0.12692899999999999</v>
      </c>
      <c r="Z4832">
        <v>-7.6703329999999997E-3</v>
      </c>
      <c r="AA4832">
        <v>0.99188209999999999</v>
      </c>
      <c r="AB4832">
        <v>27</v>
      </c>
      <c r="AC4832">
        <v>26.096599999999999</v>
      </c>
      <c r="AD4832">
        <v>-1.1172968986409999</v>
      </c>
      <c r="AE4832">
        <v>0.46669999999999501</v>
      </c>
      <c r="AF4832">
        <v>3.3418626524042301</v>
      </c>
      <c r="AG4832">
        <v>-1.1172968986409999</v>
      </c>
      <c r="AH4832">
        <v>25.837810193930299</v>
      </c>
      <c r="AI4832">
        <v>92.455652539525502</v>
      </c>
      <c r="AJ4832">
        <v>82.630277147529995</v>
      </c>
      <c r="AK4832">
        <v>26.076979003803601</v>
      </c>
      <c r="AL4832">
        <v>78.564305348882499</v>
      </c>
      <c r="AM4832">
        <v>83.527056414357403</v>
      </c>
      <c r="AN4832">
        <v>0.99999999836008002</v>
      </c>
    </row>
    <row r="4833" spans="1:40" x14ac:dyDescent="0.25">
      <c r="A4833" t="str">
        <f>"20190303162657502"</f>
        <v>20190303162657502</v>
      </c>
      <c r="B4833" t="str">
        <f>"1551601617488911"</f>
        <v>1551601617488911</v>
      </c>
      <c r="C4833" t="s">
        <v>40</v>
      </c>
      <c r="D4833">
        <v>4.9522820000000003</v>
      </c>
      <c r="E4833">
        <v>0.5073202</v>
      </c>
      <c r="F4833" t="s">
        <v>68</v>
      </c>
      <c r="G4833">
        <v>-236.8998</v>
      </c>
      <c r="H4833" s="1">
        <v>-2.3088050000000002E-6</v>
      </c>
      <c r="I4833">
        <v>-58.344749999999998</v>
      </c>
      <c r="J4833">
        <v>-264.2543</v>
      </c>
      <c r="K4833">
        <v>1.1173059999999999</v>
      </c>
      <c r="L4833">
        <v>-58.836120000000001</v>
      </c>
      <c r="M4833">
        <v>0.98959149999999996</v>
      </c>
      <c r="N4833">
        <v>-1.4252829999999999E-2</v>
      </c>
      <c r="O4833">
        <v>0.1431974</v>
      </c>
      <c r="P4833">
        <v>0.98190520000000003</v>
      </c>
      <c r="Q4833">
        <v>0.18612039999999999</v>
      </c>
      <c r="R4833">
        <v>3.4946919999999999E-2</v>
      </c>
      <c r="S4833">
        <v>3.0764770000000001</v>
      </c>
      <c r="T4833">
        <v>-0.1250454</v>
      </c>
      <c r="U4833">
        <v>5.6884770000000001E-2</v>
      </c>
      <c r="V4833">
        <v>0.1080226</v>
      </c>
      <c r="W4833">
        <v>0.19895679999999999</v>
      </c>
      <c r="X4833">
        <v>0.97403660000000003</v>
      </c>
      <c r="Y4833">
        <v>0.12470299999999999</v>
      </c>
      <c r="Z4833">
        <v>-7.1764999999999997E-3</v>
      </c>
      <c r="AA4833">
        <v>0.99216819999999895</v>
      </c>
      <c r="AB4833">
        <v>27</v>
      </c>
      <c r="AC4833">
        <v>27.354500000000002</v>
      </c>
      <c r="AD4833">
        <v>-1.117308308805</v>
      </c>
      <c r="AE4833">
        <v>0.49136999999999598</v>
      </c>
      <c r="AF4833">
        <v>3.42547321158131</v>
      </c>
      <c r="AG4833">
        <v>-1.117308308805</v>
      </c>
      <c r="AH4833">
        <v>27.0977069994108</v>
      </c>
      <c r="AI4833">
        <v>92.342493921733507</v>
      </c>
      <c r="AJ4833">
        <v>82.795344966869607</v>
      </c>
      <c r="AK4833">
        <v>27.3362025381381</v>
      </c>
      <c r="AL4833">
        <v>78.524037762041502</v>
      </c>
      <c r="AM4833">
        <v>83.671644005197194</v>
      </c>
      <c r="AN4833">
        <v>0.99999999425827901</v>
      </c>
    </row>
    <row r="4834" spans="1:40" x14ac:dyDescent="0.25">
      <c r="A4834" t="str">
        <f>"20190303162657516"</f>
        <v>20190303162657516</v>
      </c>
      <c r="B4834" t="str">
        <f>"1551601617509407"</f>
        <v>1551601617509407</v>
      </c>
      <c r="C4834" t="s">
        <v>40</v>
      </c>
      <c r="D4834">
        <v>5.0458350000000003</v>
      </c>
      <c r="E4834">
        <v>0.5088627</v>
      </c>
      <c r="F4834" t="s">
        <v>68</v>
      </c>
      <c r="G4834">
        <v>-237.6148</v>
      </c>
      <c r="H4834" s="1">
        <v>-2.6095090000000002E-6</v>
      </c>
      <c r="I4834">
        <v>-58.37885</v>
      </c>
      <c r="J4834">
        <v>-264.09280000000001</v>
      </c>
      <c r="K4834">
        <v>1.117318</v>
      </c>
      <c r="L4834">
        <v>-58.81644</v>
      </c>
      <c r="M4834">
        <v>0.99006780000000005</v>
      </c>
      <c r="N4834">
        <v>-1.4252580000000001E-2</v>
      </c>
      <c r="O4834">
        <v>0.1398672</v>
      </c>
      <c r="P4834">
        <v>0.98187849999999999</v>
      </c>
      <c r="Q4834">
        <v>0.18647859999999999</v>
      </c>
      <c r="R4834">
        <v>3.3771170000000003E-2</v>
      </c>
      <c r="S4834">
        <v>3.0779109999999998</v>
      </c>
      <c r="T4834">
        <v>-0.1290934</v>
      </c>
      <c r="U4834">
        <v>5.282593E-2</v>
      </c>
      <c r="V4834">
        <v>0.1058941</v>
      </c>
      <c r="W4834">
        <v>0.19934089999999999</v>
      </c>
      <c r="X4834">
        <v>0.97419180000000005</v>
      </c>
      <c r="Y4834">
        <v>0.1226719</v>
      </c>
      <c r="Z4834">
        <v>-7.2947189999999999E-3</v>
      </c>
      <c r="AA4834">
        <v>0.99242050000000004</v>
      </c>
      <c r="AB4834">
        <v>27</v>
      </c>
      <c r="AC4834">
        <v>26.478000000000002</v>
      </c>
      <c r="AD4834">
        <v>-1.117320609509</v>
      </c>
      <c r="AE4834">
        <v>0.43758999999999998</v>
      </c>
      <c r="AF4834">
        <v>3.2646800354430301</v>
      </c>
      <c r="AG4834">
        <v>-1.117320609509</v>
      </c>
      <c r="AH4834">
        <v>26.2321877470442</v>
      </c>
      <c r="AI4834">
        <v>92.420304320120096</v>
      </c>
      <c r="AJ4834">
        <v>82.905832362719906</v>
      </c>
      <c r="AK4834">
        <v>26.458159706873602</v>
      </c>
      <c r="AL4834">
        <v>78.501580791391007</v>
      </c>
      <c r="AM4834">
        <v>83.796337787043797</v>
      </c>
      <c r="AN4834">
        <v>1.0000000090074299</v>
      </c>
    </row>
    <row r="4835" spans="1:40" x14ac:dyDescent="0.25">
      <c r="A4835" t="str">
        <f>"20190303162657527"</f>
        <v>20190303162657527</v>
      </c>
      <c r="B4835" t="str">
        <f>"1551601617519168"</f>
        <v>1551601617519168</v>
      </c>
      <c r="C4835" t="s">
        <v>40</v>
      </c>
      <c r="D4835">
        <v>5.0214129999999999</v>
      </c>
      <c r="E4835">
        <v>0.50923409999999902</v>
      </c>
      <c r="F4835" t="s">
        <v>68</v>
      </c>
      <c r="G4835">
        <v>-237.9605</v>
      </c>
      <c r="H4835" s="1">
        <v>-2.7362740000000001E-6</v>
      </c>
      <c r="I4835">
        <v>-58.500129999999999</v>
      </c>
      <c r="J4835">
        <v>-263.96269999999998</v>
      </c>
      <c r="K4835">
        <v>1.1173329999999999</v>
      </c>
      <c r="L4835">
        <v>-58.800899999999999</v>
      </c>
      <c r="M4835">
        <v>0.99044279999999996</v>
      </c>
      <c r="N4835">
        <v>-1.425235E-2</v>
      </c>
      <c r="O4835">
        <v>0.1371859</v>
      </c>
      <c r="P4835">
        <v>0.98185960000000005</v>
      </c>
      <c r="Q4835">
        <v>0.1866602</v>
      </c>
      <c r="R4835">
        <v>3.3314700000000003E-2</v>
      </c>
      <c r="S4835">
        <v>3.0791019999999998</v>
      </c>
      <c r="T4835">
        <v>-0.13165099999999999</v>
      </c>
      <c r="U4835">
        <v>3.7261959999999997E-2</v>
      </c>
      <c r="V4835">
        <v>0.1036952</v>
      </c>
      <c r="W4835">
        <v>0.1995498</v>
      </c>
      <c r="X4835">
        <v>0.97438559999999996</v>
      </c>
      <c r="Y4835">
        <v>0.12499639999999999</v>
      </c>
      <c r="Z4835">
        <v>-7.4500640000000002E-3</v>
      </c>
      <c r="AA4835">
        <v>0.99212920000000004</v>
      </c>
      <c r="AB4835">
        <v>27</v>
      </c>
      <c r="AC4835">
        <v>26.002199999999899</v>
      </c>
      <c r="AD4835">
        <v>-1.117335736274</v>
      </c>
      <c r="AE4835">
        <v>0.30076999999999199</v>
      </c>
      <c r="AF4835">
        <v>3.2635464486376198</v>
      </c>
      <c r="AG4835">
        <v>-1.117335736274</v>
      </c>
      <c r="AH4835">
        <v>25.750032067988698</v>
      </c>
      <c r="AI4835">
        <v>92.464905113835997</v>
      </c>
      <c r="AJ4835">
        <v>82.7768714987278</v>
      </c>
      <c r="AK4835">
        <v>25.980056313880802</v>
      </c>
      <c r="AL4835">
        <v>78.489366865107797</v>
      </c>
      <c r="AM4835">
        <v>83.925383121774004</v>
      </c>
      <c r="AN4835">
        <v>1.0000000573352099</v>
      </c>
    </row>
    <row r="4836" spans="1:40" x14ac:dyDescent="0.25">
      <c r="A4836" t="str">
        <f>"20190303162657536"</f>
        <v>20190303162657536</v>
      </c>
      <c r="B4836" t="str">
        <f>"1551601617528928"</f>
        <v>1551601617528928</v>
      </c>
      <c r="C4836" t="s">
        <v>40</v>
      </c>
      <c r="D4836">
        <v>5.066236</v>
      </c>
      <c r="E4836">
        <v>0.50972029999999902</v>
      </c>
      <c r="F4836" t="s">
        <v>68</v>
      </c>
      <c r="G4836">
        <v>-238.5772</v>
      </c>
      <c r="H4836" s="1">
        <v>-2.9955910000000001E-6</v>
      </c>
      <c r="I4836">
        <v>-58.529699999999998</v>
      </c>
      <c r="J4836">
        <v>-263.83909999999997</v>
      </c>
      <c r="K4836">
        <v>1.117343</v>
      </c>
      <c r="L4836">
        <v>-58.786470000000001</v>
      </c>
      <c r="M4836">
        <v>0.99079220000000001</v>
      </c>
      <c r="N4836">
        <v>-1.425207E-2</v>
      </c>
      <c r="O4836">
        <v>0.13464039999999999</v>
      </c>
      <c r="P4836">
        <v>0.98188929999999996</v>
      </c>
      <c r="Q4836">
        <v>0.18662619999999999</v>
      </c>
      <c r="R4836">
        <v>3.2626570000000001E-2</v>
      </c>
      <c r="S4836">
        <v>3.0800779999999999</v>
      </c>
      <c r="T4836">
        <v>-0.13556869999999999</v>
      </c>
      <c r="U4836">
        <v>3.2897950000000002E-2</v>
      </c>
      <c r="V4836">
        <v>0.1018655</v>
      </c>
      <c r="W4836">
        <v>0.1995381</v>
      </c>
      <c r="X4836">
        <v>0.97458089999999997</v>
      </c>
      <c r="Y4836">
        <v>0.123845899999999</v>
      </c>
      <c r="Z4836">
        <v>-7.59274199999999E-3</v>
      </c>
      <c r="AA4836">
        <v>0.99227240000000005</v>
      </c>
      <c r="AB4836">
        <v>27</v>
      </c>
      <c r="AC4836">
        <v>25.261899999999901</v>
      </c>
      <c r="AD4836">
        <v>-1.1173459955909999</v>
      </c>
      <c r="AE4836">
        <v>0.256769999999995</v>
      </c>
      <c r="AF4836">
        <v>3.1410414195252199</v>
      </c>
      <c r="AG4836">
        <v>-1.1173459955909999</v>
      </c>
      <c r="AH4836">
        <v>25.017469186727801</v>
      </c>
      <c r="AI4836">
        <v>92.537385922597494</v>
      </c>
      <c r="AJ4836">
        <v>82.843736558663807</v>
      </c>
      <c r="AK4836">
        <v>25.2386284845653</v>
      </c>
      <c r="AL4836">
        <v>78.490050105634396</v>
      </c>
      <c r="AM4836">
        <v>84.032976468197603</v>
      </c>
      <c r="AN4836">
        <v>0.99999998204333396</v>
      </c>
    </row>
    <row r="4837" spans="1:40" x14ac:dyDescent="0.25">
      <c r="A4837" t="str">
        <f>"20190303162657548"</f>
        <v>20190303162657548</v>
      </c>
      <c r="B4837" t="str">
        <f>"1551601617538688"</f>
        <v>1551601617538688</v>
      </c>
      <c r="C4837" t="s">
        <v>40</v>
      </c>
      <c r="D4837">
        <v>4.9231220000000002</v>
      </c>
      <c r="E4837">
        <v>0.50972700000000004</v>
      </c>
      <c r="F4837" t="s">
        <v>68</v>
      </c>
      <c r="G4837">
        <v>-238.71279999999999</v>
      </c>
      <c r="H4837" s="1">
        <v>-3.0465930000000002E-6</v>
      </c>
      <c r="I4837">
        <v>-58.570099999999996</v>
      </c>
      <c r="J4837">
        <v>-263.70940000000002</v>
      </c>
      <c r="K4837">
        <v>1.1173580000000001</v>
      </c>
      <c r="L4837">
        <v>-58.771700000000003</v>
      </c>
      <c r="M4837">
        <v>0.99115109999999995</v>
      </c>
      <c r="N4837">
        <v>-1.4251659999999999E-2</v>
      </c>
      <c r="O4837">
        <v>0.13197149999999999</v>
      </c>
      <c r="P4837">
        <v>0.98191430000000002</v>
      </c>
      <c r="Q4837">
        <v>0.18663879999999999</v>
      </c>
      <c r="R4837">
        <v>3.1784710000000001E-2</v>
      </c>
      <c r="S4837">
        <v>3.080505</v>
      </c>
      <c r="T4837">
        <v>-0.13698769999999999</v>
      </c>
      <c r="U4837">
        <v>2.651978E-2</v>
      </c>
      <c r="V4837">
        <v>0.10006660000000001</v>
      </c>
      <c r="W4837">
        <v>0.19957320000000001</v>
      </c>
      <c r="X4837">
        <v>0.97476010000000002</v>
      </c>
      <c r="Y4837">
        <v>0.1232265</v>
      </c>
      <c r="Z4837">
        <v>-7.5845130000000002E-3</v>
      </c>
      <c r="AA4837">
        <v>0.99234960000000005</v>
      </c>
      <c r="AB4837">
        <v>27</v>
      </c>
      <c r="AC4837">
        <v>24.996600000000001</v>
      </c>
      <c r="AD4837">
        <v>-1.117361046593</v>
      </c>
      <c r="AE4837">
        <v>0.201600000000006</v>
      </c>
      <c r="AF4837">
        <v>3.0931572164690699</v>
      </c>
      <c r="AG4837">
        <v>-1.117361046593</v>
      </c>
      <c r="AH4837">
        <v>24.755070283862199</v>
      </c>
      <c r="AI4837">
        <v>92.564471082861004</v>
      </c>
      <c r="AJ4837">
        <v>82.877778895093698</v>
      </c>
      <c r="AK4837">
        <v>24.972577400684902</v>
      </c>
      <c r="AL4837">
        <v>78.487998181489601</v>
      </c>
      <c r="AM4837">
        <v>84.138681292668295</v>
      </c>
      <c r="AN4837">
        <v>1.0000000195729</v>
      </c>
    </row>
    <row r="4838" spans="1:40" x14ac:dyDescent="0.25">
      <c r="A4838" t="str">
        <f>"20190303162657560"</f>
        <v>20190303162657560</v>
      </c>
      <c r="B4838" t="str">
        <f>"1551601617549423"</f>
        <v>1551601617549423</v>
      </c>
      <c r="C4838" t="s">
        <v>40</v>
      </c>
      <c r="D4838">
        <v>5.0451730000000001</v>
      </c>
      <c r="E4838">
        <v>0.51006419999999997</v>
      </c>
      <c r="F4838" t="s">
        <v>68</v>
      </c>
      <c r="G4838">
        <v>-239.24940000000001</v>
      </c>
      <c r="H4838" s="1">
        <v>-3.2741999999999999E-6</v>
      </c>
      <c r="I4838">
        <v>-58.584850000000003</v>
      </c>
      <c r="J4838">
        <v>-263.57190000000003</v>
      </c>
      <c r="K4838">
        <v>1.11737</v>
      </c>
      <c r="L4838">
        <v>-58.756349999999998</v>
      </c>
      <c r="M4838">
        <v>0.9915235</v>
      </c>
      <c r="N4838">
        <v>-1.4251120000000001E-2</v>
      </c>
      <c r="O4838">
        <v>0.1291437</v>
      </c>
      <c r="P4838">
        <v>0.98199899999999996</v>
      </c>
      <c r="Q4838">
        <v>0.18633810000000001</v>
      </c>
      <c r="R4838">
        <v>3.0924960000000001E-2</v>
      </c>
      <c r="S4838">
        <v>3.0812680000000001</v>
      </c>
      <c r="T4838">
        <v>-0.140756399999999</v>
      </c>
      <c r="U4838">
        <v>2.3529049999999999E-2</v>
      </c>
      <c r="V4838">
        <v>9.8133750000000006E-2</v>
      </c>
      <c r="W4838">
        <v>0.19929659999999999</v>
      </c>
      <c r="X4838">
        <v>0.97501309999999997</v>
      </c>
      <c r="Y4838">
        <v>0.1213521</v>
      </c>
      <c r="Z4838">
        <v>-7.6748440000000001E-3</v>
      </c>
      <c r="AA4838">
        <v>0.99257989999999996</v>
      </c>
      <c r="AB4838">
        <v>27</v>
      </c>
      <c r="AC4838">
        <v>24.322500000000002</v>
      </c>
      <c r="AD4838">
        <v>-1.1173732742</v>
      </c>
      <c r="AE4838">
        <v>0.17149999999999399</v>
      </c>
      <c r="AF4838">
        <v>2.9650956025039901</v>
      </c>
      <c r="AG4838">
        <v>-1.1173732742</v>
      </c>
      <c r="AH4838">
        <v>24.090090553011699</v>
      </c>
      <c r="AI4838">
        <v>92.635790834510701</v>
      </c>
      <c r="AJ4838">
        <v>82.983120156018103</v>
      </c>
      <c r="AK4838">
        <v>24.2975879012339</v>
      </c>
      <c r="AL4838">
        <v>78.504170354198706</v>
      </c>
      <c r="AM4838">
        <v>84.252612423343905</v>
      </c>
      <c r="AN4838">
        <v>0.99999995641611505</v>
      </c>
    </row>
    <row r="4839" spans="1:40" x14ac:dyDescent="0.25">
      <c r="A4839" t="str">
        <f>"20190303162657582"</f>
        <v>20190303162657582</v>
      </c>
      <c r="B4839" t="str">
        <f>"1551601617568943"</f>
        <v>1551601617568943</v>
      </c>
      <c r="C4839" t="s">
        <v>40</v>
      </c>
      <c r="D4839">
        <v>5.0754859999999997</v>
      </c>
      <c r="E4839">
        <v>0.51060379999999905</v>
      </c>
      <c r="F4839" t="s">
        <v>68</v>
      </c>
      <c r="G4839">
        <v>-239.67189999999999</v>
      </c>
      <c r="H4839" s="1">
        <v>-3.4493729999999998E-6</v>
      </c>
      <c r="I4839">
        <v>-58.619010000000003</v>
      </c>
      <c r="J4839">
        <v>-263.31180000000001</v>
      </c>
      <c r="K4839">
        <v>1.1173900000000001</v>
      </c>
      <c r="L4839">
        <v>-58.728490000000001</v>
      </c>
      <c r="M4839">
        <v>0.99220529999999996</v>
      </c>
      <c r="N4839">
        <v>-1.4249980000000001E-2</v>
      </c>
      <c r="O4839">
        <v>0.1237972</v>
      </c>
      <c r="P4839">
        <v>0.98188920000000002</v>
      </c>
      <c r="Q4839">
        <v>0.1870917</v>
      </c>
      <c r="R4839">
        <v>2.9842750000000001E-2</v>
      </c>
      <c r="S4839">
        <v>3.0817869999999998</v>
      </c>
      <c r="T4839">
        <v>-0.14407990000000001</v>
      </c>
      <c r="U4839">
        <v>1.7700199999999999E-2</v>
      </c>
      <c r="V4839">
        <v>9.3921859999999996E-2</v>
      </c>
      <c r="W4839">
        <v>0.20009740000000001</v>
      </c>
      <c r="X4839">
        <v>0.97526389999999996</v>
      </c>
      <c r="Y4839">
        <v>0.11787590000000001</v>
      </c>
      <c r="Z4839">
        <v>-7.6002600000000002E-3</v>
      </c>
      <c r="AA4839">
        <v>0.99299930000000003</v>
      </c>
      <c r="AB4839">
        <v>27</v>
      </c>
      <c r="AC4839">
        <v>23.639900000000001</v>
      </c>
      <c r="AD4839">
        <v>-1.11739344937299</v>
      </c>
      <c r="AE4839">
        <v>0.109480000000004</v>
      </c>
      <c r="AF4839">
        <v>2.8119304437769901</v>
      </c>
      <c r="AG4839">
        <v>-1.11739344937299</v>
      </c>
      <c r="AH4839">
        <v>23.419246623488899</v>
      </c>
      <c r="AI4839">
        <v>92.712208665729506</v>
      </c>
      <c r="AJ4839">
        <v>83.153317463234998</v>
      </c>
      <c r="AK4839">
        <v>23.613907625658602</v>
      </c>
      <c r="AL4839">
        <v>78.457344989733301</v>
      </c>
      <c r="AM4839">
        <v>84.499148554596701</v>
      </c>
      <c r="AN4839">
        <v>0.99999997995791401</v>
      </c>
    </row>
    <row r="4840" spans="1:40" x14ac:dyDescent="0.25">
      <c r="A4840" t="str">
        <f>"20190303162657607"</f>
        <v>20190303162657607</v>
      </c>
      <c r="B4840" t="str">
        <f>"1551601617599200"</f>
        <v>1551601617599200</v>
      </c>
      <c r="C4840" t="s">
        <v>40</v>
      </c>
      <c r="D4840">
        <v>5.0860649999999996</v>
      </c>
      <c r="E4840">
        <v>0.51024510000000001</v>
      </c>
      <c r="F4840" t="s">
        <v>68</v>
      </c>
      <c r="G4840">
        <v>-239.70490000000001</v>
      </c>
      <c r="H4840" s="1">
        <v>-3.4567490000000002E-6</v>
      </c>
      <c r="I4840">
        <v>-58.657380000000003</v>
      </c>
      <c r="J4840">
        <v>-263.0179</v>
      </c>
      <c r="K4840">
        <v>1.117416</v>
      </c>
      <c r="L4840">
        <v>-58.698819999999998</v>
      </c>
      <c r="M4840">
        <v>0.99294039999999995</v>
      </c>
      <c r="N4840">
        <v>-1.424839E-2</v>
      </c>
      <c r="O4840">
        <v>0.1177557</v>
      </c>
      <c r="P4840">
        <v>0.98166149999999996</v>
      </c>
      <c r="Q4840">
        <v>0.18856880000000001</v>
      </c>
      <c r="R4840">
        <v>2.797765E-2</v>
      </c>
      <c r="S4840">
        <v>3.0828549999999999</v>
      </c>
      <c r="T4840">
        <v>-0.14592189999999999</v>
      </c>
      <c r="U4840">
        <v>9.2773439999999999E-3</v>
      </c>
      <c r="V4840">
        <v>8.979914E-2</v>
      </c>
      <c r="W4840">
        <v>0.20161879999999999</v>
      </c>
      <c r="X4840">
        <v>0.97533890000000001</v>
      </c>
      <c r="Y4840">
        <v>0.1145481</v>
      </c>
      <c r="Z4840">
        <v>-7.4065619999999898E-3</v>
      </c>
      <c r="AA4840">
        <v>0.99339010000000005</v>
      </c>
      <c r="AB4840">
        <v>27</v>
      </c>
      <c r="AC4840">
        <v>23.312999999999899</v>
      </c>
      <c r="AD4840">
        <v>-1.1174194567489999</v>
      </c>
      <c r="AE4840">
        <v>4.1439999999994301E-2</v>
      </c>
      <c r="AF4840">
        <v>2.6981668909469798</v>
      </c>
      <c r="AG4840">
        <v>-1.1174194567489999</v>
      </c>
      <c r="AH4840">
        <v>23.102573637519502</v>
      </c>
      <c r="AI4840">
        <v>92.750444169482407</v>
      </c>
      <c r="AJ4840">
        <v>83.338561098178005</v>
      </c>
      <c r="AK4840">
        <v>23.286426078098199</v>
      </c>
      <c r="AL4840">
        <v>78.368361943404096</v>
      </c>
      <c r="AM4840">
        <v>84.739626245766701</v>
      </c>
      <c r="AN4840">
        <v>0.99999999795569405</v>
      </c>
    </row>
    <row r="4841" spans="1:40" x14ac:dyDescent="0.25">
      <c r="A4841" t="str">
        <f>"20190303162657630"</f>
        <v>20190303162657630</v>
      </c>
      <c r="B4841" t="str">
        <f>"1551601617618720"</f>
        <v>1551601617618720</v>
      </c>
      <c r="C4841" t="s">
        <v>40</v>
      </c>
      <c r="D4841">
        <v>5.0929890000000002</v>
      </c>
      <c r="E4841">
        <v>0.51005679999999998</v>
      </c>
      <c r="F4841" t="s">
        <v>68</v>
      </c>
      <c r="G4841">
        <v>-237.47620000000001</v>
      </c>
      <c r="H4841" s="1">
        <v>-2.5038180000000001E-6</v>
      </c>
      <c r="I4841">
        <v>-58.639319999999998</v>
      </c>
      <c r="J4841">
        <v>-262.73039999999997</v>
      </c>
      <c r="K4841">
        <v>1.117429</v>
      </c>
      <c r="L4841">
        <v>-58.671509999999998</v>
      </c>
      <c r="M4841">
        <v>0.99362340000000005</v>
      </c>
      <c r="N4841">
        <v>-1.424636E-2</v>
      </c>
      <c r="O4841">
        <v>0.1118468</v>
      </c>
      <c r="P4841">
        <v>0.98150459999999995</v>
      </c>
      <c r="Q4841">
        <v>0.18961220000000001</v>
      </c>
      <c r="R4841">
        <v>2.6383210000000001E-2</v>
      </c>
      <c r="S4841">
        <v>3.0817260000000002</v>
      </c>
      <c r="T4841">
        <v>-0.13482189999999999</v>
      </c>
      <c r="U4841">
        <v>7.1716310000000004E-3</v>
      </c>
      <c r="V4841">
        <v>8.5548890000000002E-2</v>
      </c>
      <c r="W4841">
        <v>0.20270740000000001</v>
      </c>
      <c r="X4841">
        <v>0.97549529999999995</v>
      </c>
      <c r="Y4841">
        <v>0.109358399999999</v>
      </c>
      <c r="Z4841">
        <v>-6.4579429999999998E-3</v>
      </c>
      <c r="AA4841">
        <v>0.99398140000000001</v>
      </c>
      <c r="AB4841">
        <v>27</v>
      </c>
      <c r="AC4841">
        <v>25.254199999999901</v>
      </c>
      <c r="AD4841">
        <v>-1.117431503818</v>
      </c>
      <c r="AE4841">
        <v>3.2189999999999899E-2</v>
      </c>
      <c r="AF4841">
        <v>2.7874426537288399</v>
      </c>
      <c r="AG4841">
        <v>-1.117431503818</v>
      </c>
      <c r="AH4841">
        <v>25.050265982465</v>
      </c>
      <c r="AI4841">
        <v>92.538485714365393</v>
      </c>
      <c r="AJ4841">
        <v>83.650590841479499</v>
      </c>
      <c r="AK4841">
        <v>25.229631695801501</v>
      </c>
      <c r="AL4841">
        <v>78.304674655055194</v>
      </c>
      <c r="AM4841">
        <v>84.988102871976196</v>
      </c>
      <c r="AN4841">
        <v>0.99999999145854102</v>
      </c>
    </row>
    <row r="4842" spans="1:40" x14ac:dyDescent="0.25">
      <c r="A4842" t="str">
        <f>"20190303162657644"</f>
        <v>20190303162657644</v>
      </c>
      <c r="B4842" t="str">
        <f>"1551601617629456"</f>
        <v>1551601617629456</v>
      </c>
      <c r="C4842" t="s">
        <v>40</v>
      </c>
      <c r="D4842">
        <v>5.151815</v>
      </c>
      <c r="E4842">
        <v>0.50989289999999998</v>
      </c>
      <c r="F4842" t="s">
        <v>68</v>
      </c>
      <c r="G4842">
        <v>-235.96209999999999</v>
      </c>
      <c r="H4842" s="1">
        <v>-1.856647E-6</v>
      </c>
      <c r="I4842">
        <v>-58.626109999999997</v>
      </c>
      <c r="J4842">
        <v>-262.57369999999997</v>
      </c>
      <c r="K4842">
        <v>1.1174360000000001</v>
      </c>
      <c r="L4842">
        <v>-58.657229999999998</v>
      </c>
      <c r="M4842">
        <v>0.99398089999999995</v>
      </c>
      <c r="N4842">
        <v>-1.424519E-2</v>
      </c>
      <c r="O4842">
        <v>0.1086236</v>
      </c>
      <c r="P4842">
        <v>0.98151900000000003</v>
      </c>
      <c r="Q4842">
        <v>0.18968360000000001</v>
      </c>
      <c r="R4842">
        <v>2.531249E-2</v>
      </c>
      <c r="S4842">
        <v>3.0812379999999999</v>
      </c>
      <c r="T4842">
        <v>-0.12862489999999999</v>
      </c>
      <c r="U4842">
        <v>5.2185060000000004E-3</v>
      </c>
      <c r="V4842">
        <v>8.3438369999999998E-2</v>
      </c>
      <c r="W4842">
        <v>0.2028017</v>
      </c>
      <c r="X4842">
        <v>0.97565849999999998</v>
      </c>
      <c r="Y4842">
        <v>0.1067854</v>
      </c>
      <c r="Z4842">
        <v>-5.9652619999999998E-3</v>
      </c>
      <c r="AA4842">
        <v>0.99426420000000004</v>
      </c>
      <c r="AB4842">
        <v>27</v>
      </c>
      <c r="AC4842">
        <v>26.6115999999999</v>
      </c>
      <c r="AD4842">
        <v>-1.117437856647</v>
      </c>
      <c r="AE4842">
        <v>3.1120000000008401E-2</v>
      </c>
      <c r="AF4842">
        <v>2.8549713316904599</v>
      </c>
      <c r="AG4842">
        <v>-1.117437856647</v>
      </c>
      <c r="AH4842">
        <v>26.410918508819801</v>
      </c>
      <c r="AI4842">
        <v>92.4087063169966</v>
      </c>
      <c r="AJ4842">
        <v>83.830389083962899</v>
      </c>
      <c r="AK4842">
        <v>26.588270819061599</v>
      </c>
      <c r="AL4842">
        <v>78.2991571600719</v>
      </c>
      <c r="AM4842">
        <v>85.111955081294298</v>
      </c>
      <c r="AN4842">
        <v>0.99999999986669796</v>
      </c>
    </row>
    <row r="4843" spans="1:40" x14ac:dyDescent="0.25">
      <c r="A4843" t="str">
        <f>"20190303162657654"</f>
        <v>20190303162657654</v>
      </c>
      <c r="B4843" t="str">
        <f>"1551601617648976"</f>
        <v>1551601617648976</v>
      </c>
      <c r="C4843" t="s">
        <v>40</v>
      </c>
      <c r="D4843">
        <v>5.1631390000000001</v>
      </c>
      <c r="E4843">
        <v>0.51008699999999996</v>
      </c>
      <c r="F4843" t="s">
        <v>68</v>
      </c>
      <c r="G4843">
        <v>-235.2877</v>
      </c>
      <c r="H4843" s="1">
        <v>-1.56662999999999E-6</v>
      </c>
      <c r="I4843">
        <v>-58.629869999999997</v>
      </c>
      <c r="J4843">
        <v>-262.43560000000002</v>
      </c>
      <c r="K4843">
        <v>1.117445</v>
      </c>
      <c r="L4843">
        <v>-58.645290000000003</v>
      </c>
      <c r="M4843">
        <v>0.99428729999999999</v>
      </c>
      <c r="N4843">
        <v>-1.4244059999999999E-2</v>
      </c>
      <c r="O4843">
        <v>0.1057826</v>
      </c>
      <c r="P4843">
        <v>0.98161379999999998</v>
      </c>
      <c r="Q4843">
        <v>0.18925159999999999</v>
      </c>
      <c r="R4843">
        <v>2.4864589999999999E-2</v>
      </c>
      <c r="S4843">
        <v>3.0807799999999999</v>
      </c>
      <c r="T4843">
        <v>-0.1261661</v>
      </c>
      <c r="U4843">
        <v>3.0822750000000002E-3</v>
      </c>
      <c r="V4843">
        <v>8.1090099999999998E-2</v>
      </c>
      <c r="W4843">
        <v>0.2023964</v>
      </c>
      <c r="X4843">
        <v>0.97594060000000005</v>
      </c>
      <c r="Y4843">
        <v>0.10464279999999999</v>
      </c>
      <c r="Z4843">
        <v>-5.7030639999999999E-3</v>
      </c>
      <c r="AA4843">
        <v>0.99449350000000003</v>
      </c>
      <c r="AB4843">
        <v>27</v>
      </c>
      <c r="AC4843">
        <v>27.1479</v>
      </c>
      <c r="AD4843">
        <v>-1.11744656663</v>
      </c>
      <c r="AE4843">
        <v>1.5420000000005899E-2</v>
      </c>
      <c r="AF4843">
        <v>2.85190136135876</v>
      </c>
      <c r="AG4843">
        <v>-1.11744656663</v>
      </c>
      <c r="AH4843">
        <v>26.9515181327242</v>
      </c>
      <c r="AI4843">
        <v>92.361034609005401</v>
      </c>
      <c r="AJ4843">
        <v>83.959668470288406</v>
      </c>
      <c r="AK4843">
        <v>27.1250135089875</v>
      </c>
      <c r="AL4843">
        <v>78.322870696279494</v>
      </c>
      <c r="AM4843">
        <v>85.250251313590098</v>
      </c>
      <c r="AN4843">
        <v>0.99999998088966402</v>
      </c>
    </row>
    <row r="4844" spans="1:40" x14ac:dyDescent="0.25">
      <c r="A4844" t="str">
        <f>"20190303162657670"</f>
        <v>20190303162657670</v>
      </c>
      <c r="B4844" t="str">
        <f>"1551601617658735"</f>
        <v>1551601617658735</v>
      </c>
      <c r="C4844" t="s">
        <v>40</v>
      </c>
      <c r="D4844">
        <v>5.1631999999999998</v>
      </c>
      <c r="E4844">
        <v>0.5103067</v>
      </c>
      <c r="F4844" t="s">
        <v>68</v>
      </c>
      <c r="G4844">
        <v>-235.93940000000001</v>
      </c>
      <c r="H4844" s="1">
        <v>-1.8433209999999999E-6</v>
      </c>
      <c r="I4844">
        <v>-58.64629</v>
      </c>
      <c r="J4844">
        <v>-262.2525</v>
      </c>
      <c r="K4844">
        <v>1.1174489999999999</v>
      </c>
      <c r="L4844">
        <v>-58.629910000000002</v>
      </c>
      <c r="M4844">
        <v>0.99468100000000004</v>
      </c>
      <c r="N4844">
        <v>-1.424251E-2</v>
      </c>
      <c r="O4844">
        <v>0.1020139</v>
      </c>
      <c r="P4844">
        <v>0.98195650000000001</v>
      </c>
      <c r="Q4844">
        <v>0.18740080000000001</v>
      </c>
      <c r="R4844">
        <v>2.5341499999999999E-2</v>
      </c>
      <c r="S4844">
        <v>3.0812379999999999</v>
      </c>
      <c r="T4844">
        <v>-0.1299477</v>
      </c>
      <c r="U4844">
        <v>-1.220703E-4</v>
      </c>
      <c r="V4844">
        <v>7.6919440000000006E-2</v>
      </c>
      <c r="W4844">
        <v>0.20059589999999999</v>
      </c>
      <c r="X4844">
        <v>0.97664969999999995</v>
      </c>
      <c r="Y4844">
        <v>0.10190299999999999</v>
      </c>
      <c r="Z4844">
        <v>-5.7143159999999997E-3</v>
      </c>
      <c r="AA4844">
        <v>0.99477789999999999</v>
      </c>
      <c r="AB4844">
        <v>27</v>
      </c>
      <c r="AC4844">
        <v>26.313099999999899</v>
      </c>
      <c r="AD4844">
        <v>-1.117450843321</v>
      </c>
      <c r="AE4844">
        <v>-1.6380000000005099E-2</v>
      </c>
      <c r="AF4844">
        <v>2.6960065978947898</v>
      </c>
      <c r="AG4844">
        <v>-1.117450843321</v>
      </c>
      <c r="AH4844">
        <v>26.127005097642002</v>
      </c>
      <c r="AI4844">
        <v>92.436125621817595</v>
      </c>
      <c r="AJ4844">
        <v>84.108585454815994</v>
      </c>
      <c r="AK4844">
        <v>26.289494923549601</v>
      </c>
      <c r="AL4844">
        <v>78.428191920045805</v>
      </c>
      <c r="AM4844">
        <v>85.496767517014206</v>
      </c>
      <c r="AN4844">
        <v>0.99999997592840595</v>
      </c>
    </row>
    <row r="4845" spans="1:40" x14ac:dyDescent="0.25">
      <c r="A4845" t="str">
        <f>"20190303162657681"</f>
        <v>20190303162657681</v>
      </c>
      <c r="B4845" t="str">
        <f>"1551601617669471"</f>
        <v>1551601617669471</v>
      </c>
      <c r="C4845" t="s">
        <v>40</v>
      </c>
      <c r="D4845">
        <v>5.2024100000000004</v>
      </c>
      <c r="E4845">
        <v>0.5105307</v>
      </c>
      <c r="F4845" t="s">
        <v>68</v>
      </c>
      <c r="G4845">
        <v>-237.40860000000001</v>
      </c>
      <c r="H4845" s="1">
        <v>-2.4738689999999999E-6</v>
      </c>
      <c r="I4845">
        <v>-58.644620000000003</v>
      </c>
      <c r="J4845">
        <v>-262.12389999999999</v>
      </c>
      <c r="K4845">
        <v>1.1174539999999999</v>
      </c>
      <c r="L4845">
        <v>-58.619419999999998</v>
      </c>
      <c r="M4845">
        <v>0.99494890000000002</v>
      </c>
      <c r="N4845">
        <v>-1.4241409999999999E-2</v>
      </c>
      <c r="O4845">
        <v>9.9367419999999998E-2</v>
      </c>
      <c r="P4845">
        <v>0.9821339</v>
      </c>
      <c r="Q4845">
        <v>0.186582</v>
      </c>
      <c r="R4845">
        <v>2.450047E-2</v>
      </c>
      <c r="S4845">
        <v>3.0816349999999999</v>
      </c>
      <c r="T4845">
        <v>-0.1386085</v>
      </c>
      <c r="U4845">
        <v>-1.8310550000000001E-3</v>
      </c>
      <c r="V4845">
        <v>7.5157570000000007E-2</v>
      </c>
      <c r="W4845">
        <v>0.19979839999999999</v>
      </c>
      <c r="X4845">
        <v>0.97695030000000005</v>
      </c>
      <c r="Y4845">
        <v>9.9789279999999994E-2</v>
      </c>
      <c r="Z4845">
        <v>-5.9993540000000001E-3</v>
      </c>
      <c r="AA4845">
        <v>0.9949905</v>
      </c>
      <c r="AB4845">
        <v>26</v>
      </c>
      <c r="AC4845">
        <v>24.7152999999999</v>
      </c>
      <c r="AD4845">
        <v>-1.117456473869</v>
      </c>
      <c r="AE4845">
        <v>-2.5199999999998099E-2</v>
      </c>
      <c r="AF4845">
        <v>2.47615809111787</v>
      </c>
      <c r="AG4845">
        <v>-1.117456473869</v>
      </c>
      <c r="AH4845">
        <v>24.5402842161226</v>
      </c>
      <c r="AI4845">
        <v>92.594042857313397</v>
      </c>
      <c r="AJ4845">
        <v>84.238255440776697</v>
      </c>
      <c r="AK4845">
        <v>24.690192734591498</v>
      </c>
      <c r="AL4845">
        <v>78.474829441166705</v>
      </c>
      <c r="AM4845">
        <v>85.600854640004101</v>
      </c>
      <c r="AN4845">
        <v>0.99999997482047698</v>
      </c>
    </row>
    <row r="4846" spans="1:40" x14ac:dyDescent="0.25">
      <c r="A4846" t="str">
        <f>"20190303162657693"</f>
        <v>20190303162657693</v>
      </c>
      <c r="B4846" t="str">
        <f>"1551601617679232"</f>
        <v>1551601617679232</v>
      </c>
      <c r="C4846" t="s">
        <v>40</v>
      </c>
      <c r="D4846">
        <v>5.2042869999999999</v>
      </c>
      <c r="E4846">
        <v>0.51071120000000003</v>
      </c>
      <c r="F4846" t="s">
        <v>68</v>
      </c>
      <c r="G4846">
        <v>-238.04859999999999</v>
      </c>
      <c r="H4846" s="1">
        <v>-2.7439830000000001E-6</v>
      </c>
      <c r="I4846">
        <v>-58.669890000000002</v>
      </c>
      <c r="J4846">
        <v>-261.98320000000001</v>
      </c>
      <c r="K4846">
        <v>1.117459</v>
      </c>
      <c r="L4846">
        <v>-58.608550000000001</v>
      </c>
      <c r="M4846">
        <v>0.9952339</v>
      </c>
      <c r="N4846">
        <v>-1.4240040000000001E-2</v>
      </c>
      <c r="O4846">
        <v>9.6471360000000006E-2</v>
      </c>
      <c r="P4846">
        <v>0.98222540000000003</v>
      </c>
      <c r="Q4846">
        <v>0.18624940000000001</v>
      </c>
      <c r="R4846">
        <v>2.333346E-2</v>
      </c>
      <c r="S4846">
        <v>3.081909</v>
      </c>
      <c r="T4846">
        <v>-0.14304710000000001</v>
      </c>
      <c r="U4846">
        <v>-6.4697269999999998E-3</v>
      </c>
      <c r="V4846">
        <v>7.3470320000000006E-2</v>
      </c>
      <c r="W4846">
        <v>0.19948440000000001</v>
      </c>
      <c r="X4846">
        <v>0.97714279999999998</v>
      </c>
      <c r="Y4846">
        <v>9.8382349999999993E-2</v>
      </c>
      <c r="Z4846">
        <v>-6.078305E-3</v>
      </c>
      <c r="AA4846">
        <v>0.99513010000000002</v>
      </c>
      <c r="AB4846">
        <v>26</v>
      </c>
      <c r="AC4846">
        <v>23.9346</v>
      </c>
      <c r="AD4846">
        <v>-1.1174617439829999</v>
      </c>
      <c r="AE4846">
        <v>-6.1340000000001199E-2</v>
      </c>
      <c r="AF4846">
        <v>2.3651359280827</v>
      </c>
      <c r="AG4846">
        <v>-1.1174617439829999</v>
      </c>
      <c r="AH4846">
        <v>23.765219805264</v>
      </c>
      <c r="AI4846">
        <v>92.678901198495396</v>
      </c>
      <c r="AJ4846">
        <v>84.316587095301898</v>
      </c>
      <c r="AK4846">
        <v>23.908748630994602</v>
      </c>
      <c r="AL4846">
        <v>78.493190022655995</v>
      </c>
      <c r="AM4846">
        <v>85.7000825734426</v>
      </c>
      <c r="AN4846">
        <v>0.99999998267805101</v>
      </c>
    </row>
    <row r="4847" spans="1:40" x14ac:dyDescent="0.25">
      <c r="A4847" t="str">
        <f>"20190303162657704"</f>
        <v>20190303162657704</v>
      </c>
      <c r="B4847" t="str">
        <f>"1551601617698751"</f>
        <v>1551601617698751</v>
      </c>
      <c r="C4847" t="s">
        <v>40</v>
      </c>
      <c r="D4847">
        <v>5.2507479999999997</v>
      </c>
      <c r="E4847">
        <v>0.51045410000000002</v>
      </c>
      <c r="F4847" t="s">
        <v>68</v>
      </c>
      <c r="G4847">
        <v>-238.57329999999999</v>
      </c>
      <c r="H4847" s="1">
        <v>-2.964878E-6</v>
      </c>
      <c r="I4847">
        <v>-58.693550000000002</v>
      </c>
      <c r="J4847">
        <v>-261.84769999999997</v>
      </c>
      <c r="K4847">
        <v>1.1174660000000001</v>
      </c>
      <c r="L4847">
        <v>-58.5982699999999</v>
      </c>
      <c r="M4847">
        <v>0.99550059999999996</v>
      </c>
      <c r="N4847">
        <v>-1.423873E-2</v>
      </c>
      <c r="O4847">
        <v>9.3679230000000002E-2</v>
      </c>
      <c r="P4847">
        <v>0.98230669999999998</v>
      </c>
      <c r="Q4847">
        <v>0.18603410000000001</v>
      </c>
      <c r="R4847">
        <v>2.1562230000000002E-2</v>
      </c>
      <c r="S4847">
        <v>3.0824579999999999</v>
      </c>
      <c r="T4847">
        <v>-0.14713979999999999</v>
      </c>
      <c r="U4847">
        <v>-1.119995E-2</v>
      </c>
      <c r="V4847">
        <v>7.2487570000000001E-2</v>
      </c>
      <c r="W4847">
        <v>0.19927980000000001</v>
      </c>
      <c r="X4847">
        <v>0.97725799999999996</v>
      </c>
      <c r="Y4847">
        <v>9.710974E-2</v>
      </c>
      <c r="Z4847">
        <v>-6.1379499999999997E-3</v>
      </c>
      <c r="AA4847">
        <v>0.9952548</v>
      </c>
      <c r="AB4847">
        <v>26</v>
      </c>
      <c r="AC4847">
        <v>23.274399999999901</v>
      </c>
      <c r="AD4847">
        <v>-1.1174689648780001</v>
      </c>
      <c r="AE4847">
        <v>-9.5280000000009496E-2</v>
      </c>
      <c r="AF4847">
        <v>2.2701766695871402</v>
      </c>
      <c r="AG4847">
        <v>-1.1174689648780001</v>
      </c>
      <c r="AH4847">
        <v>23.109829229405101</v>
      </c>
      <c r="AI4847">
        <v>92.755123265029994</v>
      </c>
      <c r="AJ4847">
        <v>84.389592792605796</v>
      </c>
      <c r="AK4847">
        <v>23.247938532499401</v>
      </c>
      <c r="AL4847">
        <v>78.505153630163704</v>
      </c>
      <c r="AM4847">
        <v>85.757885781935201</v>
      </c>
      <c r="AN4847">
        <v>1.00000004252827</v>
      </c>
    </row>
    <row r="4848" spans="1:40" x14ac:dyDescent="0.25">
      <c r="A4848" t="str">
        <f>"20190303162657715"</f>
        <v>20190303162657715</v>
      </c>
      <c r="B4848" t="str">
        <f>"1551601617709488"</f>
        <v>1551601617709488</v>
      </c>
      <c r="C4848" t="s">
        <v>40</v>
      </c>
      <c r="D4848">
        <v>5.2738829999999997</v>
      </c>
      <c r="E4848">
        <v>0.51038749999999999</v>
      </c>
      <c r="F4848" t="s">
        <v>68</v>
      </c>
      <c r="G4848">
        <v>-238.22919999999999</v>
      </c>
      <c r="H4848" s="1">
        <v>-2.8155800000000001E-6</v>
      </c>
      <c r="I4848">
        <v>-58.702979999999997</v>
      </c>
      <c r="J4848">
        <v>-261.7149</v>
      </c>
      <c r="K4848">
        <v>1.11747</v>
      </c>
      <c r="L4848">
        <v>-58.58878</v>
      </c>
      <c r="M4848">
        <v>0.99575409999999998</v>
      </c>
      <c r="N4848">
        <v>-1.4237430000000001E-2</v>
      </c>
      <c r="O4848">
        <v>9.094642E-2</v>
      </c>
      <c r="P4848">
        <v>0.98234560000000004</v>
      </c>
      <c r="Q4848">
        <v>0.18599570000000001</v>
      </c>
      <c r="R4848">
        <v>2.0069699999999999E-2</v>
      </c>
      <c r="S4848">
        <v>3.0819399999999999</v>
      </c>
      <c r="T4848">
        <v>-0.145817</v>
      </c>
      <c r="U4848">
        <v>-1.3671880000000001E-2</v>
      </c>
      <c r="V4848">
        <v>7.1284070000000005E-2</v>
      </c>
      <c r="W4848">
        <v>0.19925399999999999</v>
      </c>
      <c r="X4848">
        <v>0.97735170000000005</v>
      </c>
      <c r="Y4848">
        <v>9.5184450000000004E-2</v>
      </c>
      <c r="Z4848">
        <v>-5.9292329999999999E-3</v>
      </c>
      <c r="AA4848">
        <v>0.99544200000000005</v>
      </c>
      <c r="AB4848">
        <v>26</v>
      </c>
      <c r="AC4848">
        <v>23.485700000000001</v>
      </c>
      <c r="AD4848">
        <v>-1.11747281558</v>
      </c>
      <c r="AE4848">
        <v>-0.114199999999996</v>
      </c>
      <c r="AF4848">
        <v>2.2448012915653401</v>
      </c>
      <c r="AG4848">
        <v>-1.11747281558</v>
      </c>
      <c r="AH4848">
        <v>23.3251576172444</v>
      </c>
      <c r="AI4848">
        <v>92.730260893579697</v>
      </c>
      <c r="AJ4848">
        <v>84.502813359708099</v>
      </c>
      <c r="AK4848">
        <v>23.459557885890899</v>
      </c>
      <c r="AL4848">
        <v>78.506661155756703</v>
      </c>
      <c r="AM4848">
        <v>85.828464741792203</v>
      </c>
      <c r="AN4848">
        <v>0.99999996032232596</v>
      </c>
    </row>
    <row r="4849" spans="1:40" x14ac:dyDescent="0.25">
      <c r="A4849" t="str">
        <f>"20190303162657727"</f>
        <v>20190303162657727</v>
      </c>
      <c r="B4849" t="str">
        <f>"1551601617719248"</f>
        <v>1551601617719248</v>
      </c>
      <c r="C4849" t="s">
        <v>40</v>
      </c>
      <c r="D4849">
        <v>5.4309200000000004</v>
      </c>
      <c r="E4849">
        <v>0.51034279999999999</v>
      </c>
      <c r="F4849" t="s">
        <v>68</v>
      </c>
      <c r="G4849">
        <v>-237.96960000000001</v>
      </c>
      <c r="H4849" s="1">
        <v>-2.7012320000000001E-6</v>
      </c>
      <c r="I4849">
        <v>-58.719700000000003</v>
      </c>
      <c r="J4849">
        <v>-261.5838</v>
      </c>
      <c r="K4849">
        <v>1.1174759999999999</v>
      </c>
      <c r="L4849">
        <v>-58.579650000000001</v>
      </c>
      <c r="M4849">
        <v>0.99599680000000002</v>
      </c>
      <c r="N4849">
        <v>-1.423614E-2</v>
      </c>
      <c r="O4849">
        <v>8.8248010000000002E-2</v>
      </c>
      <c r="P4849">
        <v>0.98235950000000005</v>
      </c>
      <c r="Q4849">
        <v>0.18608450000000001</v>
      </c>
      <c r="R4849">
        <v>1.8509060000000001E-2</v>
      </c>
      <c r="S4849">
        <v>3.081696</v>
      </c>
      <c r="T4849">
        <v>-0.14502689999999999</v>
      </c>
      <c r="U4849">
        <v>-1.6998289999999999E-2</v>
      </c>
      <c r="V4849">
        <v>7.0182030000000006E-2</v>
      </c>
      <c r="W4849">
        <v>0.19935449999999999</v>
      </c>
      <c r="X4849">
        <v>0.97741100000000003</v>
      </c>
      <c r="Y4849">
        <v>9.3567700000000004E-2</v>
      </c>
      <c r="Z4849">
        <v>-5.7568410000000004E-3</v>
      </c>
      <c r="AA4849">
        <v>0.99559629999999999</v>
      </c>
      <c r="AB4849">
        <v>26</v>
      </c>
      <c r="AC4849">
        <v>23.614199999999901</v>
      </c>
      <c r="AD4849">
        <v>-1.117478701232</v>
      </c>
      <c r="AE4849">
        <v>-0.14005000000000201</v>
      </c>
      <c r="AF4849">
        <v>2.21865256404599</v>
      </c>
      <c r="AG4849">
        <v>-1.117478701232</v>
      </c>
      <c r="AH4849">
        <v>23.4571627289268</v>
      </c>
      <c r="AI4849">
        <v>92.715358264153494</v>
      </c>
      <c r="AJ4849">
        <v>84.596858011858004</v>
      </c>
      <c r="AK4849">
        <v>23.5883373966672</v>
      </c>
      <c r="AL4849">
        <v>78.500785485633401</v>
      </c>
      <c r="AM4849">
        <v>85.892981893942505</v>
      </c>
      <c r="AN4849">
        <v>0.99999999846308496</v>
      </c>
    </row>
    <row r="4850" spans="1:40" x14ac:dyDescent="0.25">
      <c r="A4850" t="str">
        <f>"20190303162657737"</f>
        <v>20190303162657737</v>
      </c>
      <c r="B4850" t="str">
        <f>"1551601617729008"</f>
        <v>1551601617729008</v>
      </c>
      <c r="C4850" t="s">
        <v>40</v>
      </c>
      <c r="D4850">
        <v>5.2718420000000004</v>
      </c>
      <c r="E4850">
        <v>0.51021349999999999</v>
      </c>
      <c r="F4850" t="s">
        <v>68</v>
      </c>
      <c r="G4850">
        <v>-237.64320000000001</v>
      </c>
      <c r="H4850" s="1">
        <v>-2.5572389999999999E-6</v>
      </c>
      <c r="I4850">
        <v>-58.742240000000002</v>
      </c>
      <c r="J4850">
        <v>-261.45499999999998</v>
      </c>
      <c r="K4850">
        <v>1.1174809999999999</v>
      </c>
      <c r="L4850">
        <v>-58.571040000000004</v>
      </c>
      <c r="M4850">
        <v>0.99622829999999996</v>
      </c>
      <c r="N4850">
        <v>-1.4234810000000001E-2</v>
      </c>
      <c r="O4850">
        <v>8.5596080000000005E-2</v>
      </c>
      <c r="P4850">
        <v>0.98240910000000004</v>
      </c>
      <c r="Q4850">
        <v>0.18594350000000001</v>
      </c>
      <c r="R4850">
        <v>1.7258470000000001E-2</v>
      </c>
      <c r="S4850">
        <v>3.081512</v>
      </c>
      <c r="T4850">
        <v>-0.143836299999999</v>
      </c>
      <c r="U4850">
        <v>-2.0935059999999998E-2</v>
      </c>
      <c r="V4850">
        <v>6.881814E-2</v>
      </c>
      <c r="W4850">
        <v>0.1992274</v>
      </c>
      <c r="X4850">
        <v>0.97753389999999996</v>
      </c>
      <c r="Y4850">
        <v>9.2195620000000006E-2</v>
      </c>
      <c r="Z4850">
        <v>-5.5779369999999998E-3</v>
      </c>
      <c r="AA4850">
        <v>0.99572530000000004</v>
      </c>
      <c r="AB4850">
        <v>26</v>
      </c>
      <c r="AC4850">
        <v>23.811799999999899</v>
      </c>
      <c r="AD4850">
        <v>-1.1174835572389901</v>
      </c>
      <c r="AE4850">
        <v>-0.17119999999999799</v>
      </c>
      <c r="AF4850">
        <v>2.20412055411472</v>
      </c>
      <c r="AG4850">
        <v>-1.1174835572389901</v>
      </c>
      <c r="AH4850">
        <v>23.657634467033802</v>
      </c>
      <c r="AI4850">
        <v>92.692748558043704</v>
      </c>
      <c r="AJ4850">
        <v>84.677265813012795</v>
      </c>
      <c r="AK4850">
        <v>23.786352925439399</v>
      </c>
      <c r="AL4850">
        <v>78.508216977972594</v>
      </c>
      <c r="AM4850">
        <v>85.973035516530302</v>
      </c>
      <c r="AN4850">
        <v>1.00000000947651</v>
      </c>
    </row>
    <row r="4851" spans="1:40" x14ac:dyDescent="0.25">
      <c r="A4851" t="str">
        <f>"20190303162657759"</f>
        <v>20190303162657759</v>
      </c>
      <c r="B4851" t="str">
        <f>"1551601617749505"</f>
        <v>1551601617749505</v>
      </c>
      <c r="C4851" t="s">
        <v>40</v>
      </c>
      <c r="D4851">
        <v>5.7340030000000004</v>
      </c>
      <c r="E4851">
        <v>0.51014780000000004</v>
      </c>
      <c r="F4851" t="s">
        <v>68</v>
      </c>
      <c r="G4851">
        <v>-237.37710000000001</v>
      </c>
      <c r="H4851" s="1">
        <v>-2.4404910000000001E-6</v>
      </c>
      <c r="I4851">
        <v>-58.75676</v>
      </c>
      <c r="J4851">
        <v>-261.20280000000002</v>
      </c>
      <c r="K4851">
        <v>1.1174930000000001</v>
      </c>
      <c r="L4851">
        <v>-58.555149999999998</v>
      </c>
      <c r="M4851">
        <v>0.9966602</v>
      </c>
      <c r="N4851">
        <v>-1.4231789999999999E-2</v>
      </c>
      <c r="O4851">
        <v>8.0410969999999998E-2</v>
      </c>
      <c r="P4851">
        <v>0.98254050000000004</v>
      </c>
      <c r="Q4851">
        <v>0.18545700000000001</v>
      </c>
      <c r="R4851">
        <v>1.482583E-2</v>
      </c>
      <c r="S4851">
        <v>3.0811769999999998</v>
      </c>
      <c r="T4851">
        <v>-0.14300119999999999</v>
      </c>
      <c r="U4851">
        <v>-2.377319E-2</v>
      </c>
      <c r="V4851">
        <v>6.6140229999999994E-2</v>
      </c>
      <c r="W4851">
        <v>0.19877040000000001</v>
      </c>
      <c r="X4851">
        <v>0.97781180000000001</v>
      </c>
      <c r="Y4851">
        <v>8.794196E-2</v>
      </c>
      <c r="Z4851">
        <v>-5.2482120000000004E-3</v>
      </c>
      <c r="AA4851">
        <v>0.99611179999999999</v>
      </c>
      <c r="AB4851">
        <v>26</v>
      </c>
      <c r="AC4851">
        <v>23.825700000000001</v>
      </c>
      <c r="AD4851">
        <v>-1.117495440491</v>
      </c>
      <c r="AE4851">
        <v>-0.20161000000000201</v>
      </c>
      <c r="AF4851">
        <v>2.1123520895914401</v>
      </c>
      <c r="AG4851">
        <v>-1.117495440491</v>
      </c>
      <c r="AH4851">
        <v>23.680228473246402</v>
      </c>
      <c r="AI4851">
        <v>92.691174853117005</v>
      </c>
      <c r="AJ4851">
        <v>84.902525271935104</v>
      </c>
      <c r="AK4851">
        <v>23.800505203778101</v>
      </c>
      <c r="AL4851">
        <v>78.534936104300698</v>
      </c>
      <c r="AM4851">
        <v>86.130346984797299</v>
      </c>
      <c r="AN4851">
        <v>1.0000000590799201</v>
      </c>
    </row>
    <row r="4852" spans="1:40" x14ac:dyDescent="0.25">
      <c r="A4852" t="str">
        <f>"20190303162657771"</f>
        <v>20190303162657771</v>
      </c>
      <c r="B4852" t="str">
        <f>"1551601617759264"</f>
        <v>1551601617759264</v>
      </c>
      <c r="C4852" t="s">
        <v>40</v>
      </c>
      <c r="D4852">
        <v>5.4288100000000004</v>
      </c>
      <c r="E4852">
        <v>0.51009380000000004</v>
      </c>
      <c r="F4852" t="s">
        <v>68</v>
      </c>
      <c r="G4852">
        <v>-237.2713</v>
      </c>
      <c r="H4852" s="1">
        <v>-2.3881890000000002E-6</v>
      </c>
      <c r="I4852">
        <v>-58.79569</v>
      </c>
      <c r="J4852">
        <v>-261.05790000000002</v>
      </c>
      <c r="K4852">
        <v>1.1175010000000001</v>
      </c>
      <c r="L4852">
        <v>-58.546719999999901</v>
      </c>
      <c r="M4852">
        <v>0.9968958</v>
      </c>
      <c r="N4852">
        <v>-1.422993E-2</v>
      </c>
      <c r="O4852">
        <v>7.7435459999999998E-2</v>
      </c>
      <c r="P4852">
        <v>0.98249160000000002</v>
      </c>
      <c r="Q4852">
        <v>0.18584890000000001</v>
      </c>
      <c r="R4852">
        <v>1.307001E-2</v>
      </c>
      <c r="S4852">
        <v>3.0809329999999999</v>
      </c>
      <c r="T4852">
        <v>-0.14386570000000001</v>
      </c>
      <c r="U4852">
        <v>-3.0975340000000001E-2</v>
      </c>
      <c r="V4852">
        <v>6.4958569999999993E-2</v>
      </c>
      <c r="W4852">
        <v>0.19917280000000001</v>
      </c>
      <c r="X4852">
        <v>0.97780909999999999</v>
      </c>
      <c r="Y4852">
        <v>8.7297799999999995E-2</v>
      </c>
      <c r="Z4852">
        <v>-5.1678829999999999E-3</v>
      </c>
      <c r="AA4852">
        <v>0.99616890000000002</v>
      </c>
      <c r="AB4852">
        <v>26</v>
      </c>
      <c r="AC4852">
        <v>23.7866</v>
      </c>
      <c r="AD4852">
        <v>-1.117503388189</v>
      </c>
      <c r="AE4852">
        <v>-0.24897000000000699</v>
      </c>
      <c r="AF4852">
        <v>2.0857321003181601</v>
      </c>
      <c r="AG4852">
        <v>-1.117503388189</v>
      </c>
      <c r="AH4852">
        <v>23.643702404502399</v>
      </c>
      <c r="AI4852">
        <v>92.695579410580706</v>
      </c>
      <c r="AJ4852">
        <v>84.958695761655093</v>
      </c>
      <c r="AK4852">
        <v>23.761812969754299</v>
      </c>
      <c r="AL4852">
        <v>78.5114095218633</v>
      </c>
      <c r="AM4852">
        <v>86.199267194248094</v>
      </c>
      <c r="AN4852">
        <v>1.00000002805954</v>
      </c>
    </row>
    <row r="4853" spans="1:40" x14ac:dyDescent="0.25">
      <c r="A4853" t="str">
        <f>"20190303162657783"</f>
        <v>20190303162657783</v>
      </c>
      <c r="B4853" t="str">
        <f>"1551601617769023"</f>
        <v>1551601617769023</v>
      </c>
      <c r="C4853" t="s">
        <v>40</v>
      </c>
      <c r="D4853">
        <v>5.309183</v>
      </c>
      <c r="E4853">
        <v>0.51005599999999995</v>
      </c>
      <c r="F4853" t="s">
        <v>68</v>
      </c>
      <c r="G4853">
        <v>-236.86089999999999</v>
      </c>
      <c r="H4853" s="1">
        <v>-2.2064359999999999E-6</v>
      </c>
      <c r="I4853">
        <v>-58.827809999999999</v>
      </c>
      <c r="J4853">
        <v>-260.91180000000003</v>
      </c>
      <c r="K4853">
        <v>1.1175029999999999</v>
      </c>
      <c r="L4853">
        <v>-58.538449999999997</v>
      </c>
      <c r="M4853">
        <v>0.99712420000000002</v>
      </c>
      <c r="N4853">
        <v>-1.4228040000000001E-2</v>
      </c>
      <c r="O4853">
        <v>7.4438809999999994E-2</v>
      </c>
      <c r="P4853">
        <v>0.9824986</v>
      </c>
      <c r="Q4853">
        <v>0.18595130000000001</v>
      </c>
      <c r="R4853">
        <v>1.091052E-2</v>
      </c>
      <c r="S4853">
        <v>3.0808409999999999</v>
      </c>
      <c r="T4853">
        <v>-0.14228440000000001</v>
      </c>
      <c r="U4853">
        <v>-3.5797120000000002E-2</v>
      </c>
      <c r="V4853">
        <v>6.4160869999999995E-2</v>
      </c>
      <c r="W4853">
        <v>0.1992835</v>
      </c>
      <c r="X4853">
        <v>0.97783920000000002</v>
      </c>
      <c r="Y4853">
        <v>8.586995E-2</v>
      </c>
      <c r="Z4853">
        <v>-4.9676499999999997E-3</v>
      </c>
      <c r="AA4853">
        <v>0.99629400000000001</v>
      </c>
      <c r="AB4853">
        <v>26</v>
      </c>
      <c r="AC4853">
        <v>24.050899999999999</v>
      </c>
      <c r="AD4853">
        <v>-1.117505206436</v>
      </c>
      <c r="AE4853">
        <v>-0.289360000000002</v>
      </c>
      <c r="AF4853">
        <v>2.07458022699773</v>
      </c>
      <c r="AG4853">
        <v>-1.117505206436</v>
      </c>
      <c r="AH4853">
        <v>23.911003011928798</v>
      </c>
      <c r="AI4853">
        <v>92.665829317432397</v>
      </c>
      <c r="AJ4853">
        <v>85.041288308487694</v>
      </c>
      <c r="AK4853">
        <v>24.026834290874302</v>
      </c>
      <c r="AL4853">
        <v>78.504936985589595</v>
      </c>
      <c r="AM4853">
        <v>86.245921638218704</v>
      </c>
      <c r="AN4853">
        <v>1.0000000158340201</v>
      </c>
    </row>
    <row r="4854" spans="1:40" x14ac:dyDescent="0.25">
      <c r="A4854" t="str">
        <f>"20190303162657795"</f>
        <v>20190303162657795</v>
      </c>
      <c r="B4854" t="str">
        <f>"1551601617789519"</f>
        <v>1551601617789519</v>
      </c>
      <c r="C4854" t="s">
        <v>40</v>
      </c>
      <c r="D4854">
        <v>5.4293290000000001</v>
      </c>
      <c r="E4854">
        <v>0.50986670000000001</v>
      </c>
      <c r="F4854" t="s">
        <v>68</v>
      </c>
      <c r="G4854">
        <v>-236.5522</v>
      </c>
      <c r="H4854" s="1">
        <v>-2.0665879999999999E-6</v>
      </c>
      <c r="I4854">
        <v>-58.869720000000001</v>
      </c>
      <c r="J4854">
        <v>-260.77670000000001</v>
      </c>
      <c r="K4854">
        <v>1.117513</v>
      </c>
      <c r="L4854">
        <v>-58.53143</v>
      </c>
      <c r="M4854">
        <v>0.99732690000000002</v>
      </c>
      <c r="N4854">
        <v>-1.422607E-2</v>
      </c>
      <c r="O4854">
        <v>7.1672949999999999E-2</v>
      </c>
      <c r="P4854">
        <v>0.98247549999999995</v>
      </c>
      <c r="Q4854">
        <v>0.18618560000000001</v>
      </c>
      <c r="R4854">
        <v>8.786973E-3</v>
      </c>
      <c r="S4854">
        <v>3.0806269999999998</v>
      </c>
      <c r="T4854">
        <v>-0.14132520000000001</v>
      </c>
      <c r="U4854">
        <v>-4.1900630000000001E-2</v>
      </c>
      <c r="V4854">
        <v>6.3554349999999996E-2</v>
      </c>
      <c r="W4854">
        <v>0.19952320000000001</v>
      </c>
      <c r="X4854">
        <v>0.97782990000000003</v>
      </c>
      <c r="Y4854">
        <v>8.5085629999999995E-2</v>
      </c>
      <c r="Z4854">
        <v>-4.8208900000000004E-3</v>
      </c>
      <c r="AA4854">
        <v>0.99636199999999997</v>
      </c>
      <c r="AB4854">
        <v>26</v>
      </c>
      <c r="AC4854">
        <v>24.224499999999999</v>
      </c>
      <c r="AD4854">
        <v>-1.117515066588</v>
      </c>
      <c r="AE4854">
        <v>-0.33828999999998599</v>
      </c>
      <c r="AF4854">
        <v>2.0694334523585902</v>
      </c>
      <c r="AG4854">
        <v>-1.117515066588</v>
      </c>
      <c r="AH4854">
        <v>24.086688329143001</v>
      </c>
      <c r="AI4854">
        <v>92.646627874036596</v>
      </c>
      <c r="AJ4854">
        <v>85.089431026718003</v>
      </c>
      <c r="AK4854">
        <v>24.201238592333802</v>
      </c>
      <c r="AL4854">
        <v>78.490921401677795</v>
      </c>
      <c r="AM4854">
        <v>86.281274049890897</v>
      </c>
      <c r="AN4854">
        <v>0.99999998803808599</v>
      </c>
    </row>
    <row r="4855" spans="1:40" x14ac:dyDescent="0.25">
      <c r="A4855" t="str">
        <f>"20190303162657832"</f>
        <v>20190303162657832</v>
      </c>
      <c r="B4855" t="str">
        <f>"1551601617818800"</f>
        <v>1551601617818800</v>
      </c>
      <c r="C4855" t="s">
        <v>40</v>
      </c>
      <c r="D4855">
        <v>5.3537589999999904</v>
      </c>
      <c r="E4855">
        <v>0.50989510000000005</v>
      </c>
      <c r="F4855" t="s">
        <v>68</v>
      </c>
      <c r="G4855">
        <v>-236.10849999999999</v>
      </c>
      <c r="H4855" s="1">
        <v>-1.8696869999999999E-6</v>
      </c>
      <c r="I4855">
        <v>-58.906509999999997</v>
      </c>
      <c r="J4855">
        <v>-260.34570000000002</v>
      </c>
      <c r="K4855">
        <v>1.11754</v>
      </c>
      <c r="L4855">
        <v>-58.511110000000002</v>
      </c>
      <c r="M4855">
        <v>0.99792110000000001</v>
      </c>
      <c r="N4855">
        <v>-1.4220170000000001E-2</v>
      </c>
      <c r="O4855">
        <v>6.2860630000000001E-2</v>
      </c>
      <c r="P4855">
        <v>0.98274919999999999</v>
      </c>
      <c r="Q4855">
        <v>0.1849296</v>
      </c>
      <c r="R4855">
        <v>2.3369950000000001E-3</v>
      </c>
      <c r="S4855">
        <v>3.0803829999999999</v>
      </c>
      <c r="T4855">
        <v>-0.1395469</v>
      </c>
      <c r="U4855">
        <v>-4.6844480000000001E-2</v>
      </c>
      <c r="V4855">
        <v>6.1317429999999999E-2</v>
      </c>
      <c r="W4855">
        <v>0.1982923</v>
      </c>
      <c r="X4855">
        <v>0.97822299999999995</v>
      </c>
      <c r="Y4855">
        <v>7.7899969999999999E-2</v>
      </c>
      <c r="Z4855">
        <v>-4.2689080000000001E-3</v>
      </c>
      <c r="AA4855">
        <v>0.99695210000000001</v>
      </c>
      <c r="AB4855">
        <v>26</v>
      </c>
      <c r="AC4855">
        <v>24.237200000000001</v>
      </c>
      <c r="AD4855">
        <v>-1.1175418696870001</v>
      </c>
      <c r="AE4855">
        <v>-0.39540000000000203</v>
      </c>
      <c r="AF4855">
        <v>1.9142687973102901</v>
      </c>
      <c r="AG4855">
        <v>-1.1175418696870001</v>
      </c>
      <c r="AH4855">
        <v>24.113148304540299</v>
      </c>
      <c r="AI4855">
        <v>92.645206477718901</v>
      </c>
      <c r="AJ4855">
        <v>85.460983426901294</v>
      </c>
      <c r="AK4855">
        <v>24.2148145980021</v>
      </c>
      <c r="AL4855">
        <v>78.562884304478104</v>
      </c>
      <c r="AM4855">
        <v>86.413251887199806</v>
      </c>
      <c r="AN4855">
        <v>0.99999995059504598</v>
      </c>
    </row>
    <row r="4856" spans="1:40" x14ac:dyDescent="0.25">
      <c r="A4856" t="str">
        <f>"20190303162657844"</f>
        <v>20190303162657844</v>
      </c>
      <c r="B4856" t="str">
        <f>"1551601617829535"</f>
        <v>1551601617829535</v>
      </c>
      <c r="C4856" t="s">
        <v>40</v>
      </c>
      <c r="D4856">
        <v>5.3347680000000004</v>
      </c>
      <c r="E4856">
        <v>0.50989510000000005</v>
      </c>
      <c r="F4856" t="s">
        <v>68</v>
      </c>
      <c r="G4856">
        <v>-236.27350000000001</v>
      </c>
      <c r="H4856" s="1">
        <v>-1.916908E-6</v>
      </c>
      <c r="I4856">
        <v>-59.039409999999997</v>
      </c>
      <c r="J4856">
        <v>-260.202</v>
      </c>
      <c r="K4856">
        <v>1.117545</v>
      </c>
      <c r="L4856">
        <v>-58.505099999999999</v>
      </c>
      <c r="M4856">
        <v>0.99810169999999998</v>
      </c>
      <c r="N4856">
        <v>-1.4218339999999999E-2</v>
      </c>
      <c r="O4856">
        <v>5.992629E-2</v>
      </c>
      <c r="P4856">
        <v>0.98288909999999996</v>
      </c>
      <c r="Q4856">
        <v>0.184199</v>
      </c>
      <c r="R4856" s="1">
        <v>4.3958429999999998E-5</v>
      </c>
      <c r="S4856">
        <v>3.079742</v>
      </c>
      <c r="T4856">
        <v>-0.14297560000000001</v>
      </c>
      <c r="U4856">
        <v>-6.7596439999999994E-2</v>
      </c>
      <c r="V4856">
        <v>6.0719040000000002E-2</v>
      </c>
      <c r="W4856">
        <v>0.19756969999999999</v>
      </c>
      <c r="X4856">
        <v>0.97840649999999996</v>
      </c>
      <c r="Y4856">
        <v>8.1676009999999993E-2</v>
      </c>
      <c r="Z4856">
        <v>-4.4032979999999999E-3</v>
      </c>
      <c r="AA4856">
        <v>0.99664920000000001</v>
      </c>
      <c r="AB4856">
        <v>26</v>
      </c>
      <c r="AC4856">
        <v>23.9284999999999</v>
      </c>
      <c r="AD4856">
        <v>-1.1175469169079999</v>
      </c>
      <c r="AE4856">
        <v>-0.53430999999999695</v>
      </c>
      <c r="AF4856">
        <v>1.96316054801929</v>
      </c>
      <c r="AG4856">
        <v>-1.1175469169079999</v>
      </c>
      <c r="AH4856">
        <v>23.801573951816401</v>
      </c>
      <c r="AI4856">
        <v>92.679129988537099</v>
      </c>
      <c r="AJ4856">
        <v>85.284900848938193</v>
      </c>
      <c r="AK4856">
        <v>23.908530549420501</v>
      </c>
      <c r="AL4856">
        <v>78.605121672783795</v>
      </c>
      <c r="AM4856">
        <v>86.4488289600923</v>
      </c>
      <c r="AN4856">
        <v>0.99999993370942797</v>
      </c>
    </row>
    <row r="4857" spans="1:40" x14ac:dyDescent="0.25">
      <c r="A4857" t="str">
        <f>"20190303162657856"</f>
        <v>20190303162657856</v>
      </c>
      <c r="B4857" t="str">
        <f>"1551601617848641"</f>
        <v>1551601617848641</v>
      </c>
      <c r="C4857" t="s">
        <v>40</v>
      </c>
      <c r="D4857">
        <v>5.4128579999999999</v>
      </c>
      <c r="E4857">
        <v>0.52941549999999904</v>
      </c>
      <c r="F4857" t="s">
        <v>68</v>
      </c>
      <c r="G4857">
        <v>-236.51240000000001</v>
      </c>
      <c r="H4857" s="1">
        <v>-2.0122259999999998E-6</v>
      </c>
      <c r="I4857">
        <v>-59.079740000000001</v>
      </c>
      <c r="J4857">
        <v>-260.04910000000001</v>
      </c>
      <c r="K4857">
        <v>1.117543</v>
      </c>
      <c r="L4857">
        <v>-58.499360000000003</v>
      </c>
      <c r="M4857">
        <v>0.9982839</v>
      </c>
      <c r="N4857">
        <v>-1.421627E-2</v>
      </c>
      <c r="O4857">
        <v>5.6808299999999999E-2</v>
      </c>
      <c r="P4857">
        <v>0.98302880000000004</v>
      </c>
      <c r="Q4857">
        <v>0.1834373</v>
      </c>
      <c r="R4857">
        <v>-2.2878799999999999E-3</v>
      </c>
      <c r="S4857">
        <v>3.0794679999999999</v>
      </c>
      <c r="T4857">
        <v>-0.14527229999999999</v>
      </c>
      <c r="U4857">
        <v>-7.4707029999999994E-2</v>
      </c>
      <c r="V4857">
        <v>5.997889E-2</v>
      </c>
      <c r="W4857">
        <v>0.19681660000000001</v>
      </c>
      <c r="X4857">
        <v>0.97860400000000003</v>
      </c>
      <c r="Y4857">
        <v>8.0862970000000006E-2</v>
      </c>
      <c r="Z4857">
        <v>-4.3513079999999999E-3</v>
      </c>
      <c r="AA4857">
        <v>0.99671569999999998</v>
      </c>
      <c r="AB4857">
        <v>26</v>
      </c>
      <c r="AC4857">
        <v>23.5367</v>
      </c>
      <c r="AD4857">
        <v>-1.117545012226</v>
      </c>
      <c r="AE4857">
        <v>-0.580380000000005</v>
      </c>
      <c r="AF4857">
        <v>1.9123489274473899</v>
      </c>
      <c r="AG4857">
        <v>-1.117545012226</v>
      </c>
      <c r="AH4857">
        <v>23.4129582079104</v>
      </c>
      <c r="AI4857">
        <v>92.723705641312407</v>
      </c>
      <c r="AJ4857">
        <v>85.330499080376995</v>
      </c>
      <c r="AK4857">
        <v>23.517495557988699</v>
      </c>
      <c r="AL4857">
        <v>78.649136287713503</v>
      </c>
      <c r="AM4857">
        <v>86.492714297678802</v>
      </c>
      <c r="AN4857">
        <v>1.0000000150485899</v>
      </c>
    </row>
    <row r="4858" spans="1:40" x14ac:dyDescent="0.25">
      <c r="A4858" t="str">
        <f>"20190303162657872"</f>
        <v>20190303162657872</v>
      </c>
      <c r="B4858" t="str">
        <f>"1551601617859377"</f>
        <v>1551601617859377</v>
      </c>
      <c r="C4858" t="s">
        <v>40</v>
      </c>
      <c r="D4858">
        <v>5.3383120000000002</v>
      </c>
      <c r="E4858">
        <v>0.53049769999999996</v>
      </c>
      <c r="F4858" t="s">
        <v>68</v>
      </c>
      <c r="G4858">
        <v>-239.85310000000001</v>
      </c>
      <c r="H4858" s="1">
        <v>-3.2727629999999999E-6</v>
      </c>
      <c r="I4858">
        <v>-60.052799999999998</v>
      </c>
      <c r="J4858">
        <v>-259.87209999999999</v>
      </c>
      <c r="K4858">
        <v>1.117548</v>
      </c>
      <c r="L4858">
        <v>-58.493229999999997</v>
      </c>
      <c r="M4858">
        <v>0.9984828</v>
      </c>
      <c r="N4858">
        <v>-1.4213989999999999E-2</v>
      </c>
      <c r="O4858">
        <v>5.3198700000000002E-2</v>
      </c>
      <c r="P4858">
        <v>0.9833672</v>
      </c>
      <c r="Q4858">
        <v>0.18154619999999999</v>
      </c>
      <c r="R4858">
        <v>-5.4830349999999998E-3</v>
      </c>
      <c r="S4858">
        <v>3.0830690000000001</v>
      </c>
      <c r="T4858">
        <v>-0.170601</v>
      </c>
      <c r="U4858">
        <v>-0.2371521</v>
      </c>
      <c r="V4858">
        <v>5.9617389999999999E-2</v>
      </c>
      <c r="W4858">
        <v>0.1949331</v>
      </c>
      <c r="X4858">
        <v>0.97900299999999996</v>
      </c>
      <c r="Y4858">
        <v>0.1293406</v>
      </c>
      <c r="Z4858">
        <v>-6.6751019999999996E-3</v>
      </c>
      <c r="AA4858">
        <v>0.99157770000000001</v>
      </c>
      <c r="AB4858">
        <v>26</v>
      </c>
      <c r="AC4858">
        <v>20.018999999999899</v>
      </c>
      <c r="AD4858">
        <v>-1.1175512727629999</v>
      </c>
      <c r="AE4858">
        <v>-1.5595699999999899</v>
      </c>
      <c r="AF4858">
        <v>2.6143553010379299</v>
      </c>
      <c r="AG4858">
        <v>-1.1175512727629999</v>
      </c>
      <c r="AH4858">
        <v>19.846195665500002</v>
      </c>
      <c r="AI4858">
        <v>93.195408532760197</v>
      </c>
      <c r="AJ4858">
        <v>82.495589886085995</v>
      </c>
      <c r="AK4858">
        <v>20.048821832731999</v>
      </c>
      <c r="AL4858">
        <v>78.759184609547802</v>
      </c>
      <c r="AM4858">
        <v>86.515218163701206</v>
      </c>
      <c r="AN4858">
        <v>1.00000001033751</v>
      </c>
    </row>
    <row r="4859" spans="1:40" x14ac:dyDescent="0.25">
      <c r="A4859" t="str">
        <f>"20190303162657883"</f>
        <v>20190303162657883</v>
      </c>
      <c r="B4859" t="str">
        <f>"1551601617869137"</f>
        <v>1551601617869137</v>
      </c>
      <c r="C4859" t="s">
        <v>40</v>
      </c>
      <c r="D4859">
        <v>5.3397629999999996</v>
      </c>
      <c r="E4859">
        <v>0.53110279999999999</v>
      </c>
      <c r="F4859" t="s">
        <v>69</v>
      </c>
      <c r="G4859">
        <v>-242.90899999999999</v>
      </c>
      <c r="H4859" s="1">
        <v>-3.2231539999999998E-7</v>
      </c>
      <c r="I4859">
        <v>-59.891959999999997</v>
      </c>
      <c r="J4859">
        <v>-259.73439999999999</v>
      </c>
      <c r="K4859">
        <v>1.117559</v>
      </c>
      <c r="L4859">
        <v>-58.488770000000002</v>
      </c>
      <c r="M4859">
        <v>0.99862859999999998</v>
      </c>
      <c r="N4859">
        <v>-1.4212270000000001E-2</v>
      </c>
      <c r="O4859">
        <v>5.0390039999999997E-2</v>
      </c>
      <c r="P4859">
        <v>0.98356189999999999</v>
      </c>
      <c r="Q4859">
        <v>0.1803804</v>
      </c>
      <c r="R4859">
        <v>-8.3306049999999996E-3</v>
      </c>
      <c r="S4859">
        <v>3.086884</v>
      </c>
      <c r="T4859">
        <v>-0.20336679999999999</v>
      </c>
      <c r="U4859">
        <v>-0.25454710000000003</v>
      </c>
      <c r="V4859">
        <v>5.9696029999999997E-2</v>
      </c>
      <c r="W4859">
        <v>0.19376889999999999</v>
      </c>
      <c r="X4859">
        <v>0.97922929999999997</v>
      </c>
      <c r="Y4859">
        <v>0.13188949999999999</v>
      </c>
      <c r="Z4859">
        <v>-7.8695339999999992E-3</v>
      </c>
      <c r="AA4859">
        <v>0.99123320000000004</v>
      </c>
      <c r="AB4859">
        <v>26</v>
      </c>
      <c r="AC4859">
        <v>16.825399999999899</v>
      </c>
      <c r="AD4859">
        <v>-1.1175593223153999</v>
      </c>
      <c r="AE4859">
        <v>-1.4031899999999999</v>
      </c>
      <c r="AF4859">
        <v>2.2395132530260402</v>
      </c>
      <c r="AG4859">
        <v>-1.1175593223153999</v>
      </c>
      <c r="AH4859">
        <v>16.660313637463201</v>
      </c>
      <c r="AI4859">
        <v>93.803494355024299</v>
      </c>
      <c r="AJ4859">
        <v>82.344076989668196</v>
      </c>
      <c r="AK4859">
        <v>16.8472671062109</v>
      </c>
      <c r="AL4859">
        <v>78.827185009565</v>
      </c>
      <c r="AM4859">
        <v>86.511437215327405</v>
      </c>
      <c r="AN4859">
        <v>1.0000000122917301</v>
      </c>
    </row>
    <row r="4860" spans="1:40" x14ac:dyDescent="0.25">
      <c r="A4860" t="str">
        <f>"20190303162657894"</f>
        <v>20190303162657894</v>
      </c>
      <c r="B4860" t="str">
        <f>"1551601617878898"</f>
        <v>1551601617878898</v>
      </c>
      <c r="C4860" t="s">
        <v>40</v>
      </c>
      <c r="D4860">
        <v>5.3218030000000001</v>
      </c>
      <c r="E4860">
        <v>0.53048709999999999</v>
      </c>
      <c r="F4860" t="s">
        <v>69</v>
      </c>
      <c r="G4860">
        <v>-243.83940000000001</v>
      </c>
      <c r="H4860" s="1">
        <v>-7.2567969999999899E-7</v>
      </c>
      <c r="I4860">
        <v>-59.86806</v>
      </c>
      <c r="J4860">
        <v>-259.6078</v>
      </c>
      <c r="K4860">
        <v>1.1175580000000001</v>
      </c>
      <c r="L4860">
        <v>-58.485199999999999</v>
      </c>
      <c r="M4860">
        <v>0.99875539999999996</v>
      </c>
      <c r="N4860">
        <v>-1.42106E-2</v>
      </c>
      <c r="O4860">
        <v>4.7809560000000001E-2</v>
      </c>
      <c r="P4860">
        <v>0.9836357</v>
      </c>
      <c r="Q4860">
        <v>0.17985079999999901</v>
      </c>
      <c r="R4860">
        <v>-1.0716430000000001E-2</v>
      </c>
      <c r="S4860">
        <v>3.0876769999999998</v>
      </c>
      <c r="T4860">
        <v>-0.2170907</v>
      </c>
      <c r="U4860">
        <v>-0.26794430000000002</v>
      </c>
      <c r="V4860">
        <v>5.9538220000000003E-2</v>
      </c>
      <c r="W4860">
        <v>0.1932412</v>
      </c>
      <c r="X4860">
        <v>0.97934319999999997</v>
      </c>
      <c r="Y4860">
        <v>0.13352139999999901</v>
      </c>
      <c r="Z4860">
        <v>-8.3056950000000001E-3</v>
      </c>
      <c r="AA4860">
        <v>0.99101110000000003</v>
      </c>
      <c r="AB4860">
        <v>26</v>
      </c>
      <c r="AC4860">
        <v>15.7683999999999</v>
      </c>
      <c r="AD4860">
        <v>-1.1175587256796999</v>
      </c>
      <c r="AE4860">
        <v>-1.38286</v>
      </c>
      <c r="AF4860">
        <v>2.1246440277951502</v>
      </c>
      <c r="AG4860">
        <v>-1.1175587256796999</v>
      </c>
      <c r="AH4860">
        <v>15.606450795062701</v>
      </c>
      <c r="AI4860">
        <v>94.058577891222996</v>
      </c>
      <c r="AJ4860">
        <v>82.247479403316802</v>
      </c>
      <c r="AK4860">
        <v>15.790008111742701</v>
      </c>
      <c r="AL4860">
        <v>78.858002689229806</v>
      </c>
      <c r="AM4860">
        <v>86.521040417037895</v>
      </c>
      <c r="AN4860">
        <v>1.00000003220222</v>
      </c>
    </row>
    <row r="4861" spans="1:40" x14ac:dyDescent="0.25">
      <c r="A4861" t="str">
        <f>"20190303162657906"</f>
        <v>20190303162657906</v>
      </c>
      <c r="B4861" t="str">
        <f>"1551601617899393"</f>
        <v>1551601617899393</v>
      </c>
      <c r="C4861" t="s">
        <v>40</v>
      </c>
      <c r="D4861">
        <v>5.3580870000000003</v>
      </c>
      <c r="E4861">
        <v>0.53065309999999999</v>
      </c>
      <c r="F4861" t="s">
        <v>69</v>
      </c>
      <c r="G4861">
        <v>-244.3964</v>
      </c>
      <c r="H4861" s="1">
        <v>-9.7382389999999998E-7</v>
      </c>
      <c r="I4861">
        <v>-59.816270000000003</v>
      </c>
      <c r="J4861">
        <v>-259.46629999999999</v>
      </c>
      <c r="K4861">
        <v>1.1175619999999999</v>
      </c>
      <c r="L4861">
        <v>-58.481479999999998</v>
      </c>
      <c r="M4861">
        <v>0.99888940000000004</v>
      </c>
      <c r="N4861">
        <v>-1.4208760000000001E-2</v>
      </c>
      <c r="O4861">
        <v>4.4924329999999998E-2</v>
      </c>
      <c r="P4861">
        <v>0.98379760000000005</v>
      </c>
      <c r="Q4861">
        <v>0.17877760000000001</v>
      </c>
      <c r="R4861">
        <v>-1.345442E-2</v>
      </c>
      <c r="S4861">
        <v>3.0884399999999999</v>
      </c>
      <c r="T4861">
        <v>-0.2269024</v>
      </c>
      <c r="U4861">
        <v>-0.2702637</v>
      </c>
      <c r="V4861">
        <v>5.9431659999999997E-2</v>
      </c>
      <c r="W4861">
        <v>0.19217110000000001</v>
      </c>
      <c r="X4861">
        <v>0.97956019999999999</v>
      </c>
      <c r="Y4861">
        <v>0.1313464</v>
      </c>
      <c r="Z4861">
        <v>-8.4000009999999903E-3</v>
      </c>
      <c r="AA4861">
        <v>0.99130090000000004</v>
      </c>
      <c r="AB4861">
        <v>26</v>
      </c>
      <c r="AC4861">
        <v>15.069899999999899</v>
      </c>
      <c r="AD4861">
        <v>-1.1175629738238999</v>
      </c>
      <c r="AE4861">
        <v>-1.3347899999999899</v>
      </c>
      <c r="AF4861">
        <v>1.99960436035088</v>
      </c>
      <c r="AG4861">
        <v>-1.1175629738238999</v>
      </c>
      <c r="AH4861">
        <v>14.9133341801202</v>
      </c>
      <c r="AI4861">
        <v>94.247701954670106</v>
      </c>
      <c r="AJ4861">
        <v>82.363234649633895</v>
      </c>
      <c r="AK4861">
        <v>15.088237172258999</v>
      </c>
      <c r="AL4861">
        <v>78.920485919851998</v>
      </c>
      <c r="AM4861">
        <v>86.528019147717302</v>
      </c>
      <c r="AN4861">
        <v>1.0000000196548</v>
      </c>
    </row>
    <row r="4862" spans="1:40" x14ac:dyDescent="0.25">
      <c r="A4862" t="str">
        <f>"20190303162657916"</f>
        <v>20190303162657916</v>
      </c>
      <c r="B4862" t="str">
        <f>"1551601617909154"</f>
        <v>1551601617909154</v>
      </c>
      <c r="C4862" t="s">
        <v>40</v>
      </c>
      <c r="D4862">
        <v>5.3762489999999996</v>
      </c>
      <c r="E4862">
        <v>0.53010019999999902</v>
      </c>
      <c r="F4862" t="s">
        <v>69</v>
      </c>
      <c r="G4862">
        <v>-244.7431</v>
      </c>
      <c r="H4862" s="1">
        <v>-1.1229409999999999E-6</v>
      </c>
      <c r="I4862">
        <v>-59.814149999999998</v>
      </c>
      <c r="J4862">
        <v>-259.33519999999999</v>
      </c>
      <c r="K4862">
        <v>1.117556</v>
      </c>
      <c r="L4862">
        <v>-58.4784199999999</v>
      </c>
      <c r="M4862">
        <v>0.99900619999999996</v>
      </c>
      <c r="N4862">
        <v>-1.420707E-2</v>
      </c>
      <c r="O4862">
        <v>4.2247399999999997E-2</v>
      </c>
      <c r="P4862">
        <v>0.98389439999999995</v>
      </c>
      <c r="Q4862">
        <v>0.1780716</v>
      </c>
      <c r="R4862">
        <v>-1.5570270000000001E-2</v>
      </c>
      <c r="S4862">
        <v>3.0881959999999999</v>
      </c>
      <c r="T4862">
        <v>-0.23440839999999999</v>
      </c>
      <c r="U4862">
        <v>-0.27954099999999998</v>
      </c>
      <c r="V4862">
        <v>5.8908960000000003E-2</v>
      </c>
      <c r="W4862">
        <v>0.191471</v>
      </c>
      <c r="X4862">
        <v>0.97972879999999996</v>
      </c>
      <c r="Y4862">
        <v>0.1316232</v>
      </c>
      <c r="Z4862">
        <v>-8.5149300000000004E-3</v>
      </c>
      <c r="AA4862">
        <v>0.99126329999999996</v>
      </c>
      <c r="AB4862">
        <v>26</v>
      </c>
      <c r="AC4862">
        <v>14.592099999999901</v>
      </c>
      <c r="AD4862">
        <v>-1.117557122941</v>
      </c>
      <c r="AE4862">
        <v>-1.3357300000000001</v>
      </c>
      <c r="AF4862">
        <v>1.9397943924797301</v>
      </c>
      <c r="AG4862">
        <v>-1.117557122941</v>
      </c>
      <c r="AH4862">
        <v>14.438646518730399</v>
      </c>
      <c r="AI4862">
        <v>94.3866377455617</v>
      </c>
      <c r="AJ4862">
        <v>82.348278254680693</v>
      </c>
      <c r="AK4862">
        <v>14.611168656236099</v>
      </c>
      <c r="AL4862">
        <v>78.961357081739706</v>
      </c>
      <c r="AM4862">
        <v>86.559072238422701</v>
      </c>
      <c r="AN4862">
        <v>0.99999996547935999</v>
      </c>
    </row>
    <row r="4863" spans="1:40" x14ac:dyDescent="0.25">
      <c r="A4863" t="str">
        <f>"20190303162657938"</f>
        <v>20190303162657938</v>
      </c>
      <c r="B4863" t="str">
        <f>"1551601617928673"</f>
        <v>1551601617928673</v>
      </c>
      <c r="C4863" t="s">
        <v>40</v>
      </c>
      <c r="D4863">
        <v>5.375381</v>
      </c>
      <c r="E4863">
        <v>0.52950989999999998</v>
      </c>
      <c r="F4863" t="s">
        <v>69</v>
      </c>
      <c r="G4863">
        <v>-244.9023</v>
      </c>
      <c r="H4863" s="1">
        <v>-1.1947599999999999E-6</v>
      </c>
      <c r="I4863">
        <v>-59.794199999999996</v>
      </c>
      <c r="J4863">
        <v>-259.0942</v>
      </c>
      <c r="K4863">
        <v>1.117559</v>
      </c>
      <c r="L4863">
        <v>-58.473689999999998</v>
      </c>
      <c r="M4863">
        <v>0.99920209999999998</v>
      </c>
      <c r="N4863">
        <v>-1.4204049999999999E-2</v>
      </c>
      <c r="O4863">
        <v>3.7326989999999997E-2</v>
      </c>
      <c r="P4863">
        <v>0.98395290000000002</v>
      </c>
      <c r="Q4863">
        <v>0.1773682</v>
      </c>
      <c r="R4863">
        <v>-1.9421999999999998E-2</v>
      </c>
      <c r="S4863">
        <v>3.0879210000000001</v>
      </c>
      <c r="T4863">
        <v>-0.23910120000000001</v>
      </c>
      <c r="U4863">
        <v>-0.28152470000000002</v>
      </c>
      <c r="V4863">
        <v>5.7911600000000001E-2</v>
      </c>
      <c r="W4863">
        <v>0.1907778</v>
      </c>
      <c r="X4863">
        <v>0.97992349999999995</v>
      </c>
      <c r="Y4863">
        <v>0.127384</v>
      </c>
      <c r="Z4863">
        <v>-8.1747920000000002E-3</v>
      </c>
      <c r="AA4863">
        <v>0.99181980000000003</v>
      </c>
      <c r="AB4863">
        <v>26</v>
      </c>
      <c r="AC4863">
        <v>14.1919</v>
      </c>
      <c r="AD4863">
        <v>-1.11756019476</v>
      </c>
      <c r="AE4863">
        <v>-1.3205099999999901</v>
      </c>
      <c r="AF4863">
        <v>1.8380838417179699</v>
      </c>
      <c r="AG4863">
        <v>-1.11756019476</v>
      </c>
      <c r="AH4863">
        <v>14.046358448946</v>
      </c>
      <c r="AI4863">
        <v>94.510704128070699</v>
      </c>
      <c r="AJ4863">
        <v>82.544728471234905</v>
      </c>
      <c r="AK4863">
        <v>14.2101259204264</v>
      </c>
      <c r="AL4863">
        <v>79.001820745851205</v>
      </c>
      <c r="AM4863">
        <v>86.617863091028994</v>
      </c>
      <c r="AN4863">
        <v>0.99999999411982399</v>
      </c>
    </row>
    <row r="4864" spans="1:40" x14ac:dyDescent="0.25">
      <c r="A4864" t="str">
        <f>"20190303162657950"</f>
        <v>20190303162657950</v>
      </c>
      <c r="B4864" t="str">
        <f>"1551601617939409"</f>
        <v>1551601617939409</v>
      </c>
      <c r="C4864" t="s">
        <v>40</v>
      </c>
      <c r="D4864">
        <v>5.3664069999999997</v>
      </c>
      <c r="E4864">
        <v>0.52928660000000005</v>
      </c>
      <c r="F4864" t="s">
        <v>69</v>
      </c>
      <c r="G4864">
        <v>-244.9084</v>
      </c>
      <c r="H4864" s="1">
        <v>-1.1968290000000001E-6</v>
      </c>
      <c r="I4864">
        <v>-59.797449999999998</v>
      </c>
      <c r="J4864">
        <v>-258.9563</v>
      </c>
      <c r="K4864">
        <v>1.117564</v>
      </c>
      <c r="L4864">
        <v>-58.471559999999997</v>
      </c>
      <c r="M4864">
        <v>0.99930359999999996</v>
      </c>
      <c r="N4864">
        <v>-1.4202350000000001E-2</v>
      </c>
      <c r="O4864">
        <v>3.4508179999999999E-2</v>
      </c>
      <c r="P4864">
        <v>0.9839234</v>
      </c>
      <c r="Q4864">
        <v>0.1773102</v>
      </c>
      <c r="R4864">
        <v>-2.136186E-2</v>
      </c>
      <c r="S4864">
        <v>3.0870669999999998</v>
      </c>
      <c r="T4864">
        <v>-0.24320040000000001</v>
      </c>
      <c r="U4864">
        <v>-0.28808590000000001</v>
      </c>
      <c r="V4864">
        <v>5.7075149999999998E-2</v>
      </c>
      <c r="W4864">
        <v>0.1907268</v>
      </c>
      <c r="X4864">
        <v>0.97998249999999998</v>
      </c>
      <c r="Y4864">
        <v>0.126692</v>
      </c>
      <c r="Z4864">
        <v>-8.0961139999999997E-3</v>
      </c>
      <c r="AA4864">
        <v>0.99190909999999999</v>
      </c>
      <c r="AB4864">
        <v>26</v>
      </c>
      <c r="AC4864">
        <v>14.047899999999901</v>
      </c>
      <c r="AD4864">
        <v>-1.1175651968289999</v>
      </c>
      <c r="AE4864">
        <v>-1.32589</v>
      </c>
      <c r="AF4864">
        <v>1.79863374614882</v>
      </c>
      <c r="AG4864">
        <v>-1.1175651968289999</v>
      </c>
      <c r="AH4864">
        <v>13.906538036678</v>
      </c>
      <c r="AI4864">
        <v>94.556769326616205</v>
      </c>
      <c r="AJ4864">
        <v>82.630431276725503</v>
      </c>
      <c r="AK4864">
        <v>14.066834593735701</v>
      </c>
      <c r="AL4864">
        <v>79.004797472573202</v>
      </c>
      <c r="AM4864">
        <v>86.666802482408201</v>
      </c>
      <c r="AN4864">
        <v>0.99999999264600603</v>
      </c>
    </row>
    <row r="4865" spans="1:40" x14ac:dyDescent="0.25">
      <c r="A4865" t="str">
        <f>"20190303162657975"</f>
        <v>20190303162657975</v>
      </c>
      <c r="B4865" t="str">
        <f>"1551601617969665"</f>
        <v>1551601617969665</v>
      </c>
      <c r="C4865" t="s">
        <v>40</v>
      </c>
      <c r="D4865">
        <v>5.3876339999999896</v>
      </c>
      <c r="E4865">
        <v>0.52888679999999999</v>
      </c>
      <c r="F4865" t="s">
        <v>42</v>
      </c>
      <c r="G4865">
        <v>-258.06630000000001</v>
      </c>
      <c r="H4865">
        <v>1.047431</v>
      </c>
      <c r="I4865">
        <v>-58.556159999999998</v>
      </c>
      <c r="J4865">
        <v>-258.66680000000002</v>
      </c>
      <c r="K4865">
        <v>1.117564</v>
      </c>
      <c r="L4865">
        <v>-58.468319999999999</v>
      </c>
      <c r="M4865">
        <v>0.99949069999999995</v>
      </c>
      <c r="N4865">
        <v>-1.419892E-2</v>
      </c>
      <c r="O4865">
        <v>2.857995E-2</v>
      </c>
      <c r="P4865">
        <v>0.98389510000000002</v>
      </c>
      <c r="Q4865">
        <v>0.17689540000000001</v>
      </c>
      <c r="R4865">
        <v>-2.5665629999999998E-2</v>
      </c>
      <c r="S4865">
        <v>3.086395</v>
      </c>
      <c r="T4865">
        <v>-0.24259449999999999</v>
      </c>
      <c r="U4865">
        <v>-0.29235840000000002</v>
      </c>
      <c r="V4865">
        <v>5.5540730000000003E-2</v>
      </c>
      <c r="W4865">
        <v>0.1903261</v>
      </c>
      <c r="X4865">
        <v>0.98014860000000004</v>
      </c>
      <c r="Y4865">
        <v>0.12221890000000001</v>
      </c>
      <c r="Z4865">
        <v>-7.490643E-3</v>
      </c>
      <c r="AA4865">
        <v>0.99247490000000005</v>
      </c>
      <c r="AB4865">
        <v>26</v>
      </c>
      <c r="AC4865">
        <v>0.60050000000001003</v>
      </c>
      <c r="AD4865">
        <v>-7.0133000000000001E-2</v>
      </c>
      <c r="AE4865">
        <v>-8.7839999999999904E-2</v>
      </c>
      <c r="AF4865">
        <v>0.10358478870700299</v>
      </c>
      <c r="AG4865">
        <v>-7.0133000000000001E-2</v>
      </c>
      <c r="AH4865">
        <v>0.58986662637105103</v>
      </c>
      <c r="AI4865">
        <v>96.679170278743499</v>
      </c>
      <c r="AJ4865">
        <v>80.040005337394504</v>
      </c>
      <c r="AK4865">
        <v>0.602985143305239</v>
      </c>
      <c r="AL4865">
        <v>79.028184788894507</v>
      </c>
      <c r="AM4865">
        <v>86.7567673847946</v>
      </c>
      <c r="AN4865">
        <v>1.00000003755605</v>
      </c>
    </row>
    <row r="4866" spans="1:40" x14ac:dyDescent="0.25">
      <c r="A4866" t="str">
        <f>"20190303162657988"</f>
        <v>20190303162657988</v>
      </c>
      <c r="B4866" t="str">
        <f>"1551601617979425"</f>
        <v>1551601617979425</v>
      </c>
      <c r="C4866" t="s">
        <v>40</v>
      </c>
      <c r="D4866">
        <v>5.4207839999999896</v>
      </c>
      <c r="E4866">
        <v>0.52868660000000001</v>
      </c>
      <c r="F4866" t="s">
        <v>69</v>
      </c>
      <c r="G4866">
        <v>-244.53569999999999</v>
      </c>
      <c r="H4866" s="1">
        <v>-1.0271099999999999E-6</v>
      </c>
      <c r="I4866">
        <v>-59.852829999999997</v>
      </c>
      <c r="J4866">
        <v>-258.51350000000002</v>
      </c>
      <c r="K4866">
        <v>1.1175619999999999</v>
      </c>
      <c r="L4866">
        <v>-58.467289999999998</v>
      </c>
      <c r="M4866">
        <v>0.99957580000000001</v>
      </c>
      <c r="N4866">
        <v>-1.419728E-2</v>
      </c>
      <c r="O4866">
        <v>2.5431160000000001E-2</v>
      </c>
      <c r="P4866">
        <v>0.98386090000000004</v>
      </c>
      <c r="Q4866">
        <v>0.17673329999999901</v>
      </c>
      <c r="R4866">
        <v>-2.7987120000000001E-2</v>
      </c>
      <c r="S4866">
        <v>3.085083</v>
      </c>
      <c r="T4866">
        <v>-0.2439846</v>
      </c>
      <c r="U4866">
        <v>-0.30227659999999901</v>
      </c>
      <c r="V4866">
        <v>5.4762600000000002E-2</v>
      </c>
      <c r="W4866">
        <v>0.1901707</v>
      </c>
      <c r="X4866">
        <v>0.9802225</v>
      </c>
      <c r="Y4866">
        <v>0.122294</v>
      </c>
      <c r="Z4866">
        <v>-7.3327440000000004E-3</v>
      </c>
      <c r="AA4866">
        <v>0.99246679999999998</v>
      </c>
      <c r="AB4866">
        <v>26</v>
      </c>
      <c r="AC4866">
        <v>13.9778</v>
      </c>
      <c r="AD4866">
        <v>-1.1175630271100001</v>
      </c>
      <c r="AE4866">
        <v>-1.38553999999999</v>
      </c>
      <c r="AF4866">
        <v>1.72965017890707</v>
      </c>
      <c r="AG4866">
        <v>-1.1175630271100001</v>
      </c>
      <c r="AH4866">
        <v>13.850362801340699</v>
      </c>
      <c r="AI4866">
        <v>94.5777038862647</v>
      </c>
      <c r="AJ4866">
        <v>82.881684742805803</v>
      </c>
      <c r="AK4866">
        <v>14.002613562821701</v>
      </c>
      <c r="AL4866">
        <v>79.037253707543599</v>
      </c>
      <c r="AM4866">
        <v>86.802350947420507</v>
      </c>
      <c r="AN4866">
        <v>0.99999999350174995</v>
      </c>
    </row>
    <row r="4867" spans="1:40" x14ac:dyDescent="0.25">
      <c r="A4867" t="str">
        <f>"20190303162658013"</f>
        <v>20190303162658013</v>
      </c>
      <c r="B4867" t="str">
        <f>"1551601618008705"</f>
        <v>1551601618008705</v>
      </c>
      <c r="C4867" t="s">
        <v>40</v>
      </c>
      <c r="D4867">
        <v>5.4307160000000003</v>
      </c>
      <c r="E4867">
        <v>0.5281981</v>
      </c>
      <c r="F4867" t="s">
        <v>42</v>
      </c>
      <c r="G4867">
        <v>-257.6046</v>
      </c>
      <c r="H4867">
        <v>1.0454559999999999</v>
      </c>
      <c r="I4867">
        <v>-58.558239999999998</v>
      </c>
      <c r="J4867">
        <v>-258.2115</v>
      </c>
      <c r="K4867">
        <v>1.117556</v>
      </c>
      <c r="L4867">
        <v>-58.466769999999997</v>
      </c>
      <c r="M4867">
        <v>0.99971489999999996</v>
      </c>
      <c r="N4867">
        <v>-1.4194439999999999E-2</v>
      </c>
      <c r="O4867">
        <v>1.9204120000000002E-2</v>
      </c>
      <c r="P4867">
        <v>0.98383200000000004</v>
      </c>
      <c r="Q4867">
        <v>0.17624670000000001</v>
      </c>
      <c r="R4867">
        <v>-3.1808120000000002E-2</v>
      </c>
      <c r="S4867">
        <v>3.084381</v>
      </c>
      <c r="T4867">
        <v>-0.2444307</v>
      </c>
      <c r="U4867">
        <v>-0.30807499999999999</v>
      </c>
      <c r="V4867">
        <v>5.2456790000000003E-2</v>
      </c>
      <c r="W4867">
        <v>0.18970529999999999</v>
      </c>
      <c r="X4867">
        <v>0.98043880000000005</v>
      </c>
      <c r="Y4867">
        <v>0.1180073</v>
      </c>
      <c r="Z4867">
        <v>-6.7427540000000001E-3</v>
      </c>
      <c r="AA4867">
        <v>0.99298980000000003</v>
      </c>
      <c r="AB4867">
        <v>26</v>
      </c>
      <c r="AC4867">
        <v>0.606899999999996</v>
      </c>
      <c r="AD4867">
        <v>-7.2099999999999997E-2</v>
      </c>
      <c r="AE4867">
        <v>-9.14700000000081E-2</v>
      </c>
      <c r="AF4867">
        <v>0.10170573523897</v>
      </c>
      <c r="AG4867">
        <v>-7.2099999999999997E-2</v>
      </c>
      <c r="AH4867">
        <v>0.59679545646169596</v>
      </c>
      <c r="AI4867">
        <v>96.791643437185996</v>
      </c>
      <c r="AJ4867">
        <v>80.328581666070605</v>
      </c>
      <c r="AK4867">
        <v>0.60967801619692896</v>
      </c>
      <c r="AL4867">
        <v>79.064413962814299</v>
      </c>
      <c r="AM4867">
        <v>86.937402233068198</v>
      </c>
      <c r="AN4867">
        <v>1.0000000281053101</v>
      </c>
    </row>
    <row r="4868" spans="1:40" x14ac:dyDescent="0.25">
      <c r="A4868" t="str">
        <f>"20190303162658038"</f>
        <v>20190303162658038</v>
      </c>
      <c r="B4868" t="str">
        <f>"1551601618029202"</f>
        <v>1551601618029202</v>
      </c>
      <c r="C4868" t="s">
        <v>40</v>
      </c>
      <c r="D4868">
        <v>5.3330869999999999</v>
      </c>
      <c r="E4868">
        <v>0.5281981</v>
      </c>
      <c r="F4868" t="s">
        <v>69</v>
      </c>
      <c r="G4868">
        <v>-244.1463</v>
      </c>
      <c r="H4868" s="1">
        <v>-8.4920319999999896E-7</v>
      </c>
      <c r="I4868">
        <v>-59.914000000000001</v>
      </c>
      <c r="J4868">
        <v>-257.91269999999997</v>
      </c>
      <c r="K4868">
        <v>1.1175469999999901</v>
      </c>
      <c r="L4868">
        <v>-58.46799</v>
      </c>
      <c r="M4868">
        <v>0.9998148</v>
      </c>
      <c r="N4868">
        <v>-1.4192089999999999E-2</v>
      </c>
      <c r="O4868">
        <v>1.300276E-2</v>
      </c>
      <c r="P4868">
        <v>0.98372409999999999</v>
      </c>
      <c r="Q4868">
        <v>0.17640980000000001</v>
      </c>
      <c r="R4868">
        <v>-3.4158679999999997E-2</v>
      </c>
      <c r="S4868">
        <v>3.082932</v>
      </c>
      <c r="T4868">
        <v>-0.2449547</v>
      </c>
      <c r="U4868">
        <v>-0.31723020000000002</v>
      </c>
      <c r="V4868">
        <v>4.8714300000000002E-2</v>
      </c>
      <c r="W4868">
        <v>0.1899015</v>
      </c>
      <c r="X4868">
        <v>0.98059390000000002</v>
      </c>
      <c r="Y4868">
        <v>0.114835199999999</v>
      </c>
      <c r="Z4868">
        <v>-6.2067290000000002E-3</v>
      </c>
      <c r="AA4868">
        <v>0.99336519999999995</v>
      </c>
      <c r="AB4868">
        <v>26</v>
      </c>
      <c r="AC4868">
        <v>13.7663999999999</v>
      </c>
      <c r="AD4868">
        <v>-1.1175478492031901</v>
      </c>
      <c r="AE4868">
        <v>-1.44600999999999</v>
      </c>
      <c r="AF4868">
        <v>1.6143841051093499</v>
      </c>
      <c r="AG4868">
        <v>-1.1175478492031901</v>
      </c>
      <c r="AH4868">
        <v>13.657410546121699</v>
      </c>
      <c r="AI4868">
        <v>94.645731082731103</v>
      </c>
      <c r="AJ4868">
        <v>83.258593055724404</v>
      </c>
      <c r="AK4868">
        <v>13.797826352705099</v>
      </c>
      <c r="AL4868">
        <v>79.052964420327001</v>
      </c>
      <c r="AM4868">
        <v>87.155977538236002</v>
      </c>
      <c r="AN4868">
        <v>1.00000002972197</v>
      </c>
    </row>
    <row r="4869" spans="1:40" x14ac:dyDescent="0.25">
      <c r="A4869" t="str">
        <f>"20190303162658050"</f>
        <v>20190303162658050</v>
      </c>
      <c r="B4869" t="str">
        <f>"1551601618038963"</f>
        <v>1551601618038963</v>
      </c>
      <c r="C4869" t="s">
        <v>40</v>
      </c>
      <c r="D4869">
        <v>5.5460479999999999</v>
      </c>
      <c r="E4869">
        <v>0.52762810000000004</v>
      </c>
      <c r="F4869" t="s">
        <v>69</v>
      </c>
      <c r="G4869">
        <v>-243.79239999999999</v>
      </c>
      <c r="H4869" s="1">
        <v>-6.8854749999999999E-7</v>
      </c>
      <c r="I4869">
        <v>-59.963810000000002</v>
      </c>
      <c r="J4869">
        <v>-257.78410000000002</v>
      </c>
      <c r="K4869">
        <v>1.117542</v>
      </c>
      <c r="L4869">
        <v>-58.469209999999997</v>
      </c>
      <c r="M4869">
        <v>0.99984620000000002</v>
      </c>
      <c r="N4869">
        <v>-1.4191509999999999E-2</v>
      </c>
      <c r="O4869">
        <v>1.0313930000000001E-2</v>
      </c>
      <c r="P4869">
        <v>0.98365460000000005</v>
      </c>
      <c r="Q4869">
        <v>0.17649310000000001</v>
      </c>
      <c r="R4869">
        <v>-3.5693790000000003E-2</v>
      </c>
      <c r="S4869">
        <v>3.0820470000000002</v>
      </c>
      <c r="T4869">
        <v>-0.24392720000000001</v>
      </c>
      <c r="U4869">
        <v>-0.32650759999999901</v>
      </c>
      <c r="V4869">
        <v>4.7609470000000001E-2</v>
      </c>
      <c r="W4869">
        <v>0.18999369999999999</v>
      </c>
      <c r="X4869">
        <v>0.98063029999999995</v>
      </c>
      <c r="Y4869">
        <v>0.1151587</v>
      </c>
      <c r="Z4869">
        <v>-6.0253800000000003E-3</v>
      </c>
      <c r="AA4869">
        <v>0.99332880000000001</v>
      </c>
      <c r="AB4869">
        <v>26</v>
      </c>
      <c r="AC4869">
        <v>13.9917</v>
      </c>
      <c r="AD4869">
        <v>-1.1175426885474999</v>
      </c>
      <c r="AE4869">
        <v>-1.4945999999999899</v>
      </c>
      <c r="AF4869">
        <v>1.62857214217844</v>
      </c>
      <c r="AG4869">
        <v>-1.1175426885474999</v>
      </c>
      <c r="AH4869">
        <v>13.8879401924611</v>
      </c>
      <c r="AI4869">
        <v>94.569420500543004</v>
      </c>
      <c r="AJ4869">
        <v>83.311744122710806</v>
      </c>
      <c r="AK4869">
        <v>14.0276880373204</v>
      </c>
      <c r="AL4869">
        <v>79.047583755122901</v>
      </c>
      <c r="AM4869">
        <v>87.220480050568796</v>
      </c>
      <c r="AN4869">
        <v>1.0000000264757301</v>
      </c>
    </row>
    <row r="4870" spans="1:40" x14ac:dyDescent="0.25">
      <c r="A4870" t="str">
        <f>"20190303162658062"</f>
        <v>20190303162658062</v>
      </c>
      <c r="B4870" t="str">
        <f>"1551601618049368"</f>
        <v>1551601618049368</v>
      </c>
      <c r="C4870" t="s">
        <v>40</v>
      </c>
      <c r="D4870">
        <v>5.4490259999999999</v>
      </c>
      <c r="E4870">
        <v>0.52718279999999995</v>
      </c>
      <c r="F4870" t="s">
        <v>42</v>
      </c>
      <c r="G4870">
        <v>-256.90589999999997</v>
      </c>
      <c r="H4870">
        <v>1.0470139999999999</v>
      </c>
      <c r="I4870">
        <v>-58.562469999999998</v>
      </c>
      <c r="J4870">
        <v>-257.64330000000001</v>
      </c>
      <c r="K4870">
        <v>1.1175349999999999</v>
      </c>
      <c r="L4870">
        <v>-58.470730000000003</v>
      </c>
      <c r="M4870">
        <v>0.99987219999999999</v>
      </c>
      <c r="N4870">
        <v>-1.4190990000000001E-2</v>
      </c>
      <c r="O4870">
        <v>7.3627419999999898E-3</v>
      </c>
      <c r="P4870">
        <v>0.98348420000000003</v>
      </c>
      <c r="Q4870">
        <v>0.1771151</v>
      </c>
      <c r="R4870">
        <v>-3.7272319999999998E-2</v>
      </c>
      <c r="S4870">
        <v>3.0823670000000001</v>
      </c>
      <c r="T4870">
        <v>-0.24734159999999999</v>
      </c>
      <c r="U4870">
        <v>-0.32702639999999999</v>
      </c>
      <c r="V4870">
        <v>4.6295309999999999E-2</v>
      </c>
      <c r="W4870">
        <v>0.19062570000000001</v>
      </c>
      <c r="X4870">
        <v>0.98057059999999996</v>
      </c>
      <c r="Y4870">
        <v>0.1123861</v>
      </c>
      <c r="Z4870">
        <v>-5.7748130000000002E-3</v>
      </c>
      <c r="AA4870">
        <v>0.99364779999999997</v>
      </c>
      <c r="AB4870">
        <v>26</v>
      </c>
      <c r="AC4870">
        <v>0.73740000000003603</v>
      </c>
      <c r="AD4870">
        <v>-7.0521E-2</v>
      </c>
      <c r="AE4870">
        <v>-9.1739999999994298E-2</v>
      </c>
      <c r="AF4870">
        <v>9.6300011224833906E-2</v>
      </c>
      <c r="AG4870">
        <v>-7.0521E-2</v>
      </c>
      <c r="AH4870">
        <v>0.73012851732905104</v>
      </c>
      <c r="AI4870">
        <v>95.469839038879698</v>
      </c>
      <c r="AJ4870">
        <v>82.486365118495101</v>
      </c>
      <c r="AK4870">
        <v>0.73982062381365199</v>
      </c>
      <c r="AL4870">
        <v>79.010699059793396</v>
      </c>
      <c r="AM4870">
        <v>87.296923188285305</v>
      </c>
      <c r="AN4870">
        <v>1.0000000574064201</v>
      </c>
    </row>
    <row r="4871" spans="1:40" x14ac:dyDescent="0.25">
      <c r="A4871" t="str">
        <f>"20190303162658072"</f>
        <v>20190303162658072</v>
      </c>
      <c r="B4871" t="str">
        <f>"1551601618059129"</f>
        <v>1551601618059129</v>
      </c>
      <c r="C4871" t="s">
        <v>40</v>
      </c>
      <c r="D4871">
        <v>5.4706409999999996</v>
      </c>
      <c r="E4871">
        <v>0.52691949999999999</v>
      </c>
      <c r="F4871" t="s">
        <v>69</v>
      </c>
      <c r="G4871">
        <v>-243.386</v>
      </c>
      <c r="H4871" s="1">
        <v>-5.0915529999999999E-7</v>
      </c>
      <c r="I4871">
        <v>-59.992400000000004</v>
      </c>
      <c r="J4871">
        <v>-257.52390000000003</v>
      </c>
      <c r="K4871">
        <v>1.117518</v>
      </c>
      <c r="L4871">
        <v>-58.472659999999998</v>
      </c>
      <c r="M4871">
        <v>0.99988759999999999</v>
      </c>
      <c r="N4871">
        <v>-1.419086E-2</v>
      </c>
      <c r="O4871">
        <v>4.8363399999999997E-3</v>
      </c>
      <c r="P4871">
        <v>0.98341270000000003</v>
      </c>
      <c r="Q4871">
        <v>0.1773161</v>
      </c>
      <c r="R4871">
        <v>-3.81938E-2</v>
      </c>
      <c r="S4871">
        <v>3.0814059999999999</v>
      </c>
      <c r="T4871">
        <v>-0.241531</v>
      </c>
      <c r="U4871">
        <v>-0.32888790000000001</v>
      </c>
      <c r="V4871">
        <v>4.474007E-2</v>
      </c>
      <c r="W4871">
        <v>0.19084010000000001</v>
      </c>
      <c r="X4871">
        <v>0.98060099999999994</v>
      </c>
      <c r="Y4871">
        <v>0.11053200000000001</v>
      </c>
      <c r="Z4871">
        <v>-5.4101610000000001E-3</v>
      </c>
      <c r="AA4871">
        <v>0.99385789999999996</v>
      </c>
      <c r="AB4871">
        <v>26</v>
      </c>
      <c r="AC4871">
        <v>14.1379</v>
      </c>
      <c r="AD4871">
        <v>-1.1175185091552999</v>
      </c>
      <c r="AE4871">
        <v>-1.5197400000000001</v>
      </c>
      <c r="AF4871">
        <v>1.5783559122177999</v>
      </c>
      <c r="AG4871">
        <v>-1.1175185091552999</v>
      </c>
      <c r="AH4871">
        <v>14.0436418094371</v>
      </c>
      <c r="AI4871">
        <v>94.521360471151695</v>
      </c>
      <c r="AJ4871">
        <v>83.587473335227898</v>
      </c>
      <c r="AK4871">
        <v>14.176174740588801</v>
      </c>
      <c r="AL4871">
        <v>78.998184133874304</v>
      </c>
      <c r="AM4871">
        <v>87.387682973913698</v>
      </c>
      <c r="AN4871">
        <v>0.99999996941630698</v>
      </c>
    </row>
    <row r="4872" spans="1:40" x14ac:dyDescent="0.25">
      <c r="A4872" t="str">
        <f>"20190303162658084"</f>
        <v>20190303162658084</v>
      </c>
      <c r="B4872" t="str">
        <f>"1551601618068889"</f>
        <v>1551601618068889</v>
      </c>
      <c r="C4872" t="s">
        <v>40</v>
      </c>
      <c r="D4872">
        <v>5.4583909999999998</v>
      </c>
      <c r="E4872">
        <v>0.52676840000000003</v>
      </c>
      <c r="F4872" t="s">
        <v>42</v>
      </c>
      <c r="G4872">
        <v>-256.66419999999999</v>
      </c>
      <c r="H4872">
        <v>1.0502450000000001</v>
      </c>
      <c r="I4872">
        <v>-58.565010000000001</v>
      </c>
      <c r="J4872">
        <v>-257.39109999999999</v>
      </c>
      <c r="K4872">
        <v>1.1175040000000001</v>
      </c>
      <c r="L4872">
        <v>-58.474850000000004</v>
      </c>
      <c r="M4872">
        <v>0.99989740000000005</v>
      </c>
      <c r="N4872">
        <v>-1.4190700000000001E-2</v>
      </c>
      <c r="O4872">
        <v>2.0228910000000002E-3</v>
      </c>
      <c r="P4872">
        <v>0.9832786</v>
      </c>
      <c r="Q4872">
        <v>0.177787</v>
      </c>
      <c r="R4872">
        <v>-3.9433500000000003E-2</v>
      </c>
      <c r="S4872">
        <v>3.0811769999999998</v>
      </c>
      <c r="T4872">
        <v>-0.24068629999999999</v>
      </c>
      <c r="U4872">
        <v>-0.33032230000000001</v>
      </c>
      <c r="V4872">
        <v>4.3224440000000003E-2</v>
      </c>
      <c r="W4872">
        <v>0.19132360000000001</v>
      </c>
      <c r="X4872">
        <v>0.98057479999999997</v>
      </c>
      <c r="Y4872">
        <v>0.1082171</v>
      </c>
      <c r="Z4872">
        <v>-5.1084429999999998E-3</v>
      </c>
      <c r="AA4872">
        <v>0.99411419999999995</v>
      </c>
      <c r="AB4872">
        <v>26</v>
      </c>
      <c r="AC4872">
        <v>0.72689999999999999</v>
      </c>
      <c r="AD4872">
        <v>-6.7258999999999902E-2</v>
      </c>
      <c r="AE4872">
        <v>-9.0159999999997298E-2</v>
      </c>
      <c r="AF4872">
        <v>9.0864252354646097E-2</v>
      </c>
      <c r="AG4872">
        <v>-6.7258999999999902E-2</v>
      </c>
      <c r="AH4872">
        <v>0.720639809381865</v>
      </c>
      <c r="AI4872">
        <v>95.290454302129405</v>
      </c>
      <c r="AJ4872">
        <v>82.813595904455497</v>
      </c>
      <c r="AK4872">
        <v>0.729453096712119</v>
      </c>
      <c r="AL4872">
        <v>78.969961998190598</v>
      </c>
      <c r="AM4872">
        <v>87.475994932869995</v>
      </c>
      <c r="AN4872">
        <v>1.0000000052626501</v>
      </c>
    </row>
    <row r="4873" spans="1:40" x14ac:dyDescent="0.25">
      <c r="A4873" t="str">
        <f>"20190303162658106"</f>
        <v>20190303162658106</v>
      </c>
      <c r="B4873" t="str">
        <f>"1551601618099145"</f>
        <v>1551601618099145</v>
      </c>
      <c r="C4873" t="s">
        <v>40</v>
      </c>
      <c r="D4873">
        <v>5.4394299999999998</v>
      </c>
      <c r="E4873">
        <v>0.52620409999999995</v>
      </c>
      <c r="F4873" t="s">
        <v>42</v>
      </c>
      <c r="G4873">
        <v>-256.44459999999998</v>
      </c>
      <c r="H4873">
        <v>1.0440689999999999</v>
      </c>
      <c r="I4873">
        <v>-58.577660000000002</v>
      </c>
      <c r="J4873">
        <v>-257.1259</v>
      </c>
      <c r="K4873">
        <v>1.11747</v>
      </c>
      <c r="L4873">
        <v>-58.4807699999999</v>
      </c>
      <c r="M4873">
        <v>0.99989269999999997</v>
      </c>
      <c r="N4873">
        <v>-1.4191219999999999E-2</v>
      </c>
      <c r="O4873">
        <v>-3.6624629999999999E-3</v>
      </c>
      <c r="P4873">
        <v>0.98315050000000004</v>
      </c>
      <c r="Q4873">
        <v>0.17830489999999999</v>
      </c>
      <c r="R4873">
        <v>-4.0282279999999997E-2</v>
      </c>
      <c r="S4873">
        <v>3.0807799999999999</v>
      </c>
      <c r="T4873">
        <v>-0.2386645</v>
      </c>
      <c r="U4873">
        <v>-0.3340149</v>
      </c>
      <c r="V4873">
        <v>3.8505060000000001E-2</v>
      </c>
      <c r="W4873">
        <v>0.19188379999999999</v>
      </c>
      <c r="X4873">
        <v>0.98066200000000003</v>
      </c>
      <c r="Y4873">
        <v>0.10378800000000001</v>
      </c>
      <c r="Z4873">
        <v>-4.5117000000000004E-3</v>
      </c>
      <c r="AA4873">
        <v>0.99458919999999995</v>
      </c>
      <c r="AB4873">
        <v>26</v>
      </c>
      <c r="AC4873">
        <v>0.681300000000021</v>
      </c>
      <c r="AD4873">
        <v>-7.34009999999998E-2</v>
      </c>
      <c r="AE4873">
        <v>-9.6890000000001905E-2</v>
      </c>
      <c r="AF4873">
        <v>9.3332015822065004E-2</v>
      </c>
      <c r="AG4873">
        <v>-7.34009999999998E-2</v>
      </c>
      <c r="AH4873">
        <v>0.67398236052655802</v>
      </c>
      <c r="AI4873">
        <v>96.157085286604797</v>
      </c>
      <c r="AJ4873">
        <v>82.115911353299097</v>
      </c>
      <c r="AK4873">
        <v>0.68436159614589798</v>
      </c>
      <c r="AL4873">
        <v>78.937258881522197</v>
      </c>
      <c r="AM4873">
        <v>87.751473261310807</v>
      </c>
      <c r="AN4873">
        <v>0.99999999529602102</v>
      </c>
    </row>
    <row r="4874" spans="1:40" x14ac:dyDescent="0.25">
      <c r="A4874" t="str">
        <f>"20190303162658118"</f>
        <v>20190303162658118</v>
      </c>
      <c r="B4874" t="str">
        <f>"1551601618108905"</f>
        <v>1551601618108905</v>
      </c>
      <c r="C4874" t="s">
        <v>40</v>
      </c>
      <c r="D4874">
        <v>5.4789300000000001</v>
      </c>
      <c r="E4874">
        <v>0.52600849999999999</v>
      </c>
      <c r="F4874" t="s">
        <v>42</v>
      </c>
      <c r="G4874">
        <v>-256.21129999999999</v>
      </c>
      <c r="H4874">
        <v>1.0466260000000001</v>
      </c>
      <c r="I4874">
        <v>-58.580240000000003</v>
      </c>
      <c r="J4874">
        <v>-256.98939999999999</v>
      </c>
      <c r="K4874">
        <v>1.1174569999999999</v>
      </c>
      <c r="L4874">
        <v>-58.484409999999997</v>
      </c>
      <c r="M4874">
        <v>0.99987749999999997</v>
      </c>
      <c r="N4874">
        <v>-1.419172E-2</v>
      </c>
      <c r="O4874">
        <v>-6.6141200000000002E-3</v>
      </c>
      <c r="P4874">
        <v>0.98306039999999995</v>
      </c>
      <c r="Q4874">
        <v>0.17871339999999999</v>
      </c>
      <c r="R4874">
        <v>-4.0669150000000001E-2</v>
      </c>
      <c r="S4874">
        <v>3.080902</v>
      </c>
      <c r="T4874">
        <v>-0.23800640000000001</v>
      </c>
      <c r="U4874">
        <v>-0.33398440000000001</v>
      </c>
      <c r="V4874">
        <v>3.6003109999999998E-2</v>
      </c>
      <c r="W4874">
        <v>0.19231519999999999</v>
      </c>
      <c r="X4874">
        <v>0.98067249999999995</v>
      </c>
      <c r="Y4874">
        <v>0.1008555</v>
      </c>
      <c r="Z4874">
        <v>-4.1824059999999996E-3</v>
      </c>
      <c r="AA4874">
        <v>0.99489229999999995</v>
      </c>
      <c r="AB4874">
        <v>26</v>
      </c>
      <c r="AC4874">
        <v>0.77809999999999402</v>
      </c>
      <c r="AD4874">
        <v>-7.0830999999999797E-2</v>
      </c>
      <c r="AE4874">
        <v>-9.5830000000006493E-2</v>
      </c>
      <c r="AF4874">
        <v>8.9946723696669797E-2</v>
      </c>
      <c r="AG4874">
        <v>-7.0830999999999797E-2</v>
      </c>
      <c r="AH4874">
        <v>0.77241184593120804</v>
      </c>
      <c r="AI4874">
        <v>95.204457943369604</v>
      </c>
      <c r="AJ4874">
        <v>83.357869172738702</v>
      </c>
      <c r="AK4874">
        <v>0.78085050003161405</v>
      </c>
      <c r="AL4874">
        <v>78.912071955684695</v>
      </c>
      <c r="AM4874">
        <v>87.897462987934901</v>
      </c>
      <c r="AN4874">
        <v>0.99999995616848003</v>
      </c>
    </row>
    <row r="4875" spans="1:40" x14ac:dyDescent="0.25">
      <c r="A4875" t="str">
        <f>"20190303162658161"</f>
        <v>20190303162658161</v>
      </c>
      <c r="B4875" t="str">
        <f>"1551601618148926"</f>
        <v>1551601618148926</v>
      </c>
      <c r="C4875" t="s">
        <v>40</v>
      </c>
      <c r="D4875">
        <v>5.6691180000000001</v>
      </c>
      <c r="E4875">
        <v>0.52528640000000004</v>
      </c>
      <c r="F4875" t="s">
        <v>69</v>
      </c>
      <c r="G4875">
        <v>-242.4648</v>
      </c>
      <c r="H4875" s="1">
        <v>-1.0195559999999999E-7</v>
      </c>
      <c r="I4875">
        <v>-60.06</v>
      </c>
      <c r="J4875">
        <v>-256.4855</v>
      </c>
      <c r="K4875">
        <v>1.1173879999999901</v>
      </c>
      <c r="L4875">
        <v>-58.501339999999999</v>
      </c>
      <c r="M4875">
        <v>0.99974320000000005</v>
      </c>
      <c r="N4875">
        <v>-1.4193829999999999E-2</v>
      </c>
      <c r="O4875">
        <v>-1.7672489999999999E-2</v>
      </c>
      <c r="P4875">
        <v>0.9825969</v>
      </c>
      <c r="Q4875">
        <v>0.18075340000000001</v>
      </c>
      <c r="R4875">
        <v>-4.2796569999999999E-2</v>
      </c>
      <c r="S4875">
        <v>3.0809630000000001</v>
      </c>
      <c r="T4875">
        <v>-0.23703560000000001</v>
      </c>
      <c r="U4875">
        <v>-0.33422849999999998</v>
      </c>
      <c r="V4875">
        <v>2.731509E-2</v>
      </c>
      <c r="W4875">
        <v>0.1944341</v>
      </c>
      <c r="X4875">
        <v>0.98053520000000005</v>
      </c>
      <c r="Y4875">
        <v>8.9983560000000004E-2</v>
      </c>
      <c r="Z4875">
        <v>-2.9844899999999998E-3</v>
      </c>
      <c r="AA4875">
        <v>0.99593880000000001</v>
      </c>
      <c r="AB4875">
        <v>26</v>
      </c>
      <c r="AC4875">
        <v>14.0207</v>
      </c>
      <c r="AD4875">
        <v>-1.11738810195559</v>
      </c>
      <c r="AE4875">
        <v>-1.5586599999999999</v>
      </c>
      <c r="AF4875">
        <v>1.30243960536724</v>
      </c>
      <c r="AG4875">
        <v>-1.11738810195559</v>
      </c>
      <c r="AH4875">
        <v>13.958484622144899</v>
      </c>
      <c r="AI4875">
        <v>94.557103275504602</v>
      </c>
      <c r="AJ4875">
        <v>84.669274699263099</v>
      </c>
      <c r="AK4875">
        <v>14.063577000275499</v>
      </c>
      <c r="AL4875">
        <v>78.788332874397994</v>
      </c>
      <c r="AM4875">
        <v>88.404305400876197</v>
      </c>
      <c r="AN4875">
        <v>1.00000000591177</v>
      </c>
    </row>
    <row r="4876" spans="1:40" x14ac:dyDescent="0.25">
      <c r="A4876" t="str">
        <f>"20190303162658176"</f>
        <v>20190303162658176</v>
      </c>
      <c r="B4876" t="str">
        <f>"1551601618169532"</f>
        <v>1551601618169532</v>
      </c>
      <c r="C4876" t="s">
        <v>40</v>
      </c>
      <c r="D4876">
        <v>5.5013480000000001</v>
      </c>
      <c r="E4876">
        <v>0.52469330000000003</v>
      </c>
      <c r="F4876" t="s">
        <v>69</v>
      </c>
      <c r="G4876">
        <v>-241.53729999999999</v>
      </c>
      <c r="H4876" s="1">
        <v>3.081631E-7</v>
      </c>
      <c r="I4876">
        <v>-60.12885</v>
      </c>
      <c r="J4876">
        <v>-256.3297</v>
      </c>
      <c r="K4876">
        <v>1.1173679999999999</v>
      </c>
      <c r="L4876">
        <v>-58.507969999999901</v>
      </c>
      <c r="M4876">
        <v>0.9996756</v>
      </c>
      <c r="N4876">
        <v>-1.4194439999999999E-2</v>
      </c>
      <c r="O4876">
        <v>-2.1145600000000001E-2</v>
      </c>
      <c r="P4876">
        <v>0.98253480000000004</v>
      </c>
      <c r="Q4876">
        <v>0.18074109999999999</v>
      </c>
      <c r="R4876">
        <v>-4.424898E-2</v>
      </c>
      <c r="S4876">
        <v>3.0808870000000002</v>
      </c>
      <c r="T4876">
        <v>-0.23029839999999999</v>
      </c>
      <c r="U4876">
        <v>-0.3354492</v>
      </c>
      <c r="V4876">
        <v>2.5361000000000002E-2</v>
      </c>
      <c r="W4876">
        <v>0.19444110000000001</v>
      </c>
      <c r="X4876">
        <v>0.98058630000000002</v>
      </c>
      <c r="Y4876">
        <v>8.6945880000000003E-2</v>
      </c>
      <c r="Z4876">
        <v>-2.5812930000000001E-3</v>
      </c>
      <c r="AA4876">
        <v>0.99620969999999998</v>
      </c>
      <c r="AB4876">
        <v>26</v>
      </c>
      <c r="AC4876">
        <v>14.792400000000001</v>
      </c>
      <c r="AD4876">
        <v>-1.1173676918369</v>
      </c>
      <c r="AE4876">
        <v>-1.6208800000000001</v>
      </c>
      <c r="AF4876">
        <v>1.3003602674825201</v>
      </c>
      <c r="AG4876">
        <v>-1.1173676918369</v>
      </c>
      <c r="AH4876">
        <v>14.740262947939399</v>
      </c>
      <c r="AI4876">
        <v>94.318239444883005</v>
      </c>
      <c r="AJ4876">
        <v>84.958517690761397</v>
      </c>
      <c r="AK4876">
        <v>14.8396360857807</v>
      </c>
      <c r="AL4876">
        <v>78.787924009708405</v>
      </c>
      <c r="AM4876">
        <v>88.518483884336305</v>
      </c>
      <c r="AN4876">
        <v>1.0000000067189401</v>
      </c>
    </row>
    <row r="4877" spans="1:40" x14ac:dyDescent="0.25">
      <c r="A4877" t="str">
        <f>"20190303162658188"</f>
        <v>20190303162658188</v>
      </c>
      <c r="B4877" t="str">
        <f>"1551601618179293"</f>
        <v>1551601618179293</v>
      </c>
      <c r="C4877" t="s">
        <v>40</v>
      </c>
      <c r="D4877">
        <v>5.4932660000000002</v>
      </c>
      <c r="E4877">
        <v>0.52439650000000004</v>
      </c>
      <c r="F4877" t="s">
        <v>69</v>
      </c>
      <c r="G4877">
        <v>-241.2045</v>
      </c>
      <c r="H4877" s="1">
        <v>4.552386E-7</v>
      </c>
      <c r="I4877">
        <v>-60.1530699999999</v>
      </c>
      <c r="J4877">
        <v>-256.18889999999999</v>
      </c>
      <c r="K4877">
        <v>1.1173550000000001</v>
      </c>
      <c r="L4877">
        <v>-58.514249999999997</v>
      </c>
      <c r="M4877">
        <v>0.99960400000000005</v>
      </c>
      <c r="N4877">
        <v>-1.419487E-2</v>
      </c>
      <c r="O4877">
        <v>-2.4293169999999999E-2</v>
      </c>
      <c r="P4877">
        <v>0.98248409999999997</v>
      </c>
      <c r="Q4877">
        <v>0.18074190000000001</v>
      </c>
      <c r="R4877">
        <v>-4.5358540000000003E-2</v>
      </c>
      <c r="S4877">
        <v>3.0800930000000002</v>
      </c>
      <c r="T4877">
        <v>-0.22754060000000001</v>
      </c>
      <c r="U4877">
        <v>-0.33502199999999999</v>
      </c>
      <c r="V4877">
        <v>2.3382070000000001E-2</v>
      </c>
      <c r="W4877">
        <v>0.1944621</v>
      </c>
      <c r="X4877">
        <v>0.98063129999999998</v>
      </c>
      <c r="Y4877">
        <v>8.3720680000000006E-2</v>
      </c>
      <c r="Z4877">
        <v>-2.2334669999999998E-3</v>
      </c>
      <c r="AA4877">
        <v>0.99648680000000001</v>
      </c>
      <c r="AB4877">
        <v>26</v>
      </c>
      <c r="AC4877">
        <v>14.9843999999999</v>
      </c>
      <c r="AD4877">
        <v>-1.1173545447613999</v>
      </c>
      <c r="AE4877">
        <v>-1.63881999999999</v>
      </c>
      <c r="AF4877">
        <v>1.2673175043248099</v>
      </c>
      <c r="AG4877">
        <v>-1.1173545447613999</v>
      </c>
      <c r="AH4877">
        <v>14.937715637349701</v>
      </c>
      <c r="AI4877">
        <v>94.262552920681799</v>
      </c>
      <c r="AJ4877">
        <v>85.150632258936994</v>
      </c>
      <c r="AK4877">
        <v>15.0329612285068</v>
      </c>
      <c r="AL4877">
        <v>78.786697172462993</v>
      </c>
      <c r="AM4877">
        <v>88.634104247075598</v>
      </c>
      <c r="AN4877">
        <v>0.99999998803679202</v>
      </c>
    </row>
    <row r="4878" spans="1:40" x14ac:dyDescent="0.25">
      <c r="A4878" t="str">
        <f>"20190303162658202"</f>
        <v>20190303162658202</v>
      </c>
      <c r="B4878" t="str">
        <f>"1551601618189053"</f>
        <v>1551601618189053</v>
      </c>
      <c r="C4878" t="s">
        <v>40</v>
      </c>
      <c r="D4878">
        <v>5.5082319999999996</v>
      </c>
      <c r="E4878">
        <v>0.5241268</v>
      </c>
      <c r="F4878" t="s">
        <v>42</v>
      </c>
      <c r="G4878">
        <v>-255.28469999999999</v>
      </c>
      <c r="H4878">
        <v>1.0508109999999999</v>
      </c>
      <c r="I4878">
        <v>-58.613039999999998</v>
      </c>
      <c r="J4878">
        <v>-256.02159999999998</v>
      </c>
      <c r="K4878">
        <v>1.11734</v>
      </c>
      <c r="L4878">
        <v>-58.52225</v>
      </c>
      <c r="M4878">
        <v>0.99950589999999995</v>
      </c>
      <c r="N4878">
        <v>-1.4195259999999999E-2</v>
      </c>
      <c r="O4878">
        <v>-2.8048429999999999E-2</v>
      </c>
      <c r="P4878">
        <v>0.98233979999999999</v>
      </c>
      <c r="Q4878">
        <v>0.18101390000000001</v>
      </c>
      <c r="R4878">
        <v>-4.7358280000000003E-2</v>
      </c>
      <c r="S4878">
        <v>3.0796049999999999</v>
      </c>
      <c r="T4878">
        <v>-0.2263047</v>
      </c>
      <c r="U4878">
        <v>-0.3359375</v>
      </c>
      <c r="V4878">
        <v>2.1699510000000002E-2</v>
      </c>
      <c r="W4878">
        <v>0.1947498</v>
      </c>
      <c r="X4878">
        <v>0.98061290000000001</v>
      </c>
      <c r="Y4878">
        <v>8.0305730000000006E-2</v>
      </c>
      <c r="Z4878">
        <v>-1.856026E-3</v>
      </c>
      <c r="AA4878">
        <v>0.99676849999999995</v>
      </c>
      <c r="AB4878">
        <v>26</v>
      </c>
      <c r="AC4878">
        <v>0.73689999999999101</v>
      </c>
      <c r="AD4878">
        <v>-6.6528999999999797E-2</v>
      </c>
      <c r="AE4878">
        <v>-9.0790000000005394E-2</v>
      </c>
      <c r="AF4878">
        <v>6.9525087137937605E-2</v>
      </c>
      <c r="AG4878">
        <v>-6.6528999999999797E-2</v>
      </c>
      <c r="AH4878">
        <v>0.73326936558281397</v>
      </c>
      <c r="AI4878">
        <v>95.161189069900402</v>
      </c>
      <c r="AJ4878">
        <v>84.583680806991495</v>
      </c>
      <c r="AK4878">
        <v>0.73955649418064096</v>
      </c>
      <c r="AL4878">
        <v>78.769892094522007</v>
      </c>
      <c r="AM4878">
        <v>88.732336209760604</v>
      </c>
      <c r="AN4878">
        <v>1.00000000649034</v>
      </c>
    </row>
    <row r="4879" spans="1:40" x14ac:dyDescent="0.25">
      <c r="A4879" t="str">
        <f>"20190303162658218"</f>
        <v>20190303162658218</v>
      </c>
      <c r="B4879" t="str">
        <f>"1551601618209549"</f>
        <v>1551601618209549</v>
      </c>
      <c r="C4879" t="s">
        <v>40</v>
      </c>
      <c r="D4879">
        <v>5.4646460000000001</v>
      </c>
      <c r="E4879">
        <v>0.52358309999999997</v>
      </c>
      <c r="F4879" t="s">
        <v>69</v>
      </c>
      <c r="G4879">
        <v>-240.6815</v>
      </c>
      <c r="H4879" s="1">
        <v>6.9057759999999996E-7</v>
      </c>
      <c r="I4879">
        <v>-60.215110000000003</v>
      </c>
      <c r="J4879">
        <v>-255.83580000000001</v>
      </c>
      <c r="K4879">
        <v>1.1173420000000001</v>
      </c>
      <c r="L4879">
        <v>-58.532139999999998</v>
      </c>
      <c r="M4879">
        <v>0.99937929999999997</v>
      </c>
      <c r="N4879">
        <v>-1.4195289999999999E-2</v>
      </c>
      <c r="O4879">
        <v>-3.2240770000000002E-2</v>
      </c>
      <c r="P4879">
        <v>0.98211380000000004</v>
      </c>
      <c r="Q4879">
        <v>0.18199100000000001</v>
      </c>
      <c r="R4879">
        <v>-4.8290340000000001E-2</v>
      </c>
      <c r="S4879">
        <v>3.0788730000000002</v>
      </c>
      <c r="T4879">
        <v>-0.22425819999999999</v>
      </c>
      <c r="U4879">
        <v>-0.33978269999999999</v>
      </c>
      <c r="V4879">
        <v>1.8527040000000002E-2</v>
      </c>
      <c r="W4879">
        <v>0.1957557</v>
      </c>
      <c r="X4879">
        <v>0.98047770000000001</v>
      </c>
      <c r="Y4879">
        <v>7.7399239999999994E-2</v>
      </c>
      <c r="Z4879">
        <v>-1.477739E-3</v>
      </c>
      <c r="AA4879">
        <v>0.99699910000000003</v>
      </c>
      <c r="AB4879">
        <v>26</v>
      </c>
      <c r="AC4879">
        <v>15.154299999999999</v>
      </c>
      <c r="AD4879">
        <v>-1.1173413094223901</v>
      </c>
      <c r="AE4879">
        <v>-1.6829699999999901</v>
      </c>
      <c r="AF4879">
        <v>1.1870846792773999</v>
      </c>
      <c r="AG4879">
        <v>-1.1173413094223901</v>
      </c>
      <c r="AH4879">
        <v>15.119493803640401</v>
      </c>
      <c r="AI4879">
        <v>94.213595565625994</v>
      </c>
      <c r="AJ4879">
        <v>85.510716093841594</v>
      </c>
      <c r="AK4879">
        <v>15.2071270960638</v>
      </c>
      <c r="AL4879">
        <v>78.711127517670207</v>
      </c>
      <c r="AM4879">
        <v>88.917471672222504</v>
      </c>
      <c r="AN4879">
        <v>1.0000000327454699</v>
      </c>
    </row>
    <row r="4880" spans="1:40" x14ac:dyDescent="0.25">
      <c r="A4880" t="str">
        <f>"20190303162658243"</f>
        <v>20190303162658243</v>
      </c>
      <c r="B4880" t="str">
        <f>"1551601618229069"</f>
        <v>1551601618229069</v>
      </c>
      <c r="C4880" t="s">
        <v>40</v>
      </c>
      <c r="D4880">
        <v>5.5115299999999996</v>
      </c>
      <c r="E4880">
        <v>0.5233177</v>
      </c>
      <c r="F4880" t="s">
        <v>69</v>
      </c>
      <c r="G4880">
        <v>-240.17760000000001</v>
      </c>
      <c r="H4880" s="1">
        <v>9.1263479999999998E-7</v>
      </c>
      <c r="I4880">
        <v>-60.24821</v>
      </c>
      <c r="J4880">
        <v>-255.553</v>
      </c>
      <c r="K4880">
        <v>1.1173390000000001</v>
      </c>
      <c r="L4880">
        <v>-58.548430000000003</v>
      </c>
      <c r="M4880">
        <v>0.99915259999999995</v>
      </c>
      <c r="N4880">
        <v>-1.4194699999999999E-2</v>
      </c>
      <c r="O4880">
        <v>-3.8636009999999998E-2</v>
      </c>
      <c r="P4880">
        <v>0.98189190000000004</v>
      </c>
      <c r="Q4880">
        <v>0.18223719999999999</v>
      </c>
      <c r="R4880">
        <v>-5.1752569999999998E-2</v>
      </c>
      <c r="S4880">
        <v>3.0787810000000002</v>
      </c>
      <c r="T4880">
        <v>-0.21969639999999999</v>
      </c>
      <c r="U4880">
        <v>-0.33743289999999998</v>
      </c>
      <c r="V4880">
        <v>1.5706790000000002E-2</v>
      </c>
      <c r="W4880">
        <v>0.19602919999999999</v>
      </c>
      <c r="X4880">
        <v>0.98047229999999996</v>
      </c>
      <c r="Y4880">
        <v>7.0305980000000004E-2</v>
      </c>
      <c r="Z4880">
        <v>-8.0238279999999998E-4</v>
      </c>
      <c r="AA4880">
        <v>0.9975252</v>
      </c>
      <c r="AB4880">
        <v>26</v>
      </c>
      <c r="AC4880">
        <v>15.3753999999999</v>
      </c>
      <c r="AD4880">
        <v>-1.1173380873651999</v>
      </c>
      <c r="AE4880">
        <v>-1.6997799999999901</v>
      </c>
      <c r="AF4880">
        <v>1.0986746370404901</v>
      </c>
      <c r="AG4880">
        <v>-1.1173380873651999</v>
      </c>
      <c r="AH4880">
        <v>15.349514901033</v>
      </c>
      <c r="AI4880">
        <v>94.152804403900603</v>
      </c>
      <c r="AJ4880">
        <v>85.905913201598395</v>
      </c>
      <c r="AK4880">
        <v>15.429294801013601</v>
      </c>
      <c r="AL4880">
        <v>78.695147608186105</v>
      </c>
      <c r="AM4880">
        <v>89.082222102686003</v>
      </c>
      <c r="AN4880">
        <v>1.0000000407860099</v>
      </c>
    </row>
    <row r="4881" spans="1:40" x14ac:dyDescent="0.25">
      <c r="A4881" t="str">
        <f>"20190303162658253"</f>
        <v>20190303162658253</v>
      </c>
      <c r="B4881" t="str">
        <f>"1551601618238828"</f>
        <v>1551601618238828</v>
      </c>
      <c r="C4881" t="s">
        <v>40</v>
      </c>
      <c r="D4881">
        <v>5.5215350000000001</v>
      </c>
      <c r="E4881">
        <v>0.52306439999999998</v>
      </c>
      <c r="F4881" t="s">
        <v>42</v>
      </c>
      <c r="G4881">
        <v>-254.59690000000001</v>
      </c>
      <c r="H4881">
        <v>1.0495219999999901</v>
      </c>
      <c r="I4881">
        <v>-58.656100000000002</v>
      </c>
      <c r="J4881">
        <v>-255.4213</v>
      </c>
      <c r="K4881">
        <v>1.1173420000000001</v>
      </c>
      <c r="L4881">
        <v>-58.556820000000002</v>
      </c>
      <c r="M4881">
        <v>0.99903280000000005</v>
      </c>
      <c r="N4881">
        <v>-1.419403E-2</v>
      </c>
      <c r="O4881">
        <v>-4.1620480000000001E-2</v>
      </c>
      <c r="P4881">
        <v>0.98188249999999999</v>
      </c>
      <c r="Q4881">
        <v>0.1818488</v>
      </c>
      <c r="R4881">
        <v>-5.3271569999999997E-2</v>
      </c>
      <c r="S4881">
        <v>3.0775760000000001</v>
      </c>
      <c r="T4881">
        <v>-0.2181419</v>
      </c>
      <c r="U4881">
        <v>-0.3463135</v>
      </c>
      <c r="V4881">
        <v>1.428303E-2</v>
      </c>
      <c r="W4881">
        <v>0.19565560000000001</v>
      </c>
      <c r="X4881">
        <v>0.98056860000000001</v>
      </c>
      <c r="Y4881">
        <v>7.0218499999999906E-2</v>
      </c>
      <c r="Z4881">
        <v>-6.3234670000000002E-4</v>
      </c>
      <c r="AA4881">
        <v>0.99753139999999996</v>
      </c>
      <c r="AB4881">
        <v>26</v>
      </c>
      <c r="AC4881">
        <v>0.82439999999999702</v>
      </c>
      <c r="AD4881">
        <v>-6.78200000000002E-2</v>
      </c>
      <c r="AE4881">
        <v>-9.9280000000007307E-2</v>
      </c>
      <c r="AF4881">
        <v>6.4448647343794102E-2</v>
      </c>
      <c r="AG4881">
        <v>-6.78200000000002E-2</v>
      </c>
      <c r="AH4881">
        <v>0.82233228281954895</v>
      </c>
      <c r="AI4881">
        <v>94.700321663647998</v>
      </c>
      <c r="AJ4881">
        <v>85.518718103969803</v>
      </c>
      <c r="AK4881">
        <v>0.82763733839868203</v>
      </c>
      <c r="AL4881">
        <v>78.716974960416294</v>
      </c>
      <c r="AM4881">
        <v>89.165484732056498</v>
      </c>
      <c r="AN4881">
        <v>0.99999994903164902</v>
      </c>
    </row>
    <row r="4882" spans="1:40" x14ac:dyDescent="0.25">
      <c r="A4882" t="str">
        <f>"20190303162658266"</f>
        <v>20190303162658266</v>
      </c>
      <c r="B4882" t="str">
        <f>"1551601618258856"</f>
        <v>1551601618258856</v>
      </c>
      <c r="C4882" t="s">
        <v>40</v>
      </c>
      <c r="D4882">
        <v>5.5167190000000002</v>
      </c>
      <c r="E4882">
        <v>0.522621</v>
      </c>
      <c r="F4882" t="s">
        <v>68</v>
      </c>
      <c r="G4882">
        <v>-239.67160000000001</v>
      </c>
      <c r="H4882" s="1">
        <v>-3.1430440000000002E-6</v>
      </c>
      <c r="I4882">
        <v>-60.34525</v>
      </c>
      <c r="J4882">
        <v>-255.28219999999999</v>
      </c>
      <c r="K4882">
        <v>1.117345</v>
      </c>
      <c r="L4882">
        <v>-58.565919999999998</v>
      </c>
      <c r="M4882">
        <v>0.99889629999999996</v>
      </c>
      <c r="N4882">
        <v>-1.4193280000000001E-2</v>
      </c>
      <c r="O4882">
        <v>-4.4774439999999999E-2</v>
      </c>
      <c r="P4882">
        <v>0.98181490000000005</v>
      </c>
      <c r="Q4882">
        <v>0.18172969999999999</v>
      </c>
      <c r="R4882">
        <v>-5.4899770000000001E-2</v>
      </c>
      <c r="S4882">
        <v>3.0768279999999999</v>
      </c>
      <c r="T4882">
        <v>-0.2182819</v>
      </c>
      <c r="U4882">
        <v>-0.34939579999999998</v>
      </c>
      <c r="V4882">
        <v>1.280536E-2</v>
      </c>
      <c r="W4882">
        <v>0.19555139999999999</v>
      </c>
      <c r="X4882">
        <v>0.98060979999999998</v>
      </c>
      <c r="Y4882">
        <v>6.8093710000000002E-2</v>
      </c>
      <c r="Z4882">
        <v>-3.6407330000000002E-4</v>
      </c>
      <c r="AA4882">
        <v>0.99767890000000004</v>
      </c>
      <c r="AB4882">
        <v>26</v>
      </c>
      <c r="AC4882">
        <v>15.6105999999999</v>
      </c>
      <c r="AD4882">
        <v>-1.117348143044</v>
      </c>
      <c r="AE4882">
        <v>-1.7793300000000001</v>
      </c>
      <c r="AF4882">
        <v>1.07309179845845</v>
      </c>
      <c r="AG4882">
        <v>-1.117348143044</v>
      </c>
      <c r="AH4882">
        <v>15.595743108710799</v>
      </c>
      <c r="AI4882">
        <v>94.088288258247701</v>
      </c>
      <c r="AJ4882">
        <v>86.063869690236302</v>
      </c>
      <c r="AK4882">
        <v>15.672498077638499</v>
      </c>
      <c r="AL4882">
        <v>78.723062830831694</v>
      </c>
      <c r="AM4882">
        <v>89.251841677719398</v>
      </c>
      <c r="AN4882">
        <v>0.99999995357136295</v>
      </c>
    </row>
    <row r="4883" spans="1:40" x14ac:dyDescent="0.25">
      <c r="A4883" t="str">
        <f>"20190303162658277"</f>
        <v>20190303162658277</v>
      </c>
      <c r="B4883" t="str">
        <f>"1551601618269592"</f>
        <v>1551601618269592</v>
      </c>
      <c r="C4883" t="s">
        <v>40</v>
      </c>
      <c r="D4883">
        <v>5.5081619999999996</v>
      </c>
      <c r="E4883">
        <v>0.52240909999999996</v>
      </c>
      <c r="F4883" t="s">
        <v>68</v>
      </c>
      <c r="G4883">
        <v>-239.49709999999999</v>
      </c>
      <c r="H4883" s="1">
        <v>-3.063831E-6</v>
      </c>
      <c r="I4883">
        <v>-60.369680000000002</v>
      </c>
      <c r="J4883">
        <v>-255.1514</v>
      </c>
      <c r="K4883">
        <v>1.1173470000000001</v>
      </c>
      <c r="L4883">
        <v>-58.574950000000001</v>
      </c>
      <c r="M4883">
        <v>0.99875919999999896</v>
      </c>
      <c r="N4883">
        <v>-1.419248E-2</v>
      </c>
      <c r="O4883">
        <v>-4.7737259999999997E-2</v>
      </c>
      <c r="P4883">
        <v>0.98179229999999995</v>
      </c>
      <c r="Q4883">
        <v>0.18135509999999999</v>
      </c>
      <c r="R4883">
        <v>-5.651817E-2</v>
      </c>
      <c r="S4883">
        <v>3.0762330000000002</v>
      </c>
      <c r="T4883">
        <v>-0.2177509</v>
      </c>
      <c r="U4883">
        <v>-0.35153200000000001</v>
      </c>
      <c r="V4883">
        <v>1.1500410000000001E-2</v>
      </c>
      <c r="W4883">
        <v>0.1951898</v>
      </c>
      <c r="X4883">
        <v>0.98069799999999996</v>
      </c>
      <c r="Y4883">
        <v>6.5851480000000004E-2</v>
      </c>
      <c r="Z4883">
        <v>-1.043678E-4</v>
      </c>
      <c r="AA4883">
        <v>0.99782939999999998</v>
      </c>
      <c r="AB4883">
        <v>25</v>
      </c>
      <c r="AC4883">
        <v>15.654299999999999</v>
      </c>
      <c r="AD4883">
        <v>-1.1173500638310001</v>
      </c>
      <c r="AE4883">
        <v>-1.7947299999999999</v>
      </c>
      <c r="AF4883">
        <v>1.0400847964053299</v>
      </c>
      <c r="AG4883">
        <v>-1.1173500638310001</v>
      </c>
      <c r="AH4883">
        <v>15.643470009589199</v>
      </c>
      <c r="AI4883">
        <v>94.076498944580194</v>
      </c>
      <c r="AJ4883">
        <v>86.1961833396511</v>
      </c>
      <c r="AK4883">
        <v>15.717773426595</v>
      </c>
      <c r="AL4883">
        <v>78.744187952012197</v>
      </c>
      <c r="AM4883">
        <v>89.328136945600605</v>
      </c>
      <c r="AN4883">
        <v>0.99999994232910205</v>
      </c>
    </row>
    <row r="4884" spans="1:40" x14ac:dyDescent="0.25">
      <c r="A4884" t="str">
        <f>"20190303162658288"</f>
        <v>20190303162658288</v>
      </c>
      <c r="B4884" t="str">
        <f>"1551601618279352"</f>
        <v>1551601618279352</v>
      </c>
      <c r="C4884" t="s">
        <v>40</v>
      </c>
      <c r="D4884">
        <v>5.5180309999999997</v>
      </c>
      <c r="E4884">
        <v>0.52222619999999997</v>
      </c>
      <c r="F4884" t="s">
        <v>68</v>
      </c>
      <c r="G4884">
        <v>-239.4151</v>
      </c>
      <c r="H4884" s="1">
        <v>-3.028587E-6</v>
      </c>
      <c r="I4884">
        <v>-60.392609999999998</v>
      </c>
      <c r="J4884">
        <v>-255.0316</v>
      </c>
      <c r="K4884">
        <v>1.117351</v>
      </c>
      <c r="L4884">
        <v>-58.583590000000001</v>
      </c>
      <c r="M4884">
        <v>0.99862550000000005</v>
      </c>
      <c r="N4884">
        <v>-1.419163E-2</v>
      </c>
      <c r="O4884">
        <v>-5.0454270000000002E-2</v>
      </c>
      <c r="P4884">
        <v>0.98163560000000005</v>
      </c>
      <c r="Q4884">
        <v>0.18181929999999999</v>
      </c>
      <c r="R4884">
        <v>-5.773433E-2</v>
      </c>
      <c r="S4884">
        <v>3.0754999999999999</v>
      </c>
      <c r="T4884">
        <v>-0.21837480000000001</v>
      </c>
      <c r="U4884">
        <v>-0.35525509999999999</v>
      </c>
      <c r="V4884">
        <v>1.0049809999999999E-2</v>
      </c>
      <c r="W4884">
        <v>0.19566639999999999</v>
      </c>
      <c r="X4884">
        <v>0.98061900000000002</v>
      </c>
      <c r="Y4884">
        <v>6.4364030000000003E-2</v>
      </c>
      <c r="Z4884">
        <v>1.151218E-4</v>
      </c>
      <c r="AA4884">
        <v>0.99792650000000005</v>
      </c>
      <c r="AB4884">
        <v>25</v>
      </c>
      <c r="AC4884">
        <v>15.6165</v>
      </c>
      <c r="AD4884">
        <v>-1.1173540285870001</v>
      </c>
      <c r="AE4884">
        <v>-1.8090199999999901</v>
      </c>
      <c r="AF4884">
        <v>1.0135967832235599</v>
      </c>
      <c r="AG4884">
        <v>-1.1173540285870001</v>
      </c>
      <c r="AH4884">
        <v>15.6090384324126</v>
      </c>
      <c r="AI4884">
        <v>94.085888248889404</v>
      </c>
      <c r="AJ4884">
        <v>86.284627338681801</v>
      </c>
      <c r="AK4884">
        <v>15.6817709219557</v>
      </c>
      <c r="AL4884">
        <v>78.716344334986005</v>
      </c>
      <c r="AM4884">
        <v>89.4128284890147</v>
      </c>
      <c r="AN4884">
        <v>0.99999998096549703</v>
      </c>
    </row>
    <row r="4885" spans="1:40" x14ac:dyDescent="0.25">
      <c r="A4885" t="str">
        <f>"20190303162658299"</f>
        <v>20190303162658299</v>
      </c>
      <c r="B4885" t="str">
        <f>"1551601618289112"</f>
        <v>1551601618289112</v>
      </c>
      <c r="C4885" t="s">
        <v>40</v>
      </c>
      <c r="D4885">
        <v>5.4580669999999998</v>
      </c>
      <c r="E4885">
        <v>0.52203859999999902</v>
      </c>
      <c r="F4885" t="s">
        <v>68</v>
      </c>
      <c r="G4885">
        <v>-239.14169999999999</v>
      </c>
      <c r="H4885" s="1">
        <v>-2.9221360000000001E-6</v>
      </c>
      <c r="I4885">
        <v>-60.433410000000002</v>
      </c>
      <c r="J4885">
        <v>-254.89570000000001</v>
      </c>
      <c r="K4885">
        <v>1.117359</v>
      </c>
      <c r="L4885">
        <v>-58.59366</v>
      </c>
      <c r="M4885">
        <v>0.9984653</v>
      </c>
      <c r="N4885">
        <v>-1.4190589999999999E-2</v>
      </c>
      <c r="O4885">
        <v>-5.353161E-2</v>
      </c>
      <c r="P4885">
        <v>0.98145190000000004</v>
      </c>
      <c r="Q4885">
        <v>0.18228330000000001</v>
      </c>
      <c r="R4885">
        <v>-5.9372840000000003E-2</v>
      </c>
      <c r="S4885">
        <v>3.0751189999999999</v>
      </c>
      <c r="T4885">
        <v>-0.21623809999999999</v>
      </c>
      <c r="U4885">
        <v>-0.35800169999999998</v>
      </c>
      <c r="V4885">
        <v>8.6668400000000003E-3</v>
      </c>
      <c r="W4885">
        <v>0.19614190000000001</v>
      </c>
      <c r="X4885">
        <v>0.9805372</v>
      </c>
      <c r="Y4885">
        <v>6.2194659999999999E-2</v>
      </c>
      <c r="Z4885">
        <v>3.6537499999999998E-4</v>
      </c>
      <c r="AA4885">
        <v>0.99806399999999995</v>
      </c>
      <c r="AB4885">
        <v>25</v>
      </c>
      <c r="AC4885">
        <v>15.754</v>
      </c>
      <c r="AD4885">
        <v>-1.1173619221360001</v>
      </c>
      <c r="AE4885">
        <v>-1.83974999999999</v>
      </c>
      <c r="AF4885">
        <v>0.98878253551773898</v>
      </c>
      <c r="AG4885">
        <v>-1.1173619221360001</v>
      </c>
      <c r="AH4885">
        <v>15.7517292885011</v>
      </c>
      <c r="AI4885">
        <v>94.049582719778499</v>
      </c>
      <c r="AJ4885">
        <v>86.408087784574505</v>
      </c>
      <c r="AK4885">
        <v>15.8222363825664</v>
      </c>
      <c r="AL4885">
        <v>78.688561838001803</v>
      </c>
      <c r="AM4885">
        <v>89.493583290238206</v>
      </c>
      <c r="AN4885">
        <v>0.99999997981751698</v>
      </c>
    </row>
    <row r="4886" spans="1:40" x14ac:dyDescent="0.25">
      <c r="A4886" t="str">
        <f>"20190303162658314"</f>
        <v>20190303162658314</v>
      </c>
      <c r="B4886" t="str">
        <f>"1551601618308632"</f>
        <v>1551601618308632</v>
      </c>
      <c r="C4886" t="s">
        <v>40</v>
      </c>
      <c r="D4886">
        <v>5.4795249999999998</v>
      </c>
      <c r="E4886">
        <v>0.52172540000000001</v>
      </c>
      <c r="F4886" t="s">
        <v>68</v>
      </c>
      <c r="G4886">
        <v>-238.8853</v>
      </c>
      <c r="H4886" s="1">
        <v>-2.8239729999999999E-6</v>
      </c>
      <c r="I4886">
        <v>-60.477809999999998</v>
      </c>
      <c r="J4886">
        <v>-254.7432</v>
      </c>
      <c r="K4886">
        <v>1.1173729999999999</v>
      </c>
      <c r="L4886">
        <v>-58.605649999999997</v>
      </c>
      <c r="M4886">
        <v>0.99827429999999995</v>
      </c>
      <c r="N4886">
        <v>-1.418932E-2</v>
      </c>
      <c r="O4886">
        <v>-5.6985000000000001E-2</v>
      </c>
      <c r="P4886">
        <v>0.98126720000000001</v>
      </c>
      <c r="Q4886">
        <v>0.18254039999999999</v>
      </c>
      <c r="R4886">
        <v>-6.159456E-2</v>
      </c>
      <c r="S4886">
        <v>3.0746609999999999</v>
      </c>
      <c r="T4886">
        <v>-0.21457979999999999</v>
      </c>
      <c r="U4886">
        <v>-0.36184690000000003</v>
      </c>
      <c r="V4886">
        <v>7.493675E-3</v>
      </c>
      <c r="W4886">
        <v>0.1964089</v>
      </c>
      <c r="X4886">
        <v>0.98049339999999996</v>
      </c>
      <c r="Y4886">
        <v>6.0003140000000003E-2</v>
      </c>
      <c r="Z4886">
        <v>6.3564899999999996E-4</v>
      </c>
      <c r="AA4886">
        <v>0.99819800000000003</v>
      </c>
      <c r="AB4886">
        <v>25</v>
      </c>
      <c r="AC4886">
        <v>15.857900000000001</v>
      </c>
      <c r="AD4886">
        <v>-1.1173758239730001</v>
      </c>
      <c r="AE4886">
        <v>-1.87216</v>
      </c>
      <c r="AF4886">
        <v>0.96065988883532705</v>
      </c>
      <c r="AG4886">
        <v>-1.1173758239730001</v>
      </c>
      <c r="AH4886">
        <v>15.8611560822374</v>
      </c>
      <c r="AI4886">
        <v>94.022329686364202</v>
      </c>
      <c r="AJ4886">
        <v>86.534010467240805</v>
      </c>
      <c r="AK4886">
        <v>15.929459137683001</v>
      </c>
      <c r="AL4886">
        <v>78.672960162476997</v>
      </c>
      <c r="AM4886">
        <v>89.562110677112003</v>
      </c>
      <c r="AN4886">
        <v>0.99999995930388696</v>
      </c>
    </row>
    <row r="4887" spans="1:40" x14ac:dyDescent="0.25">
      <c r="A4887" t="str">
        <f>"20190303162658330"</f>
        <v>20190303162658330</v>
      </c>
      <c r="B4887" t="str">
        <f>"1551601618319367"</f>
        <v>1551601618319367</v>
      </c>
      <c r="C4887" t="s">
        <v>40</v>
      </c>
      <c r="D4887">
        <v>5.5094629999999896</v>
      </c>
      <c r="E4887">
        <v>0.52156229999999904</v>
      </c>
      <c r="F4887" t="s">
        <v>68</v>
      </c>
      <c r="G4887">
        <v>-238.64410000000001</v>
      </c>
      <c r="H4887" s="1">
        <v>-2.732919E-6</v>
      </c>
      <c r="I4887">
        <v>-60.52449</v>
      </c>
      <c r="J4887">
        <v>-254.56120000000001</v>
      </c>
      <c r="K4887">
        <v>1.1173869999999999</v>
      </c>
      <c r="L4887">
        <v>-58.620539999999998</v>
      </c>
      <c r="M4887">
        <v>0.99803059999999999</v>
      </c>
      <c r="N4887">
        <v>-1.4187730000000001E-2</v>
      </c>
      <c r="O4887">
        <v>-6.1104220000000001E-2</v>
      </c>
      <c r="P4887">
        <v>0.98097060000000003</v>
      </c>
      <c r="Q4887">
        <v>0.1833349</v>
      </c>
      <c r="R4887">
        <v>-6.3913410000000004E-2</v>
      </c>
      <c r="S4887">
        <v>3.0739589999999999</v>
      </c>
      <c r="T4887">
        <v>-0.21335200000000001</v>
      </c>
      <c r="U4887">
        <v>-0.366394</v>
      </c>
      <c r="V4887">
        <v>5.7723139999999997E-3</v>
      </c>
      <c r="W4887">
        <v>0.1972168</v>
      </c>
      <c r="X4887">
        <v>0.98034290000000002</v>
      </c>
      <c r="Y4887">
        <v>5.7380349999999997E-2</v>
      </c>
      <c r="Z4887">
        <v>9.5996259999999996E-4</v>
      </c>
      <c r="AA4887">
        <v>0.99835189999999996</v>
      </c>
      <c r="AB4887">
        <v>25</v>
      </c>
      <c r="AC4887">
        <v>15.9171</v>
      </c>
      <c r="AD4887">
        <v>-1.1173897329189999</v>
      </c>
      <c r="AE4887">
        <v>-1.90394999999999</v>
      </c>
      <c r="AF4887">
        <v>0.92320621530304203</v>
      </c>
      <c r="AG4887">
        <v>-1.1173897329189999</v>
      </c>
      <c r="AH4887">
        <v>15.9263225591757</v>
      </c>
      <c r="AI4887">
        <v>94.0065877924674</v>
      </c>
      <c r="AJ4887">
        <v>86.682429876524395</v>
      </c>
      <c r="AK4887">
        <v>15.992142439026599</v>
      </c>
      <c r="AL4887">
        <v>78.625747865671102</v>
      </c>
      <c r="AM4887">
        <v>89.662643134087006</v>
      </c>
      <c r="AN4887">
        <v>0.99999999369578196</v>
      </c>
    </row>
    <row r="4888" spans="1:40" x14ac:dyDescent="0.25">
      <c r="A4888" t="str">
        <f>"20190303162658352"</f>
        <v>20190303162658352</v>
      </c>
      <c r="B4888" t="str">
        <f>"1551601618338888"</f>
        <v>1551601618338888</v>
      </c>
      <c r="C4888" t="s">
        <v>40</v>
      </c>
      <c r="D4888">
        <v>5.5077059999999998</v>
      </c>
      <c r="E4888">
        <v>0.52131499999999997</v>
      </c>
      <c r="F4888" t="s">
        <v>68</v>
      </c>
      <c r="G4888">
        <v>-238.27430000000001</v>
      </c>
      <c r="H4888" s="1">
        <v>-2.5925850000000002E-6</v>
      </c>
      <c r="I4888">
        <v>-60.593359999999997</v>
      </c>
      <c r="J4888">
        <v>-254.30670000000001</v>
      </c>
      <c r="K4888">
        <v>1.1173959999999901</v>
      </c>
      <c r="L4888">
        <v>-58.64264</v>
      </c>
      <c r="M4888">
        <v>0.99766180000000004</v>
      </c>
      <c r="N4888">
        <v>-1.418525E-2</v>
      </c>
      <c r="O4888">
        <v>-6.6857029999999998E-2</v>
      </c>
      <c r="P4888">
        <v>0.9808344</v>
      </c>
      <c r="Q4888">
        <v>0.18258779999999999</v>
      </c>
      <c r="R4888">
        <v>-6.8015469999999995E-2</v>
      </c>
      <c r="S4888">
        <v>3.0733489999999999</v>
      </c>
      <c r="T4888">
        <v>-0.2108526</v>
      </c>
      <c r="U4888">
        <v>-0.3722839</v>
      </c>
      <c r="V4888">
        <v>4.1933250000000004E-3</v>
      </c>
      <c r="W4888">
        <v>0.19648470000000001</v>
      </c>
      <c r="X4888">
        <v>0.98049799999999998</v>
      </c>
      <c r="Y4888">
        <v>5.3553469999999999E-2</v>
      </c>
      <c r="Z4888">
        <v>1.4020689999999999E-3</v>
      </c>
      <c r="AA4888">
        <v>0.99856400000000001</v>
      </c>
      <c r="AB4888">
        <v>25</v>
      </c>
      <c r="AC4888">
        <v>16.0323999999999</v>
      </c>
      <c r="AD4888">
        <v>-1.1173985925850001</v>
      </c>
      <c r="AE4888">
        <v>-1.95071999999999</v>
      </c>
      <c r="AF4888">
        <v>0.87020268314513305</v>
      </c>
      <c r="AG4888">
        <v>-1.1173985925850001</v>
      </c>
      <c r="AH4888">
        <v>16.050126552133001</v>
      </c>
      <c r="AI4888">
        <v>93.976644538272495</v>
      </c>
      <c r="AJ4888">
        <v>86.896586935811598</v>
      </c>
      <c r="AK4888">
        <v>16.11249188251</v>
      </c>
      <c r="AL4888">
        <v>78.668532158891495</v>
      </c>
      <c r="AM4888">
        <v>89.7549629271806</v>
      </c>
      <c r="AN4888">
        <v>1.00000007465632</v>
      </c>
    </row>
    <row r="4889" spans="1:40" x14ac:dyDescent="0.25">
      <c r="A4889" t="str">
        <f>"20190303162658364"</f>
        <v>20190303162658364</v>
      </c>
      <c r="B4889" t="str">
        <f>"1551601618348648"</f>
        <v>1551601618348648</v>
      </c>
      <c r="C4889" t="s">
        <v>40</v>
      </c>
      <c r="D4889">
        <v>5.4746169999999896</v>
      </c>
      <c r="E4889">
        <v>0.52112230000000004</v>
      </c>
      <c r="F4889" t="s">
        <v>68</v>
      </c>
      <c r="G4889">
        <v>-238.17320000000001</v>
      </c>
      <c r="H4889" s="1">
        <v>-2.5662309999999999E-6</v>
      </c>
      <c r="I4889">
        <v>-60.657299999999999</v>
      </c>
      <c r="J4889">
        <v>-254.17760000000001</v>
      </c>
      <c r="K4889">
        <v>1.1173979999999999</v>
      </c>
      <c r="L4889">
        <v>-58.654330000000002</v>
      </c>
      <c r="M4889">
        <v>0.99746199999999996</v>
      </c>
      <c r="N4889">
        <v>-1.4183930000000001E-2</v>
      </c>
      <c r="O4889">
        <v>-6.9775210000000004E-2</v>
      </c>
      <c r="P4889">
        <v>0.98083670000000001</v>
      </c>
      <c r="Q4889">
        <v>0.18177879999999999</v>
      </c>
      <c r="R4889">
        <v>-7.0112830000000001E-2</v>
      </c>
      <c r="S4889">
        <v>3.071609</v>
      </c>
      <c r="T4889">
        <v>-0.2127376</v>
      </c>
      <c r="U4889">
        <v>-0.38357540000000001</v>
      </c>
      <c r="V4889">
        <v>3.3984969999999999E-3</v>
      </c>
      <c r="W4889">
        <v>0.1956841</v>
      </c>
      <c r="X4889">
        <v>0.98066109999999895</v>
      </c>
      <c r="Y4889">
        <v>5.4317820000000003E-2</v>
      </c>
      <c r="Z4889">
        <v>1.554604E-3</v>
      </c>
      <c r="AA4889">
        <v>0.99852249999999998</v>
      </c>
      <c r="AB4889">
        <v>25</v>
      </c>
      <c r="AC4889">
        <v>16.0044</v>
      </c>
      <c r="AD4889">
        <v>-1.11740056623099</v>
      </c>
      <c r="AE4889">
        <v>-2.0029699999999901</v>
      </c>
      <c r="AF4889">
        <v>0.87705529018939998</v>
      </c>
      <c r="AG4889">
        <v>-1.11740056623099</v>
      </c>
      <c r="AH4889">
        <v>16.028230634015401</v>
      </c>
      <c r="AI4889">
        <v>93.981958393602696</v>
      </c>
      <c r="AJ4889">
        <v>86.8679324034959</v>
      </c>
      <c r="AK4889">
        <v>16.091053019136201</v>
      </c>
      <c r="AL4889">
        <v>78.715310482514894</v>
      </c>
      <c r="AM4889">
        <v>89.8014413386244</v>
      </c>
      <c r="AN4889">
        <v>1.0000000049139299</v>
      </c>
    </row>
    <row r="4890" spans="1:40" x14ac:dyDescent="0.25">
      <c r="A4890" t="str">
        <f>"20190303162658375"</f>
        <v>20190303162658375</v>
      </c>
      <c r="B4890" t="str">
        <f>"1551601618369145"</f>
        <v>1551601618369145</v>
      </c>
      <c r="C4890" t="s">
        <v>40</v>
      </c>
      <c r="D4890">
        <v>5.5206869999999997</v>
      </c>
      <c r="E4890">
        <v>0.52087839999999996</v>
      </c>
      <c r="F4890" t="s">
        <v>42</v>
      </c>
      <c r="G4890">
        <v>-253.22579999999999</v>
      </c>
      <c r="H4890">
        <v>1.0507580000000001</v>
      </c>
      <c r="I4890">
        <v>-58.77505</v>
      </c>
      <c r="J4890">
        <v>-254.0326</v>
      </c>
      <c r="K4890">
        <v>1.117402</v>
      </c>
      <c r="L4890">
        <v>-58.668089999999999</v>
      </c>
      <c r="M4890">
        <v>0.99722730000000004</v>
      </c>
      <c r="N4890">
        <v>-1.418238E-2</v>
      </c>
      <c r="O4890">
        <v>-7.3052649999999997E-2</v>
      </c>
      <c r="P4890">
        <v>0.9808481</v>
      </c>
      <c r="Q4890">
        <v>0.18070890000000001</v>
      </c>
      <c r="R4890">
        <v>-7.2673080000000001E-2</v>
      </c>
      <c r="S4890">
        <v>3.0705870000000002</v>
      </c>
      <c r="T4890">
        <v>-0.2147887</v>
      </c>
      <c r="U4890">
        <v>-0.38909909999999998</v>
      </c>
      <c r="V4890">
        <v>2.7058170000000001E-3</v>
      </c>
      <c r="W4890">
        <v>0.19462199999999999</v>
      </c>
      <c r="X4890">
        <v>0.98087460000000004</v>
      </c>
      <c r="Y4890">
        <v>5.2854579999999998E-2</v>
      </c>
      <c r="Z4890">
        <v>1.8255700000000001E-3</v>
      </c>
      <c r="AA4890">
        <v>0.9986005</v>
      </c>
      <c r="AB4890">
        <v>25</v>
      </c>
      <c r="AC4890">
        <v>0.80680000000000895</v>
      </c>
      <c r="AD4890">
        <v>-6.6643999999999898E-2</v>
      </c>
      <c r="AE4890">
        <v>-0.10696</v>
      </c>
      <c r="AF4890">
        <v>4.7411439671267298E-2</v>
      </c>
      <c r="AG4890">
        <v>-6.6643999999999898E-2</v>
      </c>
      <c r="AH4890">
        <v>0.807046803912016</v>
      </c>
      <c r="AI4890">
        <v>94.7125498771411</v>
      </c>
      <c r="AJ4890">
        <v>86.637918876912096</v>
      </c>
      <c r="AK4890">
        <v>0.81118050460566504</v>
      </c>
      <c r="AL4890">
        <v>78.777357407533302</v>
      </c>
      <c r="AM4890">
        <v>89.841945646277594</v>
      </c>
      <c r="AN4890">
        <v>1.00000001262739</v>
      </c>
    </row>
    <row r="4891" spans="1:40" x14ac:dyDescent="0.25">
      <c r="A4891" t="str">
        <f>"20190303162658388"</f>
        <v>20190303162658388</v>
      </c>
      <c r="B4891" t="str">
        <f>"1551601618378904"</f>
        <v>1551601618378904</v>
      </c>
      <c r="C4891" t="s">
        <v>40</v>
      </c>
      <c r="D4891">
        <v>5.4972539999999999</v>
      </c>
      <c r="E4891">
        <v>0.52072649999999998</v>
      </c>
      <c r="F4891" t="s">
        <v>68</v>
      </c>
      <c r="G4891">
        <v>-238.31819999999999</v>
      </c>
      <c r="H4891" s="1">
        <v>-2.6381030000000001E-6</v>
      </c>
      <c r="I4891">
        <v>-60.693640000000002</v>
      </c>
      <c r="J4891">
        <v>-253.89410000000001</v>
      </c>
      <c r="K4891">
        <v>1.1174029999999999</v>
      </c>
      <c r="L4891">
        <v>-58.681609999999999</v>
      </c>
      <c r="M4891">
        <v>0.99699320000000002</v>
      </c>
      <c r="N4891">
        <v>-1.41809E-2</v>
      </c>
      <c r="O4891">
        <v>-7.618134E-2</v>
      </c>
      <c r="P4891">
        <v>0.98095209999999999</v>
      </c>
      <c r="Q4891">
        <v>0.17924379999999901</v>
      </c>
      <c r="R4891">
        <v>-7.4865009999999996E-2</v>
      </c>
      <c r="S4891">
        <v>3.0694729999999999</v>
      </c>
      <c r="T4891">
        <v>-0.21826110000000001</v>
      </c>
      <c r="U4891">
        <v>-0.39566040000000002</v>
      </c>
      <c r="V4891">
        <v>1.7799440000000001E-3</v>
      </c>
      <c r="W4891">
        <v>0.19316910000000001</v>
      </c>
      <c r="X4891">
        <v>0.98116389999999998</v>
      </c>
      <c r="Y4891">
        <v>5.1874539999999997E-2</v>
      </c>
      <c r="Z4891">
        <v>2.0962089999999999E-3</v>
      </c>
      <c r="AA4891">
        <v>0.99865139999999997</v>
      </c>
      <c r="AB4891">
        <v>25</v>
      </c>
      <c r="AC4891">
        <v>15.575900000000001</v>
      </c>
      <c r="AD4891">
        <v>-1.117405638103</v>
      </c>
      <c r="AE4891">
        <v>-2.0120300000000002</v>
      </c>
      <c r="AF4891">
        <v>0.81534231767538101</v>
      </c>
      <c r="AG4891">
        <v>-1.117405638103</v>
      </c>
      <c r="AH4891">
        <v>15.604928259504399</v>
      </c>
      <c r="AI4891">
        <v>94.090167614848696</v>
      </c>
      <c r="AJ4891">
        <v>87.009070998079494</v>
      </c>
      <c r="AK4891">
        <v>15.666115167435001</v>
      </c>
      <c r="AL4891">
        <v>78.862213065316396</v>
      </c>
      <c r="AM4891">
        <v>89.896058989641006</v>
      </c>
      <c r="AN4891">
        <v>1.00000003402933</v>
      </c>
    </row>
    <row r="4892" spans="1:40" x14ac:dyDescent="0.25">
      <c r="A4892" t="str">
        <f>"20190303162658409"</f>
        <v>20190303162658409</v>
      </c>
      <c r="B4892" t="str">
        <f>"1551601618399399"</f>
        <v>1551601618399399</v>
      </c>
      <c r="C4892" t="s">
        <v>40</v>
      </c>
      <c r="D4892">
        <v>5.6058209999999997</v>
      </c>
      <c r="E4892">
        <v>0.52056099999999905</v>
      </c>
      <c r="F4892" t="s">
        <v>68</v>
      </c>
      <c r="G4892">
        <v>-238.5205</v>
      </c>
      <c r="H4892" s="1">
        <v>-2.7252939999999998E-6</v>
      </c>
      <c r="I4892">
        <v>-60.695180000000001</v>
      </c>
      <c r="J4892">
        <v>-253.66489999999999</v>
      </c>
      <c r="K4892">
        <v>1.1174029999999999</v>
      </c>
      <c r="L4892">
        <v>-58.704990000000002</v>
      </c>
      <c r="M4892">
        <v>0.99658400000000003</v>
      </c>
      <c r="N4892">
        <v>-1.4178349999999999E-2</v>
      </c>
      <c r="O4892">
        <v>-8.1359249999999994E-2</v>
      </c>
      <c r="P4892">
        <v>0.98106289999999996</v>
      </c>
      <c r="Q4892">
        <v>0.1770197</v>
      </c>
      <c r="R4892">
        <v>-7.8610120000000006E-2</v>
      </c>
      <c r="S4892">
        <v>3.068314</v>
      </c>
      <c r="T4892">
        <v>-0.22301470000000001</v>
      </c>
      <c r="U4892">
        <v>-0.40188600000000002</v>
      </c>
      <c r="V4892">
        <v>3.6647669999999999E-4</v>
      </c>
      <c r="W4892">
        <v>0.19096179999999999</v>
      </c>
      <c r="X4892">
        <v>0.98159739999999995</v>
      </c>
      <c r="Y4892">
        <v>4.8745919999999998E-2</v>
      </c>
      <c r="Z4892">
        <v>2.6087319999999999E-3</v>
      </c>
      <c r="AA4892">
        <v>0.99880780000000002</v>
      </c>
      <c r="AB4892">
        <v>25</v>
      </c>
      <c r="AC4892">
        <v>15.1443999999999</v>
      </c>
      <c r="AD4892">
        <v>-1.117405725294</v>
      </c>
      <c r="AE4892">
        <v>-1.9901899999999999</v>
      </c>
      <c r="AF4892">
        <v>0.74733060401375395</v>
      </c>
      <c r="AG4892">
        <v>-1.117405725294</v>
      </c>
      <c r="AH4892">
        <v>15.174910781409</v>
      </c>
      <c r="AI4892">
        <v>94.206299135346001</v>
      </c>
      <c r="AJ4892">
        <v>87.180588170998604</v>
      </c>
      <c r="AK4892">
        <v>15.234336736804</v>
      </c>
      <c r="AL4892">
        <v>78.991080933935095</v>
      </c>
      <c r="AM4892">
        <v>89.978608778686294</v>
      </c>
      <c r="AN4892">
        <v>0.99999999952558505</v>
      </c>
    </row>
    <row r="4893" spans="1:40" x14ac:dyDescent="0.25">
      <c r="A4893" t="str">
        <f>"20190303162658421"</f>
        <v>20190303162658421</v>
      </c>
      <c r="B4893" t="str">
        <f>"1551601618409159"</f>
        <v>1551601618409159</v>
      </c>
      <c r="C4893" t="s">
        <v>40</v>
      </c>
      <c r="D4893">
        <v>5.6207039999999999</v>
      </c>
      <c r="E4893">
        <v>0.52102199999999999</v>
      </c>
      <c r="F4893" t="s">
        <v>42</v>
      </c>
      <c r="G4893">
        <v>-252.77080000000001</v>
      </c>
      <c r="H4893">
        <v>1.0500130000000001</v>
      </c>
      <c r="I4893">
        <v>-58.825299999999999</v>
      </c>
      <c r="J4893">
        <v>-253.50659999999999</v>
      </c>
      <c r="K4893">
        <v>1.117407</v>
      </c>
      <c r="L4893">
        <v>-58.721710000000002</v>
      </c>
      <c r="M4893">
        <v>0.9962858</v>
      </c>
      <c r="N4893">
        <v>-1.417652E-2</v>
      </c>
      <c r="O4893">
        <v>-8.4934910000000002E-2</v>
      </c>
      <c r="P4893">
        <v>0.98100719999999997</v>
      </c>
      <c r="Q4893">
        <v>0.17585479999999901</v>
      </c>
      <c r="R4893">
        <v>-8.1856319999999996E-2</v>
      </c>
      <c r="S4893">
        <v>3.0665279999999999</v>
      </c>
      <c r="T4893">
        <v>-0.2307563</v>
      </c>
      <c r="U4893">
        <v>-0.41201779999999999</v>
      </c>
      <c r="V4893" s="1">
        <v>5.8989800000000002E-5</v>
      </c>
      <c r="W4893">
        <v>0.18980079999999999</v>
      </c>
      <c r="X4893">
        <v>0.98182259999999999</v>
      </c>
      <c r="Y4893">
        <v>4.848914E-2</v>
      </c>
      <c r="Z4893">
        <v>2.979411E-3</v>
      </c>
      <c r="AA4893">
        <v>0.99881929999999997</v>
      </c>
      <c r="AB4893">
        <v>25</v>
      </c>
      <c r="AC4893">
        <v>0.73579999999998302</v>
      </c>
      <c r="AD4893">
        <v>-6.7394000000000107E-2</v>
      </c>
      <c r="AE4893">
        <v>-0.103590000000004</v>
      </c>
      <c r="AF4893">
        <v>4.0382033837985797E-2</v>
      </c>
      <c r="AG4893">
        <v>-6.7394000000000107E-2</v>
      </c>
      <c r="AH4893">
        <v>0.73588639682499402</v>
      </c>
      <c r="AI4893">
        <v>95.224852130289193</v>
      </c>
      <c r="AJ4893">
        <v>86.859023533018998</v>
      </c>
      <c r="AK4893">
        <v>0.740068543396464</v>
      </c>
      <c r="AL4893">
        <v>79.058840460005101</v>
      </c>
      <c r="AM4893">
        <v>89.996557558798997</v>
      </c>
      <c r="AN4893">
        <v>0.99999998251559796</v>
      </c>
    </row>
    <row r="4894" spans="1:40" x14ac:dyDescent="0.25">
      <c r="A4894" t="str">
        <f>"20190303162658435"</f>
        <v>20190303162658435</v>
      </c>
      <c r="B4894" t="str">
        <f>"1551601618428679"</f>
        <v>1551601618428679</v>
      </c>
      <c r="C4894" t="s">
        <v>40</v>
      </c>
      <c r="D4894">
        <v>5.5656569999999999</v>
      </c>
      <c r="E4894">
        <v>0.52411839999999998</v>
      </c>
      <c r="F4894" t="s">
        <v>42</v>
      </c>
      <c r="G4894">
        <v>-252.80029999999999</v>
      </c>
      <c r="H4894">
        <v>1.0060549999999999</v>
      </c>
      <c r="I4894">
        <v>-58.819560000000003</v>
      </c>
      <c r="J4894">
        <v>-253.3648</v>
      </c>
      <c r="K4894">
        <v>1.1174109999999999</v>
      </c>
      <c r="L4894">
        <v>-58.737400000000001</v>
      </c>
      <c r="M4894">
        <v>0.99600730000000004</v>
      </c>
      <c r="N4894">
        <v>-1.4174839999999999E-2</v>
      </c>
      <c r="O4894">
        <v>-8.8138320000000006E-2</v>
      </c>
      <c r="P4894">
        <v>0.9808886</v>
      </c>
      <c r="Q4894">
        <v>0.17520910000000001</v>
      </c>
      <c r="R4894">
        <v>-8.4615190000000007E-2</v>
      </c>
      <c r="S4894">
        <v>3.110001</v>
      </c>
      <c r="T4894">
        <v>-0.4897958</v>
      </c>
      <c r="U4894">
        <v>-0.43005369999999998</v>
      </c>
      <c r="V4894">
        <v>-3.5802320000000002E-4</v>
      </c>
      <c r="W4894">
        <v>0.18915940000000001</v>
      </c>
      <c r="X4894">
        <v>0.98194630000000005</v>
      </c>
      <c r="Y4894">
        <v>4.9355179999999998E-2</v>
      </c>
      <c r="Z4894">
        <v>8.2594219999999902E-3</v>
      </c>
      <c r="AA4894">
        <v>0.9987471</v>
      </c>
      <c r="AB4894">
        <v>25</v>
      </c>
      <c r="AC4894">
        <v>0.56450000000000899</v>
      </c>
      <c r="AD4894">
        <v>-0.111356</v>
      </c>
      <c r="AE4894">
        <v>-8.2159999999994598E-2</v>
      </c>
      <c r="AF4894">
        <v>3.0903489364948699E-2</v>
      </c>
      <c r="AG4894">
        <v>-0.111356</v>
      </c>
      <c r="AH4894">
        <v>0.54863831220574699</v>
      </c>
      <c r="AI4894">
        <v>101.45567229877</v>
      </c>
      <c r="AJ4894">
        <v>86.776071955546698</v>
      </c>
      <c r="AK4894">
        <v>0.56067743133721704</v>
      </c>
      <c r="AL4894">
        <v>79.096267868227301</v>
      </c>
      <c r="AM4894">
        <v>90.020890365816101</v>
      </c>
      <c r="AN4894">
        <v>0.99999997143633002</v>
      </c>
    </row>
    <row r="4895" spans="1:40" x14ac:dyDescent="0.25">
      <c r="A4895" t="str">
        <f>"20190303162658447"</f>
        <v>20190303162658447</v>
      </c>
      <c r="B4895" t="str">
        <f>"1551601618439415"</f>
        <v>1551601618439415</v>
      </c>
      <c r="C4895" t="s">
        <v>40</v>
      </c>
      <c r="D4895">
        <v>5.551336</v>
      </c>
      <c r="E4895">
        <v>0.52459869999999897</v>
      </c>
      <c r="F4895" t="s">
        <v>42</v>
      </c>
      <c r="G4895">
        <v>-252.62520000000001</v>
      </c>
      <c r="H4895">
        <v>0.90073780000000003</v>
      </c>
      <c r="I4895">
        <v>-58.846899999999998</v>
      </c>
      <c r="J4895">
        <v>-253.22800000000001</v>
      </c>
      <c r="K4895">
        <v>1.1174200000000001</v>
      </c>
      <c r="L4895">
        <v>-58.752839999999999</v>
      </c>
      <c r="M4895">
        <v>0.99572930000000004</v>
      </c>
      <c r="N4895">
        <v>-1.4173170000000001E-2</v>
      </c>
      <c r="O4895">
        <v>-9.1227039999999995E-2</v>
      </c>
      <c r="P4895">
        <v>0.98071280000000005</v>
      </c>
      <c r="Q4895">
        <v>0.1748094</v>
      </c>
      <c r="R4895">
        <v>-8.7429839999999995E-2</v>
      </c>
      <c r="S4895">
        <v>3.1843870000000001</v>
      </c>
      <c r="T4895">
        <v>-0.93256660000000002</v>
      </c>
      <c r="U4895">
        <v>-0.4709778</v>
      </c>
      <c r="V4895">
        <v>-5.9967590000000002E-4</v>
      </c>
      <c r="W4895">
        <v>0.1887614</v>
      </c>
      <c r="X4895">
        <v>0.98202279999999997</v>
      </c>
      <c r="Y4895">
        <v>5.6392409999999997E-2</v>
      </c>
      <c r="Z4895">
        <v>1.6241889999999998E-2</v>
      </c>
      <c r="AA4895">
        <v>0.99827659999999996</v>
      </c>
      <c r="AB4895">
        <v>25</v>
      </c>
      <c r="AC4895">
        <v>0.60279999999997302</v>
      </c>
      <c r="AD4895">
        <v>-0.21668219999999999</v>
      </c>
      <c r="AE4895">
        <v>-9.4059999999998894E-2</v>
      </c>
      <c r="AF4895">
        <v>3.4339002624282002E-2</v>
      </c>
      <c r="AG4895">
        <v>-0.21668219999999999</v>
      </c>
      <c r="AH4895">
        <v>0.54066779013271404</v>
      </c>
      <c r="AI4895">
        <v>111.799525288708</v>
      </c>
      <c r="AJ4895">
        <v>86.365899966988806</v>
      </c>
      <c r="AK4895">
        <v>0.58348264942932404</v>
      </c>
      <c r="AL4895">
        <v>79.119490286401501</v>
      </c>
      <c r="AM4895">
        <v>90.034987877954407</v>
      </c>
      <c r="AN4895">
        <v>1.0000000027304901</v>
      </c>
    </row>
    <row r="4896" spans="1:40" x14ac:dyDescent="0.25">
      <c r="A4896" t="str">
        <f>"20190303162658457"</f>
        <v>20190303162658457</v>
      </c>
      <c r="B4896" t="str">
        <f>"1551601618449176"</f>
        <v>1551601618449176</v>
      </c>
      <c r="C4896" t="s">
        <v>40</v>
      </c>
      <c r="D4896">
        <v>5.5532519999999996</v>
      </c>
      <c r="E4896">
        <v>0.52470620000000001</v>
      </c>
      <c r="F4896" t="s">
        <v>42</v>
      </c>
      <c r="G4896">
        <v>-252.41499999999999</v>
      </c>
      <c r="H4896">
        <v>0.865969199999999</v>
      </c>
      <c r="I4896">
        <v>-58.876480000000001</v>
      </c>
      <c r="J4896">
        <v>-253.09569999999999</v>
      </c>
      <c r="K4896">
        <v>1.1174269999999999</v>
      </c>
      <c r="L4896">
        <v>-58.768160000000002</v>
      </c>
      <c r="M4896">
        <v>0.99545130000000004</v>
      </c>
      <c r="N4896">
        <v>-1.417146E-2</v>
      </c>
      <c r="O4896">
        <v>-9.4211429999999999E-2</v>
      </c>
      <c r="P4896">
        <v>0.98062470000000002</v>
      </c>
      <c r="Q4896">
        <v>0.1740419</v>
      </c>
      <c r="R4896">
        <v>-8.9915229999999999E-2</v>
      </c>
      <c r="S4896">
        <v>3.191681</v>
      </c>
      <c r="T4896">
        <v>-0.98679649999999997</v>
      </c>
      <c r="U4896">
        <v>-0.48477170000000003</v>
      </c>
      <c r="V4896">
        <v>-1.079808E-3</v>
      </c>
      <c r="W4896">
        <v>0.18799850000000001</v>
      </c>
      <c r="X4896">
        <v>0.98216870000000001</v>
      </c>
      <c r="Y4896">
        <v>5.749112E-2</v>
      </c>
      <c r="Z4896">
        <v>1.7869860000000001E-2</v>
      </c>
      <c r="AA4896">
        <v>0.99818609999999997</v>
      </c>
      <c r="AB4896">
        <v>25</v>
      </c>
      <c r="AC4896">
        <v>0.68070000000000097</v>
      </c>
      <c r="AD4896">
        <v>-0.25145780000000001</v>
      </c>
      <c r="AE4896">
        <v>-0.108320000000013</v>
      </c>
      <c r="AF4896">
        <v>3.8568695527869401E-2</v>
      </c>
      <c r="AG4896">
        <v>-0.25145780000000001</v>
      </c>
      <c r="AH4896">
        <v>0.60707922725007202</v>
      </c>
      <c r="AI4896">
        <v>112.45901671405601</v>
      </c>
      <c r="AJ4896">
        <v>86.364794882292102</v>
      </c>
      <c r="AK4896">
        <v>0.65822773993057004</v>
      </c>
      <c r="AL4896">
        <v>79.163997831123197</v>
      </c>
      <c r="AM4896">
        <v>90.062991638969507</v>
      </c>
      <c r="AN4896">
        <v>0.99999997862362799</v>
      </c>
    </row>
    <row r="4897" spans="1:40" x14ac:dyDescent="0.25">
      <c r="A4897" t="str">
        <f>"20190303162658469"</f>
        <v>20190303162658469</v>
      </c>
      <c r="B4897" t="str">
        <f>"1551601618458936"</f>
        <v>1551601618458936</v>
      </c>
      <c r="C4897" t="s">
        <v>40</v>
      </c>
      <c r="D4897">
        <v>5.5453000000000001</v>
      </c>
      <c r="E4897">
        <v>0.52475269999999996</v>
      </c>
      <c r="F4897" t="s">
        <v>42</v>
      </c>
      <c r="G4897">
        <v>-252.40129999999999</v>
      </c>
      <c r="H4897">
        <v>0.89780550000000003</v>
      </c>
      <c r="I4897">
        <v>-58.8758699999999</v>
      </c>
      <c r="J4897">
        <v>-252.97280000000001</v>
      </c>
      <c r="K4897">
        <v>1.117437</v>
      </c>
      <c r="L4897">
        <v>-58.78284</v>
      </c>
      <c r="M4897">
        <v>0.99518510000000004</v>
      </c>
      <c r="N4897">
        <v>-1.416977E-2</v>
      </c>
      <c r="O4897">
        <v>-9.6983280000000005E-2</v>
      </c>
      <c r="P4897">
        <v>0.98041020000000001</v>
      </c>
      <c r="Q4897">
        <v>0.17400289999999999</v>
      </c>
      <c r="R4897">
        <v>-9.2298099999999994E-2</v>
      </c>
      <c r="S4897">
        <v>3.193085</v>
      </c>
      <c r="T4897">
        <v>-1.0094449999999999</v>
      </c>
      <c r="U4897">
        <v>-0.49453740000000002</v>
      </c>
      <c r="V4897">
        <v>-1.4338790000000001E-3</v>
      </c>
      <c r="W4897">
        <v>0.1879615</v>
      </c>
      <c r="X4897">
        <v>0.98217540000000003</v>
      </c>
      <c r="Y4897">
        <v>5.7793890000000001E-2</v>
      </c>
      <c r="Z4897">
        <v>1.904432E-2</v>
      </c>
      <c r="AA4897">
        <v>0.99814689999999995</v>
      </c>
      <c r="AB4897">
        <v>25</v>
      </c>
      <c r="AC4897">
        <v>0.571500000000014</v>
      </c>
      <c r="AD4897">
        <v>-0.21963150000000001</v>
      </c>
      <c r="AE4897">
        <v>-9.3029999999991703E-2</v>
      </c>
      <c r="AF4897">
        <v>3.2485817099029902E-2</v>
      </c>
      <c r="AG4897">
        <v>-0.21963150000000001</v>
      </c>
      <c r="AH4897">
        <v>0.50514823980312595</v>
      </c>
      <c r="AI4897">
        <v>113.455536691604</v>
      </c>
      <c r="AJ4897">
        <v>86.3204056073575</v>
      </c>
      <c r="AK4897">
        <v>0.55178625234871403</v>
      </c>
      <c r="AL4897">
        <v>79.166157024396398</v>
      </c>
      <c r="AM4897">
        <v>90.083646115211593</v>
      </c>
      <c r="AN4897">
        <v>1.0000000489281899</v>
      </c>
    </row>
    <row r="4898" spans="1:40" x14ac:dyDescent="0.25">
      <c r="A4898" t="str">
        <f>"20190303162658481"</f>
        <v>20190303162658481</v>
      </c>
      <c r="B4898" t="str">
        <f>"1551601618468695"</f>
        <v>1551601618468695</v>
      </c>
      <c r="C4898" t="s">
        <v>40</v>
      </c>
      <c r="D4898">
        <v>5.5553460000000001</v>
      </c>
      <c r="E4898">
        <v>0.52467949999999997</v>
      </c>
      <c r="F4898" t="s">
        <v>42</v>
      </c>
      <c r="G4898">
        <v>-252.18989999999999</v>
      </c>
      <c r="H4898">
        <v>0.86679719999999905</v>
      </c>
      <c r="I4898">
        <v>-58.90654</v>
      </c>
      <c r="J4898">
        <v>-252.83680000000001</v>
      </c>
      <c r="K4898">
        <v>1.1174500000000001</v>
      </c>
      <c r="L4898">
        <v>-58.799320000000002</v>
      </c>
      <c r="M4898">
        <v>0.99488200000000004</v>
      </c>
      <c r="N4898">
        <v>-1.4167880000000001E-2</v>
      </c>
      <c r="O4898">
        <v>-0.1000462</v>
      </c>
      <c r="P4898">
        <v>0.98028110000000002</v>
      </c>
      <c r="Q4898">
        <v>0.17348</v>
      </c>
      <c r="R4898">
        <v>-9.4625609999999999E-2</v>
      </c>
      <c r="S4898">
        <v>3.1939090000000001</v>
      </c>
      <c r="T4898">
        <v>-1.0219499999999999</v>
      </c>
      <c r="U4898">
        <v>-0.5036621</v>
      </c>
      <c r="V4898">
        <v>-2.1454999999999998E-3</v>
      </c>
      <c r="W4898">
        <v>0.18744440000000001</v>
      </c>
      <c r="X4898">
        <v>0.9822729</v>
      </c>
      <c r="Y4898">
        <v>5.7644460000000002E-2</v>
      </c>
      <c r="Z4898">
        <v>2.0205939999999999E-2</v>
      </c>
      <c r="AA4898">
        <v>0.99813260000000004</v>
      </c>
      <c r="AB4898">
        <v>25</v>
      </c>
      <c r="AC4898">
        <v>0.64690000000001602</v>
      </c>
      <c r="AD4898">
        <v>-0.25065280000000001</v>
      </c>
      <c r="AE4898">
        <v>-0.10722000000000501</v>
      </c>
      <c r="AF4898">
        <v>3.6606702151222199E-2</v>
      </c>
      <c r="AG4898">
        <v>-0.25065280000000001</v>
      </c>
      <c r="AH4898">
        <v>0.57095537724870704</v>
      </c>
      <c r="AI4898">
        <v>113.65853333559301</v>
      </c>
      <c r="AJ4898">
        <v>86.331512516459199</v>
      </c>
      <c r="AK4898">
        <v>0.62462542343347005</v>
      </c>
      <c r="AL4898">
        <v>79.196320579742505</v>
      </c>
      <c r="AM4898">
        <v>90.125146381882999</v>
      </c>
      <c r="AN4898">
        <v>1.0000000281679999</v>
      </c>
    </row>
    <row r="4899" spans="1:40" x14ac:dyDescent="0.25">
      <c r="A4899" t="str">
        <f>"20190303162658497"</f>
        <v>20190303162658497</v>
      </c>
      <c r="B4899" t="str">
        <f>"1551601618489192"</f>
        <v>1551601618489192</v>
      </c>
      <c r="C4899" t="s">
        <v>40</v>
      </c>
      <c r="D4899">
        <v>5.4966949999999999</v>
      </c>
      <c r="E4899">
        <v>0.52477739999999995</v>
      </c>
      <c r="F4899" t="s">
        <v>42</v>
      </c>
      <c r="G4899">
        <v>-252.17359999999999</v>
      </c>
      <c r="H4899">
        <v>0.90409989999999996</v>
      </c>
      <c r="I4899">
        <v>-58.905909999999999</v>
      </c>
      <c r="J4899">
        <v>-252.66390000000001</v>
      </c>
      <c r="K4899">
        <v>1.1174649999999999</v>
      </c>
      <c r="L4899">
        <v>-58.821109999999997</v>
      </c>
      <c r="M4899">
        <v>0.99448360000000002</v>
      </c>
      <c r="N4899">
        <v>-1.416515E-2</v>
      </c>
      <c r="O4899">
        <v>-0.10393280000000001</v>
      </c>
      <c r="P4899">
        <v>0.98016230000000004</v>
      </c>
      <c r="Q4899">
        <v>0.172818</v>
      </c>
      <c r="R4899">
        <v>-9.7035689999999994E-2</v>
      </c>
      <c r="S4899">
        <v>3.1925509999999999</v>
      </c>
      <c r="T4899">
        <v>-1.0262359999999999</v>
      </c>
      <c r="U4899">
        <v>-0.51187130000000003</v>
      </c>
      <c r="V4899">
        <v>-3.5979409999999999E-3</v>
      </c>
      <c r="W4899">
        <v>0.18679519999999999</v>
      </c>
      <c r="X4899">
        <v>0.9823923</v>
      </c>
      <c r="Y4899">
        <v>5.6554960000000001E-2</v>
      </c>
      <c r="Z4899">
        <v>2.1624020000000001E-2</v>
      </c>
      <c r="AA4899">
        <v>0.99816530000000003</v>
      </c>
      <c r="AB4899">
        <v>25</v>
      </c>
      <c r="AC4899">
        <v>0.490300000000019</v>
      </c>
      <c r="AD4899">
        <v>-0.2133651</v>
      </c>
      <c r="AE4899">
        <v>-8.4800000000001305E-2</v>
      </c>
      <c r="AF4899">
        <v>2.8193269333416801E-2</v>
      </c>
      <c r="AG4899">
        <v>-0.2133651</v>
      </c>
      <c r="AH4899">
        <v>0.41935054659409998</v>
      </c>
      <c r="AI4899">
        <v>116.914759894623</v>
      </c>
      <c r="AJ4899">
        <v>86.1537473962821</v>
      </c>
      <c r="AK4899">
        <v>0.47135380263925702</v>
      </c>
      <c r="AL4899">
        <v>79.2341856277136</v>
      </c>
      <c r="AM4899">
        <v>90.209840725070805</v>
      </c>
      <c r="AN4899">
        <v>1.00000001151088</v>
      </c>
    </row>
    <row r="4900" spans="1:40" x14ac:dyDescent="0.25">
      <c r="A4900" t="str">
        <f>"20190303162658509"</f>
        <v>20190303162658509</v>
      </c>
      <c r="B4900" t="str">
        <f>"1551601618498952"</f>
        <v>1551601618498952</v>
      </c>
      <c r="C4900" t="s">
        <v>40</v>
      </c>
      <c r="D4900">
        <v>5.5172420000000004</v>
      </c>
      <c r="E4900">
        <v>0.52484419999999898</v>
      </c>
      <c r="F4900" t="s">
        <v>42</v>
      </c>
      <c r="G4900">
        <v>-251.9554</v>
      </c>
      <c r="H4900">
        <v>0.89098529999999998</v>
      </c>
      <c r="I4900">
        <v>-58.937510000000003</v>
      </c>
      <c r="J4900">
        <v>-252.53030000000001</v>
      </c>
      <c r="K4900">
        <v>1.117478</v>
      </c>
      <c r="L4900">
        <v>-58.838349999999998</v>
      </c>
      <c r="M4900">
        <v>0.99416599999999999</v>
      </c>
      <c r="N4900">
        <v>-1.4162859999999999E-2</v>
      </c>
      <c r="O4900">
        <v>-0.1069276</v>
      </c>
      <c r="P4900">
        <v>0.9800354</v>
      </c>
      <c r="Q4900">
        <v>0.17246639999999999</v>
      </c>
      <c r="R4900">
        <v>-9.8925079999999999E-2</v>
      </c>
      <c r="S4900">
        <v>3.1885379999999999</v>
      </c>
      <c r="T4900">
        <v>-1.01932</v>
      </c>
      <c r="U4900">
        <v>-0.52410889999999999</v>
      </c>
      <c r="V4900">
        <v>-4.6822209999999899E-3</v>
      </c>
      <c r="W4900">
        <v>0.18645229999999999</v>
      </c>
      <c r="X4900">
        <v>0.98245289999999996</v>
      </c>
      <c r="Y4900">
        <v>5.7534780000000001E-2</v>
      </c>
      <c r="Z4900">
        <v>2.221277E-2</v>
      </c>
      <c r="AA4900">
        <v>0.99809630000000005</v>
      </c>
      <c r="AB4900">
        <v>25</v>
      </c>
      <c r="AC4900">
        <v>0.57490000000001296</v>
      </c>
      <c r="AD4900">
        <v>-0.22649269999999899</v>
      </c>
      <c r="AE4900">
        <v>-9.9159999999997694E-2</v>
      </c>
      <c r="AF4900">
        <v>3.2251379393972102E-2</v>
      </c>
      <c r="AG4900">
        <v>-0.22649269999999899</v>
      </c>
      <c r="AH4900">
        <v>0.50594725867083201</v>
      </c>
      <c r="AI4900">
        <v>114.072892317319</v>
      </c>
      <c r="AJ4900">
        <v>86.352641268344399</v>
      </c>
      <c r="AK4900">
        <v>0.55526725383605502</v>
      </c>
      <c r="AL4900">
        <v>79.254184019067495</v>
      </c>
      <c r="AM4900">
        <v>90.2730608978449</v>
      </c>
      <c r="AN4900">
        <v>1.0000000420435899</v>
      </c>
    </row>
    <row r="4901" spans="1:40" x14ac:dyDescent="0.25">
      <c r="A4901" t="str">
        <f>"20190303162658522"</f>
        <v>20190303162658522</v>
      </c>
      <c r="B4901" t="str">
        <f>"1551601618519448"</f>
        <v>1551601618519448</v>
      </c>
      <c r="C4901" t="s">
        <v>40</v>
      </c>
      <c r="D4901">
        <v>5.5030409999999996</v>
      </c>
      <c r="E4901">
        <v>0.52558450000000001</v>
      </c>
      <c r="F4901" t="s">
        <v>42</v>
      </c>
      <c r="G4901">
        <v>-251.74189999999999</v>
      </c>
      <c r="H4901">
        <v>0.86634599999999995</v>
      </c>
      <c r="I4901">
        <v>-58.970149999999997</v>
      </c>
      <c r="J4901">
        <v>-252.3827</v>
      </c>
      <c r="K4901">
        <v>1.117499</v>
      </c>
      <c r="L4901">
        <v>-58.857729999999997</v>
      </c>
      <c r="M4901">
        <v>0.99380570000000001</v>
      </c>
      <c r="N4901">
        <v>-1.4160209999999999E-2</v>
      </c>
      <c r="O4901">
        <v>-0.11022560000000001</v>
      </c>
      <c r="P4901">
        <v>0.97980310000000004</v>
      </c>
      <c r="Q4901">
        <v>0.17239889999999999</v>
      </c>
      <c r="R4901">
        <v>-0.1013144</v>
      </c>
      <c r="S4901">
        <v>3.1859440000000001</v>
      </c>
      <c r="T4901">
        <v>-1.01447</v>
      </c>
      <c r="U4901">
        <v>-0.53195190000000003</v>
      </c>
      <c r="V4901">
        <v>-5.5587950000000001E-3</v>
      </c>
      <c r="W4901">
        <v>0.18639</v>
      </c>
      <c r="X4901">
        <v>0.98246009999999995</v>
      </c>
      <c r="Y4901">
        <v>5.6901140000000003E-2</v>
      </c>
      <c r="Z4901">
        <v>2.3182370000000001E-2</v>
      </c>
      <c r="AA4901">
        <v>0.99811070000000002</v>
      </c>
      <c r="AB4901">
        <v>25</v>
      </c>
      <c r="AC4901">
        <v>0.64080000000001203</v>
      </c>
      <c r="AD4901">
        <v>-0.25115300000000002</v>
      </c>
      <c r="AE4901">
        <v>-0.112419999999993</v>
      </c>
      <c r="AF4901">
        <v>3.5765194274442302E-2</v>
      </c>
      <c r="AG4901">
        <v>-0.25115300000000002</v>
      </c>
      <c r="AH4901">
        <v>0.56507554445122599</v>
      </c>
      <c r="AI4901">
        <v>113.92071315005199</v>
      </c>
      <c r="AJ4901">
        <v>86.378422454529399</v>
      </c>
      <c r="AK4901">
        <v>0.61940887099502995</v>
      </c>
      <c r="AL4901">
        <v>79.257816672983694</v>
      </c>
      <c r="AM4901">
        <v>90.324178146306807</v>
      </c>
      <c r="AN4901">
        <v>0.99999999019693098</v>
      </c>
    </row>
    <row r="4902" spans="1:40" x14ac:dyDescent="0.25">
      <c r="A4902" t="str">
        <f>"20190303162658535"</f>
        <v>20190303162658535</v>
      </c>
      <c r="B4902" t="str">
        <f>"1551601618529207"</f>
        <v>1551601618529207</v>
      </c>
      <c r="C4902" t="s">
        <v>40</v>
      </c>
      <c r="D4902">
        <v>5.4999219999999998</v>
      </c>
      <c r="E4902">
        <v>0.52594350000000001</v>
      </c>
      <c r="F4902" t="s">
        <v>42</v>
      </c>
      <c r="G4902">
        <v>-251.7236</v>
      </c>
      <c r="H4902">
        <v>0.9082074</v>
      </c>
      <c r="I4902">
        <v>-58.9709199999999</v>
      </c>
      <c r="J4902">
        <v>-252.24449999999999</v>
      </c>
      <c r="K4902">
        <v>1.117521</v>
      </c>
      <c r="L4902">
        <v>-58.876530000000002</v>
      </c>
      <c r="M4902">
        <v>0.99346049999999997</v>
      </c>
      <c r="N4902">
        <v>-1.415722E-2</v>
      </c>
      <c r="O4902">
        <v>-0.1132949</v>
      </c>
      <c r="P4902">
        <v>0.97953860000000004</v>
      </c>
      <c r="Q4902">
        <v>0.1729397</v>
      </c>
      <c r="R4902">
        <v>-0.10293819999999999</v>
      </c>
      <c r="S4902">
        <v>3.183182</v>
      </c>
      <c r="T4902">
        <v>-1.010367</v>
      </c>
      <c r="U4902">
        <v>-0.545929</v>
      </c>
      <c r="V4902">
        <v>-6.9634689999999999E-3</v>
      </c>
      <c r="W4902">
        <v>0.18693899999999999</v>
      </c>
      <c r="X4902">
        <v>0.98234679999999996</v>
      </c>
      <c r="Y4902">
        <v>5.8265999999999998E-2</v>
      </c>
      <c r="Z4902">
        <v>2.3768899999999999E-2</v>
      </c>
      <c r="AA4902">
        <v>0.99801810000000002</v>
      </c>
      <c r="AB4902">
        <v>25</v>
      </c>
      <c r="AC4902">
        <v>0.52089999999998304</v>
      </c>
      <c r="AD4902">
        <v>-0.20931359999999999</v>
      </c>
      <c r="AE4902">
        <v>-9.4389999999989899E-2</v>
      </c>
      <c r="AF4902">
        <v>3.0061289293242401E-2</v>
      </c>
      <c r="AG4902">
        <v>-0.20931359999999999</v>
      </c>
      <c r="AH4902">
        <v>0.45682318147330198</v>
      </c>
      <c r="AI4902">
        <v>114.570119174124</v>
      </c>
      <c r="AJ4902">
        <v>86.235074402591593</v>
      </c>
      <c r="AK4902">
        <v>0.50339177922401701</v>
      </c>
      <c r="AL4902">
        <v>79.225798173386494</v>
      </c>
      <c r="AM4902">
        <v>90.406140379367699</v>
      </c>
      <c r="AN4902">
        <v>0.99999995754587601</v>
      </c>
    </row>
    <row r="4903" spans="1:40" x14ac:dyDescent="0.25">
      <c r="A4903" t="str">
        <f>"20190303162658546"</f>
        <v>20190303162658546</v>
      </c>
      <c r="B4903" t="str">
        <f>"1551601618538967"</f>
        <v>1551601618538967</v>
      </c>
      <c r="C4903" t="s">
        <v>40</v>
      </c>
      <c r="D4903">
        <v>5.5312900000000003</v>
      </c>
      <c r="E4903">
        <v>0.52616079999999998</v>
      </c>
      <c r="F4903" t="s">
        <v>42</v>
      </c>
      <c r="G4903">
        <v>-251.51060000000001</v>
      </c>
      <c r="H4903">
        <v>0.88561900000000005</v>
      </c>
      <c r="I4903">
        <v>-59.004109999999997</v>
      </c>
      <c r="J4903">
        <v>-252.1019</v>
      </c>
      <c r="K4903">
        <v>1.117545</v>
      </c>
      <c r="L4903">
        <v>-58.896270000000001</v>
      </c>
      <c r="M4903">
        <v>0.99309610000000004</v>
      </c>
      <c r="N4903">
        <v>-1.415392E-2</v>
      </c>
      <c r="O4903">
        <v>-0.1164468</v>
      </c>
      <c r="P4903">
        <v>0.97916049999999999</v>
      </c>
      <c r="Q4903">
        <v>0.17352809999999999</v>
      </c>
      <c r="R4903">
        <v>-0.10551149999999999</v>
      </c>
      <c r="S4903">
        <v>3.1820529999999998</v>
      </c>
      <c r="T4903">
        <v>-1.00536</v>
      </c>
      <c r="U4903">
        <v>-0.55310059999999905</v>
      </c>
      <c r="V4903">
        <v>-7.4956729999999996E-3</v>
      </c>
      <c r="W4903">
        <v>0.18752740000000001</v>
      </c>
      <c r="X4903">
        <v>0.98223079999999996</v>
      </c>
      <c r="Y4903">
        <v>5.7491390000000003E-2</v>
      </c>
      <c r="Z4903">
        <v>2.4686759999999999E-2</v>
      </c>
      <c r="AA4903">
        <v>0.9980407</v>
      </c>
      <c r="AB4903">
        <v>25</v>
      </c>
      <c r="AC4903">
        <v>0.59129999999998895</v>
      </c>
      <c r="AD4903">
        <v>-0.23192599999999999</v>
      </c>
      <c r="AE4903">
        <v>-0.107840000000003</v>
      </c>
      <c r="AF4903">
        <v>3.3287988903081898E-2</v>
      </c>
      <c r="AG4903">
        <v>-0.23192599999999999</v>
      </c>
      <c r="AH4903">
        <v>0.52209882208910896</v>
      </c>
      <c r="AI4903">
        <v>113.908592635852</v>
      </c>
      <c r="AJ4903">
        <v>86.351872320231095</v>
      </c>
      <c r="AK4903">
        <v>0.57226299872353004</v>
      </c>
      <c r="AL4903">
        <v>79.191479173560893</v>
      </c>
      <c r="AM4903">
        <v>90.437231342033897</v>
      </c>
      <c r="AN4903">
        <v>1.0000000276665599</v>
      </c>
    </row>
    <row r="4904" spans="1:40" x14ac:dyDescent="0.25">
      <c r="A4904" t="str">
        <f>"20190303162658558"</f>
        <v>20190303162658558</v>
      </c>
      <c r="B4904" t="str">
        <f>"1551601618548728"</f>
        <v>1551601618548728</v>
      </c>
      <c r="C4904" t="s">
        <v>40</v>
      </c>
      <c r="D4904">
        <v>5.5745329999999997</v>
      </c>
      <c r="E4904">
        <v>0.52655569999999996</v>
      </c>
      <c r="F4904" t="s">
        <v>42</v>
      </c>
      <c r="G4904">
        <v>-251.29689999999999</v>
      </c>
      <c r="H4904">
        <v>0.86324809999999996</v>
      </c>
      <c r="I4904">
        <v>-59.038679999999999</v>
      </c>
      <c r="J4904">
        <v>-251.97649999999999</v>
      </c>
      <c r="K4904">
        <v>1.117575</v>
      </c>
      <c r="L4904">
        <v>-58.9139699999999</v>
      </c>
      <c r="M4904">
        <v>0.99276969999999998</v>
      </c>
      <c r="N4904">
        <v>-1.4150640000000001E-2</v>
      </c>
      <c r="O4904">
        <v>-0.1191976</v>
      </c>
      <c r="P4904">
        <v>0.97888640000000005</v>
      </c>
      <c r="Q4904">
        <v>0.1734436</v>
      </c>
      <c r="R4904">
        <v>-0.10816000000000001</v>
      </c>
      <c r="S4904">
        <v>3.1812900000000002</v>
      </c>
      <c r="T4904">
        <v>-1.0043930000000001</v>
      </c>
      <c r="U4904">
        <v>-0.56179809999999997</v>
      </c>
      <c r="V4904">
        <v>-7.5754230000000004E-3</v>
      </c>
      <c r="W4904">
        <v>0.18743979999999999</v>
      </c>
      <c r="X4904">
        <v>0.98224690000000003</v>
      </c>
      <c r="Y4904">
        <v>5.7523020000000001E-2</v>
      </c>
      <c r="Z4904">
        <v>2.545153E-2</v>
      </c>
      <c r="AA4904">
        <v>0.99801969999999995</v>
      </c>
      <c r="AB4904">
        <v>25</v>
      </c>
      <c r="AC4904">
        <v>0.67959999999999299</v>
      </c>
      <c r="AD4904">
        <v>-0.25432689999999902</v>
      </c>
      <c r="AE4904">
        <v>-0.124710000000014</v>
      </c>
      <c r="AF4904">
        <v>3.7698314978184697E-2</v>
      </c>
      <c r="AG4904">
        <v>-0.25432689999999902</v>
      </c>
      <c r="AH4904">
        <v>0.60733510687138403</v>
      </c>
      <c r="AI4904">
        <v>112.68270212144201</v>
      </c>
      <c r="AJ4904">
        <v>86.448111284045297</v>
      </c>
      <c r="AK4904">
        <v>0.65951441762426999</v>
      </c>
      <c r="AL4904">
        <v>79.196588797003102</v>
      </c>
      <c r="AM4904">
        <v>90.441875826375494</v>
      </c>
      <c r="AN4904">
        <v>1.00000001910863</v>
      </c>
    </row>
    <row r="4905" spans="1:40" x14ac:dyDescent="0.25">
      <c r="A4905" t="str">
        <f>"20190303162658571"</f>
        <v>20190303162658571</v>
      </c>
      <c r="B4905" t="str">
        <f>"1551601618559464"</f>
        <v>1551601618559464</v>
      </c>
      <c r="C4905" t="s">
        <v>40</v>
      </c>
      <c r="D4905">
        <v>5.5961860000000003</v>
      </c>
      <c r="E4905">
        <v>0.52698769999999995</v>
      </c>
      <c r="F4905" t="s">
        <v>42</v>
      </c>
      <c r="G4905">
        <v>-251.28229999999999</v>
      </c>
      <c r="H4905">
        <v>0.89743899999999999</v>
      </c>
      <c r="I4905">
        <v>-59.039000000000001</v>
      </c>
      <c r="J4905">
        <v>-251.84049999999999</v>
      </c>
      <c r="K4905">
        <v>1.117612</v>
      </c>
      <c r="L4905">
        <v>-58.933619999999998</v>
      </c>
      <c r="M4905">
        <v>0.99241040000000003</v>
      </c>
      <c r="N4905">
        <v>-1.4146509999999999E-2</v>
      </c>
      <c r="O4905">
        <v>-0.122154399999999</v>
      </c>
      <c r="P4905">
        <v>0.97879629999999995</v>
      </c>
      <c r="Q4905">
        <v>0.17253540000000001</v>
      </c>
      <c r="R4905">
        <v>-0.1104079</v>
      </c>
      <c r="S4905">
        <v>3.1801300000000001</v>
      </c>
      <c r="T4905">
        <v>-1.007781</v>
      </c>
      <c r="U4905">
        <v>-0.57159419999999905</v>
      </c>
      <c r="V4905">
        <v>-8.2920800000000003E-3</v>
      </c>
      <c r="W4905">
        <v>0.18653529999999999</v>
      </c>
      <c r="X4905">
        <v>0.98241330000000004</v>
      </c>
      <c r="Y4905">
        <v>5.7723789999999997E-2</v>
      </c>
      <c r="Z4905">
        <v>2.636674E-2</v>
      </c>
      <c r="AA4905">
        <v>0.99798430000000005</v>
      </c>
      <c r="AB4905">
        <v>25</v>
      </c>
      <c r="AC4905">
        <v>0.55819999999999903</v>
      </c>
      <c r="AD4905">
        <v>-0.22017300000000001</v>
      </c>
      <c r="AE4905">
        <v>-0.105379999999996</v>
      </c>
      <c r="AF4905">
        <v>3.1643624305969398E-2</v>
      </c>
      <c r="AG4905">
        <v>-0.22017300000000001</v>
      </c>
      <c r="AH4905">
        <v>0.49285419185061702</v>
      </c>
      <c r="AI4905">
        <v>114.02791349873399</v>
      </c>
      <c r="AJ4905">
        <v>86.326376012307605</v>
      </c>
      <c r="AK4905">
        <v>0.54072425811400604</v>
      </c>
      <c r="AL4905">
        <v>79.249343465630304</v>
      </c>
      <c r="AM4905">
        <v>90.483594741050894</v>
      </c>
      <c r="AN4905">
        <v>1.00000003437685</v>
      </c>
    </row>
    <row r="4906" spans="1:40" x14ac:dyDescent="0.25">
      <c r="A4906" t="str">
        <f>"20190303162658586"</f>
        <v>20190303162658586</v>
      </c>
      <c r="B4906" t="str">
        <f>"1551601618578985"</f>
        <v>1551601618578985</v>
      </c>
      <c r="C4906" t="s">
        <v>40</v>
      </c>
      <c r="D4906">
        <v>5.524546</v>
      </c>
      <c r="E4906">
        <v>0.53115279999999998</v>
      </c>
      <c r="F4906" t="s">
        <v>42</v>
      </c>
      <c r="G4906">
        <v>-251.0712</v>
      </c>
      <c r="H4906">
        <v>0.87147949999999996</v>
      </c>
      <c r="I4906">
        <v>-59.074550000000002</v>
      </c>
      <c r="J4906">
        <v>-251.66929999999999</v>
      </c>
      <c r="K4906">
        <v>1.1176619999999999</v>
      </c>
      <c r="L4906">
        <v>-58.958799999999997</v>
      </c>
      <c r="M4906">
        <v>0.99195</v>
      </c>
      <c r="N4906">
        <v>-1.414085E-2</v>
      </c>
      <c r="O4906">
        <v>-0.12583939999999999</v>
      </c>
      <c r="P4906">
        <v>0.97861640000000005</v>
      </c>
      <c r="Q4906">
        <v>0.17149790000000001</v>
      </c>
      <c r="R4906">
        <v>-0.1135719</v>
      </c>
      <c r="S4906">
        <v>3.1785580000000002</v>
      </c>
      <c r="T4906">
        <v>-1.016699</v>
      </c>
      <c r="U4906">
        <v>-0.58187869999999997</v>
      </c>
      <c r="V4906">
        <v>-8.8217850000000004E-3</v>
      </c>
      <c r="W4906">
        <v>0.18549840000000001</v>
      </c>
      <c r="X4906">
        <v>0.98260499999999995</v>
      </c>
      <c r="Y4906">
        <v>5.7448630000000001E-2</v>
      </c>
      <c r="Z4906">
        <v>2.7734200000000001E-2</v>
      </c>
      <c r="AA4906">
        <v>0.99796320000000005</v>
      </c>
      <c r="AB4906">
        <v>25</v>
      </c>
      <c r="AC4906">
        <v>0.59809999999998797</v>
      </c>
      <c r="AD4906">
        <v>-0.2461825</v>
      </c>
      <c r="AE4906">
        <v>-0.115750000000005</v>
      </c>
      <c r="AF4906">
        <v>3.4004525650090198E-2</v>
      </c>
      <c r="AG4906">
        <v>-0.2461825</v>
      </c>
      <c r="AH4906">
        <v>0.52257333618227597</v>
      </c>
      <c r="AI4906">
        <v>115.17832698524499</v>
      </c>
      <c r="AJ4906">
        <v>86.276938118161098</v>
      </c>
      <c r="AK4906">
        <v>0.57865794970743401</v>
      </c>
      <c r="AL4906">
        <v>79.309808775399702</v>
      </c>
      <c r="AM4906">
        <v>90.514385199057202</v>
      </c>
      <c r="AN4906">
        <v>1.0000000331590699</v>
      </c>
    </row>
    <row r="4907" spans="1:40" x14ac:dyDescent="0.25">
      <c r="A4907" t="str">
        <f>"20190303162658600"</f>
        <v>20190303162658600</v>
      </c>
      <c r="B4907" t="str">
        <f>"1551601618588743"</f>
        <v>1551601618588743</v>
      </c>
      <c r="C4907" t="s">
        <v>40</v>
      </c>
      <c r="D4907">
        <v>5.517468</v>
      </c>
      <c r="E4907">
        <v>0.53176409999999996</v>
      </c>
      <c r="F4907" t="s">
        <v>42</v>
      </c>
      <c r="G4907">
        <v>-250.87459999999999</v>
      </c>
      <c r="H4907">
        <v>0.81036529999999996</v>
      </c>
      <c r="I4907">
        <v>-59.114989999999999</v>
      </c>
      <c r="J4907">
        <v>-251.50630000000001</v>
      </c>
      <c r="K4907">
        <v>1.1177109999999999</v>
      </c>
      <c r="L4907">
        <v>-58.983310000000003</v>
      </c>
      <c r="M4907">
        <v>0.99150579999999999</v>
      </c>
      <c r="N4907">
        <v>-1.413476E-2</v>
      </c>
      <c r="O4907">
        <v>-0.12929280000000001</v>
      </c>
      <c r="P4907">
        <v>0.97871920000000001</v>
      </c>
      <c r="Q4907">
        <v>0.16974700000000001</v>
      </c>
      <c r="R4907">
        <v>-0.11530360000000001</v>
      </c>
      <c r="S4907">
        <v>3.209854</v>
      </c>
      <c r="T4907">
        <v>-1.241131</v>
      </c>
      <c r="U4907">
        <v>-0.63076779999999999</v>
      </c>
      <c r="V4907">
        <v>-1.059029E-2</v>
      </c>
      <c r="W4907">
        <v>0.1837598</v>
      </c>
      <c r="X4907">
        <v>0.98291410000000001</v>
      </c>
      <c r="Y4907">
        <v>6.770661E-2</v>
      </c>
      <c r="Z4907">
        <v>3.2804630000000001E-2</v>
      </c>
      <c r="AA4907">
        <v>0.99716579999999999</v>
      </c>
      <c r="AB4907">
        <v>25</v>
      </c>
      <c r="AC4907">
        <v>0.63170000000002302</v>
      </c>
      <c r="AD4907">
        <v>-0.3073457</v>
      </c>
      <c r="AE4907">
        <v>-0.13168000000000199</v>
      </c>
      <c r="AF4907">
        <v>3.9851380715929099E-2</v>
      </c>
      <c r="AG4907">
        <v>-0.3073457</v>
      </c>
      <c r="AH4907">
        <v>0.52444714433115602</v>
      </c>
      <c r="AI4907">
        <v>120.300002989139</v>
      </c>
      <c r="AJ4907">
        <v>85.654592799076397</v>
      </c>
      <c r="AK4907">
        <v>0.60917511361722598</v>
      </c>
      <c r="AL4907">
        <v>79.411165087341601</v>
      </c>
      <c r="AM4907">
        <v>90.617302613409095</v>
      </c>
      <c r="AN4907">
        <v>0.99999997315856604</v>
      </c>
    </row>
    <row r="4908" spans="1:40" x14ac:dyDescent="0.25">
      <c r="A4908" t="str">
        <f>"20190303162658620"</f>
        <v>20190303162658620</v>
      </c>
      <c r="B4908" t="str">
        <f>"1551601618609240"</f>
        <v>1551601618609240</v>
      </c>
      <c r="C4908" t="s">
        <v>40</v>
      </c>
      <c r="D4908">
        <v>5.5191860000000004</v>
      </c>
      <c r="E4908">
        <v>0.53308489999999997</v>
      </c>
      <c r="F4908" t="s">
        <v>42</v>
      </c>
      <c r="G4908">
        <v>-250.85140000000001</v>
      </c>
      <c r="H4908">
        <v>0.86733709999999997</v>
      </c>
      <c r="I4908">
        <v>-59.114660000000001</v>
      </c>
      <c r="J4908">
        <v>-251.28479999999999</v>
      </c>
      <c r="K4908">
        <v>1.117785</v>
      </c>
      <c r="L4908">
        <v>-59.017519999999998</v>
      </c>
      <c r="M4908">
        <v>0.99089550000000004</v>
      </c>
      <c r="N4908">
        <v>-1.412542E-2</v>
      </c>
      <c r="O4908">
        <v>-0.13389100000000001</v>
      </c>
      <c r="P4908">
        <v>0.97825479999999998</v>
      </c>
      <c r="Q4908">
        <v>0.16964319999999999</v>
      </c>
      <c r="R4908">
        <v>-0.1193268</v>
      </c>
      <c r="S4908">
        <v>3.201889</v>
      </c>
      <c r="T4908">
        <v>-1.2240599999999999</v>
      </c>
      <c r="U4908">
        <v>-0.64212040000000004</v>
      </c>
      <c r="V4908">
        <v>-1.1154819999999999E-2</v>
      </c>
      <c r="W4908">
        <v>0.1836487</v>
      </c>
      <c r="X4908">
        <v>0.98292860000000004</v>
      </c>
      <c r="Y4908">
        <v>6.7182309999999995E-2</v>
      </c>
      <c r="Z4908">
        <v>3.411728E-2</v>
      </c>
      <c r="AA4908">
        <v>0.99715719999999997</v>
      </c>
      <c r="AB4908">
        <v>25</v>
      </c>
      <c r="AC4908">
        <v>0.43339999999997703</v>
      </c>
      <c r="AD4908">
        <v>-0.2504479</v>
      </c>
      <c r="AE4908">
        <v>-9.7140000000003099E-2</v>
      </c>
      <c r="AF4908">
        <v>2.9007780355635799E-2</v>
      </c>
      <c r="AG4908">
        <v>-0.2504479</v>
      </c>
      <c r="AH4908">
        <v>0.33574995724380602</v>
      </c>
      <c r="AI4908">
        <v>126.618522865305</v>
      </c>
      <c r="AJ4908">
        <v>85.062079925924195</v>
      </c>
      <c r="AK4908">
        <v>0.41987335676938098</v>
      </c>
      <c r="AL4908">
        <v>79.417640649519399</v>
      </c>
      <c r="AM4908">
        <v>90.650196435234903</v>
      </c>
      <c r="AN4908">
        <v>0.99999995385943996</v>
      </c>
    </row>
    <row r="4909" spans="1:40" x14ac:dyDescent="0.25">
      <c r="A4909" t="str">
        <f>"20190303162658645"</f>
        <v>20190303162658645</v>
      </c>
      <c r="B4909" t="str">
        <f>"1551601618639496"</f>
        <v>1551601618639496</v>
      </c>
      <c r="C4909" t="s">
        <v>40</v>
      </c>
      <c r="D4909">
        <v>5.4282769999999996</v>
      </c>
      <c r="E4909">
        <v>0.53396390000000005</v>
      </c>
      <c r="F4909" t="s">
        <v>42</v>
      </c>
      <c r="G4909">
        <v>-250.6275</v>
      </c>
      <c r="H4909">
        <v>0.8739808</v>
      </c>
      <c r="I4909">
        <v>-59.153329999999997</v>
      </c>
      <c r="J4909">
        <v>-251.03280000000001</v>
      </c>
      <c r="K4909">
        <v>1.117904</v>
      </c>
      <c r="L4909">
        <v>-59.057560000000002</v>
      </c>
      <c r="M4909">
        <v>0.99019749999999995</v>
      </c>
      <c r="N4909">
        <v>-1.4113250000000001E-2</v>
      </c>
      <c r="O4909">
        <v>-0.13895979999999999</v>
      </c>
      <c r="P4909">
        <v>0.97797330000000005</v>
      </c>
      <c r="Q4909">
        <v>0.1681243</v>
      </c>
      <c r="R4909">
        <v>-0.1237043</v>
      </c>
      <c r="S4909">
        <v>3.1914829999999998</v>
      </c>
      <c r="T4909">
        <v>-1.183724</v>
      </c>
      <c r="U4909">
        <v>-0.6596069</v>
      </c>
      <c r="V4909">
        <v>-1.1892700000000001E-2</v>
      </c>
      <c r="W4909">
        <v>0.18212420000000001</v>
      </c>
      <c r="X4909">
        <v>0.98320359999999996</v>
      </c>
      <c r="Y4909">
        <v>6.7955550000000003E-2</v>
      </c>
      <c r="Z4909">
        <v>3.4638479999999999E-2</v>
      </c>
      <c r="AA4909">
        <v>0.9970869</v>
      </c>
      <c r="AB4909">
        <v>25</v>
      </c>
      <c r="AC4909">
        <v>0.40530000000001098</v>
      </c>
      <c r="AD4909">
        <v>-0.24392319999999901</v>
      </c>
      <c r="AE4909">
        <v>-9.5770000000008806E-2</v>
      </c>
      <c r="AF4909">
        <v>2.86770048502215E-2</v>
      </c>
      <c r="AG4909">
        <v>-0.24392319999999901</v>
      </c>
      <c r="AH4909">
        <v>0.30875738890225801</v>
      </c>
      <c r="AI4909">
        <v>128.18965618597599</v>
      </c>
      <c r="AJ4909">
        <v>84.693662150649899</v>
      </c>
      <c r="AK4909">
        <v>0.39452759511491597</v>
      </c>
      <c r="AL4909">
        <v>79.506486931738195</v>
      </c>
      <c r="AM4909">
        <v>90.693008333147304</v>
      </c>
      <c r="AN4909">
        <v>0.99999998979594495</v>
      </c>
    </row>
    <row r="4910" spans="1:40" x14ac:dyDescent="0.25">
      <c r="A4910" t="str">
        <f>"20190303162658659"</f>
        <v>20190303162658659</v>
      </c>
      <c r="B4910" t="str">
        <f>"1551601618649256"</f>
        <v>1551601618649256</v>
      </c>
      <c r="C4910" t="s">
        <v>40</v>
      </c>
      <c r="D4910">
        <v>5.5211030000000001</v>
      </c>
      <c r="E4910">
        <v>0.53433260000000005</v>
      </c>
      <c r="F4910" t="s">
        <v>42</v>
      </c>
      <c r="G4910">
        <v>-250.20930000000001</v>
      </c>
      <c r="H4910">
        <v>0.81692699999999996</v>
      </c>
      <c r="I4910">
        <v>-59.23171</v>
      </c>
      <c r="J4910">
        <v>-250.85579999999999</v>
      </c>
      <c r="K4910">
        <v>1.118001</v>
      </c>
      <c r="L4910">
        <v>-59.086359999999999</v>
      </c>
      <c r="M4910">
        <v>0.98971070000000005</v>
      </c>
      <c r="N4910">
        <v>-1.410347E-2</v>
      </c>
      <c r="O4910">
        <v>-0.14238580000000001</v>
      </c>
      <c r="P4910">
        <v>0.97790860000000002</v>
      </c>
      <c r="Q4910">
        <v>0.16640650000000001</v>
      </c>
      <c r="R4910">
        <v>-0.12650649999999999</v>
      </c>
      <c r="S4910">
        <v>3.1824189999999999</v>
      </c>
      <c r="T4910">
        <v>-1.162833</v>
      </c>
      <c r="U4910">
        <v>-0.67251590000000006</v>
      </c>
      <c r="V4910">
        <v>-1.258078E-2</v>
      </c>
      <c r="W4910">
        <v>0.1804027</v>
      </c>
      <c r="X4910">
        <v>0.98351239999999995</v>
      </c>
      <c r="Y4910">
        <v>6.8948250000000003E-2</v>
      </c>
      <c r="Z4910">
        <v>3.5057150000000002E-2</v>
      </c>
      <c r="AA4910">
        <v>0.99700409999999995</v>
      </c>
      <c r="AB4910">
        <v>25</v>
      </c>
      <c r="AC4910">
        <v>0.64649999999997398</v>
      </c>
      <c r="AD4910">
        <v>-0.30107399999999901</v>
      </c>
      <c r="AE4910">
        <v>-0.14535000000000001</v>
      </c>
      <c r="AF4910">
        <v>4.2942194742361398E-2</v>
      </c>
      <c r="AG4910">
        <v>-0.30107399999999901</v>
      </c>
      <c r="AH4910">
        <v>0.54756923182802397</v>
      </c>
      <c r="AI4910">
        <v>118.729538589152</v>
      </c>
      <c r="AJ4910">
        <v>85.515852791143402</v>
      </c>
      <c r="AK4910">
        <v>0.62635584870744399</v>
      </c>
      <c r="AL4910">
        <v>79.606783455456707</v>
      </c>
      <c r="AM4910">
        <v>90.732869545201197</v>
      </c>
      <c r="AN4910">
        <v>1.00000002557322</v>
      </c>
    </row>
    <row r="4911" spans="1:40" x14ac:dyDescent="0.25">
      <c r="A4911" t="str">
        <f>"20190303162658671"</f>
        <v>20190303162658671</v>
      </c>
      <c r="B4911" t="str">
        <f>"1551601618668776"</f>
        <v>1551601618668776</v>
      </c>
      <c r="C4911" t="s">
        <v>40</v>
      </c>
      <c r="D4911">
        <v>5.4757749999999996</v>
      </c>
      <c r="E4911">
        <v>0.53470640000000003</v>
      </c>
      <c r="F4911" t="s">
        <v>42</v>
      </c>
      <c r="G4911">
        <v>-250.18600000000001</v>
      </c>
      <c r="H4911">
        <v>0.87394680000000002</v>
      </c>
      <c r="I4911">
        <v>-59.230449999999998</v>
      </c>
      <c r="J4911">
        <v>-250.72219999999999</v>
      </c>
      <c r="K4911">
        <v>1.1180760000000001</v>
      </c>
      <c r="L4911">
        <v>-59.108460000000001</v>
      </c>
      <c r="M4911">
        <v>0.98934500000000003</v>
      </c>
      <c r="N4911">
        <v>-1.4095770000000001E-2</v>
      </c>
      <c r="O4911">
        <v>-0.14490729999999999</v>
      </c>
      <c r="P4911">
        <v>0.97814109999999999</v>
      </c>
      <c r="Q4911">
        <v>0.16439419999999999</v>
      </c>
      <c r="R4911">
        <v>-0.12733829999999999</v>
      </c>
      <c r="S4911">
        <v>3.1763460000000001</v>
      </c>
      <c r="T4911">
        <v>-1.1570659999999999</v>
      </c>
      <c r="U4911">
        <v>-0.68267819999999901</v>
      </c>
      <c r="V4911">
        <v>-1.435412E-2</v>
      </c>
      <c r="W4911">
        <v>0.17839920000000001</v>
      </c>
      <c r="X4911">
        <v>0.98385350000000005</v>
      </c>
      <c r="Y4911">
        <v>6.9894479999999995E-2</v>
      </c>
      <c r="Z4911">
        <v>3.5595349999999998E-2</v>
      </c>
      <c r="AA4911">
        <v>0.99691909999999895</v>
      </c>
      <c r="AB4911">
        <v>25</v>
      </c>
      <c r="AC4911">
        <v>0.536200000000008</v>
      </c>
      <c r="AD4911">
        <v>-0.24412919999999999</v>
      </c>
      <c r="AE4911">
        <v>-0.121989999999996</v>
      </c>
      <c r="AF4911">
        <v>3.5916340439961697E-2</v>
      </c>
      <c r="AG4911">
        <v>-0.24412919999999999</v>
      </c>
      <c r="AH4911">
        <v>0.45795842582097102</v>
      </c>
      <c r="AI4911">
        <v>117.988395419677</v>
      </c>
      <c r="AJ4911">
        <v>85.515638638041494</v>
      </c>
      <c r="AK4911">
        <v>0.52020666045684305</v>
      </c>
      <c r="AL4911">
        <v>79.7234685275955</v>
      </c>
      <c r="AM4911">
        <v>90.835868498847006</v>
      </c>
      <c r="AN4911">
        <v>1.0000000123919299</v>
      </c>
    </row>
    <row r="4912" spans="1:40" x14ac:dyDescent="0.25">
      <c r="A4912" t="str">
        <f>"20190303162658687"</f>
        <v>20190303162658687</v>
      </c>
      <c r="B4912" t="str">
        <f>"1551601618679511"</f>
        <v>1551601618679511</v>
      </c>
      <c r="C4912" t="s">
        <v>40</v>
      </c>
      <c r="D4912">
        <v>5.4865089999999999</v>
      </c>
      <c r="E4912">
        <v>0.53497859999999997</v>
      </c>
      <c r="F4912" t="s">
        <v>42</v>
      </c>
      <c r="G4912">
        <v>-249.97659999999999</v>
      </c>
      <c r="H4912">
        <v>0.84749660000000004</v>
      </c>
      <c r="I4912">
        <v>-59.269880000000001</v>
      </c>
      <c r="J4912">
        <v>-250.5497</v>
      </c>
      <c r="K4912">
        <v>1.1181669999999999</v>
      </c>
      <c r="L4912">
        <v>-59.137360000000001</v>
      </c>
      <c r="M4912">
        <v>0.98887290000000005</v>
      </c>
      <c r="N4912">
        <v>-1.4085759999999999E-2</v>
      </c>
      <c r="O4912">
        <v>-0.1480947</v>
      </c>
      <c r="P4912">
        <v>0.97890129999999997</v>
      </c>
      <c r="Q4912">
        <v>0.16129669999999999</v>
      </c>
      <c r="R4912">
        <v>-0.12544269999999999</v>
      </c>
      <c r="S4912">
        <v>3.1710820000000002</v>
      </c>
      <c r="T4912">
        <v>-1.150701</v>
      </c>
      <c r="U4912">
        <v>-0.68634030000000001</v>
      </c>
      <c r="V4912">
        <v>-1.9587770000000001E-2</v>
      </c>
      <c r="W4912">
        <v>0.17533309999999999</v>
      </c>
      <c r="X4912">
        <v>0.98431429999999998</v>
      </c>
      <c r="Y4912">
        <v>6.8358810000000006E-2</v>
      </c>
      <c r="Z4912">
        <v>3.6778249999999998E-2</v>
      </c>
      <c r="AA4912">
        <v>0.9969827</v>
      </c>
      <c r="AB4912">
        <v>25</v>
      </c>
      <c r="AC4912">
        <v>0.57310000000001005</v>
      </c>
      <c r="AD4912">
        <v>-0.27067039999999898</v>
      </c>
      <c r="AE4912">
        <v>-0.13252000000000599</v>
      </c>
      <c r="AF4912">
        <v>3.8108024321852098E-2</v>
      </c>
      <c r="AG4912">
        <v>-0.27067039999999898</v>
      </c>
      <c r="AH4912">
        <v>0.48393851888983203</v>
      </c>
      <c r="AI4912">
        <v>119.143221902915</v>
      </c>
      <c r="AJ4912">
        <v>85.497501150489597</v>
      </c>
      <c r="AK4912">
        <v>0.55579778428773796</v>
      </c>
      <c r="AL4912">
        <v>79.901957045044298</v>
      </c>
      <c r="AM4912">
        <v>91.140030618935896</v>
      </c>
      <c r="AN4912">
        <v>1.0000000089368299</v>
      </c>
    </row>
    <row r="4913" spans="1:40" x14ac:dyDescent="0.25">
      <c r="A4913" t="str">
        <f>"20190303162658698"</f>
        <v>20190303162658698</v>
      </c>
      <c r="B4913" t="str">
        <f>"1551601618689272"</f>
        <v>1551601618689272</v>
      </c>
      <c r="C4913" t="s">
        <v>40</v>
      </c>
      <c r="D4913">
        <v>5.4272019999999896</v>
      </c>
      <c r="E4913">
        <v>0.53523160000000003</v>
      </c>
      <c r="F4913" t="s">
        <v>42</v>
      </c>
      <c r="G4913">
        <v>-249.7628</v>
      </c>
      <c r="H4913">
        <v>0.83178600000000003</v>
      </c>
      <c r="I4913">
        <v>-59.306730000000002</v>
      </c>
      <c r="J4913">
        <v>-250.42509999999999</v>
      </c>
      <c r="K4913">
        <v>1.118242</v>
      </c>
      <c r="L4913">
        <v>-59.158540000000002</v>
      </c>
      <c r="M4913">
        <v>0.98853599999999997</v>
      </c>
      <c r="N4913">
        <v>-1.407841E-2</v>
      </c>
      <c r="O4913">
        <v>-0.15032809999999999</v>
      </c>
      <c r="P4913">
        <v>0.97906420000000005</v>
      </c>
      <c r="Q4913">
        <v>0.16076879999999999</v>
      </c>
      <c r="R4913">
        <v>-0.124847</v>
      </c>
      <c r="S4913">
        <v>3.1671909999999999</v>
      </c>
      <c r="T4913">
        <v>-1.1529830000000001</v>
      </c>
      <c r="U4913">
        <v>-0.6824036</v>
      </c>
      <c r="V4913">
        <v>-2.246741E-2</v>
      </c>
      <c r="W4913">
        <v>0.1748162</v>
      </c>
      <c r="X4913">
        <v>0.98434469999999996</v>
      </c>
      <c r="Y4913">
        <v>6.5506019999999998E-2</v>
      </c>
      <c r="Z4913">
        <v>3.8158190000000002E-2</v>
      </c>
      <c r="AA4913">
        <v>0.99712230000000002</v>
      </c>
      <c r="AB4913">
        <v>25</v>
      </c>
      <c r="AC4913">
        <v>0.66229999999998701</v>
      </c>
      <c r="AD4913">
        <v>-0.28645599999999899</v>
      </c>
      <c r="AE4913">
        <v>-0.14818999999999899</v>
      </c>
      <c r="AF4913">
        <v>3.9836541567082599E-2</v>
      </c>
      <c r="AG4913">
        <v>-0.28645599999999899</v>
      </c>
      <c r="AH4913">
        <v>0.57467255608846601</v>
      </c>
      <c r="AI4913">
        <v>116.440003793447</v>
      </c>
      <c r="AJ4913">
        <v>86.034576229520894</v>
      </c>
      <c r="AK4913">
        <v>0.64334480389700599</v>
      </c>
      <c r="AL4913">
        <v>79.932037617006699</v>
      </c>
      <c r="AM4913">
        <v>91.307534133020198</v>
      </c>
      <c r="AN4913">
        <v>0.99999998835631898</v>
      </c>
    </row>
    <row r="4914" spans="1:40" x14ac:dyDescent="0.25">
      <c r="A4914" t="str">
        <f>"20190303162658709"</f>
        <v>20190303162658709</v>
      </c>
      <c r="B4914" t="str">
        <f>"1551601618699032"</f>
        <v>1551601618699032</v>
      </c>
      <c r="C4914" t="s">
        <v>40</v>
      </c>
      <c r="D4914">
        <v>5.4261059999999999</v>
      </c>
      <c r="E4914">
        <v>0.53549849999999999</v>
      </c>
      <c r="F4914" t="s">
        <v>42</v>
      </c>
      <c r="G4914">
        <v>-249.74619999999999</v>
      </c>
      <c r="H4914">
        <v>0.871942199999999</v>
      </c>
      <c r="I4914">
        <v>-59.30471</v>
      </c>
      <c r="J4914">
        <v>-250.29640000000001</v>
      </c>
      <c r="K4914">
        <v>1.118325</v>
      </c>
      <c r="L4914">
        <v>-59.180689999999998</v>
      </c>
      <c r="M4914">
        <v>0.98819319999999999</v>
      </c>
      <c r="N4914">
        <v>-1.4070650000000001E-2</v>
      </c>
      <c r="O4914">
        <v>-0.1525657</v>
      </c>
      <c r="P4914">
        <v>0.97919199999999995</v>
      </c>
      <c r="Q4914">
        <v>0.16093740000000001</v>
      </c>
      <c r="R4914">
        <v>-0.12362289999999999</v>
      </c>
      <c r="S4914">
        <v>3.1657869999999999</v>
      </c>
      <c r="T4914">
        <v>-1.1489049999999901</v>
      </c>
      <c r="U4914">
        <v>-0.6824036</v>
      </c>
      <c r="V4914">
        <v>-2.5963710000000001E-2</v>
      </c>
      <c r="W4914">
        <v>0.17499600000000001</v>
      </c>
      <c r="X4914">
        <v>0.98422679999999996</v>
      </c>
      <c r="Y4914">
        <v>6.3554810000000003E-2</v>
      </c>
      <c r="Z4914">
        <v>3.9129120000000003E-2</v>
      </c>
      <c r="AA4914">
        <v>0.99721099999999996</v>
      </c>
      <c r="AB4914">
        <v>25</v>
      </c>
      <c r="AC4914">
        <v>0.55020000000001801</v>
      </c>
      <c r="AD4914">
        <v>-0.24638280000000001</v>
      </c>
      <c r="AE4914">
        <v>-0.124019999999994</v>
      </c>
      <c r="AF4914">
        <v>3.2429284269617498E-2</v>
      </c>
      <c r="AG4914">
        <v>-0.24638280000000001</v>
      </c>
      <c r="AH4914">
        <v>0.47250983921783302</v>
      </c>
      <c r="AI4914">
        <v>117.483923321345</v>
      </c>
      <c r="AJ4914">
        <v>86.0738342080286</v>
      </c>
      <c r="AK4914">
        <v>0.53387422748409696</v>
      </c>
      <c r="AL4914">
        <v>79.921575217715201</v>
      </c>
      <c r="AM4914">
        <v>91.511100972146593</v>
      </c>
      <c r="AN4914">
        <v>1.0000000540456</v>
      </c>
    </row>
    <row r="4915" spans="1:40" x14ac:dyDescent="0.25">
      <c r="A4915" t="str">
        <f>"20190303162658722"</f>
        <v>20190303162658722</v>
      </c>
      <c r="B4915" t="str">
        <f>"1551601618719527"</f>
        <v>1551601618719527</v>
      </c>
      <c r="C4915" t="s">
        <v>40</v>
      </c>
      <c r="D4915">
        <v>5.4469789999999998</v>
      </c>
      <c r="E4915">
        <v>0.53562749999999903</v>
      </c>
      <c r="F4915" t="s">
        <v>42</v>
      </c>
      <c r="G4915">
        <v>-249.53790000000001</v>
      </c>
      <c r="H4915">
        <v>0.84467209999999904</v>
      </c>
      <c r="I4915">
        <v>-59.344149999999999</v>
      </c>
      <c r="J4915">
        <v>-250.1644</v>
      </c>
      <c r="K4915">
        <v>1.1184130000000001</v>
      </c>
      <c r="L4915">
        <v>-59.203580000000002</v>
      </c>
      <c r="M4915">
        <v>0.98784179999999999</v>
      </c>
      <c r="N4915">
        <v>-1.406282E-2</v>
      </c>
      <c r="O4915">
        <v>-0.1548254</v>
      </c>
      <c r="P4915">
        <v>0.97926899999999995</v>
      </c>
      <c r="Q4915">
        <v>0.16137019999999999</v>
      </c>
      <c r="R4915">
        <v>-0.122442</v>
      </c>
      <c r="S4915">
        <v>3.165359</v>
      </c>
      <c r="T4915">
        <v>-1.141672</v>
      </c>
      <c r="U4915">
        <v>-0.68136600000000003</v>
      </c>
      <c r="V4915">
        <v>-2.9431780000000001E-2</v>
      </c>
      <c r="W4915">
        <v>0.1754378</v>
      </c>
      <c r="X4915">
        <v>0.98405050000000005</v>
      </c>
      <c r="Y4915">
        <v>6.1198019999999999E-2</v>
      </c>
      <c r="Z4915">
        <v>4.0051929999999999E-2</v>
      </c>
      <c r="AA4915">
        <v>0.99732169999999998</v>
      </c>
      <c r="AB4915">
        <v>25</v>
      </c>
      <c r="AC4915">
        <v>0.62649999999999295</v>
      </c>
      <c r="AD4915">
        <v>-0.27374089999999901</v>
      </c>
      <c r="AE4915">
        <v>-0.140569999999996</v>
      </c>
      <c r="AF4915">
        <v>3.5427527226101103E-2</v>
      </c>
      <c r="AG4915">
        <v>-0.27374089999999901</v>
      </c>
      <c r="AH4915">
        <v>0.54216448659373795</v>
      </c>
      <c r="AI4915">
        <v>116.740303157548</v>
      </c>
      <c r="AJ4915">
        <v>86.261344807050804</v>
      </c>
      <c r="AK4915">
        <v>0.60838435264363699</v>
      </c>
      <c r="AL4915">
        <v>79.895863831846597</v>
      </c>
      <c r="AM4915">
        <v>91.7131379162348</v>
      </c>
      <c r="AN4915">
        <v>1.0000000189465199</v>
      </c>
    </row>
    <row r="4916" spans="1:40" x14ac:dyDescent="0.25">
      <c r="A4916" t="str">
        <f>"20190303162658734"</f>
        <v>20190303162658734</v>
      </c>
      <c r="B4916" t="str">
        <f>"1551601618729288"</f>
        <v>1551601618729288</v>
      </c>
      <c r="C4916" t="s">
        <v>40</v>
      </c>
      <c r="D4916">
        <v>5.6507550000000002</v>
      </c>
      <c r="E4916">
        <v>0.53562749999999903</v>
      </c>
      <c r="F4916" t="s">
        <v>42</v>
      </c>
      <c r="G4916">
        <v>-249.5198</v>
      </c>
      <c r="H4916">
        <v>0.88706450000000003</v>
      </c>
      <c r="I4916">
        <v>-59.341929999999998</v>
      </c>
      <c r="J4916">
        <v>-250.04040000000001</v>
      </c>
      <c r="K4916">
        <v>1.118501</v>
      </c>
      <c r="L4916">
        <v>-59.2254</v>
      </c>
      <c r="M4916">
        <v>0.9875235</v>
      </c>
      <c r="N4916">
        <v>-1.4054759999999999E-2</v>
      </c>
      <c r="O4916">
        <v>-0.15684379999999901</v>
      </c>
      <c r="P4916">
        <v>0.97934200000000005</v>
      </c>
      <c r="Q4916">
        <v>0.162193</v>
      </c>
      <c r="R4916">
        <v>-0.12075959999999999</v>
      </c>
      <c r="S4916">
        <v>3.1658629999999999</v>
      </c>
      <c r="T4916">
        <v>-1.136028</v>
      </c>
      <c r="U4916">
        <v>-0.67871090000000001</v>
      </c>
      <c r="V4916">
        <v>-3.3149919999999999E-2</v>
      </c>
      <c r="W4916">
        <v>0.17626820000000001</v>
      </c>
      <c r="X4916">
        <v>0.98378379999999999</v>
      </c>
      <c r="Y4916">
        <v>5.854757E-2</v>
      </c>
      <c r="Z4916">
        <v>4.0983230000000002E-2</v>
      </c>
      <c r="AA4916">
        <v>0.99744299999999997</v>
      </c>
      <c r="AB4916">
        <v>25</v>
      </c>
      <c r="AC4916">
        <v>0.52060000000000095</v>
      </c>
      <c r="AD4916">
        <v>-0.23143649999999999</v>
      </c>
      <c r="AE4916">
        <v>-0.11653000000000401</v>
      </c>
      <c r="AF4916">
        <v>2.8132035682917202E-2</v>
      </c>
      <c r="AG4916">
        <v>-0.23143649999999999</v>
      </c>
      <c r="AH4916">
        <v>0.44810096569255098</v>
      </c>
      <c r="AI4916">
        <v>117.26966116497699</v>
      </c>
      <c r="AJ4916">
        <v>86.407652769984693</v>
      </c>
      <c r="AK4916">
        <v>0.50512250040808104</v>
      </c>
      <c r="AL4916">
        <v>79.8475318413428</v>
      </c>
      <c r="AM4916">
        <v>91.929928230132205</v>
      </c>
      <c r="AN4916">
        <v>0.99999998033484205</v>
      </c>
    </row>
    <row r="4917" spans="1:40" x14ac:dyDescent="0.25">
      <c r="A4917" t="str">
        <f>"20190303162658744"</f>
        <v>20190303162658744</v>
      </c>
      <c r="B4917" t="str">
        <f>"1551601618739048"</f>
        <v>1551601618739048</v>
      </c>
      <c r="C4917" t="s">
        <v>40</v>
      </c>
      <c r="D4917">
        <v>5.319966</v>
      </c>
      <c r="E4917">
        <v>0.53422510000000001</v>
      </c>
      <c r="F4917" t="s">
        <v>42</v>
      </c>
      <c r="G4917">
        <v>-249.31280000000001</v>
      </c>
      <c r="H4917">
        <v>0.85822670000000001</v>
      </c>
      <c r="I4917">
        <v>-59.38044</v>
      </c>
      <c r="J4917">
        <v>-249.91829999999999</v>
      </c>
      <c r="K4917">
        <v>1.118598</v>
      </c>
      <c r="L4917">
        <v>-59.246980000000001</v>
      </c>
      <c r="M4917">
        <v>0.98720960000000002</v>
      </c>
      <c r="N4917">
        <v>-1.4047E-2</v>
      </c>
      <c r="O4917">
        <v>-0.1588087</v>
      </c>
      <c r="P4917">
        <v>0.97944869999999995</v>
      </c>
      <c r="Q4917">
        <v>0.16278190000000001</v>
      </c>
      <c r="R4917">
        <v>-0.119089899999999</v>
      </c>
      <c r="S4917">
        <v>3.1677249999999999</v>
      </c>
      <c r="T4917">
        <v>-1.133062</v>
      </c>
      <c r="U4917">
        <v>-0.67483519999999997</v>
      </c>
      <c r="V4917">
        <v>-3.6809399999999999E-2</v>
      </c>
      <c r="W4917">
        <v>0.176863299999999</v>
      </c>
      <c r="X4917">
        <v>0.9835469</v>
      </c>
      <c r="Y4917">
        <v>5.5531200000000003E-2</v>
      </c>
      <c r="Z4917">
        <v>4.2035419999999997E-2</v>
      </c>
      <c r="AA4917">
        <v>0.99757169999999895</v>
      </c>
      <c r="AB4917">
        <v>25</v>
      </c>
      <c r="AC4917">
        <v>0.60549999999997794</v>
      </c>
      <c r="AD4917">
        <v>-0.26037130000000003</v>
      </c>
      <c r="AE4917">
        <v>-0.133459999999992</v>
      </c>
      <c r="AF4917">
        <v>3.0261466481033401E-2</v>
      </c>
      <c r="AG4917">
        <v>-0.26037130000000003</v>
      </c>
      <c r="AH4917">
        <v>0.52621689408714201</v>
      </c>
      <c r="AI4917">
        <v>116.288556140788</v>
      </c>
      <c r="AJ4917">
        <v>86.708682754495996</v>
      </c>
      <c r="AK4917">
        <v>0.58788875634765403</v>
      </c>
      <c r="AL4917">
        <v>79.812891400562805</v>
      </c>
      <c r="AM4917">
        <v>92.143303415904498</v>
      </c>
      <c r="AN4917">
        <v>1.00000003165742</v>
      </c>
    </row>
    <row r="4918" spans="1:40" x14ac:dyDescent="0.25">
      <c r="A4918" t="str">
        <f>"20190303162658756"</f>
        <v>20190303162658756</v>
      </c>
      <c r="B4918" t="str">
        <f>"1551601618748808"</f>
        <v>1551601618748808</v>
      </c>
      <c r="C4918" t="s">
        <v>40</v>
      </c>
      <c r="D4918">
        <v>5.0312989999999997</v>
      </c>
      <c r="E4918">
        <v>0.53422510000000001</v>
      </c>
      <c r="F4918" t="s">
        <v>42</v>
      </c>
      <c r="G4918">
        <v>-249.1027</v>
      </c>
      <c r="H4918">
        <v>0.83577099999999904</v>
      </c>
      <c r="I4918">
        <v>-59.41675</v>
      </c>
      <c r="J4918">
        <v>-249.78</v>
      </c>
      <c r="K4918">
        <v>1.1187009999999999</v>
      </c>
      <c r="L4918">
        <v>-59.271700000000003</v>
      </c>
      <c r="M4918">
        <v>0.98686549999999995</v>
      </c>
      <c r="N4918">
        <v>-1.403775E-2</v>
      </c>
      <c r="O4918">
        <v>-0.160933299999999</v>
      </c>
      <c r="P4918">
        <v>0.97956840000000001</v>
      </c>
      <c r="Q4918">
        <v>0.16349520000000001</v>
      </c>
      <c r="R4918">
        <v>-0.1171121</v>
      </c>
      <c r="S4918">
        <v>3.1653289999999998</v>
      </c>
      <c r="T4918">
        <v>-1.0973679999999999</v>
      </c>
      <c r="U4918">
        <v>-0.65808109999999997</v>
      </c>
      <c r="V4918">
        <v>-4.0940200000000003E-2</v>
      </c>
      <c r="W4918">
        <v>0.17758090000000001</v>
      </c>
      <c r="X4918">
        <v>0.98325430000000003</v>
      </c>
      <c r="Y4918">
        <v>4.8659389999999997E-2</v>
      </c>
      <c r="Z4918">
        <v>4.2624330000000002E-2</v>
      </c>
      <c r="AA4918">
        <v>0.9979055</v>
      </c>
      <c r="AB4918">
        <v>25</v>
      </c>
      <c r="AC4918">
        <v>0.67730000000000201</v>
      </c>
      <c r="AD4918">
        <v>-0.28293000000000001</v>
      </c>
      <c r="AE4918">
        <v>-0.14504999999999699</v>
      </c>
      <c r="AF4918">
        <v>2.9265238126317601E-2</v>
      </c>
      <c r="AG4918">
        <v>-0.28293000000000001</v>
      </c>
      <c r="AH4918">
        <v>0.59289265558731197</v>
      </c>
      <c r="AI4918">
        <v>115.483517863646</v>
      </c>
      <c r="AJ4918">
        <v>87.174168329896006</v>
      </c>
      <c r="AK4918">
        <v>0.65759222935795503</v>
      </c>
      <c r="AL4918">
        <v>79.771114821787094</v>
      </c>
      <c r="AM4918">
        <v>92.384272835861395</v>
      </c>
      <c r="AN4918">
        <v>1.00000004724466</v>
      </c>
    </row>
    <row r="4919" spans="1:40" x14ac:dyDescent="0.25">
      <c r="A4919" t="str">
        <f>"20190303162658771"</f>
        <v>20190303162658771</v>
      </c>
      <c r="B4919" t="str">
        <f>"1551601618759544"</f>
        <v>1551601618759544</v>
      </c>
      <c r="C4919" t="s">
        <v>40</v>
      </c>
      <c r="D4919">
        <v>5.0579029999999996</v>
      </c>
      <c r="E4919">
        <v>0.49471769999999998</v>
      </c>
      <c r="F4919" t="s">
        <v>42</v>
      </c>
      <c r="G4919">
        <v>-249.0848</v>
      </c>
      <c r="H4919">
        <v>0.87826029999999999</v>
      </c>
      <c r="I4919">
        <v>-59.415140000000001</v>
      </c>
      <c r="J4919">
        <v>-249.63589999999999</v>
      </c>
      <c r="K4919">
        <v>1.118811</v>
      </c>
      <c r="L4919">
        <v>-59.297730000000001</v>
      </c>
      <c r="M4919">
        <v>0.98651390000000005</v>
      </c>
      <c r="N4919">
        <v>-1.4028179999999999E-2</v>
      </c>
      <c r="O4919">
        <v>-0.16307539999999901</v>
      </c>
      <c r="P4919">
        <v>0.97973169999999998</v>
      </c>
      <c r="Q4919">
        <v>0.1641851</v>
      </c>
      <c r="R4919">
        <v>-0.1147576</v>
      </c>
      <c r="S4919">
        <v>3.167297</v>
      </c>
      <c r="T4919">
        <v>-1.09493</v>
      </c>
      <c r="U4919">
        <v>-0.65246579999999998</v>
      </c>
      <c r="V4919">
        <v>-4.5469620000000002E-2</v>
      </c>
      <c r="W4919">
        <v>0.1782744</v>
      </c>
      <c r="X4919">
        <v>0.98292970000000002</v>
      </c>
      <c r="Y4919">
        <v>4.4960420000000001E-2</v>
      </c>
      <c r="Z4919">
        <v>4.3826450000000003E-2</v>
      </c>
      <c r="AA4919">
        <v>0.998027</v>
      </c>
      <c r="AB4919">
        <v>25</v>
      </c>
      <c r="AC4919">
        <v>0.55109999999999004</v>
      </c>
      <c r="AD4919">
        <v>-0.24055069999999901</v>
      </c>
      <c r="AE4919">
        <v>-0.117409999999999</v>
      </c>
      <c r="AF4919">
        <v>2.1956636082621502E-2</v>
      </c>
      <c r="AG4919">
        <v>-0.24055069999999901</v>
      </c>
      <c r="AH4919">
        <v>0.47609935499531197</v>
      </c>
      <c r="AI4919">
        <v>116.78084107599901</v>
      </c>
      <c r="AJ4919">
        <v>87.359517863556903</v>
      </c>
      <c r="AK4919">
        <v>0.53387014241808495</v>
      </c>
      <c r="AL4919">
        <v>79.730735629998307</v>
      </c>
      <c r="AM4919">
        <v>92.648573325939907</v>
      </c>
      <c r="AN4919">
        <v>1.0000000215901901</v>
      </c>
    </row>
    <row r="4920" spans="1:40" x14ac:dyDescent="0.25">
      <c r="A4920" t="str">
        <f>"20190303162658783"</f>
        <v>20190303162658783</v>
      </c>
      <c r="B4920" t="str">
        <f>"1551601618779063"</f>
        <v>1551601618779063</v>
      </c>
      <c r="C4920" t="s">
        <v>40</v>
      </c>
      <c r="D4920">
        <v>5.5701390000000002</v>
      </c>
      <c r="E4920">
        <v>0.48670289999999999</v>
      </c>
      <c r="F4920" t="s">
        <v>70</v>
      </c>
      <c r="G4920">
        <v>-224.76140000000001</v>
      </c>
      <c r="H4920" s="1">
        <v>-1.490064E-6</v>
      </c>
      <c r="I4920">
        <v>-61.86506</v>
      </c>
      <c r="J4920">
        <v>-249.4915</v>
      </c>
      <c r="K4920">
        <v>1.118924</v>
      </c>
      <c r="L4920">
        <v>-59.324010000000001</v>
      </c>
      <c r="M4920">
        <v>0.98616680000000001</v>
      </c>
      <c r="N4920">
        <v>-1.401874E-2</v>
      </c>
      <c r="O4920">
        <v>-0.16516249999999999</v>
      </c>
      <c r="P4920">
        <v>0.97976770000000002</v>
      </c>
      <c r="Q4920">
        <v>0.16523689999999999</v>
      </c>
      <c r="R4920">
        <v>-0.11292480000000001</v>
      </c>
      <c r="S4920">
        <v>3.048187</v>
      </c>
      <c r="T4920">
        <v>-0.137102</v>
      </c>
      <c r="U4920">
        <v>-0.31460569999999999</v>
      </c>
      <c r="V4920">
        <v>-4.9406110000000003E-2</v>
      </c>
      <c r="W4920">
        <v>0.17932339999999999</v>
      </c>
      <c r="X4920">
        <v>0.9825488</v>
      </c>
      <c r="Y4920">
        <v>-6.2891829999999996E-2</v>
      </c>
      <c r="Z4920">
        <v>6.8947879999999998E-3</v>
      </c>
      <c r="AA4920">
        <v>0.99799649999999995</v>
      </c>
      <c r="AB4920">
        <v>25</v>
      </c>
      <c r="AC4920">
        <v>24.7301</v>
      </c>
      <c r="AD4920">
        <v>-1.118925490064</v>
      </c>
      <c r="AE4920">
        <v>-2.5410499999999998</v>
      </c>
      <c r="AF4920">
        <v>-1.5755493318195199</v>
      </c>
      <c r="AG4920">
        <v>-1.118925490064</v>
      </c>
      <c r="AH4920">
        <v>24.7599681977992</v>
      </c>
      <c r="AI4920">
        <v>92.582272327062697</v>
      </c>
      <c r="AJ4920">
        <v>93.640989338480694</v>
      </c>
      <c r="AK4920">
        <v>24.8352647480421</v>
      </c>
      <c r="AL4920">
        <v>79.669647688572198</v>
      </c>
      <c r="AM4920">
        <v>92.878614672569896</v>
      </c>
      <c r="AN4920">
        <v>0.99999999493716596</v>
      </c>
    </row>
    <row r="4921" spans="1:40" x14ac:dyDescent="0.25">
      <c r="A4921" t="str">
        <f>"20190303162658799"</f>
        <v>20190303162658799</v>
      </c>
      <c r="B4921" t="str">
        <f>"1551601618788824"</f>
        <v>1551601618788824</v>
      </c>
      <c r="C4921" t="s">
        <v>40</v>
      </c>
      <c r="D4921">
        <v>5.5011929999999998</v>
      </c>
      <c r="E4921">
        <v>0.48691250000000003</v>
      </c>
      <c r="F4921" t="s">
        <v>59</v>
      </c>
      <c r="G4921">
        <v>-201.33600000000001</v>
      </c>
      <c r="H4921" s="1">
        <v>-5.1849649999999996E-6</v>
      </c>
      <c r="I4921">
        <v>-63.192349999999998</v>
      </c>
      <c r="J4921">
        <v>-249.31809999999999</v>
      </c>
      <c r="K4921">
        <v>1.1190599999999999</v>
      </c>
      <c r="L4921">
        <v>-59.355829999999997</v>
      </c>
      <c r="M4921">
        <v>0.98576730000000001</v>
      </c>
      <c r="N4921">
        <v>-1.400731E-2</v>
      </c>
      <c r="O4921">
        <v>-0.16753109999999999</v>
      </c>
      <c r="P4921">
        <v>0.98004659999999999</v>
      </c>
      <c r="Q4921">
        <v>0.167192799999999</v>
      </c>
      <c r="R4921">
        <v>-0.10749640000000001</v>
      </c>
      <c r="S4921">
        <v>3.0456699999999999</v>
      </c>
      <c r="T4921">
        <v>-7.0768479999999995E-2</v>
      </c>
      <c r="U4921">
        <v>-0.2446594</v>
      </c>
      <c r="V4921">
        <v>-5.7213840000000002E-2</v>
      </c>
      <c r="W4921">
        <v>0.18128530000000001</v>
      </c>
      <c r="X4921">
        <v>0.98176490000000005</v>
      </c>
      <c r="Y4921">
        <v>-8.8024599999999995E-2</v>
      </c>
      <c r="Z4921">
        <v>3.148947E-3</v>
      </c>
      <c r="AA4921">
        <v>0.99611329999999998</v>
      </c>
      <c r="AB4921">
        <v>25</v>
      </c>
      <c r="AC4921">
        <v>47.982100000000003</v>
      </c>
      <c r="AD4921">
        <v>-1.119065184965</v>
      </c>
      <c r="AE4921">
        <v>-3.8365199999999899</v>
      </c>
      <c r="AF4921">
        <v>-4.25469597545972</v>
      </c>
      <c r="AG4921">
        <v>-1.119065184965</v>
      </c>
      <c r="AH4921">
        <v>47.920723946970199</v>
      </c>
      <c r="AI4921">
        <v>91.332512469443898</v>
      </c>
      <c r="AJ4921">
        <v>95.073766725981699</v>
      </c>
      <c r="AK4921">
        <v>48.122245670100597</v>
      </c>
      <c r="AL4921">
        <v>79.555366695741</v>
      </c>
      <c r="AM4921">
        <v>93.335226301423901</v>
      </c>
      <c r="AN4921">
        <v>1.00000005117782</v>
      </c>
    </row>
    <row r="4922" spans="1:40" x14ac:dyDescent="0.25">
      <c r="A4922" t="str">
        <f>"20190303162658814"</f>
        <v>20190303162658814</v>
      </c>
      <c r="B4922" t="str">
        <f>"1551601618799560"</f>
        <v>1551601618799560</v>
      </c>
      <c r="C4922" t="s">
        <v>40</v>
      </c>
      <c r="D4922">
        <v>5.4938859999999998</v>
      </c>
      <c r="E4922">
        <v>0.48753609999999997</v>
      </c>
      <c r="F4922" t="s">
        <v>59</v>
      </c>
      <c r="G4922">
        <v>-200.70230000000001</v>
      </c>
      <c r="H4922" s="1">
        <v>-5.4978139999999899E-6</v>
      </c>
      <c r="I4922">
        <v>-63.01934</v>
      </c>
      <c r="J4922">
        <v>-249.16300000000001</v>
      </c>
      <c r="K4922">
        <v>1.1191719999999901</v>
      </c>
      <c r="L4922">
        <v>-59.384639999999997</v>
      </c>
      <c r="M4922">
        <v>0.98542399999999997</v>
      </c>
      <c r="N4922">
        <v>-1.39972E-2</v>
      </c>
      <c r="O4922">
        <v>-0.16954040000000001</v>
      </c>
      <c r="P4922">
        <v>0.98002940000000005</v>
      </c>
      <c r="Q4922">
        <v>0.16792199999999999</v>
      </c>
      <c r="R4922">
        <v>-0.10651389999999999</v>
      </c>
      <c r="S4922">
        <v>3.0478519999999998</v>
      </c>
      <c r="T4922">
        <v>-7.0157289999999997E-2</v>
      </c>
      <c r="U4922">
        <v>-0.2296753</v>
      </c>
      <c r="V4922">
        <v>-6.0230600000000002E-2</v>
      </c>
      <c r="W4922">
        <v>0.18200079999999999</v>
      </c>
      <c r="X4922">
        <v>0.98145199999999999</v>
      </c>
      <c r="Y4922">
        <v>-9.4975610000000002E-2</v>
      </c>
      <c r="Z4922">
        <v>3.2511979999999998E-3</v>
      </c>
      <c r="AA4922">
        <v>0.99547430000000003</v>
      </c>
      <c r="AB4922">
        <v>25</v>
      </c>
      <c r="AC4922">
        <v>48.460699999999903</v>
      </c>
      <c r="AD4922">
        <v>-1.1191774978140001</v>
      </c>
      <c r="AE4922">
        <v>-3.6346999999999898</v>
      </c>
      <c r="AF4922">
        <v>-4.6323222730108302</v>
      </c>
      <c r="AG4922">
        <v>-1.1191774978140001</v>
      </c>
      <c r="AH4922">
        <v>48.349653090386603</v>
      </c>
      <c r="AI4922">
        <v>91.319979613681596</v>
      </c>
      <c r="AJ4922">
        <v>95.472735368244898</v>
      </c>
      <c r="AK4922">
        <v>48.583947162343499</v>
      </c>
      <c r="AL4922">
        <v>79.513677750822097</v>
      </c>
      <c r="AM4922">
        <v>93.511773044208496</v>
      </c>
      <c r="AN4922">
        <v>1.0000000223404899</v>
      </c>
    </row>
    <row r="4923" spans="1:40" x14ac:dyDescent="0.25">
      <c r="A4923" t="str">
        <f>"20190303162658829"</f>
        <v>20190303162658829</v>
      </c>
      <c r="B4923" t="str">
        <f>"1551601618820056"</f>
        <v>1551601618820056</v>
      </c>
      <c r="C4923" t="s">
        <v>40</v>
      </c>
      <c r="D4923">
        <v>5.4801469999999997</v>
      </c>
      <c r="E4923">
        <v>0.4882475</v>
      </c>
      <c r="F4923" t="s">
        <v>59</v>
      </c>
      <c r="G4923">
        <v>-204.55600000000001</v>
      </c>
      <c r="H4923" s="1">
        <v>-3.6476800000000001E-6</v>
      </c>
      <c r="I4923">
        <v>-62.765650000000001</v>
      </c>
      <c r="J4923">
        <v>-248.9991</v>
      </c>
      <c r="K4923">
        <v>1.1193</v>
      </c>
      <c r="L4923">
        <v>-59.415280000000003</v>
      </c>
      <c r="M4923">
        <v>0.98507429999999996</v>
      </c>
      <c r="N4923">
        <v>-1.398654E-2</v>
      </c>
      <c r="O4923">
        <v>-0.17156080000000001</v>
      </c>
      <c r="P4923">
        <v>0.98004360000000001</v>
      </c>
      <c r="Q4923">
        <v>0.1684541</v>
      </c>
      <c r="R4923">
        <v>-0.1055364</v>
      </c>
      <c r="S4923">
        <v>3.0491329999999999</v>
      </c>
      <c r="T4923">
        <v>-7.6501849999999996E-2</v>
      </c>
      <c r="U4923">
        <v>-0.2311096</v>
      </c>
      <c r="V4923">
        <v>-6.3265199999999994E-2</v>
      </c>
      <c r="W4923">
        <v>0.1825157</v>
      </c>
      <c r="X4923">
        <v>0.98116539999999997</v>
      </c>
      <c r="Y4923">
        <v>-9.6572259999999993E-2</v>
      </c>
      <c r="Z4923">
        <v>3.75173E-3</v>
      </c>
      <c r="AA4923">
        <v>0.99531890000000001</v>
      </c>
      <c r="AB4923">
        <v>25</v>
      </c>
      <c r="AC4923">
        <v>44.443100000000001</v>
      </c>
      <c r="AD4923">
        <v>-1.11930364768</v>
      </c>
      <c r="AE4923">
        <v>-3.3503699999999901</v>
      </c>
      <c r="AF4923">
        <v>-4.3220272837629796</v>
      </c>
      <c r="AG4923">
        <v>-1.11930364768</v>
      </c>
      <c r="AH4923">
        <v>44.330924692807201</v>
      </c>
      <c r="AI4923">
        <v>91.439521269650299</v>
      </c>
      <c r="AJ4923">
        <v>95.568432531457901</v>
      </c>
      <c r="AK4923">
        <v>44.555175284321898</v>
      </c>
      <c r="AL4923">
        <v>79.483673412940902</v>
      </c>
      <c r="AM4923">
        <v>93.689304458467106</v>
      </c>
      <c r="AN4923">
        <v>1.00000000421734</v>
      </c>
    </row>
    <row r="4924" spans="1:40" x14ac:dyDescent="0.25">
      <c r="A4924" t="str">
        <f>"20190303162658845"</f>
        <v>20190303162658845</v>
      </c>
      <c r="B4924" t="str">
        <f>"1551601618828841"</f>
        <v>1551601618828841</v>
      </c>
      <c r="C4924" t="s">
        <v>40</v>
      </c>
      <c r="D4924">
        <v>5.4694149999999997</v>
      </c>
      <c r="E4924">
        <v>0.48863580000000001</v>
      </c>
      <c r="F4924" t="s">
        <v>71</v>
      </c>
      <c r="G4924">
        <v>-212.5342</v>
      </c>
      <c r="H4924" s="1">
        <v>-5.4205539999999996E-7</v>
      </c>
      <c r="I4924">
        <v>-62.209670000000003</v>
      </c>
      <c r="J4924">
        <v>-248.828</v>
      </c>
      <c r="K4924">
        <v>1.1194440000000001</v>
      </c>
      <c r="L4924">
        <v>-59.447420000000001</v>
      </c>
      <c r="M4924">
        <v>0.98472760000000004</v>
      </c>
      <c r="N4924">
        <v>-1.3975339999999999E-2</v>
      </c>
      <c r="O4924">
        <v>-0.17354069999999999</v>
      </c>
      <c r="P4924">
        <v>0.98025949999999995</v>
      </c>
      <c r="Q4924">
        <v>0.16973669999999999</v>
      </c>
      <c r="R4924">
        <v>-0.1013942</v>
      </c>
      <c r="S4924">
        <v>3.0520019999999999</v>
      </c>
      <c r="T4924">
        <v>-9.3682050000000003E-2</v>
      </c>
      <c r="U4924">
        <v>-0.2338867</v>
      </c>
      <c r="V4924">
        <v>-6.9413509999999998E-2</v>
      </c>
      <c r="W4924">
        <v>0.18378549999999999</v>
      </c>
      <c r="X4924">
        <v>0.98051239999999995</v>
      </c>
      <c r="Y4924">
        <v>-9.77103E-2</v>
      </c>
      <c r="Z4924">
        <v>5.0349640000000003E-3</v>
      </c>
      <c r="AA4924">
        <v>0.99520220000000004</v>
      </c>
      <c r="AB4924">
        <v>25</v>
      </c>
      <c r="AC4924">
        <v>36.293799999999997</v>
      </c>
      <c r="AD4924">
        <v>-1.11944454205539</v>
      </c>
      <c r="AE4924">
        <v>-2.7622499999999999</v>
      </c>
      <c r="AF4924">
        <v>-3.5753550844263802</v>
      </c>
      <c r="AG4924">
        <v>-1.11944454205539</v>
      </c>
      <c r="AH4924">
        <v>36.188175124617601</v>
      </c>
      <c r="AI4924">
        <v>91.763242529634795</v>
      </c>
      <c r="AJ4924">
        <v>95.642453471402703</v>
      </c>
      <c r="AK4924">
        <v>36.381593408102198</v>
      </c>
      <c r="AL4924">
        <v>79.409666888580105</v>
      </c>
      <c r="AM4924">
        <v>94.049390000771595</v>
      </c>
      <c r="AN4924">
        <v>0.99999995596726399</v>
      </c>
    </row>
    <row r="4925" spans="1:40" x14ac:dyDescent="0.25">
      <c r="A4925" t="str">
        <f>"20190303162658866"</f>
        <v>20190303162658866</v>
      </c>
      <c r="B4925" t="str">
        <f>"1551601618859097"</f>
        <v>1551601618859097</v>
      </c>
      <c r="C4925" t="s">
        <v>40</v>
      </c>
      <c r="D4925">
        <v>5.4537139999999997</v>
      </c>
      <c r="E4925">
        <v>0.4897147</v>
      </c>
      <c r="F4925" t="s">
        <v>71</v>
      </c>
      <c r="G4925">
        <v>-213.58600000000001</v>
      </c>
      <c r="H4925" s="1">
        <v>-9.4706589999999997E-7</v>
      </c>
      <c r="I4925">
        <v>-62.036099999999998</v>
      </c>
      <c r="J4925">
        <v>-248.59020000000001</v>
      </c>
      <c r="K4925">
        <v>1.1196520000000001</v>
      </c>
      <c r="L4925">
        <v>-59.492519999999899</v>
      </c>
      <c r="M4925">
        <v>0.98428669999999996</v>
      </c>
      <c r="N4925">
        <v>-1.3959539999999999E-2</v>
      </c>
      <c r="O4925">
        <v>-0.1760253</v>
      </c>
      <c r="P4925">
        <v>0.98054439999999998</v>
      </c>
      <c r="Q4925">
        <v>0.1697275</v>
      </c>
      <c r="R4925">
        <v>-9.8616319999999993E-2</v>
      </c>
      <c r="S4925">
        <v>3.054001</v>
      </c>
      <c r="T4925">
        <v>-9.7008819999999996E-2</v>
      </c>
      <c r="U4925">
        <v>-0.2243347</v>
      </c>
      <c r="V4925">
        <v>-7.4769710000000003E-2</v>
      </c>
      <c r="W4925">
        <v>0.1837434</v>
      </c>
      <c r="X4925">
        <v>0.98012639999999995</v>
      </c>
      <c r="Y4925">
        <v>-0.1033536</v>
      </c>
      <c r="Z4925">
        <v>5.4456610000000001E-3</v>
      </c>
      <c r="AA4925">
        <v>0.99462969999999895</v>
      </c>
      <c r="AB4925">
        <v>25</v>
      </c>
      <c r="AC4925">
        <v>35.004199999999997</v>
      </c>
      <c r="AD4925">
        <v>-1.1196529470659</v>
      </c>
      <c r="AE4925">
        <v>-2.54358</v>
      </c>
      <c r="AF4925">
        <v>-3.6546496535675601</v>
      </c>
      <c r="AG4925">
        <v>-1.1196529470659</v>
      </c>
      <c r="AH4925">
        <v>34.869814019341902</v>
      </c>
      <c r="AI4925">
        <v>91.829096196877202</v>
      </c>
      <c r="AJ4925">
        <v>95.983234959691401</v>
      </c>
      <c r="AK4925">
        <v>35.0786832215191</v>
      </c>
      <c r="AL4925">
        <v>79.412120802075904</v>
      </c>
      <c r="AM4925">
        <v>94.362404136320507</v>
      </c>
      <c r="AN4925">
        <v>0.99999995327699998</v>
      </c>
    </row>
    <row r="4926" spans="1:40" x14ac:dyDescent="0.25">
      <c r="A4926" t="str">
        <f>"20190303162658877"</f>
        <v>20190303162658877</v>
      </c>
      <c r="B4926" t="str">
        <f>"1551601618868855"</f>
        <v>1551601618868855</v>
      </c>
      <c r="C4926" t="s">
        <v>40</v>
      </c>
      <c r="D4926">
        <v>5.3871589999999996</v>
      </c>
      <c r="E4926">
        <v>0.49008809999999903</v>
      </c>
      <c r="F4926" t="s">
        <v>71</v>
      </c>
      <c r="G4926">
        <v>-218.7242</v>
      </c>
      <c r="H4926" s="1">
        <v>-3.0548890000000001E-6</v>
      </c>
      <c r="I4926">
        <v>-61.673479999999998</v>
      </c>
      <c r="J4926">
        <v>-248.46430000000001</v>
      </c>
      <c r="K4926">
        <v>1.119756</v>
      </c>
      <c r="L4926">
        <v>-59.516480000000001</v>
      </c>
      <c r="M4926">
        <v>0.98406959999999999</v>
      </c>
      <c r="N4926">
        <v>-1.395131E-2</v>
      </c>
      <c r="O4926">
        <v>-0.17723620000000001</v>
      </c>
      <c r="P4926">
        <v>0.98073829999999995</v>
      </c>
      <c r="Q4926">
        <v>0.16883629999999999</v>
      </c>
      <c r="R4926">
        <v>-9.8219860000000006E-2</v>
      </c>
      <c r="S4926">
        <v>3.0569000000000002</v>
      </c>
      <c r="T4926">
        <v>-0.1146013</v>
      </c>
      <c r="U4926">
        <v>-0.22323609999999999</v>
      </c>
      <c r="V4926">
        <v>-7.6455999999999996E-2</v>
      </c>
      <c r="W4926">
        <v>0.1828312</v>
      </c>
      <c r="X4926">
        <v>0.98016700000000001</v>
      </c>
      <c r="Y4926">
        <v>-0.10495500000000001</v>
      </c>
      <c r="Z4926">
        <v>6.8108650000000001E-3</v>
      </c>
      <c r="AA4926">
        <v>0.9944537</v>
      </c>
      <c r="AB4926">
        <v>25</v>
      </c>
      <c r="AC4926">
        <v>29.740100000000002</v>
      </c>
      <c r="AD4926">
        <v>-1.119759054889</v>
      </c>
      <c r="AE4926">
        <v>-2.157</v>
      </c>
      <c r="AF4926">
        <v>-3.1442560945381501</v>
      </c>
      <c r="AG4926">
        <v>-1.119759054889</v>
      </c>
      <c r="AH4926">
        <v>29.609752187859801</v>
      </c>
      <c r="AI4926">
        <v>92.1536391102468</v>
      </c>
      <c r="AJ4926">
        <v>96.061516374453504</v>
      </c>
      <c r="AK4926">
        <v>29.797275569345601</v>
      </c>
      <c r="AL4926">
        <v>79.465287792359206</v>
      </c>
      <c r="AM4926">
        <v>94.460213262121698</v>
      </c>
      <c r="AN4926">
        <v>1.0000000577592101</v>
      </c>
    </row>
    <row r="4927" spans="1:40" x14ac:dyDescent="0.25">
      <c r="A4927" t="str">
        <f>"20190303162658889"</f>
        <v>20190303162658889</v>
      </c>
      <c r="B4927" t="str">
        <f>"1551601618879592"</f>
        <v>1551601618879592</v>
      </c>
      <c r="C4927" t="s">
        <v>40</v>
      </c>
      <c r="D4927">
        <v>5.443892</v>
      </c>
      <c r="E4927">
        <v>0.4903827</v>
      </c>
      <c r="F4927" t="s">
        <v>70</v>
      </c>
      <c r="G4927">
        <v>-220.12010000000001</v>
      </c>
      <c r="H4927" s="1">
        <v>5.6058659999999997E-7</v>
      </c>
      <c r="I4927">
        <v>-61.597169999999998</v>
      </c>
      <c r="J4927">
        <v>-248.34559999999999</v>
      </c>
      <c r="K4927">
        <v>1.119853</v>
      </c>
      <c r="L4927">
        <v>-59.539180000000002</v>
      </c>
      <c r="M4927">
        <v>0.9838768</v>
      </c>
      <c r="N4927">
        <v>-1.3943820000000001E-2</v>
      </c>
      <c r="O4927">
        <v>-0.17830370000000001</v>
      </c>
      <c r="P4927">
        <v>0.98093589999999997</v>
      </c>
      <c r="Q4927">
        <v>0.16801759999999999</v>
      </c>
      <c r="R4927">
        <v>-9.7649059999999996E-2</v>
      </c>
      <c r="S4927">
        <v>3.0572360000000001</v>
      </c>
      <c r="T4927">
        <v>-0.1207781</v>
      </c>
      <c r="U4927">
        <v>-0.2244263</v>
      </c>
      <c r="V4927">
        <v>-7.8167639999999997E-2</v>
      </c>
      <c r="W4927">
        <v>0.18199199999999999</v>
      </c>
      <c r="X4927">
        <v>0.98018810000000001</v>
      </c>
      <c r="Y4927">
        <v>-0.1056376</v>
      </c>
      <c r="Z4927">
        <v>7.3163859999999898E-3</v>
      </c>
      <c r="AA4927">
        <v>0.99437779999999998</v>
      </c>
      <c r="AB4927">
        <v>25</v>
      </c>
      <c r="AC4927">
        <v>28.225499999999901</v>
      </c>
      <c r="AD4927">
        <v>-1.11985243941339</v>
      </c>
      <c r="AE4927">
        <v>-2.05798999999999</v>
      </c>
      <c r="AF4927">
        <v>-3.0034917680339901</v>
      </c>
      <c r="AG4927">
        <v>-1.11985243941339</v>
      </c>
      <c r="AH4927">
        <v>28.0961020410268</v>
      </c>
      <c r="AI4927">
        <v>92.269565392394696</v>
      </c>
      <c r="AJ4927">
        <v>96.101783664850601</v>
      </c>
      <c r="AK4927">
        <v>28.278365974477701</v>
      </c>
      <c r="AL4927">
        <v>79.514190171087293</v>
      </c>
      <c r="AM4927">
        <v>94.559550986793298</v>
      </c>
      <c r="AN4927">
        <v>0.99999998969438897</v>
      </c>
    </row>
    <row r="4928" spans="1:40" x14ac:dyDescent="0.25">
      <c r="A4928" t="str">
        <f>"20190303162658903"</f>
        <v>20190303162658903</v>
      </c>
      <c r="B4928" t="str">
        <f>"1551601618889353"</f>
        <v>1551601618889353</v>
      </c>
      <c r="C4928" t="s">
        <v>40</v>
      </c>
      <c r="D4928">
        <v>5.4376259999999998</v>
      </c>
      <c r="E4928">
        <v>0.49076130000000001</v>
      </c>
      <c r="F4928" t="s">
        <v>70</v>
      </c>
      <c r="G4928">
        <v>-221.26730000000001</v>
      </c>
      <c r="H4928" s="1">
        <v>8.3137020000000005E-8</v>
      </c>
      <c r="I4928">
        <v>-61.5310699999999</v>
      </c>
      <c r="J4928">
        <v>-248.19239999999999</v>
      </c>
      <c r="K4928">
        <v>1.1199840000000001</v>
      </c>
      <c r="L4928">
        <v>-59.568510000000003</v>
      </c>
      <c r="M4928">
        <v>0.98363929999999999</v>
      </c>
      <c r="N4928">
        <v>-1.3934490000000001E-2</v>
      </c>
      <c r="O4928">
        <v>-0.1796102</v>
      </c>
      <c r="P4928">
        <v>0.9810797</v>
      </c>
      <c r="Q4928">
        <v>0.16725670000000001</v>
      </c>
      <c r="R4928">
        <v>-9.7509529999999997E-2</v>
      </c>
      <c r="S4928">
        <v>3.0575559999999999</v>
      </c>
      <c r="T4928">
        <v>-0.12644859999999999</v>
      </c>
      <c r="U4928">
        <v>-0.22491459999999999</v>
      </c>
      <c r="V4928">
        <v>-7.9696050000000004E-2</v>
      </c>
      <c r="W4928">
        <v>0.18120230000000001</v>
      </c>
      <c r="X4928">
        <v>0.98021130000000001</v>
      </c>
      <c r="Y4928">
        <v>-0.1067883</v>
      </c>
      <c r="Z4928">
        <v>7.8087440000000003E-3</v>
      </c>
      <c r="AA4928">
        <v>0.99425110000000005</v>
      </c>
      <c r="AB4928">
        <v>25</v>
      </c>
      <c r="AC4928">
        <v>26.925099999999901</v>
      </c>
      <c r="AD4928">
        <v>-1.1199839168629799</v>
      </c>
      <c r="AE4928">
        <v>-1.9625599999999901</v>
      </c>
      <c r="AF4928">
        <v>-2.90086050369736</v>
      </c>
      <c r="AG4928">
        <v>-1.1199839168629799</v>
      </c>
      <c r="AH4928">
        <v>26.793570012292701</v>
      </c>
      <c r="AI4928">
        <v>92.379706869778801</v>
      </c>
      <c r="AJ4928">
        <v>96.179175845036198</v>
      </c>
      <c r="AK4928">
        <v>26.973408194730901</v>
      </c>
      <c r="AL4928">
        <v>79.560201404117393</v>
      </c>
      <c r="AM4928">
        <v>94.648207285667297</v>
      </c>
      <c r="AN4928">
        <v>0.99999996327928997</v>
      </c>
    </row>
    <row r="4929" spans="1:40" x14ac:dyDescent="0.25">
      <c r="A4929" t="str">
        <f>"20190303162658915"</f>
        <v>20190303162658915</v>
      </c>
      <c r="B4929" t="str">
        <f>"1551601618908872"</f>
        <v>1551601618908872</v>
      </c>
      <c r="C4929" t="s">
        <v>40</v>
      </c>
      <c r="D4929">
        <v>5.2397429999999998</v>
      </c>
      <c r="E4929">
        <v>0.49154249999999999</v>
      </c>
      <c r="F4929" t="s">
        <v>70</v>
      </c>
      <c r="G4929">
        <v>-222.369</v>
      </c>
      <c r="H4929" s="1">
        <v>-3.7999940000000001E-7</v>
      </c>
      <c r="I4929">
        <v>-61.488520000000001</v>
      </c>
      <c r="J4929">
        <v>-248.0532</v>
      </c>
      <c r="K4929">
        <v>1.1201129999999999</v>
      </c>
      <c r="L4929">
        <v>-59.595280000000002</v>
      </c>
      <c r="M4929">
        <v>0.98345190000000005</v>
      </c>
      <c r="N4929">
        <v>-1.392619E-2</v>
      </c>
      <c r="O4929">
        <v>-0.18063389999999999</v>
      </c>
      <c r="P4929">
        <v>0.98126429999999998</v>
      </c>
      <c r="Q4929">
        <v>0.16643379999999999</v>
      </c>
      <c r="R4929">
        <v>-9.7059679999999995E-2</v>
      </c>
      <c r="S4929">
        <v>3.0578609999999999</v>
      </c>
      <c r="T4929">
        <v>-0.13262189999999999</v>
      </c>
      <c r="U4929">
        <v>-0.227356</v>
      </c>
      <c r="V4929">
        <v>-8.1253629999999993E-2</v>
      </c>
      <c r="W4929">
        <v>0.1803516</v>
      </c>
      <c r="X4929">
        <v>0.98024029999999995</v>
      </c>
      <c r="Y4929">
        <v>-0.10701960000000001</v>
      </c>
      <c r="Z4929">
        <v>8.3114150000000008E-3</v>
      </c>
      <c r="AA4929">
        <v>0.99422219999999994</v>
      </c>
      <c r="AB4929">
        <v>24</v>
      </c>
      <c r="AC4929">
        <v>25.684199999999901</v>
      </c>
      <c r="AD4929">
        <v>-1.1201133799994001</v>
      </c>
      <c r="AE4929">
        <v>-1.89323999999999</v>
      </c>
      <c r="AF4929">
        <v>-2.7725511882798202</v>
      </c>
      <c r="AG4929">
        <v>-1.1201133799994001</v>
      </c>
      <c r="AH4929">
        <v>25.555297717378199</v>
      </c>
      <c r="AI4929">
        <v>92.495100243512894</v>
      </c>
      <c r="AJ4929">
        <v>96.191928404295496</v>
      </c>
      <c r="AK4929">
        <v>25.729650901236901</v>
      </c>
      <c r="AL4929">
        <v>79.609759288222904</v>
      </c>
      <c r="AM4929">
        <v>94.738502565407202</v>
      </c>
      <c r="AN4929">
        <v>0.99999994887741195</v>
      </c>
    </row>
    <row r="4930" spans="1:40" x14ac:dyDescent="0.25">
      <c r="A4930" t="str">
        <f>"20190303162658941"</f>
        <v>20190303162658941</v>
      </c>
      <c r="B4930" t="str">
        <f>"1551601618929368"</f>
        <v>1551601618929368</v>
      </c>
      <c r="C4930" t="s">
        <v>40</v>
      </c>
      <c r="D4930">
        <v>5.2982719999999999</v>
      </c>
      <c r="E4930">
        <v>0.49185760000000001</v>
      </c>
      <c r="F4930" t="s">
        <v>70</v>
      </c>
      <c r="G4930">
        <v>-223.755</v>
      </c>
      <c r="H4930" s="1">
        <v>-9.6425010000000007E-7</v>
      </c>
      <c r="I4930">
        <v>-61.441929999999999</v>
      </c>
      <c r="J4930">
        <v>-247.78639999999999</v>
      </c>
      <c r="K4930">
        <v>1.1203590000000001</v>
      </c>
      <c r="L4930">
        <v>-59.64658</v>
      </c>
      <c r="M4930">
        <v>0.98313470000000003</v>
      </c>
      <c r="N4930">
        <v>-1.391093E-2</v>
      </c>
      <c r="O4930">
        <v>-0.18235390000000001</v>
      </c>
      <c r="P4930">
        <v>0.98162000000000005</v>
      </c>
      <c r="Q4930">
        <v>0.16522529999999999</v>
      </c>
      <c r="R4930">
        <v>-9.5515269999999999E-2</v>
      </c>
      <c r="S4930">
        <v>3.0581969999999998</v>
      </c>
      <c r="T4930">
        <v>-0.14097860000000001</v>
      </c>
      <c r="U4930">
        <v>-0.23242189999999999</v>
      </c>
      <c r="V4930">
        <v>-8.4667409999999999E-2</v>
      </c>
      <c r="W4930">
        <v>0.179086</v>
      </c>
      <c r="X4930">
        <v>0.98018349999999999</v>
      </c>
      <c r="Y4930">
        <v>-0.1070984</v>
      </c>
      <c r="Z4930">
        <v>9.0026389999999998E-3</v>
      </c>
      <c r="AA4930">
        <v>0.99420770000000003</v>
      </c>
      <c r="AB4930">
        <v>24</v>
      </c>
      <c r="AC4930">
        <v>24.031399999999898</v>
      </c>
      <c r="AD4930">
        <v>-1.1203599642501001</v>
      </c>
      <c r="AE4930">
        <v>-1.79534999999999</v>
      </c>
      <c r="AF4930">
        <v>-2.6117563932336401</v>
      </c>
      <c r="AG4930">
        <v>-1.1203599642501001</v>
      </c>
      <c r="AH4930">
        <v>23.904139786446699</v>
      </c>
      <c r="AI4930">
        <v>92.667572661941506</v>
      </c>
      <c r="AJ4930">
        <v>96.235379647383596</v>
      </c>
      <c r="AK4930">
        <v>24.072481734068798</v>
      </c>
      <c r="AL4930">
        <v>79.683473884444695</v>
      </c>
      <c r="AM4930">
        <v>94.936905954663899</v>
      </c>
      <c r="AN4930">
        <v>1.0000000296921701</v>
      </c>
    </row>
    <row r="4931" spans="1:40" x14ac:dyDescent="0.25">
      <c r="A4931" t="str">
        <f>"20190303162658956"</f>
        <v>20190303162658956</v>
      </c>
      <c r="B4931" t="str">
        <f>"1551601618948888"</f>
        <v>1551601618948888</v>
      </c>
      <c r="C4931" t="s">
        <v>40</v>
      </c>
      <c r="D4931">
        <v>5.4451179999999999</v>
      </c>
      <c r="E4931">
        <v>0.49241859999999998</v>
      </c>
      <c r="F4931" t="s">
        <v>70</v>
      </c>
      <c r="G4931">
        <v>-224.51560000000001</v>
      </c>
      <c r="H4931" s="1">
        <v>-1.2807179999999999E-6</v>
      </c>
      <c r="I4931">
        <v>-61.397750000000002</v>
      </c>
      <c r="J4931">
        <v>-247.6234</v>
      </c>
      <c r="K4931">
        <v>1.120522</v>
      </c>
      <c r="L4931">
        <v>-59.677919999999901</v>
      </c>
      <c r="M4931">
        <v>0.98298350000000001</v>
      </c>
      <c r="N4931">
        <v>-1.3900879999999999E-2</v>
      </c>
      <c r="O4931">
        <v>-0.18316760000000001</v>
      </c>
      <c r="P4931">
        <v>0.98174600000000001</v>
      </c>
      <c r="Q4931">
        <v>0.16566210000000001</v>
      </c>
      <c r="R4931">
        <v>-9.3440860000000001E-2</v>
      </c>
      <c r="S4931">
        <v>3.0585629999999999</v>
      </c>
      <c r="T4931">
        <v>-0.147253</v>
      </c>
      <c r="U4931">
        <v>-0.2301636</v>
      </c>
      <c r="V4931">
        <v>-8.7611209999999995E-2</v>
      </c>
      <c r="W4931">
        <v>0.1794819</v>
      </c>
      <c r="X4931">
        <v>0.97985230000000001</v>
      </c>
      <c r="Y4931">
        <v>-0.10863349999999999</v>
      </c>
      <c r="Z4931">
        <v>9.5579879999999999E-3</v>
      </c>
      <c r="AA4931">
        <v>0.99403589999999997</v>
      </c>
      <c r="AB4931">
        <v>24</v>
      </c>
      <c r="AC4931">
        <v>23.107800000000001</v>
      </c>
      <c r="AD4931">
        <v>-1.1205232807179999</v>
      </c>
      <c r="AE4931">
        <v>-1.71983</v>
      </c>
      <c r="AF4931">
        <v>-2.5363500913501502</v>
      </c>
      <c r="AG4931">
        <v>-1.1205232807179999</v>
      </c>
      <c r="AH4931">
        <v>22.978093921874699</v>
      </c>
      <c r="AI4931">
        <v>92.774981017407995</v>
      </c>
      <c r="AJ4931">
        <v>96.298878885000406</v>
      </c>
      <c r="AK4931">
        <v>23.144793031933101</v>
      </c>
      <c r="AL4931">
        <v>79.660416624973095</v>
      </c>
      <c r="AM4931">
        <v>95.109381648082007</v>
      </c>
      <c r="AN4931">
        <v>1.00000000318028</v>
      </c>
    </row>
    <row r="4932" spans="1:40" x14ac:dyDescent="0.25">
      <c r="A4932" t="str">
        <f>"20190303162659000"</f>
        <v>20190303162659000</v>
      </c>
      <c r="B4932" t="str">
        <f>"1551601618988904"</f>
        <v>1551601618988904</v>
      </c>
      <c r="C4932" t="s">
        <v>40</v>
      </c>
      <c r="D4932">
        <v>5.4925509999999997</v>
      </c>
      <c r="E4932">
        <v>0.49296390000000001</v>
      </c>
      <c r="F4932" t="s">
        <v>70</v>
      </c>
      <c r="G4932">
        <v>-224.70769999999999</v>
      </c>
      <c r="H4932" s="1">
        <v>-1.36146E-6</v>
      </c>
      <c r="I4932">
        <v>-61.390320000000003</v>
      </c>
      <c r="J4932">
        <v>-247.1566</v>
      </c>
      <c r="K4932">
        <v>1.1209960000000001</v>
      </c>
      <c r="L4932">
        <v>-59.76746</v>
      </c>
      <c r="M4932">
        <v>0.98269620000000002</v>
      </c>
      <c r="N4932">
        <v>-1.385461E-2</v>
      </c>
      <c r="O4932">
        <v>-0.18470529999999999</v>
      </c>
      <c r="P4932">
        <v>0.98111020000000004</v>
      </c>
      <c r="Q4932">
        <v>0.1699155</v>
      </c>
      <c r="R4932">
        <v>-9.2474849999999997E-2</v>
      </c>
      <c r="S4932">
        <v>3.0592649999999999</v>
      </c>
      <c r="T4932">
        <v>-0.14959049999999999</v>
      </c>
      <c r="U4932">
        <v>-0.22860720000000001</v>
      </c>
      <c r="V4932">
        <v>-9.0177599999999997E-2</v>
      </c>
      <c r="W4932">
        <v>0.18357979999999999</v>
      </c>
      <c r="X4932">
        <v>0.97885979999999995</v>
      </c>
      <c r="Y4932">
        <v>-0.110695</v>
      </c>
      <c r="Z4932">
        <v>9.8585740000000002E-3</v>
      </c>
      <c r="AA4932">
        <v>0.99380550000000001</v>
      </c>
      <c r="AB4932">
        <v>24</v>
      </c>
      <c r="AC4932">
        <v>22.448899999999998</v>
      </c>
      <c r="AD4932">
        <v>-1.12099736146</v>
      </c>
      <c r="AE4932">
        <v>-1.62285999999999</v>
      </c>
      <c r="AF4932">
        <v>-2.54558306193853</v>
      </c>
      <c r="AG4932">
        <v>-1.12099736146</v>
      </c>
      <c r="AH4932">
        <v>22.3070133199782</v>
      </c>
      <c r="AI4932">
        <v>92.858352397870703</v>
      </c>
      <c r="AJ4932">
        <v>96.510192704745506</v>
      </c>
      <c r="AK4932">
        <v>22.479756926339601</v>
      </c>
      <c r="AL4932">
        <v>79.421657370957007</v>
      </c>
      <c r="AM4932">
        <v>95.263524902070799</v>
      </c>
      <c r="AN4932">
        <v>1.00000002528291</v>
      </c>
    </row>
    <row r="4933" spans="1:40" x14ac:dyDescent="0.25">
      <c r="A4933" t="str">
        <f>"20190303162659035"</f>
        <v>20190303162659035</v>
      </c>
      <c r="B4933" t="str">
        <f>"1551601619028920"</f>
        <v>1551601619028920</v>
      </c>
      <c r="C4933" t="s">
        <v>40</v>
      </c>
      <c r="D4933">
        <v>5.0771300000000004</v>
      </c>
      <c r="E4933">
        <v>0.49367230000000001</v>
      </c>
      <c r="F4933" t="s">
        <v>70</v>
      </c>
      <c r="G4933">
        <v>-222.3389</v>
      </c>
      <c r="H4933" s="1">
        <v>-3.9194079999999999E-7</v>
      </c>
      <c r="I4933">
        <v>-61.600279999999998</v>
      </c>
      <c r="J4933">
        <v>-246.78960000000001</v>
      </c>
      <c r="K4933">
        <v>1.1213109999999999</v>
      </c>
      <c r="L4933">
        <v>-59.83728</v>
      </c>
      <c r="M4933">
        <v>0.98262919999999998</v>
      </c>
      <c r="N4933">
        <v>-1.378074E-2</v>
      </c>
      <c r="O4933">
        <v>-0.18506819999999999</v>
      </c>
      <c r="P4933">
        <v>0.98152010000000001</v>
      </c>
      <c r="Q4933">
        <v>0.16892869999999999</v>
      </c>
      <c r="R4933">
        <v>-8.9899690000000004E-2</v>
      </c>
      <c r="S4933">
        <v>3.0603790000000002</v>
      </c>
      <c r="T4933">
        <v>-0.13823460000000001</v>
      </c>
      <c r="U4933">
        <v>-0.2260132</v>
      </c>
      <c r="V4933">
        <v>-9.3291269999999996E-2</v>
      </c>
      <c r="W4933">
        <v>0.18244859999999999</v>
      </c>
      <c r="X4933">
        <v>0.97877950000000002</v>
      </c>
      <c r="Y4933">
        <v>-0.1119686</v>
      </c>
      <c r="Z4933">
        <v>9.0287579999999996E-3</v>
      </c>
      <c r="AA4933">
        <v>0.99367079999999997</v>
      </c>
      <c r="AB4933">
        <v>24</v>
      </c>
      <c r="AC4933">
        <v>24.450700000000001</v>
      </c>
      <c r="AD4933">
        <v>-1.1213113919408</v>
      </c>
      <c r="AE4933">
        <v>-1.7629999999999899</v>
      </c>
      <c r="AF4933">
        <v>-2.7871051865981502</v>
      </c>
      <c r="AG4933">
        <v>-1.1213113919408</v>
      </c>
      <c r="AH4933">
        <v>24.303706215626399</v>
      </c>
      <c r="AI4933">
        <v>92.624432292518605</v>
      </c>
      <c r="AJ4933">
        <v>96.541998389348706</v>
      </c>
      <c r="AK4933">
        <v>24.488679637218802</v>
      </c>
      <c r="AL4933">
        <v>79.487583901743307</v>
      </c>
      <c r="AM4933">
        <v>95.444635011723705</v>
      </c>
      <c r="AN4933">
        <v>1.00000003116021</v>
      </c>
    </row>
    <row r="4934" spans="1:40" x14ac:dyDescent="0.25">
      <c r="A4934" t="str">
        <f>"20190303162659046"</f>
        <v>20190303162659046</v>
      </c>
      <c r="B4934" t="str">
        <f>"1551601619038680"</f>
        <v>1551601619038680</v>
      </c>
      <c r="C4934" t="s">
        <v>40</v>
      </c>
      <c r="D4934">
        <v>5.2212880000000004</v>
      </c>
      <c r="E4934">
        <v>0.49390580000000001</v>
      </c>
      <c r="F4934" t="s">
        <v>70</v>
      </c>
      <c r="G4934">
        <v>-222.95320000000001</v>
      </c>
      <c r="H4934" s="1">
        <v>-6.5455709999999997E-7</v>
      </c>
      <c r="I4934">
        <v>-61.596080000000001</v>
      </c>
      <c r="J4934">
        <v>-246.65360000000001</v>
      </c>
      <c r="K4934">
        <v>1.121405</v>
      </c>
      <c r="L4934">
        <v>-59.86298</v>
      </c>
      <c r="M4934">
        <v>0.98263199999999995</v>
      </c>
      <c r="N4934">
        <v>-1.374616E-2</v>
      </c>
      <c r="O4934">
        <v>-0.18505559999999999</v>
      </c>
      <c r="P4934">
        <v>0.98178169999999998</v>
      </c>
      <c r="Q4934">
        <v>0.16848060000000001</v>
      </c>
      <c r="R4934">
        <v>-8.7859010000000001E-2</v>
      </c>
      <c r="S4934">
        <v>3.0605769999999999</v>
      </c>
      <c r="T4934">
        <v>-0.14397599999999999</v>
      </c>
      <c r="U4934">
        <v>-0.22583010000000001</v>
      </c>
      <c r="V4934">
        <v>-9.5378459999999998E-2</v>
      </c>
      <c r="W4934">
        <v>0.1819413</v>
      </c>
      <c r="X4934">
        <v>0.97867269999999895</v>
      </c>
      <c r="Y4934">
        <v>-0.1119976</v>
      </c>
      <c r="Z4934">
        <v>9.4819540000000008E-3</v>
      </c>
      <c r="AA4934">
        <v>0.99366330000000003</v>
      </c>
      <c r="AB4934">
        <v>24</v>
      </c>
      <c r="AC4934">
        <v>23.700399999999998</v>
      </c>
      <c r="AD4934">
        <v>-1.1214056545571001</v>
      </c>
      <c r="AE4934">
        <v>-1.7331000000000001</v>
      </c>
      <c r="AF4934">
        <v>-2.6771837104729599</v>
      </c>
      <c r="AG4934">
        <v>-1.1214056545571001</v>
      </c>
      <c r="AH4934">
        <v>23.559256317991299</v>
      </c>
      <c r="AI4934">
        <v>92.707785056129396</v>
      </c>
      <c r="AJ4934">
        <v>96.483062870519404</v>
      </c>
      <c r="AK4934">
        <v>23.737384470882802</v>
      </c>
      <c r="AL4934">
        <v>79.517144185209006</v>
      </c>
      <c r="AM4934">
        <v>95.566293921006704</v>
      </c>
      <c r="AN4934">
        <v>0.99999997050147504</v>
      </c>
    </row>
    <row r="4935" spans="1:40" x14ac:dyDescent="0.25">
      <c r="A4935" t="str">
        <f>"20190303162659059"</f>
        <v>20190303162659059</v>
      </c>
      <c r="B4935" t="str">
        <f>"1551601619049417"</f>
        <v>1551601619049417</v>
      </c>
      <c r="C4935" t="s">
        <v>40</v>
      </c>
      <c r="D4935">
        <v>5.3791520000000004</v>
      </c>
      <c r="E4935">
        <v>0.49407020000000001</v>
      </c>
      <c r="F4935" t="s">
        <v>70</v>
      </c>
      <c r="G4935">
        <v>-223.13929999999999</v>
      </c>
      <c r="H4935" s="1">
        <v>-7.2928149999999996E-7</v>
      </c>
      <c r="I4935">
        <v>-61.573039999999999</v>
      </c>
      <c r="J4935">
        <v>-246.51769999999999</v>
      </c>
      <c r="K4935">
        <v>1.1214949999999999</v>
      </c>
      <c r="L4935">
        <v>-59.888579999999997</v>
      </c>
      <c r="M4935">
        <v>0.98264980000000002</v>
      </c>
      <c r="N4935">
        <v>-1.3708410000000001E-2</v>
      </c>
      <c r="O4935">
        <v>-0.18496409999999999</v>
      </c>
      <c r="P4935">
        <v>0.98184839999999995</v>
      </c>
      <c r="Q4935">
        <v>0.16905499999999901</v>
      </c>
      <c r="R4935">
        <v>-8.5990639999999993E-2</v>
      </c>
      <c r="S4935">
        <v>3.060791</v>
      </c>
      <c r="T4935">
        <v>-0.14597060000000001</v>
      </c>
      <c r="U4935">
        <v>-0.22259519999999999</v>
      </c>
      <c r="V4935">
        <v>-9.7176810000000002E-2</v>
      </c>
      <c r="W4935">
        <v>0.1824528</v>
      </c>
      <c r="X4935">
        <v>0.97840050000000001</v>
      </c>
      <c r="Y4935">
        <v>-0.1129452</v>
      </c>
      <c r="Z4935">
        <v>9.6686380000000002E-3</v>
      </c>
      <c r="AA4935">
        <v>0.99355420000000005</v>
      </c>
      <c r="AB4935">
        <v>24</v>
      </c>
      <c r="AC4935">
        <v>23.378399999999999</v>
      </c>
      <c r="AD4935">
        <v>-1.1214957292815</v>
      </c>
      <c r="AE4935">
        <v>-1.6844599999999901</v>
      </c>
      <c r="AF4935">
        <v>-2.6630840867224999</v>
      </c>
      <c r="AG4935">
        <v>-1.1214957292815</v>
      </c>
      <c r="AH4935">
        <v>23.233339879684799</v>
      </c>
      <c r="AI4935">
        <v>92.745627322275098</v>
      </c>
      <c r="AJ4935">
        <v>96.538898751855299</v>
      </c>
      <c r="AK4935">
        <v>23.412343998171199</v>
      </c>
      <c r="AL4935">
        <v>79.487338262005593</v>
      </c>
      <c r="AM4935">
        <v>95.672135341835002</v>
      </c>
      <c r="AN4935">
        <v>0.99999994751493104</v>
      </c>
    </row>
    <row r="4936" spans="1:40" x14ac:dyDescent="0.25">
      <c r="A4936" t="str">
        <f>"20190303162659072"</f>
        <v>20190303162659072</v>
      </c>
      <c r="B4936" t="str">
        <f>"1551601619059178"</f>
        <v>1551601619059178</v>
      </c>
      <c r="C4936" t="s">
        <v>40</v>
      </c>
      <c r="D4936">
        <v>5.217549</v>
      </c>
      <c r="E4936">
        <v>0.4942841</v>
      </c>
      <c r="F4936" t="s">
        <v>70</v>
      </c>
      <c r="G4936">
        <v>-222.7303</v>
      </c>
      <c r="H4936" s="1">
        <v>-5.5717589999999997E-7</v>
      </c>
      <c r="I4936">
        <v>-61.588169999999998</v>
      </c>
      <c r="J4936">
        <v>-246.37629999999999</v>
      </c>
      <c r="K4936">
        <v>1.1215820000000001</v>
      </c>
      <c r="L4936">
        <v>-59.915100000000002</v>
      </c>
      <c r="M4936">
        <v>0.98268500000000003</v>
      </c>
      <c r="N4936">
        <v>-1.3666289999999999E-2</v>
      </c>
      <c r="O4936">
        <v>-0.18477950000000001</v>
      </c>
      <c r="P4936">
        <v>0.98176099999999999</v>
      </c>
      <c r="Q4936">
        <v>0.1702784</v>
      </c>
      <c r="R4936">
        <v>-8.4561579999999997E-2</v>
      </c>
      <c r="S4936">
        <v>3.061172</v>
      </c>
      <c r="T4936">
        <v>-0.14432410000000001</v>
      </c>
      <c r="U4936">
        <v>-0.21871950000000001</v>
      </c>
      <c r="V4936">
        <v>-9.8418530000000004E-2</v>
      </c>
      <c r="W4936">
        <v>0.1836102</v>
      </c>
      <c r="X4936">
        <v>0.97805980000000003</v>
      </c>
      <c r="Y4936">
        <v>-0.11402379999999999</v>
      </c>
      <c r="Z4936">
        <v>9.5712200000000001E-3</v>
      </c>
      <c r="AA4936">
        <v>0.99343190000000003</v>
      </c>
      <c r="AB4936">
        <v>24</v>
      </c>
      <c r="AC4936">
        <v>23.645999999999901</v>
      </c>
      <c r="AD4936">
        <v>-1.1215825571758999</v>
      </c>
      <c r="AE4936">
        <v>-1.6730699999999901</v>
      </c>
      <c r="AF4936">
        <v>-2.7193621435147</v>
      </c>
      <c r="AG4936">
        <v>-1.1215825571758999</v>
      </c>
      <c r="AH4936">
        <v>23.495320319287401</v>
      </c>
      <c r="AI4936">
        <v>92.714924352380606</v>
      </c>
      <c r="AJ4936">
        <v>96.602071484470599</v>
      </c>
      <c r="AK4936">
        <v>23.6787447894956</v>
      </c>
      <c r="AL4936">
        <v>79.419884574197894</v>
      </c>
      <c r="AM4936">
        <v>95.746119472673101</v>
      </c>
      <c r="AN4936">
        <v>0.99999994248371804</v>
      </c>
    </row>
    <row r="4937" spans="1:40" x14ac:dyDescent="0.25">
      <c r="A4937" t="str">
        <f>"20190303162659100"</f>
        <v>20190303162659100</v>
      </c>
      <c r="B4937" t="str">
        <f>"1551601619089432"</f>
        <v>1551601619089432</v>
      </c>
      <c r="C4937" t="s">
        <v>40</v>
      </c>
      <c r="D4937">
        <v>5.1632759999999998</v>
      </c>
      <c r="E4937">
        <v>0.49467220000000001</v>
      </c>
      <c r="F4937" t="s">
        <v>70</v>
      </c>
      <c r="G4937">
        <v>-222.06440000000001</v>
      </c>
      <c r="H4937" s="1">
        <v>-2.8185549999999999E-7</v>
      </c>
      <c r="I4937">
        <v>-61.634729999999998</v>
      </c>
      <c r="J4937">
        <v>-246.08410000000001</v>
      </c>
      <c r="K4937">
        <v>1.1217539999999999</v>
      </c>
      <c r="L4937">
        <v>-59.969569999999997</v>
      </c>
      <c r="M4937">
        <v>0.98279349999999999</v>
      </c>
      <c r="N4937">
        <v>-1.357269E-2</v>
      </c>
      <c r="O4937">
        <v>-0.1842086</v>
      </c>
      <c r="P4937">
        <v>0.98096930000000004</v>
      </c>
      <c r="Q4937">
        <v>0.176071799999999</v>
      </c>
      <c r="R4937">
        <v>-8.184218E-2</v>
      </c>
      <c r="S4937">
        <v>3.0615839999999999</v>
      </c>
      <c r="T4937">
        <v>-0.14124039999999999</v>
      </c>
      <c r="U4937">
        <v>-0.21655269999999999</v>
      </c>
      <c r="V4937">
        <v>-0.10045080000000001</v>
      </c>
      <c r="W4937">
        <v>0.1892549</v>
      </c>
      <c r="X4937">
        <v>0.97677639999999999</v>
      </c>
      <c r="Y4937">
        <v>-0.1141674</v>
      </c>
      <c r="Z4937">
        <v>9.3265959999999995E-3</v>
      </c>
      <c r="AA4937">
        <v>0.99341769999999996</v>
      </c>
      <c r="AB4937">
        <v>24</v>
      </c>
      <c r="AC4937">
        <v>24.0197</v>
      </c>
      <c r="AD4937">
        <v>-1.1217542818555</v>
      </c>
      <c r="AE4937">
        <v>-1.66516</v>
      </c>
      <c r="AF4937">
        <v>-2.7823442733419999</v>
      </c>
      <c r="AG4937">
        <v>-1.1217542818555</v>
      </c>
      <c r="AH4937">
        <v>23.863545655485201</v>
      </c>
      <c r="AI4937">
        <v>92.673240656382106</v>
      </c>
      <c r="AJ4937">
        <v>96.650312763461898</v>
      </c>
      <c r="AK4937">
        <v>24.0513738396726</v>
      </c>
      <c r="AL4937">
        <v>79.090695319513202</v>
      </c>
      <c r="AM4937">
        <v>95.871604980952696</v>
      </c>
      <c r="AN4937">
        <v>0.99999995799580399</v>
      </c>
    </row>
    <row r="4938" spans="1:40" x14ac:dyDescent="0.25">
      <c r="A4938" t="str">
        <f>"20190303162659135"</f>
        <v>20190303162659135</v>
      </c>
      <c r="B4938" t="str">
        <f>"1551601619118713"</f>
        <v>1551601619118713</v>
      </c>
      <c r="C4938" t="s">
        <v>40</v>
      </c>
      <c r="D4938">
        <v>5.1486450000000001</v>
      </c>
      <c r="E4938">
        <v>0.49507079999999998</v>
      </c>
      <c r="F4938" t="s">
        <v>71</v>
      </c>
      <c r="G4938">
        <v>-218.51609999999999</v>
      </c>
      <c r="H4938" s="1">
        <v>-3.014958E-6</v>
      </c>
      <c r="I4938">
        <v>-61.858930000000001</v>
      </c>
      <c r="J4938">
        <v>-245.72499999999999</v>
      </c>
      <c r="K4938">
        <v>1.1218999999999999</v>
      </c>
      <c r="L4938">
        <v>-60.035829999999997</v>
      </c>
      <c r="M4938">
        <v>0.98299239999999999</v>
      </c>
      <c r="N4938">
        <v>-1.3450190000000001E-2</v>
      </c>
      <c r="O4938">
        <v>-0.18315300000000001</v>
      </c>
      <c r="P4938">
        <v>0.98109559999999996</v>
      </c>
      <c r="Q4938">
        <v>0.17710719999999999</v>
      </c>
      <c r="R4938">
        <v>-7.8004809999999994E-2</v>
      </c>
      <c r="S4938">
        <v>3.063034</v>
      </c>
      <c r="T4938">
        <v>-0.1246367</v>
      </c>
      <c r="U4938">
        <v>-0.20993039999999999</v>
      </c>
      <c r="V4938">
        <v>-0.103273</v>
      </c>
      <c r="W4938">
        <v>0.19012009999999999</v>
      </c>
      <c r="X4938">
        <v>0.97631400000000002</v>
      </c>
      <c r="Y4938">
        <v>-0.1153295</v>
      </c>
      <c r="Z4938">
        <v>8.0427399999999996E-3</v>
      </c>
      <c r="AA4938">
        <v>0.99329469999999997</v>
      </c>
      <c r="AB4938">
        <v>24</v>
      </c>
      <c r="AC4938">
        <v>27.2089</v>
      </c>
      <c r="AD4938">
        <v>-1.1219030149579901</v>
      </c>
      <c r="AE4938">
        <v>-1.8230999999999999</v>
      </c>
      <c r="AF4938">
        <v>-3.1861941269107401</v>
      </c>
      <c r="AG4938">
        <v>-1.1219030149579901</v>
      </c>
      <c r="AH4938">
        <v>27.036736928781501</v>
      </c>
      <c r="AI4938">
        <v>92.359842588480205</v>
      </c>
      <c r="AJ4938">
        <v>96.721127138624894</v>
      </c>
      <c r="AK4938">
        <v>27.246938234331399</v>
      </c>
      <c r="AL4938">
        <v>79.040206774696699</v>
      </c>
      <c r="AM4938">
        <v>96.038205965947498</v>
      </c>
      <c r="AN4938">
        <v>0.99999999577450505</v>
      </c>
    </row>
    <row r="4939" spans="1:40" x14ac:dyDescent="0.25">
      <c r="A4939" t="str">
        <f>"20190303162659160"</f>
        <v>20190303162659160</v>
      </c>
      <c r="B4939" t="str">
        <f>"1551601619148968"</f>
        <v>1551601619148968</v>
      </c>
      <c r="C4939" t="s">
        <v>40</v>
      </c>
      <c r="D4939">
        <v>5.1502049999999997</v>
      </c>
      <c r="E4939">
        <v>0.49540220000000001</v>
      </c>
      <c r="F4939" t="s">
        <v>71</v>
      </c>
      <c r="G4939">
        <v>-217.6952</v>
      </c>
      <c r="H4939" s="1">
        <v>-2.6713690000000002E-6</v>
      </c>
      <c r="I4939">
        <v>-61.891300000000001</v>
      </c>
      <c r="J4939">
        <v>-245.4385</v>
      </c>
      <c r="K4939">
        <v>1.1220079999999999</v>
      </c>
      <c r="L4939">
        <v>-60.088070000000002</v>
      </c>
      <c r="M4939">
        <v>0.98318819999999996</v>
      </c>
      <c r="N4939">
        <v>-1.3340370000000001E-2</v>
      </c>
      <c r="O4939">
        <v>-0.18210779999999999</v>
      </c>
      <c r="P4939">
        <v>0.98121389999999997</v>
      </c>
      <c r="Q4939">
        <v>0.1778544</v>
      </c>
      <c r="R4939">
        <v>-7.4748830000000002E-2</v>
      </c>
      <c r="S4939">
        <v>3.063812</v>
      </c>
      <c r="T4939">
        <v>-0.12263</v>
      </c>
      <c r="U4939">
        <v>-0.20281979999999999</v>
      </c>
      <c r="V4939">
        <v>-0.1055116</v>
      </c>
      <c r="W4939">
        <v>0.19072120000000001</v>
      </c>
      <c r="X4939">
        <v>0.97595730000000003</v>
      </c>
      <c r="Y4939">
        <v>-0.1165905</v>
      </c>
      <c r="Z4939">
        <v>7.9051219999999901E-3</v>
      </c>
      <c r="AA4939">
        <v>0.99314860000000005</v>
      </c>
      <c r="AB4939">
        <v>24</v>
      </c>
      <c r="AC4939">
        <v>27.743300000000001</v>
      </c>
      <c r="AD4939">
        <v>-1.1220106713689999</v>
      </c>
      <c r="AE4939">
        <v>-1.8032300000000001</v>
      </c>
      <c r="AF4939">
        <v>-3.2743153517027599</v>
      </c>
      <c r="AG4939">
        <v>-1.1220106713689999</v>
      </c>
      <c r="AH4939">
        <v>27.5628284888937</v>
      </c>
      <c r="AI4939">
        <v>92.314815914215004</v>
      </c>
      <c r="AJ4939">
        <v>96.774680152069905</v>
      </c>
      <c r="AK4939">
        <v>27.779300986116102</v>
      </c>
      <c r="AL4939">
        <v>79.005123994829802</v>
      </c>
      <c r="AM4939">
        <v>96.170331930264098</v>
      </c>
      <c r="AN4939">
        <v>0.99999996264364399</v>
      </c>
    </row>
    <row r="4940" spans="1:40" x14ac:dyDescent="0.25">
      <c r="A4940" t="str">
        <f>"20190303162659225"</f>
        <v>20190303162659225</v>
      </c>
      <c r="B4940" t="str">
        <f>"1551601619209480"</f>
        <v>1551601619209480</v>
      </c>
      <c r="C4940" t="s">
        <v>40</v>
      </c>
      <c r="D4940">
        <v>4.9902850000000001</v>
      </c>
      <c r="E4940">
        <v>0.4958883</v>
      </c>
      <c r="F4940" t="s">
        <v>71</v>
      </c>
      <c r="G4940">
        <v>-217.08269999999999</v>
      </c>
      <c r="H4940" s="1">
        <v>-2.4102729999999999E-6</v>
      </c>
      <c r="I4940">
        <v>-61.897500000000001</v>
      </c>
      <c r="J4940">
        <v>-244.7646</v>
      </c>
      <c r="K4940">
        <v>1.122206</v>
      </c>
      <c r="L4940">
        <v>-60.208590000000001</v>
      </c>
      <c r="M4940">
        <v>0.98379030000000001</v>
      </c>
      <c r="N4940">
        <v>-1.2967609999999999E-2</v>
      </c>
      <c r="O4940">
        <v>-0.17885290000000001</v>
      </c>
      <c r="P4940">
        <v>0.98128289999999996</v>
      </c>
      <c r="Q4940">
        <v>0.1787243</v>
      </c>
      <c r="R4940">
        <v>-7.1704999999999894E-2</v>
      </c>
      <c r="S4940">
        <v>3.064514</v>
      </c>
      <c r="T4940">
        <v>-0.12125950000000001</v>
      </c>
      <c r="U4940">
        <v>-0.1955566</v>
      </c>
      <c r="V4940">
        <v>-0.1053958</v>
      </c>
      <c r="W4940">
        <v>0.19116259999999999</v>
      </c>
      <c r="X4940">
        <v>0.97588350000000001</v>
      </c>
      <c r="Y4940">
        <v>-0.1156673</v>
      </c>
      <c r="Z4940">
        <v>7.7354759999999998E-3</v>
      </c>
      <c r="AA4940">
        <v>0.99325790000000003</v>
      </c>
      <c r="AB4940">
        <v>24</v>
      </c>
      <c r="AC4940">
        <v>27.681899999999999</v>
      </c>
      <c r="AD4940">
        <v>-1.1222084102729999</v>
      </c>
      <c r="AE4940">
        <v>-1.6889099999999999</v>
      </c>
      <c r="AF4940">
        <v>-3.2843539976977998</v>
      </c>
      <c r="AG4940">
        <v>-1.1222084102729999</v>
      </c>
      <c r="AH4940">
        <v>27.492553400996901</v>
      </c>
      <c r="AI4940">
        <v>92.320952880347903</v>
      </c>
      <c r="AJ4940">
        <v>96.812463210741598</v>
      </c>
      <c r="AK4940">
        <v>27.7107709276546</v>
      </c>
      <c r="AL4940">
        <v>78.979360134009696</v>
      </c>
      <c r="AM4940">
        <v>96.164074612114803</v>
      </c>
      <c r="AN4940">
        <v>1.00000000993432</v>
      </c>
    </row>
    <row r="4941" spans="1:40" x14ac:dyDescent="0.25">
      <c r="A4941" t="str">
        <f>"20190303162659246"</f>
        <v>20190303162659246</v>
      </c>
      <c r="B4941" t="str">
        <f>"1551601619238760"</f>
        <v>1551601619238760</v>
      </c>
      <c r="C4941" t="s">
        <v>40</v>
      </c>
      <c r="D4941">
        <v>5.0600120000000004</v>
      </c>
      <c r="E4941">
        <v>0.49624819999999997</v>
      </c>
      <c r="F4941" t="s">
        <v>71</v>
      </c>
      <c r="G4941">
        <v>-216.07429999999999</v>
      </c>
      <c r="H4941" s="1">
        <v>-1.9975049999999999E-6</v>
      </c>
      <c r="I4941">
        <v>-61.97204</v>
      </c>
      <c r="J4941">
        <v>-244.53229999999999</v>
      </c>
      <c r="K4941">
        <v>1.1222379999999901</v>
      </c>
      <c r="L4941">
        <v>-60.24924</v>
      </c>
      <c r="M4941">
        <v>0.98403969999999996</v>
      </c>
      <c r="N4941">
        <v>-1.280154E-2</v>
      </c>
      <c r="O4941">
        <v>-0.1774877</v>
      </c>
      <c r="P4941">
        <v>0.98189179999999998</v>
      </c>
      <c r="Q4941">
        <v>0.17559229999999901</v>
      </c>
      <c r="R4941">
        <v>-7.1104089999999995E-2</v>
      </c>
      <c r="S4941">
        <v>3.0653079999999999</v>
      </c>
      <c r="T4941">
        <v>-0.1198982</v>
      </c>
      <c r="U4941">
        <v>-0.18841550000000001</v>
      </c>
      <c r="V4941">
        <v>-0.10476290000000001</v>
      </c>
      <c r="W4941">
        <v>0.18785940000000001</v>
      </c>
      <c r="X4941">
        <v>0.97659280000000004</v>
      </c>
      <c r="Y4941">
        <v>-0.11661340000000001</v>
      </c>
      <c r="Z4941">
        <v>7.6394740000000003E-3</v>
      </c>
      <c r="AA4941">
        <v>0.99314800000000003</v>
      </c>
      <c r="AB4941">
        <v>24</v>
      </c>
      <c r="AC4941">
        <v>28.457999999999998</v>
      </c>
      <c r="AD4941">
        <v>-1.1222399975049999</v>
      </c>
      <c r="AE4941">
        <v>-1.7227999999999899</v>
      </c>
      <c r="AF4941">
        <v>-3.3507248050316498</v>
      </c>
      <c r="AG4941">
        <v>-1.1222399975049999</v>
      </c>
      <c r="AH4941">
        <v>28.268099405781399</v>
      </c>
      <c r="AI4941">
        <v>92.257652925524795</v>
      </c>
      <c r="AJ4941">
        <v>96.759943689350095</v>
      </c>
      <c r="AK4941">
        <v>28.488106699923001</v>
      </c>
      <c r="AL4941">
        <v>79.172112028077606</v>
      </c>
      <c r="AM4941">
        <v>96.122925387595402</v>
      </c>
      <c r="AN4941">
        <v>0.99999995819830401</v>
      </c>
    </row>
    <row r="4942" spans="1:40" x14ac:dyDescent="0.25">
      <c r="A4942" t="str">
        <f>"20190303162659258"</f>
        <v>20190303162659258</v>
      </c>
      <c r="B4942" t="str">
        <f>"1551601619249496"</f>
        <v>1551601619249496</v>
      </c>
      <c r="C4942" t="s">
        <v>40</v>
      </c>
      <c r="D4942">
        <v>5.066325</v>
      </c>
      <c r="E4942">
        <v>0.49641030000000003</v>
      </c>
      <c r="F4942" t="s">
        <v>71</v>
      </c>
      <c r="G4942">
        <v>-218.18270000000001</v>
      </c>
      <c r="H4942" s="1">
        <v>-2.8762780000000001E-6</v>
      </c>
      <c r="I4942">
        <v>-61.875279999999997</v>
      </c>
      <c r="J4942">
        <v>-244.39920000000001</v>
      </c>
      <c r="K4942">
        <v>1.12225</v>
      </c>
      <c r="L4942">
        <v>-60.27234</v>
      </c>
      <c r="M4942">
        <v>0.98418969999999995</v>
      </c>
      <c r="N4942">
        <v>-1.2697679999999999E-2</v>
      </c>
      <c r="O4942">
        <v>-0.17666270000000001</v>
      </c>
      <c r="P4942">
        <v>0.98210509999999995</v>
      </c>
      <c r="Q4942">
        <v>0.17465799999999901</v>
      </c>
      <c r="R4942">
        <v>-7.0456039999999998E-2</v>
      </c>
      <c r="S4942">
        <v>3.064972</v>
      </c>
      <c r="T4942">
        <v>-0.13053879999999901</v>
      </c>
      <c r="U4942">
        <v>-0.18914790000000001</v>
      </c>
      <c r="V4942">
        <v>-0.1046309</v>
      </c>
      <c r="W4942">
        <v>0.1868177</v>
      </c>
      <c r="X4942">
        <v>0.97680679999999998</v>
      </c>
      <c r="Y4942">
        <v>-0.1155028</v>
      </c>
      <c r="Z4942">
        <v>8.4118999999999999E-3</v>
      </c>
      <c r="AA4942">
        <v>0.99327149999999997</v>
      </c>
      <c r="AB4942">
        <v>24</v>
      </c>
      <c r="AC4942">
        <v>26.2165</v>
      </c>
      <c r="AD4942">
        <v>-1.122252876278</v>
      </c>
      <c r="AE4942">
        <v>-1.60294</v>
      </c>
      <c r="AF4942">
        <v>-3.0485608612192001</v>
      </c>
      <c r="AG4942">
        <v>-1.122252876278</v>
      </c>
      <c r="AH4942">
        <v>26.039749300586301</v>
      </c>
      <c r="AI4942">
        <v>92.451068643067998</v>
      </c>
      <c r="AJ4942">
        <v>96.677412695625605</v>
      </c>
      <c r="AK4942">
        <v>26.241602818430501</v>
      </c>
      <c r="AL4942">
        <v>79.232873262525203</v>
      </c>
      <c r="AM4942">
        <v>96.113939475153799</v>
      </c>
      <c r="AN4942">
        <v>1.0000000013971699</v>
      </c>
    </row>
    <row r="4943" spans="1:40" x14ac:dyDescent="0.25">
      <c r="A4943" t="str">
        <f>"20190303162659286"</f>
        <v>20190303162659286</v>
      </c>
      <c r="B4943" t="str">
        <f>"1551601619278777"</f>
        <v>1551601619278777</v>
      </c>
      <c r="C4943" t="s">
        <v>40</v>
      </c>
      <c r="D4943">
        <v>5.1226830000000003</v>
      </c>
      <c r="E4943">
        <v>0.49673240000000002</v>
      </c>
      <c r="F4943" t="s">
        <v>71</v>
      </c>
      <c r="G4943">
        <v>-218.82089999999999</v>
      </c>
      <c r="H4943" s="1">
        <v>-3.1211500000000002E-6</v>
      </c>
      <c r="I4943">
        <v>-61.847439999999999</v>
      </c>
      <c r="J4943">
        <v>-244.1018</v>
      </c>
      <c r="K4943">
        <v>1.1222620000000001</v>
      </c>
      <c r="L4943">
        <v>-60.323430000000002</v>
      </c>
      <c r="M4943">
        <v>0.98453930000000001</v>
      </c>
      <c r="N4943">
        <v>-1.242474E-2</v>
      </c>
      <c r="O4943">
        <v>-0.1747232</v>
      </c>
      <c r="P4943">
        <v>0.98239849999999995</v>
      </c>
      <c r="Q4943">
        <v>0.1738585</v>
      </c>
      <c r="R4943">
        <v>-6.8313929999999995E-2</v>
      </c>
      <c r="S4943">
        <v>3.0650330000000001</v>
      </c>
      <c r="T4943">
        <v>-0.13447899999999999</v>
      </c>
      <c r="U4943">
        <v>-0.18875120000000001</v>
      </c>
      <c r="V4943">
        <v>-0.104885199999999</v>
      </c>
      <c r="W4943">
        <v>0.1857374</v>
      </c>
      <c r="X4943">
        <v>0.97698549999999995</v>
      </c>
      <c r="Y4943">
        <v>-0.1136625</v>
      </c>
      <c r="Z4943">
        <v>8.6328289999999998E-3</v>
      </c>
      <c r="AA4943">
        <v>0.99348190000000003</v>
      </c>
      <c r="AB4943">
        <v>24</v>
      </c>
      <c r="AC4943">
        <v>25.280899999999999</v>
      </c>
      <c r="AD4943">
        <v>-1.1222651211499901</v>
      </c>
      <c r="AE4943">
        <v>-1.5240099999999901</v>
      </c>
      <c r="AF4943">
        <v>-2.9112206929517699</v>
      </c>
      <c r="AG4943">
        <v>-1.1222651211499901</v>
      </c>
      <c r="AH4943">
        <v>25.108957504073</v>
      </c>
      <c r="AI4943">
        <v>92.542170386591806</v>
      </c>
      <c r="AJ4943">
        <v>96.613544274524898</v>
      </c>
      <c r="AK4943">
        <v>25.302063786706501</v>
      </c>
      <c r="AL4943">
        <v>79.295872299585497</v>
      </c>
      <c r="AM4943">
        <v>96.127573671479496</v>
      </c>
      <c r="AN4943">
        <v>0.99999997707402399</v>
      </c>
    </row>
    <row r="4944" spans="1:40" x14ac:dyDescent="0.25">
      <c r="A4944" t="str">
        <f>"20190303162659301"</f>
        <v>20190303162659301</v>
      </c>
      <c r="B4944" t="str">
        <f>"1551601619289511"</f>
        <v>1551601619289511</v>
      </c>
      <c r="C4944" t="s">
        <v>40</v>
      </c>
      <c r="D4944">
        <v>5.3206199999999999</v>
      </c>
      <c r="E4944">
        <v>0.49687510000000001</v>
      </c>
      <c r="F4944" t="s">
        <v>71</v>
      </c>
      <c r="G4944">
        <v>-219.13650000000001</v>
      </c>
      <c r="H4944" s="1">
        <v>-3.2256270000000002E-6</v>
      </c>
      <c r="I4944">
        <v>-61.831090000000003</v>
      </c>
      <c r="J4944">
        <v>-243.94110000000001</v>
      </c>
      <c r="K4944">
        <v>1.1222570000000001</v>
      </c>
      <c r="L4944">
        <v>-60.350740000000002</v>
      </c>
      <c r="M4944">
        <v>0.98473529999999998</v>
      </c>
      <c r="N4944">
        <v>-1.2246470000000001E-2</v>
      </c>
      <c r="O4944">
        <v>-0.17362820000000001</v>
      </c>
      <c r="P4944">
        <v>0.98226119999999995</v>
      </c>
      <c r="Q4944">
        <v>0.175124</v>
      </c>
      <c r="R4944">
        <v>-6.7040130000000003E-2</v>
      </c>
      <c r="S4944">
        <v>3.065277</v>
      </c>
      <c r="T4944">
        <v>-0.1377931</v>
      </c>
      <c r="U4944">
        <v>-0.1851196</v>
      </c>
      <c r="V4944">
        <v>-0.1050393</v>
      </c>
      <c r="W4944">
        <v>0.1868196</v>
      </c>
      <c r="X4944">
        <v>0.97676260000000004</v>
      </c>
      <c r="Y4944">
        <v>-0.11372259999999999</v>
      </c>
      <c r="Z4944">
        <v>8.8693519999999901E-3</v>
      </c>
      <c r="AA4944">
        <v>0.99347289999999999</v>
      </c>
      <c r="AB4944">
        <v>24</v>
      </c>
      <c r="AC4944">
        <v>24.804599999999901</v>
      </c>
      <c r="AD4944">
        <v>-1.122260225627</v>
      </c>
      <c r="AE4944">
        <v>-1.4803500000000001</v>
      </c>
      <c r="AF4944">
        <v>-2.8434384068102001</v>
      </c>
      <c r="AG4944">
        <v>-1.122260225627</v>
      </c>
      <c r="AH4944">
        <v>24.634594078299301</v>
      </c>
      <c r="AI4944">
        <v>92.591198293580604</v>
      </c>
      <c r="AJ4944">
        <v>96.584206043452596</v>
      </c>
      <c r="AK4944">
        <v>24.823533902124598</v>
      </c>
      <c r="AL4944">
        <v>79.232762403055702</v>
      </c>
      <c r="AM4944">
        <v>96.137897499671496</v>
      </c>
      <c r="AN4944">
        <v>0.99999999712370502</v>
      </c>
    </row>
    <row r="4945" spans="1:40" x14ac:dyDescent="0.25">
      <c r="A4945" t="str">
        <f>"20190303162659327"</f>
        <v>20190303162659327</v>
      </c>
      <c r="B4945" t="str">
        <f>"1551601619318792"</f>
        <v>1551601619318792</v>
      </c>
      <c r="C4945" t="s">
        <v>40</v>
      </c>
      <c r="D4945">
        <v>5.1158489999999999</v>
      </c>
      <c r="E4945">
        <v>0.4971081</v>
      </c>
      <c r="F4945" t="s">
        <v>71</v>
      </c>
      <c r="G4945">
        <v>-218.3022</v>
      </c>
      <c r="H4945" s="1">
        <v>-2.9292810000000002E-6</v>
      </c>
      <c r="I4945">
        <v>-61.881819999999998</v>
      </c>
      <c r="J4945">
        <v>-243.65809999999999</v>
      </c>
      <c r="K4945">
        <v>1.1222179999999999</v>
      </c>
      <c r="L4945">
        <v>-60.398319999999998</v>
      </c>
      <c r="M4945">
        <v>0.98508720000000005</v>
      </c>
      <c r="N4945">
        <v>-1.189571E-2</v>
      </c>
      <c r="O4945">
        <v>-0.17164489999999999</v>
      </c>
      <c r="P4945">
        <v>0.98232129999999995</v>
      </c>
      <c r="Q4945">
        <v>0.17547360000000001</v>
      </c>
      <c r="R4945">
        <v>-6.5224329999999997E-2</v>
      </c>
      <c r="S4945">
        <v>3.065582</v>
      </c>
      <c r="T4945">
        <v>-0.1341861</v>
      </c>
      <c r="U4945">
        <v>-0.18307499999999999</v>
      </c>
      <c r="V4945">
        <v>-0.1048777</v>
      </c>
      <c r="W4945">
        <v>0.1868196</v>
      </c>
      <c r="X4945">
        <v>0.97677999999999998</v>
      </c>
      <c r="Y4945">
        <v>-0.112402</v>
      </c>
      <c r="Z4945">
        <v>8.5419069999999996E-3</v>
      </c>
      <c r="AA4945">
        <v>0.99362609999999996</v>
      </c>
      <c r="AB4945">
        <v>24</v>
      </c>
      <c r="AC4945">
        <v>25.355899999999899</v>
      </c>
      <c r="AD4945">
        <v>-1.1222209292809999</v>
      </c>
      <c r="AE4945">
        <v>-1.48349999999999</v>
      </c>
      <c r="AF4945">
        <v>-2.88540546388445</v>
      </c>
      <c r="AG4945">
        <v>-1.1222209292809999</v>
      </c>
      <c r="AH4945">
        <v>25.185024699383501</v>
      </c>
      <c r="AI4945">
        <v>92.534798490972406</v>
      </c>
      <c r="AJ4945">
        <v>96.535783460054006</v>
      </c>
      <c r="AK4945">
        <v>25.3746017429572</v>
      </c>
      <c r="AL4945">
        <v>79.232762779255296</v>
      </c>
      <c r="AM4945">
        <v>96.1284180922693</v>
      </c>
      <c r="AN4945">
        <v>1.00000003165072</v>
      </c>
    </row>
    <row r="4946" spans="1:40" x14ac:dyDescent="0.25">
      <c r="A4946" t="str">
        <f>"20190303162659351"</f>
        <v>20190303162659351</v>
      </c>
      <c r="B4946" t="str">
        <f>"1551601619339288"</f>
        <v>1551601619339288</v>
      </c>
      <c r="C4946" t="s">
        <v>40</v>
      </c>
      <c r="D4946">
        <v>5.9881599999999997</v>
      </c>
      <c r="E4946">
        <v>0.4971892</v>
      </c>
      <c r="F4946" t="s">
        <v>71</v>
      </c>
      <c r="G4946">
        <v>-217.9546</v>
      </c>
      <c r="H4946" s="1">
        <v>-2.7851470000000001E-6</v>
      </c>
      <c r="I4946">
        <v>-61.900550000000003</v>
      </c>
      <c r="J4946">
        <v>-243.40559999999999</v>
      </c>
      <c r="K4946">
        <v>1.122169</v>
      </c>
      <c r="L4946">
        <v>-60.440280000000001</v>
      </c>
      <c r="M4946">
        <v>0.985402</v>
      </c>
      <c r="N4946">
        <v>-1.156941E-2</v>
      </c>
      <c r="O4946">
        <v>-0.16985049999999999</v>
      </c>
      <c r="P4946">
        <v>0.98269870000000004</v>
      </c>
      <c r="Q4946">
        <v>0.1739019</v>
      </c>
      <c r="R4946">
        <v>-6.3729450000000007E-2</v>
      </c>
      <c r="S4946">
        <v>3.0660099999999999</v>
      </c>
      <c r="T4946">
        <v>-0.13386300000000001</v>
      </c>
      <c r="U4946">
        <v>-0.1791992</v>
      </c>
      <c r="V4946">
        <v>-0.10463160000000001</v>
      </c>
      <c r="W4946">
        <v>0.18493100000000001</v>
      </c>
      <c r="X4946">
        <v>0.97716570000000003</v>
      </c>
      <c r="Y4946">
        <v>-0.11185340000000001</v>
      </c>
      <c r="Z4946">
        <v>8.4837539999999996E-3</v>
      </c>
      <c r="AA4946">
        <v>0.99368849999999997</v>
      </c>
      <c r="AB4946">
        <v>24</v>
      </c>
      <c r="AC4946">
        <v>25.451000000000001</v>
      </c>
      <c r="AD4946">
        <v>-1.1221717851469999</v>
      </c>
      <c r="AE4946">
        <v>-1.46027</v>
      </c>
      <c r="AF4946">
        <v>-2.87852725507735</v>
      </c>
      <c r="AG4946">
        <v>-1.1221717851469999</v>
      </c>
      <c r="AH4946">
        <v>25.280202384368199</v>
      </c>
      <c r="AI4946">
        <v>92.525357149631802</v>
      </c>
      <c r="AJ4946">
        <v>96.495999565711301</v>
      </c>
      <c r="AK4946">
        <v>25.468290505415201</v>
      </c>
      <c r="AL4946">
        <v>79.342890703732095</v>
      </c>
      <c r="AM4946">
        <v>96.111751483610306</v>
      </c>
      <c r="AN4946">
        <v>1.0000000258680199</v>
      </c>
    </row>
    <row r="4947" spans="1:40" x14ac:dyDescent="0.25">
      <c r="A4947" t="str">
        <f>"20190303162659367"</f>
        <v>20190303162659367</v>
      </c>
      <c r="B4947" t="str">
        <f>"1551601619358809"</f>
        <v>1551601619358809</v>
      </c>
      <c r="C4947" t="s">
        <v>40</v>
      </c>
      <c r="D4947">
        <v>5.1282300000000003</v>
      </c>
      <c r="E4947">
        <v>0.49740529999999999</v>
      </c>
      <c r="F4947" t="s">
        <v>71</v>
      </c>
      <c r="G4947">
        <v>-218.6516</v>
      </c>
      <c r="H4947" s="1">
        <v>-3.065855E-6</v>
      </c>
      <c r="I4947">
        <v>-61.86065</v>
      </c>
      <c r="J4947">
        <v>-243.22540000000001</v>
      </c>
      <c r="K4947">
        <v>1.1221319999999999</v>
      </c>
      <c r="L4947">
        <v>-60.469909999999999</v>
      </c>
      <c r="M4947">
        <v>0.98562510000000003</v>
      </c>
      <c r="N4947">
        <v>-1.133897E-2</v>
      </c>
      <c r="O4947">
        <v>-0.1685672</v>
      </c>
      <c r="P4947">
        <v>0.98300270000000001</v>
      </c>
      <c r="Q4947">
        <v>0.17287629999999901</v>
      </c>
      <c r="R4947">
        <v>-6.1804629999999999E-2</v>
      </c>
      <c r="S4947">
        <v>3.0660099999999999</v>
      </c>
      <c r="T4947">
        <v>-0.138991</v>
      </c>
      <c r="U4947">
        <v>-0.1759338</v>
      </c>
      <c r="V4947">
        <v>-0.1053021</v>
      </c>
      <c r="W4947">
        <v>0.1836787</v>
      </c>
      <c r="X4947">
        <v>0.97732989999999997</v>
      </c>
      <c r="Y4947">
        <v>-0.1115954</v>
      </c>
      <c r="Z4947">
        <v>8.8361359999999996E-3</v>
      </c>
      <c r="AA4947">
        <v>0.99371449999999995</v>
      </c>
      <c r="AB4947">
        <v>24</v>
      </c>
      <c r="AC4947">
        <v>24.573799999999999</v>
      </c>
      <c r="AD4947">
        <v>-1.122135065855</v>
      </c>
      <c r="AE4947">
        <v>-1.3907400000000001</v>
      </c>
      <c r="AF4947">
        <v>-2.7660169124080398</v>
      </c>
      <c r="AG4947">
        <v>-1.122135065855</v>
      </c>
      <c r="AH4947">
        <v>24.405827388070101</v>
      </c>
      <c r="AI4947">
        <v>92.615778296977197</v>
      </c>
      <c r="AJ4947">
        <v>96.465985738188394</v>
      </c>
      <c r="AK4947">
        <v>24.587688934953299</v>
      </c>
      <c r="AL4947">
        <v>79.415893223273102</v>
      </c>
      <c r="AM4947">
        <v>96.1495921078603</v>
      </c>
      <c r="AN4947">
        <v>1.0000000652660499</v>
      </c>
    </row>
    <row r="4948" spans="1:40" x14ac:dyDescent="0.25">
      <c r="A4948" t="str">
        <f>"20190303162659380"</f>
        <v>20190303162659380</v>
      </c>
      <c r="B4948" t="str">
        <f>"1551601619369544"</f>
        <v>1551601619369544</v>
      </c>
      <c r="C4948" t="s">
        <v>40</v>
      </c>
      <c r="D4948">
        <v>5.1267050000000003</v>
      </c>
      <c r="E4948">
        <v>0.49750909999999898</v>
      </c>
      <c r="F4948" t="s">
        <v>71</v>
      </c>
      <c r="G4948">
        <v>-219.13300000000001</v>
      </c>
      <c r="H4948" s="1">
        <v>-3.222496E-6</v>
      </c>
      <c r="I4948">
        <v>-61.820099999999996</v>
      </c>
      <c r="J4948">
        <v>-243.0873</v>
      </c>
      <c r="K4948">
        <v>1.122106</v>
      </c>
      <c r="L4948">
        <v>-60.492489999999997</v>
      </c>
      <c r="M4948">
        <v>0.98579450000000002</v>
      </c>
      <c r="N4948">
        <v>-1.1165990000000001E-2</v>
      </c>
      <c r="O4948">
        <v>-0.1675845</v>
      </c>
      <c r="P4948">
        <v>0.9831725</v>
      </c>
      <c r="Q4948">
        <v>0.17244519999999999</v>
      </c>
      <c r="R4948">
        <v>-6.028845E-2</v>
      </c>
      <c r="S4948">
        <v>3.066208</v>
      </c>
      <c r="T4948">
        <v>-0.14281240000000001</v>
      </c>
      <c r="U4948">
        <v>-0.17184449999999901</v>
      </c>
      <c r="V4948">
        <v>-0.10584780000000001</v>
      </c>
      <c r="W4948">
        <v>0.1830773</v>
      </c>
      <c r="X4948">
        <v>0.97738369999999997</v>
      </c>
      <c r="Y4948">
        <v>-0.1119144</v>
      </c>
      <c r="Z4948">
        <v>9.1088660000000002E-3</v>
      </c>
      <c r="AA4948">
        <v>0.99367609999999995</v>
      </c>
      <c r="AB4948">
        <v>25</v>
      </c>
      <c r="AC4948">
        <v>23.9543</v>
      </c>
      <c r="AD4948">
        <v>-1.1221092224959901</v>
      </c>
      <c r="AE4948">
        <v>-1.32760999999999</v>
      </c>
      <c r="AF4948">
        <v>-2.6998810746405</v>
      </c>
      <c r="AG4948">
        <v>-1.1221092224959901</v>
      </c>
      <c r="AH4948">
        <v>23.785955104023799</v>
      </c>
      <c r="AI4948">
        <v>92.683734542427601</v>
      </c>
      <c r="AJ4948">
        <v>96.475776704327899</v>
      </c>
      <c r="AK4948">
        <v>23.964977511674199</v>
      </c>
      <c r="AL4948">
        <v>79.450944345000494</v>
      </c>
      <c r="AM4948">
        <v>96.180877046586602</v>
      </c>
      <c r="AN4948">
        <v>0.999999975782909</v>
      </c>
    </row>
    <row r="4949" spans="1:40" x14ac:dyDescent="0.25">
      <c r="A4949" t="str">
        <f>"20190303162659392"</f>
        <v>20190303162659392</v>
      </c>
      <c r="B4949" t="str">
        <f>"1551601619379305"</f>
        <v>1551601619379305</v>
      </c>
      <c r="C4949" t="s">
        <v>40</v>
      </c>
      <c r="D4949">
        <v>5.121321</v>
      </c>
      <c r="E4949">
        <v>0.49758750000000002</v>
      </c>
      <c r="F4949" t="s">
        <v>71</v>
      </c>
      <c r="G4949">
        <v>-219.2372</v>
      </c>
      <c r="H4949" s="1">
        <v>-3.2548740000000001E-6</v>
      </c>
      <c r="I4949">
        <v>-61.802720000000001</v>
      </c>
      <c r="J4949">
        <v>-242.96</v>
      </c>
      <c r="K4949">
        <v>1.122088</v>
      </c>
      <c r="L4949">
        <v>-60.513120000000001</v>
      </c>
      <c r="M4949">
        <v>0.98594919999999997</v>
      </c>
      <c r="N4949">
        <v>-1.101422E-2</v>
      </c>
      <c r="O4949">
        <v>-0.16668189999999999</v>
      </c>
      <c r="P4949">
        <v>0.98321349999999996</v>
      </c>
      <c r="Q4949">
        <v>0.17261409999999999</v>
      </c>
      <c r="R4949">
        <v>-5.9121279999999998E-2</v>
      </c>
      <c r="S4949">
        <v>3.0662989999999999</v>
      </c>
      <c r="T4949">
        <v>-0.14426410000000001</v>
      </c>
      <c r="U4949">
        <v>-0.168457</v>
      </c>
      <c r="V4949">
        <v>-0.10610839999999901</v>
      </c>
      <c r="W4949">
        <v>0.1830965</v>
      </c>
      <c r="X4949">
        <v>0.97735190000000005</v>
      </c>
      <c r="Y4949">
        <v>-0.11209470000000001</v>
      </c>
      <c r="Z4949">
        <v>9.2047150000000005E-3</v>
      </c>
      <c r="AA4949">
        <v>0.99365490000000001</v>
      </c>
      <c r="AB4949">
        <v>25</v>
      </c>
      <c r="AC4949">
        <v>23.722799999999999</v>
      </c>
      <c r="AD4949">
        <v>-1.1220912548739901</v>
      </c>
      <c r="AE4949">
        <v>-1.2896000000000001</v>
      </c>
      <c r="AF4949">
        <v>-2.67687270973585</v>
      </c>
      <c r="AG4949">
        <v>-1.1220912548739901</v>
      </c>
      <c r="AH4949">
        <v>23.5533200190225</v>
      </c>
      <c r="AI4949">
        <v>92.7101152373519</v>
      </c>
      <c r="AJ4949">
        <v>96.483936032044198</v>
      </c>
      <c r="AK4949">
        <v>23.731490054500998</v>
      </c>
      <c r="AL4949">
        <v>79.449825915486699</v>
      </c>
      <c r="AM4949">
        <v>96.196176336464703</v>
      </c>
      <c r="AN4949">
        <v>1.0000000286482</v>
      </c>
    </row>
    <row r="4950" spans="1:40" x14ac:dyDescent="0.25">
      <c r="A4950" t="str">
        <f>"20190303162659421"</f>
        <v>20190303162659421</v>
      </c>
      <c r="B4950" t="str">
        <f>"1551601619409560"</f>
        <v>1551601619409560</v>
      </c>
      <c r="C4950" t="s">
        <v>40</v>
      </c>
      <c r="D4950">
        <v>5.1641519999999996</v>
      </c>
      <c r="E4950">
        <v>0.50790259999999998</v>
      </c>
      <c r="F4950" t="s">
        <v>71</v>
      </c>
      <c r="G4950">
        <v>-219.10650000000001</v>
      </c>
      <c r="H4950" s="1">
        <v>-3.2104569999999999E-6</v>
      </c>
      <c r="I4950">
        <v>-61.802990000000001</v>
      </c>
      <c r="J4950">
        <v>-242.64779999999999</v>
      </c>
      <c r="K4950">
        <v>1.1220540000000001</v>
      </c>
      <c r="L4950">
        <v>-60.563389999999998</v>
      </c>
      <c r="M4950">
        <v>0.9863229</v>
      </c>
      <c r="N4950">
        <v>-1.065987E-2</v>
      </c>
      <c r="O4950">
        <v>-0.16447999999999999</v>
      </c>
      <c r="P4950">
        <v>0.98325700000000005</v>
      </c>
      <c r="Q4950">
        <v>0.17331969999999999</v>
      </c>
      <c r="R4950">
        <v>-5.626925E-2</v>
      </c>
      <c r="S4950">
        <v>3.0665740000000001</v>
      </c>
      <c r="T4950">
        <v>-0.14425470000000001</v>
      </c>
      <c r="U4950">
        <v>-0.16583249999999999</v>
      </c>
      <c r="V4950">
        <v>-0.1067415</v>
      </c>
      <c r="W4950">
        <v>0.1834518</v>
      </c>
      <c r="X4950">
        <v>0.97721630000000004</v>
      </c>
      <c r="Y4950">
        <v>-0.1107301</v>
      </c>
      <c r="Z4950">
        <v>9.1251270000000002E-3</v>
      </c>
      <c r="AA4950">
        <v>0.99380860000000004</v>
      </c>
      <c r="AB4950">
        <v>25</v>
      </c>
      <c r="AC4950">
        <v>23.5412999999999</v>
      </c>
      <c r="AD4950">
        <v>-1.1220572104569999</v>
      </c>
      <c r="AE4950">
        <v>-1.23959999999999</v>
      </c>
      <c r="AF4950">
        <v>-2.6435883959173401</v>
      </c>
      <c r="AG4950">
        <v>-1.1220572104569999</v>
      </c>
      <c r="AH4950">
        <v>23.371593027199602</v>
      </c>
      <c r="AI4950">
        <v>92.731238329276394</v>
      </c>
      <c r="AJ4950">
        <v>96.453364585757697</v>
      </c>
      <c r="AK4950">
        <v>23.547376342591001</v>
      </c>
      <c r="AL4950">
        <v>79.429117706092796</v>
      </c>
      <c r="AM4950">
        <v>96.233714018439798</v>
      </c>
      <c r="AN4950">
        <v>1.0000000038655901</v>
      </c>
    </row>
    <row r="4951" spans="1:40" x14ac:dyDescent="0.25">
      <c r="A4951" t="str">
        <f>"20190303162659436"</f>
        <v>20190303162659436</v>
      </c>
      <c r="B4951" t="str">
        <f>"1551601619429081"</f>
        <v>1551601619429081</v>
      </c>
      <c r="C4951" t="s">
        <v>40</v>
      </c>
      <c r="D4951">
        <v>5.4016250000000001</v>
      </c>
      <c r="E4951">
        <v>0.50768480000000005</v>
      </c>
      <c r="F4951" t="s">
        <v>70</v>
      </c>
      <c r="G4951">
        <v>-226.9512</v>
      </c>
      <c r="H4951" s="1">
        <v>-2.4125129999999999E-6</v>
      </c>
      <c r="I4951">
        <v>-61.788780000000003</v>
      </c>
      <c r="J4951">
        <v>-242.48330000000001</v>
      </c>
      <c r="K4951">
        <v>1.1220410000000001</v>
      </c>
      <c r="L4951">
        <v>-60.589509999999997</v>
      </c>
      <c r="M4951">
        <v>0.98651610000000001</v>
      </c>
      <c r="N4951">
        <v>-1.048584E-2</v>
      </c>
      <c r="O4951">
        <v>-0.163327799999999</v>
      </c>
      <c r="P4951">
        <v>0.98327209999999998</v>
      </c>
      <c r="Q4951">
        <v>0.17380699999999999</v>
      </c>
      <c r="R4951">
        <v>-5.4474080000000001E-2</v>
      </c>
      <c r="S4951">
        <v>3.0760960000000002</v>
      </c>
      <c r="T4951">
        <v>-0.2198908</v>
      </c>
      <c r="U4951">
        <v>-0.24014279999999999</v>
      </c>
      <c r="V4951">
        <v>-0.1073711</v>
      </c>
      <c r="W4951">
        <v>0.18376629999999999</v>
      </c>
      <c r="X4951">
        <v>0.97708819999999996</v>
      </c>
      <c r="Y4951">
        <v>-8.5510320000000001E-2</v>
      </c>
      <c r="Z4951">
        <v>1.336563E-2</v>
      </c>
      <c r="AA4951">
        <v>0.99624760000000001</v>
      </c>
      <c r="AB4951">
        <v>25</v>
      </c>
      <c r="AC4951">
        <v>15.5321</v>
      </c>
      <c r="AD4951">
        <v>-1.1220434125130001</v>
      </c>
      <c r="AE4951">
        <v>-1.1992700000000001</v>
      </c>
      <c r="AF4951">
        <v>-1.3468121298967499</v>
      </c>
      <c r="AG4951">
        <v>-1.1220434125130001</v>
      </c>
      <c r="AH4951">
        <v>15.439299605466701</v>
      </c>
      <c r="AI4951">
        <v>94.140964101520694</v>
      </c>
      <c r="AJ4951">
        <v>94.985446698333007</v>
      </c>
      <c r="AK4951">
        <v>15.5384959581089</v>
      </c>
      <c r="AL4951">
        <v>79.410786268408103</v>
      </c>
      <c r="AM4951">
        <v>96.271006202832595</v>
      </c>
      <c r="AN4951">
        <v>0.99999997835506904</v>
      </c>
    </row>
    <row r="4952" spans="1:40" x14ac:dyDescent="0.25">
      <c r="A4952" t="str">
        <f>"20190303162659453"</f>
        <v>20190303162659453</v>
      </c>
      <c r="B4952" t="str">
        <f>"1551601619438840"</f>
        <v>1551601619438840</v>
      </c>
      <c r="C4952" t="s">
        <v>40</v>
      </c>
      <c r="D4952">
        <v>5.3666280000000004</v>
      </c>
      <c r="E4952">
        <v>0.48571399999999998</v>
      </c>
      <c r="F4952" t="s">
        <v>70</v>
      </c>
      <c r="G4952">
        <v>-226.71010000000001</v>
      </c>
      <c r="H4952" s="1">
        <v>-2.3070819999999998E-6</v>
      </c>
      <c r="I4952">
        <v>-61.779739999999997</v>
      </c>
      <c r="J4952">
        <v>-242.303</v>
      </c>
      <c r="K4952">
        <v>1.122023</v>
      </c>
      <c r="L4952">
        <v>-60.61795</v>
      </c>
      <c r="M4952">
        <v>0.98672539999999997</v>
      </c>
      <c r="N4952">
        <v>-1.0301970000000001E-2</v>
      </c>
      <c r="O4952">
        <v>-0.16206980000000001</v>
      </c>
      <c r="P4952">
        <v>0.98326340000000001</v>
      </c>
      <c r="Q4952">
        <v>0.17436840000000001</v>
      </c>
      <c r="R4952">
        <v>-5.2808269999999997E-2</v>
      </c>
      <c r="S4952">
        <v>3.0768589999999998</v>
      </c>
      <c r="T4952">
        <v>-0.21887509999999999</v>
      </c>
      <c r="U4952">
        <v>-0.23217769999999999</v>
      </c>
      <c r="V4952">
        <v>-0.107765899999999</v>
      </c>
      <c r="W4952">
        <v>0.184145</v>
      </c>
      <c r="X4952">
        <v>0.97697350000000005</v>
      </c>
      <c r="Y4952">
        <v>-8.6825390000000002E-2</v>
      </c>
      <c r="Z4952">
        <v>1.329721E-2</v>
      </c>
      <c r="AA4952">
        <v>0.99613479999999999</v>
      </c>
      <c r="AB4952">
        <v>25</v>
      </c>
      <c r="AC4952">
        <v>15.592899999999901</v>
      </c>
      <c r="AD4952">
        <v>-1.1220253070819901</v>
      </c>
      <c r="AE4952">
        <v>-1.1617900000000001</v>
      </c>
      <c r="AF4952">
        <v>-1.3737699822314799</v>
      </c>
      <c r="AG4952">
        <v>-1.1220253070819901</v>
      </c>
      <c r="AH4952">
        <v>15.4952404353602</v>
      </c>
      <c r="AI4952">
        <v>94.125488550196806</v>
      </c>
      <c r="AJ4952">
        <v>95.066456495731302</v>
      </c>
      <c r="AK4952">
        <v>15.596431030958099</v>
      </c>
      <c r="AL4952">
        <v>79.388712357538196</v>
      </c>
      <c r="AM4952">
        <v>96.294612766883304</v>
      </c>
      <c r="AN4952">
        <v>1.0000000449650199</v>
      </c>
    </row>
    <row r="4953" spans="1:40" x14ac:dyDescent="0.25">
      <c r="A4953" t="str">
        <f>"20190303162659467"</f>
        <v>20190303162659467</v>
      </c>
      <c r="B4953" t="str">
        <f>"1551601619459336"</f>
        <v>1551601619459336</v>
      </c>
      <c r="C4953" t="s">
        <v>40</v>
      </c>
      <c r="D4953">
        <v>5.1986919999999897</v>
      </c>
      <c r="E4953">
        <v>0.4712383</v>
      </c>
      <c r="F4953" t="s">
        <v>71</v>
      </c>
      <c r="G4953">
        <v>-217.28450000000001</v>
      </c>
      <c r="H4953" s="1">
        <v>-2.2677100000000002E-6</v>
      </c>
      <c r="I4953">
        <v>-61.036320000000003</v>
      </c>
      <c r="J4953">
        <v>-242.1489</v>
      </c>
      <c r="K4953">
        <v>1.1220129999999999</v>
      </c>
      <c r="L4953">
        <v>-60.642119999999998</v>
      </c>
      <c r="M4953">
        <v>0.98690250000000002</v>
      </c>
      <c r="N4953">
        <v>-1.014954E-2</v>
      </c>
      <c r="O4953">
        <v>-0.16099810000000001</v>
      </c>
      <c r="P4953">
        <v>0.98323240000000001</v>
      </c>
      <c r="Q4953">
        <v>0.1750032</v>
      </c>
      <c r="R4953">
        <v>-5.1261359999999999E-2</v>
      </c>
      <c r="S4953">
        <v>3.0727389999999999</v>
      </c>
      <c r="T4953">
        <v>-0.1378056</v>
      </c>
      <c r="U4953">
        <v>-5.1391600000000003E-2</v>
      </c>
      <c r="V4953">
        <v>-0.1082254</v>
      </c>
      <c r="W4953">
        <v>0.18462819999999999</v>
      </c>
      <c r="X4953">
        <v>0.97683140000000002</v>
      </c>
      <c r="Y4953">
        <v>-0.14420620000000001</v>
      </c>
      <c r="Z4953">
        <v>9.5150389999999994E-3</v>
      </c>
      <c r="AA4953">
        <v>0.98950190000000005</v>
      </c>
      <c r="AB4953">
        <v>25</v>
      </c>
      <c r="AC4953">
        <v>24.8643999999999</v>
      </c>
      <c r="AD4953">
        <v>-1.1220152677099999</v>
      </c>
      <c r="AE4953">
        <v>-0.394199999999997</v>
      </c>
      <c r="AF4953">
        <v>-3.6069275159192302</v>
      </c>
      <c r="AG4953">
        <v>-1.1220152677099999</v>
      </c>
      <c r="AH4953">
        <v>24.553486233643</v>
      </c>
      <c r="AI4953">
        <v>92.588668416279802</v>
      </c>
      <c r="AJ4953">
        <v>98.357025205212196</v>
      </c>
      <c r="AK4953">
        <v>24.842353563858801</v>
      </c>
      <c r="AL4953">
        <v>79.360543001103693</v>
      </c>
      <c r="AM4953">
        <v>96.322147490355604</v>
      </c>
      <c r="AN4953">
        <v>0.99999994673317805</v>
      </c>
    </row>
    <row r="4954" spans="1:40" x14ac:dyDescent="0.25">
      <c r="A4954" t="str">
        <f>"20190303162659478"</f>
        <v>20190303162659478</v>
      </c>
      <c r="B4954" t="str">
        <f>"1551601619469096"</f>
        <v>1551601619469096</v>
      </c>
      <c r="C4954" t="s">
        <v>40</v>
      </c>
      <c r="D4954">
        <v>5.307175</v>
      </c>
      <c r="E4954">
        <v>0.46469349999999998</v>
      </c>
      <c r="F4954" t="s">
        <v>71</v>
      </c>
      <c r="G4954">
        <v>-218.42920000000001</v>
      </c>
      <c r="H4954" s="1">
        <v>-2.6323569999999999E-6</v>
      </c>
      <c r="I4954">
        <v>-60.117370000000001</v>
      </c>
      <c r="J4954">
        <v>-242.011</v>
      </c>
      <c r="K4954">
        <v>1.122012</v>
      </c>
      <c r="L4954">
        <v>-60.663569999999901</v>
      </c>
      <c r="M4954">
        <v>0.98705969999999998</v>
      </c>
      <c r="N4954">
        <v>-1.0016270000000001E-2</v>
      </c>
      <c r="O4954">
        <v>-0.1600415</v>
      </c>
      <c r="P4954">
        <v>0.98322259999999995</v>
      </c>
      <c r="Q4954">
        <v>0.1757947</v>
      </c>
      <c r="R4954">
        <v>-4.8681960000000003E-2</v>
      </c>
      <c r="S4954">
        <v>3.0806429999999998</v>
      </c>
      <c r="T4954">
        <v>-0.14572379999999999</v>
      </c>
      <c r="U4954">
        <v>6.8145750000000005E-2</v>
      </c>
      <c r="V4954">
        <v>-0.1098232</v>
      </c>
      <c r="W4954">
        <v>0.18528240000000001</v>
      </c>
      <c r="X4954">
        <v>0.97652919999999999</v>
      </c>
      <c r="Y4954">
        <v>-0.1814847</v>
      </c>
      <c r="Z4954">
        <v>1.113657E-2</v>
      </c>
      <c r="AA4954">
        <v>0.9833307</v>
      </c>
      <c r="AB4954">
        <v>25</v>
      </c>
      <c r="AC4954">
        <v>23.581799999999902</v>
      </c>
      <c r="AD4954">
        <v>-1.1220146323569999</v>
      </c>
      <c r="AE4954">
        <v>0.54619999999999802</v>
      </c>
      <c r="AF4954">
        <v>-4.30367648899737</v>
      </c>
      <c r="AG4954">
        <v>-1.1220146323569999</v>
      </c>
      <c r="AH4954">
        <v>23.138035359644</v>
      </c>
      <c r="AI4954">
        <v>92.729484055434796</v>
      </c>
      <c r="AJ4954">
        <v>100.536612519356</v>
      </c>
      <c r="AK4954">
        <v>23.561604963612002</v>
      </c>
      <c r="AL4954">
        <v>79.322402526296599</v>
      </c>
      <c r="AM4954">
        <v>96.416681486858295</v>
      </c>
      <c r="AN4954">
        <v>0.99999999073031998</v>
      </c>
    </row>
    <row r="4955" spans="1:40" x14ac:dyDescent="0.25">
      <c r="A4955" t="str">
        <f>"20190303162659490"</f>
        <v>20190303162659490</v>
      </c>
      <c r="B4955" t="str">
        <f>"1551601619478857"</f>
        <v>1551601619478857</v>
      </c>
      <c r="C4955" t="s">
        <v>40</v>
      </c>
      <c r="D4955">
        <v>5.454745</v>
      </c>
      <c r="E4955">
        <v>0.46156449999999999</v>
      </c>
      <c r="F4955" t="s">
        <v>71</v>
      </c>
      <c r="G4955">
        <v>-219.00729999999999</v>
      </c>
      <c r="H4955" s="1">
        <v>-2.9527959999999998E-6</v>
      </c>
      <c r="I4955">
        <v>-59.708950000000002</v>
      </c>
      <c r="J4955">
        <v>-241.89349999999999</v>
      </c>
      <c r="K4955">
        <v>1.122009</v>
      </c>
      <c r="L4955">
        <v>-60.681730000000002</v>
      </c>
      <c r="M4955">
        <v>0.98719219999999996</v>
      </c>
      <c r="N4955">
        <v>-9.9074820000000004E-3</v>
      </c>
      <c r="O4955">
        <v>-0.1592276</v>
      </c>
      <c r="P4955">
        <v>0.98310359999999997</v>
      </c>
      <c r="Q4955">
        <v>0.1769252</v>
      </c>
      <c r="R4955">
        <v>-4.6952689999999998E-2</v>
      </c>
      <c r="S4955">
        <v>3.0844119999999999</v>
      </c>
      <c r="T4955">
        <v>-0.1504432</v>
      </c>
      <c r="U4955">
        <v>0.12799070000000001</v>
      </c>
      <c r="V4955">
        <v>-0.1107076</v>
      </c>
      <c r="W4955">
        <v>0.18630050000000001</v>
      </c>
      <c r="X4955">
        <v>0.97623559999999998</v>
      </c>
      <c r="Y4955">
        <v>-0.19962559999999999</v>
      </c>
      <c r="Z4955">
        <v>1.201347E-2</v>
      </c>
      <c r="AA4955">
        <v>0.97979859999999996</v>
      </c>
      <c r="AB4955">
        <v>25</v>
      </c>
      <c r="AC4955">
        <v>22.886199999999999</v>
      </c>
      <c r="AD4955">
        <v>-1.122011952796</v>
      </c>
      <c r="AE4955">
        <v>0.97277999999999998</v>
      </c>
      <c r="AF4955">
        <v>-4.5936404730353804</v>
      </c>
      <c r="AG4955">
        <v>-1.122011952796</v>
      </c>
      <c r="AH4955">
        <v>22.385578596674701</v>
      </c>
      <c r="AI4955">
        <v>92.810907455816903</v>
      </c>
      <c r="AJ4955">
        <v>101.596416901365</v>
      </c>
      <c r="AK4955">
        <v>22.879566707558599</v>
      </c>
      <c r="AL4955">
        <v>79.263036149683103</v>
      </c>
      <c r="AM4955">
        <v>96.469847225457997</v>
      </c>
      <c r="AN4955">
        <v>0.99999999785268501</v>
      </c>
    </row>
    <row r="4956" spans="1:40" x14ac:dyDescent="0.25">
      <c r="A4956" t="str">
        <f>"20190303162659513"</f>
        <v>20190303162659513</v>
      </c>
      <c r="B4956" t="str">
        <f>"1551601619499353"</f>
        <v>1551601619499353</v>
      </c>
      <c r="C4956" t="s">
        <v>40</v>
      </c>
      <c r="D4956">
        <v>5.1518300000000004</v>
      </c>
      <c r="E4956">
        <v>0.45822829999999898</v>
      </c>
      <c r="F4956" t="s">
        <v>71</v>
      </c>
      <c r="G4956">
        <v>-218.25989999999999</v>
      </c>
      <c r="H4956" s="1">
        <v>-2.67372E-6</v>
      </c>
      <c r="I4956">
        <v>-59.474800000000002</v>
      </c>
      <c r="J4956">
        <v>-241.6361</v>
      </c>
      <c r="K4956">
        <v>1.121999</v>
      </c>
      <c r="L4956">
        <v>-60.72119</v>
      </c>
      <c r="M4956">
        <v>0.98748000000000002</v>
      </c>
      <c r="N4956">
        <v>-9.6808980000000003E-3</v>
      </c>
      <c r="O4956">
        <v>-0.15744759999999999</v>
      </c>
      <c r="P4956">
        <v>0.98289559999999998</v>
      </c>
      <c r="Q4956">
        <v>0.17865320000000001</v>
      </c>
      <c r="R4956">
        <v>-4.4718340000000002E-2</v>
      </c>
      <c r="S4956">
        <v>3.0854490000000001</v>
      </c>
      <c r="T4956">
        <v>-0.14648269999999999</v>
      </c>
      <c r="U4956">
        <v>0.15756229999999999</v>
      </c>
      <c r="V4956">
        <v>-0.1111225</v>
      </c>
      <c r="W4956">
        <v>0.18780230000000001</v>
      </c>
      <c r="X4956">
        <v>0.97590069999999995</v>
      </c>
      <c r="Y4956">
        <v>-0.20722180000000001</v>
      </c>
      <c r="Z4956">
        <v>1.184143E-2</v>
      </c>
      <c r="AA4956">
        <v>0.97822229999999999</v>
      </c>
      <c r="AB4956">
        <v>25</v>
      </c>
      <c r="AC4956">
        <v>23.376200000000001</v>
      </c>
      <c r="AD4956">
        <v>-1.12200167372</v>
      </c>
      <c r="AE4956">
        <v>1.2463899999999899</v>
      </c>
      <c r="AF4956">
        <v>-4.9002842844853598</v>
      </c>
      <c r="AG4956">
        <v>-1.12200167372</v>
      </c>
      <c r="AH4956">
        <v>22.835899419417601</v>
      </c>
      <c r="AI4956">
        <v>92.750353720607094</v>
      </c>
      <c r="AJ4956">
        <v>102.111253726179</v>
      </c>
      <c r="AK4956">
        <v>23.382685391510499</v>
      </c>
      <c r="AL4956">
        <v>79.175443853919901</v>
      </c>
      <c r="AM4956">
        <v>96.496097064452897</v>
      </c>
      <c r="AN4956">
        <v>1.00000004507601</v>
      </c>
    </row>
    <row r="4957" spans="1:40" x14ac:dyDescent="0.25">
      <c r="A4957" t="str">
        <f>"20190303162659527"</f>
        <v>20190303162659527</v>
      </c>
      <c r="B4957" t="str">
        <f>"1551601619518873"</f>
        <v>1551601619518873</v>
      </c>
      <c r="C4957" t="s">
        <v>40</v>
      </c>
      <c r="D4957">
        <v>5.3520089999999998</v>
      </c>
      <c r="E4957">
        <v>0.4570226</v>
      </c>
      <c r="F4957" t="s">
        <v>71</v>
      </c>
      <c r="G4957">
        <v>-215.2885</v>
      </c>
      <c r="H4957" s="1">
        <v>-1.467226E-6</v>
      </c>
      <c r="I4957">
        <v>-59.090220000000002</v>
      </c>
      <c r="J4957">
        <v>-241.4821</v>
      </c>
      <c r="K4957">
        <v>1.12199</v>
      </c>
      <c r="L4957">
        <v>-60.744630000000001</v>
      </c>
      <c r="M4957">
        <v>0.98765029999999998</v>
      </c>
      <c r="N4957">
        <v>-9.554445E-3</v>
      </c>
      <c r="O4957">
        <v>-0.15638350000000001</v>
      </c>
      <c r="P4957">
        <v>0.98281050000000003</v>
      </c>
      <c r="Q4957">
        <v>0.1793332</v>
      </c>
      <c r="R4957">
        <v>-4.3857010000000002E-2</v>
      </c>
      <c r="S4957">
        <v>3.0847929999999999</v>
      </c>
      <c r="T4957">
        <v>-0.1313646</v>
      </c>
      <c r="U4957">
        <v>0.19094849999999999</v>
      </c>
      <c r="V4957">
        <v>-0.1109081</v>
      </c>
      <c r="W4957">
        <v>0.18835769999999999</v>
      </c>
      <c r="X4957">
        <v>0.97581799999999996</v>
      </c>
      <c r="Y4957">
        <v>-0.21678900000000001</v>
      </c>
      <c r="Z4957">
        <v>1.078923E-2</v>
      </c>
      <c r="AA4957">
        <v>0.97615890000000005</v>
      </c>
      <c r="AB4957">
        <v>25</v>
      </c>
      <c r="AC4957">
        <v>26.1936</v>
      </c>
      <c r="AD4957">
        <v>-1.1219914672260001</v>
      </c>
      <c r="AE4957">
        <v>1.6544100000000099</v>
      </c>
      <c r="AF4957">
        <v>-5.7200329528453997</v>
      </c>
      <c r="AG4957">
        <v>-1.1219914672260001</v>
      </c>
      <c r="AH4957">
        <v>25.565839155107199</v>
      </c>
      <c r="AI4957">
        <v>92.452336666229201</v>
      </c>
      <c r="AJ4957">
        <v>102.611506027655</v>
      </c>
      <c r="AK4957">
        <v>26.221933062590502</v>
      </c>
      <c r="AL4957">
        <v>79.143043052631697</v>
      </c>
      <c r="AM4957">
        <v>96.484215115191006</v>
      </c>
      <c r="AN4957">
        <v>0.99999999945944995</v>
      </c>
    </row>
    <row r="4958" spans="1:40" x14ac:dyDescent="0.25">
      <c r="A4958" t="str">
        <f>"20190303162659540"</f>
        <v>20190303162659540</v>
      </c>
      <c r="B4958" t="str">
        <f>"1551601619528633"</f>
        <v>1551601619528633</v>
      </c>
      <c r="C4958" t="s">
        <v>40</v>
      </c>
      <c r="D4958">
        <v>5.3347199999999999</v>
      </c>
      <c r="E4958">
        <v>0.45688970000000001</v>
      </c>
      <c r="F4958" t="s">
        <v>71</v>
      </c>
      <c r="G4958">
        <v>-215.2697</v>
      </c>
      <c r="H4958" s="1">
        <v>-1.472621E-6</v>
      </c>
      <c r="I4958">
        <v>-59.014380000000003</v>
      </c>
      <c r="J4958">
        <v>-241.34540000000001</v>
      </c>
      <c r="K4958">
        <v>1.121982</v>
      </c>
      <c r="L4958">
        <v>-60.765259999999998</v>
      </c>
      <c r="M4958">
        <v>0.98780020000000002</v>
      </c>
      <c r="N4958">
        <v>-9.4482639999999996E-3</v>
      </c>
      <c r="O4958">
        <v>-0.15543959999999901</v>
      </c>
      <c r="P4958">
        <v>0.98279649999999996</v>
      </c>
      <c r="Q4958">
        <v>0.17956620000000001</v>
      </c>
      <c r="R4958">
        <v>-4.3209240000000003E-2</v>
      </c>
      <c r="S4958">
        <v>3.0856629999999998</v>
      </c>
      <c r="T4958">
        <v>-0.13207839999999901</v>
      </c>
      <c r="U4958">
        <v>0.2036743</v>
      </c>
      <c r="V4958">
        <v>-0.11061260000000001</v>
      </c>
      <c r="W4958">
        <v>0.1884875</v>
      </c>
      <c r="X4958">
        <v>0.97582650000000004</v>
      </c>
      <c r="Y4958">
        <v>-0.21984119999999999</v>
      </c>
      <c r="Z4958">
        <v>1.090027E-2</v>
      </c>
      <c r="AA4958">
        <v>0.97547479999999998</v>
      </c>
      <c r="AB4958">
        <v>25</v>
      </c>
      <c r="AC4958">
        <v>26.075700000000001</v>
      </c>
      <c r="AD4958">
        <v>-1.1219834726210001</v>
      </c>
      <c r="AE4958">
        <v>1.75087999999999</v>
      </c>
      <c r="AF4958">
        <v>-5.77233524261624</v>
      </c>
      <c r="AG4958">
        <v>-1.1219834726210001</v>
      </c>
      <c r="AH4958">
        <v>25.439675837882199</v>
      </c>
      <c r="AI4958">
        <v>92.462795843350406</v>
      </c>
      <c r="AJ4958">
        <v>102.784113558228</v>
      </c>
      <c r="AK4958">
        <v>26.110453994569099</v>
      </c>
      <c r="AL4958">
        <v>79.135470662342001</v>
      </c>
      <c r="AM4958">
        <v>96.467029478698606</v>
      </c>
      <c r="AN4958">
        <v>1.00000002151862</v>
      </c>
    </row>
    <row r="4959" spans="1:40" x14ac:dyDescent="0.25">
      <c r="A4959" t="str">
        <f>"20190303162659554"</f>
        <v>20190303162659554</v>
      </c>
      <c r="B4959" t="str">
        <f>"1551601619539368"</f>
        <v>1551601619539368</v>
      </c>
      <c r="C4959" t="s">
        <v>40</v>
      </c>
      <c r="D4959">
        <v>5.1869540000000001</v>
      </c>
      <c r="E4959">
        <v>0.45671260000000002</v>
      </c>
      <c r="F4959" t="s">
        <v>71</v>
      </c>
      <c r="G4959">
        <v>-215.9135</v>
      </c>
      <c r="H4959" s="1">
        <v>-1.7409740000000001E-6</v>
      </c>
      <c r="I4959">
        <v>-59.05856</v>
      </c>
      <c r="J4959">
        <v>-241.19900000000001</v>
      </c>
      <c r="K4959">
        <v>1.1219760000000001</v>
      </c>
      <c r="L4959">
        <v>-60.787170000000003</v>
      </c>
      <c r="M4959">
        <v>0.9879597</v>
      </c>
      <c r="N4959">
        <v>-9.3433539999999999E-3</v>
      </c>
      <c r="O4959">
        <v>-0.15443019999999999</v>
      </c>
      <c r="P4959">
        <v>0.98284479999999996</v>
      </c>
      <c r="Q4959">
        <v>0.1794683</v>
      </c>
      <c r="R4959">
        <v>-4.2516730000000003E-2</v>
      </c>
      <c r="S4959">
        <v>3.0865019999999999</v>
      </c>
      <c r="T4959">
        <v>-0.13616779999999901</v>
      </c>
      <c r="U4959">
        <v>0.2071228</v>
      </c>
      <c r="V4959">
        <v>-0.11030520000000001</v>
      </c>
      <c r="W4959">
        <v>0.18828839999999999</v>
      </c>
      <c r="X4959">
        <v>0.97589970000000004</v>
      </c>
      <c r="Y4959">
        <v>-0.2198917</v>
      </c>
      <c r="Z4959">
        <v>1.1218870000000001E-2</v>
      </c>
      <c r="AA4959">
        <v>0.97545979999999999</v>
      </c>
      <c r="AB4959">
        <v>25</v>
      </c>
      <c r="AC4959">
        <v>25.285499999999999</v>
      </c>
      <c r="AD4959">
        <v>-1.1219777409739999</v>
      </c>
      <c r="AE4959">
        <v>1.72860999999999</v>
      </c>
      <c r="AF4959">
        <v>-5.6019075177884998</v>
      </c>
      <c r="AG4959">
        <v>-1.1219777409739999</v>
      </c>
      <c r="AH4959">
        <v>24.6668390464956</v>
      </c>
      <c r="AI4959">
        <v>92.539735770045695</v>
      </c>
      <c r="AJ4959">
        <v>102.795006268855</v>
      </c>
      <c r="AK4959">
        <v>25.319817346000299</v>
      </c>
      <c r="AL4959">
        <v>79.147085903443298</v>
      </c>
      <c r="AM4959">
        <v>96.448729122061707</v>
      </c>
      <c r="AN4959">
        <v>0.99999999159084496</v>
      </c>
    </row>
    <row r="4960" spans="1:40" x14ac:dyDescent="0.25">
      <c r="A4960" t="str">
        <f>"20190303162659569"</f>
        <v>20190303162659569</v>
      </c>
      <c r="B4960" t="str">
        <f>"1551601619558889"</f>
        <v>1551601619558889</v>
      </c>
      <c r="C4960" t="s">
        <v>40</v>
      </c>
      <c r="D4960">
        <v>5.1615289999999998</v>
      </c>
      <c r="E4960">
        <v>0.45650819999999998</v>
      </c>
      <c r="F4960" t="s">
        <v>71</v>
      </c>
      <c r="G4960">
        <v>-216.59809999999999</v>
      </c>
      <c r="H4960" s="1">
        <v>-2.0263399999999998E-6</v>
      </c>
      <c r="I4960">
        <v>-59.105490000000003</v>
      </c>
      <c r="J4960">
        <v>-241.02690000000001</v>
      </c>
      <c r="K4960">
        <v>1.1219650000000001</v>
      </c>
      <c r="L4960">
        <v>-60.812809999999999</v>
      </c>
      <c r="M4960">
        <v>0.98814469999999999</v>
      </c>
      <c r="N4960">
        <v>-9.2275650000000001E-3</v>
      </c>
      <c r="O4960">
        <v>-0.1532481</v>
      </c>
      <c r="P4960">
        <v>0.98307599999999995</v>
      </c>
      <c r="Q4960">
        <v>0.17862069999999999</v>
      </c>
      <c r="R4960">
        <v>-4.0699399999999997E-2</v>
      </c>
      <c r="S4960">
        <v>3.0872039999999998</v>
      </c>
      <c r="T4960">
        <v>-0.140798799999999</v>
      </c>
      <c r="U4960">
        <v>0.2110291</v>
      </c>
      <c r="V4960">
        <v>-0.1109644</v>
      </c>
      <c r="W4960">
        <v>0.18732689999999999</v>
      </c>
      <c r="X4960">
        <v>0.97601000000000004</v>
      </c>
      <c r="Y4960">
        <v>-0.21991469999999999</v>
      </c>
      <c r="Z4960">
        <v>1.15745E-2</v>
      </c>
      <c r="AA4960">
        <v>0.9754505</v>
      </c>
      <c r="AB4960">
        <v>25</v>
      </c>
      <c r="AC4960">
        <v>24.428799999999999</v>
      </c>
      <c r="AD4960">
        <v>-1.1219670263399999</v>
      </c>
      <c r="AE4960">
        <v>1.70731999999999</v>
      </c>
      <c r="AF4960">
        <v>-5.4196009529781302</v>
      </c>
      <c r="AG4960">
        <v>-1.1219670263399999</v>
      </c>
      <c r="AH4960">
        <v>23.828542162972099</v>
      </c>
      <c r="AI4960">
        <v>92.628744104857304</v>
      </c>
      <c r="AJ4960">
        <v>102.813464359318</v>
      </c>
      <c r="AK4960">
        <v>24.462835201796601</v>
      </c>
      <c r="AL4960">
        <v>79.203173850135499</v>
      </c>
      <c r="AM4960">
        <v>96.486213291447399</v>
      </c>
      <c r="AN4960">
        <v>0.99999999281548502</v>
      </c>
    </row>
    <row r="4961" spans="1:40" x14ac:dyDescent="0.25">
      <c r="A4961" t="str">
        <f>"20190303162659583"</f>
        <v>20190303162659583</v>
      </c>
      <c r="B4961" t="str">
        <f>"1551601619579384"</f>
        <v>1551601619579384</v>
      </c>
      <c r="C4961" t="s">
        <v>40</v>
      </c>
      <c r="D4961">
        <v>5.1473309999999897</v>
      </c>
      <c r="E4961">
        <v>0.4565767</v>
      </c>
      <c r="F4961" t="s">
        <v>71</v>
      </c>
      <c r="G4961">
        <v>-218.00210000000001</v>
      </c>
      <c r="H4961" s="1">
        <v>-2.6137839999999998E-6</v>
      </c>
      <c r="I4961">
        <v>-59.1892</v>
      </c>
      <c r="J4961">
        <v>-240.87129999999999</v>
      </c>
      <c r="K4961">
        <v>1.1219490000000001</v>
      </c>
      <c r="L4961">
        <v>-60.83578</v>
      </c>
      <c r="M4961">
        <v>0.98831000000000002</v>
      </c>
      <c r="N4961">
        <v>-9.1299199999999997E-3</v>
      </c>
      <c r="O4961">
        <v>-0.15218489999999901</v>
      </c>
      <c r="P4961">
        <v>0.98318150000000004</v>
      </c>
      <c r="Q4961">
        <v>0.17835010000000001</v>
      </c>
      <c r="R4961">
        <v>-3.9313399999999998E-2</v>
      </c>
      <c r="S4961">
        <v>3.0879970000000001</v>
      </c>
      <c r="T4961">
        <v>-0.15047379999999999</v>
      </c>
      <c r="U4961">
        <v>0.21774289999999999</v>
      </c>
      <c r="V4961">
        <v>-0.1112962</v>
      </c>
      <c r="W4961">
        <v>0.1869606</v>
      </c>
      <c r="X4961">
        <v>0.97604239999999998</v>
      </c>
      <c r="Y4961">
        <v>-0.22090460000000001</v>
      </c>
      <c r="Z4961">
        <v>1.238388E-2</v>
      </c>
      <c r="AA4961">
        <v>0.97521679999999999</v>
      </c>
      <c r="AB4961">
        <v>25</v>
      </c>
      <c r="AC4961">
        <v>22.8691999999999</v>
      </c>
      <c r="AD4961">
        <v>-1.121951613784</v>
      </c>
      <c r="AE4961">
        <v>1.6465799999999999</v>
      </c>
      <c r="AF4961">
        <v>-5.0956894000735797</v>
      </c>
      <c r="AG4961">
        <v>-1.121951613784</v>
      </c>
      <c r="AH4961">
        <v>22.298810424897098</v>
      </c>
      <c r="AI4961">
        <v>92.808107445751403</v>
      </c>
      <c r="AJ4961">
        <v>102.872116314254</v>
      </c>
      <c r="AK4961">
        <v>22.9011303705995</v>
      </c>
      <c r="AL4961">
        <v>79.224538164151397</v>
      </c>
      <c r="AM4961">
        <v>96.505227918480998</v>
      </c>
      <c r="AN4961">
        <v>0.99999993834227796</v>
      </c>
    </row>
    <row r="4962" spans="1:40" x14ac:dyDescent="0.25">
      <c r="A4962" t="str">
        <f>"20190303162659595"</f>
        <v>20190303162659595</v>
      </c>
      <c r="B4962" t="str">
        <f>"1551601619589144"</f>
        <v>1551601619589144</v>
      </c>
      <c r="C4962" t="s">
        <v>40</v>
      </c>
      <c r="D4962">
        <v>5.2293240000000001</v>
      </c>
      <c r="E4962">
        <v>0.45670529999999998</v>
      </c>
      <c r="F4962" t="s">
        <v>71</v>
      </c>
      <c r="G4962">
        <v>-218.7552</v>
      </c>
      <c r="H4962" s="1">
        <v>-2.925678E-6</v>
      </c>
      <c r="I4962">
        <v>-59.252299999999998</v>
      </c>
      <c r="J4962">
        <v>-240.7201</v>
      </c>
      <c r="K4962">
        <v>1.121936</v>
      </c>
      <c r="L4962">
        <v>-60.857939999999999</v>
      </c>
      <c r="M4962">
        <v>0.98846769999999995</v>
      </c>
      <c r="N4962">
        <v>-9.0451650000000008E-3</v>
      </c>
      <c r="O4962">
        <v>-0.1511614</v>
      </c>
      <c r="P4962">
        <v>0.98321429999999999</v>
      </c>
      <c r="Q4962">
        <v>0.1784837</v>
      </c>
      <c r="R4962">
        <v>-3.7861659999999998E-2</v>
      </c>
      <c r="S4962">
        <v>3.0885929999999999</v>
      </c>
      <c r="T4962">
        <v>-0.1566845</v>
      </c>
      <c r="U4962">
        <v>0.2211304</v>
      </c>
      <c r="V4962">
        <v>-0.1117219</v>
      </c>
      <c r="W4962">
        <v>0.1870107</v>
      </c>
      <c r="X4962">
        <v>0.97598419999999997</v>
      </c>
      <c r="Y4962">
        <v>-0.2209103</v>
      </c>
      <c r="Z4962">
        <v>1.28688E-2</v>
      </c>
      <c r="AA4962">
        <v>0.9752092</v>
      </c>
      <c r="AB4962">
        <v>25</v>
      </c>
      <c r="AC4962">
        <v>21.9649</v>
      </c>
      <c r="AD4962">
        <v>-1.1219389256779999</v>
      </c>
      <c r="AE4962">
        <v>1.60564</v>
      </c>
      <c r="AF4962">
        <v>-4.89486612903164</v>
      </c>
      <c r="AG4962">
        <v>-1.1219389256779999</v>
      </c>
      <c r="AH4962">
        <v>21.4141885130053</v>
      </c>
      <c r="AI4962">
        <v>92.923840925307701</v>
      </c>
      <c r="AJ4962">
        <v>102.875496045064</v>
      </c>
      <c r="AK4962">
        <v>21.9951342583905</v>
      </c>
      <c r="AL4962">
        <v>79.221616472484499</v>
      </c>
      <c r="AM4962">
        <v>96.530281483062495</v>
      </c>
      <c r="AN4962">
        <v>0.99999997175186905</v>
      </c>
    </row>
    <row r="4963" spans="1:40" x14ac:dyDescent="0.25">
      <c r="A4963" t="str">
        <f>"20190303162659610"</f>
        <v>20190303162659610</v>
      </c>
      <c r="B4963" t="str">
        <f>"1551601619598905"</f>
        <v>1551601619598905</v>
      </c>
      <c r="C4963" t="s">
        <v>40</v>
      </c>
      <c r="D4963">
        <v>5.2425879999999996</v>
      </c>
      <c r="E4963">
        <v>0.45671879999999998</v>
      </c>
      <c r="F4963" t="s">
        <v>71</v>
      </c>
      <c r="G4963">
        <v>-218.89769999999999</v>
      </c>
      <c r="H4963" s="1">
        <v>-2.983265E-6</v>
      </c>
      <c r="I4963">
        <v>-59.27225</v>
      </c>
      <c r="J4963">
        <v>-240.56739999999999</v>
      </c>
      <c r="K4963">
        <v>1.1219239999999999</v>
      </c>
      <c r="L4963">
        <v>-60.880189999999999</v>
      </c>
      <c r="M4963">
        <v>0.98862470000000002</v>
      </c>
      <c r="N4963">
        <v>-8.9648719999999901E-3</v>
      </c>
      <c r="O4963">
        <v>-0.15013580000000001</v>
      </c>
      <c r="P4963">
        <v>0.98317829999999995</v>
      </c>
      <c r="Q4963">
        <v>0.1789644</v>
      </c>
      <c r="R4963">
        <v>-3.6501239999999997E-2</v>
      </c>
      <c r="S4963">
        <v>3.0886990000000001</v>
      </c>
      <c r="T4963">
        <v>-0.1587971</v>
      </c>
      <c r="U4963">
        <v>0.2244263</v>
      </c>
      <c r="V4963">
        <v>-0.1120454</v>
      </c>
      <c r="W4963">
        <v>0.18741260000000001</v>
      </c>
      <c r="X4963">
        <v>0.97587009999999996</v>
      </c>
      <c r="Y4963">
        <v>-0.22091949999999999</v>
      </c>
      <c r="Z4963">
        <v>1.3006800000000001E-2</v>
      </c>
      <c r="AA4963">
        <v>0.97520530000000005</v>
      </c>
      <c r="AB4963">
        <v>25</v>
      </c>
      <c r="AC4963">
        <v>21.669699999999999</v>
      </c>
      <c r="AD4963">
        <v>-1.1219269832649901</v>
      </c>
      <c r="AE4963">
        <v>1.6079399999999899</v>
      </c>
      <c r="AF4963">
        <v>-4.83036463714134</v>
      </c>
      <c r="AG4963">
        <v>-1.1219269832649901</v>
      </c>
      <c r="AH4963">
        <v>21.126323328457001</v>
      </c>
      <c r="AI4963">
        <v>92.963539341387602</v>
      </c>
      <c r="AJ4963">
        <v>102.878843717729</v>
      </c>
      <c r="AK4963">
        <v>21.700522575782099</v>
      </c>
      <c r="AL4963">
        <v>79.198175730652906</v>
      </c>
      <c r="AM4963">
        <v>96.549785487619303</v>
      </c>
      <c r="AN4963">
        <v>1.0000000531869599</v>
      </c>
    </row>
    <row r="4964" spans="1:40" x14ac:dyDescent="0.25">
      <c r="A4964" t="str">
        <f>"20190303162659626"</f>
        <v>20190303162659626</v>
      </c>
      <c r="B4964" t="str">
        <f>"1551601619619400"</f>
        <v>1551601619619400</v>
      </c>
      <c r="C4964" t="s">
        <v>40</v>
      </c>
      <c r="D4964">
        <v>5.257403</v>
      </c>
      <c r="E4964">
        <v>0.45682790000000001</v>
      </c>
      <c r="F4964" t="s">
        <v>71</v>
      </c>
      <c r="G4964">
        <v>-219.18109999999999</v>
      </c>
      <c r="H4964" s="1">
        <v>-3.0998419999999998E-6</v>
      </c>
      <c r="I4964">
        <v>-59.3005</v>
      </c>
      <c r="J4964">
        <v>-240.38839999999999</v>
      </c>
      <c r="K4964">
        <v>1.121907</v>
      </c>
      <c r="L4964">
        <v>-60.906100000000002</v>
      </c>
      <c r="M4964">
        <v>0.9888055</v>
      </c>
      <c r="N4964">
        <v>-8.878024E-3</v>
      </c>
      <c r="O4964">
        <v>-0.1489462</v>
      </c>
      <c r="P4964">
        <v>0.98313919999999999</v>
      </c>
      <c r="Q4964">
        <v>0.17942839999999999</v>
      </c>
      <c r="R4964">
        <v>-3.5255210000000002E-2</v>
      </c>
      <c r="S4964">
        <v>3.0892940000000002</v>
      </c>
      <c r="T4964">
        <v>-0.16206479999999901</v>
      </c>
      <c r="U4964">
        <v>0.22817989999999999</v>
      </c>
      <c r="V4964">
        <v>-0.1120916</v>
      </c>
      <c r="W4964">
        <v>0.1877934</v>
      </c>
      <c r="X4964">
        <v>0.97579150000000003</v>
      </c>
      <c r="Y4964">
        <v>-0.22089249999999999</v>
      </c>
      <c r="Z4964">
        <v>1.322976E-2</v>
      </c>
      <c r="AA4964">
        <v>0.97520839999999998</v>
      </c>
      <c r="AB4964">
        <v>25</v>
      </c>
      <c r="AC4964">
        <v>21.2073</v>
      </c>
      <c r="AD4964">
        <v>-1.121910099842</v>
      </c>
      <c r="AE4964">
        <v>1.6055999999999999</v>
      </c>
      <c r="AF4964">
        <v>-4.7333881694164797</v>
      </c>
      <c r="AG4964">
        <v>-1.121910099842</v>
      </c>
      <c r="AH4964">
        <v>20.6740335981881</v>
      </c>
      <c r="AI4964">
        <v>93.028003809701602</v>
      </c>
      <c r="AJ4964">
        <v>102.895792988186</v>
      </c>
      <c r="AK4964">
        <v>21.238627805334101</v>
      </c>
      <c r="AL4964">
        <v>79.175962197542205</v>
      </c>
      <c r="AM4964">
        <v>96.552985908376897</v>
      </c>
      <c r="AN4964">
        <v>0.99999996967318405</v>
      </c>
    </row>
    <row r="4965" spans="1:40" x14ac:dyDescent="0.25">
      <c r="A4965" t="str">
        <f>"20190303162659648"</f>
        <v>20190303162659648</v>
      </c>
      <c r="B4965" t="str">
        <f>"1551601619638921"</f>
        <v>1551601619638921</v>
      </c>
      <c r="C4965" t="s">
        <v>40</v>
      </c>
      <c r="D4965">
        <v>5.4105619999999996</v>
      </c>
      <c r="E4965">
        <v>0.4566479</v>
      </c>
      <c r="F4965" t="s">
        <v>71</v>
      </c>
      <c r="G4965">
        <v>-218.80080000000001</v>
      </c>
      <c r="H4965" s="1">
        <v>-2.938824E-6</v>
      </c>
      <c r="I4965">
        <v>-59.288369999999901</v>
      </c>
      <c r="J4965">
        <v>-240.14179999999999</v>
      </c>
      <c r="K4965">
        <v>1.1218729999999999</v>
      </c>
      <c r="L4965">
        <v>-60.94144</v>
      </c>
      <c r="M4965">
        <v>0.98904630000000004</v>
      </c>
      <c r="N4965">
        <v>-8.7727969999999902E-3</v>
      </c>
      <c r="O4965">
        <v>-0.147345899999999</v>
      </c>
      <c r="P4965">
        <v>0.98331500000000005</v>
      </c>
      <c r="Q4965">
        <v>0.17868059999999999</v>
      </c>
      <c r="R4965">
        <v>-3.4131429999999997E-2</v>
      </c>
      <c r="S4965">
        <v>3.089035</v>
      </c>
      <c r="T4965">
        <v>-0.1605376</v>
      </c>
      <c r="U4965">
        <v>0.23147580000000001</v>
      </c>
      <c r="V4965">
        <v>-0.1116347</v>
      </c>
      <c r="W4965">
        <v>0.18695220000000001</v>
      </c>
      <c r="X4965">
        <v>0.97600540000000002</v>
      </c>
      <c r="Y4965">
        <v>-0.2203666</v>
      </c>
      <c r="Z4965">
        <v>1.3022540000000001E-2</v>
      </c>
      <c r="AA4965">
        <v>0.97533020000000004</v>
      </c>
      <c r="AB4965">
        <v>25</v>
      </c>
      <c r="AC4965">
        <v>21.340999999999902</v>
      </c>
      <c r="AD4965">
        <v>-1.1218759388239901</v>
      </c>
      <c r="AE4965">
        <v>1.65307</v>
      </c>
      <c r="AF4965">
        <v>-4.7665608408870597</v>
      </c>
      <c r="AG4965">
        <v>-1.1218759388239901</v>
      </c>
      <c r="AH4965">
        <v>20.807305023058198</v>
      </c>
      <c r="AI4965">
        <v>93.008470127429703</v>
      </c>
      <c r="AJ4965">
        <v>102.902751956351</v>
      </c>
      <c r="AK4965">
        <v>21.375749114231599</v>
      </c>
      <c r="AL4965">
        <v>79.225028607457801</v>
      </c>
      <c r="AM4965">
        <v>96.525087998162107</v>
      </c>
      <c r="AN4965">
        <v>0.99999998607904494</v>
      </c>
    </row>
    <row r="4966" spans="1:40" x14ac:dyDescent="0.25">
      <c r="A4966" t="str">
        <f>"20190303162659670"</f>
        <v>20190303162659670</v>
      </c>
      <c r="B4966" t="str">
        <f>"1551601619659417"</f>
        <v>1551601619659417</v>
      </c>
      <c r="C4966" t="s">
        <v>40</v>
      </c>
      <c r="D4966">
        <v>5.4111849999999997</v>
      </c>
      <c r="E4966">
        <v>0.45650930000000001</v>
      </c>
      <c r="F4966" t="s">
        <v>71</v>
      </c>
      <c r="G4966">
        <v>-218.33959999999999</v>
      </c>
      <c r="H4966" s="1">
        <v>-2.744089E-6</v>
      </c>
      <c r="I4966">
        <v>-59.270879999999998</v>
      </c>
      <c r="J4966">
        <v>-239.89619999999999</v>
      </c>
      <c r="K4966">
        <v>1.121831</v>
      </c>
      <c r="L4966">
        <v>-60.976289999999999</v>
      </c>
      <c r="M4966">
        <v>0.98927600000000004</v>
      </c>
      <c r="N4966">
        <v>-8.6814409999999998E-3</v>
      </c>
      <c r="O4966">
        <v>-0.14579990000000001</v>
      </c>
      <c r="P4966">
        <v>0.98353769999999996</v>
      </c>
      <c r="Q4966">
        <v>0.17776040000000001</v>
      </c>
      <c r="R4966">
        <v>-3.2482009999999999E-2</v>
      </c>
      <c r="S4966">
        <v>3.0879970000000001</v>
      </c>
      <c r="T4966">
        <v>-0.15889909999999999</v>
      </c>
      <c r="U4966">
        <v>0.2366028</v>
      </c>
      <c r="V4966">
        <v>-0.11175549999999999</v>
      </c>
      <c r="W4966">
        <v>0.18595100000000001</v>
      </c>
      <c r="X4966">
        <v>0.97618280000000002</v>
      </c>
      <c r="Y4966">
        <v>-0.2204874</v>
      </c>
      <c r="Z4966">
        <v>1.2832E-2</v>
      </c>
      <c r="AA4966">
        <v>0.97530539999999999</v>
      </c>
      <c r="AB4966">
        <v>25</v>
      </c>
      <c r="AC4966">
        <v>21.5566</v>
      </c>
      <c r="AD4966">
        <v>-1.1218337440889901</v>
      </c>
      <c r="AE4966">
        <v>1.7054100000000001</v>
      </c>
      <c r="AF4966">
        <v>-4.8172878730196498</v>
      </c>
      <c r="AG4966">
        <v>-1.1218337440889901</v>
      </c>
      <c r="AH4966">
        <v>21.020995880351901</v>
      </c>
      <c r="AI4966">
        <v>92.977776153392199</v>
      </c>
      <c r="AJ4966">
        <v>102.90734734098299</v>
      </c>
      <c r="AK4966">
        <v>21.595069835559499</v>
      </c>
      <c r="AL4966">
        <v>79.283416781762298</v>
      </c>
      <c r="AM4966">
        <v>96.530911002352994</v>
      </c>
      <c r="AN4966">
        <v>0.99999996259854396</v>
      </c>
    </row>
    <row r="4967" spans="1:40" x14ac:dyDescent="0.25">
      <c r="A4967" t="str">
        <f>"20190303162659682"</f>
        <v>20190303162659682</v>
      </c>
      <c r="B4967" t="str">
        <f>"1551601619669177"</f>
        <v>1551601619669177</v>
      </c>
      <c r="C4967" t="s">
        <v>40</v>
      </c>
      <c r="D4967">
        <v>5.4093559999999998</v>
      </c>
      <c r="E4967">
        <v>0.45644849999999998</v>
      </c>
      <c r="F4967" t="s">
        <v>71</v>
      </c>
      <c r="G4967">
        <v>-217.9342</v>
      </c>
      <c r="H4967" s="1">
        <v>-2.5732409999999998E-6</v>
      </c>
      <c r="I4967">
        <v>-59.253500000000003</v>
      </c>
      <c r="J4967">
        <v>-239.75200000000001</v>
      </c>
      <c r="K4967">
        <v>1.121804</v>
      </c>
      <c r="L4967">
        <v>-60.996580000000002</v>
      </c>
      <c r="M4967">
        <v>0.98940689999999998</v>
      </c>
      <c r="N4967">
        <v>-8.6326040000000003E-3</v>
      </c>
      <c r="O4967">
        <v>-0.14491209999999999</v>
      </c>
      <c r="P4967">
        <v>0.98366390000000004</v>
      </c>
      <c r="Q4967">
        <v>0.17723510000000001</v>
      </c>
      <c r="R4967">
        <v>-3.1513649999999997E-2</v>
      </c>
      <c r="S4967">
        <v>3.086716</v>
      </c>
      <c r="T4967">
        <v>-0.1576716</v>
      </c>
      <c r="U4967">
        <v>0.24212649999999999</v>
      </c>
      <c r="V4967">
        <v>-0.111844899999999</v>
      </c>
      <c r="W4967">
        <v>0.18538360000000001</v>
      </c>
      <c r="X4967">
        <v>0.9762805</v>
      </c>
      <c r="Y4967">
        <v>-0.221384</v>
      </c>
      <c r="Z4967">
        <v>1.2726680000000001E-2</v>
      </c>
      <c r="AA4967">
        <v>0.97510370000000002</v>
      </c>
      <c r="AB4967">
        <v>25</v>
      </c>
      <c r="AC4967">
        <v>21.817799999999998</v>
      </c>
      <c r="AD4967">
        <v>-1.1218065732410001</v>
      </c>
      <c r="AE4967">
        <v>1.74307999999999</v>
      </c>
      <c r="AF4967">
        <v>-4.8736577177322502</v>
      </c>
      <c r="AG4967">
        <v>-1.1218065732410001</v>
      </c>
      <c r="AH4967">
        <v>21.2789841912364</v>
      </c>
      <c r="AI4967">
        <v>92.941748681185302</v>
      </c>
      <c r="AJ4967">
        <v>102.90030636804801</v>
      </c>
      <c r="AK4967">
        <v>21.858777590438699</v>
      </c>
      <c r="AL4967">
        <v>79.316501938507102</v>
      </c>
      <c r="AM4967">
        <v>96.535441852543698</v>
      </c>
      <c r="AN4967">
        <v>0.99999998774260901</v>
      </c>
    </row>
    <row r="4968" spans="1:40" x14ac:dyDescent="0.25">
      <c r="A4968" t="str">
        <f>"20190303162659694"</f>
        <v>20190303162659694</v>
      </c>
      <c r="B4968" t="str">
        <f>"1551601619678937"</f>
        <v>1551601619678937</v>
      </c>
      <c r="C4968" t="s">
        <v>40</v>
      </c>
      <c r="D4968">
        <v>5.4689329999999998</v>
      </c>
      <c r="E4968">
        <v>0.45639590000000002</v>
      </c>
      <c r="F4968" t="s">
        <v>71</v>
      </c>
      <c r="G4968">
        <v>-217.89949999999999</v>
      </c>
      <c r="H4968" s="1">
        <v>-2.5571329999999999E-6</v>
      </c>
      <c r="I4968">
        <v>-59.260509999999996</v>
      </c>
      <c r="J4968">
        <v>-239.61240000000001</v>
      </c>
      <c r="K4968">
        <v>1.1217790000000001</v>
      </c>
      <c r="L4968">
        <v>-61.016109999999998</v>
      </c>
      <c r="M4968">
        <v>0.98952790000000002</v>
      </c>
      <c r="N4968">
        <v>-8.5964390000000009E-3</v>
      </c>
      <c r="O4968">
        <v>-0.14408580000000001</v>
      </c>
      <c r="P4968">
        <v>0.98374249999999996</v>
      </c>
      <c r="Q4968">
        <v>0.1768991</v>
      </c>
      <c r="R4968">
        <v>-3.0942009999999999E-2</v>
      </c>
      <c r="S4968">
        <v>3.0862270000000001</v>
      </c>
      <c r="T4968">
        <v>-0.15843299999999999</v>
      </c>
      <c r="U4968">
        <v>0.24517820000000001</v>
      </c>
      <c r="V4968">
        <v>-0.11159429999999999</v>
      </c>
      <c r="W4968">
        <v>0.18501999999999999</v>
      </c>
      <c r="X4968">
        <v>0.97637810000000003</v>
      </c>
      <c r="Y4968">
        <v>-0.2215358</v>
      </c>
      <c r="Z4968">
        <v>1.276205E-2</v>
      </c>
      <c r="AA4968">
        <v>0.97506870000000001</v>
      </c>
      <c r="AB4968">
        <v>26</v>
      </c>
      <c r="AC4968">
        <v>21.712900000000001</v>
      </c>
      <c r="AD4968">
        <v>-1.1217815571330001</v>
      </c>
      <c r="AE4968">
        <v>1.7556</v>
      </c>
      <c r="AF4968">
        <v>-4.8530457376464797</v>
      </c>
      <c r="AG4968">
        <v>-1.1217815571330001</v>
      </c>
      <c r="AH4968">
        <v>21.1771880355858</v>
      </c>
      <c r="AI4968">
        <v>92.9557165161456</v>
      </c>
      <c r="AJ4968">
        <v>102.90725481422599</v>
      </c>
      <c r="AK4968">
        <v>21.7550853799329</v>
      </c>
      <c r="AL4968">
        <v>79.337700922303497</v>
      </c>
      <c r="AM4968">
        <v>96.520278559851604</v>
      </c>
      <c r="AN4968">
        <v>0.99999994117604796</v>
      </c>
    </row>
    <row r="4969" spans="1:40" x14ac:dyDescent="0.25">
      <c r="A4969" t="str">
        <f>"20190303162659706"</f>
        <v>20190303162659706</v>
      </c>
      <c r="B4969" t="str">
        <f>"1551601619699433"</f>
        <v>1551601619699433</v>
      </c>
      <c r="C4969" t="s">
        <v>40</v>
      </c>
      <c r="D4969">
        <v>5.5948149999999996</v>
      </c>
      <c r="E4969">
        <v>0.45653890000000003</v>
      </c>
      <c r="F4969" t="s">
        <v>71</v>
      </c>
      <c r="G4969">
        <v>-217.7664</v>
      </c>
      <c r="H4969" s="1">
        <v>-2.4984530000000001E-6</v>
      </c>
      <c r="I4969">
        <v>-59.269319999999901</v>
      </c>
      <c r="J4969">
        <v>-239.48310000000001</v>
      </c>
      <c r="K4969">
        <v>1.121753</v>
      </c>
      <c r="L4969">
        <v>-61.034149999999997</v>
      </c>
      <c r="M4969">
        <v>0.98963749999999995</v>
      </c>
      <c r="N4969">
        <v>-8.5671240000000006E-3</v>
      </c>
      <c r="O4969">
        <v>-0.14333319999999999</v>
      </c>
      <c r="P4969">
        <v>0.98380140000000005</v>
      </c>
      <c r="Q4969">
        <v>0.17667620000000001</v>
      </c>
      <c r="R4969">
        <v>-3.0340229999999999E-2</v>
      </c>
      <c r="S4969">
        <v>3.0858460000000001</v>
      </c>
      <c r="T4969">
        <v>-0.15845670000000001</v>
      </c>
      <c r="U4969">
        <v>0.2467346</v>
      </c>
      <c r="V4969">
        <v>-0.1114445</v>
      </c>
      <c r="W4969">
        <v>0.18477489999999999</v>
      </c>
      <c r="X4969">
        <v>0.97644169999999997</v>
      </c>
      <c r="Y4969">
        <v>-0.2212932</v>
      </c>
      <c r="Z4969">
        <v>1.2727280000000001E-2</v>
      </c>
      <c r="AA4969">
        <v>0.9751242</v>
      </c>
      <c r="AB4969">
        <v>26</v>
      </c>
      <c r="AC4969">
        <v>21.716699999999999</v>
      </c>
      <c r="AD4969">
        <v>-1.121755498453</v>
      </c>
      <c r="AE4969">
        <v>1.7648299999999999</v>
      </c>
      <c r="AF4969">
        <v>-4.8465973789973598</v>
      </c>
      <c r="AG4969">
        <v>-1.121755498453</v>
      </c>
      <c r="AH4969">
        <v>21.183330186426499</v>
      </c>
      <c r="AI4969">
        <v>92.9550305003727</v>
      </c>
      <c r="AJ4969">
        <v>102.887065032243</v>
      </c>
      <c r="AK4969">
        <v>21.7596259007268</v>
      </c>
      <c r="AL4969">
        <v>79.351991317714194</v>
      </c>
      <c r="AM4969">
        <v>96.511180716606901</v>
      </c>
      <c r="AN4969">
        <v>1.00000001687457</v>
      </c>
    </row>
    <row r="4970" spans="1:40" x14ac:dyDescent="0.25">
      <c r="A4970" t="str">
        <f>"20190303162659717"</f>
        <v>20190303162659717</v>
      </c>
      <c r="B4970" t="str">
        <f>"1551601619709193"</f>
        <v>1551601619709193</v>
      </c>
      <c r="C4970" t="s">
        <v>40</v>
      </c>
      <c r="D4970">
        <v>5.7724780000000004</v>
      </c>
      <c r="E4970">
        <v>0.4570302</v>
      </c>
      <c r="F4970" t="s">
        <v>71</v>
      </c>
      <c r="G4970">
        <v>-217.52330000000001</v>
      </c>
      <c r="H4970" s="1">
        <v>-2.3933629999999999E-6</v>
      </c>
      <c r="I4970">
        <v>-59.273829999999997</v>
      </c>
      <c r="J4970">
        <v>-239.3417</v>
      </c>
      <c r="K4970">
        <v>1.1217269999999999</v>
      </c>
      <c r="L4970">
        <v>-61.053769999999901</v>
      </c>
      <c r="M4970">
        <v>0.98975299999999999</v>
      </c>
      <c r="N4970">
        <v>-8.5434829999999993E-3</v>
      </c>
      <c r="O4970">
        <v>-0.142535299999999</v>
      </c>
      <c r="P4970">
        <v>0.98385590000000001</v>
      </c>
      <c r="Q4970">
        <v>0.176454799999999</v>
      </c>
      <c r="R4970">
        <v>-2.986049E-2</v>
      </c>
      <c r="S4970">
        <v>3.0853419999999998</v>
      </c>
      <c r="T4970">
        <v>-0.15760579999999999</v>
      </c>
      <c r="U4970">
        <v>0.24731449999999999</v>
      </c>
      <c r="V4970">
        <v>-0.1111264</v>
      </c>
      <c r="W4970">
        <v>0.1845387</v>
      </c>
      <c r="X4970">
        <v>0.97652260000000002</v>
      </c>
      <c r="Y4970">
        <v>-0.22070819999999999</v>
      </c>
      <c r="Z4970">
        <v>1.26093E-2</v>
      </c>
      <c r="AA4970">
        <v>0.97525839999999997</v>
      </c>
      <c r="AB4970">
        <v>26</v>
      </c>
      <c r="AC4970">
        <v>21.8184</v>
      </c>
      <c r="AD4970">
        <v>-1.1217293933629999</v>
      </c>
      <c r="AE4970">
        <v>1.7799399999999801</v>
      </c>
      <c r="AF4970">
        <v>-4.8590117650467999</v>
      </c>
      <c r="AG4970">
        <v>-1.1217293933629999</v>
      </c>
      <c r="AH4970">
        <v>21.286006977724899</v>
      </c>
      <c r="AI4970">
        <v>92.941064972504705</v>
      </c>
      <c r="AJ4970">
        <v>102.858727990028</v>
      </c>
      <c r="AK4970">
        <v>21.862350404760999</v>
      </c>
      <c r="AL4970">
        <v>79.365761185259302</v>
      </c>
      <c r="AM4970">
        <v>96.492221244023398</v>
      </c>
      <c r="AN4970">
        <v>0.99999999844270404</v>
      </c>
    </row>
    <row r="4971" spans="1:40" x14ac:dyDescent="0.25">
      <c r="A4971" t="str">
        <f>"20190303162659747"</f>
        <v>20190303162659747</v>
      </c>
      <c r="B4971" t="str">
        <f>"1551601619739448"</f>
        <v>1551601619739448</v>
      </c>
      <c r="C4971" t="s">
        <v>40</v>
      </c>
      <c r="D4971">
        <v>5.4984489999999999</v>
      </c>
      <c r="E4971">
        <v>0.51604179999999999</v>
      </c>
      <c r="F4971" t="s">
        <v>71</v>
      </c>
      <c r="G4971">
        <v>-217.20740000000001</v>
      </c>
      <c r="H4971" s="1">
        <v>-2.254165E-6</v>
      </c>
      <c r="I4971">
        <v>-59.294649999999997</v>
      </c>
      <c r="J4971">
        <v>-239.01660000000001</v>
      </c>
      <c r="K4971">
        <v>1.12165</v>
      </c>
      <c r="L4971">
        <v>-61.09854</v>
      </c>
      <c r="M4971">
        <v>0.9900004</v>
      </c>
      <c r="N4971">
        <v>-8.5081059999999997E-3</v>
      </c>
      <c r="O4971">
        <v>-0.14080860000000001</v>
      </c>
      <c r="P4971">
        <v>0.98388790000000004</v>
      </c>
      <c r="Q4971">
        <v>0.17628269999999999</v>
      </c>
      <c r="R4971">
        <v>-2.9822109999999999E-2</v>
      </c>
      <c r="S4971">
        <v>3.084686</v>
      </c>
      <c r="T4971">
        <v>-0.15632699999999999</v>
      </c>
      <c r="U4971">
        <v>0.2451477</v>
      </c>
      <c r="V4971">
        <v>-0.1094318</v>
      </c>
      <c r="W4971">
        <v>0.1843564</v>
      </c>
      <c r="X4971">
        <v>0.97674830000000001</v>
      </c>
      <c r="Y4971">
        <v>-0.21835450000000001</v>
      </c>
      <c r="Z4971">
        <v>1.236723E-2</v>
      </c>
      <c r="AA4971">
        <v>0.97579119999999997</v>
      </c>
      <c r="AB4971">
        <v>26</v>
      </c>
      <c r="AC4971">
        <v>21.809200000000001</v>
      </c>
      <c r="AD4971">
        <v>-1.121652254165</v>
      </c>
      <c r="AE4971">
        <v>1.80389</v>
      </c>
      <c r="AF4971">
        <v>-4.84422370773797</v>
      </c>
      <c r="AG4971">
        <v>-1.121652254165</v>
      </c>
      <c r="AH4971">
        <v>21.281973445697702</v>
      </c>
      <c r="AI4971">
        <v>92.941834082702599</v>
      </c>
      <c r="AJ4971">
        <v>102.82323816074501</v>
      </c>
      <c r="AK4971">
        <v>21.855136715501601</v>
      </c>
      <c r="AL4971">
        <v>79.376387717429594</v>
      </c>
      <c r="AM4971">
        <v>96.392580338208603</v>
      </c>
      <c r="AN4971">
        <v>0.99999992131254201</v>
      </c>
    </row>
    <row r="4972" spans="1:40" x14ac:dyDescent="0.25">
      <c r="A4972" t="str">
        <f>"20190303162659758"</f>
        <v>20190303162659758</v>
      </c>
      <c r="B4972" t="str">
        <f>"1551601619749209"</f>
        <v>1551601619749209</v>
      </c>
      <c r="C4972" t="s">
        <v>40</v>
      </c>
      <c r="D4972">
        <v>5.3348490000000002</v>
      </c>
      <c r="E4972">
        <v>0.527398699999999</v>
      </c>
      <c r="F4972" t="s">
        <v>59</v>
      </c>
      <c r="G4972">
        <v>-198.30199999999999</v>
      </c>
      <c r="H4972" s="1">
        <v>-6.6129760000000002E-6</v>
      </c>
      <c r="I4972">
        <v>-64.07696</v>
      </c>
      <c r="J4972">
        <v>-238.88300000000001</v>
      </c>
      <c r="K4972">
        <v>1.121618</v>
      </c>
      <c r="L4972">
        <v>-61.116819999999997</v>
      </c>
      <c r="M4972">
        <v>0.99009530000000001</v>
      </c>
      <c r="N4972">
        <v>-8.4994860000000005E-3</v>
      </c>
      <c r="O4972">
        <v>-0.14014019999999999</v>
      </c>
      <c r="P4972">
        <v>0.98388149999999996</v>
      </c>
      <c r="Q4972">
        <v>0.1762888</v>
      </c>
      <c r="R4972">
        <v>-2.9992270000000001E-2</v>
      </c>
      <c r="S4972">
        <v>3.0574490000000001</v>
      </c>
      <c r="T4972">
        <v>-8.423042E-2</v>
      </c>
      <c r="U4972">
        <v>-0.22366330000000001</v>
      </c>
      <c r="V4972">
        <v>-0.1085882</v>
      </c>
      <c r="W4972">
        <v>0.1843639</v>
      </c>
      <c r="X4972">
        <v>0.97684110000000002</v>
      </c>
      <c r="Y4972">
        <v>-6.7475010000000002E-2</v>
      </c>
      <c r="Z4972">
        <v>3.8617590000000002E-3</v>
      </c>
      <c r="AA4972">
        <v>0.99771350000000003</v>
      </c>
      <c r="AB4972">
        <v>26</v>
      </c>
      <c r="AC4972">
        <v>40.580999999999896</v>
      </c>
      <c r="AD4972">
        <v>-1.1216246129759999</v>
      </c>
      <c r="AE4972">
        <v>-2.96014</v>
      </c>
      <c r="AF4972">
        <v>-2.7542151406173798</v>
      </c>
      <c r="AG4972">
        <v>-1.1216246129759999</v>
      </c>
      <c r="AH4972">
        <v>40.564529705304899</v>
      </c>
      <c r="AI4972">
        <v>91.580210089744199</v>
      </c>
      <c r="AJ4972">
        <v>93.884257466205796</v>
      </c>
      <c r="AK4972">
        <v>40.673391953779898</v>
      </c>
      <c r="AL4972">
        <v>79.375951239950297</v>
      </c>
      <c r="AM4972">
        <v>96.343106053618996</v>
      </c>
      <c r="AN4972">
        <v>0.99999998972583004</v>
      </c>
    </row>
    <row r="4973" spans="1:40" x14ac:dyDescent="0.25">
      <c r="A4973" t="str">
        <f>"20190303162659772"</f>
        <v>20190303162659772</v>
      </c>
      <c r="B4973" t="str">
        <f>"1551601619759475"</f>
        <v>1551601619759475</v>
      </c>
      <c r="C4973" t="s">
        <v>40</v>
      </c>
      <c r="D4973">
        <v>5.329612</v>
      </c>
      <c r="E4973">
        <v>0.53357089999999996</v>
      </c>
      <c r="F4973" t="s">
        <v>59</v>
      </c>
      <c r="G4973">
        <v>-201.60169999999999</v>
      </c>
      <c r="H4973" s="1">
        <v>-5.1518439999999999E-6</v>
      </c>
      <c r="I4973">
        <v>-64.954030000000003</v>
      </c>
      <c r="J4973">
        <v>-238.74039999999999</v>
      </c>
      <c r="K4973">
        <v>1.1215850000000001</v>
      </c>
      <c r="L4973">
        <v>-61.13626</v>
      </c>
      <c r="M4973">
        <v>0.99019159999999995</v>
      </c>
      <c r="N4973">
        <v>-8.4938640000000003E-3</v>
      </c>
      <c r="O4973">
        <v>-0.1394581</v>
      </c>
      <c r="P4973">
        <v>0.98391550000000005</v>
      </c>
      <c r="Q4973">
        <v>0.17602400000000001</v>
      </c>
      <c r="R4973">
        <v>-3.043177E-2</v>
      </c>
      <c r="S4973">
        <v>3.0560459999999998</v>
      </c>
      <c r="T4973">
        <v>-9.1942309999999999E-2</v>
      </c>
      <c r="U4973">
        <v>-0.31454470000000001</v>
      </c>
      <c r="V4973">
        <v>-0.10746849999999999</v>
      </c>
      <c r="W4973">
        <v>0.18410609999999999</v>
      </c>
      <c r="X4973">
        <v>0.97701349999999998</v>
      </c>
      <c r="Y4973">
        <v>-3.7293239999999998E-2</v>
      </c>
      <c r="Z4973">
        <v>3.6978789999999998E-3</v>
      </c>
      <c r="AA4973">
        <v>0.99929749999999995</v>
      </c>
      <c r="AB4973">
        <v>26</v>
      </c>
      <c r="AC4973">
        <v>37.1387</v>
      </c>
      <c r="AD4973">
        <v>-1.1215901518439999</v>
      </c>
      <c r="AE4973">
        <v>-3.8177699999999999</v>
      </c>
      <c r="AF4973">
        <v>-1.39775765929617</v>
      </c>
      <c r="AG4973">
        <v>-1.1215901518439999</v>
      </c>
      <c r="AH4973">
        <v>37.274550995496803</v>
      </c>
      <c r="AI4973">
        <v>91.722298530750606</v>
      </c>
      <c r="AJ4973">
        <v>92.147527094774702</v>
      </c>
      <c r="AK4973">
        <v>37.317607678664601</v>
      </c>
      <c r="AL4973">
        <v>79.3909789871187</v>
      </c>
      <c r="AM4973">
        <v>96.277125530614697</v>
      </c>
      <c r="AN4973">
        <v>0.99999995686585397</v>
      </c>
    </row>
    <row r="4974" spans="1:40" x14ac:dyDescent="0.25">
      <c r="A4974" t="str">
        <f>"20190303162659784"</f>
        <v>20190303162659784</v>
      </c>
      <c r="B4974" t="str">
        <f>"1551601619778994"</f>
        <v>1551601619778994</v>
      </c>
      <c r="C4974" t="s">
        <v>40</v>
      </c>
      <c r="D4974">
        <v>5.2445940000000002</v>
      </c>
      <c r="E4974">
        <v>0.53917280000000001</v>
      </c>
      <c r="F4974" t="s">
        <v>71</v>
      </c>
      <c r="G4974">
        <v>-211.00649999999999</v>
      </c>
      <c r="H4974" s="1">
        <v>-4.8209770000000003E-7</v>
      </c>
      <c r="I4974">
        <v>-64.447429999999997</v>
      </c>
      <c r="J4974">
        <v>-238.59450000000001</v>
      </c>
      <c r="K4974">
        <v>1.1215520000000001</v>
      </c>
      <c r="L4974">
        <v>-61.1560699999999</v>
      </c>
      <c r="M4974">
        <v>0.99028729999999998</v>
      </c>
      <c r="N4974">
        <v>-8.4898960000000002E-3</v>
      </c>
      <c r="O4974">
        <v>-0.1387776</v>
      </c>
      <c r="P4974">
        <v>0.98395060000000001</v>
      </c>
      <c r="Q4974">
        <v>0.1757176</v>
      </c>
      <c r="R4974">
        <v>-3.1061700000000001E-2</v>
      </c>
      <c r="S4974">
        <v>3.0598749999999999</v>
      </c>
      <c r="T4974">
        <v>-0.1237444</v>
      </c>
      <c r="U4974">
        <v>-0.36532589999999998</v>
      </c>
      <c r="V4974">
        <v>-0.10616250000000001</v>
      </c>
      <c r="W4974">
        <v>0.18380850000000001</v>
      </c>
      <c r="X4974">
        <v>0.97721239999999998</v>
      </c>
      <c r="Y4974">
        <v>-2.031208E-2</v>
      </c>
      <c r="Z4974">
        <v>4.8817899999999996E-3</v>
      </c>
      <c r="AA4974">
        <v>0.99978180000000005</v>
      </c>
      <c r="AB4974">
        <v>26</v>
      </c>
      <c r="AC4974">
        <v>27.588000000000001</v>
      </c>
      <c r="AD4974">
        <v>-1.1215524820976901</v>
      </c>
      <c r="AE4974">
        <v>-3.2913600000000098</v>
      </c>
      <c r="AF4974">
        <v>-0.56829881162699203</v>
      </c>
      <c r="AG4974">
        <v>-1.1215524820976901</v>
      </c>
      <c r="AH4974">
        <v>27.732619910038601</v>
      </c>
      <c r="AI4974">
        <v>92.315387410904407</v>
      </c>
      <c r="AJ4974">
        <v>91.173944867785494</v>
      </c>
      <c r="AK4974">
        <v>27.761106796813099</v>
      </c>
      <c r="AL4974">
        <v>79.408327338780197</v>
      </c>
      <c r="AM4974">
        <v>96.200188979880593</v>
      </c>
      <c r="AN4974">
        <v>1.0000000578961199</v>
      </c>
    </row>
    <row r="4975" spans="1:40" x14ac:dyDescent="0.25">
      <c r="A4975" t="str">
        <f>"20190303162659795"</f>
        <v>20190303162659795</v>
      </c>
      <c r="B4975" t="str">
        <f>"1551601619788756"</f>
        <v>1551601619788756</v>
      </c>
      <c r="C4975" t="s">
        <v>40</v>
      </c>
      <c r="D4975">
        <v>5.2304570000000004</v>
      </c>
      <c r="E4975">
        <v>0.54045810000000005</v>
      </c>
      <c r="F4975" t="s">
        <v>71</v>
      </c>
      <c r="G4975">
        <v>-216.15870000000001</v>
      </c>
      <c r="H4975" s="1">
        <v>-2.6194619999999999E-6</v>
      </c>
      <c r="I4975">
        <v>-64.173479999999998</v>
      </c>
      <c r="J4975">
        <v>-238.45959999999999</v>
      </c>
      <c r="K4975">
        <v>1.121521</v>
      </c>
      <c r="L4975">
        <v>-61.174349999999997</v>
      </c>
      <c r="M4975">
        <v>0.990371</v>
      </c>
      <c r="N4975">
        <v>-8.4886110000000001E-3</v>
      </c>
      <c r="O4975">
        <v>-0.138178</v>
      </c>
      <c r="P4975">
        <v>0.98405050000000005</v>
      </c>
      <c r="Q4975">
        <v>0.17501630000000001</v>
      </c>
      <c r="R4975">
        <v>-3.184331E-2</v>
      </c>
      <c r="S4975">
        <v>3.0632630000000001</v>
      </c>
      <c r="T4975">
        <v>-0.1531305</v>
      </c>
      <c r="U4975">
        <v>-0.4119873</v>
      </c>
      <c r="V4975">
        <v>-0.104795899999999</v>
      </c>
      <c r="W4975">
        <v>0.183118</v>
      </c>
      <c r="X4975">
        <v>0.97748939999999995</v>
      </c>
      <c r="Y4975">
        <v>-4.8136689999999996E-3</v>
      </c>
      <c r="Z4975">
        <v>5.8074429999999998E-3</v>
      </c>
      <c r="AA4975">
        <v>0.99997159999999996</v>
      </c>
      <c r="AB4975">
        <v>26</v>
      </c>
      <c r="AC4975">
        <v>22.300899999999899</v>
      </c>
      <c r="AD4975">
        <v>-1.121523619462</v>
      </c>
      <c r="AE4975">
        <v>-2.9991300000000001</v>
      </c>
      <c r="AF4975">
        <v>-0.110970720645319</v>
      </c>
      <c r="AG4975">
        <v>-1.121523619462</v>
      </c>
      <c r="AH4975">
        <v>22.445630302353699</v>
      </c>
      <c r="AI4975">
        <v>92.860440506542602</v>
      </c>
      <c r="AJ4975">
        <v>90.283266812009799</v>
      </c>
      <c r="AK4975">
        <v>22.4739059666937</v>
      </c>
      <c r="AL4975">
        <v>79.448572083332195</v>
      </c>
      <c r="AM4975">
        <v>96.119264081001305</v>
      </c>
      <c r="AN4975">
        <v>0.99999995484658399</v>
      </c>
    </row>
    <row r="4976" spans="1:40" x14ac:dyDescent="0.25">
      <c r="A4976" t="str">
        <f>"20190303162659807"</f>
        <v>20190303162659807</v>
      </c>
      <c r="B4976" t="str">
        <f>"1551601619799491"</f>
        <v>1551601619799491</v>
      </c>
      <c r="C4976" t="s">
        <v>40</v>
      </c>
      <c r="D4976">
        <v>5.2378929999999997</v>
      </c>
      <c r="E4976">
        <v>0.54157569999999999</v>
      </c>
      <c r="F4976" t="s">
        <v>71</v>
      </c>
      <c r="G4976">
        <v>-217.3904</v>
      </c>
      <c r="H4976" s="1">
        <v>-3.0326859999999998E-6</v>
      </c>
      <c r="I4976">
        <v>-64.093239999999994</v>
      </c>
      <c r="J4976">
        <v>-238.33070000000001</v>
      </c>
      <c r="K4976">
        <v>1.121494</v>
      </c>
      <c r="L4976">
        <v>-61.191740000000003</v>
      </c>
      <c r="M4976">
        <v>0.99044909999999997</v>
      </c>
      <c r="N4976">
        <v>-8.4881890000000002E-3</v>
      </c>
      <c r="O4976">
        <v>-0.13761799999999999</v>
      </c>
      <c r="P4976">
        <v>0.98414939999999995</v>
      </c>
      <c r="Q4976">
        <v>0.17426320000000001</v>
      </c>
      <c r="R4976">
        <v>-3.2905820000000002E-2</v>
      </c>
      <c r="S4976">
        <v>3.0638580000000002</v>
      </c>
      <c r="T4976">
        <v>-0.16309000000000001</v>
      </c>
      <c r="U4976">
        <v>-0.42446899999999999</v>
      </c>
      <c r="V4976">
        <v>-0.10319150000000001</v>
      </c>
      <c r="W4976">
        <v>0.18237639999999999</v>
      </c>
      <c r="X4976">
        <v>0.97779870000000002</v>
      </c>
      <c r="Y4976">
        <v>-2.6302139999999998E-4</v>
      </c>
      <c r="Z4976">
        <v>6.0915259999999999E-3</v>
      </c>
      <c r="AA4976">
        <v>0.99998140000000002</v>
      </c>
      <c r="AB4976">
        <v>26</v>
      </c>
      <c r="AC4976">
        <v>20.940300000000001</v>
      </c>
      <c r="AD4976">
        <v>-1.1214970326860001</v>
      </c>
      <c r="AE4976">
        <v>-2.9015</v>
      </c>
      <c r="AF4976">
        <v>-7.9520487959765501E-3</v>
      </c>
      <c r="AG4976">
        <v>-1.1214970326860001</v>
      </c>
      <c r="AH4976">
        <v>21.081031078659699</v>
      </c>
      <c r="AI4976">
        <v>93.045227018593707</v>
      </c>
      <c r="AJ4976">
        <v>90.021612738541194</v>
      </c>
      <c r="AK4976">
        <v>21.1108429525876</v>
      </c>
      <c r="AL4976">
        <v>79.491790569048106</v>
      </c>
      <c r="AM4976">
        <v>96.024382084127694</v>
      </c>
      <c r="AN4976">
        <v>0.99999996733544905</v>
      </c>
    </row>
    <row r="4977" spans="1:40" x14ac:dyDescent="0.25">
      <c r="A4977" t="str">
        <f>"20190303162659824"</f>
        <v>20190303162659824</v>
      </c>
      <c r="B4977" t="str">
        <f>"1551601619819013"</f>
        <v>1551601619819013</v>
      </c>
      <c r="C4977" t="s">
        <v>40</v>
      </c>
      <c r="D4977">
        <v>5.2217349999999998</v>
      </c>
      <c r="E4977">
        <v>0.54288879999999995</v>
      </c>
      <c r="F4977" t="s">
        <v>71</v>
      </c>
      <c r="G4977">
        <v>-218.13319999999999</v>
      </c>
      <c r="H4977" s="1">
        <v>-3.280669E-6</v>
      </c>
      <c r="I4977">
        <v>-64.066100000000006</v>
      </c>
      <c r="J4977">
        <v>-238.13460000000001</v>
      </c>
      <c r="K4977">
        <v>1.1214569999999999</v>
      </c>
      <c r="L4977">
        <v>-61.21808</v>
      </c>
      <c r="M4977">
        <v>0.99056339999999998</v>
      </c>
      <c r="N4977">
        <v>-8.4897259999999995E-3</v>
      </c>
      <c r="O4977">
        <v>-0.1367929</v>
      </c>
      <c r="P4977">
        <v>0.98422580000000004</v>
      </c>
      <c r="Q4977">
        <v>0.1736491</v>
      </c>
      <c r="R4977">
        <v>-3.3849089999999998E-2</v>
      </c>
      <c r="S4977">
        <v>3.0638580000000002</v>
      </c>
      <c r="T4977">
        <v>-0.17012550000000001</v>
      </c>
      <c r="U4977">
        <v>-0.43603520000000001</v>
      </c>
      <c r="V4977">
        <v>-0.1014366</v>
      </c>
      <c r="W4977">
        <v>0.18177670000000001</v>
      </c>
      <c r="X4977">
        <v>0.97809400000000002</v>
      </c>
      <c r="Y4977">
        <v>4.2771989999999998E-3</v>
      </c>
      <c r="Z4977">
        <v>6.219118E-3</v>
      </c>
      <c r="AA4977">
        <v>0.99997150000000001</v>
      </c>
      <c r="AB4977">
        <v>26</v>
      </c>
      <c r="AC4977">
        <v>20.0014</v>
      </c>
      <c r="AD4977">
        <v>-1.1214602806689999</v>
      </c>
      <c r="AE4977">
        <v>-2.8480199999999898</v>
      </c>
      <c r="AF4977">
        <v>8.4836517572378395E-2</v>
      </c>
      <c r="AG4977">
        <v>-1.1214602806689999</v>
      </c>
      <c r="AH4977">
        <v>20.140909970348201</v>
      </c>
      <c r="AI4977">
        <v>93.186950936111103</v>
      </c>
      <c r="AJ4977">
        <v>89.758663056137905</v>
      </c>
      <c r="AK4977">
        <v>20.172286058588</v>
      </c>
      <c r="AL4977">
        <v>79.526735447854094</v>
      </c>
      <c r="AM4977">
        <v>95.920889027476093</v>
      </c>
      <c r="AN4977">
        <v>1.0000000126592199</v>
      </c>
    </row>
    <row r="4978" spans="1:40" x14ac:dyDescent="0.25">
      <c r="A4978" t="str">
        <f>"20190303162659838"</f>
        <v>20190303162659838</v>
      </c>
      <c r="B4978" t="str">
        <f>"1551601619828771"</f>
        <v>1551601619828771</v>
      </c>
      <c r="C4978" t="s">
        <v>40</v>
      </c>
      <c r="D4978">
        <v>5.2183599999999997</v>
      </c>
      <c r="E4978">
        <v>0.54338299999999995</v>
      </c>
      <c r="F4978" t="s">
        <v>71</v>
      </c>
      <c r="G4978">
        <v>-218.8442</v>
      </c>
      <c r="H4978" s="1">
        <v>-3.5189349999999998E-6</v>
      </c>
      <c r="I4978">
        <v>-64.045379999999994</v>
      </c>
      <c r="J4978">
        <v>-237.97839999999999</v>
      </c>
      <c r="K4978">
        <v>1.1214390000000001</v>
      </c>
      <c r="L4978">
        <v>-61.238979999999998</v>
      </c>
      <c r="M4978">
        <v>0.99065080000000005</v>
      </c>
      <c r="N4978">
        <v>-8.4949139999999992E-3</v>
      </c>
      <c r="O4978">
        <v>-0.1361578</v>
      </c>
      <c r="P4978">
        <v>0.98427509999999996</v>
      </c>
      <c r="Q4978">
        <v>0.17319329999999999</v>
      </c>
      <c r="R4978">
        <v>-3.4740489999999999E-2</v>
      </c>
      <c r="S4978">
        <v>3.0640869999999998</v>
      </c>
      <c r="T4978">
        <v>-0.17813219999999999</v>
      </c>
      <c r="U4978">
        <v>-0.44909670000000002</v>
      </c>
      <c r="V4978">
        <v>-9.9923869999999998E-2</v>
      </c>
      <c r="W4978">
        <v>0.18133550000000001</v>
      </c>
      <c r="X4978">
        <v>0.97833159999999997</v>
      </c>
      <c r="Y4978">
        <v>9.0893980000000003E-3</v>
      </c>
      <c r="Z4978">
        <v>6.3724430000000002E-3</v>
      </c>
      <c r="AA4978">
        <v>0.99993840000000001</v>
      </c>
      <c r="AB4978">
        <v>26</v>
      </c>
      <c r="AC4978">
        <v>19.1342</v>
      </c>
      <c r="AD4978">
        <v>-1.1214425189349999</v>
      </c>
      <c r="AE4978">
        <v>-2.8064</v>
      </c>
      <c r="AF4978">
        <v>0.17431196744956901</v>
      </c>
      <c r="AG4978">
        <v>-1.1214425189349999</v>
      </c>
      <c r="AH4978">
        <v>19.273309778821599</v>
      </c>
      <c r="AI4978">
        <v>93.329938575013799</v>
      </c>
      <c r="AJ4978">
        <v>89.481818750012593</v>
      </c>
      <c r="AK4978">
        <v>19.306695414174101</v>
      </c>
      <c r="AL4978">
        <v>79.552441764828004</v>
      </c>
      <c r="AM4978">
        <v>95.831796995828</v>
      </c>
      <c r="AN4978">
        <v>1.0000000314572901</v>
      </c>
    </row>
    <row r="4979" spans="1:40" x14ac:dyDescent="0.25">
      <c r="A4979" t="str">
        <f>"20190303162659853"</f>
        <v>20190303162659853</v>
      </c>
      <c r="B4979" t="str">
        <f>"1551601619839507"</f>
        <v>1551601619839507</v>
      </c>
      <c r="C4979" t="s">
        <v>40</v>
      </c>
      <c r="D4979">
        <v>5.1997869999999997</v>
      </c>
      <c r="E4979">
        <v>0.54366639999999999</v>
      </c>
      <c r="F4979" t="s">
        <v>71</v>
      </c>
      <c r="G4979">
        <v>-219.00370000000001</v>
      </c>
      <c r="H4979" s="1">
        <v>-3.5755170000000002E-6</v>
      </c>
      <c r="I4979">
        <v>-64.058309999999906</v>
      </c>
      <c r="J4979">
        <v>-237.81209999999999</v>
      </c>
      <c r="K4979">
        <v>1.1214230000000001</v>
      </c>
      <c r="L4979">
        <v>-61.26108</v>
      </c>
      <c r="M4979">
        <v>0.99074139999999999</v>
      </c>
      <c r="N4979">
        <v>-8.5055559999999992E-3</v>
      </c>
      <c r="O4979">
        <v>-0.13549510000000001</v>
      </c>
      <c r="P4979">
        <v>0.98411099999999996</v>
      </c>
      <c r="Q4979">
        <v>0.1732011</v>
      </c>
      <c r="R4979">
        <v>-3.907878E-2</v>
      </c>
      <c r="S4979">
        <v>3.063736</v>
      </c>
      <c r="T4979">
        <v>-0.18107300000000001</v>
      </c>
      <c r="U4979">
        <v>-0.45523069999999999</v>
      </c>
      <c r="V4979">
        <v>-9.4941570000000003E-2</v>
      </c>
      <c r="W4979">
        <v>0.18136969999999999</v>
      </c>
      <c r="X4979">
        <v>0.97882130000000001</v>
      </c>
      <c r="Y4979">
        <v>1.17337E-2</v>
      </c>
      <c r="Z4979">
        <v>6.3735450000000004E-3</v>
      </c>
      <c r="AA4979">
        <v>0.99991079999999999</v>
      </c>
      <c r="AB4979">
        <v>26</v>
      </c>
      <c r="AC4979">
        <v>18.808399999999899</v>
      </c>
      <c r="AD4979">
        <v>-1.1214265755169901</v>
      </c>
      <c r="AE4979">
        <v>-2.7972299999999799</v>
      </c>
      <c r="AF4979">
        <v>0.22212106387953201</v>
      </c>
      <c r="AG4979">
        <v>-1.1214265755169901</v>
      </c>
      <c r="AH4979">
        <v>18.948058864693898</v>
      </c>
      <c r="AI4979">
        <v>93.386824334065807</v>
      </c>
      <c r="AJ4979">
        <v>89.328373598743696</v>
      </c>
      <c r="AK4979">
        <v>18.9825148510728</v>
      </c>
      <c r="AL4979">
        <v>79.550448914186902</v>
      </c>
      <c r="AM4979">
        <v>95.540120057219895</v>
      </c>
      <c r="AN4979">
        <v>1.00000000356292</v>
      </c>
    </row>
    <row r="4980" spans="1:40" x14ac:dyDescent="0.25">
      <c r="A4980" t="str">
        <f>"20190303162659866"</f>
        <v>20190303162659866</v>
      </c>
      <c r="B4980" t="str">
        <f>"1551601619859536"</f>
        <v>1551601619859536</v>
      </c>
      <c r="C4980" t="s">
        <v>40</v>
      </c>
      <c r="D4980">
        <v>5.1942170000000001</v>
      </c>
      <c r="E4980">
        <v>0.54422680000000001</v>
      </c>
      <c r="F4980" t="s">
        <v>71</v>
      </c>
      <c r="G4980">
        <v>-219.01339999999999</v>
      </c>
      <c r="H4980" s="1">
        <v>-3.5941469999999998E-6</v>
      </c>
      <c r="I4980">
        <v>-64.144719999999893</v>
      </c>
      <c r="J4980">
        <v>-237.65549999999999</v>
      </c>
      <c r="K4980">
        <v>1.1214150000000001</v>
      </c>
      <c r="L4980">
        <v>-61.281829999999999</v>
      </c>
      <c r="M4980">
        <v>0.99082539999999997</v>
      </c>
      <c r="N4980">
        <v>-8.5194999999999993E-3</v>
      </c>
      <c r="O4980">
        <v>-0.1348789</v>
      </c>
      <c r="P4980">
        <v>0.98397299999999999</v>
      </c>
      <c r="Q4980">
        <v>0.17360919999999999</v>
      </c>
      <c r="R4980">
        <v>-4.0705480000000002E-2</v>
      </c>
      <c r="S4980">
        <v>3.0619350000000001</v>
      </c>
      <c r="T4980">
        <v>-0.18265780000000001</v>
      </c>
      <c r="U4980">
        <v>-0.469696</v>
      </c>
      <c r="V4980">
        <v>-9.2698660000000002E-2</v>
      </c>
      <c r="W4980">
        <v>0.1817983</v>
      </c>
      <c r="X4980">
        <v>0.97895679999999996</v>
      </c>
      <c r="Y4980">
        <v>1.7051050000000002E-2</v>
      </c>
      <c r="Z4980">
        <v>6.2280590000000002E-3</v>
      </c>
      <c r="AA4980">
        <v>0.99983520000000004</v>
      </c>
      <c r="AB4980">
        <v>26</v>
      </c>
      <c r="AC4980">
        <v>18.642099999999999</v>
      </c>
      <c r="AD4980">
        <v>-1.1214185941470001</v>
      </c>
      <c r="AE4980">
        <v>-2.8628899999999802</v>
      </c>
      <c r="AF4980">
        <v>0.32107481630350199</v>
      </c>
      <c r="AG4980">
        <v>-1.1214185941470001</v>
      </c>
      <c r="AH4980">
        <v>18.791462376491701</v>
      </c>
      <c r="AI4980">
        <v>93.414694131028995</v>
      </c>
      <c r="AJ4980">
        <v>89.021127699492595</v>
      </c>
      <c r="AK4980">
        <v>18.827632005859499</v>
      </c>
      <c r="AL4980">
        <v>79.525477176822704</v>
      </c>
      <c r="AM4980">
        <v>95.409281123487006</v>
      </c>
      <c r="AN4980">
        <v>1.00000003985746</v>
      </c>
    </row>
    <row r="4981" spans="1:40" x14ac:dyDescent="0.25">
      <c r="A4981" t="str">
        <f>"20190303162659881"</f>
        <v>20190303162659881</v>
      </c>
      <c r="B4981" t="str">
        <f>"1551601619869294"</f>
        <v>1551601619869294</v>
      </c>
      <c r="C4981" t="s">
        <v>40</v>
      </c>
      <c r="D4981">
        <v>5.1640379999999997</v>
      </c>
      <c r="E4981">
        <v>0.54443450000000004</v>
      </c>
      <c r="F4981" t="s">
        <v>71</v>
      </c>
      <c r="G4981">
        <v>-218.74879999999999</v>
      </c>
      <c r="H4981" s="1">
        <v>-3.5207550000000001E-6</v>
      </c>
      <c r="I4981">
        <v>-64.238619999999997</v>
      </c>
      <c r="J4981">
        <v>-237.4709</v>
      </c>
      <c r="K4981">
        <v>1.121408</v>
      </c>
      <c r="L4981">
        <v>-61.306240000000003</v>
      </c>
      <c r="M4981">
        <v>0.99092270000000005</v>
      </c>
      <c r="N4981">
        <v>-8.5417410000000003E-3</v>
      </c>
      <c r="O4981">
        <v>-0.1341609</v>
      </c>
      <c r="P4981">
        <v>0.98369989999999996</v>
      </c>
      <c r="Q4981">
        <v>0.17415799999999901</v>
      </c>
      <c r="R4981">
        <v>-4.4762580000000003E-2</v>
      </c>
      <c r="S4981">
        <v>3.0611109999999999</v>
      </c>
      <c r="T4981">
        <v>-0.181564</v>
      </c>
      <c r="U4981">
        <v>-0.47872920000000002</v>
      </c>
      <c r="V4981">
        <v>-8.7929339999999995E-2</v>
      </c>
      <c r="W4981">
        <v>0.18238109999999999</v>
      </c>
      <c r="X4981">
        <v>0.9792883</v>
      </c>
      <c r="Y4981">
        <v>2.0686960000000001E-2</v>
      </c>
      <c r="Z4981">
        <v>6.0220990000000004E-3</v>
      </c>
      <c r="AA4981">
        <v>0.99976779999999998</v>
      </c>
      <c r="AB4981">
        <v>26</v>
      </c>
      <c r="AC4981">
        <v>18.722100000000001</v>
      </c>
      <c r="AD4981">
        <v>-1.1214115207549999</v>
      </c>
      <c r="AE4981">
        <v>-2.93237999999999</v>
      </c>
      <c r="AF4981">
        <v>0.392627597202301</v>
      </c>
      <c r="AG4981">
        <v>-1.1214115207549999</v>
      </c>
      <c r="AH4981">
        <v>18.880141598119099</v>
      </c>
      <c r="AI4981">
        <v>93.398433608242598</v>
      </c>
      <c r="AJ4981">
        <v>88.808660302365396</v>
      </c>
      <c r="AK4981">
        <v>18.917491033273699</v>
      </c>
      <c r="AL4981">
        <v>79.491517080307503</v>
      </c>
      <c r="AM4981">
        <v>95.130773385198907</v>
      </c>
      <c r="AN4981">
        <v>1.00000000449346</v>
      </c>
    </row>
    <row r="4982" spans="1:40" x14ac:dyDescent="0.25">
      <c r="A4982" t="str">
        <f>"20190303162659905"</f>
        <v>20190303162659905</v>
      </c>
      <c r="B4982" t="str">
        <f>"1551601619899550"</f>
        <v>1551601619899550</v>
      </c>
      <c r="C4982" t="s">
        <v>40</v>
      </c>
      <c r="D4982">
        <v>5.143389</v>
      </c>
      <c r="E4982">
        <v>0.54481959999999996</v>
      </c>
      <c r="F4982" t="s">
        <v>71</v>
      </c>
      <c r="G4982">
        <v>-218.36170000000001</v>
      </c>
      <c r="H4982" s="1">
        <v>-3.4145889999999998E-6</v>
      </c>
      <c r="I4982">
        <v>-64.382660000000001</v>
      </c>
      <c r="J4982">
        <v>-237.20859999999999</v>
      </c>
      <c r="K4982">
        <v>1.1214109999999999</v>
      </c>
      <c r="L4982">
        <v>-61.340609999999998</v>
      </c>
      <c r="M4982">
        <v>0.99105929999999998</v>
      </c>
      <c r="N4982">
        <v>-8.5797970000000001E-3</v>
      </c>
      <c r="O4982">
        <v>-0.13314609999999999</v>
      </c>
      <c r="P4982">
        <v>0.98354209999999997</v>
      </c>
      <c r="Q4982">
        <v>0.17410339999999999</v>
      </c>
      <c r="R4982">
        <v>-4.8300740000000002E-2</v>
      </c>
      <c r="S4982">
        <v>3.0590670000000002</v>
      </c>
      <c r="T4982">
        <v>-0.1795195</v>
      </c>
      <c r="U4982">
        <v>-0.49249270000000001</v>
      </c>
      <c r="V4982">
        <v>-8.3396650000000003E-2</v>
      </c>
      <c r="W4982">
        <v>0.1823755</v>
      </c>
      <c r="X4982">
        <v>0.97968580000000005</v>
      </c>
      <c r="Y4982">
        <v>2.6184559999999999E-2</v>
      </c>
      <c r="Z4982">
        <v>5.7034E-3</v>
      </c>
      <c r="AA4982">
        <v>0.99964090000000005</v>
      </c>
      <c r="AB4982">
        <v>26</v>
      </c>
      <c r="AC4982">
        <v>18.846899999999899</v>
      </c>
      <c r="AD4982">
        <v>-1.1214144145889999</v>
      </c>
      <c r="AE4982">
        <v>-3.0420500000000001</v>
      </c>
      <c r="AF4982">
        <v>0.50374114670104098</v>
      </c>
      <c r="AG4982">
        <v>-1.1214144145889999</v>
      </c>
      <c r="AH4982">
        <v>19.018511251361101</v>
      </c>
      <c r="AI4982">
        <v>93.373321638224795</v>
      </c>
      <c r="AJ4982">
        <v>88.482767938742896</v>
      </c>
      <c r="AK4982">
        <v>19.058202844189601</v>
      </c>
      <c r="AL4982">
        <v>79.491843845277401</v>
      </c>
      <c r="AM4982">
        <v>94.865625482849296</v>
      </c>
      <c r="AN4982">
        <v>1.0000000454765501</v>
      </c>
    </row>
    <row r="4983" spans="1:40" x14ac:dyDescent="0.25">
      <c r="A4983" t="str">
        <f>"20190303162659917"</f>
        <v>20190303162659917</v>
      </c>
      <c r="B4983" t="str">
        <f>"1551601619909311"</f>
        <v>1551601619909311</v>
      </c>
      <c r="C4983" t="s">
        <v>40</v>
      </c>
      <c r="D4983">
        <v>5.12887</v>
      </c>
      <c r="E4983">
        <v>0.54483819999999905</v>
      </c>
      <c r="F4983" t="s">
        <v>71</v>
      </c>
      <c r="G4983">
        <v>-218.0213</v>
      </c>
      <c r="H4983" s="1">
        <v>-3.3225879999999998E-6</v>
      </c>
      <c r="I4983">
        <v>-64.517139999999998</v>
      </c>
      <c r="J4983">
        <v>-237.06610000000001</v>
      </c>
      <c r="K4983">
        <v>1.1214249999999999</v>
      </c>
      <c r="L4983">
        <v>-61.359160000000003</v>
      </c>
      <c r="M4983">
        <v>0.99113300000000004</v>
      </c>
      <c r="N4983">
        <v>-8.6077659999999993E-3</v>
      </c>
      <c r="O4983">
        <v>-0.13259389999999999</v>
      </c>
      <c r="P4983">
        <v>0.9834794</v>
      </c>
      <c r="Q4983">
        <v>0.17392009999999999</v>
      </c>
      <c r="R4983">
        <v>-5.0202509999999999E-2</v>
      </c>
      <c r="S4983">
        <v>3.0569760000000001</v>
      </c>
      <c r="T4983">
        <v>-0.17866650000000001</v>
      </c>
      <c r="U4983">
        <v>-0.50610350000000004</v>
      </c>
      <c r="V4983">
        <v>-8.0957379999999995E-2</v>
      </c>
      <c r="W4983">
        <v>0.182225</v>
      </c>
      <c r="X4983">
        <v>0.97991839999999997</v>
      </c>
      <c r="Y4983">
        <v>3.1171959999999999E-2</v>
      </c>
      <c r="Z4983">
        <v>5.4750939999999998E-3</v>
      </c>
      <c r="AA4983">
        <v>0.99949900000000003</v>
      </c>
      <c r="AB4983">
        <v>26</v>
      </c>
      <c r="AC4983">
        <v>19.044799999999999</v>
      </c>
      <c r="AD4983">
        <v>-1.121428322588</v>
      </c>
      <c r="AE4983">
        <v>-3.1579799999999998</v>
      </c>
      <c r="AF4983">
        <v>0.60274237494423699</v>
      </c>
      <c r="AG4983">
        <v>-1.121428322588</v>
      </c>
      <c r="AH4983">
        <v>19.230481473236299</v>
      </c>
      <c r="AI4983">
        <v>93.335797563066194</v>
      </c>
      <c r="AJ4983">
        <v>88.204761948648894</v>
      </c>
      <c r="AK4983">
        <v>19.272579421181302</v>
      </c>
      <c r="AL4983">
        <v>79.500613966044199</v>
      </c>
      <c r="AM4983">
        <v>94.722848188828195</v>
      </c>
      <c r="AN4983">
        <v>1.00000005933001</v>
      </c>
    </row>
    <row r="4984" spans="1:40" x14ac:dyDescent="0.25">
      <c r="A4984" t="str">
        <f>"20190303162659927"</f>
        <v>20190303162659927</v>
      </c>
      <c r="B4984" t="str">
        <f>"1551601619919070"</f>
        <v>1551601619919070</v>
      </c>
      <c r="C4984" t="s">
        <v>40</v>
      </c>
      <c r="D4984">
        <v>5.1134680000000001</v>
      </c>
      <c r="E4984">
        <v>0.54487129999999995</v>
      </c>
      <c r="F4984" t="s">
        <v>71</v>
      </c>
      <c r="G4984">
        <v>-217.95060000000001</v>
      </c>
      <c r="H4984" s="1">
        <v>-3.3066729999999999E-6</v>
      </c>
      <c r="I4984">
        <v>-64.563040000000001</v>
      </c>
      <c r="J4984">
        <v>-236.9469</v>
      </c>
      <c r="K4984">
        <v>1.1214280000000001</v>
      </c>
      <c r="L4984">
        <v>-61.374630000000003</v>
      </c>
      <c r="M4984">
        <v>0.99119480000000004</v>
      </c>
      <c r="N4984">
        <v>-8.6336999999999994E-3</v>
      </c>
      <c r="O4984">
        <v>-0.1321309</v>
      </c>
      <c r="P4984">
        <v>0.9833828</v>
      </c>
      <c r="Q4984">
        <v>0.17397650000000001</v>
      </c>
      <c r="R4984">
        <v>-5.1873700000000002E-2</v>
      </c>
      <c r="S4984">
        <v>3.0559539999999998</v>
      </c>
      <c r="T4984">
        <v>-0.17928039999999901</v>
      </c>
      <c r="U4984">
        <v>-0.51220699999999997</v>
      </c>
      <c r="V4984">
        <v>-7.8830300000000006E-2</v>
      </c>
      <c r="W4984">
        <v>0.18231169999999999</v>
      </c>
      <c r="X4984">
        <v>0.98007560000000005</v>
      </c>
      <c r="Y4984">
        <v>3.3630439999999998E-2</v>
      </c>
      <c r="Z4984">
        <v>5.3905580000000002E-3</v>
      </c>
      <c r="AA4984">
        <v>0.99941979999999997</v>
      </c>
      <c r="AB4984">
        <v>26</v>
      </c>
      <c r="AC4984">
        <v>18.996299999999898</v>
      </c>
      <c r="AD4984">
        <v>-1.121431306673</v>
      </c>
      <c r="AE4984">
        <v>-3.18840999999999</v>
      </c>
      <c r="AF4984">
        <v>0.64816437190864096</v>
      </c>
      <c r="AG4984">
        <v>-1.121431306673</v>
      </c>
      <c r="AH4984">
        <v>19.1860045145276</v>
      </c>
      <c r="AI4984">
        <v>93.343257181324105</v>
      </c>
      <c r="AJ4984">
        <v>88.065101863714702</v>
      </c>
      <c r="AK4984">
        <v>19.229677440354301</v>
      </c>
      <c r="AL4984">
        <v>79.495560917069398</v>
      </c>
      <c r="AM4984">
        <v>94.598564701244698</v>
      </c>
      <c r="AN4984">
        <v>0.99999997693516895</v>
      </c>
    </row>
    <row r="4985" spans="1:40" x14ac:dyDescent="0.25">
      <c r="A4985" t="str">
        <f>"20190303162659939"</f>
        <v>20190303162659939</v>
      </c>
      <c r="B4985" t="str">
        <f>"1551601619929806"</f>
        <v>1551601619929806</v>
      </c>
      <c r="C4985" t="s">
        <v>40</v>
      </c>
      <c r="D4985">
        <v>5.138198</v>
      </c>
      <c r="E4985">
        <v>0.54491940000000005</v>
      </c>
      <c r="F4985" t="s">
        <v>71</v>
      </c>
      <c r="G4985">
        <v>-217.85579999999999</v>
      </c>
      <c r="H4985" s="1">
        <v>-3.2826410000000002E-6</v>
      </c>
      <c r="I4985">
        <v>-64.609409999999997</v>
      </c>
      <c r="J4985">
        <v>-236.80680000000001</v>
      </c>
      <c r="K4985">
        <v>1.1214329999999999</v>
      </c>
      <c r="L4985">
        <v>-61.39273</v>
      </c>
      <c r="M4985">
        <v>0.99126700000000001</v>
      </c>
      <c r="N4985">
        <v>-8.6671709999999996E-3</v>
      </c>
      <c r="O4985">
        <v>-0.13158499999999901</v>
      </c>
      <c r="P4985">
        <v>0.98335329999999999</v>
      </c>
      <c r="Q4985">
        <v>0.1736936</v>
      </c>
      <c r="R4985">
        <v>-5.3355449999999999E-2</v>
      </c>
      <c r="S4985">
        <v>3.055145</v>
      </c>
      <c r="T4985">
        <v>-0.1794627</v>
      </c>
      <c r="U4985">
        <v>-0.51766970000000001</v>
      </c>
      <c r="V4985">
        <v>-7.6817590000000005E-2</v>
      </c>
      <c r="W4985">
        <v>0.18206649999999999</v>
      </c>
      <c r="X4985">
        <v>0.98028099999999996</v>
      </c>
      <c r="Y4985">
        <v>3.5956370000000001E-2</v>
      </c>
      <c r="Z4985">
        <v>5.2883950000000004E-3</v>
      </c>
      <c r="AA4985">
        <v>0.99933930000000004</v>
      </c>
      <c r="AB4985">
        <v>26</v>
      </c>
      <c r="AC4985">
        <v>18.951000000000001</v>
      </c>
      <c r="AD4985">
        <v>-1.12143628264099</v>
      </c>
      <c r="AE4985">
        <v>-3.2166799999999802</v>
      </c>
      <c r="AF4985">
        <v>0.692590142509522</v>
      </c>
      <c r="AG4985">
        <v>-1.12143628264099</v>
      </c>
      <c r="AH4985">
        <v>19.144328012200098</v>
      </c>
      <c r="AI4985">
        <v>93.350253996941703</v>
      </c>
      <c r="AJ4985">
        <v>87.928096847095404</v>
      </c>
      <c r="AK4985">
        <v>19.189648133309699</v>
      </c>
      <c r="AL4985">
        <v>79.509849174192993</v>
      </c>
      <c r="AM4985">
        <v>94.480702605395294</v>
      </c>
      <c r="AN4985">
        <v>0.99999999575832899</v>
      </c>
    </row>
    <row r="4986" spans="1:40" x14ac:dyDescent="0.25">
      <c r="A4986" t="str">
        <f>"20190303162659952"</f>
        <v>20190303162659952</v>
      </c>
      <c r="B4986" t="str">
        <f>"1551601619939568"</f>
        <v>1551601619939568</v>
      </c>
      <c r="C4986" t="s">
        <v>40</v>
      </c>
      <c r="D4986">
        <v>5.1364539999999996</v>
      </c>
      <c r="E4986">
        <v>0.54483359999999903</v>
      </c>
      <c r="F4986" t="s">
        <v>71</v>
      </c>
      <c r="G4986">
        <v>-217.8383</v>
      </c>
      <c r="H4986" s="1">
        <v>-3.2821260000000002E-6</v>
      </c>
      <c r="I4986">
        <v>-64.640199999999993</v>
      </c>
      <c r="J4986">
        <v>-236.66759999999999</v>
      </c>
      <c r="K4986">
        <v>1.1214440000000001</v>
      </c>
      <c r="L4986">
        <v>-61.410609999999998</v>
      </c>
      <c r="M4986">
        <v>0.99133899999999997</v>
      </c>
      <c r="N4986">
        <v>-8.7071270000000003E-3</v>
      </c>
      <c r="O4986">
        <v>-0.13103980000000001</v>
      </c>
      <c r="P4986">
        <v>0.98329359999999999</v>
      </c>
      <c r="Q4986">
        <v>0.17366289999999901</v>
      </c>
      <c r="R4986">
        <v>-5.454635E-2</v>
      </c>
      <c r="S4986">
        <v>3.0543369999999999</v>
      </c>
      <c r="T4986">
        <v>-0.1805744</v>
      </c>
      <c r="U4986">
        <v>-0.52291869999999996</v>
      </c>
      <c r="V4986">
        <v>-7.5090619999999997E-2</v>
      </c>
      <c r="W4986">
        <v>0.18207870000000001</v>
      </c>
      <c r="X4986">
        <v>0.98041250000000002</v>
      </c>
      <c r="Y4986">
        <v>3.8214720000000001E-2</v>
      </c>
      <c r="Z4986">
        <v>5.2208649999999999E-3</v>
      </c>
      <c r="AA4986">
        <v>0.99925589999999997</v>
      </c>
      <c r="AB4986">
        <v>26</v>
      </c>
      <c r="AC4986">
        <v>18.8292999999999</v>
      </c>
      <c r="AD4986">
        <v>-1.121447282126</v>
      </c>
      <c r="AE4986">
        <v>-3.2295899999999902</v>
      </c>
      <c r="AF4986">
        <v>0.73173709359711803</v>
      </c>
      <c r="AG4986">
        <v>-1.121447282126</v>
      </c>
      <c r="AH4986">
        <v>19.0245894667435</v>
      </c>
      <c r="AI4986">
        <v>93.371038142253596</v>
      </c>
      <c r="AJ4986">
        <v>87.797335336227107</v>
      </c>
      <c r="AK4986">
        <v>19.071656654807501</v>
      </c>
      <c r="AL4986">
        <v>79.509137926955404</v>
      </c>
      <c r="AM4986">
        <v>94.379781255393993</v>
      </c>
      <c r="AN4986">
        <v>0.99999996218096099</v>
      </c>
    </row>
    <row r="4987" spans="1:40" x14ac:dyDescent="0.25">
      <c r="A4987" t="str">
        <f>"20190303162659965"</f>
        <v>20190303162659965</v>
      </c>
      <c r="B4987" t="str">
        <f>"1551601619959595"</f>
        <v>1551601619959595</v>
      </c>
      <c r="C4987" t="s">
        <v>40</v>
      </c>
      <c r="D4987">
        <v>5.1547720000000004</v>
      </c>
      <c r="E4987">
        <v>0.54467980000000005</v>
      </c>
      <c r="F4987" t="s">
        <v>71</v>
      </c>
      <c r="G4987">
        <v>-217.62100000000001</v>
      </c>
      <c r="H4987" s="1">
        <v>-3.2175289999999999E-6</v>
      </c>
      <c r="I4987">
        <v>-64.692859999999996</v>
      </c>
      <c r="J4987">
        <v>-236.5052</v>
      </c>
      <c r="K4987">
        <v>1.1214569999999999</v>
      </c>
      <c r="L4987">
        <v>-61.431429999999999</v>
      </c>
      <c r="M4987">
        <v>0.99142269999999999</v>
      </c>
      <c r="N4987">
        <v>-8.7588259999999904E-3</v>
      </c>
      <c r="O4987">
        <v>-0.1304013</v>
      </c>
      <c r="P4987">
        <v>0.98317489999999996</v>
      </c>
      <c r="Q4987">
        <v>0.17387069999999999</v>
      </c>
      <c r="R4987">
        <v>-5.6002400000000001E-2</v>
      </c>
      <c r="S4987">
        <v>3.053528</v>
      </c>
      <c r="T4987">
        <v>-0.1797887</v>
      </c>
      <c r="U4987">
        <v>-0.52621459999999998</v>
      </c>
      <c r="V4987">
        <v>-7.3000880000000004E-2</v>
      </c>
      <c r="W4987">
        <v>0.1823408</v>
      </c>
      <c r="X4987">
        <v>0.98052169999999905</v>
      </c>
      <c r="Y4987">
        <v>3.994437E-2</v>
      </c>
      <c r="Z4987">
        <v>5.0964360000000002E-3</v>
      </c>
      <c r="AA4987">
        <v>0.99918890000000005</v>
      </c>
      <c r="AB4987">
        <v>26</v>
      </c>
      <c r="AC4987">
        <v>18.8842</v>
      </c>
      <c r="AD4987">
        <v>-1.1214602175289901</v>
      </c>
      <c r="AE4987">
        <v>-3.2614299999999901</v>
      </c>
      <c r="AF4987">
        <v>0.76832980970359099</v>
      </c>
      <c r="AG4987">
        <v>-1.1214602175289901</v>
      </c>
      <c r="AH4987">
        <v>19.082901267091</v>
      </c>
      <c r="AI4987">
        <v>93.360562347478407</v>
      </c>
      <c r="AJ4987">
        <v>87.694360517232795</v>
      </c>
      <c r="AK4987">
        <v>19.131260399814799</v>
      </c>
      <c r="AL4987">
        <v>79.493865962484094</v>
      </c>
      <c r="AM4987">
        <v>94.257876038584797</v>
      </c>
      <c r="AN4987">
        <v>1.0000000499981501</v>
      </c>
    </row>
    <row r="4988" spans="1:40" x14ac:dyDescent="0.25">
      <c r="A4988" t="str">
        <f>"20190303162659977"</f>
        <v>20190303162659977</v>
      </c>
      <c r="B4988" t="str">
        <f>"1551601619969354"</f>
        <v>1551601619969354</v>
      </c>
      <c r="C4988" t="s">
        <v>40</v>
      </c>
      <c r="D4988">
        <v>5.1053420000000003</v>
      </c>
      <c r="E4988">
        <v>0.54460810000000004</v>
      </c>
      <c r="F4988" t="s">
        <v>71</v>
      </c>
      <c r="G4988">
        <v>-217.30350000000001</v>
      </c>
      <c r="H4988" s="1">
        <v>-3.1217390000000001E-6</v>
      </c>
      <c r="I4988">
        <v>-64.761830000000003</v>
      </c>
      <c r="J4988">
        <v>-236.36429999999999</v>
      </c>
      <c r="K4988">
        <v>1.121469</v>
      </c>
      <c r="L4988">
        <v>-61.449399999999997</v>
      </c>
      <c r="M4988">
        <v>0.99149520000000002</v>
      </c>
      <c r="N4988">
        <v>-8.8118160000000001E-3</v>
      </c>
      <c r="O4988">
        <v>-0.12984499999999999</v>
      </c>
      <c r="P4988">
        <v>0.98299009999999998</v>
      </c>
      <c r="Q4988">
        <v>0.1745506</v>
      </c>
      <c r="R4988">
        <v>-5.7119540000000003E-2</v>
      </c>
      <c r="S4988">
        <v>3.0527039999999999</v>
      </c>
      <c r="T4988">
        <v>-0.17829120000000001</v>
      </c>
      <c r="U4988">
        <v>-0.52947999999999995</v>
      </c>
      <c r="V4988">
        <v>-7.132078E-2</v>
      </c>
      <c r="W4988">
        <v>0.18307490000000001</v>
      </c>
      <c r="X4988">
        <v>0.98050850000000001</v>
      </c>
      <c r="Y4988">
        <v>4.1581840000000002E-2</v>
      </c>
      <c r="Z4988">
        <v>4.95459E-3</v>
      </c>
      <c r="AA4988">
        <v>0.99912279999999998</v>
      </c>
      <c r="AB4988">
        <v>26</v>
      </c>
      <c r="AC4988">
        <v>19.060799999999901</v>
      </c>
      <c r="AD4988">
        <v>-1.121472121739</v>
      </c>
      <c r="AE4988">
        <v>-3.31243</v>
      </c>
      <c r="AF4988">
        <v>0.80662976307802303</v>
      </c>
      <c r="AG4988">
        <v>-1.121472121739</v>
      </c>
      <c r="AH4988">
        <v>19.2648088535183</v>
      </c>
      <c r="AI4988">
        <v>93.328718317922693</v>
      </c>
      <c r="AJ4988">
        <v>87.602389847831304</v>
      </c>
      <c r="AK4988">
        <v>19.314274810541502</v>
      </c>
      <c r="AL4988">
        <v>79.4510844305875</v>
      </c>
      <c r="AM4988">
        <v>94.160285815356204</v>
      </c>
      <c r="AN4988">
        <v>0.99999999562103403</v>
      </c>
    </row>
    <row r="4989" spans="1:40" x14ac:dyDescent="0.25">
      <c r="A4989" t="str">
        <f>"20190303162659988"</f>
        <v>20190303162659988</v>
      </c>
      <c r="B4989" t="str">
        <f>"1551601619979114"</f>
        <v>1551601619979114</v>
      </c>
      <c r="C4989" t="s">
        <v>40</v>
      </c>
      <c r="D4989">
        <v>5.0997729999999999</v>
      </c>
      <c r="E4989">
        <v>0.54452869999999998</v>
      </c>
      <c r="F4989" t="s">
        <v>71</v>
      </c>
      <c r="G4989">
        <v>-216.8707</v>
      </c>
      <c r="H4989" s="1">
        <v>-2.9895849999999999E-6</v>
      </c>
      <c r="I4989">
        <v>-64.847210000000004</v>
      </c>
      <c r="J4989">
        <v>-236.2294</v>
      </c>
      <c r="K4989">
        <v>1.121475</v>
      </c>
      <c r="L4989">
        <v>-61.46649</v>
      </c>
      <c r="M4989">
        <v>0.99156449999999996</v>
      </c>
      <c r="N4989">
        <v>-8.8677689999999993E-3</v>
      </c>
      <c r="O4989">
        <v>-0.12931099999999901</v>
      </c>
      <c r="P4989">
        <v>0.98290679999999997</v>
      </c>
      <c r="Q4989">
        <v>0.17464499999999999</v>
      </c>
      <c r="R4989">
        <v>-5.8252980000000003E-2</v>
      </c>
      <c r="S4989">
        <v>3.0521699999999998</v>
      </c>
      <c r="T4989">
        <v>-0.1755922</v>
      </c>
      <c r="U4989">
        <v>-0.53201290000000001</v>
      </c>
      <c r="V4989">
        <v>-6.9658869999999998E-2</v>
      </c>
      <c r="W4989">
        <v>0.18322769999999999</v>
      </c>
      <c r="X4989">
        <v>0.98059940000000001</v>
      </c>
      <c r="Y4989">
        <v>4.294742E-2</v>
      </c>
      <c r="Z4989">
        <v>4.7814110000000002E-3</v>
      </c>
      <c r="AA4989">
        <v>0.99906589999999995</v>
      </c>
      <c r="AB4989">
        <v>26</v>
      </c>
      <c r="AC4989">
        <v>19.358699999999999</v>
      </c>
      <c r="AD4989">
        <v>-1.121477989585</v>
      </c>
      <c r="AE4989">
        <v>-3.3807200000000002</v>
      </c>
      <c r="AF4989">
        <v>0.84618660191795503</v>
      </c>
      <c r="AG4989">
        <v>-1.121477989585</v>
      </c>
      <c r="AH4989">
        <v>19.569601703740499</v>
      </c>
      <c r="AI4989">
        <v>93.276814969447301</v>
      </c>
      <c r="AJ4989">
        <v>87.5240814997602</v>
      </c>
      <c r="AK4989">
        <v>19.6199657361941</v>
      </c>
      <c r="AL4989">
        <v>79.442178678688293</v>
      </c>
      <c r="AM4989">
        <v>94.063296423556096</v>
      </c>
      <c r="AN4989">
        <v>0.99999996574866201</v>
      </c>
    </row>
    <row r="4990" spans="1:40" x14ac:dyDescent="0.25">
      <c r="A4990" t="str">
        <f>"20190303162700000"</f>
        <v>20190303162700000</v>
      </c>
      <c r="B4990" t="str">
        <f>"1551601619988873"</f>
        <v>1551601619988873</v>
      </c>
      <c r="C4990" t="s">
        <v>40</v>
      </c>
      <c r="D4990">
        <v>5.1290610000000001</v>
      </c>
      <c r="E4990">
        <v>0.54443989999999998</v>
      </c>
      <c r="F4990" t="s">
        <v>71</v>
      </c>
      <c r="G4990">
        <v>-216.68799999999999</v>
      </c>
      <c r="H4990" s="1">
        <v>-2.9347750000000002E-6</v>
      </c>
      <c r="I4990">
        <v>-64.888660000000002</v>
      </c>
      <c r="J4990">
        <v>-236.09469999999999</v>
      </c>
      <c r="K4990">
        <v>1.12148799999999</v>
      </c>
      <c r="L4990">
        <v>-61.483490000000003</v>
      </c>
      <c r="M4990">
        <v>0.99163349999999995</v>
      </c>
      <c r="N4990">
        <v>-8.9273169999999902E-3</v>
      </c>
      <c r="O4990">
        <v>-0.1287769</v>
      </c>
      <c r="P4990">
        <v>0.9827806</v>
      </c>
      <c r="Q4990">
        <v>0.1751559</v>
      </c>
      <c r="R4990">
        <v>-5.8847919999999998E-2</v>
      </c>
      <c r="S4990">
        <v>3.0516359999999998</v>
      </c>
      <c r="T4990">
        <v>-0.17513299999999901</v>
      </c>
      <c r="U4990">
        <v>-0.5344238</v>
      </c>
      <c r="V4990">
        <v>-6.8526409999999996E-2</v>
      </c>
      <c r="W4990">
        <v>0.18379819999999999</v>
      </c>
      <c r="X4990">
        <v>0.98057249999999996</v>
      </c>
      <c r="Y4990">
        <v>4.4276870000000003E-2</v>
      </c>
      <c r="Z4990">
        <v>4.6880079999999996E-3</v>
      </c>
      <c r="AA4990">
        <v>0.99900829999999996</v>
      </c>
      <c r="AB4990">
        <v>26</v>
      </c>
      <c r="AC4990">
        <v>19.406700000000001</v>
      </c>
      <c r="AD4990">
        <v>-1.12149093477499</v>
      </c>
      <c r="AE4990">
        <v>-3.4051699999999898</v>
      </c>
      <c r="AF4990">
        <v>0.87474685945899999</v>
      </c>
      <c r="AG4990">
        <v>-1.12149093477499</v>
      </c>
      <c r="AH4990">
        <v>19.620058451572099</v>
      </c>
      <c r="AI4990">
        <v>93.268251779855007</v>
      </c>
      <c r="AJ4990">
        <v>87.447197496256294</v>
      </c>
      <c r="AK4990">
        <v>19.671543346367699</v>
      </c>
      <c r="AL4990">
        <v>79.408927495047294</v>
      </c>
      <c r="AM4990">
        <v>93.997563718737894</v>
      </c>
      <c r="AN4990">
        <v>1.0000000374734801</v>
      </c>
    </row>
    <row r="4991" spans="1:40" x14ac:dyDescent="0.25">
      <c r="A4991" t="str">
        <f>"20190303162700016"</f>
        <v>20190303162700016</v>
      </c>
      <c r="B4991" t="str">
        <f>"1551601620009369"</f>
        <v>1551601620009369</v>
      </c>
      <c r="C4991" t="s">
        <v>40</v>
      </c>
      <c r="D4991">
        <v>5.1347509999999996</v>
      </c>
      <c r="E4991">
        <v>0.54429609999999995</v>
      </c>
      <c r="F4991" t="s">
        <v>71</v>
      </c>
      <c r="G4991">
        <v>-216.41239999999999</v>
      </c>
      <c r="H4991" s="1">
        <v>-2.848596E-6</v>
      </c>
      <c r="I4991">
        <v>-64.931640000000002</v>
      </c>
      <c r="J4991">
        <v>-235.91249999999999</v>
      </c>
      <c r="K4991">
        <v>1.1215170000000001</v>
      </c>
      <c r="L4991">
        <v>-61.506410000000002</v>
      </c>
      <c r="M4991">
        <v>0.99172629999999995</v>
      </c>
      <c r="N4991">
        <v>-9.0301779999999998E-3</v>
      </c>
      <c r="O4991">
        <v>-0.12805230000000001</v>
      </c>
      <c r="P4991">
        <v>0.98278209999999999</v>
      </c>
      <c r="Q4991">
        <v>0.174797799999999</v>
      </c>
      <c r="R4991">
        <v>-5.9874410000000003E-2</v>
      </c>
      <c r="S4991">
        <v>3.0515289999999999</v>
      </c>
      <c r="T4991">
        <v>-0.17387459999999999</v>
      </c>
      <c r="U4991">
        <v>-0.5346069</v>
      </c>
      <c r="V4991">
        <v>-6.6792480000000001E-2</v>
      </c>
      <c r="W4991">
        <v>0.18354509999999999</v>
      </c>
      <c r="X4991">
        <v>0.98073949999999999</v>
      </c>
      <c r="Y4991">
        <v>4.5066490000000001E-2</v>
      </c>
      <c r="Z4991">
        <v>4.5695909999999996E-3</v>
      </c>
      <c r="AA4991">
        <v>0.99897349999999996</v>
      </c>
      <c r="AB4991">
        <v>26</v>
      </c>
      <c r="AC4991">
        <v>19.5001</v>
      </c>
      <c r="AD4991">
        <v>-1.1215198485959901</v>
      </c>
      <c r="AE4991">
        <v>-3.42523</v>
      </c>
      <c r="AF4991">
        <v>0.89701636506717397</v>
      </c>
      <c r="AG4991">
        <v>-1.1215198485959901</v>
      </c>
      <c r="AH4991">
        <v>19.714915805896499</v>
      </c>
      <c r="AI4991">
        <v>93.252510765678494</v>
      </c>
      <c r="AJ4991">
        <v>87.394874503533302</v>
      </c>
      <c r="AK4991">
        <v>19.767153319676101</v>
      </c>
      <c r="AL4991">
        <v>79.423679662687704</v>
      </c>
      <c r="AM4991">
        <v>93.896067158018298</v>
      </c>
      <c r="AN4991">
        <v>1.0000000029894001</v>
      </c>
    </row>
    <row r="4992" spans="1:40" x14ac:dyDescent="0.25">
      <c r="A4992" t="str">
        <f>"20190303162700029"</f>
        <v>20190303162700029</v>
      </c>
      <c r="B4992" t="str">
        <f>"1551601620019130"</f>
        <v>1551601620019130</v>
      </c>
      <c r="C4992" t="s">
        <v>40</v>
      </c>
      <c r="D4992">
        <v>5.1333789999999997</v>
      </c>
      <c r="E4992">
        <v>0.54422459999999995</v>
      </c>
      <c r="F4992" t="s">
        <v>71</v>
      </c>
      <c r="G4992">
        <v>-216.3108</v>
      </c>
      <c r="H4992" s="1">
        <v>-2.8170150000000001E-6</v>
      </c>
      <c r="I4992">
        <v>-64.948549999999997</v>
      </c>
      <c r="J4992">
        <v>-235.75700000000001</v>
      </c>
      <c r="K4992">
        <v>1.12154</v>
      </c>
      <c r="L4992">
        <v>-61.525820000000003</v>
      </c>
      <c r="M4992">
        <v>0.9918051</v>
      </c>
      <c r="N4992">
        <v>-9.1389030000000003E-3</v>
      </c>
      <c r="O4992">
        <v>-0.12743299999999999</v>
      </c>
      <c r="P4992">
        <v>0.98281160000000001</v>
      </c>
      <c r="Q4992">
        <v>0.17465939999999999</v>
      </c>
      <c r="R4992">
        <v>-5.9795479999999998E-2</v>
      </c>
      <c r="S4992">
        <v>3.0509490000000001</v>
      </c>
      <c r="T4992">
        <v>-0.17456089999999999</v>
      </c>
      <c r="U4992">
        <v>-0.53576659999999998</v>
      </c>
      <c r="V4992">
        <v>-6.626253E-2</v>
      </c>
      <c r="W4992">
        <v>0.18351410000000001</v>
      </c>
      <c r="X4992">
        <v>0.98078129999999997</v>
      </c>
      <c r="Y4992">
        <v>4.6088270000000001E-2</v>
      </c>
      <c r="Z4992">
        <v>4.5147629999999998E-3</v>
      </c>
      <c r="AA4992">
        <v>0.99892720000000002</v>
      </c>
      <c r="AB4992">
        <v>26</v>
      </c>
      <c r="AC4992">
        <v>19.446200000000001</v>
      </c>
      <c r="AD4992">
        <v>-1.1215428170149999</v>
      </c>
      <c r="AE4992">
        <v>-3.4227300000000001</v>
      </c>
      <c r="AF4992">
        <v>0.91368385518069595</v>
      </c>
      <c r="AG4992">
        <v>-1.1215428170149999</v>
      </c>
      <c r="AH4992">
        <v>19.660400887401501</v>
      </c>
      <c r="AI4992">
        <v>93.2614311758703</v>
      </c>
      <c r="AJ4992">
        <v>87.339190098286707</v>
      </c>
      <c r="AK4992">
        <v>19.713549643099601</v>
      </c>
      <c r="AL4992">
        <v>79.425487058892301</v>
      </c>
      <c r="AM4992">
        <v>93.865084526739395</v>
      </c>
      <c r="AN4992">
        <v>1.00000005310524</v>
      </c>
    </row>
    <row r="4993" spans="1:40" x14ac:dyDescent="0.25">
      <c r="A4993" t="str">
        <f>"20190303162700049"</f>
        <v>20190303162700049</v>
      </c>
      <c r="B4993" t="str">
        <f>"1551601620039626"</f>
        <v>1551601620039626</v>
      </c>
      <c r="C4993" t="s">
        <v>40</v>
      </c>
      <c r="D4993">
        <v>5.080025</v>
      </c>
      <c r="E4993">
        <v>0.54398729999999995</v>
      </c>
      <c r="F4993" t="s">
        <v>71</v>
      </c>
      <c r="G4993">
        <v>-216.1739</v>
      </c>
      <c r="H4993" s="1">
        <v>-2.7721620000000001E-6</v>
      </c>
      <c r="I4993">
        <v>-64.958200000000005</v>
      </c>
      <c r="J4993">
        <v>-235.52889999999999</v>
      </c>
      <c r="K4993">
        <v>1.121583</v>
      </c>
      <c r="L4993">
        <v>-61.554139999999997</v>
      </c>
      <c r="M4993">
        <v>0.99191960000000001</v>
      </c>
      <c r="N4993">
        <v>-9.3358269999999997E-3</v>
      </c>
      <c r="O4993">
        <v>-0.1265242</v>
      </c>
      <c r="P4993">
        <v>0.98277559999999997</v>
      </c>
      <c r="Q4993">
        <v>0.17501939999999999</v>
      </c>
      <c r="R4993">
        <v>-5.9335060000000002E-2</v>
      </c>
      <c r="S4993">
        <v>3.050964</v>
      </c>
      <c r="T4993">
        <v>-0.17473159999999999</v>
      </c>
      <c r="U4993">
        <v>-0.53475950000000005</v>
      </c>
      <c r="V4993">
        <v>-6.5819279999999994E-2</v>
      </c>
      <c r="W4993">
        <v>0.1840668</v>
      </c>
      <c r="X4993">
        <v>0.98070749999999995</v>
      </c>
      <c r="Y4993">
        <v>4.6679190000000002E-2</v>
      </c>
      <c r="Z4993">
        <v>4.4290149999999997E-3</v>
      </c>
      <c r="AA4993">
        <v>0.99890009999999996</v>
      </c>
      <c r="AB4993">
        <v>26</v>
      </c>
      <c r="AC4993">
        <v>19.354999999999901</v>
      </c>
      <c r="AD4993">
        <v>-1.1215857721619999</v>
      </c>
      <c r="AE4993">
        <v>-3.4040599999999999</v>
      </c>
      <c r="AF4993">
        <v>0.924706378709647</v>
      </c>
      <c r="AG4993">
        <v>-1.1215857721619999</v>
      </c>
      <c r="AH4993">
        <v>19.5664227054232</v>
      </c>
      <c r="AI4993">
        <v>93.277066840283695</v>
      </c>
      <c r="AJ4993">
        <v>87.294222784976796</v>
      </c>
      <c r="AK4993">
        <v>19.6203449005985</v>
      </c>
      <c r="AL4993">
        <v>79.393270137530294</v>
      </c>
      <c r="AM4993">
        <v>93.839595447974105</v>
      </c>
      <c r="AN4993">
        <v>0.99999998251910305</v>
      </c>
    </row>
    <row r="4994" spans="1:40" x14ac:dyDescent="0.25">
      <c r="A4994" t="str">
        <f>"20190303162700065"</f>
        <v>20190303162700065</v>
      </c>
      <c r="B4994" t="str">
        <f>"1551601620059652"</f>
        <v>1551601620059652</v>
      </c>
      <c r="C4994" t="s">
        <v>40</v>
      </c>
      <c r="D4994">
        <v>5.1133259999999998</v>
      </c>
      <c r="E4994">
        <v>0.54379869999999997</v>
      </c>
      <c r="F4994" t="s">
        <v>71</v>
      </c>
      <c r="G4994">
        <v>-215.7406</v>
      </c>
      <c r="H4994" s="1">
        <v>-2.63217E-6</v>
      </c>
      <c r="I4994">
        <v>-65.000339999999994</v>
      </c>
      <c r="J4994">
        <v>-235.34649999999999</v>
      </c>
      <c r="K4994">
        <v>1.1216250000000001</v>
      </c>
      <c r="L4994">
        <v>-61.576599999999999</v>
      </c>
      <c r="M4994">
        <v>0.99201010000000001</v>
      </c>
      <c r="N4994">
        <v>-9.5191789999999991E-3</v>
      </c>
      <c r="O4994">
        <v>-0.1257984</v>
      </c>
      <c r="P4994">
        <v>0.9827574</v>
      </c>
      <c r="Q4994">
        <v>0.1752204</v>
      </c>
      <c r="R4994">
        <v>-5.9037260000000001E-2</v>
      </c>
      <c r="S4994">
        <v>3.0512999999999999</v>
      </c>
      <c r="T4994">
        <v>-0.17294489999999901</v>
      </c>
      <c r="U4994">
        <v>-0.53140259999999995</v>
      </c>
      <c r="V4994">
        <v>-6.5397369999999996E-2</v>
      </c>
      <c r="W4994">
        <v>0.18444730000000001</v>
      </c>
      <c r="X4994">
        <v>0.98066430000000004</v>
      </c>
      <c r="Y4994">
        <v>4.6321559999999998E-2</v>
      </c>
      <c r="Z4994">
        <v>4.3204189999999998E-3</v>
      </c>
      <c r="AA4994">
        <v>0.99891719999999895</v>
      </c>
      <c r="AB4994">
        <v>26</v>
      </c>
      <c r="AC4994">
        <v>19.605899999999899</v>
      </c>
      <c r="AD4994">
        <v>-1.1216276321700001</v>
      </c>
      <c r="AE4994">
        <v>-3.42374</v>
      </c>
      <c r="AF4994">
        <v>0.92709157280674803</v>
      </c>
      <c r="AG4994">
        <v>-1.1216276321700001</v>
      </c>
      <c r="AH4994">
        <v>19.817912366875699</v>
      </c>
      <c r="AI4994">
        <v>93.235762845664397</v>
      </c>
      <c r="AJ4994">
        <v>87.321628242796805</v>
      </c>
      <c r="AK4994">
        <v>19.871265634347001</v>
      </c>
      <c r="AL4994">
        <v>79.371089996196901</v>
      </c>
      <c r="AM4994">
        <v>93.815223630159295</v>
      </c>
      <c r="AN4994">
        <v>1.0000000458873399</v>
      </c>
    </row>
    <row r="4995" spans="1:40" x14ac:dyDescent="0.25">
      <c r="A4995" t="str">
        <f>"20190303162700078"</f>
        <v>20190303162700078</v>
      </c>
      <c r="B4995" t="str">
        <f>"1551601620069412"</f>
        <v>1551601620069412</v>
      </c>
      <c r="C4995" t="s">
        <v>40</v>
      </c>
      <c r="D4995">
        <v>5.111205</v>
      </c>
      <c r="E4995">
        <v>0.54372299999999996</v>
      </c>
      <c r="F4995" t="s">
        <v>71</v>
      </c>
      <c r="G4995">
        <v>-215.38839999999999</v>
      </c>
      <c r="H4995" s="1">
        <v>-2.518505E-6</v>
      </c>
      <c r="I4995">
        <v>-65.036069999999995</v>
      </c>
      <c r="J4995">
        <v>-235.18539999999999</v>
      </c>
      <c r="K4995">
        <v>1.1216630000000001</v>
      </c>
      <c r="L4995">
        <v>-61.596339999999998</v>
      </c>
      <c r="M4995">
        <v>0.9920892</v>
      </c>
      <c r="N4995">
        <v>-9.7001569999999992E-3</v>
      </c>
      <c r="O4995">
        <v>-0.12516079999999999</v>
      </c>
      <c r="P4995">
        <v>0.98273379999999999</v>
      </c>
      <c r="Q4995">
        <v>0.17557120000000001</v>
      </c>
      <c r="R4995">
        <v>-5.8390919999999999E-2</v>
      </c>
      <c r="S4995">
        <v>3.0514220000000001</v>
      </c>
      <c r="T4995">
        <v>-0.17148640000000001</v>
      </c>
      <c r="U4995">
        <v>-0.52893069999999998</v>
      </c>
      <c r="V4995">
        <v>-6.5408099999999997E-2</v>
      </c>
      <c r="W4995">
        <v>0.1849741</v>
      </c>
      <c r="X4995">
        <v>0.98056430000000006</v>
      </c>
      <c r="Y4995">
        <v>4.6168189999999998E-2</v>
      </c>
      <c r="Z4995">
        <v>4.2214749999999997E-3</v>
      </c>
      <c r="AA4995">
        <v>0.9989247</v>
      </c>
      <c r="AB4995">
        <v>26</v>
      </c>
      <c r="AC4995">
        <v>19.797000000000001</v>
      </c>
      <c r="AD4995">
        <v>-1.121665518505</v>
      </c>
      <c r="AE4995">
        <v>-3.4397299999999902</v>
      </c>
      <c r="AF4995">
        <v>0.93185072658095103</v>
      </c>
      <c r="AG4995">
        <v>-1.121665518505</v>
      </c>
      <c r="AH4995">
        <v>20.0094990279344</v>
      </c>
      <c r="AI4995">
        <v>93.204985322442099</v>
      </c>
      <c r="AJ4995">
        <v>87.3336381105333</v>
      </c>
      <c r="AK4995">
        <v>20.062565405773501</v>
      </c>
      <c r="AL4995">
        <v>79.340377536367598</v>
      </c>
      <c r="AM4995">
        <v>93.816235757779594</v>
      </c>
      <c r="AN4995">
        <v>0.99999999182545496</v>
      </c>
    </row>
    <row r="4996" spans="1:40" x14ac:dyDescent="0.25">
      <c r="A4996" t="str">
        <f>"20190303162700095"</f>
        <v>20190303162700095</v>
      </c>
      <c r="B4996" t="str">
        <f>"1551601620088931"</f>
        <v>1551601620088931</v>
      </c>
      <c r="C4996" t="s">
        <v>40</v>
      </c>
      <c r="D4996">
        <v>5.1204669999999997</v>
      </c>
      <c r="E4996">
        <v>0.54356329999999997</v>
      </c>
      <c r="F4996" t="s">
        <v>71</v>
      </c>
      <c r="G4996">
        <v>-215.10169999999999</v>
      </c>
      <c r="H4996" s="1">
        <v>-2.4014539999999998E-6</v>
      </c>
      <c r="I4996">
        <v>-65.058359999999993</v>
      </c>
      <c r="J4996">
        <v>-234.99549999999999</v>
      </c>
      <c r="K4996">
        <v>1.1217090000000001</v>
      </c>
      <c r="L4996">
        <v>-61.619450000000001</v>
      </c>
      <c r="M4996">
        <v>0.99218110000000004</v>
      </c>
      <c r="N4996">
        <v>-9.9323880000000003E-3</v>
      </c>
      <c r="O4996">
        <v>-0.1244122</v>
      </c>
      <c r="P4996">
        <v>0.98265979999999997</v>
      </c>
      <c r="Q4996">
        <v>0.17640620000000001</v>
      </c>
      <c r="R4996">
        <v>-5.7101359999999997E-2</v>
      </c>
      <c r="S4996">
        <v>3.0519099999999999</v>
      </c>
      <c r="T4996">
        <v>-0.17044709999999999</v>
      </c>
      <c r="U4996">
        <v>-0.52609249999999996</v>
      </c>
      <c r="V4996">
        <v>-6.593984E-2</v>
      </c>
      <c r="W4996">
        <v>0.1860339</v>
      </c>
      <c r="X4996">
        <v>0.98032810000000004</v>
      </c>
      <c r="Y4996">
        <v>4.5989710000000003E-2</v>
      </c>
      <c r="Z4996">
        <v>4.1247389999999997E-3</v>
      </c>
      <c r="AA4996">
        <v>0.99893339999999997</v>
      </c>
      <c r="AB4996">
        <v>26</v>
      </c>
      <c r="AC4996">
        <v>19.893799999999999</v>
      </c>
      <c r="AD4996">
        <v>-1.1217114014539999</v>
      </c>
      <c r="AE4996">
        <v>-3.4389099999999901</v>
      </c>
      <c r="AF4996">
        <v>0.93415237747054403</v>
      </c>
      <c r="AG4996">
        <v>-1.1217114014539999</v>
      </c>
      <c r="AH4996">
        <v>20.105021055744398</v>
      </c>
      <c r="AI4996">
        <v>93.189935456947296</v>
      </c>
      <c r="AJ4996">
        <v>87.3397430455137</v>
      </c>
      <c r="AK4996">
        <v>20.1579450536113</v>
      </c>
      <c r="AL4996">
        <v>79.278582246889002</v>
      </c>
      <c r="AM4996">
        <v>93.848091488284894</v>
      </c>
      <c r="AN4996">
        <v>0.99999992904902002</v>
      </c>
    </row>
    <row r="4997" spans="1:40" x14ac:dyDescent="0.25">
      <c r="A4997" t="str">
        <f>"20190303162700106"</f>
        <v>20190303162700106</v>
      </c>
      <c r="B4997" t="str">
        <f>"1551601620099667"</f>
        <v>1551601620099667</v>
      </c>
      <c r="C4997" t="s">
        <v>40</v>
      </c>
      <c r="D4997">
        <v>5.1260789999999998</v>
      </c>
      <c r="E4997">
        <v>0.54350269999999901</v>
      </c>
      <c r="F4997" t="s">
        <v>71</v>
      </c>
      <c r="G4997">
        <v>-214.62309999999999</v>
      </c>
      <c r="H4997" s="1">
        <v>-2.2052839999999999E-6</v>
      </c>
      <c r="I4997">
        <v>-65.092650000000006</v>
      </c>
      <c r="J4997">
        <v>-234.85820000000001</v>
      </c>
      <c r="K4997">
        <v>1.121739</v>
      </c>
      <c r="L4997">
        <v>-61.63608</v>
      </c>
      <c r="M4997">
        <v>0.99224670000000004</v>
      </c>
      <c r="N4997">
        <v>-1.011307E-2</v>
      </c>
      <c r="O4997">
        <v>-0.1238715</v>
      </c>
      <c r="P4997">
        <v>0.98269949999999995</v>
      </c>
      <c r="Q4997">
        <v>0.17654690000000001</v>
      </c>
      <c r="R4997">
        <v>-5.5975200000000003E-2</v>
      </c>
      <c r="S4997">
        <v>3.0528559999999998</v>
      </c>
      <c r="T4997">
        <v>-0.16809109999999999</v>
      </c>
      <c r="U4997">
        <v>-0.52047730000000003</v>
      </c>
      <c r="V4997">
        <v>-6.6528039999999997E-2</v>
      </c>
      <c r="W4997">
        <v>0.18634970000000001</v>
      </c>
      <c r="X4997">
        <v>0.9802284</v>
      </c>
      <c r="Y4997">
        <v>4.4695390000000002E-2</v>
      </c>
      <c r="Z4997">
        <v>4.0384779999999999E-3</v>
      </c>
      <c r="AA4997">
        <v>0.99899249999999995</v>
      </c>
      <c r="AB4997">
        <v>26</v>
      </c>
      <c r="AC4997">
        <v>20.235099999999999</v>
      </c>
      <c r="AD4997">
        <v>-1.1217412052839999</v>
      </c>
      <c r="AE4997">
        <v>-3.4565699999999899</v>
      </c>
      <c r="AF4997">
        <v>0.92051660748712905</v>
      </c>
      <c r="AG4997">
        <v>-1.1217412052839999</v>
      </c>
      <c r="AH4997">
        <v>20.4463790851675</v>
      </c>
      <c r="AI4997">
        <v>93.137075182037094</v>
      </c>
      <c r="AJ4997">
        <v>87.422226902528294</v>
      </c>
      <c r="AK4997">
        <v>20.497806513153201</v>
      </c>
      <c r="AL4997">
        <v>79.260166470159405</v>
      </c>
      <c r="AM4997">
        <v>93.882706591892799</v>
      </c>
      <c r="AN4997">
        <v>0.99999995348144399</v>
      </c>
    </row>
    <row r="4998" spans="1:40" x14ac:dyDescent="0.25">
      <c r="A4998" t="str">
        <f>"20190303162700120"</f>
        <v>20190303162700120</v>
      </c>
      <c r="B4998" t="str">
        <f>"1551601620109428"</f>
        <v>1551601620109428</v>
      </c>
      <c r="C4998" t="s">
        <v>40</v>
      </c>
      <c r="D4998">
        <v>5.1326650000000003</v>
      </c>
      <c r="E4998">
        <v>0.54341870000000003</v>
      </c>
      <c r="F4998" t="s">
        <v>71</v>
      </c>
      <c r="G4998">
        <v>-214.38040000000001</v>
      </c>
      <c r="H4998" s="1">
        <v>-2.1032780000000001E-6</v>
      </c>
      <c r="I4998">
        <v>-65.100589999999997</v>
      </c>
      <c r="J4998">
        <v>-234.69820000000001</v>
      </c>
      <c r="K4998">
        <v>1.121769</v>
      </c>
      <c r="L4998">
        <v>-61.655329999999999</v>
      </c>
      <c r="M4998">
        <v>0.99232290000000001</v>
      </c>
      <c r="N4998">
        <v>-1.0341309999999999E-2</v>
      </c>
      <c r="O4998">
        <v>-0.12324160000000001</v>
      </c>
      <c r="P4998">
        <v>0.98271889999999995</v>
      </c>
      <c r="Q4998">
        <v>0.17687050000000001</v>
      </c>
      <c r="R4998">
        <v>-5.4592839999999997E-2</v>
      </c>
      <c r="S4998">
        <v>3.0534520000000001</v>
      </c>
      <c r="T4998">
        <v>-0.167263</v>
      </c>
      <c r="U4998">
        <v>-0.51660159999999999</v>
      </c>
      <c r="V4998">
        <v>-6.7277669999999998E-2</v>
      </c>
      <c r="W4998">
        <v>0.18689500000000001</v>
      </c>
      <c r="X4998">
        <v>0.98007350000000004</v>
      </c>
      <c r="Y4998">
        <v>4.4062759999999999E-2</v>
      </c>
      <c r="Z4998">
        <v>3.9707459999999998E-3</v>
      </c>
      <c r="AA4998">
        <v>0.99902089999999999</v>
      </c>
      <c r="AB4998">
        <v>26</v>
      </c>
      <c r="AC4998">
        <v>20.317799999999998</v>
      </c>
      <c r="AD4998">
        <v>-1.121771103278</v>
      </c>
      <c r="AE4998">
        <v>-3.44525999999999</v>
      </c>
      <c r="AF4998">
        <v>0.91215825462817202</v>
      </c>
      <c r="AG4998">
        <v>-1.121771103278</v>
      </c>
      <c r="AH4998">
        <v>20.526694369707901</v>
      </c>
      <c r="AI4998">
        <v>93.1249893826717</v>
      </c>
      <c r="AJ4998">
        <v>87.455583603807298</v>
      </c>
      <c r="AK4998">
        <v>20.5775505062443</v>
      </c>
      <c r="AL4998">
        <v>79.228365376410494</v>
      </c>
      <c r="AM4998">
        <v>93.926938998089895</v>
      </c>
      <c r="AN4998">
        <v>1.00000004565393</v>
      </c>
    </row>
    <row r="4999" spans="1:40" x14ac:dyDescent="0.25">
      <c r="A4999" t="str">
        <f>"20190303162700132"</f>
        <v>20190303162700132</v>
      </c>
      <c r="B4999" t="str">
        <f>"1551601620119189"</f>
        <v>1551601620119189</v>
      </c>
      <c r="C4999" t="s">
        <v>40</v>
      </c>
      <c r="D4999">
        <v>5.1292339999999896</v>
      </c>
      <c r="E4999">
        <v>0.54334189999999905</v>
      </c>
      <c r="F4999" t="s">
        <v>71</v>
      </c>
      <c r="G4999">
        <v>-214.1003</v>
      </c>
      <c r="H4999" s="1">
        <v>-1.9854679999999998E-6</v>
      </c>
      <c r="I4999">
        <v>-65.10942</v>
      </c>
      <c r="J4999">
        <v>-234.5574</v>
      </c>
      <c r="K4999">
        <v>1.121799</v>
      </c>
      <c r="L4999">
        <v>-61.67221</v>
      </c>
      <c r="M4999">
        <v>0.99238970000000004</v>
      </c>
      <c r="N4999">
        <v>-1.0549930000000001E-2</v>
      </c>
      <c r="O4999">
        <v>-0.12268469999999999</v>
      </c>
      <c r="P4999">
        <v>0.98267979999999999</v>
      </c>
      <c r="Q4999">
        <v>0.17749229999999899</v>
      </c>
      <c r="R4999">
        <v>-5.3266099999999997E-2</v>
      </c>
      <c r="S4999">
        <v>3.05423</v>
      </c>
      <c r="T4999">
        <v>-0.1663347</v>
      </c>
      <c r="U4999">
        <v>-0.51217650000000003</v>
      </c>
      <c r="V4999">
        <v>-6.8038329999999994E-2</v>
      </c>
      <c r="W4999">
        <v>0.18771889999999999</v>
      </c>
      <c r="X4999">
        <v>0.9798635</v>
      </c>
      <c r="Y4999">
        <v>4.317265E-2</v>
      </c>
      <c r="Z4999">
        <v>3.9143889999999999E-3</v>
      </c>
      <c r="AA4999">
        <v>0.99905999999999995</v>
      </c>
      <c r="AB4999">
        <v>26</v>
      </c>
      <c r="AC4999">
        <v>20.457100000000001</v>
      </c>
      <c r="AD4999">
        <v>-1.121800985468</v>
      </c>
      <c r="AE4999">
        <v>-3.4372099999999999</v>
      </c>
      <c r="AF4999">
        <v>0.89870045906947404</v>
      </c>
      <c r="AG4999">
        <v>-1.121800985468</v>
      </c>
      <c r="AH4999">
        <v>20.663828629127298</v>
      </c>
      <c r="AI4999">
        <v>93.104502445030704</v>
      </c>
      <c r="AJ4999">
        <v>87.509691191456696</v>
      </c>
      <c r="AK4999">
        <v>20.7137614541655</v>
      </c>
      <c r="AL4999">
        <v>79.180308782116001</v>
      </c>
      <c r="AM4999">
        <v>93.972045158071296</v>
      </c>
      <c r="AN4999">
        <v>1.00000003919932</v>
      </c>
    </row>
    <row r="5000" spans="1:40" x14ac:dyDescent="0.25">
      <c r="A5000" t="str">
        <f>"20190303162700144"</f>
        <v>20190303162700144</v>
      </c>
      <c r="B5000" t="str">
        <f>"1551601620139684"</f>
        <v>1551601620139684</v>
      </c>
      <c r="C5000" t="s">
        <v>40</v>
      </c>
      <c r="D5000">
        <v>5.1375960000000003</v>
      </c>
      <c r="E5000">
        <v>0.54322869999999901</v>
      </c>
      <c r="F5000" t="s">
        <v>71</v>
      </c>
      <c r="G5000">
        <v>-213.68559999999999</v>
      </c>
      <c r="H5000" s="1">
        <v>-1.816528E-6</v>
      </c>
      <c r="I5000">
        <v>-65.143199999999993</v>
      </c>
      <c r="J5000">
        <v>-234.41929999999999</v>
      </c>
      <c r="K5000">
        <v>1.1218269999999999</v>
      </c>
      <c r="L5000">
        <v>-61.688690000000001</v>
      </c>
      <c r="M5000">
        <v>0.99245510000000003</v>
      </c>
      <c r="N5000">
        <v>-1.075453E-2</v>
      </c>
      <c r="O5000">
        <v>-0.12213739999999999</v>
      </c>
      <c r="P5000">
        <v>0.98260650000000005</v>
      </c>
      <c r="Q5000">
        <v>0.17827270000000001</v>
      </c>
      <c r="R5000">
        <v>-5.1994609999999997E-2</v>
      </c>
      <c r="S5000">
        <v>3.0550079999999999</v>
      </c>
      <c r="T5000">
        <v>-0.16419779999999901</v>
      </c>
      <c r="U5000">
        <v>-0.50805659999999997</v>
      </c>
      <c r="V5000">
        <v>-6.8748939999999994E-2</v>
      </c>
      <c r="W5000">
        <v>0.18869720000000001</v>
      </c>
      <c r="X5000">
        <v>0.97962590000000005</v>
      </c>
      <c r="Y5000">
        <v>4.236877E-2</v>
      </c>
      <c r="Z5000">
        <v>3.8172789999999998E-3</v>
      </c>
      <c r="AA5000">
        <v>0.9990947</v>
      </c>
      <c r="AB5000">
        <v>26</v>
      </c>
      <c r="AC5000">
        <v>20.733699999999999</v>
      </c>
      <c r="AD5000">
        <v>-1.1218288165279999</v>
      </c>
      <c r="AE5000">
        <v>-3.4545099999999902</v>
      </c>
      <c r="AF5000">
        <v>0.89359218608504998</v>
      </c>
      <c r="AG5000">
        <v>-1.1218288165279999</v>
      </c>
      <c r="AH5000">
        <v>20.940753612331701</v>
      </c>
      <c r="AI5000">
        <v>93.063710130828596</v>
      </c>
      <c r="AJ5000">
        <v>87.556534066155805</v>
      </c>
      <c r="AK5000">
        <v>20.989811069683501</v>
      </c>
      <c r="AL5000">
        <v>79.123235705562607</v>
      </c>
      <c r="AM5000">
        <v>94.0143655933215</v>
      </c>
      <c r="AN5000">
        <v>0.99999997699488596</v>
      </c>
    </row>
    <row r="5001" spans="1:40" x14ac:dyDescent="0.25">
      <c r="A5001" t="str">
        <f>"20190303162700154"</f>
        <v>20190303162700154</v>
      </c>
      <c r="B5001" t="str">
        <f>"1551601620149444"</f>
        <v>1551601620149444</v>
      </c>
      <c r="C5001" t="s">
        <v>40</v>
      </c>
      <c r="D5001">
        <v>5.1377370000000004</v>
      </c>
      <c r="E5001">
        <v>0.54319580000000001</v>
      </c>
      <c r="F5001" t="s">
        <v>71</v>
      </c>
      <c r="G5001">
        <v>-213.2313</v>
      </c>
      <c r="H5001" s="1">
        <v>-1.632176E-6</v>
      </c>
      <c r="I5001">
        <v>-65.182810000000003</v>
      </c>
      <c r="J5001">
        <v>-234.29300000000001</v>
      </c>
      <c r="K5001">
        <v>1.1218440000000001</v>
      </c>
      <c r="L5001">
        <v>-61.70364</v>
      </c>
      <c r="M5001">
        <v>0.99251469999999997</v>
      </c>
      <c r="N5001">
        <v>-1.093447E-2</v>
      </c>
      <c r="O5001">
        <v>-0.12163549999999999</v>
      </c>
      <c r="P5001">
        <v>0.98253429999999997</v>
      </c>
      <c r="Q5001">
        <v>0.17907679999999901</v>
      </c>
      <c r="R5001">
        <v>-5.0575700000000001E-2</v>
      </c>
      <c r="S5001">
        <v>3.055771</v>
      </c>
      <c r="T5001">
        <v>-0.161792299999999</v>
      </c>
      <c r="U5001">
        <v>-0.50393679999999996</v>
      </c>
      <c r="V5001">
        <v>-6.9652510000000001E-2</v>
      </c>
      <c r="W5001">
        <v>0.18967490000000001</v>
      </c>
      <c r="X5001">
        <v>0.9793733</v>
      </c>
      <c r="Y5001">
        <v>4.15202E-2</v>
      </c>
      <c r="Z5001">
        <v>3.7188289999999999E-3</v>
      </c>
      <c r="AA5001">
        <v>0.99913070000000004</v>
      </c>
      <c r="AB5001">
        <v>26</v>
      </c>
      <c r="AC5001">
        <v>21.061699999999998</v>
      </c>
      <c r="AD5001">
        <v>-1.121845632176</v>
      </c>
      <c r="AE5001">
        <v>-3.4791699999999999</v>
      </c>
      <c r="AF5001">
        <v>0.88887529334950599</v>
      </c>
      <c r="AG5001">
        <v>-1.121845632176</v>
      </c>
      <c r="AH5001">
        <v>21.269768342695201</v>
      </c>
      <c r="AI5001">
        <v>93.016563921225497</v>
      </c>
      <c r="AJ5001">
        <v>87.606970380263505</v>
      </c>
      <c r="AK5001">
        <v>21.3178723671355</v>
      </c>
      <c r="AL5001">
        <v>79.066188208807006</v>
      </c>
      <c r="AM5001">
        <v>94.067996084055807</v>
      </c>
      <c r="AN5001">
        <v>1.00000005029609</v>
      </c>
    </row>
    <row r="5002" spans="1:40" x14ac:dyDescent="0.25">
      <c r="A5002" t="str">
        <f>"20190303162700172"</f>
        <v>20190303162700172</v>
      </c>
      <c r="B5002" t="str">
        <f>"1551601620159710"</f>
        <v>1551601620159710</v>
      </c>
      <c r="C5002" t="s">
        <v>40</v>
      </c>
      <c r="D5002">
        <v>5.1630370000000001</v>
      </c>
      <c r="E5002">
        <v>0.54314969999999996</v>
      </c>
      <c r="F5002" t="s">
        <v>71</v>
      </c>
      <c r="G5002">
        <v>-212.7484</v>
      </c>
      <c r="H5002" s="1">
        <v>-1.4367900000000001E-6</v>
      </c>
      <c r="I5002">
        <v>-65.226990000000001</v>
      </c>
      <c r="J5002">
        <v>-234.09639999999999</v>
      </c>
      <c r="K5002">
        <v>1.1218809999999999</v>
      </c>
      <c r="L5002">
        <v>-61.726869999999998</v>
      </c>
      <c r="M5002">
        <v>0.99260700000000002</v>
      </c>
      <c r="N5002">
        <v>-1.120175E-2</v>
      </c>
      <c r="O5002">
        <v>-0.120855</v>
      </c>
      <c r="P5002">
        <v>0.98249359999999997</v>
      </c>
      <c r="Q5002">
        <v>0.17998210000000001</v>
      </c>
      <c r="R5002">
        <v>-4.8094310000000001E-2</v>
      </c>
      <c r="S5002">
        <v>3.05661</v>
      </c>
      <c r="T5002">
        <v>-0.1591601</v>
      </c>
      <c r="U5002">
        <v>-0.49987789999999999</v>
      </c>
      <c r="V5002">
        <v>-7.1339199999999894E-2</v>
      </c>
      <c r="W5002">
        <v>0.19083629999999999</v>
      </c>
      <c r="X5002">
        <v>0.97902610000000001</v>
      </c>
      <c r="Y5002">
        <v>4.0966040000000002E-2</v>
      </c>
      <c r="Z5002">
        <v>3.580588E-3</v>
      </c>
      <c r="AA5002">
        <v>0.99915419999999999</v>
      </c>
      <c r="AB5002">
        <v>26</v>
      </c>
      <c r="AC5002">
        <v>21.3479999999999</v>
      </c>
      <c r="AD5002">
        <v>-1.12188243679</v>
      </c>
      <c r="AE5002">
        <v>-3.5001199999999999</v>
      </c>
      <c r="AF5002">
        <v>0.89188848153548606</v>
      </c>
      <c r="AG5002">
        <v>-1.12188243679</v>
      </c>
      <c r="AH5002">
        <v>21.556561812178401</v>
      </c>
      <c r="AI5002">
        <v>92.976652322569294</v>
      </c>
      <c r="AJ5002">
        <v>87.630776324625103</v>
      </c>
      <c r="AK5002">
        <v>21.604153360586601</v>
      </c>
      <c r="AL5002">
        <v>78.998405602835504</v>
      </c>
      <c r="AM5002">
        <v>94.167635282442106</v>
      </c>
      <c r="AN5002">
        <v>0.99999993966776801</v>
      </c>
    </row>
    <row r="5003" spans="1:40" x14ac:dyDescent="0.25">
      <c r="A5003" t="str">
        <f>"20190303162700195"</f>
        <v>20190303162700195</v>
      </c>
      <c r="B5003" t="str">
        <f>"1551601620188989"</f>
        <v>1551601620188989</v>
      </c>
      <c r="C5003" t="s">
        <v>40</v>
      </c>
      <c r="D5003">
        <v>5.1908529999999997</v>
      </c>
      <c r="E5003">
        <v>0.54310849999999999</v>
      </c>
      <c r="F5003" t="s">
        <v>71</v>
      </c>
      <c r="G5003">
        <v>-212.2062</v>
      </c>
      <c r="H5003" s="1">
        <v>-1.211048E-6</v>
      </c>
      <c r="I5003">
        <v>-65.252849999999995</v>
      </c>
      <c r="J5003">
        <v>-233.8271</v>
      </c>
      <c r="K5003">
        <v>1.1219140000000001</v>
      </c>
      <c r="L5003">
        <v>-61.758420000000001</v>
      </c>
      <c r="M5003">
        <v>0.99273199999999995</v>
      </c>
      <c r="N5003">
        <v>-1.153907E-2</v>
      </c>
      <c r="O5003">
        <v>-0.1197927</v>
      </c>
      <c r="P5003">
        <v>0.98251900000000003</v>
      </c>
      <c r="Q5003">
        <v>0.18046329999999999</v>
      </c>
      <c r="R5003">
        <v>-4.571182E-2</v>
      </c>
      <c r="S5003">
        <v>3.0580440000000002</v>
      </c>
      <c r="T5003">
        <v>-0.1567259</v>
      </c>
      <c r="U5003">
        <v>-0.49258420000000003</v>
      </c>
      <c r="V5003">
        <v>-7.2658440000000005E-2</v>
      </c>
      <c r="W5003">
        <v>0.19164320000000001</v>
      </c>
      <c r="X5003">
        <v>0.97877150000000002</v>
      </c>
      <c r="Y5003">
        <v>3.963556E-2</v>
      </c>
      <c r="Z5003">
        <v>3.453144E-3</v>
      </c>
      <c r="AA5003">
        <v>0.99920819999999999</v>
      </c>
      <c r="AB5003">
        <v>26</v>
      </c>
      <c r="AC5003">
        <v>21.620899999999999</v>
      </c>
      <c r="AD5003">
        <v>-1.121915211048</v>
      </c>
      <c r="AE5003">
        <v>-3.4944299999999999</v>
      </c>
      <c r="AF5003">
        <v>0.87676422371442897</v>
      </c>
      <c r="AG5003">
        <v>-1.121915211048</v>
      </c>
      <c r="AH5003">
        <v>21.826546427553801</v>
      </c>
      <c r="AI5003">
        <v>92.940127113418896</v>
      </c>
      <c r="AJ5003">
        <v>87.699686650460606</v>
      </c>
      <c r="AK5003">
        <v>21.872940776194799</v>
      </c>
      <c r="AL5003">
        <v>78.951305056553693</v>
      </c>
      <c r="AM5003">
        <v>94.245526193116703</v>
      </c>
      <c r="AN5003">
        <v>1.0000000071108599</v>
      </c>
    </row>
    <row r="5004" spans="1:40" x14ac:dyDescent="0.25">
      <c r="A5004" t="str">
        <f>"20190303162700206"</f>
        <v>20190303162700206</v>
      </c>
      <c r="B5004" t="str">
        <f>"1551601620198749"</f>
        <v>1551601620198749</v>
      </c>
      <c r="C5004" t="s">
        <v>40</v>
      </c>
      <c r="D5004">
        <v>5.181387</v>
      </c>
      <c r="E5004">
        <v>0.54310769999999997</v>
      </c>
      <c r="F5004" t="s">
        <v>71</v>
      </c>
      <c r="G5004">
        <v>-211.91540000000001</v>
      </c>
      <c r="H5004" s="1">
        <v>-1.0815590000000001E-6</v>
      </c>
      <c r="I5004">
        <v>-65.234989999999996</v>
      </c>
      <c r="J5004">
        <v>-233.70349999999999</v>
      </c>
      <c r="K5004">
        <v>1.121929</v>
      </c>
      <c r="L5004">
        <v>-61.772829999999999</v>
      </c>
      <c r="M5004">
        <v>0.99278869999999997</v>
      </c>
      <c r="N5004">
        <v>-1.168431E-2</v>
      </c>
      <c r="O5004">
        <v>-0.1193077</v>
      </c>
      <c r="P5004">
        <v>0.98261580000000004</v>
      </c>
      <c r="Q5004">
        <v>0.18024599999999999</v>
      </c>
      <c r="R5004">
        <v>-4.4472780000000003E-2</v>
      </c>
      <c r="S5004">
        <v>3.059555</v>
      </c>
      <c r="T5004">
        <v>-0.15665399999999999</v>
      </c>
      <c r="U5004">
        <v>-0.48544310000000002</v>
      </c>
      <c r="V5004">
        <v>-7.3421219999999995E-2</v>
      </c>
      <c r="W5004">
        <v>0.19156690000000001</v>
      </c>
      <c r="X5004">
        <v>0.97872950000000003</v>
      </c>
      <c r="Y5004">
        <v>3.7773590000000003E-2</v>
      </c>
      <c r="Z5004">
        <v>3.4686420000000001E-3</v>
      </c>
      <c r="AA5004">
        <v>0.99928030000000001</v>
      </c>
      <c r="AB5004">
        <v>26</v>
      </c>
      <c r="AC5004">
        <v>21.788099999999901</v>
      </c>
      <c r="AD5004">
        <v>-1.1219300815590001</v>
      </c>
      <c r="AE5004">
        <v>-3.4621599999999901</v>
      </c>
      <c r="AF5004">
        <v>0.83560127244554605</v>
      </c>
      <c r="AG5004">
        <v>-1.1219300815590001</v>
      </c>
      <c r="AH5004">
        <v>21.9886766812239</v>
      </c>
      <c r="AI5004">
        <v>92.918771291158905</v>
      </c>
      <c r="AJ5004">
        <v>87.823725336079093</v>
      </c>
      <c r="AK5004">
        <v>22.0331309347042</v>
      </c>
      <c r="AL5004">
        <v>78.955759098510896</v>
      </c>
      <c r="AM5004">
        <v>94.290114287361703</v>
      </c>
      <c r="AN5004">
        <v>0.99999999344607404</v>
      </c>
    </row>
    <row r="5005" spans="1:40" x14ac:dyDescent="0.25">
      <c r="A5005" t="str">
        <f>"20190303162700218"</f>
        <v>20190303162700218</v>
      </c>
      <c r="B5005" t="str">
        <f>"1551601620209486"</f>
        <v>1551601620209486</v>
      </c>
      <c r="C5005" t="s">
        <v>40</v>
      </c>
      <c r="D5005">
        <v>5.1623349999999997</v>
      </c>
      <c r="E5005">
        <v>0.54308970000000001</v>
      </c>
      <c r="F5005" t="s">
        <v>71</v>
      </c>
      <c r="G5005">
        <v>-211.9794</v>
      </c>
      <c r="H5005" s="1">
        <v>-1.097726E-6</v>
      </c>
      <c r="I5005">
        <v>-65.192619999999906</v>
      </c>
      <c r="J5005">
        <v>-233.55940000000001</v>
      </c>
      <c r="K5005">
        <v>1.1219440000000001</v>
      </c>
      <c r="L5005">
        <v>-61.789520000000003</v>
      </c>
      <c r="M5005">
        <v>0.99285420000000002</v>
      </c>
      <c r="N5005">
        <v>-1.184463E-2</v>
      </c>
      <c r="O5005">
        <v>-0.1187448</v>
      </c>
      <c r="P5005">
        <v>0.98267899999999997</v>
      </c>
      <c r="Q5005">
        <v>0.1802803</v>
      </c>
      <c r="R5005">
        <v>-4.2905939999999997E-2</v>
      </c>
      <c r="S5005">
        <v>3.060257</v>
      </c>
      <c r="T5005">
        <v>-0.1580453</v>
      </c>
      <c r="U5005">
        <v>-0.48175050000000003</v>
      </c>
      <c r="V5005">
        <v>-7.4428770000000005E-2</v>
      </c>
      <c r="W5005">
        <v>0.1917555</v>
      </c>
      <c r="X5005">
        <v>0.9786165</v>
      </c>
      <c r="Y5005">
        <v>3.7128870000000001E-2</v>
      </c>
      <c r="Z5005">
        <v>3.489416E-3</v>
      </c>
      <c r="AA5005">
        <v>0.99930439999999998</v>
      </c>
      <c r="AB5005">
        <v>26</v>
      </c>
      <c r="AC5005">
        <v>21.58</v>
      </c>
      <c r="AD5005">
        <v>-1.1219450977259999</v>
      </c>
      <c r="AE5005">
        <v>-3.40309999999999</v>
      </c>
      <c r="AF5005">
        <v>0.81417927668932</v>
      </c>
      <c r="AG5005">
        <v>-1.1219450977259999</v>
      </c>
      <c r="AH5005">
        <v>21.773998362375199</v>
      </c>
      <c r="AI5005">
        <v>92.947604946682006</v>
      </c>
      <c r="AJ5005">
        <v>87.858578269152304</v>
      </c>
      <c r="AK5005">
        <v>21.818080882186202</v>
      </c>
      <c r="AL5005">
        <v>78.944749451866301</v>
      </c>
      <c r="AM5005">
        <v>94.349262873055693</v>
      </c>
      <c r="AN5005">
        <v>1.0000000338281001</v>
      </c>
    </row>
    <row r="5006" spans="1:40" x14ac:dyDescent="0.25">
      <c r="A5006" t="str">
        <f>"20190303162700230"</f>
        <v>20190303162700230</v>
      </c>
      <c r="B5006" t="str">
        <f>"1551601620219246"</f>
        <v>1551601620219246</v>
      </c>
      <c r="C5006" t="s">
        <v>40</v>
      </c>
      <c r="D5006">
        <v>5.1825199999999896</v>
      </c>
      <c r="E5006">
        <v>0.54309549999999995</v>
      </c>
      <c r="F5006" t="s">
        <v>71</v>
      </c>
      <c r="G5006">
        <v>-211.88679999999999</v>
      </c>
      <c r="H5006" s="1">
        <v>-1.0512279999999999E-6</v>
      </c>
      <c r="I5006">
        <v>-65.167209999999997</v>
      </c>
      <c r="J5006">
        <v>-233.41499999999999</v>
      </c>
      <c r="K5006">
        <v>1.121958</v>
      </c>
      <c r="L5006">
        <v>-61.8061199999999</v>
      </c>
      <c r="M5006">
        <v>0.99291969999999996</v>
      </c>
      <c r="N5006">
        <v>-1.1995810000000001E-2</v>
      </c>
      <c r="O5006">
        <v>-0.1181806</v>
      </c>
      <c r="P5006">
        <v>0.9826511</v>
      </c>
      <c r="Q5006">
        <v>0.18075640000000001</v>
      </c>
      <c r="R5006">
        <v>-4.152165E-2</v>
      </c>
      <c r="S5006">
        <v>3.0611109999999999</v>
      </c>
      <c r="T5006">
        <v>-0.15846660000000001</v>
      </c>
      <c r="U5006">
        <v>-0.47708129999999999</v>
      </c>
      <c r="V5006">
        <v>-7.5244909999999998E-2</v>
      </c>
      <c r="W5006">
        <v>0.19237650000000001</v>
      </c>
      <c r="X5006">
        <v>0.97843219999999997</v>
      </c>
      <c r="Y5006">
        <v>3.6166410000000003E-2</v>
      </c>
      <c r="Z5006">
        <v>3.4901379999999998E-3</v>
      </c>
      <c r="AA5006">
        <v>0.99933970000000005</v>
      </c>
      <c r="AB5006">
        <v>26</v>
      </c>
      <c r="AC5006">
        <v>21.528199999999998</v>
      </c>
      <c r="AD5006">
        <v>-1.121959051228</v>
      </c>
      <c r="AE5006">
        <v>-3.3610899999999999</v>
      </c>
      <c r="AF5006">
        <v>0.79103654066182305</v>
      </c>
      <c r="AG5006">
        <v>-1.121959051228</v>
      </c>
      <c r="AH5006">
        <v>21.716974367945198</v>
      </c>
      <c r="AI5006">
        <v>92.955472896979401</v>
      </c>
      <c r="AJ5006">
        <v>87.913934693388697</v>
      </c>
      <c r="AK5006">
        <v>21.760319543133601</v>
      </c>
      <c r="AL5006">
        <v>78.908493858487105</v>
      </c>
      <c r="AM5006">
        <v>94.397593146745294</v>
      </c>
      <c r="AN5006">
        <v>1.0000000421149899</v>
      </c>
    </row>
    <row r="5007" spans="1:40" x14ac:dyDescent="0.25">
      <c r="A5007" t="str">
        <f>"20190303162700244"</f>
        <v>20190303162700244</v>
      </c>
      <c r="B5007" t="str">
        <f>"1551601620239742"</f>
        <v>1551601620239742</v>
      </c>
      <c r="C5007" t="s">
        <v>40</v>
      </c>
      <c r="D5007">
        <v>5.2153720000000003</v>
      </c>
      <c r="E5007">
        <v>0.54311560000000003</v>
      </c>
      <c r="F5007" t="s">
        <v>71</v>
      </c>
      <c r="G5007">
        <v>-211.6053</v>
      </c>
      <c r="H5007" s="1">
        <v>-9.3310540000000001E-7</v>
      </c>
      <c r="I5007">
        <v>-65.177090000000007</v>
      </c>
      <c r="J5007">
        <v>-233.2638</v>
      </c>
      <c r="K5007">
        <v>1.121969</v>
      </c>
      <c r="L5007">
        <v>-61.82349</v>
      </c>
      <c r="M5007">
        <v>0.99298790000000003</v>
      </c>
      <c r="N5007">
        <v>-1.21475E-2</v>
      </c>
      <c r="O5007">
        <v>-0.117589899999999</v>
      </c>
      <c r="P5007">
        <v>0.98257059999999996</v>
      </c>
      <c r="Q5007">
        <v>0.18149280000000001</v>
      </c>
      <c r="R5007">
        <v>-4.0191780000000003E-2</v>
      </c>
      <c r="S5007">
        <v>3.0619200000000002</v>
      </c>
      <c r="T5007">
        <v>-0.1575146</v>
      </c>
      <c r="U5007">
        <v>-0.47326659999999998</v>
      </c>
      <c r="V5007">
        <v>-7.5973769999999996E-2</v>
      </c>
      <c r="W5007">
        <v>0.1932576</v>
      </c>
      <c r="X5007">
        <v>0.97820220000000002</v>
      </c>
      <c r="Y5007">
        <v>3.5503769999999997E-2</v>
      </c>
      <c r="Z5007">
        <v>3.436209E-3</v>
      </c>
      <c r="AA5007">
        <v>0.99936369999999997</v>
      </c>
      <c r="AB5007">
        <v>26</v>
      </c>
      <c r="AC5007">
        <v>21.6585</v>
      </c>
      <c r="AD5007">
        <v>-1.1219699331053901</v>
      </c>
      <c r="AE5007">
        <v>-3.3536000000000001</v>
      </c>
      <c r="AF5007">
        <v>0.78127372284011398</v>
      </c>
      <c r="AG5007">
        <v>-1.1219699331053901</v>
      </c>
      <c r="AH5007">
        <v>21.845344949539399</v>
      </c>
      <c r="AI5007">
        <v>92.938234394854305</v>
      </c>
      <c r="AJ5007">
        <v>87.951755092289901</v>
      </c>
      <c r="AK5007">
        <v>21.888085825973</v>
      </c>
      <c r="AL5007">
        <v>78.857044948008607</v>
      </c>
      <c r="AM5007">
        <v>94.441060708995096</v>
      </c>
      <c r="AN5007">
        <v>1.0000000288852999</v>
      </c>
    </row>
    <row r="5008" spans="1:40" x14ac:dyDescent="0.25">
      <c r="A5008" t="str">
        <f>"20190303162700258"</f>
        <v>20190303162700258</v>
      </c>
      <c r="B5008" t="str">
        <f>"1551601620249502"</f>
        <v>1551601620249502</v>
      </c>
      <c r="C5008" t="s">
        <v>40</v>
      </c>
      <c r="D5008">
        <v>5.2154470000000002</v>
      </c>
      <c r="E5008">
        <v>0.54312399999999905</v>
      </c>
      <c r="F5008" t="s">
        <v>71</v>
      </c>
      <c r="G5008">
        <v>-211.30619999999999</v>
      </c>
      <c r="H5008" s="1">
        <v>-8.0806340000000005E-7</v>
      </c>
      <c r="I5008">
        <v>-65.18929</v>
      </c>
      <c r="J5008">
        <v>-233.09569999999999</v>
      </c>
      <c r="K5008">
        <v>1.1219790000000001</v>
      </c>
      <c r="L5008">
        <v>-61.842619999999997</v>
      </c>
      <c r="M5008">
        <v>0.9930639</v>
      </c>
      <c r="N5008">
        <v>-1.230142E-2</v>
      </c>
      <c r="O5008">
        <v>-0.1169308</v>
      </c>
      <c r="P5008">
        <v>0.98249129999999996</v>
      </c>
      <c r="Q5008">
        <v>0.18221399999999999</v>
      </c>
      <c r="R5008">
        <v>-3.884551E-2</v>
      </c>
      <c r="S5008">
        <v>3.0629270000000002</v>
      </c>
      <c r="T5008">
        <v>-0.1565068</v>
      </c>
      <c r="U5008">
        <v>-0.46951290000000001</v>
      </c>
      <c r="V5008">
        <v>-7.6652100000000001E-2</v>
      </c>
      <c r="W5008">
        <v>0.19412579999999999</v>
      </c>
      <c r="X5008">
        <v>0.97797730000000005</v>
      </c>
      <c r="Y5008">
        <v>3.4919619999999998E-2</v>
      </c>
      <c r="Z5008">
        <v>3.3752280000000001E-3</v>
      </c>
      <c r="AA5008">
        <v>0.99938439999999995</v>
      </c>
      <c r="AB5008">
        <v>26</v>
      </c>
      <c r="AC5008">
        <v>21.7895</v>
      </c>
      <c r="AD5008">
        <v>-1.1219798080634</v>
      </c>
      <c r="AE5008">
        <v>-3.34667</v>
      </c>
      <c r="AF5008">
        <v>0.77364818956208803</v>
      </c>
      <c r="AG5008">
        <v>-1.1219798080634</v>
      </c>
      <c r="AH5008">
        <v>21.974440836059401</v>
      </c>
      <c r="AI5008">
        <v>92.921086018895707</v>
      </c>
      <c r="AJ5008">
        <v>87.983635830416802</v>
      </c>
      <c r="AK5008">
        <v>22.016662332615098</v>
      </c>
      <c r="AL5008">
        <v>78.806340036682897</v>
      </c>
      <c r="AM5008">
        <v>94.481578036485999</v>
      </c>
      <c r="AN5008">
        <v>0.99999998498766995</v>
      </c>
    </row>
    <row r="5009" spans="1:40" x14ac:dyDescent="0.25">
      <c r="A5009" t="str">
        <f>"20190303162700273"</f>
        <v>20190303162700273</v>
      </c>
      <c r="B5009" t="str">
        <f>"1551601620258792"</f>
        <v>1551601620258792</v>
      </c>
      <c r="C5009" t="s">
        <v>40</v>
      </c>
      <c r="D5009">
        <v>5.186985</v>
      </c>
      <c r="E5009">
        <v>0.54313669999999903</v>
      </c>
      <c r="F5009" t="s">
        <v>71</v>
      </c>
      <c r="G5009">
        <v>-210.93369999999999</v>
      </c>
      <c r="H5009" s="1">
        <v>-6.5361199999999999E-7</v>
      </c>
      <c r="I5009">
        <v>-65.209409999999906</v>
      </c>
      <c r="J5009">
        <v>-232.9299</v>
      </c>
      <c r="K5009">
        <v>1.121991</v>
      </c>
      <c r="L5009">
        <v>-61.86139</v>
      </c>
      <c r="M5009">
        <v>0.99313870000000004</v>
      </c>
      <c r="N5009">
        <v>-1.2441209999999999E-2</v>
      </c>
      <c r="O5009">
        <v>-0.1162784</v>
      </c>
      <c r="P5009">
        <v>0.98238360000000002</v>
      </c>
      <c r="Q5009">
        <v>0.18300620000000001</v>
      </c>
      <c r="R5009">
        <v>-3.7830210000000003E-2</v>
      </c>
      <c r="S5009">
        <v>3.063812</v>
      </c>
      <c r="T5009">
        <v>-0.15510950000000001</v>
      </c>
      <c r="U5009">
        <v>-0.46545409999999998</v>
      </c>
      <c r="V5009">
        <v>-7.7004669999999997E-2</v>
      </c>
      <c r="W5009">
        <v>0.19505239999999999</v>
      </c>
      <c r="X5009">
        <v>0.97776529999999995</v>
      </c>
      <c r="Y5009">
        <v>3.423768E-2</v>
      </c>
      <c r="Z5009">
        <v>3.307777E-3</v>
      </c>
      <c r="AA5009">
        <v>0.99940819999999997</v>
      </c>
      <c r="AB5009">
        <v>26</v>
      </c>
      <c r="AC5009">
        <v>21.996200000000002</v>
      </c>
      <c r="AD5009">
        <v>-1.121991653612</v>
      </c>
      <c r="AE5009">
        <v>-3.3480199999999898</v>
      </c>
      <c r="AF5009">
        <v>0.76547814117722102</v>
      </c>
      <c r="AG5009">
        <v>-1.121991653612</v>
      </c>
      <c r="AH5009">
        <v>22.179899374319401</v>
      </c>
      <c r="AI5009">
        <v>92.894173771505393</v>
      </c>
      <c r="AJ5009">
        <v>88.023378500878295</v>
      </c>
      <c r="AK5009">
        <v>22.221448159612098</v>
      </c>
      <c r="AL5009">
        <v>78.752216126724406</v>
      </c>
      <c r="AM5009">
        <v>94.5030791464158</v>
      </c>
      <c r="AN5009">
        <v>1.00000006991582</v>
      </c>
    </row>
    <row r="5010" spans="1:40" x14ac:dyDescent="0.25">
      <c r="A5010" t="str">
        <f>"20190303162700285"</f>
        <v>20190303162700285</v>
      </c>
      <c r="B5010" t="str">
        <f>"1551601620279289"</f>
        <v>1551601620279289</v>
      </c>
      <c r="C5010" t="s">
        <v>40</v>
      </c>
      <c r="D5010">
        <v>5.2323430000000002</v>
      </c>
      <c r="E5010">
        <v>0.54320900000000005</v>
      </c>
      <c r="F5010" t="s">
        <v>71</v>
      </c>
      <c r="G5010">
        <v>-210.52789999999999</v>
      </c>
      <c r="H5010" s="1">
        <v>-4.8792309999999996E-7</v>
      </c>
      <c r="I5010">
        <v>-65.241019999999907</v>
      </c>
      <c r="J5010">
        <v>-232.79239999999999</v>
      </c>
      <c r="K5010">
        <v>1.121996</v>
      </c>
      <c r="L5010">
        <v>-61.876919999999998</v>
      </c>
      <c r="M5010">
        <v>0.99320059999999999</v>
      </c>
      <c r="N5010">
        <v>-1.255095E-2</v>
      </c>
      <c r="O5010">
        <v>-0.1157368</v>
      </c>
      <c r="P5010">
        <v>0.98233530000000002</v>
      </c>
      <c r="Q5010">
        <v>0.18340999999999999</v>
      </c>
      <c r="R5010">
        <v>-3.7126800000000001E-2</v>
      </c>
      <c r="S5010">
        <v>3.0645899999999999</v>
      </c>
      <c r="T5010">
        <v>-0.15348829999999999</v>
      </c>
      <c r="U5010">
        <v>-0.46234130000000001</v>
      </c>
      <c r="V5010">
        <v>-7.7163579999999996E-2</v>
      </c>
      <c r="W5010">
        <v>0.1955625</v>
      </c>
      <c r="X5010">
        <v>0.97765080000000004</v>
      </c>
      <c r="Y5010">
        <v>3.3751000000000003E-2</v>
      </c>
      <c r="Z5010">
        <v>3.235754E-3</v>
      </c>
      <c r="AA5010">
        <v>0.99942509999999996</v>
      </c>
      <c r="AB5010">
        <v>26</v>
      </c>
      <c r="AC5010">
        <v>22.264500000000002</v>
      </c>
      <c r="AD5010">
        <v>-1.1219964879230999</v>
      </c>
      <c r="AE5010">
        <v>-3.3640999999999899</v>
      </c>
      <c r="AF5010">
        <v>0.76257101957083595</v>
      </c>
      <c r="AG5010">
        <v>-1.1219964879230999</v>
      </c>
      <c r="AH5010">
        <v>22.4485012458162</v>
      </c>
      <c r="AI5010">
        <v>92.859667357203804</v>
      </c>
      <c r="AJ5010">
        <v>88.054422162774898</v>
      </c>
      <c r="AK5010">
        <v>22.4894552815806</v>
      </c>
      <c r="AL5010">
        <v>78.722414835460199</v>
      </c>
      <c r="AM5010">
        <v>94.512859838060805</v>
      </c>
      <c r="AN5010">
        <v>0.99999999811265305</v>
      </c>
    </row>
    <row r="5011" spans="1:40" x14ac:dyDescent="0.25">
      <c r="A5011" t="str">
        <f>"20190303162700296"</f>
        <v>20190303162700296</v>
      </c>
      <c r="B5011" t="str">
        <f>"1551601620289048"</f>
        <v>1551601620289048</v>
      </c>
      <c r="C5011" t="s">
        <v>40</v>
      </c>
      <c r="D5011">
        <v>5.2351340000000004</v>
      </c>
      <c r="E5011">
        <v>0.54323239999999995</v>
      </c>
      <c r="F5011" t="s">
        <v>71</v>
      </c>
      <c r="G5011">
        <v>-210.4443</v>
      </c>
      <c r="H5011" s="1">
        <v>-4.5045639999999999E-7</v>
      </c>
      <c r="I5011">
        <v>-65.234989999999996</v>
      </c>
      <c r="J5011">
        <v>-232.65379999999999</v>
      </c>
      <c r="K5011">
        <v>1.122001</v>
      </c>
      <c r="L5011">
        <v>-61.892429999999997</v>
      </c>
      <c r="M5011">
        <v>0.99326309999999995</v>
      </c>
      <c r="N5011">
        <v>-1.2651819999999999E-2</v>
      </c>
      <c r="O5011">
        <v>-0.11518970000000001</v>
      </c>
      <c r="P5011">
        <v>0.98236129999999999</v>
      </c>
      <c r="Q5011">
        <v>0.18341979999999999</v>
      </c>
      <c r="R5011">
        <v>-3.6386439999999999E-2</v>
      </c>
      <c r="S5011">
        <v>3.065277</v>
      </c>
      <c r="T5011">
        <v>-0.15389340000000001</v>
      </c>
      <c r="U5011">
        <v>-0.46060180000000001</v>
      </c>
      <c r="V5011">
        <v>-7.7360949999999998E-2</v>
      </c>
      <c r="W5011">
        <v>0.1956706</v>
      </c>
      <c r="X5011">
        <v>0.97761359999999997</v>
      </c>
      <c r="Y5011">
        <v>3.3713279999999998E-2</v>
      </c>
      <c r="Z5011">
        <v>3.2155119999999998E-3</v>
      </c>
      <c r="AA5011">
        <v>0.99942640000000005</v>
      </c>
      <c r="AB5011">
        <v>26</v>
      </c>
      <c r="AC5011">
        <v>22.209499999999899</v>
      </c>
      <c r="AD5011">
        <v>-1.1220014504564</v>
      </c>
      <c r="AE5011">
        <v>-3.34255999999999</v>
      </c>
      <c r="AF5011">
        <v>0.75990027758655598</v>
      </c>
      <c r="AG5011">
        <v>-1.1220014504564</v>
      </c>
      <c r="AH5011">
        <v>22.390818845812401</v>
      </c>
      <c r="AI5011">
        <v>92.867037794256206</v>
      </c>
      <c r="AJ5011">
        <v>88.056240165126994</v>
      </c>
      <c r="AK5011">
        <v>22.431787808212999</v>
      </c>
      <c r="AL5011">
        <v>78.716099459660498</v>
      </c>
      <c r="AM5011">
        <v>94.524526470813299</v>
      </c>
      <c r="AN5011">
        <v>1.00000002559711</v>
      </c>
    </row>
    <row r="5012" spans="1:40" x14ac:dyDescent="0.25">
      <c r="A5012" t="str">
        <f>"20190303162700308"</f>
        <v>20190303162700308</v>
      </c>
      <c r="B5012" t="str">
        <f>"1551601620298808"</f>
        <v>1551601620298808</v>
      </c>
      <c r="C5012" t="s">
        <v>40</v>
      </c>
      <c r="D5012">
        <v>5.2299350000000002</v>
      </c>
      <c r="E5012">
        <v>0.54326049999999904</v>
      </c>
      <c r="F5012" t="s">
        <v>71</v>
      </c>
      <c r="G5012">
        <v>-210.4014</v>
      </c>
      <c r="H5012" s="1">
        <v>-4.2832260000000002E-7</v>
      </c>
      <c r="I5012">
        <v>-65.220979999999997</v>
      </c>
      <c r="J5012">
        <v>-232.52189999999999</v>
      </c>
      <c r="K5012">
        <v>1.1220030000000001</v>
      </c>
      <c r="L5012">
        <v>-61.907170000000001</v>
      </c>
      <c r="M5012">
        <v>0.99332200000000004</v>
      </c>
      <c r="N5012">
        <v>-1.2742170000000001E-2</v>
      </c>
      <c r="O5012">
        <v>-0.114668699999999</v>
      </c>
      <c r="P5012">
        <v>0.98238890000000001</v>
      </c>
      <c r="Q5012">
        <v>0.18340600000000001</v>
      </c>
      <c r="R5012">
        <v>-3.569721E-2</v>
      </c>
      <c r="S5012">
        <v>3.06575</v>
      </c>
      <c r="T5012">
        <v>-0.15457989999999999</v>
      </c>
      <c r="U5012">
        <v>-0.45858759999999998</v>
      </c>
      <c r="V5012">
        <v>-7.7534580000000006E-2</v>
      </c>
      <c r="W5012">
        <v>0.1957449</v>
      </c>
      <c r="X5012">
        <v>0.97758500000000004</v>
      </c>
      <c r="Y5012">
        <v>3.3572339999999999E-2</v>
      </c>
      <c r="Z5012">
        <v>3.2100869999999999E-3</v>
      </c>
      <c r="AA5012">
        <v>0.99943110000000002</v>
      </c>
      <c r="AB5012">
        <v>26</v>
      </c>
      <c r="AC5012">
        <v>22.1205</v>
      </c>
      <c r="AD5012">
        <v>-1.1220034283225999</v>
      </c>
      <c r="AE5012">
        <v>-3.3138100000000099</v>
      </c>
      <c r="AF5012">
        <v>0.75331719924913099</v>
      </c>
      <c r="AG5012">
        <v>-1.1220034283225999</v>
      </c>
      <c r="AH5012">
        <v>22.2984765888169</v>
      </c>
      <c r="AI5012">
        <v>92.878910916199303</v>
      </c>
      <c r="AJ5012">
        <v>88.065092618287593</v>
      </c>
      <c r="AK5012">
        <v>22.339392039128299</v>
      </c>
      <c r="AL5012">
        <v>78.711758769497806</v>
      </c>
      <c r="AM5012">
        <v>94.534771186861207</v>
      </c>
      <c r="AN5012">
        <v>1.00000005459839</v>
      </c>
    </row>
    <row r="5013" spans="1:40" x14ac:dyDescent="0.25">
      <c r="A5013" t="str">
        <f>"20190303162700322"</f>
        <v>20190303162700322</v>
      </c>
      <c r="B5013" t="str">
        <f>"1551601620309544"</f>
        <v>1551601620309544</v>
      </c>
      <c r="C5013" t="s">
        <v>40</v>
      </c>
      <c r="D5013">
        <v>5.2366799999999998</v>
      </c>
      <c r="E5013">
        <v>0.54326049999999904</v>
      </c>
      <c r="F5013" t="s">
        <v>71</v>
      </c>
      <c r="G5013">
        <v>-210.3835</v>
      </c>
      <c r="H5013" s="1">
        <v>-4.1638939999999998E-7</v>
      </c>
      <c r="I5013">
        <v>-65.20496</v>
      </c>
      <c r="J5013">
        <v>-232.36539999999999</v>
      </c>
      <c r="K5013">
        <v>1.1220049999999999</v>
      </c>
      <c r="L5013">
        <v>-61.924529999999997</v>
      </c>
      <c r="M5013">
        <v>0.99339189999999999</v>
      </c>
      <c r="N5013">
        <v>-1.284329E-2</v>
      </c>
      <c r="O5013">
        <v>-0.1140509</v>
      </c>
      <c r="P5013">
        <v>0.98246389999999995</v>
      </c>
      <c r="Q5013">
        <v>0.1832104</v>
      </c>
      <c r="R5013">
        <v>-3.462229E-2</v>
      </c>
      <c r="S5013">
        <v>3.0661930000000002</v>
      </c>
      <c r="T5013">
        <v>-0.1553986</v>
      </c>
      <c r="U5013">
        <v>-0.45675660000000001</v>
      </c>
      <c r="V5013">
        <v>-7.7999929999999995E-2</v>
      </c>
      <c r="W5013">
        <v>0.19564809999999999</v>
      </c>
      <c r="X5013">
        <v>0.97756730000000003</v>
      </c>
      <c r="Y5013">
        <v>3.35885E-2</v>
      </c>
      <c r="Z5013">
        <v>3.1987809999999999E-3</v>
      </c>
      <c r="AA5013">
        <v>0.99943070000000001</v>
      </c>
      <c r="AB5013">
        <v>26</v>
      </c>
      <c r="AC5013">
        <v>21.9819</v>
      </c>
      <c r="AD5013">
        <v>-1.1220054163894</v>
      </c>
      <c r="AE5013">
        <v>-3.2804299999999902</v>
      </c>
      <c r="AF5013">
        <v>0.74984807912510698</v>
      </c>
      <c r="AG5013">
        <v>-1.1220054163894</v>
      </c>
      <c r="AH5013">
        <v>22.1561430901363</v>
      </c>
      <c r="AI5013">
        <v>92.897373162957393</v>
      </c>
      <c r="AJ5013">
        <v>88.061632932426207</v>
      </c>
      <c r="AK5013">
        <v>22.197203538436298</v>
      </c>
      <c r="AL5013">
        <v>78.717413696572194</v>
      </c>
      <c r="AM5013">
        <v>94.561955860802897</v>
      </c>
      <c r="AN5013">
        <v>0.99999999707145204</v>
      </c>
    </row>
    <row r="5014" spans="1:40" x14ac:dyDescent="0.25">
      <c r="A5014" t="str">
        <f>"20190303162700336"</f>
        <v>20190303162700336</v>
      </c>
      <c r="B5014" t="str">
        <f>"1551601620329071"</f>
        <v>1551601620329071</v>
      </c>
      <c r="C5014" t="s">
        <v>40</v>
      </c>
      <c r="D5014">
        <v>5.3979509999999999</v>
      </c>
      <c r="E5014">
        <v>0.5450526</v>
      </c>
      <c r="F5014" t="s">
        <v>71</v>
      </c>
      <c r="G5014">
        <v>-210.303</v>
      </c>
      <c r="H5014" s="1">
        <v>-3.7697480000000001E-7</v>
      </c>
      <c r="I5014">
        <v>-65.186589999999995</v>
      </c>
      <c r="J5014">
        <v>-232.20699999999999</v>
      </c>
      <c r="K5014">
        <v>1.1220049999999999</v>
      </c>
      <c r="L5014">
        <v>-61.9420199999999</v>
      </c>
      <c r="M5014">
        <v>0.99346230000000002</v>
      </c>
      <c r="N5014">
        <v>-1.293425E-2</v>
      </c>
      <c r="O5014">
        <v>-0.113426</v>
      </c>
      <c r="P5014">
        <v>0.98248029999999997</v>
      </c>
      <c r="Q5014">
        <v>0.18333759999999999</v>
      </c>
      <c r="R5014">
        <v>-3.3463630000000001E-2</v>
      </c>
      <c r="S5014">
        <v>3.0666500000000001</v>
      </c>
      <c r="T5014">
        <v>-0.15595729999999999</v>
      </c>
      <c r="U5014">
        <v>-0.45343020000000001</v>
      </c>
      <c r="V5014">
        <v>-7.8536270000000005E-2</v>
      </c>
      <c r="W5014">
        <v>0.1958628</v>
      </c>
      <c r="X5014">
        <v>0.97748139999999994</v>
      </c>
      <c r="Y5014">
        <v>3.3134810000000001E-2</v>
      </c>
      <c r="Z5014">
        <v>3.1953099999999998E-3</v>
      </c>
      <c r="AA5014">
        <v>0.99944580000000005</v>
      </c>
      <c r="AB5014">
        <v>26</v>
      </c>
      <c r="AC5014">
        <v>21.904</v>
      </c>
      <c r="AD5014">
        <v>-1.1220053769748</v>
      </c>
      <c r="AE5014">
        <v>-3.24457</v>
      </c>
      <c r="AF5014">
        <v>0.73704425929742801</v>
      </c>
      <c r="AG5014">
        <v>-1.1220053769748</v>
      </c>
      <c r="AH5014">
        <v>22.073991207194801</v>
      </c>
      <c r="AI5014">
        <v>92.908181888396697</v>
      </c>
      <c r="AJ5014">
        <v>88.0876207684516</v>
      </c>
      <c r="AK5014">
        <v>22.114773752436101</v>
      </c>
      <c r="AL5014">
        <v>78.704870029814103</v>
      </c>
      <c r="AM5014">
        <v>94.593592747374899</v>
      </c>
      <c r="AN5014">
        <v>1.0000000347376501</v>
      </c>
    </row>
    <row r="5015" spans="1:40" x14ac:dyDescent="0.25">
      <c r="A5015" t="str">
        <f>"20190303162700351"</f>
        <v>20190303162700351</v>
      </c>
      <c r="B5015" t="str">
        <f>"1551601620338824"</f>
        <v>1551601620338824</v>
      </c>
      <c r="C5015" t="s">
        <v>40</v>
      </c>
      <c r="D5015">
        <v>5.3480239999999997</v>
      </c>
      <c r="E5015">
        <v>0.5450526</v>
      </c>
      <c r="F5015" t="s">
        <v>71</v>
      </c>
      <c r="G5015">
        <v>-215.7876</v>
      </c>
      <c r="H5015" s="1">
        <v>-2.5262360000000002E-6</v>
      </c>
      <c r="I5015">
        <v>-64.421379999999999</v>
      </c>
      <c r="J5015">
        <v>-232.03270000000001</v>
      </c>
      <c r="K5015">
        <v>1.1220049999999999</v>
      </c>
      <c r="L5015">
        <v>-61.961150000000004</v>
      </c>
      <c r="M5015">
        <v>0.99353950000000002</v>
      </c>
      <c r="N5015">
        <v>-1.302739E-2</v>
      </c>
      <c r="O5015">
        <v>-0.1127387</v>
      </c>
      <c r="P5015">
        <v>0.9826724</v>
      </c>
      <c r="Q5015">
        <v>0.1825213</v>
      </c>
      <c r="R5015">
        <v>-3.2272929999999998E-2</v>
      </c>
      <c r="S5015">
        <v>3.0769199999999999</v>
      </c>
      <c r="T5015">
        <v>-0.21025859999999999</v>
      </c>
      <c r="U5015">
        <v>-0.46463009999999899</v>
      </c>
      <c r="V5015">
        <v>-7.9061549999999994E-2</v>
      </c>
      <c r="W5015">
        <v>0.19513839999999999</v>
      </c>
      <c r="X5015">
        <v>0.97758389999999995</v>
      </c>
      <c r="Y5015">
        <v>3.694211E-2</v>
      </c>
      <c r="Z5015">
        <v>4.6627810000000004E-3</v>
      </c>
      <c r="AA5015">
        <v>0.99930649999999999</v>
      </c>
      <c r="AB5015">
        <v>26</v>
      </c>
      <c r="AC5015">
        <v>16.245100000000001</v>
      </c>
      <c r="AD5015">
        <v>-1.1220075262360001</v>
      </c>
      <c r="AE5015">
        <v>-2.4602299999999899</v>
      </c>
      <c r="AF5015">
        <v>0.61009102834968099</v>
      </c>
      <c r="AG5015">
        <v>-1.1220075262360001</v>
      </c>
      <c r="AH5015">
        <v>16.342689376486501</v>
      </c>
      <c r="AI5015">
        <v>93.924754107455499</v>
      </c>
      <c r="AJ5015">
        <v>87.862076700508695</v>
      </c>
      <c r="AK5015">
        <v>16.392516829582</v>
      </c>
      <c r="AL5015">
        <v>78.747191384331202</v>
      </c>
      <c r="AM5015">
        <v>94.6237008696054</v>
      </c>
      <c r="AN5015">
        <v>1.00000000269108</v>
      </c>
    </row>
    <row r="5016" spans="1:40" x14ac:dyDescent="0.25">
      <c r="A5016" t="str">
        <f>"20190303162700386"</f>
        <v>20190303162700386</v>
      </c>
      <c r="B5016" t="str">
        <f>"1551601620379346"</f>
        <v>1551601620379346</v>
      </c>
      <c r="C5016" t="s">
        <v>40</v>
      </c>
      <c r="D5016">
        <v>5.0762010000000002</v>
      </c>
      <c r="E5016">
        <v>0.51554750000000005</v>
      </c>
      <c r="F5016" t="s">
        <v>71</v>
      </c>
      <c r="G5016">
        <v>-215.82040000000001</v>
      </c>
      <c r="H5016" s="1">
        <v>-2.5312200000000001E-6</v>
      </c>
      <c r="I5016">
        <v>-64.387200000000007</v>
      </c>
      <c r="J5016">
        <v>-231.6285</v>
      </c>
      <c r="K5016">
        <v>1.1220000000000001</v>
      </c>
      <c r="L5016">
        <v>-62.005040000000001</v>
      </c>
      <c r="M5016">
        <v>0.99371640000000006</v>
      </c>
      <c r="N5016">
        <v>-1.3212639999999999E-2</v>
      </c>
      <c r="O5016">
        <v>-0.1111457</v>
      </c>
      <c r="P5016">
        <v>0.98292020000000002</v>
      </c>
      <c r="Q5016">
        <v>0.1815493</v>
      </c>
      <c r="R5016">
        <v>-3.013101E-2</v>
      </c>
      <c r="S5016">
        <v>3.0773160000000002</v>
      </c>
      <c r="T5016">
        <v>-0.2129732</v>
      </c>
      <c r="U5016">
        <v>-0.46051029999999998</v>
      </c>
      <c r="V5016">
        <v>-7.9643420000000006E-2</v>
      </c>
      <c r="W5016">
        <v>0.19434889999999999</v>
      </c>
      <c r="X5016">
        <v>0.9776939</v>
      </c>
      <c r="Y5016">
        <v>3.7215110000000003E-2</v>
      </c>
      <c r="Z5016">
        <v>4.6218090000000002E-3</v>
      </c>
      <c r="AA5016">
        <v>0.99929659999999998</v>
      </c>
      <c r="AB5016">
        <v>26</v>
      </c>
      <c r="AC5016">
        <v>15.8080999999999</v>
      </c>
      <c r="AD5016">
        <v>-1.1220025312199999</v>
      </c>
      <c r="AE5016">
        <v>-2.3821599999999998</v>
      </c>
      <c r="AF5016">
        <v>0.60725112305190598</v>
      </c>
      <c r="AG5016">
        <v>-1.1220025312199999</v>
      </c>
      <c r="AH5016">
        <v>15.896624178270701</v>
      </c>
      <c r="AI5016">
        <v>94.034375763133994</v>
      </c>
      <c r="AJ5016">
        <v>87.812364617810402</v>
      </c>
      <c r="AK5016">
        <v>15.947736637896</v>
      </c>
      <c r="AL5016">
        <v>78.7933089503872</v>
      </c>
      <c r="AM5016">
        <v>94.657059074429299</v>
      </c>
      <c r="AN5016">
        <v>0.99999996568885696</v>
      </c>
    </row>
    <row r="5017" spans="1:40" x14ac:dyDescent="0.25">
      <c r="A5017" t="str">
        <f>"20190303162700398"</f>
        <v>20190303162700398</v>
      </c>
      <c r="B5017" t="str">
        <f>"1551601620389107"</f>
        <v>1551601620389107</v>
      </c>
      <c r="C5017" t="s">
        <v>40</v>
      </c>
      <c r="D5017">
        <v>5.549976</v>
      </c>
      <c r="E5017">
        <v>0.47630440000000002</v>
      </c>
      <c r="F5017" t="s">
        <v>71</v>
      </c>
      <c r="G5017">
        <v>-217.91990000000001</v>
      </c>
      <c r="H5017" s="1">
        <v>-3.013937E-6</v>
      </c>
      <c r="I5017">
        <v>-62.971649999999997</v>
      </c>
      <c r="J5017">
        <v>-231.48519999999999</v>
      </c>
      <c r="K5017">
        <v>1.1219980000000001</v>
      </c>
      <c r="L5017">
        <v>-62.020420000000001</v>
      </c>
      <c r="M5017">
        <v>0.99377879999999996</v>
      </c>
      <c r="N5017">
        <v>-1.326858E-2</v>
      </c>
      <c r="O5017">
        <v>-0.1105809</v>
      </c>
      <c r="P5017">
        <v>0.98305549999999997</v>
      </c>
      <c r="Q5017">
        <v>0.18095249999999999</v>
      </c>
      <c r="R5017">
        <v>-2.9299450000000001E-2</v>
      </c>
      <c r="S5017">
        <v>3.0921940000000001</v>
      </c>
      <c r="T5017">
        <v>-0.25308599999999998</v>
      </c>
      <c r="U5017">
        <v>-0.21804809999999999</v>
      </c>
      <c r="V5017">
        <v>-7.9926269999999994E-2</v>
      </c>
      <c r="W5017">
        <v>0.1938077</v>
      </c>
      <c r="X5017">
        <v>0.97777829999999999</v>
      </c>
      <c r="Y5017">
        <v>-3.9996209999999997E-2</v>
      </c>
      <c r="Z5017">
        <v>9.432869E-3</v>
      </c>
      <c r="AA5017">
        <v>0.99915529999999997</v>
      </c>
      <c r="AB5017">
        <v>26</v>
      </c>
      <c r="AC5017">
        <v>13.565299999999899</v>
      </c>
      <c r="AD5017">
        <v>-1.122001013937</v>
      </c>
      <c r="AE5017">
        <v>-0.95123000000000202</v>
      </c>
      <c r="AF5017">
        <v>-0.55104823221730803</v>
      </c>
      <c r="AG5017">
        <v>-1.122001013937</v>
      </c>
      <c r="AH5017">
        <v>13.4954160619237</v>
      </c>
      <c r="AI5017">
        <v>94.748668614398099</v>
      </c>
      <c r="AJ5017">
        <v>92.338216814686206</v>
      </c>
      <c r="AK5017">
        <v>13.553183947469099</v>
      </c>
      <c r="AL5017">
        <v>78.824919048220906</v>
      </c>
      <c r="AM5017">
        <v>94.673123649996597</v>
      </c>
      <c r="AN5017">
        <v>1.0000000185831399</v>
      </c>
    </row>
    <row r="5018" spans="1:40" x14ac:dyDescent="0.25">
      <c r="A5018" t="str">
        <f>"20190303162700412"</f>
        <v>20190303162700412</v>
      </c>
      <c r="B5018" t="str">
        <f>"1551601620398867"</f>
        <v>1551601620398867</v>
      </c>
      <c r="C5018" t="s">
        <v>40</v>
      </c>
      <c r="D5018">
        <v>5.2671710000000003</v>
      </c>
      <c r="E5018">
        <v>0.47697089999999998</v>
      </c>
      <c r="F5018" t="s">
        <v>71</v>
      </c>
      <c r="G5018">
        <v>-213.34809999999999</v>
      </c>
      <c r="H5018" s="1">
        <v>-6.8820569999999901E-7</v>
      </c>
      <c r="I5018">
        <v>-61.446759999999998</v>
      </c>
      <c r="J5018">
        <v>-231.33760000000001</v>
      </c>
      <c r="K5018">
        <v>1.1219969999999999</v>
      </c>
      <c r="L5018">
        <v>-62.036160000000002</v>
      </c>
      <c r="M5018">
        <v>0.99384249999999996</v>
      </c>
      <c r="N5018">
        <v>-1.332116E-2</v>
      </c>
      <c r="O5018">
        <v>-0.1099989</v>
      </c>
      <c r="P5018">
        <v>0.98317379999999999</v>
      </c>
      <c r="Q5018">
        <v>0.18044540000000001</v>
      </c>
      <c r="R5018">
        <v>-2.844168E-2</v>
      </c>
      <c r="S5018">
        <v>3.089798</v>
      </c>
      <c r="T5018">
        <v>-0.19114100000000001</v>
      </c>
      <c r="U5018">
        <v>9.7717289999999998E-2</v>
      </c>
      <c r="V5018">
        <v>-8.0216609999999994E-2</v>
      </c>
      <c r="W5018">
        <v>0.193353</v>
      </c>
      <c r="X5018">
        <v>0.97784450000000001</v>
      </c>
      <c r="Y5018">
        <v>-0.1409157</v>
      </c>
      <c r="Z5018">
        <v>1.061701E-2</v>
      </c>
      <c r="AA5018">
        <v>0.98996470000000003</v>
      </c>
      <c r="AB5018">
        <v>26</v>
      </c>
      <c r="AC5018">
        <v>17.9895</v>
      </c>
      <c r="AD5018">
        <v>-1.1219976882056999</v>
      </c>
      <c r="AE5018">
        <v>0.58939999999999704</v>
      </c>
      <c r="AF5018">
        <v>-2.5548955991126401</v>
      </c>
      <c r="AG5018">
        <v>-1.1219976882056999</v>
      </c>
      <c r="AH5018">
        <v>17.746516644943402</v>
      </c>
      <c r="AI5018">
        <v>93.580806817980701</v>
      </c>
      <c r="AJ5018">
        <v>98.192356689845695</v>
      </c>
      <c r="AK5018">
        <v>17.964554638619799</v>
      </c>
      <c r="AL5018">
        <v>78.851473262693702</v>
      </c>
      <c r="AM5018">
        <v>94.689707539291703</v>
      </c>
      <c r="AN5018">
        <v>0.99999997665456997</v>
      </c>
    </row>
    <row r="5019" spans="1:40" x14ac:dyDescent="0.25">
      <c r="A5019" t="str">
        <f>"20190303162700440"</f>
        <v>20190303162700440</v>
      </c>
      <c r="B5019" t="str">
        <f>"1551601620429122"</f>
        <v>1551601620429122</v>
      </c>
      <c r="C5019" t="s">
        <v>40</v>
      </c>
      <c r="D5019">
        <v>5.0290879999999998</v>
      </c>
      <c r="E5019">
        <v>0.47867969999999999</v>
      </c>
      <c r="F5019" t="s">
        <v>71</v>
      </c>
      <c r="G5019">
        <v>-213.71250000000001</v>
      </c>
      <c r="H5019" s="1">
        <v>-8.5712169999999996E-7</v>
      </c>
      <c r="I5019">
        <v>-61.494079999999997</v>
      </c>
      <c r="J5019">
        <v>-231.00729999999999</v>
      </c>
      <c r="K5019">
        <v>1.121996</v>
      </c>
      <c r="L5019">
        <v>-62.071199999999997</v>
      </c>
      <c r="M5019">
        <v>0.99398439999999999</v>
      </c>
      <c r="N5019">
        <v>-1.342549E-2</v>
      </c>
      <c r="O5019">
        <v>-0.1086965</v>
      </c>
      <c r="P5019">
        <v>0.98361100000000001</v>
      </c>
      <c r="Q5019">
        <v>0.17834259999999999</v>
      </c>
      <c r="R5019">
        <v>-2.6520169999999999E-2</v>
      </c>
      <c r="S5019">
        <v>3.090179</v>
      </c>
      <c r="T5019">
        <v>-0.19671730000000001</v>
      </c>
      <c r="U5019">
        <v>9.5031740000000003E-2</v>
      </c>
      <c r="V5019">
        <v>-8.0885310000000002E-2</v>
      </c>
      <c r="W5019">
        <v>0.1913559</v>
      </c>
      <c r="X5019">
        <v>0.97818229999999995</v>
      </c>
      <c r="Y5019">
        <v>-0.13873469999999999</v>
      </c>
      <c r="Z5019">
        <v>1.0787089999999999E-2</v>
      </c>
      <c r="AA5019">
        <v>0.99027089999999995</v>
      </c>
      <c r="AB5019">
        <v>26</v>
      </c>
      <c r="AC5019">
        <v>17.294799999999899</v>
      </c>
      <c r="AD5019">
        <v>-1.1219968571216901</v>
      </c>
      <c r="AE5019">
        <v>0.57711999999999297</v>
      </c>
      <c r="AF5019">
        <v>-2.4434809159029802</v>
      </c>
      <c r="AG5019">
        <v>-1.1219968571216901</v>
      </c>
      <c r="AH5019">
        <v>17.057860660162099</v>
      </c>
      <c r="AI5019">
        <v>93.725344438820798</v>
      </c>
      <c r="AJ5019">
        <v>98.1519703542874</v>
      </c>
      <c r="AK5019">
        <v>17.2684708713678</v>
      </c>
      <c r="AL5019">
        <v>78.968077152180697</v>
      </c>
      <c r="AM5019">
        <v>94.726999673423407</v>
      </c>
      <c r="AN5019">
        <v>1.00000006293594</v>
      </c>
    </row>
    <row r="5020" spans="1:40" x14ac:dyDescent="0.25">
      <c r="A5020" t="str">
        <f>"20190303162700453"</f>
        <v>20190303162700453</v>
      </c>
      <c r="B5020" t="str">
        <f>"1551601620438882"</f>
        <v>1551601620438882</v>
      </c>
      <c r="C5020" t="s">
        <v>40</v>
      </c>
      <c r="D5020">
        <v>5.1886239999999999</v>
      </c>
      <c r="E5020">
        <v>0.4794176</v>
      </c>
      <c r="F5020" t="s">
        <v>71</v>
      </c>
      <c r="G5020">
        <v>-213.78659999999999</v>
      </c>
      <c r="H5020" s="1">
        <v>-9.1343010000000004E-7</v>
      </c>
      <c r="I5020">
        <v>-61.586239999999997</v>
      </c>
      <c r="J5020">
        <v>-230.8571</v>
      </c>
      <c r="K5020">
        <v>1.1219980000000001</v>
      </c>
      <c r="L5020">
        <v>-62.086910000000003</v>
      </c>
      <c r="M5020">
        <v>0.9940485</v>
      </c>
      <c r="N5020">
        <v>-1.3465799999999899E-2</v>
      </c>
      <c r="O5020">
        <v>-0.10810409999999999</v>
      </c>
      <c r="P5020">
        <v>0.98377289999999995</v>
      </c>
      <c r="Q5020">
        <v>0.1775911</v>
      </c>
      <c r="R5020">
        <v>-2.5540650000000002E-2</v>
      </c>
      <c r="S5020">
        <v>3.0888209999999998</v>
      </c>
      <c r="T5020">
        <v>-0.20124819999999999</v>
      </c>
      <c r="U5020">
        <v>8.69751E-2</v>
      </c>
      <c r="V5020">
        <v>-8.1289970000000003E-2</v>
      </c>
      <c r="W5020">
        <v>0.19064490000000001</v>
      </c>
      <c r="X5020">
        <v>0.97828749999999998</v>
      </c>
      <c r="Y5020">
        <v>-0.13556260000000001</v>
      </c>
      <c r="Z5020">
        <v>1.0895780000000001E-2</v>
      </c>
      <c r="AA5020">
        <v>0.9907089</v>
      </c>
      <c r="AB5020">
        <v>26</v>
      </c>
      <c r="AC5020">
        <v>17.070499999999999</v>
      </c>
      <c r="AD5020">
        <v>-1.1219989134301001</v>
      </c>
      <c r="AE5020">
        <v>0.50066999999999195</v>
      </c>
      <c r="AF5020">
        <v>-2.3332224186290902</v>
      </c>
      <c r="AG5020">
        <v>-1.1219989134301001</v>
      </c>
      <c r="AH5020">
        <v>16.843608841747798</v>
      </c>
      <c r="AI5020">
        <v>93.7750575447008</v>
      </c>
      <c r="AJ5020">
        <v>97.886578481756402</v>
      </c>
      <c r="AK5020">
        <v>17.041419167145001</v>
      </c>
      <c r="AL5020">
        <v>79.009577622641203</v>
      </c>
      <c r="AM5020">
        <v>94.750031838479501</v>
      </c>
      <c r="AN5020">
        <v>0.99999998488743003</v>
      </c>
    </row>
    <row r="5021" spans="1:40" x14ac:dyDescent="0.25">
      <c r="A5021" t="str">
        <f>"20190303162700467"</f>
        <v>20190303162700467</v>
      </c>
      <c r="B5021" t="str">
        <f>"1551601620458909"</f>
        <v>1551601620458909</v>
      </c>
      <c r="C5021" t="s">
        <v>40</v>
      </c>
      <c r="D5021">
        <v>5.5264259999999998</v>
      </c>
      <c r="E5021">
        <v>0.480516</v>
      </c>
      <c r="F5021" t="s">
        <v>71</v>
      </c>
      <c r="G5021">
        <v>-213.6097</v>
      </c>
      <c r="H5021" s="1">
        <v>-8.4608260000000002E-7</v>
      </c>
      <c r="I5021">
        <v>-61.618270000000003</v>
      </c>
      <c r="J5021">
        <v>-230.70439999999999</v>
      </c>
      <c r="K5021">
        <v>1.1220000000000001</v>
      </c>
      <c r="L5021">
        <v>-62.10284</v>
      </c>
      <c r="M5021">
        <v>0.99411329999999998</v>
      </c>
      <c r="N5021">
        <v>-1.3504260000000001E-2</v>
      </c>
      <c r="O5021">
        <v>-0.10750120000000001</v>
      </c>
      <c r="P5021">
        <v>0.98385690000000003</v>
      </c>
      <c r="Q5021">
        <v>0.1772319</v>
      </c>
      <c r="R5021">
        <v>-2.4791319999999999E-2</v>
      </c>
      <c r="S5021">
        <v>3.0879210000000001</v>
      </c>
      <c r="T5021">
        <v>-0.20087849999999999</v>
      </c>
      <c r="U5021">
        <v>8.3892820000000007E-2</v>
      </c>
      <c r="V5021">
        <v>-8.1448149999999997E-2</v>
      </c>
      <c r="W5021">
        <v>0.1903242</v>
      </c>
      <c r="X5021">
        <v>0.97833680000000001</v>
      </c>
      <c r="Y5021">
        <v>-0.13398789999999999</v>
      </c>
      <c r="Z5021">
        <v>1.0783930000000001E-2</v>
      </c>
      <c r="AA5021">
        <v>0.99092429999999998</v>
      </c>
      <c r="AB5021">
        <v>26</v>
      </c>
      <c r="AC5021">
        <v>17.0946999999999</v>
      </c>
      <c r="AD5021">
        <v>-1.1220008460826001</v>
      </c>
      <c r="AE5021">
        <v>0.484570000000005</v>
      </c>
      <c r="AF5021">
        <v>-2.30968775343282</v>
      </c>
      <c r="AG5021">
        <v>-1.1220008460826001</v>
      </c>
      <c r="AH5021">
        <v>16.8709012912411</v>
      </c>
      <c r="AI5021">
        <v>93.769797068300406</v>
      </c>
      <c r="AJ5021">
        <v>97.795538778091597</v>
      </c>
      <c r="AK5021">
        <v>17.0651942208628</v>
      </c>
      <c r="AL5021">
        <v>79.028295241072797</v>
      </c>
      <c r="AM5021">
        <v>94.758993659590104</v>
      </c>
      <c r="AN5021">
        <v>0.99999999823915098</v>
      </c>
    </row>
    <row r="5022" spans="1:40" x14ac:dyDescent="0.25">
      <c r="A5022" t="str">
        <f>"20190303162700480"</f>
        <v>20190303162700480</v>
      </c>
      <c r="B5022" t="str">
        <f>"1551601620469645"</f>
        <v>1551601620469645</v>
      </c>
      <c r="C5022" t="s">
        <v>40</v>
      </c>
      <c r="D5022">
        <v>5.529401</v>
      </c>
      <c r="E5022">
        <v>0.48085630000000001</v>
      </c>
      <c r="F5022" t="s">
        <v>71</v>
      </c>
      <c r="G5022">
        <v>-213.0812</v>
      </c>
      <c r="H5022" s="1">
        <v>-6.3052309999999998E-7</v>
      </c>
      <c r="I5022">
        <v>-61.660200000000003</v>
      </c>
      <c r="J5022">
        <v>-230.5549</v>
      </c>
      <c r="K5022">
        <v>1.1219939999999999</v>
      </c>
      <c r="L5022">
        <v>-62.118380000000002</v>
      </c>
      <c r="M5022">
        <v>0.99417650000000002</v>
      </c>
      <c r="N5022">
        <v>-1.3538710000000001E-2</v>
      </c>
      <c r="O5022">
        <v>-0.1069112</v>
      </c>
      <c r="P5022">
        <v>0.98393589999999997</v>
      </c>
      <c r="Q5022">
        <v>0.17688860000000001</v>
      </c>
      <c r="R5022">
        <v>-2.410203E-2</v>
      </c>
      <c r="S5022">
        <v>3.0865629999999999</v>
      </c>
      <c r="T5022">
        <v>-0.1965094</v>
      </c>
      <c r="U5022">
        <v>7.7514650000000004E-2</v>
      </c>
      <c r="V5022">
        <v>-8.1559010000000001E-2</v>
      </c>
      <c r="W5022">
        <v>0.1900153</v>
      </c>
      <c r="X5022">
        <v>0.97838760000000002</v>
      </c>
      <c r="Y5022">
        <v>-0.13139289999999901</v>
      </c>
      <c r="Z5022">
        <v>1.041191E-2</v>
      </c>
      <c r="AA5022">
        <v>0.99127569999999998</v>
      </c>
      <c r="AB5022">
        <v>26</v>
      </c>
      <c r="AC5022">
        <v>17.473700000000001</v>
      </c>
      <c r="AD5022">
        <v>-1.1219946305230999</v>
      </c>
      <c r="AE5022">
        <v>0.45817999999999798</v>
      </c>
      <c r="AF5022">
        <v>-2.3143233967141699</v>
      </c>
      <c r="AG5022">
        <v>-1.1219946305230999</v>
      </c>
      <c r="AH5022">
        <v>17.25345643943</v>
      </c>
      <c r="AI5022">
        <v>93.687777184431297</v>
      </c>
      <c r="AJ5022">
        <v>97.639869611346199</v>
      </c>
      <c r="AK5022">
        <v>17.444102838575901</v>
      </c>
      <c r="AL5022">
        <v>79.046322810724206</v>
      </c>
      <c r="AM5022">
        <v>94.765195075661694</v>
      </c>
      <c r="AN5022">
        <v>0.99999999109001503</v>
      </c>
    </row>
    <row r="5023" spans="1:40" x14ac:dyDescent="0.25">
      <c r="A5023" t="str">
        <f>"20190303162700492"</f>
        <v>20190303162700492</v>
      </c>
      <c r="B5023" t="str">
        <f>"1551601620479405"</f>
        <v>1551601620479405</v>
      </c>
      <c r="C5023" t="s">
        <v>40</v>
      </c>
      <c r="D5023">
        <v>5.4688489999999996</v>
      </c>
      <c r="E5023">
        <v>0.48111429999999999</v>
      </c>
      <c r="F5023" t="s">
        <v>71</v>
      </c>
      <c r="G5023">
        <v>-212.9742</v>
      </c>
      <c r="H5023" s="1">
        <v>-5.8971990000000002E-7</v>
      </c>
      <c r="I5023">
        <v>-61.679369999999999</v>
      </c>
      <c r="J5023">
        <v>-230.42240000000001</v>
      </c>
      <c r="K5023">
        <v>1.1219939999999999</v>
      </c>
      <c r="L5023">
        <v>-62.132019999999997</v>
      </c>
      <c r="M5023">
        <v>0.99423220000000001</v>
      </c>
      <c r="N5023">
        <v>-1.3566109999999999E-2</v>
      </c>
      <c r="O5023">
        <v>-0.1063877</v>
      </c>
      <c r="P5023">
        <v>0.98390659999999996</v>
      </c>
      <c r="Q5023">
        <v>0.17714179999999999</v>
      </c>
      <c r="R5023">
        <v>-2.3422499999999999E-2</v>
      </c>
      <c r="S5023">
        <v>3.0862579999999999</v>
      </c>
      <c r="T5023">
        <v>-0.19696350000000001</v>
      </c>
      <c r="U5023">
        <v>7.7056879999999994E-2</v>
      </c>
      <c r="V5023">
        <v>-8.1714999999999996E-2</v>
      </c>
      <c r="W5023">
        <v>0.19029470000000001</v>
      </c>
      <c r="X5023">
        <v>0.97832030000000003</v>
      </c>
      <c r="Y5023">
        <v>-0.1307265</v>
      </c>
      <c r="Z5023">
        <v>1.038528E-2</v>
      </c>
      <c r="AA5023">
        <v>0.99136409999999997</v>
      </c>
      <c r="AB5023">
        <v>26</v>
      </c>
      <c r="AC5023">
        <v>17.4482</v>
      </c>
      <c r="AD5023">
        <v>-1.1219945897199</v>
      </c>
      <c r="AE5023">
        <v>0.452649999999998</v>
      </c>
      <c r="AF5023">
        <v>-2.2970333222922101</v>
      </c>
      <c r="AG5023">
        <v>-1.1219945897199</v>
      </c>
      <c r="AH5023">
        <v>17.2297994733308</v>
      </c>
      <c r="AI5023">
        <v>93.693222884798203</v>
      </c>
      <c r="AJ5023">
        <v>97.593750497210806</v>
      </c>
      <c r="AK5023">
        <v>17.418416226346999</v>
      </c>
      <c r="AL5023">
        <v>79.030017081788102</v>
      </c>
      <c r="AM5023">
        <v>94.774593822823903</v>
      </c>
      <c r="AN5023">
        <v>1.00000001173259</v>
      </c>
    </row>
    <row r="5024" spans="1:40" x14ac:dyDescent="0.25">
      <c r="A5024" t="str">
        <f>"20190303162700506"</f>
        <v>20190303162700506</v>
      </c>
      <c r="B5024" t="str">
        <f>"1551601620498925"</f>
        <v>1551601620498925</v>
      </c>
      <c r="C5024" t="s">
        <v>40</v>
      </c>
      <c r="D5024">
        <v>5.6518680000000003</v>
      </c>
      <c r="E5024">
        <v>0.4816378</v>
      </c>
      <c r="F5024" t="s">
        <v>71</v>
      </c>
      <c r="G5024">
        <v>-212.69399999999999</v>
      </c>
      <c r="H5024" s="1">
        <v>-4.722326E-7</v>
      </c>
      <c r="I5024">
        <v>-61.689639999999997</v>
      </c>
      <c r="J5024">
        <v>-230.25069999999999</v>
      </c>
      <c r="K5024">
        <v>1.121999</v>
      </c>
      <c r="L5024">
        <v>-62.149659999999997</v>
      </c>
      <c r="M5024">
        <v>0.99430410000000002</v>
      </c>
      <c r="N5024">
        <v>-1.359928E-2</v>
      </c>
      <c r="O5024">
        <v>-0.1057101</v>
      </c>
      <c r="P5024">
        <v>0.98402179999999995</v>
      </c>
      <c r="Q5024">
        <v>0.1766481</v>
      </c>
      <c r="R5024">
        <v>-2.2284330000000001E-2</v>
      </c>
      <c r="S5024">
        <v>3.0860439999999998</v>
      </c>
      <c r="T5024">
        <v>-0.19530919999999999</v>
      </c>
      <c r="U5024">
        <v>7.6995850000000005E-2</v>
      </c>
      <c r="V5024">
        <v>-8.2189419999999999E-2</v>
      </c>
      <c r="W5024">
        <v>0.1898331</v>
      </c>
      <c r="X5024">
        <v>0.97837019999999997</v>
      </c>
      <c r="Y5024">
        <v>-0.1300433</v>
      </c>
      <c r="Z5024">
        <v>1.0233239999999999E-2</v>
      </c>
      <c r="AA5024">
        <v>0.99145550000000005</v>
      </c>
      <c r="AB5024">
        <v>26</v>
      </c>
      <c r="AC5024">
        <v>17.5566999999999</v>
      </c>
      <c r="AD5024">
        <v>-1.1219994722326001</v>
      </c>
      <c r="AE5024">
        <v>0.46001999999999299</v>
      </c>
      <c r="AF5024">
        <v>-2.3041300759410102</v>
      </c>
      <c r="AG5024">
        <v>-1.1219994722326001</v>
      </c>
      <c r="AH5024">
        <v>17.338912380538002</v>
      </c>
      <c r="AI5024">
        <v>93.670266942252596</v>
      </c>
      <c r="AJ5024">
        <v>97.569561120434699</v>
      </c>
      <c r="AK5024">
        <v>17.527286748453701</v>
      </c>
      <c r="AL5024">
        <v>79.056955481135006</v>
      </c>
      <c r="AM5024">
        <v>94.801941057366307</v>
      </c>
      <c r="AN5024">
        <v>0.99999997743179203</v>
      </c>
    </row>
    <row r="5025" spans="1:40" x14ac:dyDescent="0.25">
      <c r="A5025" t="str">
        <f>"20190303162700518"</f>
        <v>20190303162700518</v>
      </c>
      <c r="B5025" t="str">
        <f>"1551601620509661"</f>
        <v>1551601620509661</v>
      </c>
      <c r="C5025" t="s">
        <v>40</v>
      </c>
      <c r="D5025">
        <v>5.4729869999999998</v>
      </c>
      <c r="E5025">
        <v>0.48183520000000002</v>
      </c>
      <c r="F5025" t="s">
        <v>71</v>
      </c>
      <c r="G5025">
        <v>-212.46129999999999</v>
      </c>
      <c r="H5025" s="1">
        <v>-3.7766520000000002E-7</v>
      </c>
      <c r="I5025">
        <v>-61.709359999999997</v>
      </c>
      <c r="J5025">
        <v>-230.11439999999999</v>
      </c>
      <c r="K5025">
        <v>1.121999</v>
      </c>
      <c r="L5025">
        <v>-62.163539999999998</v>
      </c>
      <c r="M5025">
        <v>0.99436089999999999</v>
      </c>
      <c r="N5025">
        <v>-1.3623049999999999E-2</v>
      </c>
      <c r="O5025">
        <v>-0.1051721</v>
      </c>
      <c r="P5025">
        <v>0.9841434</v>
      </c>
      <c r="Q5025">
        <v>0.17607999999999999</v>
      </c>
      <c r="R5025">
        <v>-2.1394E-2</v>
      </c>
      <c r="S5025">
        <v>3.0853730000000001</v>
      </c>
      <c r="T5025">
        <v>-0.19459799999999999</v>
      </c>
      <c r="U5025">
        <v>7.6354980000000003E-2</v>
      </c>
      <c r="V5025">
        <v>-8.2555149999999994E-2</v>
      </c>
      <c r="W5025">
        <v>0.18928909999999999</v>
      </c>
      <c r="X5025">
        <v>0.9784448</v>
      </c>
      <c r="Y5025">
        <v>-0.12931199999999901</v>
      </c>
      <c r="Z5025">
        <v>1.0140939999999999E-2</v>
      </c>
      <c r="AA5025">
        <v>0.99155210000000005</v>
      </c>
      <c r="AB5025">
        <v>26</v>
      </c>
      <c r="AC5025">
        <v>17.653099999999899</v>
      </c>
      <c r="AD5025">
        <v>-1.1219993776652</v>
      </c>
      <c r="AE5025">
        <v>0.45418000000000702</v>
      </c>
      <c r="AF5025">
        <v>-2.2991645723646998</v>
      </c>
      <c r="AG5025">
        <v>-1.1219993776652</v>
      </c>
      <c r="AH5025">
        <v>17.4370140998615</v>
      </c>
      <c r="AI5025">
        <v>93.650162341153205</v>
      </c>
      <c r="AJ5025">
        <v>97.511427421886694</v>
      </c>
      <c r="AK5025">
        <v>17.623691470661502</v>
      </c>
      <c r="AL5025">
        <v>79.088699881083102</v>
      </c>
      <c r="AM5025">
        <v>94.822842353656</v>
      </c>
      <c r="AN5025">
        <v>0.99999997140868502</v>
      </c>
    </row>
    <row r="5026" spans="1:40" x14ac:dyDescent="0.25">
      <c r="A5026" t="str">
        <f>"20190303162700530"</f>
        <v>20190303162700530</v>
      </c>
      <c r="B5026" t="str">
        <f>"1551601620519421"</f>
        <v>1551601620519421</v>
      </c>
      <c r="C5026" t="s">
        <v>40</v>
      </c>
      <c r="D5026">
        <v>5.5344790000000001</v>
      </c>
      <c r="E5026">
        <v>0.48203550000000001</v>
      </c>
      <c r="F5026" t="s">
        <v>71</v>
      </c>
      <c r="G5026">
        <v>-212.4111</v>
      </c>
      <c r="H5026" s="1">
        <v>-3.5857940000000002E-7</v>
      </c>
      <c r="I5026">
        <v>-61.718670000000003</v>
      </c>
      <c r="J5026">
        <v>-229.98939999999999</v>
      </c>
      <c r="K5026">
        <v>1.121999</v>
      </c>
      <c r="L5026">
        <v>-62.176209999999998</v>
      </c>
      <c r="M5026">
        <v>0.99441250000000003</v>
      </c>
      <c r="N5026">
        <v>-1.3642970000000001E-2</v>
      </c>
      <c r="O5026">
        <v>-0.1046787</v>
      </c>
      <c r="P5026">
        <v>0.98421930000000002</v>
      </c>
      <c r="Q5026">
        <v>0.17573420000000001</v>
      </c>
      <c r="R5026">
        <v>-2.0746879999999999E-2</v>
      </c>
      <c r="S5026">
        <v>3.0850070000000001</v>
      </c>
      <c r="T5026">
        <v>-0.19552079999999999</v>
      </c>
      <c r="U5026">
        <v>7.7514650000000004E-2</v>
      </c>
      <c r="V5026">
        <v>-8.2719509999999996E-2</v>
      </c>
      <c r="W5026">
        <v>0.18896370000000001</v>
      </c>
      <c r="X5026">
        <v>0.97849390000000003</v>
      </c>
      <c r="Y5026">
        <v>-0.129192</v>
      </c>
      <c r="Z5026">
        <v>1.016304E-2</v>
      </c>
      <c r="AA5026">
        <v>0.99156750000000005</v>
      </c>
      <c r="AB5026">
        <v>26</v>
      </c>
      <c r="AC5026">
        <v>17.578299999999899</v>
      </c>
      <c r="AD5026">
        <v>-1.1219993585793999</v>
      </c>
      <c r="AE5026">
        <v>0.457540000000001</v>
      </c>
      <c r="AF5026">
        <v>-2.28596379409908</v>
      </c>
      <c r="AG5026">
        <v>-1.1219993585793999</v>
      </c>
      <c r="AH5026">
        <v>17.363118127882299</v>
      </c>
      <c r="AI5026">
        <v>93.665749064154298</v>
      </c>
      <c r="AJ5026">
        <v>97.500213841944401</v>
      </c>
      <c r="AK5026">
        <v>17.5488570611131</v>
      </c>
      <c r="AL5026">
        <v>79.107687505552093</v>
      </c>
      <c r="AM5026">
        <v>94.832157443329905</v>
      </c>
      <c r="AN5026">
        <v>1.0000000547947601</v>
      </c>
    </row>
    <row r="5027" spans="1:40" x14ac:dyDescent="0.25">
      <c r="A5027" t="str">
        <f>"20190303162700542"</f>
        <v>20190303162700542</v>
      </c>
      <c r="B5027" t="str">
        <f>"1551601620529182"</f>
        <v>1551601620529182</v>
      </c>
      <c r="C5027" t="s">
        <v>40</v>
      </c>
      <c r="D5027">
        <v>5.476261</v>
      </c>
      <c r="E5027">
        <v>0.48218660000000002</v>
      </c>
      <c r="F5027" t="s">
        <v>71</v>
      </c>
      <c r="G5027">
        <v>-212.4401</v>
      </c>
      <c r="H5027" s="1">
        <v>-3.7529869999999997E-7</v>
      </c>
      <c r="I5027">
        <v>-61.734670000000001</v>
      </c>
      <c r="J5027">
        <v>-229.8477</v>
      </c>
      <c r="K5027">
        <v>1.12199</v>
      </c>
      <c r="L5027">
        <v>-62.1905199999999</v>
      </c>
      <c r="M5027">
        <v>0.99447110000000005</v>
      </c>
      <c r="N5027">
        <v>-1.366451E-2</v>
      </c>
      <c r="O5027">
        <v>-0.1041194</v>
      </c>
      <c r="P5027">
        <v>0.9843094</v>
      </c>
      <c r="Q5027">
        <v>0.1753586</v>
      </c>
      <c r="R5027">
        <v>-1.9612959999999999E-2</v>
      </c>
      <c r="S5027">
        <v>3.0849609999999998</v>
      </c>
      <c r="T5027">
        <v>-0.19723370000000001</v>
      </c>
      <c r="U5027">
        <v>7.76062E-2</v>
      </c>
      <c r="V5027">
        <v>-8.3303849999999999E-2</v>
      </c>
      <c r="W5027">
        <v>0.1886082</v>
      </c>
      <c r="X5027">
        <v>0.97851279999999996</v>
      </c>
      <c r="Y5027">
        <v>-0.1286582</v>
      </c>
      <c r="Z5027">
        <v>1.020738E-2</v>
      </c>
      <c r="AA5027">
        <v>0.99163650000000003</v>
      </c>
      <c r="AB5027">
        <v>26</v>
      </c>
      <c r="AC5027">
        <v>17.407599999999999</v>
      </c>
      <c r="AD5027">
        <v>-1.1219903752986999</v>
      </c>
      <c r="AE5027">
        <v>0.45584999999999798</v>
      </c>
      <c r="AF5027">
        <v>-2.25664130278959</v>
      </c>
      <c r="AG5027">
        <v>-1.1219903752986999</v>
      </c>
      <c r="AH5027">
        <v>17.194120340711098</v>
      </c>
      <c r="AI5027">
        <v>93.701845996045094</v>
      </c>
      <c r="AJ5027">
        <v>97.477045333327993</v>
      </c>
      <c r="AK5027">
        <v>17.377832622699898</v>
      </c>
      <c r="AL5027">
        <v>79.128427884952501</v>
      </c>
      <c r="AM5027">
        <v>94.866035474884001</v>
      </c>
      <c r="AN5027">
        <v>0.99999994214794896</v>
      </c>
    </row>
    <row r="5028" spans="1:40" x14ac:dyDescent="0.25">
      <c r="A5028" t="str">
        <f>"20190303162700552"</f>
        <v>20190303162700552</v>
      </c>
      <c r="B5028" t="str">
        <f>"1551601620538942"</f>
        <v>1551601620538942</v>
      </c>
      <c r="C5028" t="s">
        <v>40</v>
      </c>
      <c r="D5028">
        <v>5.5333769999999998</v>
      </c>
      <c r="E5028">
        <v>0.48244039999999999</v>
      </c>
      <c r="F5028" t="s">
        <v>71</v>
      </c>
      <c r="G5028">
        <v>-212.34049999999999</v>
      </c>
      <c r="H5028" s="1">
        <v>-3.3333479999999998E-7</v>
      </c>
      <c r="I5028">
        <v>-61.73753</v>
      </c>
      <c r="J5028">
        <v>-229.7276</v>
      </c>
      <c r="K5028">
        <v>1.121988</v>
      </c>
      <c r="L5028">
        <v>-62.202550000000002</v>
      </c>
      <c r="M5028">
        <v>0.99452059999999998</v>
      </c>
      <c r="N5028">
        <v>-1.3669280000000001E-2</v>
      </c>
      <c r="O5028">
        <v>-0.10364370000000001</v>
      </c>
      <c r="P5028">
        <v>0.98435490000000003</v>
      </c>
      <c r="Q5028">
        <v>0.17521809999999999</v>
      </c>
      <c r="R5028">
        <v>-1.85519E-2</v>
      </c>
      <c r="S5028">
        <v>3.084625</v>
      </c>
      <c r="T5028">
        <v>-0.197685</v>
      </c>
      <c r="U5028">
        <v>7.9803470000000001E-2</v>
      </c>
      <c r="V5028">
        <v>-8.3894449999999995E-2</v>
      </c>
      <c r="W5028">
        <v>0.18847149999999999</v>
      </c>
      <c r="X5028">
        <v>0.97848869999999999</v>
      </c>
      <c r="Y5028">
        <v>-0.12889030000000001</v>
      </c>
      <c r="Z5028">
        <v>1.0218110000000001E-2</v>
      </c>
      <c r="AA5028">
        <v>0.99160619999999999</v>
      </c>
      <c r="AB5028">
        <v>26</v>
      </c>
      <c r="AC5028">
        <v>17.3871</v>
      </c>
      <c r="AD5028">
        <v>-1.1219883333348</v>
      </c>
      <c r="AE5028">
        <v>0.46501999999999499</v>
      </c>
      <c r="AF5028">
        <v>-2.2553619708651498</v>
      </c>
      <c r="AG5028">
        <v>-1.1219883333348</v>
      </c>
      <c r="AH5028">
        <v>17.173780738270299</v>
      </c>
      <c r="AI5028">
        <v>93.706172692858999</v>
      </c>
      <c r="AJ5028">
        <v>97.481604578728593</v>
      </c>
      <c r="AK5028">
        <v>17.357541884896801</v>
      </c>
      <c r="AL5028">
        <v>79.136403454633907</v>
      </c>
      <c r="AM5028">
        <v>94.900486949196306</v>
      </c>
      <c r="AN5028">
        <v>0.99999996054036999</v>
      </c>
    </row>
    <row r="5029" spans="1:40" x14ac:dyDescent="0.25">
      <c r="A5029" t="str">
        <f>"20190303162700564"</f>
        <v>20190303162700564</v>
      </c>
      <c r="B5029" t="str">
        <f>"1551601620549677"</f>
        <v>1551601620549677</v>
      </c>
      <c r="C5029" t="s">
        <v>40</v>
      </c>
      <c r="D5029">
        <v>5.5916769999999998</v>
      </c>
      <c r="E5029">
        <v>0.48263070000000002</v>
      </c>
      <c r="F5029" t="s">
        <v>71</v>
      </c>
      <c r="G5029">
        <v>-212.16329999999999</v>
      </c>
      <c r="H5029" s="1">
        <v>-2.5829600000000003E-7</v>
      </c>
      <c r="I5029">
        <v>-61.741250000000001</v>
      </c>
      <c r="J5029">
        <v>-229.60239999999999</v>
      </c>
      <c r="K5029">
        <v>1.1219859999999999</v>
      </c>
      <c r="L5029">
        <v>-62.215089999999996</v>
      </c>
      <c r="M5029">
        <v>0.99457229999999996</v>
      </c>
      <c r="N5029">
        <v>-1.3668990000000001E-2</v>
      </c>
      <c r="O5029">
        <v>-0.1031474</v>
      </c>
      <c r="P5029">
        <v>0.98444569999999998</v>
      </c>
      <c r="Q5029">
        <v>0.1748207</v>
      </c>
      <c r="R5029">
        <v>-1.7454649999999999E-2</v>
      </c>
      <c r="S5029">
        <v>3.0842740000000002</v>
      </c>
      <c r="T5029">
        <v>-0.19701969999999999</v>
      </c>
      <c r="U5029">
        <v>8.099365E-2</v>
      </c>
      <c r="V5029">
        <v>-8.4505230000000001E-2</v>
      </c>
      <c r="W5029">
        <v>0.18807299999999999</v>
      </c>
      <c r="X5029">
        <v>0.97851290000000002</v>
      </c>
      <c r="Y5029">
        <v>-0.1287846</v>
      </c>
      <c r="Z5029">
        <v>1.0154349999999999E-2</v>
      </c>
      <c r="AA5029">
        <v>0.99162059999999996</v>
      </c>
      <c r="AB5029">
        <v>26</v>
      </c>
      <c r="AC5029">
        <v>17.4390999999999</v>
      </c>
      <c r="AD5029">
        <v>-1.1219862582960001</v>
      </c>
      <c r="AE5029">
        <v>0.47384000000000198</v>
      </c>
      <c r="AF5029">
        <v>-2.2609259888749502</v>
      </c>
      <c r="AG5029">
        <v>-1.1219862582960001</v>
      </c>
      <c r="AH5029">
        <v>17.2259332280472</v>
      </c>
      <c r="AI5029">
        <v>93.695011836435697</v>
      </c>
      <c r="AJ5029">
        <v>97.4774030686727</v>
      </c>
      <c r="AK5029">
        <v>17.409865452326599</v>
      </c>
      <c r="AL5029">
        <v>79.159652459406999</v>
      </c>
      <c r="AM5029">
        <v>94.935867052787998</v>
      </c>
      <c r="AN5029">
        <v>1.0000000413463801</v>
      </c>
    </row>
    <row r="5030" spans="1:40" x14ac:dyDescent="0.25">
      <c r="A5030" t="str">
        <f>"20190303162700576"</f>
        <v>20190303162700576</v>
      </c>
      <c r="B5030" t="str">
        <f>"1551601620569706"</f>
        <v>1551601620569706</v>
      </c>
      <c r="C5030" t="s">
        <v>40</v>
      </c>
      <c r="D5030">
        <v>5.472264</v>
      </c>
      <c r="E5030">
        <v>0.48309390000000002</v>
      </c>
      <c r="F5030" t="s">
        <v>71</v>
      </c>
      <c r="G5030">
        <v>-212.06700000000001</v>
      </c>
      <c r="H5030" s="1">
        <v>-2.1758790000000001E-7</v>
      </c>
      <c r="I5030">
        <v>-61.743560000000002</v>
      </c>
      <c r="J5030">
        <v>-229.45590000000001</v>
      </c>
      <c r="K5030">
        <v>1.121974</v>
      </c>
      <c r="L5030">
        <v>-62.229610000000001</v>
      </c>
      <c r="M5030">
        <v>0.99463330000000005</v>
      </c>
      <c r="N5030">
        <v>-1.362909E-2</v>
      </c>
      <c r="O5030">
        <v>-0.1025624</v>
      </c>
      <c r="P5030">
        <v>0.98451160000000004</v>
      </c>
      <c r="Q5030">
        <v>0.17457230000000001</v>
      </c>
      <c r="R5030">
        <v>-1.617383E-2</v>
      </c>
      <c r="S5030">
        <v>3.0838930000000002</v>
      </c>
      <c r="T5030">
        <v>-0.19731950000000001</v>
      </c>
      <c r="U5030">
        <v>8.2916260000000006E-2</v>
      </c>
      <c r="V5030">
        <v>-8.5209439999999997E-2</v>
      </c>
      <c r="W5030">
        <v>0.18778359999999999</v>
      </c>
      <c r="X5030">
        <v>0.97850740000000003</v>
      </c>
      <c r="Y5030">
        <v>-0.1288214</v>
      </c>
      <c r="Z5030">
        <v>1.0145599999999999E-2</v>
      </c>
      <c r="AA5030">
        <v>0.99161589999999999</v>
      </c>
      <c r="AB5030">
        <v>26</v>
      </c>
      <c r="AC5030">
        <v>17.3889</v>
      </c>
      <c r="AD5030">
        <v>-1.1219742175878999</v>
      </c>
      <c r="AE5030">
        <v>0.48605000000000498</v>
      </c>
      <c r="AF5030">
        <v>-2.2577073505250498</v>
      </c>
      <c r="AG5030">
        <v>-1.1219742175878999</v>
      </c>
      <c r="AH5030">
        <v>17.175878903609998</v>
      </c>
      <c r="AI5030">
        <v>93.705617209602394</v>
      </c>
      <c r="AJ5030">
        <v>97.488392029476202</v>
      </c>
      <c r="AK5030">
        <v>17.359921795245</v>
      </c>
      <c r="AL5030">
        <v>79.176534532503297</v>
      </c>
      <c r="AM5030">
        <v>94.976821363023106</v>
      </c>
      <c r="AN5030">
        <v>1.0000000304744101</v>
      </c>
    </row>
    <row r="5031" spans="1:40" x14ac:dyDescent="0.25">
      <c r="A5031" t="str">
        <f>"20190303162700589"</f>
        <v>20190303162700589</v>
      </c>
      <c r="B5031" t="str">
        <f>"1551601620579465"</f>
        <v>1551601620579465</v>
      </c>
      <c r="C5031" t="s">
        <v>40</v>
      </c>
      <c r="D5031">
        <v>5.5270999999999999</v>
      </c>
      <c r="E5031">
        <v>0.48325449999999998</v>
      </c>
      <c r="F5031" t="s">
        <v>71</v>
      </c>
      <c r="G5031">
        <v>-211.79509999999999</v>
      </c>
      <c r="H5031" s="1">
        <v>-1.0332890000000001E-7</v>
      </c>
      <c r="I5031">
        <v>-61.752519999999997</v>
      </c>
      <c r="J5031">
        <v>-229.31270000000001</v>
      </c>
      <c r="K5031">
        <v>1.1219600000000001</v>
      </c>
      <c r="L5031">
        <v>-62.243740000000003</v>
      </c>
      <c r="M5031">
        <v>0.99469269999999999</v>
      </c>
      <c r="N5031">
        <v>-1.356895E-2</v>
      </c>
      <c r="O5031">
        <v>-0.1019915</v>
      </c>
      <c r="P5031">
        <v>0.9845237</v>
      </c>
      <c r="Q5031">
        <v>0.17462</v>
      </c>
      <c r="R5031">
        <v>-1.4878840000000001E-2</v>
      </c>
      <c r="S5031">
        <v>3.0832980000000001</v>
      </c>
      <c r="T5031">
        <v>-0.195878</v>
      </c>
      <c r="U5031">
        <v>8.3282469999999997E-2</v>
      </c>
      <c r="V5031">
        <v>-8.5937050000000001E-2</v>
      </c>
      <c r="W5031">
        <v>0.18776999999999999</v>
      </c>
      <c r="X5031">
        <v>0.97844640000000005</v>
      </c>
      <c r="Y5031">
        <v>-0.128383199999999</v>
      </c>
      <c r="Z5031">
        <v>1.002693E-2</v>
      </c>
      <c r="AA5031">
        <v>0.9916739</v>
      </c>
      <c r="AB5031">
        <v>26</v>
      </c>
      <c r="AC5031">
        <v>17.517600000000002</v>
      </c>
      <c r="AD5031">
        <v>-1.1219601033288999</v>
      </c>
      <c r="AE5031">
        <v>0.49122000000000499</v>
      </c>
      <c r="AF5031">
        <v>-2.2661800110962198</v>
      </c>
      <c r="AG5031">
        <v>-1.1219601033288999</v>
      </c>
      <c r="AH5031">
        <v>17.305196930516701</v>
      </c>
      <c r="AI5031">
        <v>93.678189159196705</v>
      </c>
      <c r="AJ5031">
        <v>97.460641872510294</v>
      </c>
      <c r="AK5031">
        <v>17.488973872703902</v>
      </c>
      <c r="AL5031">
        <v>79.177328120082393</v>
      </c>
      <c r="AM5031">
        <v>95.019413972153899</v>
      </c>
      <c r="AN5031">
        <v>1.0000000535678299</v>
      </c>
    </row>
    <row r="5032" spans="1:40" x14ac:dyDescent="0.25">
      <c r="A5032" t="str">
        <f>"20190303162700603"</f>
        <v>20190303162700603</v>
      </c>
      <c r="B5032" t="str">
        <f>"1551601620589226"</f>
        <v>1551601620589226</v>
      </c>
      <c r="C5032" t="s">
        <v>40</v>
      </c>
      <c r="D5032">
        <v>5.4660440000000001</v>
      </c>
      <c r="E5032">
        <v>0.4834156</v>
      </c>
      <c r="F5032" t="s">
        <v>71</v>
      </c>
      <c r="G5032">
        <v>-211.57060000000001</v>
      </c>
      <c r="H5032" s="1">
        <v>-5.8398649999999997E-9</v>
      </c>
      <c r="I5032">
        <v>-61.748080000000002</v>
      </c>
      <c r="J5032">
        <v>-229.1568</v>
      </c>
      <c r="K5032">
        <v>1.1219410000000001</v>
      </c>
      <c r="L5032">
        <v>-62.259030000000003</v>
      </c>
      <c r="M5032">
        <v>0.99475740000000001</v>
      </c>
      <c r="N5032">
        <v>-1.348364E-2</v>
      </c>
      <c r="O5032">
        <v>-0.1013723</v>
      </c>
      <c r="P5032">
        <v>0.98450420000000005</v>
      </c>
      <c r="Q5032">
        <v>0.17481859999999999</v>
      </c>
      <c r="R5032">
        <v>-1.379002E-2</v>
      </c>
      <c r="S5032">
        <v>3.0830229999999998</v>
      </c>
      <c r="T5032">
        <v>-0.19496150000000001</v>
      </c>
      <c r="U5032">
        <v>8.612061E-2</v>
      </c>
      <c r="V5032">
        <v>-8.6408700000000005E-2</v>
      </c>
      <c r="W5032">
        <v>0.1878824</v>
      </c>
      <c r="X5032">
        <v>0.97838320000000001</v>
      </c>
      <c r="Y5032">
        <v>-0.1286843</v>
      </c>
      <c r="Z5032">
        <v>9.9627559999999997E-3</v>
      </c>
      <c r="AA5032">
        <v>0.99163559999999995</v>
      </c>
      <c r="AB5032">
        <v>26</v>
      </c>
      <c r="AC5032">
        <v>17.586199999999899</v>
      </c>
      <c r="AD5032">
        <v>-1.12194100583986</v>
      </c>
      <c r="AE5032">
        <v>0.51095000000000101</v>
      </c>
      <c r="AF5032">
        <v>-2.2819528784302601</v>
      </c>
      <c r="AG5032">
        <v>-1.12194100583986</v>
      </c>
      <c r="AH5032">
        <v>17.3731390879821</v>
      </c>
      <c r="AI5032">
        <v>93.663595274516297</v>
      </c>
      <c r="AJ5032">
        <v>97.482933796310803</v>
      </c>
      <c r="AK5032">
        <v>17.558246561952998</v>
      </c>
      <c r="AL5032">
        <v>79.170770495160895</v>
      </c>
      <c r="AM5032">
        <v>95.047144556611997</v>
      </c>
      <c r="AN5032">
        <v>0.99999997285384401</v>
      </c>
    </row>
    <row r="5033" spans="1:40" x14ac:dyDescent="0.25">
      <c r="A5033" t="str">
        <f>"20190303162700617"</f>
        <v>20190303162700617</v>
      </c>
      <c r="B5033" t="str">
        <f>"1551601620609721"</f>
        <v>1551601620609721</v>
      </c>
      <c r="C5033" t="s">
        <v>40</v>
      </c>
      <c r="D5033">
        <v>5.5854229999999996</v>
      </c>
      <c r="E5033">
        <v>0.4837803</v>
      </c>
      <c r="F5033" t="s">
        <v>71</v>
      </c>
      <c r="G5033">
        <v>-211.31559999999999</v>
      </c>
      <c r="H5033" s="1">
        <v>1.03467E-7</v>
      </c>
      <c r="I5033">
        <v>-61.748390000000001</v>
      </c>
      <c r="J5033">
        <v>-228.98580000000001</v>
      </c>
      <c r="K5033">
        <v>1.1219220000000001</v>
      </c>
      <c r="L5033">
        <v>-62.275700000000001</v>
      </c>
      <c r="M5033">
        <v>0.99482800000000005</v>
      </c>
      <c r="N5033">
        <v>-1.3365230000000001E-2</v>
      </c>
      <c r="O5033">
        <v>-0.1006917</v>
      </c>
      <c r="P5033">
        <v>0.98454839999999999</v>
      </c>
      <c r="Q5033">
        <v>0.1746579</v>
      </c>
      <c r="R5033">
        <v>-1.262861E-2</v>
      </c>
      <c r="S5033">
        <v>3.0828859999999998</v>
      </c>
      <c r="T5033">
        <v>-0.1938667</v>
      </c>
      <c r="U5033">
        <v>8.8226319999999997E-2</v>
      </c>
      <c r="V5033">
        <v>-8.6897189999999999E-2</v>
      </c>
      <c r="W5033">
        <v>0.18760470000000001</v>
      </c>
      <c r="X5033">
        <v>0.97839330000000002</v>
      </c>
      <c r="Y5033">
        <v>-0.12868949999999901</v>
      </c>
      <c r="Z5033">
        <v>9.8756320000000005E-3</v>
      </c>
      <c r="AA5033">
        <v>0.99163570000000001</v>
      </c>
      <c r="AB5033">
        <v>26</v>
      </c>
      <c r="AC5033">
        <v>17.670200000000001</v>
      </c>
      <c r="AD5033">
        <v>-1.12192189653299</v>
      </c>
      <c r="AE5033">
        <v>0.52730999999999995</v>
      </c>
      <c r="AF5033">
        <v>-2.2947881068195599</v>
      </c>
      <c r="AG5033">
        <v>-1.12192189653299</v>
      </c>
      <c r="AH5033">
        <v>17.4569665671109</v>
      </c>
      <c r="AI5033">
        <v>93.6459394196809</v>
      </c>
      <c r="AJ5033">
        <v>97.488820479500404</v>
      </c>
      <c r="AK5033">
        <v>17.642858127932399</v>
      </c>
      <c r="AL5033">
        <v>79.186970399083606</v>
      </c>
      <c r="AM5033">
        <v>95.075476586688296</v>
      </c>
      <c r="AN5033">
        <v>1.0000000472884301</v>
      </c>
    </row>
    <row r="5034" spans="1:40" x14ac:dyDescent="0.25">
      <c r="A5034" t="str">
        <f>"20190303162700633"</f>
        <v>20190303162700633</v>
      </c>
      <c r="B5034" t="str">
        <f>"1551601620619481"</f>
        <v>1551601620619481</v>
      </c>
      <c r="C5034" t="s">
        <v>40</v>
      </c>
      <c r="D5034">
        <v>5.4666480000000002</v>
      </c>
      <c r="E5034">
        <v>0.48397059999999997</v>
      </c>
      <c r="F5034" t="s">
        <v>71</v>
      </c>
      <c r="G5034">
        <v>-211.04679999999999</v>
      </c>
      <c r="H5034" s="1">
        <v>2.1632409999999999E-7</v>
      </c>
      <c r="I5034">
        <v>-61.757559999999998</v>
      </c>
      <c r="J5034">
        <v>-228.82</v>
      </c>
      <c r="K5034">
        <v>1.1218939999999999</v>
      </c>
      <c r="L5034">
        <v>-62.291719999999998</v>
      </c>
      <c r="M5034">
        <v>0.99489640000000001</v>
      </c>
      <c r="N5034">
        <v>-1.324467E-2</v>
      </c>
      <c r="O5034">
        <v>-0.1000287</v>
      </c>
      <c r="P5034">
        <v>0.98467079999999996</v>
      </c>
      <c r="Q5034">
        <v>0.17409740000000001</v>
      </c>
      <c r="R5034">
        <v>-1.0663300000000001E-2</v>
      </c>
      <c r="S5034">
        <v>3.0824129999999998</v>
      </c>
      <c r="T5034">
        <v>-0.19277730000000001</v>
      </c>
      <c r="U5034">
        <v>8.9019780000000007E-2</v>
      </c>
      <c r="V5034">
        <v>-8.8208990000000001E-2</v>
      </c>
      <c r="W5034">
        <v>0.18692449999999999</v>
      </c>
      <c r="X5034">
        <v>0.97840609999999995</v>
      </c>
      <c r="Y5034">
        <v>-0.1282943</v>
      </c>
      <c r="Z5034">
        <v>9.7759960000000003E-3</v>
      </c>
      <c r="AA5034">
        <v>0.99168800000000001</v>
      </c>
      <c r="AB5034">
        <v>26</v>
      </c>
      <c r="AC5034">
        <v>17.773199999999999</v>
      </c>
      <c r="AD5034">
        <v>-1.1218937836759</v>
      </c>
      <c r="AE5034">
        <v>0.53415999999999997</v>
      </c>
      <c r="AF5034">
        <v>-2.30030923839489</v>
      </c>
      <c r="AG5034">
        <v>-1.1218937836759</v>
      </c>
      <c r="AH5034">
        <v>17.560700539195398</v>
      </c>
      <c r="AI5034">
        <v>93.624584745469505</v>
      </c>
      <c r="AJ5034">
        <v>97.462791283098397</v>
      </c>
      <c r="AK5034">
        <v>17.746218517796699</v>
      </c>
      <c r="AL5034">
        <v>79.226644829011803</v>
      </c>
      <c r="AM5034">
        <v>95.151619701530805</v>
      </c>
      <c r="AN5034">
        <v>1.0000000455671301</v>
      </c>
    </row>
    <row r="5035" spans="1:40" x14ac:dyDescent="0.25">
      <c r="A5035" t="str">
        <f>"20190303162700653"</f>
        <v>20190303162700653</v>
      </c>
      <c r="B5035" t="str">
        <f>"1551601620639001"</f>
        <v>1551601620639001</v>
      </c>
      <c r="C5035" t="s">
        <v>40</v>
      </c>
      <c r="D5035">
        <v>5.5433000000000003</v>
      </c>
      <c r="E5035">
        <v>0.48402050000000002</v>
      </c>
      <c r="F5035" t="s">
        <v>71</v>
      </c>
      <c r="G5035">
        <v>-210.98840000000001</v>
      </c>
      <c r="H5035" s="1">
        <v>2.4218179999999998E-7</v>
      </c>
      <c r="I5035">
        <v>-61.754550000000002</v>
      </c>
      <c r="J5035">
        <v>-228.59010000000001</v>
      </c>
      <c r="K5035">
        <v>1.1218549999999901</v>
      </c>
      <c r="L5035">
        <v>-62.313749999999999</v>
      </c>
      <c r="M5035">
        <v>0.99499110000000002</v>
      </c>
      <c r="N5035">
        <v>-1.3075430000000001E-2</v>
      </c>
      <c r="O5035">
        <v>-9.9105529999999997E-2</v>
      </c>
      <c r="P5035">
        <v>0.98486580000000001</v>
      </c>
      <c r="Q5035">
        <v>0.17311689999999999</v>
      </c>
      <c r="R5035">
        <v>-8.3855949999999992E-3</v>
      </c>
      <c r="S5035">
        <v>3.082001</v>
      </c>
      <c r="T5035">
        <v>-0.19390760000000001</v>
      </c>
      <c r="U5035">
        <v>9.2834470000000002E-2</v>
      </c>
      <c r="V5035">
        <v>-8.9579829999999999E-2</v>
      </c>
      <c r="W5035">
        <v>0.18577769999999999</v>
      </c>
      <c r="X5035">
        <v>0.97849989999999998</v>
      </c>
      <c r="Y5035">
        <v>-0.12859909999999999</v>
      </c>
      <c r="Z5035">
        <v>9.8092349999999995E-3</v>
      </c>
      <c r="AA5035">
        <v>0.99164810000000003</v>
      </c>
      <c r="AB5035">
        <v>26</v>
      </c>
      <c r="AC5035">
        <v>17.601699999999902</v>
      </c>
      <c r="AD5035">
        <v>-1.1218547578182001</v>
      </c>
      <c r="AE5035">
        <v>0.55919999999999703</v>
      </c>
      <c r="AF5035">
        <v>-2.2917212496750898</v>
      </c>
      <c r="AG5035">
        <v>-1.1218547578182001</v>
      </c>
      <c r="AH5035">
        <v>17.389039212593602</v>
      </c>
      <c r="AI5035">
        <v>93.659765385956803</v>
      </c>
      <c r="AJ5035">
        <v>97.507807981431696</v>
      </c>
      <c r="AK5035">
        <v>17.5752447812532</v>
      </c>
      <c r="AL5035">
        <v>79.293522380235103</v>
      </c>
      <c r="AM5035">
        <v>95.230740585421998</v>
      </c>
      <c r="AN5035">
        <v>0.99999997703006405</v>
      </c>
    </row>
    <row r="5036" spans="1:40" x14ac:dyDescent="0.25">
      <c r="A5036" t="str">
        <f>"20190303162700675"</f>
        <v>20190303162700675</v>
      </c>
      <c r="B5036" t="str">
        <f>"1551601620668788"</f>
        <v>1551601620668788</v>
      </c>
      <c r="C5036" t="s">
        <v>40</v>
      </c>
      <c r="D5036">
        <v>5.3717519999999999</v>
      </c>
      <c r="E5036">
        <v>0.46148909999999999</v>
      </c>
      <c r="F5036" t="s">
        <v>71</v>
      </c>
      <c r="G5036">
        <v>-211.03790000000001</v>
      </c>
      <c r="H5036" s="1">
        <v>2.218164E-7</v>
      </c>
      <c r="I5036">
        <v>-61.751370000000001</v>
      </c>
      <c r="J5036">
        <v>-228.3348</v>
      </c>
      <c r="K5036">
        <v>1.1218170000000001</v>
      </c>
      <c r="L5036">
        <v>-62.338009999999997</v>
      </c>
      <c r="M5036">
        <v>0.99509539999999996</v>
      </c>
      <c r="N5036">
        <v>-1.289297E-2</v>
      </c>
      <c r="O5036">
        <v>-9.8077010000000006E-2</v>
      </c>
      <c r="P5036">
        <v>0.98503379999999996</v>
      </c>
      <c r="Q5036">
        <v>0.17225409999999999</v>
      </c>
      <c r="R5036">
        <v>-6.117819E-3</v>
      </c>
      <c r="S5036">
        <v>3.0815730000000001</v>
      </c>
      <c r="T5036">
        <v>-0.1969593</v>
      </c>
      <c r="U5036">
        <v>9.8724370000000006E-2</v>
      </c>
      <c r="V5036">
        <v>-9.0835299999999994E-2</v>
      </c>
      <c r="W5036">
        <v>0.18473600000000001</v>
      </c>
      <c r="X5036">
        <v>0.97858140000000005</v>
      </c>
      <c r="Y5036">
        <v>-0.12945670000000001</v>
      </c>
      <c r="Z5036">
        <v>9.9589250000000004E-3</v>
      </c>
      <c r="AA5036">
        <v>0.9915351</v>
      </c>
      <c r="AB5036">
        <v>26</v>
      </c>
      <c r="AC5036">
        <v>17.296899999999901</v>
      </c>
      <c r="AD5036">
        <v>-1.1218167781835999</v>
      </c>
      <c r="AE5036">
        <v>0.58664000000000205</v>
      </c>
      <c r="AF5036">
        <v>-2.27083931848414</v>
      </c>
      <c r="AG5036">
        <v>-1.1218167781835999</v>
      </c>
      <c r="AH5036">
        <v>17.084174351680499</v>
      </c>
      <c r="AI5036">
        <v>93.7242197465565</v>
      </c>
      <c r="AJ5036">
        <v>97.571409319457203</v>
      </c>
      <c r="AK5036">
        <v>17.2709060958829</v>
      </c>
      <c r="AL5036">
        <v>79.354258972248601</v>
      </c>
      <c r="AM5036">
        <v>95.303195548739794</v>
      </c>
      <c r="AN5036">
        <v>0.99999999892402502</v>
      </c>
    </row>
    <row r="5037" spans="1:40" x14ac:dyDescent="0.25">
      <c r="A5037" t="str">
        <f>"20190303162700686"</f>
        <v>20190303162700686</v>
      </c>
      <c r="B5037" t="str">
        <f>"1551601620679524"</f>
        <v>1551601620679524</v>
      </c>
      <c r="C5037" t="s">
        <v>40</v>
      </c>
      <c r="D5037">
        <v>5.316287</v>
      </c>
      <c r="E5037">
        <v>0.46045779999999997</v>
      </c>
      <c r="F5037" t="s">
        <v>71</v>
      </c>
      <c r="G5037">
        <v>-210.50829999999999</v>
      </c>
      <c r="H5037" s="1">
        <v>7.3254739999999997E-7</v>
      </c>
      <c r="I5037">
        <v>-60.68571</v>
      </c>
      <c r="J5037">
        <v>-228.20359999999999</v>
      </c>
      <c r="K5037">
        <v>1.1218030000000001</v>
      </c>
      <c r="L5037">
        <v>-62.350369999999998</v>
      </c>
      <c r="M5037">
        <v>0.99514840000000004</v>
      </c>
      <c r="N5037">
        <v>-1.2802559999999999E-2</v>
      </c>
      <c r="O5037">
        <v>-9.7549209999999997E-2</v>
      </c>
      <c r="P5037">
        <v>0.9851664</v>
      </c>
      <c r="Q5037">
        <v>0.171535299999999</v>
      </c>
      <c r="R5037">
        <v>-4.7797650000000001E-3</v>
      </c>
      <c r="S5037">
        <v>3.0812529999999998</v>
      </c>
      <c r="T5037">
        <v>-0.19390180000000001</v>
      </c>
      <c r="U5037">
        <v>0.28558349999999999</v>
      </c>
      <c r="V5037">
        <v>-9.1657100000000005E-2</v>
      </c>
      <c r="W5037">
        <v>0.18392849999999999</v>
      </c>
      <c r="X5037">
        <v>0.97865690000000005</v>
      </c>
      <c r="Y5037">
        <v>-0.1884219</v>
      </c>
      <c r="Z5037">
        <v>1.199416E-2</v>
      </c>
      <c r="AA5037">
        <v>0.98201490000000002</v>
      </c>
      <c r="AB5037">
        <v>26</v>
      </c>
      <c r="AC5037">
        <v>17.6953</v>
      </c>
      <c r="AD5037">
        <v>-1.1218022674526</v>
      </c>
      <c r="AE5037">
        <v>1.66465999999999</v>
      </c>
      <c r="AF5037">
        <v>-3.3695997888587601</v>
      </c>
      <c r="AG5037">
        <v>-1.1218022674526</v>
      </c>
      <c r="AH5037">
        <v>17.379258096789101</v>
      </c>
      <c r="AI5037">
        <v>93.625885861911001</v>
      </c>
      <c r="AJ5037">
        <v>100.972722529897</v>
      </c>
      <c r="AK5037">
        <v>17.738411852788499</v>
      </c>
      <c r="AL5037">
        <v>79.401332211713395</v>
      </c>
      <c r="AM5037">
        <v>95.350486660711496</v>
      </c>
      <c r="AN5037">
        <v>1.00000002250513</v>
      </c>
    </row>
    <row r="5038" spans="1:40" x14ac:dyDescent="0.25">
      <c r="A5038" t="str">
        <f>"20190303162700699"</f>
        <v>20190303162700699</v>
      </c>
      <c r="B5038" t="str">
        <f>"1551601620689285"</f>
        <v>1551601620689285</v>
      </c>
      <c r="C5038" t="s">
        <v>40</v>
      </c>
      <c r="D5038">
        <v>5.2561720000000003</v>
      </c>
      <c r="E5038">
        <v>0.46008739999999998</v>
      </c>
      <c r="F5038" t="s">
        <v>71</v>
      </c>
      <c r="G5038">
        <v>-210.63239999999999</v>
      </c>
      <c r="H5038" s="1">
        <v>6.8836240000000003E-7</v>
      </c>
      <c r="I5038">
        <v>-60.6515699999999</v>
      </c>
      <c r="J5038">
        <v>-228.06379999999999</v>
      </c>
      <c r="K5038">
        <v>1.1217870000000001</v>
      </c>
      <c r="L5038">
        <v>-62.363489999999999</v>
      </c>
      <c r="M5038">
        <v>0.99520439999999999</v>
      </c>
      <c r="N5038">
        <v>-1.270934E-2</v>
      </c>
      <c r="O5038">
        <v>-9.6988729999999995E-2</v>
      </c>
      <c r="P5038">
        <v>0.98527089999999995</v>
      </c>
      <c r="Q5038">
        <v>0.1709658</v>
      </c>
      <c r="R5038">
        <v>-3.467665E-3</v>
      </c>
      <c r="S5038">
        <v>3.0808409999999999</v>
      </c>
      <c r="T5038">
        <v>-0.1966919</v>
      </c>
      <c r="U5038">
        <v>0.29785159999999899</v>
      </c>
      <c r="V5038">
        <v>-9.2420009999999997E-2</v>
      </c>
      <c r="W5038">
        <v>0.1832667</v>
      </c>
      <c r="X5038">
        <v>0.9787093</v>
      </c>
      <c r="Y5038">
        <v>-0.19173200000000001</v>
      </c>
      <c r="Z5038">
        <v>1.226531E-2</v>
      </c>
      <c r="AA5038">
        <v>0.98137070000000004</v>
      </c>
      <c r="AB5038">
        <v>26</v>
      </c>
      <c r="AC5038">
        <v>17.431399999999901</v>
      </c>
      <c r="AD5038">
        <v>-1.1217863116375999</v>
      </c>
      <c r="AE5038">
        <v>1.7119200000000101</v>
      </c>
      <c r="AF5038">
        <v>-3.3807659762533602</v>
      </c>
      <c r="AG5038">
        <v>-1.1217863116375999</v>
      </c>
      <c r="AH5038">
        <v>17.112959701897601</v>
      </c>
      <c r="AI5038">
        <v>93.679563666010495</v>
      </c>
      <c r="AJ5038">
        <v>101.175218235241</v>
      </c>
      <c r="AK5038">
        <v>17.479741785104899</v>
      </c>
      <c r="AL5038">
        <v>79.439906209129305</v>
      </c>
      <c r="AM5038">
        <v>95.394472756790904</v>
      </c>
      <c r="AN5038">
        <v>1.00000001774188</v>
      </c>
    </row>
    <row r="5039" spans="1:40" x14ac:dyDescent="0.25">
      <c r="A5039" t="str">
        <f>"20190303162700710"</f>
        <v>20190303162700710</v>
      </c>
      <c r="B5039" t="str">
        <f>"1551601620699045"</f>
        <v>1551601620699045</v>
      </c>
      <c r="C5039" t="s">
        <v>40</v>
      </c>
      <c r="D5039">
        <v>5.4961120000000001</v>
      </c>
      <c r="E5039">
        <v>0.46013300000000001</v>
      </c>
      <c r="F5039" t="s">
        <v>71</v>
      </c>
      <c r="G5039">
        <v>-210.8724</v>
      </c>
      <c r="H5039" s="1">
        <v>5.8208740000000004E-7</v>
      </c>
      <c r="I5039">
        <v>-60.664079999999998</v>
      </c>
      <c r="J5039">
        <v>-227.93450000000001</v>
      </c>
      <c r="K5039">
        <v>1.12178</v>
      </c>
      <c r="L5039">
        <v>-62.375520000000002</v>
      </c>
      <c r="M5039">
        <v>0.99525549999999996</v>
      </c>
      <c r="N5039">
        <v>-1.262694E-2</v>
      </c>
      <c r="O5039">
        <v>-9.6472509999999997E-2</v>
      </c>
      <c r="P5039">
        <v>0.98538979999999998</v>
      </c>
      <c r="Q5039">
        <v>0.17029749999999999</v>
      </c>
      <c r="R5039">
        <v>-2.428057E-3</v>
      </c>
      <c r="S5039">
        <v>3.0808110000000002</v>
      </c>
      <c r="T5039">
        <v>-0.2010314</v>
      </c>
      <c r="U5039">
        <v>0.3045349</v>
      </c>
      <c r="V5039">
        <v>-9.2956330000000004E-2</v>
      </c>
      <c r="W5039">
        <v>0.1825175</v>
      </c>
      <c r="X5039">
        <v>0.97879850000000002</v>
      </c>
      <c r="Y5039">
        <v>-0.19330330000000001</v>
      </c>
      <c r="Z5039">
        <v>1.2568910000000001E-2</v>
      </c>
      <c r="AA5039">
        <v>0.98105850000000006</v>
      </c>
      <c r="AB5039">
        <v>26</v>
      </c>
      <c r="AC5039">
        <v>17.062100000000001</v>
      </c>
      <c r="AD5039">
        <v>-1.1217794179125999</v>
      </c>
      <c r="AE5039">
        <v>1.7114399999999801</v>
      </c>
      <c r="AF5039">
        <v>-3.3353370265197402</v>
      </c>
      <c r="AG5039">
        <v>-1.1217794179125999</v>
      </c>
      <c r="AH5039">
        <v>16.745718752824398</v>
      </c>
      <c r="AI5039">
        <v>93.758847305027103</v>
      </c>
      <c r="AJ5039">
        <v>101.264502245697</v>
      </c>
      <c r="AK5039">
        <v>17.111456942400299</v>
      </c>
      <c r="AL5039">
        <v>79.483568583808307</v>
      </c>
      <c r="AM5039">
        <v>95.425099506622203</v>
      </c>
      <c r="AN5039">
        <v>1.00000001034778</v>
      </c>
    </row>
    <row r="5040" spans="1:40" x14ac:dyDescent="0.25">
      <c r="A5040" t="str">
        <f>"20190303162700723"</f>
        <v>20190303162700723</v>
      </c>
      <c r="B5040" t="str">
        <f>"1551601620709781"</f>
        <v>1551601620709781</v>
      </c>
      <c r="C5040" t="s">
        <v>40</v>
      </c>
      <c r="D5040">
        <v>5.0923669999999897</v>
      </c>
      <c r="E5040">
        <v>0.46026070000000002</v>
      </c>
      <c r="F5040" t="s">
        <v>71</v>
      </c>
      <c r="G5040">
        <v>-210.755</v>
      </c>
      <c r="H5040" s="1">
        <v>6.3237369999999997E-7</v>
      </c>
      <c r="I5040">
        <v>-60.664389999999997</v>
      </c>
      <c r="J5040">
        <v>-227.7912</v>
      </c>
      <c r="K5040">
        <v>1.1217710000000001</v>
      </c>
      <c r="L5040">
        <v>-62.388820000000003</v>
      </c>
      <c r="M5040">
        <v>0.99531199999999997</v>
      </c>
      <c r="N5040">
        <v>-1.253783E-2</v>
      </c>
      <c r="O5040">
        <v>-9.5901410000000006E-2</v>
      </c>
      <c r="P5040">
        <v>0.98554779999999997</v>
      </c>
      <c r="Q5040">
        <v>0.16939589999999999</v>
      </c>
      <c r="R5040">
        <v>-8.4644280000000004E-4</v>
      </c>
      <c r="S5040">
        <v>3.0799560000000001</v>
      </c>
      <c r="T5040">
        <v>-0.20111329999999999</v>
      </c>
      <c r="U5040">
        <v>0.3067627</v>
      </c>
      <c r="V5040">
        <v>-9.3982399999999994E-2</v>
      </c>
      <c r="W5040">
        <v>0.1815273</v>
      </c>
      <c r="X5040">
        <v>0.97888459999999999</v>
      </c>
      <c r="Y5040">
        <v>-0.19346930000000001</v>
      </c>
      <c r="Z5040">
        <v>1.255359E-2</v>
      </c>
      <c r="AA5040">
        <v>0.98102599999999995</v>
      </c>
      <c r="AB5040">
        <v>26</v>
      </c>
      <c r="AC5040">
        <v>17.036200000000001</v>
      </c>
      <c r="AD5040">
        <v>-1.12177036762629</v>
      </c>
      <c r="AE5040">
        <v>1.7244299999999899</v>
      </c>
      <c r="AF5040">
        <v>-3.33608671035705</v>
      </c>
      <c r="AG5040">
        <v>-1.12177036762629</v>
      </c>
      <c r="AH5040">
        <v>16.720516344969401</v>
      </c>
      <c r="AI5040">
        <v>93.764218040315399</v>
      </c>
      <c r="AJ5040">
        <v>101.28351644121</v>
      </c>
      <c r="AK5040">
        <v>17.0869397534812</v>
      </c>
      <c r="AL5040">
        <v>79.541266176752401</v>
      </c>
      <c r="AM5040">
        <v>95.484140164595701</v>
      </c>
      <c r="AN5040">
        <v>0.99999995613610304</v>
      </c>
    </row>
    <row r="5041" spans="1:40" x14ac:dyDescent="0.25">
      <c r="A5041" t="str">
        <f>"20190303162700735"</f>
        <v>20190303162700735</v>
      </c>
      <c r="B5041" t="str">
        <f>"1551601620729301"</f>
        <v>1551601620729301</v>
      </c>
      <c r="C5041" t="s">
        <v>40</v>
      </c>
      <c r="D5041">
        <v>5.2674770000000004</v>
      </c>
      <c r="E5041">
        <v>0.46048090000000003</v>
      </c>
      <c r="F5041" t="s">
        <v>71</v>
      </c>
      <c r="G5041">
        <v>-210.92439999999999</v>
      </c>
      <c r="H5041" s="1">
        <v>5.5279539999999996E-7</v>
      </c>
      <c r="I5041">
        <v>-60.690350000000002</v>
      </c>
      <c r="J5041">
        <v>-227.6506</v>
      </c>
      <c r="K5041">
        <v>1.1217649999999999</v>
      </c>
      <c r="L5041">
        <v>-62.401730000000001</v>
      </c>
      <c r="M5041">
        <v>0.99536659999999999</v>
      </c>
      <c r="N5041">
        <v>-1.245983E-2</v>
      </c>
      <c r="O5041">
        <v>-9.5342650000000001E-2</v>
      </c>
      <c r="P5041">
        <v>0.98561900000000002</v>
      </c>
      <c r="Q5041">
        <v>0.16898299999999999</v>
      </c>
      <c r="R5041">
        <v>4.5053010000000002E-4</v>
      </c>
      <c r="S5041">
        <v>3.079453</v>
      </c>
      <c r="T5041">
        <v>-0.2048074</v>
      </c>
      <c r="U5041">
        <v>0.31008909999999901</v>
      </c>
      <c r="V5041">
        <v>-9.472999E-2</v>
      </c>
      <c r="W5041">
        <v>0.18103630000000001</v>
      </c>
      <c r="X5041">
        <v>0.97890350000000004</v>
      </c>
      <c r="Y5041">
        <v>-0.1939603</v>
      </c>
      <c r="Z5041">
        <v>1.2774209999999999E-2</v>
      </c>
      <c r="AA5041">
        <v>0.98092619999999997</v>
      </c>
      <c r="AB5041">
        <v>26</v>
      </c>
      <c r="AC5041">
        <v>16.726199999999999</v>
      </c>
      <c r="AD5041">
        <v>-1.1217644472046</v>
      </c>
      <c r="AE5041">
        <v>1.7113799999999999</v>
      </c>
      <c r="AF5041">
        <v>-3.2838093584800299</v>
      </c>
      <c r="AG5041">
        <v>-1.1217644472046</v>
      </c>
      <c r="AH5041">
        <v>16.413749657687902</v>
      </c>
      <c r="AI5041">
        <v>93.833942185661201</v>
      </c>
      <c r="AJ5041">
        <v>101.31348835413</v>
      </c>
      <c r="AK5041">
        <v>16.776559158632701</v>
      </c>
      <c r="AL5041">
        <v>79.569872708764805</v>
      </c>
      <c r="AM5041">
        <v>95.527388991292398</v>
      </c>
      <c r="AN5041">
        <v>0.99999998761766995</v>
      </c>
    </row>
    <row r="5042" spans="1:40" x14ac:dyDescent="0.25">
      <c r="A5042" t="str">
        <f>"20190303162700745"</f>
        <v>20190303162700745</v>
      </c>
      <c r="B5042" t="str">
        <f>"1551601620739061"</f>
        <v>1551601620739061</v>
      </c>
      <c r="C5042" t="s">
        <v>40</v>
      </c>
      <c r="D5042">
        <v>5.3730229999999999</v>
      </c>
      <c r="E5042">
        <v>0.46058159999999998</v>
      </c>
      <c r="F5042" t="s">
        <v>71</v>
      </c>
      <c r="G5042">
        <v>-210.81010000000001</v>
      </c>
      <c r="H5042" s="1">
        <v>6.005021E-7</v>
      </c>
      <c r="I5042">
        <v>-60.695340000000002</v>
      </c>
      <c r="J5042">
        <v>-227.52510000000001</v>
      </c>
      <c r="K5042">
        <v>1.1217569999999999</v>
      </c>
      <c r="L5042">
        <v>-62.413209999999999</v>
      </c>
      <c r="M5042">
        <v>0.9954151</v>
      </c>
      <c r="N5042">
        <v>-1.2393349999999999E-2</v>
      </c>
      <c r="O5042">
        <v>-9.4843789999999997E-2</v>
      </c>
      <c r="P5042">
        <v>0.9857534</v>
      </c>
      <c r="Q5042">
        <v>0.16818749999999999</v>
      </c>
      <c r="R5042">
        <v>1.834313E-3</v>
      </c>
      <c r="S5042">
        <v>3.0787810000000002</v>
      </c>
      <c r="T5042">
        <v>-0.2050804</v>
      </c>
      <c r="U5042">
        <v>0.31195070000000003</v>
      </c>
      <c r="V5042">
        <v>-9.5628019999999994E-2</v>
      </c>
      <c r="W5042">
        <v>0.18017430000000001</v>
      </c>
      <c r="X5042">
        <v>0.97897520000000005</v>
      </c>
      <c r="Y5042">
        <v>-0.19407569999999999</v>
      </c>
      <c r="Z5042">
        <v>1.277116E-2</v>
      </c>
      <c r="AA5042">
        <v>0.98090339999999998</v>
      </c>
      <c r="AB5042">
        <v>26</v>
      </c>
      <c r="AC5042">
        <v>16.715</v>
      </c>
      <c r="AD5042">
        <v>-1.1217563994978901</v>
      </c>
      <c r="AE5042">
        <v>1.71786999999999</v>
      </c>
      <c r="AF5042">
        <v>-3.2809381051244002</v>
      </c>
      <c r="AG5042">
        <v>-1.1217563994978901</v>
      </c>
      <c r="AH5042">
        <v>16.403590997781201</v>
      </c>
      <c r="AI5042">
        <v>93.836319620583893</v>
      </c>
      <c r="AJ5042">
        <v>101.310671033483</v>
      </c>
      <c r="AK5042">
        <v>16.766057672928401</v>
      </c>
      <c r="AL5042">
        <v>79.620087229984904</v>
      </c>
      <c r="AM5042">
        <v>95.579052880185102</v>
      </c>
      <c r="AN5042">
        <v>0.99999996940232405</v>
      </c>
    </row>
    <row r="5043" spans="1:40" x14ac:dyDescent="0.25">
      <c r="A5043" t="str">
        <f>"20190303162700758"</f>
        <v>20190303162700758</v>
      </c>
      <c r="B5043" t="str">
        <f>"1551601620749797"</f>
        <v>1551601620749797</v>
      </c>
      <c r="C5043" t="s">
        <v>40</v>
      </c>
      <c r="D5043">
        <v>5.223166</v>
      </c>
      <c r="E5043">
        <v>0.4607733</v>
      </c>
      <c r="F5043" t="s">
        <v>71</v>
      </c>
      <c r="G5043">
        <v>-210.73840000000001</v>
      </c>
      <c r="H5043" s="1">
        <v>6.3201609999999905E-7</v>
      </c>
      <c r="I5043">
        <v>-60.692459999999997</v>
      </c>
      <c r="J5043">
        <v>-227.3921</v>
      </c>
      <c r="K5043">
        <v>1.1217539999999999</v>
      </c>
      <c r="L5043">
        <v>-62.425289999999997</v>
      </c>
      <c r="M5043">
        <v>0.99546610000000002</v>
      </c>
      <c r="N5043">
        <v>-1.232891E-2</v>
      </c>
      <c r="O5043">
        <v>-9.4315019999999999E-2</v>
      </c>
      <c r="P5043">
        <v>0.98584309999999997</v>
      </c>
      <c r="Q5043">
        <v>0.16763529999999999</v>
      </c>
      <c r="R5043">
        <v>3.4417530000000001E-3</v>
      </c>
      <c r="S5043">
        <v>3.0778660000000002</v>
      </c>
      <c r="T5043">
        <v>-0.20567579999999999</v>
      </c>
      <c r="U5043">
        <v>0.31549070000000001</v>
      </c>
      <c r="V5043">
        <v>-9.671507E-2</v>
      </c>
      <c r="W5043">
        <v>0.17955650000000001</v>
      </c>
      <c r="X5043">
        <v>0.97898200000000002</v>
      </c>
      <c r="Y5043">
        <v>-0.1946956</v>
      </c>
      <c r="Z5043">
        <v>1.2806970000000001E-2</v>
      </c>
      <c r="AA5043">
        <v>0.98078010000000004</v>
      </c>
      <c r="AB5043">
        <v>26</v>
      </c>
      <c r="AC5043">
        <v>16.653699999999901</v>
      </c>
      <c r="AD5043">
        <v>-1.1217533679839</v>
      </c>
      <c r="AE5043">
        <v>1.7328300000000001</v>
      </c>
      <c r="AF5043">
        <v>-3.2811904713159801</v>
      </c>
      <c r="AG5043">
        <v>-1.1217533679839</v>
      </c>
      <c r="AH5043">
        <v>16.342655671227899</v>
      </c>
      <c r="AI5043">
        <v>93.850007459724395</v>
      </c>
      <c r="AJ5043">
        <v>101.352601512457</v>
      </c>
      <c r="AK5043">
        <v>16.706493824736398</v>
      </c>
      <c r="AL5043">
        <v>79.656072253480005</v>
      </c>
      <c r="AM5043">
        <v>95.6420268270832</v>
      </c>
      <c r="AN5043">
        <v>1.00000004889067</v>
      </c>
    </row>
    <row r="5044" spans="1:40" x14ac:dyDescent="0.25">
      <c r="A5044" t="str">
        <f>"20190303162700770"</f>
        <v>20190303162700770</v>
      </c>
      <c r="B5044" t="str">
        <f>"1551601620760064"</f>
        <v>1551601620760064</v>
      </c>
      <c r="C5044" t="s">
        <v>40</v>
      </c>
      <c r="D5044">
        <v>5.4325010000000002</v>
      </c>
      <c r="E5044">
        <v>0.4610398</v>
      </c>
      <c r="F5044" t="s">
        <v>71</v>
      </c>
      <c r="G5044">
        <v>-210.59739999999999</v>
      </c>
      <c r="H5044" s="1">
        <v>6.950469E-7</v>
      </c>
      <c r="I5044">
        <v>-60.682879999999997</v>
      </c>
      <c r="J5044">
        <v>-227.25030000000001</v>
      </c>
      <c r="K5044">
        <v>1.1217539999999999</v>
      </c>
      <c r="L5044">
        <v>-62.438110000000002</v>
      </c>
      <c r="M5044">
        <v>0.99552019999999997</v>
      </c>
      <c r="N5044">
        <v>-1.226528E-2</v>
      </c>
      <c r="O5044">
        <v>-9.3750379999999994E-2</v>
      </c>
      <c r="P5044">
        <v>0.98589249999999995</v>
      </c>
      <c r="Q5044">
        <v>0.16730110000000001</v>
      </c>
      <c r="R5044">
        <v>5.1252709999999998E-3</v>
      </c>
      <c r="S5044">
        <v>3.0769199999999999</v>
      </c>
      <c r="T5044">
        <v>-0.20551440000000001</v>
      </c>
      <c r="U5044">
        <v>0.31921389999999999</v>
      </c>
      <c r="V5044">
        <v>-9.7839330000000002E-2</v>
      </c>
      <c r="W5044">
        <v>0.17915729999999999</v>
      </c>
      <c r="X5044">
        <v>0.97894329999999996</v>
      </c>
      <c r="Y5044">
        <v>-0.19534399999999999</v>
      </c>
      <c r="Z5044">
        <v>1.2795030000000001E-2</v>
      </c>
      <c r="AA5044">
        <v>0.9806513</v>
      </c>
      <c r="AB5044">
        <v>26</v>
      </c>
      <c r="AC5044">
        <v>16.652899999999999</v>
      </c>
      <c r="AD5044">
        <v>-1.1217533049531001</v>
      </c>
      <c r="AE5044">
        <v>1.7552299999999901</v>
      </c>
      <c r="AF5044">
        <v>-3.2940489870198801</v>
      </c>
      <c r="AG5044">
        <v>-1.1217533049531001</v>
      </c>
      <c r="AH5044">
        <v>16.3416440738749</v>
      </c>
      <c r="AI5044">
        <v>93.849651668960206</v>
      </c>
      <c r="AJ5044">
        <v>101.39661581817001</v>
      </c>
      <c r="AK5044">
        <v>16.708034601450599</v>
      </c>
      <c r="AL5044">
        <v>79.679320484838897</v>
      </c>
      <c r="AM5044">
        <v>95.707405941107297</v>
      </c>
      <c r="AN5044">
        <v>0.99999992862651099</v>
      </c>
    </row>
    <row r="5045" spans="1:40" x14ac:dyDescent="0.25">
      <c r="A5045" t="str">
        <f>"20190303162700783"</f>
        <v>20190303162700783</v>
      </c>
      <c r="B5045" t="str">
        <f>"1551601620779585"</f>
        <v>1551601620779585</v>
      </c>
      <c r="C5045" t="s">
        <v>40</v>
      </c>
      <c r="D5045">
        <v>5.4329929999999997</v>
      </c>
      <c r="E5045">
        <v>0.46141379999999999</v>
      </c>
      <c r="F5045" t="s">
        <v>71</v>
      </c>
      <c r="G5045">
        <v>-210.34020000000001</v>
      </c>
      <c r="H5045" s="1">
        <v>8.1020109999999996E-7</v>
      </c>
      <c r="I5045">
        <v>-60.664839999999998</v>
      </c>
      <c r="J5045">
        <v>-227.10210000000001</v>
      </c>
      <c r="K5045">
        <v>1.1217490000000001</v>
      </c>
      <c r="L5045">
        <v>-62.451450000000001</v>
      </c>
      <c r="M5045">
        <v>0.99557649999999998</v>
      </c>
      <c r="N5045">
        <v>-1.22021E-2</v>
      </c>
      <c r="O5045">
        <v>-9.3158569999999996E-2</v>
      </c>
      <c r="P5045">
        <v>0.98596470000000003</v>
      </c>
      <c r="Q5045">
        <v>0.1668046</v>
      </c>
      <c r="R5045">
        <v>7.0622870000000004E-3</v>
      </c>
      <c r="S5045">
        <v>3.0758969999999999</v>
      </c>
      <c r="T5045">
        <v>-0.204043</v>
      </c>
      <c r="U5045">
        <v>0.3225403</v>
      </c>
      <c r="V5045">
        <v>-9.9191100000000004E-2</v>
      </c>
      <c r="W5045">
        <v>0.1785958</v>
      </c>
      <c r="X5045">
        <v>0.97890999999999995</v>
      </c>
      <c r="Y5045">
        <v>-0.195852</v>
      </c>
      <c r="Z5045">
        <v>1.2695420000000001E-2</v>
      </c>
      <c r="AA5045">
        <v>0.98055130000000001</v>
      </c>
      <c r="AB5045">
        <v>26</v>
      </c>
      <c r="AC5045">
        <v>16.761899999999901</v>
      </c>
      <c r="AD5045">
        <v>-1.1217481897988999</v>
      </c>
      <c r="AE5045">
        <v>1.78660999999999</v>
      </c>
      <c r="AF5045">
        <v>-3.3257428716238899</v>
      </c>
      <c r="AG5045">
        <v>-1.1217481897988999</v>
      </c>
      <c r="AH5045">
        <v>16.449701571022199</v>
      </c>
      <c r="AI5045">
        <v>93.823975693513702</v>
      </c>
      <c r="AJ5045">
        <v>101.429789348386</v>
      </c>
      <c r="AK5045">
        <v>16.819975220706102</v>
      </c>
      <c r="AL5045">
        <v>79.712020830038099</v>
      </c>
      <c r="AM5045">
        <v>95.785924859906203</v>
      </c>
      <c r="AN5045">
        <v>1.0000000610984201</v>
      </c>
    </row>
    <row r="5046" spans="1:40" x14ac:dyDescent="0.25">
      <c r="A5046" t="str">
        <f>"20190303162700798"</f>
        <v>20190303162700798</v>
      </c>
      <c r="B5046" t="str">
        <f>"1551601620789345"</f>
        <v>1551601620789345</v>
      </c>
      <c r="C5046" t="s">
        <v>40</v>
      </c>
      <c r="D5046">
        <v>5.372967</v>
      </c>
      <c r="E5046">
        <v>0.46157320000000002</v>
      </c>
      <c r="F5046" t="s">
        <v>44</v>
      </c>
      <c r="G5046">
        <v>-209.2046</v>
      </c>
      <c r="H5046">
        <v>-0.05</v>
      </c>
      <c r="I5046">
        <v>-60.554810000000003</v>
      </c>
      <c r="J5046">
        <v>-226.9365</v>
      </c>
      <c r="K5046">
        <v>1.1217469999999901</v>
      </c>
      <c r="L5046">
        <v>-62.466189999999997</v>
      </c>
      <c r="M5046">
        <v>0.9956393</v>
      </c>
      <c r="N5046">
        <v>-1.213843E-2</v>
      </c>
      <c r="O5046">
        <v>-9.2494750000000001E-2</v>
      </c>
      <c r="P5046">
        <v>0.98604769999999997</v>
      </c>
      <c r="Q5046">
        <v>0.16614100000000001</v>
      </c>
      <c r="R5046">
        <v>1.0362919999999999E-2</v>
      </c>
      <c r="S5046">
        <v>3.074417</v>
      </c>
      <c r="T5046">
        <v>-0.2012823</v>
      </c>
      <c r="U5046">
        <v>0.32580569999999998</v>
      </c>
      <c r="V5046">
        <v>-0.10183059999999999</v>
      </c>
      <c r="W5046">
        <v>0.17786289999999999</v>
      </c>
      <c r="X5046">
        <v>0.97877230000000004</v>
      </c>
      <c r="Y5046">
        <v>-0.19629340000000001</v>
      </c>
      <c r="Z5046">
        <v>1.251186E-2</v>
      </c>
      <c r="AA5046">
        <v>0.98046540000000004</v>
      </c>
      <c r="AB5046">
        <v>26</v>
      </c>
      <c r="AC5046">
        <v>17.7318999999999</v>
      </c>
      <c r="AD5046">
        <v>-1.1717470000000001</v>
      </c>
      <c r="AE5046">
        <v>1.9113800000000001</v>
      </c>
      <c r="AF5046">
        <v>-3.5281836457665001</v>
      </c>
      <c r="AG5046">
        <v>-1.1717470000000001</v>
      </c>
      <c r="AH5046">
        <v>17.403944016110099</v>
      </c>
      <c r="AI5046">
        <v>93.775149538737494</v>
      </c>
      <c r="AJ5046">
        <v>101.459881734961</v>
      </c>
      <c r="AK5046">
        <v>17.796582205191999</v>
      </c>
      <c r="AL5046">
        <v>79.754695018204302</v>
      </c>
      <c r="AM5046">
        <v>95.939633009735203</v>
      </c>
      <c r="AN5046">
        <v>0.99999994877002796</v>
      </c>
    </row>
    <row r="5047" spans="1:40" x14ac:dyDescent="0.25">
      <c r="A5047" t="str">
        <f>"20190303162700809"</f>
        <v>20190303162700809</v>
      </c>
      <c r="B5047" t="str">
        <f>"1551601620799105"</f>
        <v>1551601620799105</v>
      </c>
      <c r="C5047" t="s">
        <v>40</v>
      </c>
      <c r="D5047">
        <v>5.3740740000000002</v>
      </c>
      <c r="E5047">
        <v>0.46167469999999999</v>
      </c>
      <c r="F5047" t="s">
        <v>59</v>
      </c>
      <c r="G5047">
        <v>-209.84219999999999</v>
      </c>
      <c r="H5047" s="1">
        <v>-1.0234840000000001E-7</v>
      </c>
      <c r="I5047">
        <v>-60.60248</v>
      </c>
      <c r="J5047">
        <v>-226.8057</v>
      </c>
      <c r="K5047">
        <v>1.1217490000000001</v>
      </c>
      <c r="L5047">
        <v>-62.47775</v>
      </c>
      <c r="M5047">
        <v>0.99568860000000003</v>
      </c>
      <c r="N5047">
        <v>-1.209155E-2</v>
      </c>
      <c r="O5047">
        <v>-9.1968449999999993E-2</v>
      </c>
      <c r="P5047">
        <v>0.98610039999999999</v>
      </c>
      <c r="Q5047">
        <v>0.16568099999999999</v>
      </c>
      <c r="R5047">
        <v>1.2489699999999999E-2</v>
      </c>
      <c r="S5047">
        <v>3.0728909999999998</v>
      </c>
      <c r="T5047">
        <v>-0.20164609999999999</v>
      </c>
      <c r="U5047">
        <v>0.33502199999999999</v>
      </c>
      <c r="V5047">
        <v>-0.1034344</v>
      </c>
      <c r="W5047">
        <v>0.17735279999999901</v>
      </c>
      <c r="X5047">
        <v>0.97869680000000003</v>
      </c>
      <c r="Y5047">
        <v>-0.1987246</v>
      </c>
      <c r="Z5047">
        <v>1.260495E-2</v>
      </c>
      <c r="AA5047">
        <v>0.97997429999999996</v>
      </c>
      <c r="AB5047">
        <v>26</v>
      </c>
      <c r="AC5047">
        <v>16.9635</v>
      </c>
      <c r="AD5047">
        <v>-1.1217491023484001</v>
      </c>
      <c r="AE5047">
        <v>1.87526999999999</v>
      </c>
      <c r="AF5047">
        <v>-3.41279866625869</v>
      </c>
      <c r="AG5047">
        <v>-1.1217491023484001</v>
      </c>
      <c r="AH5047">
        <v>16.647202391382301</v>
      </c>
      <c r="AI5047">
        <v>93.776659175743205</v>
      </c>
      <c r="AJ5047">
        <v>101.585529766722</v>
      </c>
      <c r="AK5047">
        <v>17.030409955273601</v>
      </c>
      <c r="AL5047">
        <v>79.784394901005697</v>
      </c>
      <c r="AM5047">
        <v>96.032957782509996</v>
      </c>
      <c r="AN5047">
        <v>1.0000000585507101</v>
      </c>
    </row>
    <row r="5048" spans="1:40" x14ac:dyDescent="0.25">
      <c r="A5048" t="str">
        <f>"20190303162700824"</f>
        <v>20190303162700824</v>
      </c>
      <c r="B5048" t="str">
        <f>"1551601620820576"</f>
        <v>1551601620820576</v>
      </c>
      <c r="C5048" t="s">
        <v>40</v>
      </c>
      <c r="D5048">
        <v>5.21035</v>
      </c>
      <c r="E5048">
        <v>0.46209260000000002</v>
      </c>
      <c r="F5048" t="s">
        <v>59</v>
      </c>
      <c r="G5048">
        <v>-209.70740000000001</v>
      </c>
      <c r="H5048" s="1">
        <v>-1.8486770000000001E-7</v>
      </c>
      <c r="I5048">
        <v>-60.579830000000001</v>
      </c>
      <c r="J5048">
        <v>-226.63380000000001</v>
      </c>
      <c r="K5048">
        <v>1.12175</v>
      </c>
      <c r="L5048">
        <v>-62.49286</v>
      </c>
      <c r="M5048">
        <v>0.995753</v>
      </c>
      <c r="N5048">
        <v>-1.203424E-2</v>
      </c>
      <c r="O5048">
        <v>-9.1274380000000002E-2</v>
      </c>
      <c r="P5048">
        <v>0.98612169999999999</v>
      </c>
      <c r="Q5048">
        <v>0.16536779999999901</v>
      </c>
      <c r="R5048">
        <v>1.475563E-2</v>
      </c>
      <c r="S5048">
        <v>3.0718230000000002</v>
      </c>
      <c r="T5048">
        <v>-0.2015294</v>
      </c>
      <c r="U5048">
        <v>0.34097290000000002</v>
      </c>
      <c r="V5048">
        <v>-0.10501000000000001</v>
      </c>
      <c r="W5048">
        <v>0.17697879999999999</v>
      </c>
      <c r="X5048">
        <v>0.97859669999999999</v>
      </c>
      <c r="Y5048">
        <v>-0.1999522</v>
      </c>
      <c r="Z5048">
        <v>1.261119E-2</v>
      </c>
      <c r="AA5048">
        <v>0.9797245</v>
      </c>
      <c r="AB5048">
        <v>26</v>
      </c>
      <c r="AC5048">
        <v>16.926400000000001</v>
      </c>
      <c r="AD5048">
        <v>-1.1217501848676901</v>
      </c>
      <c r="AE5048">
        <v>1.91302999999999</v>
      </c>
      <c r="AF5048">
        <v>-3.4352049274062</v>
      </c>
      <c r="AG5048">
        <v>-1.1217501848676901</v>
      </c>
      <c r="AH5048">
        <v>16.609084783154</v>
      </c>
      <c r="AI5048">
        <v>93.783948669058802</v>
      </c>
      <c r="AJ5048">
        <v>101.68554023690101</v>
      </c>
      <c r="AK5048">
        <v>16.9976661252221</v>
      </c>
      <c r="AL5048">
        <v>79.806167845257903</v>
      </c>
      <c r="AM5048">
        <v>96.124785380173904</v>
      </c>
      <c r="AN5048">
        <v>1.0000000485001601</v>
      </c>
    </row>
    <row r="5049" spans="1:40" x14ac:dyDescent="0.25">
      <c r="A5049" t="str">
        <f>"20190303162700839"</f>
        <v>20190303162700839</v>
      </c>
      <c r="B5049" t="str">
        <f>"1551601620829360"</f>
        <v>1551601620829360</v>
      </c>
      <c r="C5049" t="s">
        <v>40</v>
      </c>
      <c r="D5049">
        <v>5.4302609999999998</v>
      </c>
      <c r="E5049">
        <v>0.46235229999999999</v>
      </c>
      <c r="F5049" t="s">
        <v>59</v>
      </c>
      <c r="G5049">
        <v>-209.25110000000001</v>
      </c>
      <c r="H5049" s="1">
        <v>-4.6923770000000001E-7</v>
      </c>
      <c r="I5049">
        <v>-60.539090000000002</v>
      </c>
      <c r="J5049">
        <v>-226.46250000000001</v>
      </c>
      <c r="K5049">
        <v>1.1217539999999999</v>
      </c>
      <c r="L5049">
        <v>-62.507809999999999</v>
      </c>
      <c r="M5049">
        <v>0.99581710000000001</v>
      </c>
      <c r="N5049">
        <v>-1.198627E-2</v>
      </c>
      <c r="O5049">
        <v>-9.0579149999999997E-2</v>
      </c>
      <c r="P5049">
        <v>0.98616219999999999</v>
      </c>
      <c r="Q5049">
        <v>0.1648734</v>
      </c>
      <c r="R5049">
        <v>1.734026E-2</v>
      </c>
      <c r="S5049">
        <v>3.0702970000000001</v>
      </c>
      <c r="T5049">
        <v>-0.19813410000000001</v>
      </c>
      <c r="U5049">
        <v>0.34509279999999998</v>
      </c>
      <c r="V5049">
        <v>-0.10690330000000001</v>
      </c>
      <c r="W5049">
        <v>0.17643200000000001</v>
      </c>
      <c r="X5049">
        <v>0.97849039999999998</v>
      </c>
      <c r="Y5049">
        <v>-0.2006396</v>
      </c>
      <c r="Z5049">
        <v>1.239586E-2</v>
      </c>
      <c r="AA5049">
        <v>0.97958670000000003</v>
      </c>
      <c r="AB5049">
        <v>26</v>
      </c>
      <c r="AC5049">
        <v>17.211399999999902</v>
      </c>
      <c r="AD5049">
        <v>-1.1217544692376999</v>
      </c>
      <c r="AE5049">
        <v>1.96871999999999</v>
      </c>
      <c r="AF5049">
        <v>-3.5050355858671098</v>
      </c>
      <c r="AG5049">
        <v>-1.1217544692376999</v>
      </c>
      <c r="AH5049">
        <v>16.891475603077701</v>
      </c>
      <c r="AI5049">
        <v>93.720383728214003</v>
      </c>
      <c r="AJ5049">
        <v>101.722697871714</v>
      </c>
      <c r="AK5049">
        <v>17.287728468390998</v>
      </c>
      <c r="AL5049">
        <v>79.837997714641105</v>
      </c>
      <c r="AM5049">
        <v>96.235023488386801</v>
      </c>
      <c r="AN5049">
        <v>1.0000000145335199</v>
      </c>
    </row>
    <row r="5050" spans="1:40" x14ac:dyDescent="0.25">
      <c r="A5050" t="str">
        <f>"20190303162700855"</f>
        <v>20190303162700855</v>
      </c>
      <c r="B5050" t="str">
        <f>"1551601620848881"</f>
        <v>1551601620848881</v>
      </c>
      <c r="C5050" t="s">
        <v>40</v>
      </c>
      <c r="D5050">
        <v>5.3751110000000004</v>
      </c>
      <c r="E5050">
        <v>0.46271030000000002</v>
      </c>
      <c r="F5050" t="s">
        <v>59</v>
      </c>
      <c r="G5050">
        <v>-209.0549</v>
      </c>
      <c r="H5050" s="1">
        <v>-5.9066119999999998E-7</v>
      </c>
      <c r="I5050">
        <v>-60.515259999999998</v>
      </c>
      <c r="J5050">
        <v>-226.29130000000001</v>
      </c>
      <c r="K5050">
        <v>1.1217600000000001</v>
      </c>
      <c r="L5050">
        <v>-62.522579999999998</v>
      </c>
      <c r="M5050">
        <v>0.99588100000000002</v>
      </c>
      <c r="N5050">
        <v>-1.1945849999999999E-2</v>
      </c>
      <c r="O5050">
        <v>-8.9880379999999996E-2</v>
      </c>
      <c r="P5050">
        <v>0.98625580000000002</v>
      </c>
      <c r="Q5050">
        <v>0.16384019999999999</v>
      </c>
      <c r="R5050">
        <v>2.1357790000000001E-2</v>
      </c>
      <c r="S5050">
        <v>3.0689850000000001</v>
      </c>
      <c r="T5050">
        <v>-0.19776640000000001</v>
      </c>
      <c r="U5050">
        <v>0.35128779999999998</v>
      </c>
      <c r="V5050">
        <v>-0.1102249</v>
      </c>
      <c r="W5050">
        <v>0.17535000000000001</v>
      </c>
      <c r="X5050">
        <v>0.97831630000000003</v>
      </c>
      <c r="Y5050">
        <v>-0.20195050000000001</v>
      </c>
      <c r="Z5050">
        <v>1.239036E-2</v>
      </c>
      <c r="AA5050">
        <v>0.9793174</v>
      </c>
      <c r="AB5050">
        <v>26</v>
      </c>
      <c r="AC5050">
        <v>17.2364</v>
      </c>
      <c r="AD5050">
        <v>-1.1217605906612</v>
      </c>
      <c r="AE5050">
        <v>2.00732</v>
      </c>
      <c r="AF5050">
        <v>-3.5337519462788398</v>
      </c>
      <c r="AG5050">
        <v>-1.1217605906612</v>
      </c>
      <c r="AH5050">
        <v>16.915507972374499</v>
      </c>
      <c r="AI5050">
        <v>93.714096138778999</v>
      </c>
      <c r="AJ5050">
        <v>101.799734569592</v>
      </c>
      <c r="AK5050">
        <v>17.317048235887501</v>
      </c>
      <c r="AL5050">
        <v>79.900973080768907</v>
      </c>
      <c r="AM5050">
        <v>96.428289576493896</v>
      </c>
      <c r="AN5050">
        <v>0.99999996696284899</v>
      </c>
    </row>
    <row r="5051" spans="1:40" x14ac:dyDescent="0.25">
      <c r="A5051" t="str">
        <f>"20190303162700868"</f>
        <v>20190303162700868</v>
      </c>
      <c r="B5051" t="str">
        <f>"1551601620859148"</f>
        <v>1551601620859148</v>
      </c>
      <c r="C5051" t="s">
        <v>40</v>
      </c>
      <c r="D5051">
        <v>5.3686680000000004</v>
      </c>
      <c r="E5051">
        <v>0.46288360000000001</v>
      </c>
      <c r="F5051" t="s">
        <v>59</v>
      </c>
      <c r="G5051">
        <v>-208.89400000000001</v>
      </c>
      <c r="H5051" s="1">
        <v>-6.877561E-7</v>
      </c>
      <c r="I5051">
        <v>-60.4784199999999</v>
      </c>
      <c r="J5051">
        <v>-226.13659999999999</v>
      </c>
      <c r="K5051">
        <v>1.121766</v>
      </c>
      <c r="L5051">
        <v>-62.535829999999997</v>
      </c>
      <c r="M5051">
        <v>0.99593849999999995</v>
      </c>
      <c r="N5051">
        <v>-1.1913190000000001E-2</v>
      </c>
      <c r="O5051">
        <v>-8.9245519999999995E-2</v>
      </c>
      <c r="P5051">
        <v>0.98623000000000005</v>
      </c>
      <c r="Q5051">
        <v>0.1636396</v>
      </c>
      <c r="R5051">
        <v>2.3931069999999999E-2</v>
      </c>
      <c r="S5051">
        <v>3.0668489999999999</v>
      </c>
      <c r="T5051">
        <v>-0.19774749999999999</v>
      </c>
      <c r="U5051">
        <v>0.36035159999999999</v>
      </c>
      <c r="V5051">
        <v>-0.11216230000000001</v>
      </c>
      <c r="W5051">
        <v>0.17511099999999999</v>
      </c>
      <c r="X5051">
        <v>0.97813890000000003</v>
      </c>
      <c r="Y5051">
        <v>-0.2042533</v>
      </c>
      <c r="Z5051">
        <v>1.2450299999999999E-2</v>
      </c>
      <c r="AA5051">
        <v>0.97883889999999996</v>
      </c>
      <c r="AB5051">
        <v>26</v>
      </c>
      <c r="AC5051">
        <v>17.2425999999999</v>
      </c>
      <c r="AD5051">
        <v>-1.1217666877560999</v>
      </c>
      <c r="AE5051">
        <v>2.0574100000000102</v>
      </c>
      <c r="AF5051">
        <v>-3.5732214871982699</v>
      </c>
      <c r="AG5051">
        <v>-1.1217666877560999</v>
      </c>
      <c r="AH5051">
        <v>16.919551545421601</v>
      </c>
      <c r="AI5051">
        <v>93.711530999609494</v>
      </c>
      <c r="AJ5051">
        <v>101.925005310373</v>
      </c>
      <c r="AK5051">
        <v>17.329093940437701</v>
      </c>
      <c r="AL5051">
        <v>79.914882068724097</v>
      </c>
      <c r="AM5051">
        <v>96.541483563141895</v>
      </c>
      <c r="AN5051">
        <v>0.99999997577774902</v>
      </c>
    </row>
    <row r="5052" spans="1:40" x14ac:dyDescent="0.25">
      <c r="A5052" t="str">
        <f>"20190303162700887"</f>
        <v>20190303162700887</v>
      </c>
      <c r="B5052" t="str">
        <f>"1551601620879644"</f>
        <v>1551601620879644</v>
      </c>
      <c r="C5052" t="s">
        <v>40</v>
      </c>
      <c r="D5052">
        <v>5.4307749999999997</v>
      </c>
      <c r="E5052">
        <v>0.46864339999999999</v>
      </c>
      <c r="F5052" t="s">
        <v>59</v>
      </c>
      <c r="G5052">
        <v>-208.68899999999999</v>
      </c>
      <c r="H5052" s="1">
        <v>-8.1391929999999997E-7</v>
      </c>
      <c r="I5052">
        <v>-60.448680000000003</v>
      </c>
      <c r="J5052">
        <v>-225.92140000000001</v>
      </c>
      <c r="K5052">
        <v>1.1217760000000001</v>
      </c>
      <c r="L5052">
        <v>-62.554139999999997</v>
      </c>
      <c r="M5052">
        <v>0.99601839999999997</v>
      </c>
      <c r="N5052">
        <v>-1.187335E-2</v>
      </c>
      <c r="O5052">
        <v>-8.8354660000000002E-2</v>
      </c>
      <c r="P5052">
        <v>0.98620750000000001</v>
      </c>
      <c r="Q5052">
        <v>0.1630915</v>
      </c>
      <c r="R5052">
        <v>2.8210010000000001E-2</v>
      </c>
      <c r="S5052">
        <v>3.0656889999999999</v>
      </c>
      <c r="T5052">
        <v>-0.1971039</v>
      </c>
      <c r="U5052">
        <v>0.36672969999999999</v>
      </c>
      <c r="V5052">
        <v>-0.1155472</v>
      </c>
      <c r="W5052">
        <v>0.174512</v>
      </c>
      <c r="X5052">
        <v>0.9778519</v>
      </c>
      <c r="Y5052">
        <v>-0.2054309</v>
      </c>
      <c r="Z5052">
        <v>1.241162E-2</v>
      </c>
      <c r="AA5052">
        <v>0.97859289999999999</v>
      </c>
      <c r="AB5052">
        <v>26</v>
      </c>
      <c r="AC5052">
        <v>17.232399999999899</v>
      </c>
      <c r="AD5052">
        <v>-1.1217768139193001</v>
      </c>
      <c r="AE5052">
        <v>2.1054599999999999</v>
      </c>
      <c r="AF5052">
        <v>-3.6048433458535198</v>
      </c>
      <c r="AG5052">
        <v>-1.1217768139193001</v>
      </c>
      <c r="AH5052">
        <v>16.908358424615699</v>
      </c>
      <c r="AI5052">
        <v>93.712503285514501</v>
      </c>
      <c r="AJ5052">
        <v>102.035207536106</v>
      </c>
      <c r="AK5052">
        <v>17.3247182771802</v>
      </c>
      <c r="AL5052">
        <v>79.949738871721905</v>
      </c>
      <c r="AM5052">
        <v>96.739067055169699</v>
      </c>
      <c r="AN5052">
        <v>0.999999965952724</v>
      </c>
    </row>
    <row r="5053" spans="1:40" x14ac:dyDescent="0.25">
      <c r="A5053" t="str">
        <f>"20190303162700899"</f>
        <v>20190303162700899</v>
      </c>
      <c r="B5053" t="str">
        <f>"1551601620889405"</f>
        <v>1551601620889405</v>
      </c>
      <c r="C5053" t="s">
        <v>40</v>
      </c>
      <c r="D5053">
        <v>5.4353009999999999</v>
      </c>
      <c r="E5053">
        <v>0.46804659999999898</v>
      </c>
      <c r="F5053" t="s">
        <v>59</v>
      </c>
      <c r="G5053">
        <v>-206.51589999999999</v>
      </c>
      <c r="H5053" s="1">
        <v>-2.1935019999999999E-6</v>
      </c>
      <c r="I5053">
        <v>-60.436500000000002</v>
      </c>
      <c r="J5053">
        <v>-225.77770000000001</v>
      </c>
      <c r="K5053">
        <v>1.1217820000000001</v>
      </c>
      <c r="L5053">
        <v>-62.566220000000001</v>
      </c>
      <c r="M5053">
        <v>0.9960717</v>
      </c>
      <c r="N5053">
        <v>-1.184931E-2</v>
      </c>
      <c r="O5053">
        <v>-8.7754280000000004E-2</v>
      </c>
      <c r="P5053">
        <v>0.98622390000000004</v>
      </c>
      <c r="Q5053">
        <v>0.16258889999999901</v>
      </c>
      <c r="R5053">
        <v>3.0455920000000001E-2</v>
      </c>
      <c r="S5053">
        <v>3.061661</v>
      </c>
      <c r="T5053">
        <v>-0.17698630000000001</v>
      </c>
      <c r="U5053">
        <v>0.33410640000000003</v>
      </c>
      <c r="V5053">
        <v>-0.1171976</v>
      </c>
      <c r="W5053">
        <v>0.17398039999999901</v>
      </c>
      <c r="X5053">
        <v>0.97775020000000001</v>
      </c>
      <c r="Y5053">
        <v>-0.19482559999999999</v>
      </c>
      <c r="Z5053">
        <v>1.0787669999999999E-2</v>
      </c>
      <c r="AA5053">
        <v>0.98077859999999994</v>
      </c>
      <c r="AB5053">
        <v>26</v>
      </c>
      <c r="AC5053">
        <v>19.261800000000001</v>
      </c>
      <c r="AD5053">
        <v>-1.1217841935019901</v>
      </c>
      <c r="AE5053">
        <v>2.1297199999999901</v>
      </c>
      <c r="AF5053">
        <v>-3.7991964051572298</v>
      </c>
      <c r="AG5053">
        <v>-1.1217841935019901</v>
      </c>
      <c r="AH5053">
        <v>18.937120881400102</v>
      </c>
      <c r="AI5053">
        <v>93.324005342730402</v>
      </c>
      <c r="AJ5053">
        <v>101.344176283433</v>
      </c>
      <c r="AK5053">
        <v>19.347011148456701</v>
      </c>
      <c r="AL5053">
        <v>79.980670390260997</v>
      </c>
      <c r="AM5053">
        <v>96.835123453128006</v>
      </c>
      <c r="AN5053">
        <v>0.99999995531497898</v>
      </c>
    </row>
    <row r="5054" spans="1:40" x14ac:dyDescent="0.25">
      <c r="A5054" t="str">
        <f>"20190303162700911"</f>
        <v>20190303162700911</v>
      </c>
      <c r="B5054" t="str">
        <f>"1551601620899165"</f>
        <v>1551601620899165</v>
      </c>
      <c r="C5054" t="s">
        <v>40</v>
      </c>
      <c r="D5054">
        <v>5.434717</v>
      </c>
      <c r="E5054">
        <v>0.46773490000000001</v>
      </c>
      <c r="F5054" t="s">
        <v>59</v>
      </c>
      <c r="G5054">
        <v>-206.37450000000001</v>
      </c>
      <c r="H5054" s="1">
        <v>-2.2790900000000001E-6</v>
      </c>
      <c r="I5054">
        <v>-60.372100000000003</v>
      </c>
      <c r="J5054">
        <v>-225.6319</v>
      </c>
      <c r="K5054">
        <v>1.121783</v>
      </c>
      <c r="L5054">
        <v>-62.5783699999999</v>
      </c>
      <c r="M5054">
        <v>0.99612610000000001</v>
      </c>
      <c r="N5054">
        <v>-1.182744E-2</v>
      </c>
      <c r="O5054">
        <v>-8.7138999999999994E-2</v>
      </c>
      <c r="P5054">
        <v>0.98627209999999998</v>
      </c>
      <c r="Q5054">
        <v>0.16192879999999901</v>
      </c>
      <c r="R5054">
        <v>3.2357049999999998E-2</v>
      </c>
      <c r="S5054">
        <v>3.0603790000000002</v>
      </c>
      <c r="T5054">
        <v>-0.17693420000000001</v>
      </c>
      <c r="U5054">
        <v>0.34606930000000002</v>
      </c>
      <c r="V5054">
        <v>-0.118491899999999</v>
      </c>
      <c r="W5054">
        <v>0.17329339999999999</v>
      </c>
      <c r="X5054">
        <v>0.97771629999999998</v>
      </c>
      <c r="Y5054">
        <v>-0.19804440000000001</v>
      </c>
      <c r="Z5054">
        <v>1.087082E-2</v>
      </c>
      <c r="AA5054">
        <v>0.98013280000000003</v>
      </c>
      <c r="AB5054">
        <v>26</v>
      </c>
      <c r="AC5054">
        <v>19.257399999999901</v>
      </c>
      <c r="AD5054">
        <v>-1.12178527909</v>
      </c>
      <c r="AE5054">
        <v>2.20626999999998</v>
      </c>
      <c r="AF5054">
        <v>-3.8631252759777102</v>
      </c>
      <c r="AG5054">
        <v>-1.12178527909</v>
      </c>
      <c r="AH5054">
        <v>18.928474027646299</v>
      </c>
      <c r="AI5054">
        <v>93.323286773292594</v>
      </c>
      <c r="AJ5054">
        <v>101.53511870859499</v>
      </c>
      <c r="AK5054">
        <v>19.351208440962001</v>
      </c>
      <c r="AL5054">
        <v>80.020640673284603</v>
      </c>
      <c r="AM5054">
        <v>96.910120181817504</v>
      </c>
      <c r="AN5054">
        <v>1.00000004806742</v>
      </c>
    </row>
    <row r="5055" spans="1:40" x14ac:dyDescent="0.25">
      <c r="A5055" t="str">
        <f>"20190303162700924"</f>
        <v>20190303162700924</v>
      </c>
      <c r="B5055" t="str">
        <f>"1551601620908924"</f>
        <v>1551601620908924</v>
      </c>
      <c r="C5055" t="s">
        <v>40</v>
      </c>
      <c r="D5055">
        <v>5.4914909999999999</v>
      </c>
      <c r="E5055">
        <v>0.4680125</v>
      </c>
      <c r="F5055" t="s">
        <v>59</v>
      </c>
      <c r="G5055">
        <v>-206.50579999999999</v>
      </c>
      <c r="H5055" s="1">
        <v>-2.1987799999999999E-6</v>
      </c>
      <c r="I5055">
        <v>-60.36045</v>
      </c>
      <c r="J5055">
        <v>-225.4949</v>
      </c>
      <c r="K5055">
        <v>1.1217859999999999</v>
      </c>
      <c r="L5055">
        <v>-62.589750000000002</v>
      </c>
      <c r="M5055">
        <v>0.99617699999999998</v>
      </c>
      <c r="N5055">
        <v>-1.180845E-2</v>
      </c>
      <c r="O5055">
        <v>-8.6556519999999998E-2</v>
      </c>
      <c r="P5055">
        <v>0.98630680000000004</v>
      </c>
      <c r="Q5055">
        <v>0.161274</v>
      </c>
      <c r="R5055">
        <v>3.4490189999999997E-2</v>
      </c>
      <c r="S5055">
        <v>3.0595859999999999</v>
      </c>
      <c r="T5055">
        <v>-0.17945050000000001</v>
      </c>
      <c r="U5055">
        <v>0.35479739999999999</v>
      </c>
      <c r="V5055">
        <v>-0.120049</v>
      </c>
      <c r="W5055">
        <v>0.17261479999999901</v>
      </c>
      <c r="X5055">
        <v>0.97764640000000003</v>
      </c>
      <c r="Y5055">
        <v>-0.20024140000000001</v>
      </c>
      <c r="Z5055">
        <v>1.1074469999999999E-2</v>
      </c>
      <c r="AA5055">
        <v>0.979684</v>
      </c>
      <c r="AB5055">
        <v>26</v>
      </c>
      <c r="AC5055">
        <v>18.989100000000001</v>
      </c>
      <c r="AD5055">
        <v>-1.12178819877999</v>
      </c>
      <c r="AE5055">
        <v>2.2292999999999998</v>
      </c>
      <c r="AF5055">
        <v>-3.8514187547332899</v>
      </c>
      <c r="AG5055">
        <v>-1.12178819877999</v>
      </c>
      <c r="AH5055">
        <v>18.660610654482699</v>
      </c>
      <c r="AI5055">
        <v>93.369365783129098</v>
      </c>
      <c r="AJ5055">
        <v>101.661697402268</v>
      </c>
      <c r="AK5055">
        <v>19.086912405767201</v>
      </c>
      <c r="AL5055">
        <v>80.060116588080703</v>
      </c>
      <c r="AM5055">
        <v>97.000526318725704</v>
      </c>
      <c r="AN5055">
        <v>1.00000005750649</v>
      </c>
    </row>
    <row r="5056" spans="1:40" x14ac:dyDescent="0.25">
      <c r="A5056" t="str">
        <f>"20190303162700936"</f>
        <v>20190303162700936</v>
      </c>
      <c r="B5056" t="str">
        <f>"1551601620929420"</f>
        <v>1551601620929420</v>
      </c>
      <c r="C5056" t="s">
        <v>40</v>
      </c>
      <c r="D5056">
        <v>5.4260859999999997</v>
      </c>
      <c r="E5056">
        <v>0.46864840000000002</v>
      </c>
      <c r="F5056" t="s">
        <v>59</v>
      </c>
      <c r="G5056">
        <v>-206.39850000000001</v>
      </c>
      <c r="H5056" s="1">
        <v>-2.2705959999999998E-6</v>
      </c>
      <c r="I5056">
        <v>-60.34686</v>
      </c>
      <c r="J5056">
        <v>-225.34780000000001</v>
      </c>
      <c r="K5056">
        <v>1.121796</v>
      </c>
      <c r="L5056">
        <v>-62.60181</v>
      </c>
      <c r="M5056">
        <v>0.99623249999999997</v>
      </c>
      <c r="N5056">
        <v>-1.1793410000000001E-2</v>
      </c>
      <c r="O5056">
        <v>-8.5918579999999994E-2</v>
      </c>
      <c r="P5056">
        <v>0.9863208</v>
      </c>
      <c r="Q5056">
        <v>0.16067500000000001</v>
      </c>
      <c r="R5056">
        <v>3.6810120000000002E-2</v>
      </c>
      <c r="S5056">
        <v>3.058487</v>
      </c>
      <c r="T5056">
        <v>-0.1796654</v>
      </c>
      <c r="U5056">
        <v>0.3592224</v>
      </c>
      <c r="V5056">
        <v>-0.1217372</v>
      </c>
      <c r="W5056">
        <v>0.17199339999999999</v>
      </c>
      <c r="X5056">
        <v>0.9775471</v>
      </c>
      <c r="Y5056">
        <v>-0.20105029999999999</v>
      </c>
      <c r="Z5056">
        <v>1.10892E-2</v>
      </c>
      <c r="AA5056">
        <v>0.97951820000000001</v>
      </c>
      <c r="AB5056">
        <v>26</v>
      </c>
      <c r="AC5056">
        <v>18.949299999999901</v>
      </c>
      <c r="AD5056">
        <v>-1.1217982705959999</v>
      </c>
      <c r="AE5056">
        <v>2.25495</v>
      </c>
      <c r="AF5056">
        <v>-3.8614762387158801</v>
      </c>
      <c r="AG5056">
        <v>-1.1217982705959999</v>
      </c>
      <c r="AH5056">
        <v>18.621114224743099</v>
      </c>
      <c r="AI5056">
        <v>93.375872648072999</v>
      </c>
      <c r="AJ5056">
        <v>101.715426355977</v>
      </c>
      <c r="AK5056">
        <v>19.050336613115501</v>
      </c>
      <c r="AL5056">
        <v>80.096260229223404</v>
      </c>
      <c r="AM5056">
        <v>97.098688228628504</v>
      </c>
      <c r="AN5056">
        <v>1.0000000041129</v>
      </c>
    </row>
    <row r="5057" spans="1:40" x14ac:dyDescent="0.25">
      <c r="A5057" t="str">
        <f>"20190303162700946"</f>
        <v>20190303162700946</v>
      </c>
      <c r="B5057" t="str">
        <f>"1551601620939181"</f>
        <v>1551601620939181</v>
      </c>
      <c r="C5057" t="s">
        <v>40</v>
      </c>
      <c r="D5057">
        <v>5.4275080000000004</v>
      </c>
      <c r="E5057">
        <v>0.46887469999999998</v>
      </c>
      <c r="F5057" t="s">
        <v>59</v>
      </c>
      <c r="G5057">
        <v>-206.3468</v>
      </c>
      <c r="H5057" s="1">
        <v>-2.2992820000000001E-6</v>
      </c>
      <c r="I5057">
        <v>-60.362609999999997</v>
      </c>
      <c r="J5057">
        <v>-225.22569999999999</v>
      </c>
      <c r="K5057">
        <v>1.1218030000000001</v>
      </c>
      <c r="L5057">
        <v>-62.611719999999998</v>
      </c>
      <c r="M5057">
        <v>0.99627860000000001</v>
      </c>
      <c r="N5057">
        <v>-1.1783109999999999E-2</v>
      </c>
      <c r="O5057">
        <v>-8.5382E-2</v>
      </c>
      <c r="P5057">
        <v>0.98626349999999996</v>
      </c>
      <c r="Q5057">
        <v>0.16035439999999901</v>
      </c>
      <c r="R5057">
        <v>3.9635219999999999E-2</v>
      </c>
      <c r="S5057">
        <v>3.0575709999999998</v>
      </c>
      <c r="T5057">
        <v>-0.18051490000000001</v>
      </c>
      <c r="U5057">
        <v>0.360321</v>
      </c>
      <c r="V5057">
        <v>-0.1240228</v>
      </c>
      <c r="W5057">
        <v>0.17165369999999999</v>
      </c>
      <c r="X5057">
        <v>0.97731950000000001</v>
      </c>
      <c r="Y5057">
        <v>-0.20089979999999999</v>
      </c>
      <c r="Z5057">
        <v>1.1113090000000001E-2</v>
      </c>
      <c r="AA5057">
        <v>0.9795488</v>
      </c>
      <c r="AB5057">
        <v>26</v>
      </c>
      <c r="AC5057">
        <v>18.878899999999899</v>
      </c>
      <c r="AD5057">
        <v>-1.121805299282</v>
      </c>
      <c r="AE5057">
        <v>2.2491099999999999</v>
      </c>
      <c r="AF5057">
        <v>-3.8395586701267299</v>
      </c>
      <c r="AG5057">
        <v>-1.121805299282</v>
      </c>
      <c r="AH5057">
        <v>18.553310726227899</v>
      </c>
      <c r="AI5057">
        <v>93.388486703191305</v>
      </c>
      <c r="AJ5057">
        <v>101.692160737617</v>
      </c>
      <c r="AK5057">
        <v>18.979620565617299</v>
      </c>
      <c r="AL5057">
        <v>80.116017662001298</v>
      </c>
      <c r="AM5057">
        <v>97.232233471799105</v>
      </c>
      <c r="AN5057">
        <v>1.00000002636188</v>
      </c>
    </row>
    <row r="5058" spans="1:40" x14ac:dyDescent="0.25">
      <c r="A5058" t="str">
        <f>"20190303162700958"</f>
        <v>20190303162700958</v>
      </c>
      <c r="B5058" t="str">
        <f>"1551601620948941"</f>
        <v>1551601620948941</v>
      </c>
      <c r="C5058" t="s">
        <v>40</v>
      </c>
      <c r="D5058">
        <v>5.4869120000000002</v>
      </c>
      <c r="E5058">
        <v>0.46906779999999998</v>
      </c>
      <c r="F5058" t="s">
        <v>59</v>
      </c>
      <c r="G5058">
        <v>-206.1482</v>
      </c>
      <c r="H5058" s="1">
        <v>-2.4351059999999999E-6</v>
      </c>
      <c r="I5058">
        <v>-60.326560000000001</v>
      </c>
      <c r="J5058">
        <v>-225.0993</v>
      </c>
      <c r="K5058">
        <v>1.121815</v>
      </c>
      <c r="L5058">
        <v>-62.621980000000001</v>
      </c>
      <c r="M5058">
        <v>0.99632690000000002</v>
      </c>
      <c r="N5058">
        <v>-1.17747999999999E-2</v>
      </c>
      <c r="O5058">
        <v>-8.4819539999999999E-2</v>
      </c>
      <c r="P5058">
        <v>0.98616550000000003</v>
      </c>
      <c r="Q5058">
        <v>0.16020960000000001</v>
      </c>
      <c r="R5058">
        <v>4.2554920000000003E-2</v>
      </c>
      <c r="S5058">
        <v>3.0562900000000002</v>
      </c>
      <c r="T5058">
        <v>-0.17971689999999901</v>
      </c>
      <c r="U5058">
        <v>0.36608889999999999</v>
      </c>
      <c r="V5058">
        <v>-0.12637480000000001</v>
      </c>
      <c r="W5058">
        <v>0.17148929999999901</v>
      </c>
      <c r="X5058">
        <v>0.977047</v>
      </c>
      <c r="Y5058">
        <v>-0.20221919999999999</v>
      </c>
      <c r="Z5058">
        <v>1.1088509999999999E-2</v>
      </c>
      <c r="AA5058">
        <v>0.97927750000000002</v>
      </c>
      <c r="AB5058">
        <v>26</v>
      </c>
      <c r="AC5058">
        <v>18.9511</v>
      </c>
      <c r="AD5058">
        <v>-1.121817435106</v>
      </c>
      <c r="AE5058">
        <v>2.29542</v>
      </c>
      <c r="AF5058">
        <v>-3.88127799694918</v>
      </c>
      <c r="AG5058">
        <v>-1.121817435106</v>
      </c>
      <c r="AH5058">
        <v>18.623771233402199</v>
      </c>
      <c r="AI5058">
        <v>93.374756053602894</v>
      </c>
      <c r="AJ5058">
        <v>101.77219759206599</v>
      </c>
      <c r="AK5058">
        <v>19.056957999675799</v>
      </c>
      <c r="AL5058">
        <v>80.125578653010194</v>
      </c>
      <c r="AM5058">
        <v>97.369926472612406</v>
      </c>
      <c r="AN5058">
        <v>1.0000000051492599</v>
      </c>
    </row>
    <row r="5059" spans="1:40" x14ac:dyDescent="0.25">
      <c r="A5059" t="str">
        <f>"20190303162700969"</f>
        <v>20190303162700969</v>
      </c>
      <c r="B5059" t="str">
        <f>"1551601620959211"</f>
        <v>1551601620959211</v>
      </c>
      <c r="C5059" t="s">
        <v>40</v>
      </c>
      <c r="D5059">
        <v>5.3739189999999999</v>
      </c>
      <c r="E5059">
        <v>0.46920519999999999</v>
      </c>
      <c r="F5059" t="s">
        <v>59</v>
      </c>
      <c r="G5059">
        <v>-206.09460000000001</v>
      </c>
      <c r="H5059" s="1">
        <v>-2.4756780000000001E-6</v>
      </c>
      <c r="I5059">
        <v>-60.302079999999997</v>
      </c>
      <c r="J5059">
        <v>-224.97540000000001</v>
      </c>
      <c r="K5059">
        <v>1.121829</v>
      </c>
      <c r="L5059">
        <v>-62.631900000000002</v>
      </c>
      <c r="M5059">
        <v>0.99637469999999995</v>
      </c>
      <c r="N5059">
        <v>-1.176808E-2</v>
      </c>
      <c r="O5059">
        <v>-8.4256360000000002E-2</v>
      </c>
      <c r="P5059">
        <v>0.98603680000000005</v>
      </c>
      <c r="Q5059">
        <v>0.16020690000000001</v>
      </c>
      <c r="R5059">
        <v>4.5448450000000001E-2</v>
      </c>
      <c r="S5059">
        <v>3.0552830000000002</v>
      </c>
      <c r="T5059">
        <v>-0.18034790000000001</v>
      </c>
      <c r="U5059">
        <v>0.37295529999999999</v>
      </c>
      <c r="V5059">
        <v>-0.12869929999999999</v>
      </c>
      <c r="W5059">
        <v>0.17146819999999999</v>
      </c>
      <c r="X5059">
        <v>0.97674720000000004</v>
      </c>
      <c r="Y5059">
        <v>-0.2038662</v>
      </c>
      <c r="Z5059">
        <v>1.1160750000000001E-2</v>
      </c>
      <c r="AA5059">
        <v>0.97893509999999995</v>
      </c>
      <c r="AB5059">
        <v>26</v>
      </c>
      <c r="AC5059">
        <v>18.880799999999901</v>
      </c>
      <c r="AD5059">
        <v>-1.1218314756779999</v>
      </c>
      <c r="AE5059">
        <v>2.32981999999999</v>
      </c>
      <c r="AF5059">
        <v>-3.8989138040954199</v>
      </c>
      <c r="AG5059">
        <v>-1.1218314756779999</v>
      </c>
      <c r="AH5059">
        <v>18.552821822586701</v>
      </c>
      <c r="AI5059">
        <v>93.386490047016594</v>
      </c>
      <c r="AJ5059">
        <v>101.868123507978</v>
      </c>
      <c r="AK5059">
        <v>18.991240936079901</v>
      </c>
      <c r="AL5059">
        <v>80.126805450334601</v>
      </c>
      <c r="AM5059">
        <v>97.5062325152266</v>
      </c>
      <c r="AN5059">
        <v>0.99999997306978405</v>
      </c>
    </row>
    <row r="5060" spans="1:40" x14ac:dyDescent="0.25">
      <c r="A5060" t="str">
        <f>"20190303162700982"</f>
        <v>20190303162700982</v>
      </c>
      <c r="B5060" t="str">
        <f>"1551601620968969"</f>
        <v>1551601620968969</v>
      </c>
      <c r="C5060" t="s">
        <v>40</v>
      </c>
      <c r="D5060">
        <v>5.3183800000000003</v>
      </c>
      <c r="E5060">
        <v>0.46920519999999999</v>
      </c>
      <c r="F5060" t="s">
        <v>59</v>
      </c>
      <c r="G5060">
        <v>-205.8013</v>
      </c>
      <c r="H5060" s="1">
        <v>-2.6783019999999999E-6</v>
      </c>
      <c r="I5060">
        <v>-60.241109999999999</v>
      </c>
      <c r="J5060">
        <v>-224.82929999999999</v>
      </c>
      <c r="K5060">
        <v>1.1218490000000001</v>
      </c>
      <c r="L5060">
        <v>-62.643520000000002</v>
      </c>
      <c r="M5060">
        <v>0.99643119999999996</v>
      </c>
      <c r="N5060">
        <v>-1.176103E-2</v>
      </c>
      <c r="O5060">
        <v>-8.3585960000000001E-2</v>
      </c>
      <c r="P5060">
        <v>0.98582029999999998</v>
      </c>
      <c r="Q5060">
        <v>0.16064819999999999</v>
      </c>
      <c r="R5060">
        <v>4.8485279999999999E-2</v>
      </c>
      <c r="S5060">
        <v>3.0539860000000001</v>
      </c>
      <c r="T5060">
        <v>-0.17868200000000001</v>
      </c>
      <c r="U5060">
        <v>0.38079829999999998</v>
      </c>
      <c r="V5060">
        <v>-0.13105610000000001</v>
      </c>
      <c r="W5060">
        <v>0.1718886</v>
      </c>
      <c r="X5060">
        <v>0.97635989999999995</v>
      </c>
      <c r="Y5060">
        <v>-0.20573939999999999</v>
      </c>
      <c r="Z5060">
        <v>1.109748E-2</v>
      </c>
      <c r="AA5060">
        <v>0.97854390000000002</v>
      </c>
      <c r="AB5060">
        <v>26</v>
      </c>
      <c r="AC5060">
        <v>19.027999999999899</v>
      </c>
      <c r="AD5060">
        <v>-1.1218516783019901</v>
      </c>
      <c r="AE5060">
        <v>2.4024099999999899</v>
      </c>
      <c r="AF5060">
        <v>-3.9709986100449299</v>
      </c>
      <c r="AG5060">
        <v>-1.1218516783019901</v>
      </c>
      <c r="AH5060">
        <v>18.696611596158299</v>
      </c>
      <c r="AI5060">
        <v>93.359047799648593</v>
      </c>
      <c r="AJ5060">
        <v>101.990943046651</v>
      </c>
      <c r="AK5060">
        <v>19.146557558127501</v>
      </c>
      <c r="AL5060">
        <v>80.102355795033105</v>
      </c>
      <c r="AM5060">
        <v>97.6450755199415</v>
      </c>
      <c r="AN5060">
        <v>1.0000000232425801</v>
      </c>
    </row>
    <row r="5061" spans="1:40" x14ac:dyDescent="0.25">
      <c r="A5061" t="str">
        <f>"20190303162700995"</f>
        <v>20190303162700995</v>
      </c>
      <c r="B5061" t="str">
        <f>"1551601620989465"</f>
        <v>1551601620989465</v>
      </c>
      <c r="C5061" t="s">
        <v>40</v>
      </c>
      <c r="D5061">
        <v>5.3041210000000003</v>
      </c>
      <c r="E5061">
        <v>0.4667347</v>
      </c>
      <c r="F5061" t="s">
        <v>59</v>
      </c>
      <c r="G5061">
        <v>-205.49</v>
      </c>
      <c r="H5061" s="1">
        <v>-2.8958680000000001E-6</v>
      </c>
      <c r="I5061">
        <v>-60.167180000000002</v>
      </c>
      <c r="J5061">
        <v>-224.6781</v>
      </c>
      <c r="K5061">
        <v>1.1218709999999901</v>
      </c>
      <c r="L5061">
        <v>-62.655430000000003</v>
      </c>
      <c r="M5061">
        <v>0.99649140000000003</v>
      </c>
      <c r="N5061">
        <v>-1.175499E-2</v>
      </c>
      <c r="O5061">
        <v>-8.2866770000000006E-2</v>
      </c>
      <c r="P5061">
        <v>0.98557930000000005</v>
      </c>
      <c r="Q5061">
        <v>0.16129540000000001</v>
      </c>
      <c r="R5061">
        <v>5.1162150000000003E-2</v>
      </c>
      <c r="S5061">
        <v>3.0527799999999998</v>
      </c>
      <c r="T5061">
        <v>-0.177088299999999</v>
      </c>
      <c r="U5061">
        <v>0.39089970000000002</v>
      </c>
      <c r="V5061">
        <v>-0.1330076</v>
      </c>
      <c r="W5061">
        <v>0.17251569999999999</v>
      </c>
      <c r="X5061">
        <v>0.97598529999999994</v>
      </c>
      <c r="Y5061">
        <v>-0.20827129999999999</v>
      </c>
      <c r="Z5061">
        <v>1.1058210000000001E-2</v>
      </c>
      <c r="AA5061">
        <v>0.97800860000000001</v>
      </c>
      <c r="AB5061">
        <v>26</v>
      </c>
      <c r="AC5061">
        <v>19.188099999999899</v>
      </c>
      <c r="AD5061">
        <v>-1.1218738958679999</v>
      </c>
      <c r="AE5061">
        <v>2.4882499999999999</v>
      </c>
      <c r="AF5061">
        <v>-4.05621989115531</v>
      </c>
      <c r="AG5061">
        <v>-1.1218738958679999</v>
      </c>
      <c r="AH5061">
        <v>18.8525087166758</v>
      </c>
      <c r="AI5061">
        <v>93.329521766534896</v>
      </c>
      <c r="AJ5061">
        <v>102.14239270284</v>
      </c>
      <c r="AK5061">
        <v>19.316537105702199</v>
      </c>
      <c r="AL5061">
        <v>80.0658804717919</v>
      </c>
      <c r="AM5061">
        <v>97.760480070403602</v>
      </c>
      <c r="AN5061">
        <v>0.99999999711016996</v>
      </c>
    </row>
    <row r="5062" spans="1:40" x14ac:dyDescent="0.25">
      <c r="A5062" t="str">
        <f>"20190303162701007"</f>
        <v>20190303162701007</v>
      </c>
      <c r="B5062" t="str">
        <f>"1551601620999225"</f>
        <v>1551601620999225</v>
      </c>
      <c r="C5062" t="s">
        <v>40</v>
      </c>
      <c r="D5062">
        <v>5.3397860000000001</v>
      </c>
      <c r="E5062">
        <v>0.424987</v>
      </c>
      <c r="F5062" t="s">
        <v>59</v>
      </c>
      <c r="G5062">
        <v>-205.43709999999999</v>
      </c>
      <c r="H5062" s="1">
        <v>-2.9709330000000001E-6</v>
      </c>
      <c r="I5062">
        <v>-60.011279999999999</v>
      </c>
      <c r="J5062">
        <v>-224.54409999999999</v>
      </c>
      <c r="K5062">
        <v>1.1218900000000001</v>
      </c>
      <c r="L5062">
        <v>-62.66583</v>
      </c>
      <c r="M5062">
        <v>0.99654509999999996</v>
      </c>
      <c r="N5062">
        <v>-1.175008E-2</v>
      </c>
      <c r="O5062">
        <v>-8.2218890000000003E-2</v>
      </c>
      <c r="P5062">
        <v>0.98538590000000004</v>
      </c>
      <c r="Q5062">
        <v>0.16168569999999999</v>
      </c>
      <c r="R5062">
        <v>5.3596159999999997E-2</v>
      </c>
      <c r="S5062">
        <v>3.0512389999999998</v>
      </c>
      <c r="T5062">
        <v>-0.1779077</v>
      </c>
      <c r="U5062">
        <v>0.4193115</v>
      </c>
      <c r="V5062">
        <v>-0.13479059999999901</v>
      </c>
      <c r="W5062">
        <v>0.17288770000000001</v>
      </c>
      <c r="X5062">
        <v>0.97567479999999995</v>
      </c>
      <c r="Y5062">
        <v>-0.21661830000000001</v>
      </c>
      <c r="Z5062">
        <v>1.137003E-2</v>
      </c>
      <c r="AA5062">
        <v>0.97619009999999995</v>
      </c>
      <c r="AB5062">
        <v>26</v>
      </c>
      <c r="AC5062">
        <v>19.106999999999999</v>
      </c>
      <c r="AD5062">
        <v>-1.1218929709329899</v>
      </c>
      <c r="AE5062">
        <v>2.65455</v>
      </c>
      <c r="AF5062">
        <v>-4.2024119957219304</v>
      </c>
      <c r="AG5062">
        <v>-1.1218929709329899</v>
      </c>
      <c r="AH5062">
        <v>18.760576870410301</v>
      </c>
      <c r="AI5062">
        <v>93.339676356424903</v>
      </c>
      <c r="AJ5062">
        <v>102.625961279351</v>
      </c>
      <c r="AK5062">
        <v>19.2581970841143</v>
      </c>
      <c r="AL5062">
        <v>80.044241213608998</v>
      </c>
      <c r="AM5062">
        <v>97.865689416640095</v>
      </c>
      <c r="AN5062">
        <v>0.99999998900734399</v>
      </c>
    </row>
    <row r="5063" spans="1:40" x14ac:dyDescent="0.25">
      <c r="A5063" t="str">
        <f>"20190303162701020"</f>
        <v>20190303162701020</v>
      </c>
      <c r="B5063" t="str">
        <f>"1551601621008985"</f>
        <v>1551601621008985</v>
      </c>
      <c r="C5063" t="s">
        <v>40</v>
      </c>
      <c r="D5063">
        <v>5.3479929999999998</v>
      </c>
      <c r="E5063">
        <v>0.42136030000000002</v>
      </c>
      <c r="F5063" t="s">
        <v>59</v>
      </c>
      <c r="G5063">
        <v>-209.93469999999999</v>
      </c>
      <c r="H5063" s="1">
        <v>-3.7598660000000002E-7</v>
      </c>
      <c r="I5063">
        <v>-59.019680000000001</v>
      </c>
      <c r="J5063">
        <v>-224.39099999999999</v>
      </c>
      <c r="K5063">
        <v>1.121909</v>
      </c>
      <c r="L5063">
        <v>-62.6776699999999</v>
      </c>
      <c r="M5063">
        <v>0.99660749999999998</v>
      </c>
      <c r="N5063">
        <v>-1.1745210000000001E-2</v>
      </c>
      <c r="O5063">
        <v>-8.145985E-2</v>
      </c>
      <c r="P5063">
        <v>0.98513729999999999</v>
      </c>
      <c r="Q5063">
        <v>0.16159749999999901</v>
      </c>
      <c r="R5063">
        <v>5.823163E-2</v>
      </c>
      <c r="S5063">
        <v>3.041534</v>
      </c>
      <c r="T5063">
        <v>-0.23356650000000001</v>
      </c>
      <c r="U5063">
        <v>0.75909419999999905</v>
      </c>
      <c r="V5063">
        <v>-0.13865569999999999</v>
      </c>
      <c r="W5063">
        <v>0.1727726</v>
      </c>
      <c r="X5063">
        <v>0.97515339999999995</v>
      </c>
      <c r="Y5063">
        <v>-0.31919069999999999</v>
      </c>
      <c r="Z5063">
        <v>1.9182569999999999E-2</v>
      </c>
      <c r="AA5063">
        <v>0.94749640000000002</v>
      </c>
      <c r="AB5063">
        <v>26</v>
      </c>
      <c r="AC5063">
        <v>14.456300000000001</v>
      </c>
      <c r="AD5063">
        <v>-1.1219093759865999</v>
      </c>
      <c r="AE5063">
        <v>3.6579899999999799</v>
      </c>
      <c r="AF5063">
        <v>-4.79637116798874</v>
      </c>
      <c r="AG5063">
        <v>-1.1219093759865999</v>
      </c>
      <c r="AH5063">
        <v>14.0308295061668</v>
      </c>
      <c r="AI5063">
        <v>94.3268453975505</v>
      </c>
      <c r="AJ5063">
        <v>108.872744955456</v>
      </c>
      <c r="AK5063">
        <v>14.870374361802799</v>
      </c>
      <c r="AL5063">
        <v>80.050936462785003</v>
      </c>
      <c r="AM5063">
        <v>98.092560443534794</v>
      </c>
      <c r="AN5063">
        <v>0.99999996399240398</v>
      </c>
    </row>
    <row r="5064" spans="1:40" x14ac:dyDescent="0.25">
      <c r="A5064" t="str">
        <f>"20190303162701036"</f>
        <v>20190303162701036</v>
      </c>
      <c r="B5064" t="str">
        <f>"1551601621029481"</f>
        <v>1551601621029481</v>
      </c>
      <c r="C5064" t="s">
        <v>40</v>
      </c>
      <c r="D5064">
        <v>5.2823129999999896</v>
      </c>
      <c r="E5064">
        <v>0.42029499999999997</v>
      </c>
      <c r="F5064" t="s">
        <v>71</v>
      </c>
      <c r="G5064">
        <v>-210.46729999999999</v>
      </c>
      <c r="H5064" s="1">
        <v>5.0070070000000003E-7</v>
      </c>
      <c r="I5064">
        <v>-59.002450000000003</v>
      </c>
      <c r="J5064">
        <v>-224.21700000000001</v>
      </c>
      <c r="K5064">
        <v>1.121936</v>
      </c>
      <c r="L5064">
        <v>-62.690890000000003</v>
      </c>
      <c r="M5064">
        <v>0.99668000000000001</v>
      </c>
      <c r="N5064">
        <v>-1.174103E-2</v>
      </c>
      <c r="O5064">
        <v>-8.0566899999999997E-2</v>
      </c>
      <c r="P5064">
        <v>0.98506700000000003</v>
      </c>
      <c r="Q5064">
        <v>0.16095090000000001</v>
      </c>
      <c r="R5064">
        <v>6.113917E-2</v>
      </c>
      <c r="S5064">
        <v>3.0380099999999999</v>
      </c>
      <c r="T5064">
        <v>-0.24478839999999999</v>
      </c>
      <c r="U5064">
        <v>0.80187989999999998</v>
      </c>
      <c r="V5064">
        <v>-0.14068269999999999</v>
      </c>
      <c r="W5064">
        <v>0.17210610000000001</v>
      </c>
      <c r="X5064">
        <v>0.97498099999999999</v>
      </c>
      <c r="Y5064">
        <v>-0.33094190000000001</v>
      </c>
      <c r="Z5064">
        <v>2.0524219999999999E-2</v>
      </c>
      <c r="AA5064">
        <v>0.94342789999999999</v>
      </c>
      <c r="AB5064">
        <v>26</v>
      </c>
      <c r="AC5064">
        <v>13.749700000000001</v>
      </c>
      <c r="AD5064">
        <v>-1.1219354992993</v>
      </c>
      <c r="AE5064">
        <v>3.6884399999999999</v>
      </c>
      <c r="AF5064">
        <v>-4.7547626751125804</v>
      </c>
      <c r="AG5064">
        <v>-1.1219354992993</v>
      </c>
      <c r="AH5064">
        <v>13.3250461505486</v>
      </c>
      <c r="AI5064">
        <v>94.534077878723807</v>
      </c>
      <c r="AJ5064">
        <v>109.63787319358801</v>
      </c>
      <c r="AK5064">
        <v>14.192369861143</v>
      </c>
      <c r="AL5064">
        <v>80.089705618482697</v>
      </c>
      <c r="AM5064">
        <v>98.210695842397996</v>
      </c>
      <c r="AN5064">
        <v>1.00000004104874</v>
      </c>
    </row>
    <row r="5065" spans="1:40" x14ac:dyDescent="0.25">
      <c r="A5065" t="str">
        <f>"20190303162701051"</f>
        <v>20190303162701051</v>
      </c>
      <c r="B5065" t="str">
        <f>"1551601621039241"</f>
        <v>1551601621039241</v>
      </c>
      <c r="C5065" t="s">
        <v>40</v>
      </c>
      <c r="D5065">
        <v>5.2832100000000004</v>
      </c>
      <c r="E5065">
        <v>0.42064889999999999</v>
      </c>
      <c r="F5065" t="s">
        <v>71</v>
      </c>
      <c r="G5065">
        <v>-210.84180000000001</v>
      </c>
      <c r="H5065" s="1">
        <v>3.944614E-7</v>
      </c>
      <c r="I5065">
        <v>-59.0822</v>
      </c>
      <c r="J5065">
        <v>-224.0412</v>
      </c>
      <c r="K5065">
        <v>1.1219619999999999</v>
      </c>
      <c r="L5065">
        <v>-62.704070000000002</v>
      </c>
      <c r="M5065">
        <v>0.99675480000000005</v>
      </c>
      <c r="N5065">
        <v>-1.173768E-2</v>
      </c>
      <c r="O5065">
        <v>-7.9637940000000004E-2</v>
      </c>
      <c r="P5065">
        <v>0.98504449999999999</v>
      </c>
      <c r="Q5065">
        <v>0.15998879999999999</v>
      </c>
      <c r="R5065">
        <v>6.3960520000000007E-2</v>
      </c>
      <c r="S5065">
        <v>3.03627</v>
      </c>
      <c r="T5065">
        <v>-0.25468679999999999</v>
      </c>
      <c r="U5065">
        <v>0.81918329999999995</v>
      </c>
      <c r="V5065">
        <v>-0.14259289999999999</v>
      </c>
      <c r="W5065">
        <v>0.17112479999999999</v>
      </c>
      <c r="X5065">
        <v>0.97487619999999997</v>
      </c>
      <c r="Y5065">
        <v>-0.33509250000000002</v>
      </c>
      <c r="Z5065">
        <v>2.1437850000000001E-2</v>
      </c>
      <c r="AA5065">
        <v>0.94194129999999998</v>
      </c>
      <c r="AB5065">
        <v>26</v>
      </c>
      <c r="AC5065">
        <v>13.199399999999899</v>
      </c>
      <c r="AD5065">
        <v>-1.1219616055385999</v>
      </c>
      <c r="AE5065">
        <v>3.6218699999999902</v>
      </c>
      <c r="AF5065">
        <v>-4.6304967680467</v>
      </c>
      <c r="AG5065">
        <v>-1.1219616055385999</v>
      </c>
      <c r="AH5065">
        <v>12.783119953041099</v>
      </c>
      <c r="AI5065">
        <v>94.717461613780202</v>
      </c>
      <c r="AJ5065">
        <v>109.91217272110001</v>
      </c>
      <c r="AK5065">
        <v>13.642157230329399</v>
      </c>
      <c r="AL5065">
        <v>80.146776451100607</v>
      </c>
      <c r="AM5065">
        <v>98.321512592430196</v>
      </c>
      <c r="AN5065">
        <v>1.0000000188159399</v>
      </c>
    </row>
    <row r="5066" spans="1:40" x14ac:dyDescent="0.25">
      <c r="A5066" t="str">
        <f>"20190303162701068"</f>
        <v>20190303162701068</v>
      </c>
      <c r="B5066" t="str">
        <f>"1551601621059269"</f>
        <v>1551601621059269</v>
      </c>
      <c r="C5066" t="s">
        <v>40</v>
      </c>
      <c r="D5066">
        <v>5.2589800000000002</v>
      </c>
      <c r="E5066">
        <v>0.42179319999999998</v>
      </c>
      <c r="F5066" t="s">
        <v>71</v>
      </c>
      <c r="G5066">
        <v>-210.97880000000001</v>
      </c>
      <c r="H5066" s="1">
        <v>3.6680939999999998E-7</v>
      </c>
      <c r="I5066">
        <v>-59.153509999999997</v>
      </c>
      <c r="J5066">
        <v>-223.8509</v>
      </c>
      <c r="K5066">
        <v>1.121983</v>
      </c>
      <c r="L5066">
        <v>-62.718139999999998</v>
      </c>
      <c r="M5066">
        <v>0.99683730000000004</v>
      </c>
      <c r="N5066">
        <v>-1.1734929999999999E-2</v>
      </c>
      <c r="O5066">
        <v>-7.8601550000000006E-2</v>
      </c>
      <c r="P5066">
        <v>0.98529370000000005</v>
      </c>
      <c r="Q5066">
        <v>0.15665999999999999</v>
      </c>
      <c r="R5066">
        <v>6.8222640000000001E-2</v>
      </c>
      <c r="S5066">
        <v>3.034348</v>
      </c>
      <c r="T5066">
        <v>-0.26062740000000001</v>
      </c>
      <c r="U5066">
        <v>0.8247681</v>
      </c>
      <c r="V5066">
        <v>-0.14585129999999999</v>
      </c>
      <c r="W5066">
        <v>0.16777549999999999</v>
      </c>
      <c r="X5066">
        <v>0.97497630000000002</v>
      </c>
      <c r="Y5066">
        <v>-0.33581090000000002</v>
      </c>
      <c r="Z5066">
        <v>2.1878399999999999E-2</v>
      </c>
      <c r="AA5066">
        <v>0.94167529999999999</v>
      </c>
      <c r="AB5066">
        <v>26</v>
      </c>
      <c r="AC5066">
        <v>12.8720999999999</v>
      </c>
      <c r="AD5066">
        <v>-1.1219826331906</v>
      </c>
      <c r="AE5066">
        <v>3.5646300000000002</v>
      </c>
      <c r="AF5066">
        <v>-4.5334465147046297</v>
      </c>
      <c r="AG5066">
        <v>-1.1219826331906</v>
      </c>
      <c r="AH5066">
        <v>12.4641132179012</v>
      </c>
      <c r="AI5066">
        <v>94.835432634861903</v>
      </c>
      <c r="AJ5066">
        <v>109.987335743805</v>
      </c>
      <c r="AK5066">
        <v>13.310338111390299</v>
      </c>
      <c r="AL5066">
        <v>80.341492991383802</v>
      </c>
      <c r="AM5066">
        <v>98.5080540195613</v>
      </c>
      <c r="AN5066">
        <v>1.0000000028368099</v>
      </c>
    </row>
    <row r="5067" spans="1:40" x14ac:dyDescent="0.25">
      <c r="A5067" t="str">
        <f>"20190303162701081"</f>
        <v>20190303162701081</v>
      </c>
      <c r="B5067" t="str">
        <f>"1551601621069028"</f>
        <v>1551601621069028</v>
      </c>
      <c r="C5067" t="s">
        <v>40</v>
      </c>
      <c r="D5067">
        <v>5.2495010000000004</v>
      </c>
      <c r="E5067">
        <v>0.42227589999999998</v>
      </c>
      <c r="F5067" t="s">
        <v>71</v>
      </c>
      <c r="G5067">
        <v>-211.54949999999999</v>
      </c>
      <c r="H5067" s="1">
        <v>1.84718E-7</v>
      </c>
      <c r="I5067">
        <v>-59.360460000000003</v>
      </c>
      <c r="J5067">
        <v>-223.6901</v>
      </c>
      <c r="K5067">
        <v>1.122004</v>
      </c>
      <c r="L5067">
        <v>-62.729860000000002</v>
      </c>
      <c r="M5067">
        <v>0.99690769999999995</v>
      </c>
      <c r="N5067">
        <v>-1.173313E-2</v>
      </c>
      <c r="O5067">
        <v>-7.7702080000000007E-2</v>
      </c>
      <c r="P5067">
        <v>0.98532850000000005</v>
      </c>
      <c r="Q5067">
        <v>0.15552829999999901</v>
      </c>
      <c r="R5067">
        <v>7.0276599999999995E-2</v>
      </c>
      <c r="S5067">
        <v>3.0314480000000001</v>
      </c>
      <c r="T5067">
        <v>-0.27649179999999901</v>
      </c>
      <c r="U5067">
        <v>0.82742309999999997</v>
      </c>
      <c r="V5067">
        <v>-0.14702850000000001</v>
      </c>
      <c r="W5067">
        <v>0.16663029999999901</v>
      </c>
      <c r="X5067">
        <v>0.97499590000000003</v>
      </c>
      <c r="Y5067">
        <v>-0.33577299999999999</v>
      </c>
      <c r="Z5067">
        <v>2.3084460000000001E-2</v>
      </c>
      <c r="AA5067">
        <v>0.94166000000000005</v>
      </c>
      <c r="AB5067">
        <v>26</v>
      </c>
      <c r="AC5067">
        <v>12.140599999999999</v>
      </c>
      <c r="AD5067">
        <v>-1.122003815282</v>
      </c>
      <c r="AE5067">
        <v>3.36939999999999</v>
      </c>
      <c r="AF5067">
        <v>-4.2687741801954502</v>
      </c>
      <c r="AG5067">
        <v>-1.122003815282</v>
      </c>
      <c r="AH5067">
        <v>11.748891129167101</v>
      </c>
      <c r="AI5067">
        <v>95.128996218035496</v>
      </c>
      <c r="AJ5067">
        <v>109.967815210032</v>
      </c>
      <c r="AK5067">
        <v>12.5506082851801</v>
      </c>
      <c r="AL5067">
        <v>80.408045181872097</v>
      </c>
      <c r="AM5067">
        <v>98.575537671865007</v>
      </c>
      <c r="AN5067">
        <v>1.00000002085357</v>
      </c>
    </row>
    <row r="5068" spans="1:40" x14ac:dyDescent="0.25">
      <c r="A5068" t="str">
        <f>"20190303162701095"</f>
        <v>20190303162701095</v>
      </c>
      <c r="B5068" t="str">
        <f>"1551601621089524"</f>
        <v>1551601621089524</v>
      </c>
      <c r="C5068" t="s">
        <v>40</v>
      </c>
      <c r="D5068">
        <v>5.2302039999999996</v>
      </c>
      <c r="E5068">
        <v>0.42329220000000001</v>
      </c>
      <c r="F5068" t="s">
        <v>71</v>
      </c>
      <c r="G5068">
        <v>-211.48339999999999</v>
      </c>
      <c r="H5068" s="1">
        <v>2.175847E-7</v>
      </c>
      <c r="I5068">
        <v>-59.385739999999998</v>
      </c>
      <c r="J5068">
        <v>-223.53829999999999</v>
      </c>
      <c r="K5068">
        <v>1.1220220000000001</v>
      </c>
      <c r="L5068">
        <v>-62.740720000000003</v>
      </c>
      <c r="M5068">
        <v>0.99697570000000002</v>
      </c>
      <c r="N5068">
        <v>-1.173191E-2</v>
      </c>
      <c r="O5068">
        <v>-7.6824459999999997E-2</v>
      </c>
      <c r="P5068">
        <v>0.98531449999999998</v>
      </c>
      <c r="Q5068">
        <v>0.1547519</v>
      </c>
      <c r="R5068">
        <v>7.2160799999999997E-2</v>
      </c>
      <c r="S5068">
        <v>3.0294490000000001</v>
      </c>
      <c r="T5068">
        <v>-0.27845750000000002</v>
      </c>
      <c r="U5068">
        <v>0.82992549999999898</v>
      </c>
      <c r="V5068">
        <v>-0.14805360000000001</v>
      </c>
      <c r="W5068">
        <v>0.165841299999999</v>
      </c>
      <c r="X5068">
        <v>0.97497529999999999</v>
      </c>
      <c r="Y5068">
        <v>-0.33580310000000002</v>
      </c>
      <c r="Z5068">
        <v>2.3184420000000001E-2</v>
      </c>
      <c r="AA5068">
        <v>0.94164680000000001</v>
      </c>
      <c r="AB5068">
        <v>26</v>
      </c>
      <c r="AC5068">
        <v>12.0549</v>
      </c>
      <c r="AD5068">
        <v>-1.12202178241529</v>
      </c>
      <c r="AE5068">
        <v>3.3549799999999901</v>
      </c>
      <c r="AF5068">
        <v>-4.2371698710879002</v>
      </c>
      <c r="AG5068">
        <v>-1.12202178241529</v>
      </c>
      <c r="AH5068">
        <v>11.667693648761199</v>
      </c>
      <c r="AI5068">
        <v>95.1648767155596</v>
      </c>
      <c r="AJ5068">
        <v>109.958694158588</v>
      </c>
      <c r="AK5068">
        <v>12.463852393141201</v>
      </c>
      <c r="AL5068">
        <v>80.453889423663497</v>
      </c>
      <c r="AM5068">
        <v>98.634608936703501</v>
      </c>
      <c r="AN5068">
        <v>1.00000002043436</v>
      </c>
    </row>
    <row r="5069" spans="1:40" x14ac:dyDescent="0.25">
      <c r="A5069" t="str">
        <f>"20190303162701107"</f>
        <v>20190303162701107</v>
      </c>
      <c r="B5069" t="str">
        <f>"1551601621099284"</f>
        <v>1551601621099284</v>
      </c>
      <c r="C5069" t="s">
        <v>40</v>
      </c>
      <c r="D5069">
        <v>5.2408419999999998</v>
      </c>
      <c r="E5069">
        <v>0.42363220000000001</v>
      </c>
      <c r="F5069" t="s">
        <v>71</v>
      </c>
      <c r="G5069">
        <v>-211.25530000000001</v>
      </c>
      <c r="H5069" s="1">
        <v>3.150339E-7</v>
      </c>
      <c r="I5069">
        <v>-59.383470000000003</v>
      </c>
      <c r="J5069">
        <v>-223.39619999999999</v>
      </c>
      <c r="K5069">
        <v>1.122044</v>
      </c>
      <c r="L5069">
        <v>-62.750790000000002</v>
      </c>
      <c r="M5069">
        <v>0.99703960000000003</v>
      </c>
      <c r="N5069">
        <v>-1.1730930000000001E-2</v>
      </c>
      <c r="O5069">
        <v>-7.5989890000000004E-2</v>
      </c>
      <c r="P5069">
        <v>0.98530479999999998</v>
      </c>
      <c r="Q5069">
        <v>0.1539954</v>
      </c>
      <c r="R5069">
        <v>7.3891780000000004E-2</v>
      </c>
      <c r="S5069">
        <v>3.0275270000000001</v>
      </c>
      <c r="T5069">
        <v>-0.276557</v>
      </c>
      <c r="U5069">
        <v>0.82748409999999994</v>
      </c>
      <c r="V5069">
        <v>-0.1489684</v>
      </c>
      <c r="W5069">
        <v>0.16507330000000001</v>
      </c>
      <c r="X5069">
        <v>0.97496629999999995</v>
      </c>
      <c r="Y5069">
        <v>-0.3344896</v>
      </c>
      <c r="Z5069">
        <v>2.2917650000000001E-2</v>
      </c>
      <c r="AA5069">
        <v>0.94212070000000003</v>
      </c>
      <c r="AB5069">
        <v>26</v>
      </c>
      <c r="AC5069">
        <v>12.140899999999901</v>
      </c>
      <c r="AD5069">
        <v>-1.1220436849661</v>
      </c>
      <c r="AE5069">
        <v>3.3673199999999999</v>
      </c>
      <c r="AF5069">
        <v>-4.2465517303807996</v>
      </c>
      <c r="AG5069">
        <v>-1.1220436849661</v>
      </c>
      <c r="AH5069">
        <v>11.756648022920899</v>
      </c>
      <c r="AI5069">
        <v>95.129290170305296</v>
      </c>
      <c r="AJ5069">
        <v>109.85993723832</v>
      </c>
      <c r="AK5069">
        <v>12.550336902434999</v>
      </c>
      <c r="AL5069">
        <v>80.498507670651605</v>
      </c>
      <c r="AM5069">
        <v>98.687228339922797</v>
      </c>
      <c r="AN5069">
        <v>1.0000000323535601</v>
      </c>
    </row>
    <row r="5070" spans="1:40" x14ac:dyDescent="0.25">
      <c r="A5070" t="str">
        <f>"20190303162701121"</f>
        <v>20190303162701121</v>
      </c>
      <c r="B5070" t="str">
        <f>"1551601621109045"</f>
        <v>1551601621109045</v>
      </c>
      <c r="C5070" t="s">
        <v>40</v>
      </c>
      <c r="D5070">
        <v>5.2200389999999999</v>
      </c>
      <c r="E5070">
        <v>0.4240719</v>
      </c>
      <c r="F5070" t="s">
        <v>71</v>
      </c>
      <c r="G5070">
        <v>-211.16390000000001</v>
      </c>
      <c r="H5070" s="1">
        <v>3.5660870000000001E-7</v>
      </c>
      <c r="I5070">
        <v>-59.396850000000001</v>
      </c>
      <c r="J5070">
        <v>-223.233</v>
      </c>
      <c r="K5070">
        <v>1.1220559999999999</v>
      </c>
      <c r="L5070">
        <v>-62.762210000000003</v>
      </c>
      <c r="M5070">
        <v>0.99711380000000005</v>
      </c>
      <c r="N5070">
        <v>-1.173006E-2</v>
      </c>
      <c r="O5070">
        <v>-7.5010460000000001E-2</v>
      </c>
      <c r="P5070">
        <v>0.98535530000000005</v>
      </c>
      <c r="Q5070">
        <v>0.1526081</v>
      </c>
      <c r="R5070">
        <v>7.6065900000000006E-2</v>
      </c>
      <c r="S5070">
        <v>3.025909</v>
      </c>
      <c r="T5070">
        <v>-0.27756009999999998</v>
      </c>
      <c r="U5070">
        <v>0.82965089999999997</v>
      </c>
      <c r="V5070">
        <v>-0.1501874</v>
      </c>
      <c r="W5070">
        <v>0.16367309999999999</v>
      </c>
      <c r="X5070">
        <v>0.97501530000000003</v>
      </c>
      <c r="Y5070">
        <v>-0.33431050000000001</v>
      </c>
      <c r="Z5070">
        <v>2.2919720000000001E-2</v>
      </c>
      <c r="AA5070">
        <v>0.94218429999999997</v>
      </c>
      <c r="AB5070">
        <v>26</v>
      </c>
      <c r="AC5070">
        <v>12.069099999999899</v>
      </c>
      <c r="AD5070">
        <v>-1.1220556433913</v>
      </c>
      <c r="AE5070">
        <v>3.3653599999999901</v>
      </c>
      <c r="AF5070">
        <v>-4.2273464122883198</v>
      </c>
      <c r="AG5070">
        <v>-1.1220556433913</v>
      </c>
      <c r="AH5070">
        <v>11.6888971844658</v>
      </c>
      <c r="AI5070">
        <v>95.158176146007307</v>
      </c>
      <c r="AJ5070">
        <v>109.88276989216401</v>
      </c>
      <c r="AK5070">
        <v>12.480375953686901</v>
      </c>
      <c r="AL5070">
        <v>80.579839052011494</v>
      </c>
      <c r="AM5070">
        <v>98.756784584835799</v>
      </c>
      <c r="AN5070">
        <v>0.99999998700823001</v>
      </c>
    </row>
    <row r="5071" spans="1:40" x14ac:dyDescent="0.25">
      <c r="A5071" t="str">
        <f>"20190303162701136"</f>
        <v>20190303162701136</v>
      </c>
      <c r="B5071" t="str">
        <f>"1551601621118805"</f>
        <v>1551601621118805</v>
      </c>
      <c r="C5071" t="s">
        <v>40</v>
      </c>
      <c r="D5071">
        <v>5.2461919999999997</v>
      </c>
      <c r="E5071">
        <v>0.4245218</v>
      </c>
      <c r="F5071" t="s">
        <v>71</v>
      </c>
      <c r="G5071">
        <v>-211.17150000000001</v>
      </c>
      <c r="H5071" s="1">
        <v>3.6179169999999999E-7</v>
      </c>
      <c r="I5071">
        <v>-59.44444</v>
      </c>
      <c r="J5071">
        <v>-223.065</v>
      </c>
      <c r="K5071">
        <v>1.1220749999999999</v>
      </c>
      <c r="L5071">
        <v>-62.773679999999999</v>
      </c>
      <c r="M5071">
        <v>0.99719139999999995</v>
      </c>
      <c r="N5071">
        <v>-1.172948E-2</v>
      </c>
      <c r="O5071">
        <v>-7.3970229999999998E-2</v>
      </c>
      <c r="P5071">
        <v>0.98530519999999999</v>
      </c>
      <c r="Q5071">
        <v>0.1522338</v>
      </c>
      <c r="R5071">
        <v>7.7448909999999996E-2</v>
      </c>
      <c r="S5071">
        <v>3.0239560000000001</v>
      </c>
      <c r="T5071">
        <v>-0.28131200000000001</v>
      </c>
      <c r="U5071">
        <v>0.831787099999999</v>
      </c>
      <c r="V5071">
        <v>-0.15055279999999999</v>
      </c>
      <c r="W5071">
        <v>0.16328870000000001</v>
      </c>
      <c r="X5071">
        <v>0.97502339999999998</v>
      </c>
      <c r="Y5071">
        <v>-0.33405970000000001</v>
      </c>
      <c r="Z5071">
        <v>2.3129E-2</v>
      </c>
      <c r="AA5071">
        <v>0.94226810000000005</v>
      </c>
      <c r="AB5071">
        <v>26</v>
      </c>
      <c r="AC5071">
        <v>11.8934999999999</v>
      </c>
      <c r="AD5071">
        <v>-1.1220746382083</v>
      </c>
      <c r="AE5071">
        <v>3.32924</v>
      </c>
      <c r="AF5071">
        <v>-4.1655612842892502</v>
      </c>
      <c r="AG5071">
        <v>-1.1220746382083</v>
      </c>
      <c r="AH5071">
        <v>11.5195492224655</v>
      </c>
      <c r="AI5071">
        <v>95.233754082490506</v>
      </c>
      <c r="AJ5071">
        <v>109.880396363849</v>
      </c>
      <c r="AK5071">
        <v>12.3008522711106</v>
      </c>
      <c r="AL5071">
        <v>80.602163905326194</v>
      </c>
      <c r="AM5071">
        <v>98.7776863059877</v>
      </c>
      <c r="AN5071">
        <v>0.99999998784154498</v>
      </c>
    </row>
    <row r="5072" spans="1:40" x14ac:dyDescent="0.25">
      <c r="A5072" t="str">
        <f>"20190303162701148"</f>
        <v>20190303162701148</v>
      </c>
      <c r="B5072" t="str">
        <f>"1551601621139301"</f>
        <v>1551601621139301</v>
      </c>
      <c r="C5072" t="s">
        <v>40</v>
      </c>
      <c r="D5072">
        <v>5.2119169999999997</v>
      </c>
      <c r="E5072">
        <v>0.4251549</v>
      </c>
      <c r="F5072" t="s">
        <v>71</v>
      </c>
      <c r="G5072">
        <v>-211.01939999999999</v>
      </c>
      <c r="H5072" s="1">
        <v>4.2922900000000001E-7</v>
      </c>
      <c r="I5072">
        <v>-59.45673</v>
      </c>
      <c r="J5072">
        <v>-222.9299</v>
      </c>
      <c r="K5072">
        <v>1.1220870000000001</v>
      </c>
      <c r="L5072">
        <v>-62.782809999999998</v>
      </c>
      <c r="M5072">
        <v>0.99725430000000004</v>
      </c>
      <c r="N5072">
        <v>-1.172921E-2</v>
      </c>
      <c r="O5072">
        <v>-7.3119950000000003E-2</v>
      </c>
      <c r="P5072">
        <v>0.98545249999999995</v>
      </c>
      <c r="Q5072">
        <v>0.15090300000000001</v>
      </c>
      <c r="R5072">
        <v>7.8179659999999998E-2</v>
      </c>
      <c r="S5072">
        <v>3.0228120000000001</v>
      </c>
      <c r="T5072">
        <v>-0.28158179999999999</v>
      </c>
      <c r="U5072">
        <v>0.83236690000000002</v>
      </c>
      <c r="V5072">
        <v>-0.15046409999999999</v>
      </c>
      <c r="W5072">
        <v>0.1619526</v>
      </c>
      <c r="X5072">
        <v>0.97525989999999996</v>
      </c>
      <c r="Y5072">
        <v>-0.3335166</v>
      </c>
      <c r="Z5072">
        <v>2.3061439999999999E-2</v>
      </c>
      <c r="AA5072">
        <v>0.94246209999999997</v>
      </c>
      <c r="AB5072">
        <v>26</v>
      </c>
      <c r="AC5072">
        <v>11.910500000000001</v>
      </c>
      <c r="AD5072">
        <v>-1.1220865707709999</v>
      </c>
      <c r="AE5072">
        <v>3.3260799999999899</v>
      </c>
      <c r="AF5072">
        <v>-4.1539292854162602</v>
      </c>
      <c r="AG5072">
        <v>-1.1220865707709999</v>
      </c>
      <c r="AH5072">
        <v>11.540376727278</v>
      </c>
      <c r="AI5072">
        <v>95.227170842810906</v>
      </c>
      <c r="AJ5072">
        <v>109.796211344311</v>
      </c>
      <c r="AK5072">
        <v>12.3164321858257</v>
      </c>
      <c r="AL5072">
        <v>80.679749510729707</v>
      </c>
      <c r="AM5072">
        <v>98.770501024538206</v>
      </c>
      <c r="AN5072">
        <v>0.99999998129178902</v>
      </c>
    </row>
    <row r="5073" spans="1:40" x14ac:dyDescent="0.25">
      <c r="A5073" t="str">
        <f>"20190303162701160"</f>
        <v>20190303162701160</v>
      </c>
      <c r="B5073" t="str">
        <f>"1551601621149061"</f>
        <v>1551601621149061</v>
      </c>
      <c r="C5073" t="s">
        <v>40</v>
      </c>
      <c r="D5073">
        <v>5.2438060000000002</v>
      </c>
      <c r="E5073">
        <v>0.4251549</v>
      </c>
      <c r="F5073" t="s">
        <v>71</v>
      </c>
      <c r="G5073">
        <v>-210.92850000000001</v>
      </c>
      <c r="H5073" s="1">
        <v>4.731869E-7</v>
      </c>
      <c r="I5073">
        <v>-59.488979999999998</v>
      </c>
      <c r="J5073">
        <v>-222.78919999999999</v>
      </c>
      <c r="K5073">
        <v>1.1221030000000001</v>
      </c>
      <c r="L5073">
        <v>-62.792209999999997</v>
      </c>
      <c r="M5073">
        <v>0.99731999999999998</v>
      </c>
      <c r="N5073">
        <v>-1.1729109999999999E-2</v>
      </c>
      <c r="O5073">
        <v>-7.2217550000000005E-2</v>
      </c>
      <c r="P5073">
        <v>0.98567340000000003</v>
      </c>
      <c r="Q5073">
        <v>0.1493602</v>
      </c>
      <c r="R5073">
        <v>7.8354350000000003E-2</v>
      </c>
      <c r="S5073">
        <v>3.0217589999999999</v>
      </c>
      <c r="T5073">
        <v>-0.28252270000000002</v>
      </c>
      <c r="U5073">
        <v>0.82931520000000003</v>
      </c>
      <c r="V5073">
        <v>-0.14977449999999901</v>
      </c>
      <c r="W5073">
        <v>0.1604071</v>
      </c>
      <c r="X5073">
        <v>0.97562139999999997</v>
      </c>
      <c r="Y5073">
        <v>-0.3318603</v>
      </c>
      <c r="Z5073">
        <v>2.2985849999999999E-2</v>
      </c>
      <c r="AA5073">
        <v>0.94304849999999996</v>
      </c>
      <c r="AB5073">
        <v>26</v>
      </c>
      <c r="AC5073">
        <v>11.8606999999999</v>
      </c>
      <c r="AD5073">
        <v>-1.1221025268131</v>
      </c>
      <c r="AE5073">
        <v>3.3032299999999899</v>
      </c>
      <c r="AF5073">
        <v>-4.1170166250201197</v>
      </c>
      <c r="AG5073">
        <v>-1.1221025268131</v>
      </c>
      <c r="AH5073">
        <v>11.4956735456185</v>
      </c>
      <c r="AI5073">
        <v>95.250465512962094</v>
      </c>
      <c r="AJ5073">
        <v>109.704283296619</v>
      </c>
      <c r="AK5073">
        <v>12.2621144277325</v>
      </c>
      <c r="AL5073">
        <v>80.769473246588305</v>
      </c>
      <c r="AM5073">
        <v>98.727739969401796</v>
      </c>
      <c r="AN5073">
        <v>0.99999997735930901</v>
      </c>
    </row>
    <row r="5074" spans="1:40" x14ac:dyDescent="0.25">
      <c r="A5074" t="str">
        <f>"20190303162701171"</f>
        <v>20190303162701171</v>
      </c>
      <c r="B5074" t="str">
        <f>"1551601621159207"</f>
        <v>1551601621159207</v>
      </c>
      <c r="C5074" t="s">
        <v>40</v>
      </c>
      <c r="D5074">
        <v>5.2426349999999999</v>
      </c>
      <c r="E5074">
        <v>0.4254</v>
      </c>
      <c r="F5074" t="s">
        <v>71</v>
      </c>
      <c r="G5074">
        <v>-210.99010000000001</v>
      </c>
      <c r="H5074" s="1">
        <v>4.586479E-7</v>
      </c>
      <c r="I5074">
        <v>-59.551749999999998</v>
      </c>
      <c r="J5074">
        <v>-222.65889999999999</v>
      </c>
      <c r="K5074">
        <v>1.122115</v>
      </c>
      <c r="L5074">
        <v>-62.800719999999998</v>
      </c>
      <c r="M5074">
        <v>0.99738159999999998</v>
      </c>
      <c r="N5074">
        <v>-1.172919E-2</v>
      </c>
      <c r="O5074">
        <v>-7.1360240000000005E-2</v>
      </c>
      <c r="P5074">
        <v>0.98591059999999997</v>
      </c>
      <c r="Q5074">
        <v>0.14796139999999999</v>
      </c>
      <c r="R5074">
        <v>7.802357E-2</v>
      </c>
      <c r="S5074">
        <v>3.0211790000000001</v>
      </c>
      <c r="T5074">
        <v>-0.28731699999999999</v>
      </c>
      <c r="U5074">
        <v>0.82971189999999995</v>
      </c>
      <c r="V5074">
        <v>-0.14862600000000001</v>
      </c>
      <c r="W5074">
        <v>0.1590086</v>
      </c>
      <c r="X5074">
        <v>0.9760259</v>
      </c>
      <c r="Y5074">
        <v>-0.33115879999999998</v>
      </c>
      <c r="Z5074">
        <v>2.3251549999999999E-2</v>
      </c>
      <c r="AA5074">
        <v>0.94328849999999997</v>
      </c>
      <c r="AB5074">
        <v>26</v>
      </c>
      <c r="AC5074">
        <v>11.6687999999999</v>
      </c>
      <c r="AD5074">
        <v>-1.1221145413521001</v>
      </c>
      <c r="AE5074">
        <v>3.2489699999999999</v>
      </c>
      <c r="AF5074">
        <v>-4.0387704174046499</v>
      </c>
      <c r="AG5074">
        <v>-1.1221145413521001</v>
      </c>
      <c r="AH5074">
        <v>11.310119461230901</v>
      </c>
      <c r="AI5074">
        <v>95.337922510232005</v>
      </c>
      <c r="AJ5074">
        <v>109.651317196557</v>
      </c>
      <c r="AK5074">
        <v>12.061907384644</v>
      </c>
      <c r="AL5074">
        <v>80.850643393181102</v>
      </c>
      <c r="AM5074">
        <v>98.658297489843605</v>
      </c>
      <c r="AN5074">
        <v>0.99999999011038398</v>
      </c>
    </row>
    <row r="5075" spans="1:40" x14ac:dyDescent="0.25">
      <c r="A5075" t="str">
        <f>"20190303162701183"</f>
        <v>20190303162701183</v>
      </c>
      <c r="B5075" t="str">
        <f>"1551601621179704"</f>
        <v>1551601621179704</v>
      </c>
      <c r="C5075" t="s">
        <v>40</v>
      </c>
      <c r="D5075">
        <v>5.4200309999999998</v>
      </c>
      <c r="E5075">
        <v>0.42577169999999998</v>
      </c>
      <c r="F5075" t="s">
        <v>71</v>
      </c>
      <c r="G5075">
        <v>-210.9007</v>
      </c>
      <c r="H5075" s="1">
        <v>5.0228789999999999E-7</v>
      </c>
      <c r="I5075">
        <v>-59.581519999999998</v>
      </c>
      <c r="J5075">
        <v>-222.52099999999999</v>
      </c>
      <c r="K5075">
        <v>1.122128</v>
      </c>
      <c r="L5075">
        <v>-62.809660000000001</v>
      </c>
      <c r="M5075">
        <v>0.99744679999999997</v>
      </c>
      <c r="N5075">
        <v>-1.172931E-2</v>
      </c>
      <c r="O5075">
        <v>-7.044425E-2</v>
      </c>
      <c r="P5075">
        <v>0.98619639999999997</v>
      </c>
      <c r="Q5075">
        <v>0.14639820000000001</v>
      </c>
      <c r="R5075">
        <v>7.7358419999999997E-2</v>
      </c>
      <c r="S5075">
        <v>3.0206759999999999</v>
      </c>
      <c r="T5075">
        <v>-0.28827069999999999</v>
      </c>
      <c r="U5075">
        <v>0.82699579999999995</v>
      </c>
      <c r="V5075">
        <v>-0.14708950000000001</v>
      </c>
      <c r="W5075">
        <v>0.15744739999999999</v>
      </c>
      <c r="X5075">
        <v>0.97651169999999998</v>
      </c>
      <c r="Y5075">
        <v>-0.329541799999999</v>
      </c>
      <c r="Z5075">
        <v>2.316969E-2</v>
      </c>
      <c r="AA5075">
        <v>0.94385669999999999</v>
      </c>
      <c r="AB5075">
        <v>26</v>
      </c>
      <c r="AC5075">
        <v>11.620299999999901</v>
      </c>
      <c r="AD5075">
        <v>-1.1221274977121001</v>
      </c>
      <c r="AE5075">
        <v>3.2281399999999998</v>
      </c>
      <c r="AF5075">
        <v>-4.0040957041926699</v>
      </c>
      <c r="AG5075">
        <v>-1.1221274977121001</v>
      </c>
      <c r="AH5075">
        <v>11.2664752928991</v>
      </c>
      <c r="AI5075">
        <v>95.361396253680994</v>
      </c>
      <c r="AJ5075">
        <v>109.56516963478499</v>
      </c>
      <c r="AK5075">
        <v>12.009388746100299</v>
      </c>
      <c r="AL5075">
        <v>80.941235360912998</v>
      </c>
      <c r="AM5075">
        <v>98.565923403420499</v>
      </c>
      <c r="AN5075">
        <v>1.0000000525069399</v>
      </c>
    </row>
    <row r="5076" spans="1:40" x14ac:dyDescent="0.25">
      <c r="A5076" t="str">
        <f>"20190303162701196"</f>
        <v>20190303162701196</v>
      </c>
      <c r="B5076" t="str">
        <f>"1551601621189464"</f>
        <v>1551601621189464</v>
      </c>
      <c r="C5076" t="s">
        <v>40</v>
      </c>
      <c r="D5076">
        <v>5.5428360000000003</v>
      </c>
      <c r="E5076">
        <v>0.47132940000000001</v>
      </c>
      <c r="F5076" t="s">
        <v>71</v>
      </c>
      <c r="G5076">
        <v>-210.80600000000001</v>
      </c>
      <c r="H5076" s="1">
        <v>5.4964399999999899E-7</v>
      </c>
      <c r="I5076">
        <v>-59.619660000000003</v>
      </c>
      <c r="J5076">
        <v>-222.3706</v>
      </c>
      <c r="K5076">
        <v>1.1221479999999999</v>
      </c>
      <c r="L5076">
        <v>-62.819209999999998</v>
      </c>
      <c r="M5076">
        <v>0.9975193</v>
      </c>
      <c r="N5076">
        <v>-1.1729689999999999E-2</v>
      </c>
      <c r="O5076">
        <v>-6.9411749999999994E-2</v>
      </c>
      <c r="P5076">
        <v>0.98648970000000002</v>
      </c>
      <c r="Q5076">
        <v>0.14501140000000001</v>
      </c>
      <c r="R5076">
        <v>7.6224150000000004E-2</v>
      </c>
      <c r="S5076">
        <v>3.020432</v>
      </c>
      <c r="T5076">
        <v>-0.28931319999999999</v>
      </c>
      <c r="U5076">
        <v>0.82244869999999903</v>
      </c>
      <c r="V5076">
        <v>-0.14497289999999999</v>
      </c>
      <c r="W5076">
        <v>0.1560628</v>
      </c>
      <c r="X5076">
        <v>0.97705030000000004</v>
      </c>
      <c r="Y5076">
        <v>-0.327262099999999</v>
      </c>
      <c r="Z5076">
        <v>2.3048389999999998E-2</v>
      </c>
      <c r="AA5076">
        <v>0.94465239999999995</v>
      </c>
      <c r="AB5076">
        <v>26</v>
      </c>
      <c r="AC5076">
        <v>11.5646</v>
      </c>
      <c r="AD5076">
        <v>-1.1221474503559901</v>
      </c>
      <c r="AE5076">
        <v>3.1995499999999999</v>
      </c>
      <c r="AF5076">
        <v>-3.9599724714367999</v>
      </c>
      <c r="AG5076">
        <v>-1.1221474503559901</v>
      </c>
      <c r="AH5076">
        <v>11.2165029991341</v>
      </c>
      <c r="AI5076">
        <v>95.389199388439593</v>
      </c>
      <c r="AJ5076">
        <v>109.445515916717</v>
      </c>
      <c r="AK5076">
        <v>11.9478255931555</v>
      </c>
      <c r="AL5076">
        <v>81.021559765863103</v>
      </c>
      <c r="AM5076">
        <v>98.439862789968799</v>
      </c>
      <c r="AN5076">
        <v>1.00000001400417</v>
      </c>
    </row>
    <row r="5077" spans="1:40" x14ac:dyDescent="0.25">
      <c r="A5077" t="str">
        <f>"20190303162701210"</f>
        <v>20190303162701210</v>
      </c>
      <c r="B5077" t="str">
        <f>"1551601621199224"</f>
        <v>1551601621199224</v>
      </c>
      <c r="C5077" t="s">
        <v>40</v>
      </c>
      <c r="D5077">
        <v>5.3967219999999996</v>
      </c>
      <c r="E5077">
        <v>0.47132940000000001</v>
      </c>
      <c r="F5077" t="s">
        <v>59</v>
      </c>
      <c r="G5077">
        <v>-206.21209999999999</v>
      </c>
      <c r="H5077" s="1">
        <v>-2.3796719999999999E-6</v>
      </c>
      <c r="I5077">
        <v>-60.386710000000001</v>
      </c>
      <c r="J5077">
        <v>-222.21190000000001</v>
      </c>
      <c r="K5077">
        <v>1.122179</v>
      </c>
      <c r="L5077">
        <v>-62.829070000000002</v>
      </c>
      <c r="M5077">
        <v>0.99759609999999999</v>
      </c>
      <c r="N5077">
        <v>-1.1730239999999999E-2</v>
      </c>
      <c r="O5077">
        <v>-6.8297919999999998E-2</v>
      </c>
      <c r="P5077">
        <v>0.98707579999999995</v>
      </c>
      <c r="Q5077">
        <v>0.1426877</v>
      </c>
      <c r="R5077">
        <v>7.2951349999999998E-2</v>
      </c>
      <c r="S5077">
        <v>3.0367579999999998</v>
      </c>
      <c r="T5077">
        <v>-0.2108921</v>
      </c>
      <c r="U5077">
        <v>0.45715329999999899</v>
      </c>
      <c r="V5077">
        <v>-0.1406599</v>
      </c>
      <c r="W5077">
        <v>0.15375259999999999</v>
      </c>
      <c r="X5077">
        <v>0.97804650000000004</v>
      </c>
      <c r="Y5077">
        <v>-0.2153494</v>
      </c>
      <c r="Z5077">
        <v>1.2617669999999999E-2</v>
      </c>
      <c r="AA5077">
        <v>0.97645559999999998</v>
      </c>
      <c r="AB5077">
        <v>26</v>
      </c>
      <c r="AC5077">
        <v>15.9998</v>
      </c>
      <c r="AD5077">
        <v>-1.1221813796719999</v>
      </c>
      <c r="AE5077">
        <v>2.4423599999999901</v>
      </c>
      <c r="AF5077">
        <v>-3.5125985771175401</v>
      </c>
      <c r="AG5077">
        <v>-1.1221813796719999</v>
      </c>
      <c r="AH5077">
        <v>15.7200457020411</v>
      </c>
      <c r="AI5077">
        <v>93.985206715631904</v>
      </c>
      <c r="AJ5077">
        <v>102.595667896912</v>
      </c>
      <c r="AK5077">
        <v>16.146748176865501</v>
      </c>
      <c r="AL5077">
        <v>81.155541799958598</v>
      </c>
      <c r="AM5077">
        <v>98.184001649336096</v>
      </c>
      <c r="AN5077">
        <v>1.00000001281851</v>
      </c>
    </row>
    <row r="5078" spans="1:40" x14ac:dyDescent="0.25">
      <c r="A5078" t="str">
        <f>"20190303162701223"</f>
        <v>20190303162701223</v>
      </c>
      <c r="B5078" t="str">
        <f>"1551601621208984"</f>
        <v>1551601621208984</v>
      </c>
      <c r="C5078" t="s">
        <v>40</v>
      </c>
      <c r="D5078">
        <v>5.2445240000000002</v>
      </c>
      <c r="E5078">
        <v>0.52786979999999994</v>
      </c>
      <c r="F5078" t="s">
        <v>59</v>
      </c>
      <c r="G5078">
        <v>-206.5658</v>
      </c>
      <c r="H5078" s="1">
        <v>-2.173928E-6</v>
      </c>
      <c r="I5078">
        <v>-60.523290000000003</v>
      </c>
      <c r="J5078">
        <v>-222.06389999999999</v>
      </c>
      <c r="K5078">
        <v>1.122204</v>
      </c>
      <c r="L5078">
        <v>-62.83813</v>
      </c>
      <c r="M5078">
        <v>0.99766790000000005</v>
      </c>
      <c r="N5078">
        <v>-1.1730849999999999E-2</v>
      </c>
      <c r="O5078">
        <v>-6.7240610000000006E-2</v>
      </c>
      <c r="P5078">
        <v>0.98721990000000004</v>
      </c>
      <c r="Q5078">
        <v>0.14226469999999999</v>
      </c>
      <c r="R5078">
        <v>7.1820499999999995E-2</v>
      </c>
      <c r="S5078">
        <v>3.037674</v>
      </c>
      <c r="T5078">
        <v>-0.2178696</v>
      </c>
      <c r="U5078">
        <v>0.44766240000000002</v>
      </c>
      <c r="V5078">
        <v>-0.13851279999999999</v>
      </c>
      <c r="W5078">
        <v>0.15333039999999901</v>
      </c>
      <c r="X5078">
        <v>0.97841909999999999</v>
      </c>
      <c r="Y5078">
        <v>-0.21125269999999999</v>
      </c>
      <c r="Z5078">
        <v>1.2783859999999999E-2</v>
      </c>
      <c r="AA5078">
        <v>0.97734790000000005</v>
      </c>
      <c r="AB5078">
        <v>26</v>
      </c>
      <c r="AC5078">
        <v>15.4980999999999</v>
      </c>
      <c r="AD5078">
        <v>-1.122206173928</v>
      </c>
      <c r="AE5078">
        <v>2.3148399999999998</v>
      </c>
      <c r="AF5078">
        <v>-3.3346711568268201</v>
      </c>
      <c r="AG5078">
        <v>-1.122206173928</v>
      </c>
      <c r="AH5078">
        <v>15.2292517032955</v>
      </c>
      <c r="AI5078">
        <v>94.117171325482701</v>
      </c>
      <c r="AJ5078">
        <v>102.35083582455501</v>
      </c>
      <c r="AK5078">
        <v>15.6304026136022</v>
      </c>
      <c r="AL5078">
        <v>81.180021994338205</v>
      </c>
      <c r="AM5078">
        <v>98.057702112386593</v>
      </c>
      <c r="AN5078">
        <v>0.99999997128640405</v>
      </c>
    </row>
    <row r="5079" spans="1:40" x14ac:dyDescent="0.25">
      <c r="A5079" t="str">
        <f>"20190303162701236"</f>
        <v>20190303162701236</v>
      </c>
      <c r="B5079" t="str">
        <f>"1551601621229480"</f>
        <v>1551601621229480</v>
      </c>
      <c r="C5079" t="s">
        <v>40</v>
      </c>
      <c r="D5079">
        <v>5.1400629999999996</v>
      </c>
      <c r="E5079">
        <v>0.53767390000000004</v>
      </c>
      <c r="F5079" t="s">
        <v>42</v>
      </c>
      <c r="G5079">
        <v>-221.16650000000001</v>
      </c>
      <c r="H5079">
        <v>0.93582200000000004</v>
      </c>
      <c r="I5079">
        <v>-62.839739999999999</v>
      </c>
      <c r="J5079">
        <v>-221.91839999999999</v>
      </c>
      <c r="K5079">
        <v>1.122241</v>
      </c>
      <c r="L5079">
        <v>-62.846800000000002</v>
      </c>
      <c r="M5079">
        <v>0.99774030000000002</v>
      </c>
      <c r="N5079">
        <v>-1.1731750000000001E-2</v>
      </c>
      <c r="O5079">
        <v>-6.6158350000000005E-2</v>
      </c>
      <c r="P5079">
        <v>0.98741800000000002</v>
      </c>
      <c r="Q5079">
        <v>0.14149139999999999</v>
      </c>
      <c r="R5079">
        <v>7.0609809999999995E-2</v>
      </c>
      <c r="S5079">
        <v>3.1329959999999999</v>
      </c>
      <c r="T5079">
        <v>-0.6507908</v>
      </c>
      <c r="U5079">
        <v>-4.9133299999999996E-3</v>
      </c>
      <c r="V5079">
        <v>-0.1362652</v>
      </c>
      <c r="W5079">
        <v>0.1525581</v>
      </c>
      <c r="X5079">
        <v>0.97885540000000004</v>
      </c>
      <c r="Y5079">
        <v>-6.1943970000000001E-2</v>
      </c>
      <c r="Z5079">
        <v>1.955382E-2</v>
      </c>
      <c r="AA5079">
        <v>0.99788809999999994</v>
      </c>
      <c r="AB5079">
        <v>26</v>
      </c>
      <c r="AC5079">
        <v>0.75189999999997703</v>
      </c>
      <c r="AD5079">
        <v>-0.186419</v>
      </c>
      <c r="AE5079">
        <v>7.0600000000027299E-3</v>
      </c>
      <c r="AF5079">
        <v>-5.3503842424306801E-2</v>
      </c>
      <c r="AG5079">
        <v>-0.186419</v>
      </c>
      <c r="AH5079">
        <v>0.70636898286013095</v>
      </c>
      <c r="AI5079">
        <v>104.74355873269801</v>
      </c>
      <c r="AJ5079">
        <v>94.331591412253999</v>
      </c>
      <c r="AK5079">
        <v>0.73251064474314698</v>
      </c>
      <c r="AL5079">
        <v>81.224798904593996</v>
      </c>
      <c r="AM5079">
        <v>97.925139671462105</v>
      </c>
      <c r="AN5079">
        <v>1.0000000363579</v>
      </c>
    </row>
    <row r="5080" spans="1:40" x14ac:dyDescent="0.25">
      <c r="A5080" t="str">
        <f>"20190303162701250"</f>
        <v>20190303162701250</v>
      </c>
      <c r="B5080" t="str">
        <f>"1551601621239240"</f>
        <v>1551601621239240</v>
      </c>
      <c r="C5080" t="s">
        <v>40</v>
      </c>
      <c r="D5080">
        <v>5.1599589999999997</v>
      </c>
      <c r="E5080">
        <v>0.53878680000000001</v>
      </c>
      <c r="F5080" t="s">
        <v>42</v>
      </c>
      <c r="G5080">
        <v>-221.1705</v>
      </c>
      <c r="H5080">
        <v>0.93380759999999996</v>
      </c>
      <c r="I5080">
        <v>-62.8673</v>
      </c>
      <c r="J5080">
        <v>-221.7576</v>
      </c>
      <c r="K5080">
        <v>1.1222840000000001</v>
      </c>
      <c r="L5080">
        <v>-62.856169999999999</v>
      </c>
      <c r="M5080">
        <v>0.9978207</v>
      </c>
      <c r="N5080">
        <v>-1.1732869999999999E-2</v>
      </c>
      <c r="O5080">
        <v>-6.4932139999999999E-2</v>
      </c>
      <c r="P5080">
        <v>0.98753880000000005</v>
      </c>
      <c r="Q5080">
        <v>0.14133200000000001</v>
      </c>
      <c r="R5080">
        <v>6.9226819999999994E-2</v>
      </c>
      <c r="S5080">
        <v>3.1584319999999999</v>
      </c>
      <c r="T5080">
        <v>-0.79584239999999995</v>
      </c>
      <c r="U5080">
        <v>-8.575439E-2</v>
      </c>
      <c r="V5080">
        <v>-0.1337023</v>
      </c>
      <c r="W5080">
        <v>0.15239929999999999</v>
      </c>
      <c r="X5080">
        <v>0.97923340000000003</v>
      </c>
      <c r="Y5080">
        <v>-3.4848289999999997E-2</v>
      </c>
      <c r="Z5080">
        <v>1.987324E-2</v>
      </c>
      <c r="AA5080">
        <v>0.99919500000000006</v>
      </c>
      <c r="AB5080">
        <v>26</v>
      </c>
      <c r="AC5080">
        <v>0.58709999999999196</v>
      </c>
      <c r="AD5080">
        <v>-0.18847639999999999</v>
      </c>
      <c r="AE5080">
        <v>-1.1130000000001399E-2</v>
      </c>
      <c r="AF5080">
        <v>-2.4494301046093198E-2</v>
      </c>
      <c r="AG5080">
        <v>-0.18847639999999999</v>
      </c>
      <c r="AH5080">
        <v>0.53179640200775902</v>
      </c>
      <c r="AI5080">
        <v>109.49596085834401</v>
      </c>
      <c r="AJ5080">
        <v>92.6371537767875</v>
      </c>
      <c r="AK5080">
        <v>0.56473953051747205</v>
      </c>
      <c r="AL5080">
        <v>81.234004376404798</v>
      </c>
      <c r="AM5080">
        <v>97.774958204108003</v>
      </c>
      <c r="AN5080">
        <v>0.99999995167066802</v>
      </c>
    </row>
    <row r="5081" spans="1:40" x14ac:dyDescent="0.25">
      <c r="A5081" t="str">
        <f>"20190303162701264"</f>
        <v>20190303162701264</v>
      </c>
      <c r="B5081" t="str">
        <f>"1551601621259268"</f>
        <v>1551601621259268</v>
      </c>
      <c r="C5081" t="s">
        <v>40</v>
      </c>
      <c r="D5081">
        <v>5.0832379999999997</v>
      </c>
      <c r="E5081">
        <v>0.53981290000000004</v>
      </c>
      <c r="F5081" t="s">
        <v>42</v>
      </c>
      <c r="G5081">
        <v>-220.95330000000001</v>
      </c>
      <c r="H5081">
        <v>0.90557010000000004</v>
      </c>
      <c r="I5081">
        <v>-62.881140000000002</v>
      </c>
      <c r="J5081">
        <v>-221.60390000000001</v>
      </c>
      <c r="K5081">
        <v>1.1223259999999999</v>
      </c>
      <c r="L5081">
        <v>-62.864960000000004</v>
      </c>
      <c r="M5081">
        <v>0.99789830000000002</v>
      </c>
      <c r="N5081">
        <v>-1.1734329999999999E-2</v>
      </c>
      <c r="O5081">
        <v>-6.3729889999999997E-2</v>
      </c>
      <c r="P5081">
        <v>0.98764770000000002</v>
      </c>
      <c r="Q5081">
        <v>0.1412484</v>
      </c>
      <c r="R5081">
        <v>6.7831950000000002E-2</v>
      </c>
      <c r="S5081">
        <v>3.1668240000000001</v>
      </c>
      <c r="T5081">
        <v>-0.85335799999999995</v>
      </c>
      <c r="U5081">
        <v>-9.7595210000000002E-2</v>
      </c>
      <c r="V5081">
        <v>-0.1311513</v>
      </c>
      <c r="W5081">
        <v>0.15231629999999999</v>
      </c>
      <c r="X5081">
        <v>0.97959130000000005</v>
      </c>
      <c r="Y5081">
        <v>-2.978053E-2</v>
      </c>
      <c r="Z5081">
        <v>2.0239170000000001E-2</v>
      </c>
      <c r="AA5081">
        <v>0.99935160000000001</v>
      </c>
      <c r="AB5081">
        <v>26</v>
      </c>
      <c r="AC5081">
        <v>0.65059999999999696</v>
      </c>
      <c r="AD5081">
        <v>-0.216755899999999</v>
      </c>
      <c r="AE5081">
        <v>-1.61800000000056E-2</v>
      </c>
      <c r="AF5081">
        <v>-2.27903059071979E-2</v>
      </c>
      <c r="AG5081">
        <v>-0.216755899999999</v>
      </c>
      <c r="AH5081">
        <v>0.58537356662622497</v>
      </c>
      <c r="AI5081">
        <v>110.304782827899</v>
      </c>
      <c r="AJ5081">
        <v>92.229566308799704</v>
      </c>
      <c r="AK5081">
        <v>0.62463167605626702</v>
      </c>
      <c r="AL5081">
        <v>81.238816677157104</v>
      </c>
      <c r="AM5081">
        <v>97.625623568009502</v>
      </c>
      <c r="AN5081">
        <v>1.00000001688653</v>
      </c>
    </row>
    <row r="5082" spans="1:40" x14ac:dyDescent="0.25">
      <c r="A5082" t="str">
        <f>"20190303162701278"</f>
        <v>20190303162701278</v>
      </c>
      <c r="B5082" t="str">
        <f>"1551601621269026"</f>
        <v>1551601621269026</v>
      </c>
      <c r="C5082" t="s">
        <v>40</v>
      </c>
      <c r="D5082">
        <v>5.0515790000000003</v>
      </c>
      <c r="E5082">
        <v>0.54056890000000002</v>
      </c>
      <c r="F5082" t="s">
        <v>42</v>
      </c>
      <c r="G5082">
        <v>-220.73859999999999</v>
      </c>
      <c r="H5082">
        <v>0.87099579999999999</v>
      </c>
      <c r="I5082">
        <v>-62.894840000000002</v>
      </c>
      <c r="J5082">
        <v>-221.43219999999999</v>
      </c>
      <c r="K5082">
        <v>1.122376</v>
      </c>
      <c r="L5082">
        <v>-62.874479999999998</v>
      </c>
      <c r="M5082">
        <v>0.99798719999999996</v>
      </c>
      <c r="N5082">
        <v>-1.1739680000000001E-2</v>
      </c>
      <c r="O5082">
        <v>-6.2320239999999999E-2</v>
      </c>
      <c r="P5082">
        <v>0.98794990000000005</v>
      </c>
      <c r="Q5082">
        <v>0.14101620000000001</v>
      </c>
      <c r="R5082">
        <v>6.3790990000000006E-2</v>
      </c>
      <c r="S5082">
        <v>3.1770170000000002</v>
      </c>
      <c r="T5082">
        <v>-0.92286089999999998</v>
      </c>
      <c r="U5082">
        <v>-0.10916140000000001</v>
      </c>
      <c r="V5082">
        <v>-0.12576969999999901</v>
      </c>
      <c r="W5082">
        <v>0.15209900000000001</v>
      </c>
      <c r="X5082">
        <v>0.98033049999999999</v>
      </c>
      <c r="Y5082">
        <v>-2.4592320000000001E-2</v>
      </c>
      <c r="Z5082">
        <v>2.0646040000000001E-2</v>
      </c>
      <c r="AA5082">
        <v>0.99948440000000005</v>
      </c>
      <c r="AB5082">
        <v>26</v>
      </c>
      <c r="AC5082">
        <v>0.69360000000000299</v>
      </c>
      <c r="AD5082">
        <v>-0.251380199999999</v>
      </c>
      <c r="AE5082">
        <v>-2.03599999999966E-2</v>
      </c>
      <c r="AF5082">
        <v>-2.0250215842307E-2</v>
      </c>
      <c r="AG5082">
        <v>-0.251380199999999</v>
      </c>
      <c r="AH5082">
        <v>0.61306163283941395</v>
      </c>
      <c r="AI5082">
        <v>112.284660099212</v>
      </c>
      <c r="AJ5082">
        <v>91.891865589700004</v>
      </c>
      <c r="AK5082">
        <v>0.66290771744898902</v>
      </c>
      <c r="AL5082">
        <v>81.251413731135401</v>
      </c>
      <c r="AM5082">
        <v>97.3107218984578</v>
      </c>
      <c r="AN5082">
        <v>1.0000000062346699</v>
      </c>
    </row>
    <row r="5083" spans="1:40" x14ac:dyDescent="0.25">
      <c r="A5083" t="str">
        <f>"20190303162701291"</f>
        <v>20190303162701291</v>
      </c>
      <c r="B5083" t="str">
        <f>"1551601621279762"</f>
        <v>1551601621279762</v>
      </c>
      <c r="C5083" t="s">
        <v>40</v>
      </c>
      <c r="D5083">
        <v>5.0331270000000004</v>
      </c>
      <c r="E5083">
        <v>0.54122650000000005</v>
      </c>
      <c r="F5083" t="s">
        <v>42</v>
      </c>
      <c r="G5083">
        <v>-220.7218</v>
      </c>
      <c r="H5083">
        <v>0.91278049999999999</v>
      </c>
      <c r="I5083">
        <v>-62.902709999999999</v>
      </c>
      <c r="J5083">
        <v>-221.2861</v>
      </c>
      <c r="K5083">
        <v>1.1224259999999999</v>
      </c>
      <c r="L5083">
        <v>-62.882289999999998</v>
      </c>
      <c r="M5083">
        <v>0.99806410000000001</v>
      </c>
      <c r="N5083">
        <v>-1.174624E-2</v>
      </c>
      <c r="O5083">
        <v>-6.1075749999999998E-2</v>
      </c>
      <c r="P5083">
        <v>0.98808569999999996</v>
      </c>
      <c r="Q5083">
        <v>0.14084440000000001</v>
      </c>
      <c r="R5083">
        <v>6.20461E-2</v>
      </c>
      <c r="S5083">
        <v>3.1785739999999998</v>
      </c>
      <c r="T5083">
        <v>-0.9379864</v>
      </c>
      <c r="U5083">
        <v>-0.12561040000000001</v>
      </c>
      <c r="V5083">
        <v>-0.1228301</v>
      </c>
      <c r="W5083">
        <v>0.15193409999999999</v>
      </c>
      <c r="X5083">
        <v>0.98072870000000001</v>
      </c>
      <c r="Y5083">
        <v>-1.841048E-2</v>
      </c>
      <c r="Z5083">
        <v>1.9692939999999999E-2</v>
      </c>
      <c r="AA5083">
        <v>0.99963650000000004</v>
      </c>
      <c r="AB5083">
        <v>26</v>
      </c>
      <c r="AC5083">
        <v>0.56430000000000202</v>
      </c>
      <c r="AD5083">
        <v>-0.20964549999999901</v>
      </c>
      <c r="AE5083">
        <v>-2.04199999999943E-2</v>
      </c>
      <c r="AF5083">
        <v>-1.23791730523122E-2</v>
      </c>
      <c r="AG5083">
        <v>-0.20964549999999901</v>
      </c>
      <c r="AH5083">
        <v>0.49610882777231202</v>
      </c>
      <c r="AI5083">
        <v>112.90153776218899</v>
      </c>
      <c r="AJ5083">
        <v>91.429378354295096</v>
      </c>
      <c r="AK5083">
        <v>0.53872854814769799</v>
      </c>
      <c r="AL5083">
        <v>81.260972791086999</v>
      </c>
      <c r="AM5083">
        <v>97.138764615489706</v>
      </c>
      <c r="AN5083">
        <v>0.99999999360625502</v>
      </c>
    </row>
    <row r="5084" spans="1:40" x14ac:dyDescent="0.25">
      <c r="A5084" t="str">
        <f>"20190303162701305"</f>
        <v>20190303162701305</v>
      </c>
      <c r="B5084" t="str">
        <f>"1551601621299282"</f>
        <v>1551601621299282</v>
      </c>
      <c r="C5084" t="s">
        <v>40</v>
      </c>
      <c r="D5084">
        <v>5.0525250000000002</v>
      </c>
      <c r="E5084">
        <v>0.54227440000000005</v>
      </c>
      <c r="F5084" t="s">
        <v>42</v>
      </c>
      <c r="G5084">
        <v>-220.5026</v>
      </c>
      <c r="H5084">
        <v>0.8889688</v>
      </c>
      <c r="I5084">
        <v>-62.915680000000002</v>
      </c>
      <c r="J5084">
        <v>-221.1396</v>
      </c>
      <c r="K5084">
        <v>1.1224799999999999</v>
      </c>
      <c r="L5084">
        <v>-62.889949999999999</v>
      </c>
      <c r="M5084">
        <v>0.99814130000000001</v>
      </c>
      <c r="N5084">
        <v>-1.175372E-2</v>
      </c>
      <c r="O5084">
        <v>-5.9798110000000002E-2</v>
      </c>
      <c r="P5084">
        <v>0.98817999999999995</v>
      </c>
      <c r="Q5084">
        <v>0.14087469999999999</v>
      </c>
      <c r="R5084">
        <v>6.0453970000000003E-2</v>
      </c>
      <c r="S5084">
        <v>3.1797029999999999</v>
      </c>
      <c r="T5084">
        <v>-0.94755089999999997</v>
      </c>
      <c r="U5084">
        <v>-0.1347961</v>
      </c>
      <c r="V5084">
        <v>-0.12000810000000001</v>
      </c>
      <c r="W5084">
        <v>0.15197040000000001</v>
      </c>
      <c r="X5084">
        <v>0.98107239999999996</v>
      </c>
      <c r="Y5084">
        <v>-1.4429010000000001E-2</v>
      </c>
      <c r="Z5084">
        <v>1.892141E-2</v>
      </c>
      <c r="AA5084">
        <v>0.99971690000000002</v>
      </c>
      <c r="AB5084">
        <v>26</v>
      </c>
      <c r="AC5084">
        <v>0.63700000000000001</v>
      </c>
      <c r="AD5084">
        <v>-0.233511199999999</v>
      </c>
      <c r="AE5084">
        <v>-2.57300000000029E-2</v>
      </c>
      <c r="AF5084">
        <v>-1.0942070694838499E-2</v>
      </c>
      <c r="AG5084">
        <v>-0.233511199999999</v>
      </c>
      <c r="AH5084">
        <v>0.56199978738979905</v>
      </c>
      <c r="AI5084">
        <v>112.559062749464</v>
      </c>
      <c r="AJ5084">
        <v>91.115401256979794</v>
      </c>
      <c r="AK5084">
        <v>0.60867969447214998</v>
      </c>
      <c r="AL5084">
        <v>81.258868578021705</v>
      </c>
      <c r="AM5084">
        <v>96.973967739667401</v>
      </c>
      <c r="AN5084">
        <v>1.0000000002917599</v>
      </c>
    </row>
    <row r="5085" spans="1:40" x14ac:dyDescent="0.25">
      <c r="A5085" t="str">
        <f>"20190303162701315"</f>
        <v>20190303162701315</v>
      </c>
      <c r="B5085" t="str">
        <f>"1551601621309043"</f>
        <v>1551601621309043</v>
      </c>
      <c r="C5085" t="s">
        <v>40</v>
      </c>
      <c r="D5085">
        <v>5.0189620000000001</v>
      </c>
      <c r="E5085">
        <v>0.54265459999999999</v>
      </c>
      <c r="F5085" t="s">
        <v>42</v>
      </c>
      <c r="G5085">
        <v>-220.2834</v>
      </c>
      <c r="H5085">
        <v>0.86521579999999998</v>
      </c>
      <c r="I5085">
        <v>-62.929470000000002</v>
      </c>
      <c r="J5085">
        <v>-220.99879999999999</v>
      </c>
      <c r="K5085">
        <v>1.1225369999999999</v>
      </c>
      <c r="L5085">
        <v>-62.897060000000003</v>
      </c>
      <c r="M5085">
        <v>0.99821780000000004</v>
      </c>
      <c r="N5085">
        <v>-1.1761590000000001E-2</v>
      </c>
      <c r="O5085">
        <v>-5.85059E-2</v>
      </c>
      <c r="P5085">
        <v>0.98825169999999996</v>
      </c>
      <c r="Q5085">
        <v>0.14083219999999999</v>
      </c>
      <c r="R5085">
        <v>5.9370319999999997E-2</v>
      </c>
      <c r="S5085">
        <v>3.1810909999999999</v>
      </c>
      <c r="T5085">
        <v>-0.95584499999999994</v>
      </c>
      <c r="U5085">
        <v>-0.14648439999999999</v>
      </c>
      <c r="V5085">
        <v>-0.1176783</v>
      </c>
      <c r="W5085">
        <v>0.1519317</v>
      </c>
      <c r="X5085">
        <v>0.98136060000000003</v>
      </c>
      <c r="Y5085">
        <v>-9.7054189999999999E-3</v>
      </c>
      <c r="Z5085">
        <v>1.7988380000000002E-2</v>
      </c>
      <c r="AA5085">
        <v>0.99979110000000004</v>
      </c>
      <c r="AB5085">
        <v>26</v>
      </c>
      <c r="AC5085">
        <v>0.71539999999998805</v>
      </c>
      <c r="AD5085">
        <v>-0.25732119999999897</v>
      </c>
      <c r="AE5085">
        <v>-3.2409999999998697E-2</v>
      </c>
      <c r="AF5085">
        <v>-8.4168342171261797E-3</v>
      </c>
      <c r="AG5085">
        <v>-0.25732119999999897</v>
      </c>
      <c r="AH5085">
        <v>0.63418988882861604</v>
      </c>
      <c r="AI5085">
        <v>112.08299210471399</v>
      </c>
      <c r="AJ5085">
        <v>90.760372838605207</v>
      </c>
      <c r="AK5085">
        <v>0.68445734575657102</v>
      </c>
      <c r="AL5085">
        <v>81.261112196932402</v>
      </c>
      <c r="AM5085">
        <v>96.837882779767099</v>
      </c>
      <c r="AN5085">
        <v>1.00000002549406</v>
      </c>
    </row>
    <row r="5086" spans="1:40" x14ac:dyDescent="0.25">
      <c r="A5086" t="str">
        <f>"20190303162701327"</f>
        <v>20190303162701327</v>
      </c>
      <c r="B5086" t="str">
        <f>"1551601621318803"</f>
        <v>1551601621318803</v>
      </c>
      <c r="C5086" t="s">
        <v>40</v>
      </c>
      <c r="D5086">
        <v>5.0209469999999996</v>
      </c>
      <c r="E5086">
        <v>0.54305199999999998</v>
      </c>
      <c r="F5086" t="s">
        <v>42</v>
      </c>
      <c r="G5086">
        <v>-220.2681</v>
      </c>
      <c r="H5086">
        <v>0.90216989999999997</v>
      </c>
      <c r="I5086">
        <v>-62.931930000000001</v>
      </c>
      <c r="J5086">
        <v>-220.87389999999999</v>
      </c>
      <c r="K5086">
        <v>1.12259</v>
      </c>
      <c r="L5086">
        <v>-62.903170000000003</v>
      </c>
      <c r="M5086">
        <v>0.9982858</v>
      </c>
      <c r="N5086">
        <v>-1.176847E-2</v>
      </c>
      <c r="O5086">
        <v>-5.7331760000000002E-2</v>
      </c>
      <c r="P5086">
        <v>0.98835819999999996</v>
      </c>
      <c r="Q5086">
        <v>0.14072179999999901</v>
      </c>
      <c r="R5086">
        <v>5.7838899999999999E-2</v>
      </c>
      <c r="S5086">
        <v>3.1814879999999999</v>
      </c>
      <c r="T5086">
        <v>-0.95955570000000001</v>
      </c>
      <c r="U5086">
        <v>-0.15142820000000001</v>
      </c>
      <c r="V5086">
        <v>-0.1150176</v>
      </c>
      <c r="W5086">
        <v>0.15182850000000001</v>
      </c>
      <c r="X5086">
        <v>0.98169200000000001</v>
      </c>
      <c r="Y5086">
        <v>-7.1305179999999998E-3</v>
      </c>
      <c r="Z5086">
        <v>1.732709E-2</v>
      </c>
      <c r="AA5086">
        <v>0.9998245</v>
      </c>
      <c r="AB5086">
        <v>26</v>
      </c>
      <c r="AC5086">
        <v>0.60579999999998702</v>
      </c>
      <c r="AD5086">
        <v>-0.22042009999999901</v>
      </c>
      <c r="AE5086">
        <v>-2.8760000000005399E-2</v>
      </c>
      <c r="AF5086">
        <v>-5.3187501369378097E-3</v>
      </c>
      <c r="AG5086">
        <v>-0.22042009999999901</v>
      </c>
      <c r="AH5086">
        <v>0.53569329925448905</v>
      </c>
      <c r="AI5086">
        <v>112.36455397973801</v>
      </c>
      <c r="AJ5086">
        <v>90.568855205721405</v>
      </c>
      <c r="AK5086">
        <v>0.57929320767050996</v>
      </c>
      <c r="AL5086">
        <v>81.267094846508499</v>
      </c>
      <c r="AM5086">
        <v>96.6824575075198</v>
      </c>
      <c r="AN5086">
        <v>1.0000000622930001</v>
      </c>
    </row>
    <row r="5087" spans="1:40" x14ac:dyDescent="0.25">
      <c r="A5087" t="str">
        <f>"20190303162701338"</f>
        <v>20190303162701338</v>
      </c>
      <c r="B5087" t="str">
        <f>"1551601621329538"</f>
        <v>1551601621329538</v>
      </c>
      <c r="C5087" t="s">
        <v>40</v>
      </c>
      <c r="D5087">
        <v>5.0375220000000001</v>
      </c>
      <c r="E5087">
        <v>0.54335929999999999</v>
      </c>
      <c r="F5087" t="s">
        <v>42</v>
      </c>
      <c r="G5087">
        <v>-220.0506</v>
      </c>
      <c r="H5087">
        <v>0.873924699999999</v>
      </c>
      <c r="I5087">
        <v>-62.944119999999998</v>
      </c>
      <c r="J5087">
        <v>-220.73759999999999</v>
      </c>
      <c r="K5087">
        <v>1.12264599999999</v>
      </c>
      <c r="L5087">
        <v>-62.909640000000003</v>
      </c>
      <c r="M5087">
        <v>0.99836069999999999</v>
      </c>
      <c r="N5087">
        <v>-1.1775860000000001E-2</v>
      </c>
      <c r="O5087">
        <v>-5.6012149999999997E-2</v>
      </c>
      <c r="P5087">
        <v>0.98839699999999997</v>
      </c>
      <c r="Q5087">
        <v>0.14089489999999999</v>
      </c>
      <c r="R5087">
        <v>5.6745190000000001E-2</v>
      </c>
      <c r="S5087">
        <v>3.1813959999999999</v>
      </c>
      <c r="T5087">
        <v>-0.96096970000000004</v>
      </c>
      <c r="U5087">
        <v>-0.15826419999999999</v>
      </c>
      <c r="V5087">
        <v>-0.1126492</v>
      </c>
      <c r="W5087">
        <v>0.15200620000000001</v>
      </c>
      <c r="X5087">
        <v>0.98193900000000001</v>
      </c>
      <c r="Y5087">
        <v>-3.8617600000000001E-3</v>
      </c>
      <c r="Z5087">
        <v>1.6475440000000001E-2</v>
      </c>
      <c r="AA5087">
        <v>0.99985679999999999</v>
      </c>
      <c r="AB5087">
        <v>26</v>
      </c>
      <c r="AC5087">
        <v>0.68699999999998296</v>
      </c>
      <c r="AD5087">
        <v>-0.24872129999999901</v>
      </c>
      <c r="AE5087">
        <v>-3.4479999999994897E-2</v>
      </c>
      <c r="AF5087">
        <v>-3.5880386853173402E-3</v>
      </c>
      <c r="AG5087">
        <v>-0.24872129999999901</v>
      </c>
      <c r="AH5087">
        <v>0.60831903334463699</v>
      </c>
      <c r="AI5087">
        <v>112.23766138230199</v>
      </c>
      <c r="AJ5087">
        <v>90.3379428854916</v>
      </c>
      <c r="AK5087">
        <v>0.65721168996347801</v>
      </c>
      <c r="AL5087">
        <v>81.256792953906896</v>
      </c>
      <c r="AM5087">
        <v>96.544429163066198</v>
      </c>
      <c r="AN5087">
        <v>0.99999996341003905</v>
      </c>
    </row>
    <row r="5088" spans="1:40" x14ac:dyDescent="0.25">
      <c r="A5088" t="str">
        <f>"20190303162701351"</f>
        <v>20190303162701351</v>
      </c>
      <c r="B5088" t="str">
        <f>"1551601621339298"</f>
        <v>1551601621339298</v>
      </c>
      <c r="C5088" t="s">
        <v>40</v>
      </c>
      <c r="D5088">
        <v>5.0214559999999997</v>
      </c>
      <c r="E5088">
        <v>0.54362809999999995</v>
      </c>
      <c r="F5088" t="s">
        <v>42</v>
      </c>
      <c r="G5088">
        <v>-220.03550000000001</v>
      </c>
      <c r="H5088">
        <v>0.91038730000000001</v>
      </c>
      <c r="I5088">
        <v>-62.945720000000001</v>
      </c>
      <c r="J5088">
        <v>-220.60239999999999</v>
      </c>
      <c r="K5088">
        <v>1.1227</v>
      </c>
      <c r="L5088">
        <v>-62.915799999999997</v>
      </c>
      <c r="M5088">
        <v>0.99843599999999999</v>
      </c>
      <c r="N5088">
        <v>-1.1783129999999999E-2</v>
      </c>
      <c r="O5088">
        <v>-5.4651180000000001E-2</v>
      </c>
      <c r="P5088">
        <v>0.98850000000000005</v>
      </c>
      <c r="Q5088">
        <v>0.1405158</v>
      </c>
      <c r="R5088">
        <v>5.5886209999999999E-2</v>
      </c>
      <c r="S5088">
        <v>3.181702</v>
      </c>
      <c r="T5088">
        <v>-0.96179269999999994</v>
      </c>
      <c r="U5088">
        <v>-0.16348270000000001</v>
      </c>
      <c r="V5088">
        <v>-0.1104749</v>
      </c>
      <c r="W5088">
        <v>0.1516315</v>
      </c>
      <c r="X5088">
        <v>0.98224400000000001</v>
      </c>
      <c r="Y5088">
        <v>-1.050318E-3</v>
      </c>
      <c r="Z5088">
        <v>1.5668660000000001E-2</v>
      </c>
      <c r="AA5088">
        <v>0.99987669999999995</v>
      </c>
      <c r="AB5088">
        <v>26</v>
      </c>
      <c r="AC5088">
        <v>0.56689999999997498</v>
      </c>
      <c r="AD5088">
        <v>-0.21231269999999999</v>
      </c>
      <c r="AE5088">
        <v>-2.9919999999997001E-2</v>
      </c>
      <c r="AF5088">
        <v>-9.7258789360291705E-4</v>
      </c>
      <c r="AG5088">
        <v>-0.21231269999999999</v>
      </c>
      <c r="AH5088">
        <v>0.498027762784016</v>
      </c>
      <c r="AI5088">
        <v>113.088849413925</v>
      </c>
      <c r="AJ5088">
        <v>90.111891574793404</v>
      </c>
      <c r="AK5088">
        <v>0.54139567878969397</v>
      </c>
      <c r="AL5088">
        <v>81.278514181169498</v>
      </c>
      <c r="AM5088">
        <v>96.417199776902606</v>
      </c>
      <c r="AN5088">
        <v>1.00000004542912</v>
      </c>
    </row>
    <row r="5089" spans="1:40" x14ac:dyDescent="0.25">
      <c r="A5089" t="str">
        <f>"20190303162701362"</f>
        <v>20190303162701362</v>
      </c>
      <c r="B5089" t="str">
        <f>"1551601621358818"</f>
        <v>1551601621358818</v>
      </c>
      <c r="C5089" t="s">
        <v>40</v>
      </c>
      <c r="D5089">
        <v>5.0109209999999997</v>
      </c>
      <c r="E5089">
        <v>0.54399600000000004</v>
      </c>
      <c r="F5089" t="s">
        <v>42</v>
      </c>
      <c r="G5089">
        <v>-219.8169</v>
      </c>
      <c r="H5089">
        <v>0.88480139999999996</v>
      </c>
      <c r="I5089">
        <v>-62.9574</v>
      </c>
      <c r="J5089">
        <v>-220.46680000000001</v>
      </c>
      <c r="K5089">
        <v>1.122754</v>
      </c>
      <c r="L5089">
        <v>-62.921880000000002</v>
      </c>
      <c r="M5089">
        <v>0.99851089999999998</v>
      </c>
      <c r="N5089">
        <v>-1.179027E-2</v>
      </c>
      <c r="O5089">
        <v>-5.3266500000000001E-2</v>
      </c>
      <c r="P5089">
        <v>0.98858380000000001</v>
      </c>
      <c r="Q5089">
        <v>0.14027979999999901</v>
      </c>
      <c r="R5089">
        <v>5.4990230000000001E-2</v>
      </c>
      <c r="S5089">
        <v>3.181381</v>
      </c>
      <c r="T5089">
        <v>-0.96378419999999998</v>
      </c>
      <c r="U5089">
        <v>-0.16775509999999999</v>
      </c>
      <c r="V5089">
        <v>-0.10824010000000001</v>
      </c>
      <c r="W5089">
        <v>0.15140100000000001</v>
      </c>
      <c r="X5089">
        <v>0.98252830000000002</v>
      </c>
      <c r="Y5089">
        <v>1.514254E-3</v>
      </c>
      <c r="Z5089">
        <v>1.491311E-2</v>
      </c>
      <c r="AA5089">
        <v>0.99988759999999999</v>
      </c>
      <c r="AB5089">
        <v>26</v>
      </c>
      <c r="AC5089">
        <v>0.64990000000000203</v>
      </c>
      <c r="AD5089">
        <v>-0.23795259999999999</v>
      </c>
      <c r="AE5089">
        <v>-3.5519999999998199E-2</v>
      </c>
      <c r="AF5089">
        <v>7.4913975163364596E-4</v>
      </c>
      <c r="AG5089">
        <v>-0.23795259999999999</v>
      </c>
      <c r="AH5089">
        <v>0.57413243262760705</v>
      </c>
      <c r="AI5089">
        <v>112.51183546341601</v>
      </c>
      <c r="AJ5089">
        <v>89.925239336369899</v>
      </c>
      <c r="AK5089">
        <v>0.62149018596597405</v>
      </c>
      <c r="AL5089">
        <v>81.291874899987306</v>
      </c>
      <c r="AM5089">
        <v>96.286631602421494</v>
      </c>
      <c r="AN5089">
        <v>1.00000002117494</v>
      </c>
    </row>
    <row r="5090" spans="1:40" x14ac:dyDescent="0.25">
      <c r="A5090" t="str">
        <f>"20190303162701374"</f>
        <v>20190303162701374</v>
      </c>
      <c r="B5090" t="str">
        <f>"1551601621369555"</f>
        <v>1551601621369555</v>
      </c>
      <c r="C5090" t="s">
        <v>40</v>
      </c>
      <c r="D5090">
        <v>5.0365609999999998</v>
      </c>
      <c r="E5090">
        <v>0.5441743</v>
      </c>
      <c r="F5090" t="s">
        <v>42</v>
      </c>
      <c r="G5090">
        <v>-219.5984</v>
      </c>
      <c r="H5090">
        <v>0.85929069999999996</v>
      </c>
      <c r="I5090">
        <v>-62.969149999999999</v>
      </c>
      <c r="J5090">
        <v>-220.3313</v>
      </c>
      <c r="K5090">
        <v>1.1228070000000001</v>
      </c>
      <c r="L5090">
        <v>-62.927549999999997</v>
      </c>
      <c r="M5090">
        <v>0.998587</v>
      </c>
      <c r="N5090">
        <v>-1.1797439999999999E-2</v>
      </c>
      <c r="O5090">
        <v>-5.1815569999999998E-2</v>
      </c>
      <c r="P5090">
        <v>0.98867090000000002</v>
      </c>
      <c r="Q5090">
        <v>0.1399379</v>
      </c>
      <c r="R5090">
        <v>5.428649E-2</v>
      </c>
      <c r="S5090">
        <v>3.1812130000000001</v>
      </c>
      <c r="T5090">
        <v>-0.96520470000000003</v>
      </c>
      <c r="U5090">
        <v>-0.17269899999999999</v>
      </c>
      <c r="V5090">
        <v>-0.1061296</v>
      </c>
      <c r="W5090">
        <v>0.15106539999999999</v>
      </c>
      <c r="X5090">
        <v>0.98281010000000002</v>
      </c>
      <c r="Y5090">
        <v>4.3342540000000001E-3</v>
      </c>
      <c r="Z5090">
        <v>1.4086889999999999E-2</v>
      </c>
      <c r="AA5090">
        <v>0.99989139999999999</v>
      </c>
      <c r="AB5090">
        <v>26</v>
      </c>
      <c r="AC5090">
        <v>0.7329</v>
      </c>
      <c r="AD5090">
        <v>-0.26351629999999898</v>
      </c>
      <c r="AE5090">
        <v>-4.1600000000002503E-2</v>
      </c>
      <c r="AF5090">
        <v>3.15878520176876E-3</v>
      </c>
      <c r="AG5090">
        <v>-0.26351629999999898</v>
      </c>
      <c r="AH5090">
        <v>0.65027461354930804</v>
      </c>
      <c r="AI5090">
        <v>112.059449992612</v>
      </c>
      <c r="AJ5090">
        <v>89.721681220265793</v>
      </c>
      <c r="AK5090">
        <v>0.70164655726109204</v>
      </c>
      <c r="AL5090">
        <v>81.311326651044496</v>
      </c>
      <c r="AM5090">
        <v>96.163251973604503</v>
      </c>
      <c r="AN5090">
        <v>0.99999996986766404</v>
      </c>
    </row>
    <row r="5091" spans="1:40" x14ac:dyDescent="0.25">
      <c r="A5091" t="str">
        <f>"20190303162701389"</f>
        <v>20190303162701389</v>
      </c>
      <c r="B5091" t="str">
        <f>"1551601621379314"</f>
        <v>1551601621379314</v>
      </c>
      <c r="C5091" t="s">
        <v>40</v>
      </c>
      <c r="D5091">
        <v>5.0220190000000002</v>
      </c>
      <c r="E5091">
        <v>0.54428409999999905</v>
      </c>
      <c r="F5091" t="s">
        <v>42</v>
      </c>
      <c r="G5091">
        <v>-219.58320000000001</v>
      </c>
      <c r="H5091">
        <v>0.89549009999999996</v>
      </c>
      <c r="I5091">
        <v>-62.96904</v>
      </c>
      <c r="J5091">
        <v>-220.1634</v>
      </c>
      <c r="K5091">
        <v>1.1228720000000001</v>
      </c>
      <c r="L5091">
        <v>-62.934359999999998</v>
      </c>
      <c r="M5091">
        <v>0.99868020000000002</v>
      </c>
      <c r="N5091">
        <v>-1.180613E-2</v>
      </c>
      <c r="O5091">
        <v>-4.9987169999999997E-2</v>
      </c>
      <c r="P5091">
        <v>0.98880749999999995</v>
      </c>
      <c r="Q5091">
        <v>0.1396481</v>
      </c>
      <c r="R5091">
        <v>5.2520549999999999E-2</v>
      </c>
      <c r="S5091">
        <v>3.1808779999999999</v>
      </c>
      <c r="T5091">
        <v>-0.96669170000000004</v>
      </c>
      <c r="U5091">
        <v>-0.1758728</v>
      </c>
      <c r="V5091">
        <v>-0.1025913</v>
      </c>
      <c r="W5091">
        <v>0.15078920000000001</v>
      </c>
      <c r="X5091">
        <v>0.98322810000000005</v>
      </c>
      <c r="Y5091">
        <v>6.9725219999999897E-3</v>
      </c>
      <c r="Z5091">
        <v>1.3180529999999999E-2</v>
      </c>
      <c r="AA5091">
        <v>0.99988880000000002</v>
      </c>
      <c r="AB5091">
        <v>26</v>
      </c>
      <c r="AC5091">
        <v>0.58019999999998995</v>
      </c>
      <c r="AD5091">
        <v>-0.227381899999999</v>
      </c>
      <c r="AE5091">
        <v>-3.4680000000001598E-2</v>
      </c>
      <c r="AF5091">
        <v>4.8845320294749897E-3</v>
      </c>
      <c r="AG5091">
        <v>-0.227381899999999</v>
      </c>
      <c r="AH5091">
        <v>0.50406559756386804</v>
      </c>
      <c r="AI5091">
        <v>114.278929938643</v>
      </c>
      <c r="AJ5091">
        <v>89.444805770931495</v>
      </c>
      <c r="AK5091">
        <v>0.552999560350799</v>
      </c>
      <c r="AL5091">
        <v>81.327334751797594</v>
      </c>
      <c r="AM5091">
        <v>95.956761331365897</v>
      </c>
      <c r="AN5091">
        <v>0.99999992715096697</v>
      </c>
    </row>
    <row r="5092" spans="1:40" x14ac:dyDescent="0.25">
      <c r="A5092" t="str">
        <f>"20190303162701401"</f>
        <v>20190303162701401</v>
      </c>
      <c r="B5092" t="str">
        <f>"1551601621389075"</f>
        <v>1551601621389075</v>
      </c>
      <c r="C5092" t="s">
        <v>40</v>
      </c>
      <c r="D5092">
        <v>4.997401</v>
      </c>
      <c r="E5092">
        <v>0.54432569999999902</v>
      </c>
      <c r="F5092" t="s">
        <v>42</v>
      </c>
      <c r="G5092">
        <v>-219.3613</v>
      </c>
      <c r="H5092">
        <v>0.87809429999999999</v>
      </c>
      <c r="I5092">
        <v>-62.980469999999997</v>
      </c>
      <c r="J5092">
        <v>-220.0146</v>
      </c>
      <c r="K5092">
        <v>1.122922</v>
      </c>
      <c r="L5092">
        <v>-62.940159999999999</v>
      </c>
      <c r="M5092">
        <v>0.99876140000000002</v>
      </c>
      <c r="N5092">
        <v>-1.181364E-2</v>
      </c>
      <c r="O5092">
        <v>-4.833196E-2</v>
      </c>
      <c r="P5092">
        <v>0.98877809999999999</v>
      </c>
      <c r="Q5092">
        <v>0.13973050000000001</v>
      </c>
      <c r="R5092">
        <v>5.2849050000000002E-2</v>
      </c>
      <c r="S5092">
        <v>3.1807099999999999</v>
      </c>
      <c r="T5092">
        <v>-0.97072650000000005</v>
      </c>
      <c r="U5092">
        <v>-0.18218989999999999</v>
      </c>
      <c r="V5092">
        <v>-0.1013044</v>
      </c>
      <c r="W5092">
        <v>0.15087449999999999</v>
      </c>
      <c r="X5092">
        <v>0.98334849999999996</v>
      </c>
      <c r="Y5092">
        <v>1.039639E-2</v>
      </c>
      <c r="Z5092">
        <v>1.2230420000000001E-2</v>
      </c>
      <c r="AA5092">
        <v>0.99987110000000001</v>
      </c>
      <c r="AB5092">
        <v>26</v>
      </c>
      <c r="AC5092">
        <v>0.65330000000000099</v>
      </c>
      <c r="AD5092">
        <v>-0.24482769999999901</v>
      </c>
      <c r="AE5092">
        <v>-4.0309999999998E-2</v>
      </c>
      <c r="AF5092">
        <v>7.6193885437433103E-3</v>
      </c>
      <c r="AG5092">
        <v>-0.24482769999999901</v>
      </c>
      <c r="AH5092">
        <v>0.57415532716636097</v>
      </c>
      <c r="AI5092">
        <v>113.092244098245</v>
      </c>
      <c r="AJ5092">
        <v>89.239694973164106</v>
      </c>
      <c r="AK5092">
        <v>0.62422191365137303</v>
      </c>
      <c r="AL5092">
        <v>81.322391360535207</v>
      </c>
      <c r="AM5092">
        <v>95.881852102837996</v>
      </c>
      <c r="AN5092">
        <v>0.99999998433092896</v>
      </c>
    </row>
    <row r="5093" spans="1:40" x14ac:dyDescent="0.25">
      <c r="A5093" t="str">
        <f>"20190303162701413"</f>
        <v>20190303162701413</v>
      </c>
      <c r="B5093" t="str">
        <f>"1551601621398834"</f>
        <v>1551601621398834</v>
      </c>
      <c r="C5093" t="s">
        <v>40</v>
      </c>
      <c r="D5093">
        <v>4.9636420000000001</v>
      </c>
      <c r="E5093">
        <v>0.54433240000000005</v>
      </c>
      <c r="F5093" t="s">
        <v>42</v>
      </c>
      <c r="G5093">
        <v>-219.3443</v>
      </c>
      <c r="H5093">
        <v>0.91764089999999998</v>
      </c>
      <c r="I5093">
        <v>-62.9786199999999</v>
      </c>
      <c r="J5093">
        <v>-219.8877</v>
      </c>
      <c r="K5093">
        <v>1.1229499999999999</v>
      </c>
      <c r="L5093">
        <v>-62.94473</v>
      </c>
      <c r="M5093">
        <v>0.99883089999999997</v>
      </c>
      <c r="N5093">
        <v>-1.1819629999999999E-2</v>
      </c>
      <c r="O5093">
        <v>-4.6876059999999997E-2</v>
      </c>
      <c r="P5093">
        <v>0.98863699999999999</v>
      </c>
      <c r="Q5093">
        <v>0.13987820000000001</v>
      </c>
      <c r="R5093">
        <v>5.5055060000000003E-2</v>
      </c>
      <c r="S5093">
        <v>3.1814879999999999</v>
      </c>
      <c r="T5093">
        <v>-0.97447300000000003</v>
      </c>
      <c r="U5093">
        <v>-0.1817627</v>
      </c>
      <c r="V5093">
        <v>-0.10207910000000001</v>
      </c>
      <c r="W5093">
        <v>0.15101400000000001</v>
      </c>
      <c r="X5093">
        <v>0.98324699999999998</v>
      </c>
      <c r="Y5093">
        <v>1.1599150000000001E-2</v>
      </c>
      <c r="Z5093">
        <v>1.166935E-2</v>
      </c>
      <c r="AA5093">
        <v>0.99986459999999999</v>
      </c>
      <c r="AB5093">
        <v>26</v>
      </c>
      <c r="AC5093">
        <v>0.543399999999991</v>
      </c>
      <c r="AD5093">
        <v>-0.205309099999999</v>
      </c>
      <c r="AE5093">
        <v>-3.38899999999853E-2</v>
      </c>
      <c r="AF5093">
        <v>7.3354339883880898E-3</v>
      </c>
      <c r="AG5093">
        <v>-0.205309099999999</v>
      </c>
      <c r="AH5093">
        <v>0.47661759607165799</v>
      </c>
      <c r="AI5093">
        <v>113.302111496324</v>
      </c>
      <c r="AJ5093">
        <v>89.118252805076096</v>
      </c>
      <c r="AK5093">
        <v>0.51900863963881605</v>
      </c>
      <c r="AL5093">
        <v>81.3143062442077</v>
      </c>
      <c r="AM5093">
        <v>95.927120579645603</v>
      </c>
      <c r="AN5093">
        <v>1.0000000169309</v>
      </c>
    </row>
    <row r="5094" spans="1:40" x14ac:dyDescent="0.25">
      <c r="A5094" t="str">
        <f>"20190303162701424"</f>
        <v>20190303162701424</v>
      </c>
      <c r="B5094" t="str">
        <f>"1551601621419331"</f>
        <v>1551601621419331</v>
      </c>
      <c r="C5094" t="s">
        <v>40</v>
      </c>
      <c r="D5094">
        <v>4.9500719999999996</v>
      </c>
      <c r="E5094">
        <v>0.54446439999999996</v>
      </c>
      <c r="F5094" t="s">
        <v>42</v>
      </c>
      <c r="G5094">
        <v>-219.12690000000001</v>
      </c>
      <c r="H5094">
        <v>0.88910389999999995</v>
      </c>
      <c r="I5094">
        <v>-62.986690000000003</v>
      </c>
      <c r="J5094">
        <v>-219.76140000000001</v>
      </c>
      <c r="K5094">
        <v>1.122981</v>
      </c>
      <c r="L5094">
        <v>-62.949190000000002</v>
      </c>
      <c r="M5094">
        <v>0.99889799999999995</v>
      </c>
      <c r="N5094">
        <v>-1.182539E-2</v>
      </c>
      <c r="O5094">
        <v>-4.5420769999999999E-2</v>
      </c>
      <c r="P5094">
        <v>0.98864629999999998</v>
      </c>
      <c r="Q5094">
        <v>0.13967289999999999</v>
      </c>
      <c r="R5094">
        <v>5.5405879999999998E-2</v>
      </c>
      <c r="S5094">
        <v>3.1826629999999998</v>
      </c>
      <c r="T5094">
        <v>-0.97845490000000002</v>
      </c>
      <c r="U5094">
        <v>-0.17501829999999999</v>
      </c>
      <c r="V5094">
        <v>-0.1010066</v>
      </c>
      <c r="W5094">
        <v>0.15081320000000001</v>
      </c>
      <c r="X5094">
        <v>0.9833885</v>
      </c>
      <c r="Y5094">
        <v>1.0905410000000001E-2</v>
      </c>
      <c r="Z5094">
        <v>1.140244E-2</v>
      </c>
      <c r="AA5094">
        <v>0.99987550000000003</v>
      </c>
      <c r="AB5094">
        <v>26</v>
      </c>
      <c r="AC5094">
        <v>0.63450000000000195</v>
      </c>
      <c r="AD5094">
        <v>-0.23387709999999901</v>
      </c>
      <c r="AE5094">
        <v>-3.75000000000014E-2</v>
      </c>
      <c r="AF5094">
        <v>7.6095205384419098E-3</v>
      </c>
      <c r="AG5094">
        <v>-0.23387709999999901</v>
      </c>
      <c r="AH5094">
        <v>0.55976053239045498</v>
      </c>
      <c r="AI5094">
        <v>112.67408641466901</v>
      </c>
      <c r="AJ5094">
        <v>89.221155242236506</v>
      </c>
      <c r="AK5094">
        <v>0.606702774288432</v>
      </c>
      <c r="AL5094">
        <v>81.325943929886094</v>
      </c>
      <c r="AM5094">
        <v>95.864445292687506</v>
      </c>
      <c r="AN5094">
        <v>0.99999994823502303</v>
      </c>
    </row>
    <row r="5095" spans="1:40" x14ac:dyDescent="0.25">
      <c r="A5095" t="str">
        <f>"20190303162701434"</f>
        <v>20190303162701434</v>
      </c>
      <c r="B5095" t="str">
        <f>"1551601621429090"</f>
        <v>1551601621429090</v>
      </c>
      <c r="C5095" t="s">
        <v>40</v>
      </c>
      <c r="D5095">
        <v>4.9543809999999997</v>
      </c>
      <c r="E5095">
        <v>0.54455659999999995</v>
      </c>
      <c r="F5095" t="s">
        <v>42</v>
      </c>
      <c r="G5095">
        <v>-218.90989999999999</v>
      </c>
      <c r="H5095">
        <v>0.85976149999999996</v>
      </c>
      <c r="I5095">
        <v>-62.996290000000002</v>
      </c>
      <c r="J5095">
        <v>-219.6302</v>
      </c>
      <c r="K5095">
        <v>1.123008</v>
      </c>
      <c r="L5095">
        <v>-62.953490000000002</v>
      </c>
      <c r="M5095">
        <v>0.99896680000000004</v>
      </c>
      <c r="N5095">
        <v>-1.183092E-2</v>
      </c>
      <c r="O5095">
        <v>-4.3878390000000003E-2</v>
      </c>
      <c r="P5095">
        <v>0.98864640000000004</v>
      </c>
      <c r="Q5095">
        <v>0.1392388</v>
      </c>
      <c r="R5095">
        <v>5.6491090000000001E-2</v>
      </c>
      <c r="S5095">
        <v>3.1833650000000002</v>
      </c>
      <c r="T5095">
        <v>-0.98428369999999998</v>
      </c>
      <c r="U5095">
        <v>-0.17526249999999999</v>
      </c>
      <c r="V5095">
        <v>-0.1005786</v>
      </c>
      <c r="W5095">
        <v>0.1503805</v>
      </c>
      <c r="X5095">
        <v>0.98349869999999995</v>
      </c>
      <c r="Y5095">
        <v>1.2392240000000001E-2</v>
      </c>
      <c r="Z5095">
        <v>1.0787329999999999E-2</v>
      </c>
      <c r="AA5095">
        <v>0.999865</v>
      </c>
      <c r="AB5095">
        <v>26</v>
      </c>
      <c r="AC5095">
        <v>0.72030000000000804</v>
      </c>
      <c r="AD5095">
        <v>-0.26324649999999999</v>
      </c>
      <c r="AE5095">
        <v>-4.2799999999999699E-2</v>
      </c>
      <c r="AF5095">
        <v>9.8411319383295004E-3</v>
      </c>
      <c r="AG5095">
        <v>-0.26324649999999999</v>
      </c>
      <c r="AH5095">
        <v>0.63673666119720096</v>
      </c>
      <c r="AI5095">
        <v>112.45928894927</v>
      </c>
      <c r="AJ5095">
        <v>89.114531219040501</v>
      </c>
      <c r="AK5095">
        <v>0.68907847401630296</v>
      </c>
      <c r="AL5095">
        <v>81.351022458208405</v>
      </c>
      <c r="AM5095">
        <v>95.839117887504898</v>
      </c>
      <c r="AN5095">
        <v>1.00000002122994</v>
      </c>
    </row>
    <row r="5096" spans="1:40" x14ac:dyDescent="0.25">
      <c r="A5096" t="str">
        <f>"20190303162701448"</f>
        <v>20190303162701448</v>
      </c>
      <c r="B5096" t="str">
        <f>"1551601621439825"</f>
        <v>1551601621439825</v>
      </c>
      <c r="C5096" t="s">
        <v>40</v>
      </c>
      <c r="D5096">
        <v>4.9152670000000001</v>
      </c>
      <c r="E5096">
        <v>0.54465359999999996</v>
      </c>
      <c r="F5096" t="s">
        <v>42</v>
      </c>
      <c r="G5096">
        <v>-218.89490000000001</v>
      </c>
      <c r="H5096">
        <v>0.89503549999999998</v>
      </c>
      <c r="I5096">
        <v>-62.9936199999999</v>
      </c>
      <c r="J5096">
        <v>-219.49039999999999</v>
      </c>
      <c r="K5096">
        <v>1.1230359999999999</v>
      </c>
      <c r="L5096">
        <v>-62.957920000000001</v>
      </c>
      <c r="M5096">
        <v>0.99903819999999999</v>
      </c>
      <c r="N5096">
        <v>-1.183646E-2</v>
      </c>
      <c r="O5096">
        <v>-4.2221229999999998E-2</v>
      </c>
      <c r="P5096">
        <v>0.98856189999999999</v>
      </c>
      <c r="Q5096">
        <v>0.13917850000000001</v>
      </c>
      <c r="R5096">
        <v>5.8095279999999999E-2</v>
      </c>
      <c r="S5096">
        <v>3.183319</v>
      </c>
      <c r="T5096">
        <v>-0.98708110000000004</v>
      </c>
      <c r="U5096">
        <v>-0.17276</v>
      </c>
      <c r="V5096">
        <v>-0.1005528</v>
      </c>
      <c r="W5096">
        <v>0.1503197</v>
      </c>
      <c r="X5096">
        <v>0.98351060000000001</v>
      </c>
      <c r="Y5096">
        <v>1.316645E-2</v>
      </c>
      <c r="Z5096">
        <v>1.0214640000000001E-2</v>
      </c>
      <c r="AA5096">
        <v>0.99986109999999995</v>
      </c>
      <c r="AB5096">
        <v>26</v>
      </c>
      <c r="AC5096">
        <v>0.59549999999998704</v>
      </c>
      <c r="AD5096">
        <v>-0.22800049999999999</v>
      </c>
      <c r="AE5096">
        <v>-3.5699999999998497E-2</v>
      </c>
      <c r="AF5096">
        <v>9.1824165651243298E-3</v>
      </c>
      <c r="AG5096">
        <v>-0.22800049999999999</v>
      </c>
      <c r="AH5096">
        <v>0.52045532910291503</v>
      </c>
      <c r="AI5096">
        <v>113.653934949329</v>
      </c>
      <c r="AJ5096">
        <v>88.989232876189803</v>
      </c>
      <c r="AK5096">
        <v>0.56828011962926195</v>
      </c>
      <c r="AL5096">
        <v>81.354545815049903</v>
      </c>
      <c r="AM5096">
        <v>95.837560262308997</v>
      </c>
      <c r="AN5096">
        <v>0.999999989054144</v>
      </c>
    </row>
    <row r="5097" spans="1:40" x14ac:dyDescent="0.25">
      <c r="A5097" t="str">
        <f>"20190303162701469"</f>
        <v>20190303162701469</v>
      </c>
      <c r="B5097" t="str">
        <f>"1551601621459346"</f>
        <v>1551601621459346</v>
      </c>
      <c r="C5097" t="s">
        <v>40</v>
      </c>
      <c r="D5097">
        <v>4.877078</v>
      </c>
      <c r="E5097">
        <v>0.54477759999999997</v>
      </c>
      <c r="F5097" t="s">
        <v>42</v>
      </c>
      <c r="G5097">
        <v>-218.67580000000001</v>
      </c>
      <c r="H5097">
        <v>0.87016819999999895</v>
      </c>
      <c r="I5097">
        <v>-63.001040000000003</v>
      </c>
      <c r="J5097">
        <v>-219.249</v>
      </c>
      <c r="K5097">
        <v>1.1230639999999901</v>
      </c>
      <c r="L5097">
        <v>-62.964939999999999</v>
      </c>
      <c r="M5097">
        <v>0.9991563</v>
      </c>
      <c r="N5097">
        <v>-1.1845E-2</v>
      </c>
      <c r="O5097">
        <v>-3.9328219999999997E-2</v>
      </c>
      <c r="P5097">
        <v>0.98841610000000002</v>
      </c>
      <c r="Q5097">
        <v>0.13849310000000001</v>
      </c>
      <c r="R5097">
        <v>6.2076399999999997E-2</v>
      </c>
      <c r="S5097">
        <v>3.1837770000000001</v>
      </c>
      <c r="T5097">
        <v>-0.98823899999999998</v>
      </c>
      <c r="U5097">
        <v>-0.16873170000000001</v>
      </c>
      <c r="V5097">
        <v>-0.1016797</v>
      </c>
      <c r="W5097">
        <v>0.1496285</v>
      </c>
      <c r="X5097">
        <v>0.98350009999999999</v>
      </c>
      <c r="Y5097">
        <v>1.4599880000000001E-2</v>
      </c>
      <c r="Z5097">
        <v>9.1571459999999997E-3</v>
      </c>
      <c r="AA5097">
        <v>0.9998515</v>
      </c>
      <c r="AB5097">
        <v>26</v>
      </c>
      <c r="AC5097">
        <v>0.57320000000001403</v>
      </c>
      <c r="AD5097">
        <v>-0.2528958</v>
      </c>
      <c r="AE5097">
        <v>-3.6099999999997502E-2</v>
      </c>
      <c r="AF5097">
        <v>1.1330669048618E-2</v>
      </c>
      <c r="AG5097">
        <v>-0.2528958</v>
      </c>
      <c r="AH5097">
        <v>0.480929675997605</v>
      </c>
      <c r="AI5097">
        <v>117.73098988237599</v>
      </c>
      <c r="AJ5097">
        <v>88.650365176419797</v>
      </c>
      <c r="AK5097">
        <v>0.54348691150191497</v>
      </c>
      <c r="AL5097">
        <v>81.394601338604801</v>
      </c>
      <c r="AM5097">
        <v>95.902585288398896</v>
      </c>
      <c r="AN5097">
        <v>0.99999994805217296</v>
      </c>
    </row>
    <row r="5098" spans="1:40" x14ac:dyDescent="0.25">
      <c r="A5098" t="str">
        <f>"20190303162701483"</f>
        <v>20190303162701483</v>
      </c>
      <c r="B5098" t="str">
        <f>"1551601621478866"</f>
        <v>1551601621478866</v>
      </c>
      <c r="C5098" t="s">
        <v>40</v>
      </c>
      <c r="D5098">
        <v>4.8685890000000001</v>
      </c>
      <c r="E5098">
        <v>0.54489679999999996</v>
      </c>
      <c r="F5098" t="s">
        <v>42</v>
      </c>
      <c r="G5098">
        <v>-218.44499999999999</v>
      </c>
      <c r="H5098">
        <v>0.87234120000000004</v>
      </c>
      <c r="I5098">
        <v>-63.00488</v>
      </c>
      <c r="J5098">
        <v>-219.0838</v>
      </c>
      <c r="K5098">
        <v>1.1230789999999999</v>
      </c>
      <c r="L5098">
        <v>-62.969389999999997</v>
      </c>
      <c r="M5098">
        <v>0.99923260000000003</v>
      </c>
      <c r="N5098">
        <v>-1.1850319999999999E-2</v>
      </c>
      <c r="O5098">
        <v>-3.733595E-2</v>
      </c>
      <c r="P5098">
        <v>0.98823669999999997</v>
      </c>
      <c r="Q5098">
        <v>0.1383588</v>
      </c>
      <c r="R5098">
        <v>6.5156779999999997E-2</v>
      </c>
      <c r="S5098">
        <v>3.1842190000000001</v>
      </c>
      <c r="T5098">
        <v>-0.99317679999999997</v>
      </c>
      <c r="U5098">
        <v>-0.15771479999999999</v>
      </c>
      <c r="V5098">
        <v>-0.10279190000000001</v>
      </c>
      <c r="W5098">
        <v>0.14948900000000001</v>
      </c>
      <c r="X5098">
        <v>0.9834058</v>
      </c>
      <c r="Y5098">
        <v>1.3131469999999999E-2</v>
      </c>
      <c r="Z5098">
        <v>8.8525099999999992E-3</v>
      </c>
      <c r="AA5098">
        <v>0.99987459999999995</v>
      </c>
      <c r="AB5098">
        <v>26</v>
      </c>
      <c r="AC5098">
        <v>0.63880000000000303</v>
      </c>
      <c r="AD5098">
        <v>-0.25073780000000001</v>
      </c>
      <c r="AE5098">
        <v>-3.5490000000002901E-2</v>
      </c>
      <c r="AF5098">
        <v>1.0067133417420999E-2</v>
      </c>
      <c r="AG5098">
        <v>-0.25073780000000001</v>
      </c>
      <c r="AH5098">
        <v>0.554510735513844</v>
      </c>
      <c r="AI5098">
        <v>114.32791322838099</v>
      </c>
      <c r="AJ5098">
        <v>88.9599103137528</v>
      </c>
      <c r="AK5098">
        <v>0.60864845955952995</v>
      </c>
      <c r="AL5098">
        <v>81.402685916124895</v>
      </c>
      <c r="AM5098">
        <v>95.967254097344394</v>
      </c>
      <c r="AN5098">
        <v>1.00000005165012</v>
      </c>
    </row>
    <row r="5099" spans="1:40" x14ac:dyDescent="0.25">
      <c r="A5099" t="str">
        <f>"20190303162701496"</f>
        <v>20190303162701496</v>
      </c>
      <c r="B5099" t="str">
        <f>"1551601621478866"</f>
        <v>1551601621478866</v>
      </c>
      <c r="C5099" t="s">
        <v>40</v>
      </c>
      <c r="D5099">
        <v>4.8685890000000001</v>
      </c>
      <c r="E5099">
        <v>0.54489679999999996</v>
      </c>
      <c r="F5099" t="s">
        <v>42</v>
      </c>
      <c r="G5099">
        <v>-218.22300000000001</v>
      </c>
      <c r="H5099">
        <v>0.85401389999999999</v>
      </c>
      <c r="I5099">
        <v>-63.009749999999997</v>
      </c>
      <c r="J5099">
        <v>-218.9306</v>
      </c>
      <c r="K5099">
        <v>1.1230819999999999</v>
      </c>
      <c r="L5099">
        <v>-62.973080000000003</v>
      </c>
      <c r="M5099">
        <v>0.99930010000000002</v>
      </c>
      <c r="N5099">
        <v>-1.1854699999999999E-2</v>
      </c>
      <c r="O5099">
        <v>-3.5480820000000003E-2</v>
      </c>
      <c r="P5099">
        <v>0.98794990000000005</v>
      </c>
      <c r="Q5099">
        <v>0.13853570000000001</v>
      </c>
      <c r="R5099">
        <v>6.9014820000000004E-2</v>
      </c>
      <c r="S5099">
        <v>3.1849059999999998</v>
      </c>
      <c r="T5099">
        <v>-0.99558950000000002</v>
      </c>
      <c r="U5099">
        <v>-0.1489868</v>
      </c>
      <c r="V5099">
        <v>-0.1048115</v>
      </c>
      <c r="W5099">
        <v>0.14965490000000001</v>
      </c>
      <c r="X5099">
        <v>0.98316729999999997</v>
      </c>
      <c r="Y5099">
        <v>1.2212020000000001E-2</v>
      </c>
      <c r="Z5099">
        <v>8.4746470000000001E-3</v>
      </c>
      <c r="AA5099">
        <v>0.99988949999999999</v>
      </c>
      <c r="AB5099">
        <v>26</v>
      </c>
      <c r="AC5099">
        <v>0.707600000000013</v>
      </c>
      <c r="AD5099">
        <v>-0.26906809999999898</v>
      </c>
      <c r="AE5099">
        <v>-3.6669999999993701E-2</v>
      </c>
      <c r="AF5099">
        <v>1.0084647720062999E-2</v>
      </c>
      <c r="AG5099">
        <v>-0.26906809999999898</v>
      </c>
      <c r="AH5099">
        <v>0.61916773806331904</v>
      </c>
      <c r="AI5099">
        <v>113.485260415535</v>
      </c>
      <c r="AJ5099">
        <v>89.066881829916994</v>
      </c>
      <c r="AK5099">
        <v>0.67517999853053601</v>
      </c>
      <c r="AL5099">
        <v>81.393071865704997</v>
      </c>
      <c r="AM5099">
        <v>96.085089379745099</v>
      </c>
      <c r="AN5099">
        <v>0.99999998970777404</v>
      </c>
    </row>
    <row r="5100" spans="1:40" x14ac:dyDescent="0.25">
      <c r="A5100" t="str">
        <f>"20190303162701509"</f>
        <v>20190303162701509</v>
      </c>
      <c r="B5100" t="str">
        <f>"1551601621499362"</f>
        <v>1551601621499362</v>
      </c>
      <c r="C5100" t="s">
        <v>40</v>
      </c>
      <c r="D5100">
        <v>4.8516349999999999</v>
      </c>
      <c r="E5100">
        <v>0.54494390000000004</v>
      </c>
      <c r="F5100" t="s">
        <v>42</v>
      </c>
      <c r="G5100">
        <v>-218.20480000000001</v>
      </c>
      <c r="H5100">
        <v>0.8964105</v>
      </c>
      <c r="I5100">
        <v>-63.00423</v>
      </c>
      <c r="J5100">
        <v>-218.78739999999999</v>
      </c>
      <c r="K5100">
        <v>1.123086</v>
      </c>
      <c r="L5100">
        <v>-62.976349999999996</v>
      </c>
      <c r="M5100">
        <v>0.99936000000000003</v>
      </c>
      <c r="N5100">
        <v>-1.185844E-2</v>
      </c>
      <c r="O5100">
        <v>-3.3748500000000001E-2</v>
      </c>
      <c r="P5100">
        <v>0.98765899999999995</v>
      </c>
      <c r="Q5100">
        <v>0.13853779999999999</v>
      </c>
      <c r="R5100">
        <v>7.3054720000000004E-2</v>
      </c>
      <c r="S5100">
        <v>3.185654</v>
      </c>
      <c r="T5100">
        <v>-0.99503399999999997</v>
      </c>
      <c r="U5100">
        <v>-0.13635249999999999</v>
      </c>
      <c r="V5100">
        <v>-0.1071334</v>
      </c>
      <c r="W5100">
        <v>0.149645</v>
      </c>
      <c r="X5100">
        <v>0.98291850000000003</v>
      </c>
      <c r="Y5100">
        <v>1.000817E-2</v>
      </c>
      <c r="Z5100">
        <v>8.3102880000000007E-3</v>
      </c>
      <c r="AA5100">
        <v>0.99991540000000001</v>
      </c>
      <c r="AB5100">
        <v>26</v>
      </c>
      <c r="AC5100">
        <v>0.58259999999998502</v>
      </c>
      <c r="AD5100">
        <v>-0.2266755</v>
      </c>
      <c r="AE5100">
        <v>-2.7880000000010299E-2</v>
      </c>
      <c r="AF5100">
        <v>7.1247740792434698E-3</v>
      </c>
      <c r="AG5100">
        <v>-0.2266755</v>
      </c>
      <c r="AH5100">
        <v>0.50668272428908201</v>
      </c>
      <c r="AI5100">
        <v>114.100278677529</v>
      </c>
      <c r="AJ5100">
        <v>89.194382277584396</v>
      </c>
      <c r="AK5100">
        <v>0.55512154326681995</v>
      </c>
      <c r="AL5100">
        <v>81.393645509322795</v>
      </c>
      <c r="AM5100">
        <v>96.220409861830802</v>
      </c>
      <c r="AN5100">
        <v>0.99999998453140404</v>
      </c>
    </row>
    <row r="5101" spans="1:40" x14ac:dyDescent="0.25">
      <c r="A5101" t="str">
        <f>"20190303162701525"</f>
        <v>20190303162701525</v>
      </c>
      <c r="B5101" t="str">
        <f>"1551601621519858"</f>
        <v>1551601621519858</v>
      </c>
      <c r="C5101" t="s">
        <v>40</v>
      </c>
      <c r="D5101">
        <v>5.0921919999999998</v>
      </c>
      <c r="E5101">
        <v>0.5449427</v>
      </c>
      <c r="F5101" t="s">
        <v>42</v>
      </c>
      <c r="G5101">
        <v>-217.98519999999999</v>
      </c>
      <c r="H5101">
        <v>0.87193419999999899</v>
      </c>
      <c r="I5101">
        <v>-63.007629999999999</v>
      </c>
      <c r="J5101">
        <v>-218.60050000000001</v>
      </c>
      <c r="K5101">
        <v>1.1230850000000001</v>
      </c>
      <c r="L5101">
        <v>-62.980220000000003</v>
      </c>
      <c r="M5101">
        <v>0.99943380000000004</v>
      </c>
      <c r="N5101">
        <v>-1.1862839999999999E-2</v>
      </c>
      <c r="O5101">
        <v>-3.1487639999999997E-2</v>
      </c>
      <c r="P5101">
        <v>0.98702409999999996</v>
      </c>
      <c r="Q5101">
        <v>0.13876620000000001</v>
      </c>
      <c r="R5101">
        <v>8.0793779999999996E-2</v>
      </c>
      <c r="S5101">
        <v>3.1865839999999999</v>
      </c>
      <c r="T5101">
        <v>-0.99771670000000001</v>
      </c>
      <c r="U5101">
        <v>-0.12390139999999999</v>
      </c>
      <c r="V5101">
        <v>-0.11262270000000001</v>
      </c>
      <c r="W5101">
        <v>0.14984120000000001</v>
      </c>
      <c r="X5101">
        <v>0.9822748</v>
      </c>
      <c r="Y5101">
        <v>8.3451350000000001E-3</v>
      </c>
      <c r="Z5101">
        <v>7.9309740000000004E-3</v>
      </c>
      <c r="AA5101">
        <v>0.99993370000000004</v>
      </c>
      <c r="AB5101">
        <v>26</v>
      </c>
      <c r="AC5101">
        <v>0.61530000000001905</v>
      </c>
      <c r="AD5101">
        <v>-0.25115080000000001</v>
      </c>
      <c r="AE5101">
        <v>-2.7410000000010301E-2</v>
      </c>
      <c r="AF5101">
        <v>6.8771774290819704E-3</v>
      </c>
      <c r="AG5101">
        <v>-0.25115080000000001</v>
      </c>
      <c r="AH5101">
        <v>0.528054279726764</v>
      </c>
      <c r="AI5101">
        <v>115.434600234586</v>
      </c>
      <c r="AJ5101">
        <v>89.253843816615003</v>
      </c>
      <c r="AK5101">
        <v>0.58477802818486802</v>
      </c>
      <c r="AL5101">
        <v>81.382276194061703</v>
      </c>
      <c r="AM5101">
        <v>96.540685610550895</v>
      </c>
      <c r="AN5101">
        <v>1.0000000202438799</v>
      </c>
    </row>
    <row r="5102" spans="1:40" x14ac:dyDescent="0.25">
      <c r="A5102" t="str">
        <f>"20190303162701538"</f>
        <v>20190303162701538</v>
      </c>
      <c r="B5102" t="str">
        <f>"1551601621529619"</f>
        <v>1551601621529619</v>
      </c>
      <c r="C5102" t="s">
        <v>40</v>
      </c>
      <c r="D5102">
        <v>4.9975809999999896</v>
      </c>
      <c r="E5102">
        <v>0.5449427</v>
      </c>
      <c r="F5102" t="s">
        <v>42</v>
      </c>
      <c r="G5102">
        <v>-217.7602</v>
      </c>
      <c r="H5102">
        <v>0.85974539999999999</v>
      </c>
      <c r="I5102">
        <v>-63.00629</v>
      </c>
      <c r="J5102">
        <v>-218.4425</v>
      </c>
      <c r="K5102">
        <v>1.123084</v>
      </c>
      <c r="L5102">
        <v>-62.983179999999997</v>
      </c>
      <c r="M5102">
        <v>0.99949200000000005</v>
      </c>
      <c r="N5102">
        <v>-1.1866109999999999E-2</v>
      </c>
      <c r="O5102">
        <v>-2.9578940000000001E-2</v>
      </c>
      <c r="P5102">
        <v>0.98655970000000004</v>
      </c>
      <c r="Q5102">
        <v>0.1391317</v>
      </c>
      <c r="R5102">
        <v>8.5688619999999993E-2</v>
      </c>
      <c r="S5102">
        <v>3.1879729999999999</v>
      </c>
      <c r="T5102">
        <v>-0.99906969999999995</v>
      </c>
      <c r="U5102">
        <v>-9.8571779999999998E-2</v>
      </c>
      <c r="V5102">
        <v>-0.11562310000000001</v>
      </c>
      <c r="W5102">
        <v>0.15018960000000001</v>
      </c>
      <c r="X5102">
        <v>0.98187290000000005</v>
      </c>
      <c r="Y5102">
        <v>2.5108280000000001E-3</v>
      </c>
      <c r="Z5102">
        <v>8.3060709999999999E-3</v>
      </c>
      <c r="AA5102">
        <v>0.99996229999999997</v>
      </c>
      <c r="AB5102">
        <v>26</v>
      </c>
      <c r="AC5102">
        <v>0.68229999999999702</v>
      </c>
      <c r="AD5102">
        <v>-0.26333859999999998</v>
      </c>
      <c r="AE5102">
        <v>-2.3109999999995499E-2</v>
      </c>
      <c r="AF5102">
        <v>2.5389749181840299E-3</v>
      </c>
      <c r="AG5102">
        <v>-0.26333859999999998</v>
      </c>
      <c r="AH5102">
        <v>0.59426325743729402</v>
      </c>
      <c r="AI5102">
        <v>113.899594533431</v>
      </c>
      <c r="AJ5102">
        <v>89.755206703196606</v>
      </c>
      <c r="AK5102">
        <v>0.65000191059994405</v>
      </c>
      <c r="AL5102">
        <v>81.362085726921606</v>
      </c>
      <c r="AM5102">
        <v>96.716089779460106</v>
      </c>
      <c r="AN5102">
        <v>1.0000000044780899</v>
      </c>
    </row>
    <row r="5103" spans="1:40" x14ac:dyDescent="0.25">
      <c r="A5103" t="str">
        <f>"20190303162701553"</f>
        <v>20190303162701553</v>
      </c>
      <c r="B5103" t="str">
        <f>"1551601621539378"</f>
        <v>1551601621539378</v>
      </c>
      <c r="C5103" t="s">
        <v>40</v>
      </c>
      <c r="D5103">
        <v>4.8810830000000003</v>
      </c>
      <c r="E5103">
        <v>0.52519629999999995</v>
      </c>
      <c r="F5103" t="s">
        <v>42</v>
      </c>
      <c r="G5103">
        <v>-217.7414</v>
      </c>
      <c r="H5103">
        <v>0.90372110000000005</v>
      </c>
      <c r="I5103">
        <v>-63.001449999999998</v>
      </c>
      <c r="J5103">
        <v>-218.28749999999999</v>
      </c>
      <c r="K5103">
        <v>1.123086</v>
      </c>
      <c r="L5103">
        <v>-62.985719999999901</v>
      </c>
      <c r="M5103">
        <v>0.99954549999999998</v>
      </c>
      <c r="N5103">
        <v>-1.187146E-2</v>
      </c>
      <c r="O5103">
        <v>-2.7712569999999999E-2</v>
      </c>
      <c r="P5103">
        <v>0.98605350000000003</v>
      </c>
      <c r="Q5103">
        <v>0.13962869999999999</v>
      </c>
      <c r="R5103">
        <v>9.0567339999999996E-2</v>
      </c>
      <c r="S5103">
        <v>3.1887970000000001</v>
      </c>
      <c r="T5103">
        <v>-0.99788619999999995</v>
      </c>
      <c r="U5103">
        <v>-8.2733150000000005E-2</v>
      </c>
      <c r="V5103">
        <v>-0.1186509</v>
      </c>
      <c r="W5103">
        <v>0.15067139999999901</v>
      </c>
      <c r="X5103">
        <v>0.98143780000000003</v>
      </c>
      <c r="Y5103">
        <v>-5.2750099999999999E-4</v>
      </c>
      <c r="Z5103">
        <v>8.2290030000000004E-3</v>
      </c>
      <c r="AA5103">
        <v>0.99996600000000002</v>
      </c>
      <c r="AB5103">
        <v>26</v>
      </c>
      <c r="AC5103">
        <v>0.54609999999999503</v>
      </c>
      <c r="AD5103">
        <v>-0.2193649</v>
      </c>
      <c r="AE5103">
        <v>-1.57300000000049E-2</v>
      </c>
      <c r="AF5103">
        <v>5.0727310235287697E-4</v>
      </c>
      <c r="AG5103">
        <v>-0.2193649</v>
      </c>
      <c r="AH5103">
        <v>0.470474405852079</v>
      </c>
      <c r="AI5103">
        <v>114.99789470221999</v>
      </c>
      <c r="AJ5103">
        <v>89.938222789166005</v>
      </c>
      <c r="AK5103">
        <v>0.51910247855300895</v>
      </c>
      <c r="AL5103">
        <v>81.334163106628395</v>
      </c>
      <c r="AM5103">
        <v>96.893318511308607</v>
      </c>
      <c r="AN5103">
        <v>1.0000000310588</v>
      </c>
    </row>
    <row r="5104" spans="1:40" x14ac:dyDescent="0.25">
      <c r="A5104" t="str">
        <f>"20190303162701567"</f>
        <v>20190303162701567</v>
      </c>
      <c r="B5104" t="str">
        <f>"1551601621559875"</f>
        <v>1551601621559875</v>
      </c>
      <c r="C5104" t="s">
        <v>40</v>
      </c>
      <c r="D5104">
        <v>4.7767939999999998</v>
      </c>
      <c r="E5104">
        <v>0.47133989999999998</v>
      </c>
      <c r="F5104" t="s">
        <v>42</v>
      </c>
      <c r="G5104">
        <v>-217.49359999999999</v>
      </c>
      <c r="H5104">
        <v>0.93827240000000001</v>
      </c>
      <c r="I5104">
        <v>-62.963970000000003</v>
      </c>
      <c r="J5104">
        <v>-218.12649999999999</v>
      </c>
      <c r="K5104">
        <v>1.1230850000000001</v>
      </c>
      <c r="L5104">
        <v>-62.988129999999998</v>
      </c>
      <c r="M5104">
        <v>0.99959710000000002</v>
      </c>
      <c r="N5104">
        <v>-1.187849E-2</v>
      </c>
      <c r="O5104">
        <v>-2.5777540000000002E-2</v>
      </c>
      <c r="P5104">
        <v>0.98555060000000005</v>
      </c>
      <c r="Q5104">
        <v>0.13972799999999999</v>
      </c>
      <c r="R5104">
        <v>9.5740329999999998E-2</v>
      </c>
      <c r="S5104">
        <v>3.1379549999999998</v>
      </c>
      <c r="T5104">
        <v>-0.73063089999999997</v>
      </c>
      <c r="U5104">
        <v>8.6395260000000001E-2</v>
      </c>
      <c r="V5104">
        <v>-0.12190529999999999</v>
      </c>
      <c r="W5104">
        <v>0.15075669999999999</v>
      </c>
      <c r="X5104">
        <v>0.98102579999999995</v>
      </c>
      <c r="Y5104">
        <v>-5.1220799999999997E-2</v>
      </c>
      <c r="Z5104">
        <v>1.1811139999999999E-2</v>
      </c>
      <c r="AA5104">
        <v>0.99861750000000005</v>
      </c>
      <c r="AB5104">
        <v>26</v>
      </c>
      <c r="AC5104">
        <v>0.63290000000000601</v>
      </c>
      <c r="AD5104">
        <v>-0.18481259999999999</v>
      </c>
      <c r="AE5104">
        <v>2.4160000000009001E-2</v>
      </c>
      <c r="AF5104">
        <v>-3.7292451153720603E-2</v>
      </c>
      <c r="AG5104">
        <v>-0.18481259999999999</v>
      </c>
      <c r="AH5104">
        <v>0.58247208392909799</v>
      </c>
      <c r="AI5104">
        <v>107.56996083061399</v>
      </c>
      <c r="AJ5104">
        <v>93.663330381978597</v>
      </c>
      <c r="AK5104">
        <v>0.61222557328857097</v>
      </c>
      <c r="AL5104">
        <v>81.329219493197101</v>
      </c>
      <c r="AM5104">
        <v>97.083440475746002</v>
      </c>
      <c r="AN5104">
        <v>1.0000000525143</v>
      </c>
    </row>
    <row r="5105" spans="1:40" x14ac:dyDescent="0.25">
      <c r="A5105" t="str">
        <f>"20190303162701581"</f>
        <v>20190303162701581</v>
      </c>
      <c r="B5105" t="str">
        <f>"1551601621569635"</f>
        <v>1551601621569635</v>
      </c>
      <c r="C5105" t="s">
        <v>40</v>
      </c>
      <c r="D5105">
        <v>4.7382900000000001</v>
      </c>
      <c r="E5105">
        <v>0.45922469999999999</v>
      </c>
      <c r="F5105" t="s">
        <v>59</v>
      </c>
      <c r="G5105">
        <v>-206.90100000000001</v>
      </c>
      <c r="H5105" s="1">
        <v>-2.0340630000000002E-6</v>
      </c>
      <c r="I5105">
        <v>-61.049210000000002</v>
      </c>
      <c r="J5105">
        <v>-217.95679999999999</v>
      </c>
      <c r="K5105">
        <v>1.123086</v>
      </c>
      <c r="L5105">
        <v>-62.99033</v>
      </c>
      <c r="M5105">
        <v>0.99964750000000002</v>
      </c>
      <c r="N5105">
        <v>-1.1887689999999999E-2</v>
      </c>
      <c r="O5105">
        <v>-2.374395E-2</v>
      </c>
      <c r="P5105">
        <v>0.98470440000000004</v>
      </c>
      <c r="Q5105">
        <v>0.1398945</v>
      </c>
      <c r="R5105">
        <v>0.1038606</v>
      </c>
      <c r="S5105">
        <v>3.0361180000000001</v>
      </c>
      <c r="T5105">
        <v>-0.30375770000000002</v>
      </c>
      <c r="U5105">
        <v>0.52441409999999999</v>
      </c>
      <c r="V5105">
        <v>-0.12800259999999999</v>
      </c>
      <c r="W5105">
        <v>0.150892</v>
      </c>
      <c r="X5105">
        <v>0.98022799999999999</v>
      </c>
      <c r="Y5105">
        <v>-0.1924188</v>
      </c>
      <c r="Z5105">
        <v>1.27607E-2</v>
      </c>
      <c r="AA5105">
        <v>0.98122989999999999</v>
      </c>
      <c r="AB5105">
        <v>26</v>
      </c>
      <c r="AC5105">
        <v>11.0558</v>
      </c>
      <c r="AD5105">
        <v>-1.1230880340629901</v>
      </c>
      <c r="AE5105">
        <v>1.9411200000000099</v>
      </c>
      <c r="AF5105">
        <v>-2.1812637152383898</v>
      </c>
      <c r="AG5105">
        <v>-1.1230880340629901</v>
      </c>
      <c r="AH5105">
        <v>10.8974986272157</v>
      </c>
      <c r="AI5105">
        <v>95.770421923464994</v>
      </c>
      <c r="AJ5105">
        <v>101.318850012993</v>
      </c>
      <c r="AK5105">
        <v>11.170260268133401</v>
      </c>
      <c r="AL5105">
        <v>81.321377179930494</v>
      </c>
      <c r="AM5105">
        <v>97.439843444460905</v>
      </c>
      <c r="AN5105">
        <v>0.99999999662738004</v>
      </c>
    </row>
    <row r="5106" spans="1:40" x14ac:dyDescent="0.25">
      <c r="A5106" t="str">
        <f>"20190303162701595"</f>
        <v>20190303162701595</v>
      </c>
      <c r="B5106" t="str">
        <f>"1551601621589155"</f>
        <v>1551601621589155</v>
      </c>
      <c r="C5106" t="s">
        <v>40</v>
      </c>
      <c r="D5106">
        <v>4.8707900000000004</v>
      </c>
      <c r="E5106">
        <v>0.43897910000000001</v>
      </c>
      <c r="F5106" t="s">
        <v>59</v>
      </c>
      <c r="G5106">
        <v>-203.81479999999999</v>
      </c>
      <c r="H5106" s="1">
        <v>-3.8518479999999998E-6</v>
      </c>
      <c r="I5106">
        <v>-59.964559999999999</v>
      </c>
      <c r="J5106">
        <v>-217.79499999999999</v>
      </c>
      <c r="K5106">
        <v>1.1230830000000001</v>
      </c>
      <c r="L5106">
        <v>-62.99203</v>
      </c>
      <c r="M5106">
        <v>0.99969140000000001</v>
      </c>
      <c r="N5106">
        <v>-1.189661E-2</v>
      </c>
      <c r="O5106">
        <v>-2.1809169999999999E-2</v>
      </c>
      <c r="P5106">
        <v>0.98427160000000002</v>
      </c>
      <c r="Q5106">
        <v>0.13963680000000001</v>
      </c>
      <c r="R5106">
        <v>0.1082171</v>
      </c>
      <c r="S5106">
        <v>3.0125890000000002</v>
      </c>
      <c r="T5106">
        <v>-0.2392455</v>
      </c>
      <c r="U5106">
        <v>0.64456179999999996</v>
      </c>
      <c r="V5106">
        <v>-0.13044600000000001</v>
      </c>
      <c r="W5106">
        <v>0.1506275</v>
      </c>
      <c r="X5106">
        <v>0.9799466</v>
      </c>
      <c r="Y5106">
        <v>-0.22965179999999999</v>
      </c>
      <c r="Z5106">
        <v>1.184172E-2</v>
      </c>
      <c r="AA5106">
        <v>0.97320079999999998</v>
      </c>
      <c r="AB5106">
        <v>26</v>
      </c>
      <c r="AC5106">
        <v>13.9801999999999</v>
      </c>
      <c r="AD5106">
        <v>-1.1230868518479999</v>
      </c>
      <c r="AE5106">
        <v>3.0274700000000001</v>
      </c>
      <c r="AF5106">
        <v>-3.3112557738266699</v>
      </c>
      <c r="AG5106">
        <v>-1.1230868518479999</v>
      </c>
      <c r="AH5106">
        <v>13.8256153444582</v>
      </c>
      <c r="AI5106">
        <v>94.516883242683093</v>
      </c>
      <c r="AJ5106">
        <v>103.468724477392</v>
      </c>
      <c r="AK5106">
        <v>14.2609038468609</v>
      </c>
      <c r="AL5106">
        <v>81.336707775599194</v>
      </c>
      <c r="AM5106">
        <v>97.582375405907797</v>
      </c>
      <c r="AN5106">
        <v>1.0000000707618999</v>
      </c>
    </row>
    <row r="5107" spans="1:40" x14ac:dyDescent="0.25">
      <c r="A5107" t="str">
        <f>"20190303162701609"</f>
        <v>20190303162701609</v>
      </c>
      <c r="B5107" t="str">
        <f>"1551601621598915"</f>
        <v>1551601621598915</v>
      </c>
      <c r="C5107" t="s">
        <v>40</v>
      </c>
      <c r="D5107">
        <v>4.9120660000000003</v>
      </c>
      <c r="E5107">
        <v>0.43258489999999999</v>
      </c>
      <c r="F5107" t="s">
        <v>59</v>
      </c>
      <c r="G5107">
        <v>-202.577</v>
      </c>
      <c r="H5107" s="1">
        <v>-4.7344799999999996E-6</v>
      </c>
      <c r="I5107">
        <v>-58.828429999999997</v>
      </c>
      <c r="J5107">
        <v>-217.63059999999999</v>
      </c>
      <c r="K5107">
        <v>1.123078</v>
      </c>
      <c r="L5107">
        <v>-62.993499999999997</v>
      </c>
      <c r="M5107">
        <v>0.99973230000000002</v>
      </c>
      <c r="N5107">
        <v>-1.190518E-2</v>
      </c>
      <c r="O5107">
        <v>-1.9847449999999999E-2</v>
      </c>
      <c r="P5107">
        <v>0.98391980000000001</v>
      </c>
      <c r="Q5107">
        <v>0.13912479999999999</v>
      </c>
      <c r="R5107">
        <v>0.1120105</v>
      </c>
      <c r="S5107">
        <v>2.9893190000000001</v>
      </c>
      <c r="T5107">
        <v>-0.2206119</v>
      </c>
      <c r="U5107">
        <v>0.81787109999999996</v>
      </c>
      <c r="V5107">
        <v>-0.132301</v>
      </c>
      <c r="W5107">
        <v>0.15011369999999999</v>
      </c>
      <c r="X5107">
        <v>0.97977669999999994</v>
      </c>
      <c r="Y5107">
        <v>-0.28211969999999997</v>
      </c>
      <c r="Z5107">
        <v>1.3127140000000001E-2</v>
      </c>
      <c r="AA5107">
        <v>0.95928939999999996</v>
      </c>
      <c r="AB5107">
        <v>26</v>
      </c>
      <c r="AC5107">
        <v>15.0535999999999</v>
      </c>
      <c r="AD5107">
        <v>-1.1230827344800001</v>
      </c>
      <c r="AE5107">
        <v>4.1650699999999903</v>
      </c>
      <c r="AF5107">
        <v>-4.4400900013085502</v>
      </c>
      <c r="AG5107">
        <v>-1.1230827344800001</v>
      </c>
      <c r="AH5107">
        <v>14.890973169483299</v>
      </c>
      <c r="AI5107">
        <v>94.133913004336705</v>
      </c>
      <c r="AJ5107">
        <v>106.603173505643</v>
      </c>
      <c r="AK5107">
        <v>15.5793708468114</v>
      </c>
      <c r="AL5107">
        <v>81.366484563168996</v>
      </c>
      <c r="AM5107">
        <v>97.690236501777306</v>
      </c>
      <c r="AN5107">
        <v>1.0000000296957801</v>
      </c>
    </row>
    <row r="5108" spans="1:40" x14ac:dyDescent="0.25">
      <c r="A5108" t="str">
        <f>"20190303162701625"</f>
        <v>20190303162701625</v>
      </c>
      <c r="B5108" t="str">
        <f>"1551601621619411"</f>
        <v>1551601621619411</v>
      </c>
      <c r="C5108" t="s">
        <v>40</v>
      </c>
      <c r="D5108">
        <v>4.7788919999999999</v>
      </c>
      <c r="E5108">
        <v>0.42682379999999998</v>
      </c>
      <c r="F5108" t="s">
        <v>59</v>
      </c>
      <c r="G5108">
        <v>-202.90459999999999</v>
      </c>
      <c r="H5108" s="1">
        <v>-4.607481E-6</v>
      </c>
      <c r="I5108">
        <v>-58.648479999999999</v>
      </c>
      <c r="J5108">
        <v>-217.4522</v>
      </c>
      <c r="K5108">
        <v>1.1230690000000001</v>
      </c>
      <c r="L5108">
        <v>-62.994750000000003</v>
      </c>
      <c r="M5108">
        <v>0.99977199999999999</v>
      </c>
      <c r="N5108">
        <v>-1.191379E-2</v>
      </c>
      <c r="O5108">
        <v>-1.7720509999999998E-2</v>
      </c>
      <c r="P5108">
        <v>0.98373900000000003</v>
      </c>
      <c r="Q5108">
        <v>0.13812279999999999</v>
      </c>
      <c r="R5108">
        <v>0.1148035</v>
      </c>
      <c r="S5108">
        <v>2.9810490000000001</v>
      </c>
      <c r="T5108">
        <v>-0.22734989999999999</v>
      </c>
      <c r="U5108">
        <v>0.87957759999999996</v>
      </c>
      <c r="V5108">
        <v>-0.132995899999999</v>
      </c>
      <c r="W5108">
        <v>0.1491179</v>
      </c>
      <c r="X5108">
        <v>0.97983469999999995</v>
      </c>
      <c r="Y5108">
        <v>-0.29898059999999999</v>
      </c>
      <c r="Z5108">
        <v>1.408469E-2</v>
      </c>
      <c r="AA5108">
        <v>0.95415530000000004</v>
      </c>
      <c r="AB5108">
        <v>26</v>
      </c>
      <c r="AC5108">
        <v>14.547599999999999</v>
      </c>
      <c r="AD5108">
        <v>-1.1230736074809999</v>
      </c>
      <c r="AE5108">
        <v>4.3462699999999899</v>
      </c>
      <c r="AF5108">
        <v>-4.5783464285551796</v>
      </c>
      <c r="AG5108">
        <v>-1.1230736074809999</v>
      </c>
      <c r="AH5108">
        <v>14.3895600115479</v>
      </c>
      <c r="AI5108">
        <v>94.2534846556877</v>
      </c>
      <c r="AJ5108">
        <v>107.649582083639</v>
      </c>
      <c r="AK5108">
        <v>15.1420602189273</v>
      </c>
      <c r="AL5108">
        <v>81.424189374471993</v>
      </c>
      <c r="AM5108">
        <v>97.729689659502696</v>
      </c>
      <c r="AN5108">
        <v>1.0000000484206499</v>
      </c>
    </row>
    <row r="5109" spans="1:40" x14ac:dyDescent="0.25">
      <c r="A5109" t="str">
        <f>"20190303162701638"</f>
        <v>20190303162701638</v>
      </c>
      <c r="B5109" t="str">
        <f>"1551601621629171"</f>
        <v>1551601621629171</v>
      </c>
      <c r="C5109" t="s">
        <v>40</v>
      </c>
      <c r="D5109">
        <v>4.7812020000000004</v>
      </c>
      <c r="E5109">
        <v>0.42573420000000001</v>
      </c>
      <c r="F5109" t="s">
        <v>59</v>
      </c>
      <c r="G5109">
        <v>-203.85040000000001</v>
      </c>
      <c r="H5109" s="1">
        <v>-4.1058760000000001E-6</v>
      </c>
      <c r="I5109">
        <v>-58.737110000000001</v>
      </c>
      <c r="J5109">
        <v>-217.29150000000001</v>
      </c>
      <c r="K5109">
        <v>1.123067</v>
      </c>
      <c r="L5109">
        <v>-62.995539999999998</v>
      </c>
      <c r="M5109">
        <v>0.99980409999999997</v>
      </c>
      <c r="N5109">
        <v>-1.1920969999999999E-2</v>
      </c>
      <c r="O5109">
        <v>-1.5808490000000001E-2</v>
      </c>
      <c r="P5109">
        <v>0.98357700000000003</v>
      </c>
      <c r="Q5109">
        <v>0.1380344</v>
      </c>
      <c r="R5109">
        <v>0.1162892</v>
      </c>
      <c r="S5109">
        <v>2.975403</v>
      </c>
      <c r="T5109">
        <v>-0.245674</v>
      </c>
      <c r="U5109">
        <v>0.93136600000000003</v>
      </c>
      <c r="V5109">
        <v>-0.1326003</v>
      </c>
      <c r="W5109">
        <v>0.1490406</v>
      </c>
      <c r="X5109">
        <v>0.97990010000000005</v>
      </c>
      <c r="Y5109">
        <v>-0.31262180000000001</v>
      </c>
      <c r="Z5109">
        <v>1.558494E-2</v>
      </c>
      <c r="AA5109">
        <v>0.94974979999999998</v>
      </c>
      <c r="AB5109">
        <v>26</v>
      </c>
      <c r="AC5109">
        <v>13.4411</v>
      </c>
      <c r="AD5109">
        <v>-1.1230711058759999</v>
      </c>
      <c r="AE5109">
        <v>4.2584300000000104</v>
      </c>
      <c r="AF5109">
        <v>-4.44221231746622</v>
      </c>
      <c r="AG5109">
        <v>-1.1230711058759999</v>
      </c>
      <c r="AH5109">
        <v>13.287790380214499</v>
      </c>
      <c r="AI5109">
        <v>94.582934743360298</v>
      </c>
      <c r="AJ5109">
        <v>108.48518502095</v>
      </c>
      <c r="AK5109">
        <v>14.0556007403036</v>
      </c>
      <c r="AL5109">
        <v>81.428668602096494</v>
      </c>
      <c r="AM5109">
        <v>97.706466031052997</v>
      </c>
      <c r="AN5109">
        <v>1.00000007299422</v>
      </c>
    </row>
    <row r="5110" spans="1:40" x14ac:dyDescent="0.25">
      <c r="A5110" t="str">
        <f>"20190303162701659"</f>
        <v>20190303162701659</v>
      </c>
      <c r="B5110" t="str">
        <f>"1551601621649666"</f>
        <v>1551601621649666</v>
      </c>
      <c r="C5110" t="s">
        <v>40</v>
      </c>
      <c r="D5110">
        <v>4.7758719999999997</v>
      </c>
      <c r="E5110">
        <v>0.42515819999999999</v>
      </c>
      <c r="F5110" t="s">
        <v>59</v>
      </c>
      <c r="G5110">
        <v>-204.1514</v>
      </c>
      <c r="H5110" s="1">
        <v>-3.9322320000000003E-6</v>
      </c>
      <c r="I5110">
        <v>-58.82864</v>
      </c>
      <c r="J5110">
        <v>-217.06549999999999</v>
      </c>
      <c r="K5110">
        <v>1.123068</v>
      </c>
      <c r="L5110">
        <v>-62.996090000000002</v>
      </c>
      <c r="M5110">
        <v>0.99984280000000003</v>
      </c>
      <c r="N5110">
        <v>-1.193058E-2</v>
      </c>
      <c r="O5110">
        <v>-1.312141E-2</v>
      </c>
      <c r="P5110">
        <v>0.98324109999999998</v>
      </c>
      <c r="Q5110">
        <v>0.1389735</v>
      </c>
      <c r="R5110">
        <v>0.117997699999999</v>
      </c>
      <c r="S5110">
        <v>2.9742579999999998</v>
      </c>
      <c r="T5110">
        <v>-0.2542064</v>
      </c>
      <c r="U5110">
        <v>0.94317629999999997</v>
      </c>
      <c r="V5110">
        <v>-0.13166889999999901</v>
      </c>
      <c r="W5110">
        <v>0.14999479999999901</v>
      </c>
      <c r="X5110">
        <v>0.97987999999999997</v>
      </c>
      <c r="Y5110">
        <v>-0.31353189999999997</v>
      </c>
      <c r="Z5110">
        <v>1.5915080000000002E-2</v>
      </c>
      <c r="AA5110">
        <v>0.94944430000000002</v>
      </c>
      <c r="AB5110">
        <v>26</v>
      </c>
      <c r="AC5110">
        <v>12.9140999999999</v>
      </c>
      <c r="AD5110">
        <v>-1.123071932232</v>
      </c>
      <c r="AE5110">
        <v>4.1674499999999997</v>
      </c>
      <c r="AF5110">
        <v>-4.3070529732615599</v>
      </c>
      <c r="AG5110">
        <v>-1.123071932232</v>
      </c>
      <c r="AH5110">
        <v>12.770826718089801</v>
      </c>
      <c r="AI5110">
        <v>94.763395271806203</v>
      </c>
      <c r="AJ5110">
        <v>108.637047821382</v>
      </c>
      <c r="AK5110">
        <v>13.5242748767882</v>
      </c>
      <c r="AL5110">
        <v>81.373374587273105</v>
      </c>
      <c r="AM5110">
        <v>97.653133798926703</v>
      </c>
      <c r="AN5110">
        <v>0.99999997682712405</v>
      </c>
    </row>
    <row r="5111" spans="1:40" x14ac:dyDescent="0.25">
      <c r="A5111" t="str">
        <f>"20190303162701681"</f>
        <v>20190303162701681</v>
      </c>
      <c r="B5111" t="str">
        <f>"1551601621669187"</f>
        <v>1551601621669187</v>
      </c>
      <c r="C5111" t="s">
        <v>40</v>
      </c>
      <c r="D5111">
        <v>4.819007</v>
      </c>
      <c r="E5111">
        <v>0.42474980000000001</v>
      </c>
      <c r="F5111" t="s">
        <v>59</v>
      </c>
      <c r="G5111">
        <v>-204.29409999999999</v>
      </c>
      <c r="H5111" s="1">
        <v>-3.8413069999999999E-6</v>
      </c>
      <c r="I5111">
        <v>-58.910690000000002</v>
      </c>
      <c r="J5111">
        <v>-216.81270000000001</v>
      </c>
      <c r="K5111">
        <v>1.1230690000000001</v>
      </c>
      <c r="L5111">
        <v>-62.99606</v>
      </c>
      <c r="M5111">
        <v>0.99987749999999997</v>
      </c>
      <c r="N5111">
        <v>-1.1944990000000001E-2</v>
      </c>
      <c r="O5111">
        <v>-1.0119660000000001E-2</v>
      </c>
      <c r="P5111">
        <v>0.98255800000000004</v>
      </c>
      <c r="Q5111">
        <v>0.1406271</v>
      </c>
      <c r="R5111">
        <v>0.1216725</v>
      </c>
      <c r="S5111">
        <v>2.973938</v>
      </c>
      <c r="T5111">
        <v>-0.26151790000000003</v>
      </c>
      <c r="U5111">
        <v>0.95132450000000002</v>
      </c>
      <c r="V5111">
        <v>-0.13239609999999999</v>
      </c>
      <c r="W5111">
        <v>0.15165600000000001</v>
      </c>
      <c r="X5111">
        <v>0.97952629999999996</v>
      </c>
      <c r="Y5111">
        <v>-0.3130172</v>
      </c>
      <c r="Z5111">
        <v>1.6071780000000001E-2</v>
      </c>
      <c r="AA5111">
        <v>0.94961150000000005</v>
      </c>
      <c r="AB5111">
        <v>26</v>
      </c>
      <c r="AC5111">
        <v>12.518599999999999</v>
      </c>
      <c r="AD5111">
        <v>-1.1230728413069999</v>
      </c>
      <c r="AE5111">
        <v>4.0853699999999904</v>
      </c>
      <c r="AF5111">
        <v>-4.1814394350379498</v>
      </c>
      <c r="AG5111">
        <v>-1.1230728413069999</v>
      </c>
      <c r="AH5111">
        <v>12.3865181203142</v>
      </c>
      <c r="AI5111">
        <v>94.910000533168599</v>
      </c>
      <c r="AJ5111">
        <v>108.653647984595</v>
      </c>
      <c r="AK5111">
        <v>13.121416063087199</v>
      </c>
      <c r="AL5111">
        <v>81.277093796015194</v>
      </c>
      <c r="AM5111">
        <v>97.697641837345103</v>
      </c>
      <c r="AN5111">
        <v>1.0000000210114499</v>
      </c>
    </row>
    <row r="5112" spans="1:40" x14ac:dyDescent="0.25">
      <c r="A5112" t="str">
        <f>"20190303162701697"</f>
        <v>20190303162701697</v>
      </c>
      <c r="B5112" t="str">
        <f>"1551601621689682"</f>
        <v>1551601621689682</v>
      </c>
      <c r="C5112" t="s">
        <v>40</v>
      </c>
      <c r="D5112">
        <v>4.798508</v>
      </c>
      <c r="E5112">
        <v>0.42490309999999998</v>
      </c>
      <c r="F5112" t="s">
        <v>59</v>
      </c>
      <c r="G5112">
        <v>-204.01410000000001</v>
      </c>
      <c r="H5112" s="1">
        <v>-4.0001250000000001E-6</v>
      </c>
      <c r="I5112">
        <v>-58.837899999999998</v>
      </c>
      <c r="J5112">
        <v>-216.63040000000001</v>
      </c>
      <c r="K5112">
        <v>1.1230709999999999</v>
      </c>
      <c r="L5112">
        <v>-62.995480000000001</v>
      </c>
      <c r="M5112">
        <v>0.99989680000000003</v>
      </c>
      <c r="N5112">
        <v>-1.195819E-2</v>
      </c>
      <c r="O5112">
        <v>-7.9600929999999997E-3</v>
      </c>
      <c r="P5112">
        <v>0.98224279999999997</v>
      </c>
      <c r="Q5112">
        <v>0.140513</v>
      </c>
      <c r="R5112">
        <v>0.1243192</v>
      </c>
      <c r="S5112">
        <v>2.9710390000000002</v>
      </c>
      <c r="T5112">
        <v>-0.26070880000000002</v>
      </c>
      <c r="U5112">
        <v>0.96527099999999999</v>
      </c>
      <c r="V5112">
        <v>-0.1329176</v>
      </c>
      <c r="W5112">
        <v>0.1515533</v>
      </c>
      <c r="X5112">
        <v>0.9794716</v>
      </c>
      <c r="Y5112">
        <v>-0.31527620000000001</v>
      </c>
      <c r="Z5112">
        <v>1.5985340000000001E-2</v>
      </c>
      <c r="AA5112">
        <v>0.94886530000000002</v>
      </c>
      <c r="AB5112">
        <v>26</v>
      </c>
      <c r="AC5112">
        <v>12.616299999999899</v>
      </c>
      <c r="AD5112">
        <v>-1.1230750001249901</v>
      </c>
      <c r="AE5112">
        <v>4.1575800000000003</v>
      </c>
      <c r="AF5112">
        <v>-4.2276633523158802</v>
      </c>
      <c r="AG5112">
        <v>-1.1230750001249901</v>
      </c>
      <c r="AH5112">
        <v>12.4935005621355</v>
      </c>
      <c r="AI5112">
        <v>94.866979269729796</v>
      </c>
      <c r="AJ5112">
        <v>108.695254535404</v>
      </c>
      <c r="AK5112">
        <v>13.2371443737878</v>
      </c>
      <c r="AL5112">
        <v>81.283047165410693</v>
      </c>
      <c r="AM5112">
        <v>97.728023057469002</v>
      </c>
      <c r="AN5112">
        <v>1.0000000531686</v>
      </c>
    </row>
    <row r="5113" spans="1:40" x14ac:dyDescent="0.25">
      <c r="A5113" t="str">
        <f>"20190303162701713"</f>
        <v>20190303162701713</v>
      </c>
      <c r="B5113" t="str">
        <f>"1551601621699443"</f>
        <v>1551601621699443</v>
      </c>
      <c r="C5113" t="s">
        <v>40</v>
      </c>
      <c r="D5113">
        <v>4.8042660000000001</v>
      </c>
      <c r="E5113">
        <v>0.42499310000000001</v>
      </c>
      <c r="F5113" t="s">
        <v>59</v>
      </c>
      <c r="G5113">
        <v>-204.17179999999999</v>
      </c>
      <c r="H5113" s="1">
        <v>-3.9019300000000003E-6</v>
      </c>
      <c r="I5113">
        <v>-58.918439999999997</v>
      </c>
      <c r="J5113">
        <v>-216.44890000000001</v>
      </c>
      <c r="K5113">
        <v>1.123068</v>
      </c>
      <c r="L5113">
        <v>-62.994570000000003</v>
      </c>
      <c r="M5113">
        <v>0.99991140000000001</v>
      </c>
      <c r="N5113">
        <v>-1.1973839999999999E-2</v>
      </c>
      <c r="O5113">
        <v>-5.8152109999999998E-3</v>
      </c>
      <c r="P5113">
        <v>0.98187999999999998</v>
      </c>
      <c r="Q5113">
        <v>0.14029449999999999</v>
      </c>
      <c r="R5113">
        <v>0.12739389999999901</v>
      </c>
      <c r="S5113">
        <v>2.9695279999999999</v>
      </c>
      <c r="T5113">
        <v>-0.2676867</v>
      </c>
      <c r="U5113">
        <v>0.97177119999999995</v>
      </c>
      <c r="V5113">
        <v>-0.133882</v>
      </c>
      <c r="W5113">
        <v>0.15134629999999999</v>
      </c>
      <c r="X5113">
        <v>0.97937220000000003</v>
      </c>
      <c r="Y5113">
        <v>-0.31520160000000003</v>
      </c>
      <c r="Z5113">
        <v>1.6201030000000002E-2</v>
      </c>
      <c r="AA5113">
        <v>0.94888649999999997</v>
      </c>
      <c r="AB5113">
        <v>26</v>
      </c>
      <c r="AC5113">
        <v>12.277100000000001</v>
      </c>
      <c r="AD5113">
        <v>-1.1230719019299999</v>
      </c>
      <c r="AE5113">
        <v>4.0761299999999903</v>
      </c>
      <c r="AF5113">
        <v>-4.1164337247917304</v>
      </c>
      <c r="AG5113">
        <v>-1.1230719019299999</v>
      </c>
      <c r="AH5113">
        <v>12.161523278240301</v>
      </c>
      <c r="AI5113">
        <v>94.999019198234507</v>
      </c>
      <c r="AJ5113">
        <v>108.69993745079999</v>
      </c>
      <c r="AK5113">
        <v>12.8883267166335</v>
      </c>
      <c r="AL5113">
        <v>81.295045323295795</v>
      </c>
      <c r="AM5113">
        <v>97.784190093451102</v>
      </c>
      <c r="AN5113">
        <v>0.99999999929026495</v>
      </c>
    </row>
    <row r="5114" spans="1:40" x14ac:dyDescent="0.25">
      <c r="A5114" t="str">
        <f>"20190303162701725"</f>
        <v>20190303162701725</v>
      </c>
      <c r="B5114" t="str">
        <f>"1551601621718963"</f>
        <v>1551601621718963</v>
      </c>
      <c r="C5114" t="s">
        <v>40</v>
      </c>
      <c r="D5114">
        <v>4.8787669999999999</v>
      </c>
      <c r="E5114">
        <v>0.42547180000000001</v>
      </c>
      <c r="F5114" t="s">
        <v>59</v>
      </c>
      <c r="G5114">
        <v>-204.14340000000001</v>
      </c>
      <c r="H5114" s="1">
        <v>-3.9139930000000002E-6</v>
      </c>
      <c r="I5114">
        <v>-58.929229999999997</v>
      </c>
      <c r="J5114">
        <v>-216.3021</v>
      </c>
      <c r="K5114">
        <v>1.12307</v>
      </c>
      <c r="L5114">
        <v>-62.993589999999998</v>
      </c>
      <c r="M5114">
        <v>0.99991980000000003</v>
      </c>
      <c r="N5114">
        <v>-1.198785E-2</v>
      </c>
      <c r="O5114">
        <v>-4.0836070000000004E-3</v>
      </c>
      <c r="P5114">
        <v>0.98128159999999998</v>
      </c>
      <c r="Q5114">
        <v>0.1398819</v>
      </c>
      <c r="R5114">
        <v>0.13236099999999901</v>
      </c>
      <c r="S5114">
        <v>2.966888</v>
      </c>
      <c r="T5114">
        <v>-0.2707754</v>
      </c>
      <c r="U5114">
        <v>0.98016360000000002</v>
      </c>
      <c r="V5114">
        <v>-0.1371424</v>
      </c>
      <c r="W5114">
        <v>0.150927799999999</v>
      </c>
      <c r="X5114">
        <v>0.97898560000000001</v>
      </c>
      <c r="Y5114">
        <v>-0.3162008</v>
      </c>
      <c r="Z5114">
        <v>1.629189E-2</v>
      </c>
      <c r="AA5114">
        <v>0.94855239999999996</v>
      </c>
      <c r="AB5114">
        <v>26</v>
      </c>
      <c r="AC5114">
        <v>12.1586999999999</v>
      </c>
      <c r="AD5114">
        <v>-1.1230739139929999</v>
      </c>
      <c r="AE5114">
        <v>4.0643599999999998</v>
      </c>
      <c r="AF5114">
        <v>-4.0826495319901497</v>
      </c>
      <c r="AG5114">
        <v>-1.1230739139929999</v>
      </c>
      <c r="AH5114">
        <v>12.049528415688799</v>
      </c>
      <c r="AI5114">
        <v>95.044731225500499</v>
      </c>
      <c r="AJ5114">
        <v>108.71752893226</v>
      </c>
      <c r="AK5114">
        <v>12.7718619338702</v>
      </c>
      <c r="AL5114">
        <v>81.319302448302196</v>
      </c>
      <c r="AM5114">
        <v>97.974455866768494</v>
      </c>
      <c r="AN5114">
        <v>1.00000002184897</v>
      </c>
    </row>
    <row r="5115" spans="1:40" x14ac:dyDescent="0.25">
      <c r="A5115" t="str">
        <f>"20190303162701736"</f>
        <v>20190303162701736</v>
      </c>
      <c r="B5115" t="str">
        <f>"1551601621729699"</f>
        <v>1551601621729699</v>
      </c>
      <c r="C5115" t="s">
        <v>40</v>
      </c>
      <c r="D5115">
        <v>4.9040879999999998</v>
      </c>
      <c r="E5115">
        <v>0.42582959999999898</v>
      </c>
      <c r="F5115" t="s">
        <v>59</v>
      </c>
      <c r="G5115">
        <v>-204.01009999999999</v>
      </c>
      <c r="H5115" s="1">
        <v>-3.9923559999999997E-6</v>
      </c>
      <c r="I5115">
        <v>-58.882150000000003</v>
      </c>
      <c r="J5115">
        <v>-216.17169999999999</v>
      </c>
      <c r="K5115">
        <v>1.123065</v>
      </c>
      <c r="L5115">
        <v>-62.992460000000001</v>
      </c>
      <c r="M5115">
        <v>0.9999247</v>
      </c>
      <c r="N5115">
        <v>-1.200117E-2</v>
      </c>
      <c r="O5115">
        <v>-2.5525109999999999E-3</v>
      </c>
      <c r="P5115">
        <v>0.98068129999999998</v>
      </c>
      <c r="Q5115">
        <v>0.14002619999999999</v>
      </c>
      <c r="R5115">
        <v>0.13659079999999901</v>
      </c>
      <c r="S5115">
        <v>2.9621430000000002</v>
      </c>
      <c r="T5115">
        <v>-0.27064070000000001</v>
      </c>
      <c r="U5115">
        <v>0.99078370000000004</v>
      </c>
      <c r="V5115">
        <v>-0.13986779999999999</v>
      </c>
      <c r="W5115">
        <v>0.1510687</v>
      </c>
      <c r="X5115">
        <v>0.97857819999999995</v>
      </c>
      <c r="Y5115">
        <v>-0.31825710000000001</v>
      </c>
      <c r="Z5115">
        <v>1.6287840000000001E-2</v>
      </c>
      <c r="AA5115">
        <v>0.9478645</v>
      </c>
      <c r="AB5115">
        <v>26</v>
      </c>
      <c r="AC5115">
        <v>12.1615999999999</v>
      </c>
      <c r="AD5115">
        <v>-1.123068992356</v>
      </c>
      <c r="AE5115">
        <v>4.1103099999999904</v>
      </c>
      <c r="AF5115">
        <v>-4.1098866056391001</v>
      </c>
      <c r="AG5115">
        <v>-1.123068992356</v>
      </c>
      <c r="AH5115">
        <v>12.0587766321764</v>
      </c>
      <c r="AI5115">
        <v>95.037807440709997</v>
      </c>
      <c r="AJ5115">
        <v>108.82019793982199</v>
      </c>
      <c r="AK5115">
        <v>12.7893137320784</v>
      </c>
      <c r="AL5115">
        <v>81.311135849944804</v>
      </c>
      <c r="AM5115">
        <v>98.134171305507806</v>
      </c>
      <c r="AN5115">
        <v>1.0000000235558799</v>
      </c>
    </row>
    <row r="5116" spans="1:40" x14ac:dyDescent="0.25">
      <c r="A5116" t="str">
        <f>"20190303162701753"</f>
        <v>20190303162701753</v>
      </c>
      <c r="B5116" t="str">
        <f>"1551601621749218"</f>
        <v>1551601621749218</v>
      </c>
      <c r="C5116" t="s">
        <v>40</v>
      </c>
      <c r="D5116">
        <v>4.8973129999999996</v>
      </c>
      <c r="E5116">
        <v>0.42609910000000001</v>
      </c>
      <c r="F5116" t="s">
        <v>59</v>
      </c>
      <c r="G5116">
        <v>-203.77340000000001</v>
      </c>
      <c r="H5116" s="1">
        <v>-4.1309130000000003E-6</v>
      </c>
      <c r="I5116">
        <v>-58.801270000000002</v>
      </c>
      <c r="J5116">
        <v>-215.99119999999999</v>
      </c>
      <c r="K5116">
        <v>1.1230549999999999</v>
      </c>
      <c r="L5116">
        <v>-62.990569999999998</v>
      </c>
      <c r="M5116">
        <v>0.99992780000000003</v>
      </c>
      <c r="N5116">
        <v>-1.2019139999999999E-2</v>
      </c>
      <c r="O5116">
        <v>-4.4045590000000001E-4</v>
      </c>
      <c r="P5116">
        <v>0.9798694</v>
      </c>
      <c r="Q5116">
        <v>0.14050360000000001</v>
      </c>
      <c r="R5116">
        <v>0.14182790000000001</v>
      </c>
      <c r="S5116">
        <v>2.9580989999999998</v>
      </c>
      <c r="T5116">
        <v>-0.2679513</v>
      </c>
      <c r="U5116">
        <v>0.99996949999999996</v>
      </c>
      <c r="V5116">
        <v>-0.143031399999999</v>
      </c>
      <c r="W5116">
        <v>0.15154479999999901</v>
      </c>
      <c r="X5116">
        <v>0.97804709999999995</v>
      </c>
      <c r="Y5116">
        <v>-0.31931419999999999</v>
      </c>
      <c r="Z5116">
        <v>1.6053029999999999E-2</v>
      </c>
      <c r="AA5116">
        <v>0.94751289999999999</v>
      </c>
      <c r="AB5116">
        <v>26</v>
      </c>
      <c r="AC5116">
        <v>12.217799999999899</v>
      </c>
      <c r="AD5116">
        <v>-1.12305913091299</v>
      </c>
      <c r="AE5116">
        <v>4.1893000000000002</v>
      </c>
      <c r="AF5116">
        <v>-4.1632059053873096</v>
      </c>
      <c r="AG5116">
        <v>-1.12305913091299</v>
      </c>
      <c r="AH5116">
        <v>12.1242890733562</v>
      </c>
      <c r="AI5116">
        <v>95.006780256357303</v>
      </c>
      <c r="AJ5116">
        <v>108.951309216539</v>
      </c>
      <c r="AK5116">
        <v>12.8682528245479</v>
      </c>
      <c r="AL5116">
        <v>81.283539129309503</v>
      </c>
      <c r="AM5116">
        <v>98.320061497238697</v>
      </c>
      <c r="AN5116">
        <v>0.99999996880570396</v>
      </c>
    </row>
    <row r="5117" spans="1:40" x14ac:dyDescent="0.25">
      <c r="A5117" t="str">
        <f>"20190303162701766"</f>
        <v>20190303162701766</v>
      </c>
      <c r="B5117" t="str">
        <f>"1551601621758978"</f>
        <v>1551601621758978</v>
      </c>
      <c r="C5117" t="s">
        <v>40</v>
      </c>
      <c r="D5117">
        <v>4.9170920000000002</v>
      </c>
      <c r="E5117">
        <v>0.42608509999999999</v>
      </c>
      <c r="F5117" t="s">
        <v>59</v>
      </c>
      <c r="G5117">
        <v>-203.45169999999999</v>
      </c>
      <c r="H5117" s="1">
        <v>-4.3200659999999998E-6</v>
      </c>
      <c r="I5117">
        <v>-58.6873</v>
      </c>
      <c r="J5117">
        <v>-215.82140000000001</v>
      </c>
      <c r="K5117">
        <v>1.1230469999999999</v>
      </c>
      <c r="L5117">
        <v>-62.988529999999997</v>
      </c>
      <c r="M5117">
        <v>0.99992639999999999</v>
      </c>
      <c r="N5117">
        <v>-1.2036430000000001E-2</v>
      </c>
      <c r="O5117">
        <v>1.5363550000000001E-3</v>
      </c>
      <c r="P5117">
        <v>0.97894499999999995</v>
      </c>
      <c r="Q5117">
        <v>0.14122079999999901</v>
      </c>
      <c r="R5117">
        <v>0.147389299999999</v>
      </c>
      <c r="S5117">
        <v>2.9528810000000001</v>
      </c>
      <c r="T5117">
        <v>-0.26446629999999999</v>
      </c>
      <c r="U5117">
        <v>1.0133669999999999</v>
      </c>
      <c r="V5117">
        <v>-0.1466565</v>
      </c>
      <c r="W5117">
        <v>0.15225739999999999</v>
      </c>
      <c r="X5117">
        <v>0.97739940000000003</v>
      </c>
      <c r="Y5117">
        <v>-0.32182509999999998</v>
      </c>
      <c r="Z5117">
        <v>1.5864090000000001E-2</v>
      </c>
      <c r="AA5117">
        <v>0.94666620000000001</v>
      </c>
      <c r="AB5117">
        <v>26</v>
      </c>
      <c r="AC5117">
        <v>12.3697</v>
      </c>
      <c r="AD5117">
        <v>-1.1230513200659999</v>
      </c>
      <c r="AE5117">
        <v>4.3012300000000003</v>
      </c>
      <c r="AF5117">
        <v>-4.2509587541475096</v>
      </c>
      <c r="AG5117">
        <v>-1.1230513200659999</v>
      </c>
      <c r="AH5117">
        <v>12.2859461612099</v>
      </c>
      <c r="AI5117">
        <v>94.937221916071096</v>
      </c>
      <c r="AJ5117">
        <v>109.08570913489</v>
      </c>
      <c r="AK5117">
        <v>13.0489987230099</v>
      </c>
      <c r="AL5117">
        <v>81.242231216674199</v>
      </c>
      <c r="AM5117">
        <v>98.533436628600796</v>
      </c>
      <c r="AN5117">
        <v>1.0000000159836799</v>
      </c>
    </row>
    <row r="5118" spans="1:40" x14ac:dyDescent="0.25">
      <c r="A5118" t="str">
        <f>"20190303162701780"</f>
        <v>20190303162701780</v>
      </c>
      <c r="B5118" t="str">
        <f>"1551601621768738"</f>
        <v>1551601621768738</v>
      </c>
      <c r="C5118" t="s">
        <v>40</v>
      </c>
      <c r="D5118">
        <v>4.8638370000000002</v>
      </c>
      <c r="E5118">
        <v>0.42622120000000002</v>
      </c>
      <c r="F5118" t="s">
        <v>59</v>
      </c>
      <c r="G5118">
        <v>-203.20750000000001</v>
      </c>
      <c r="H5118" s="1">
        <v>-4.4680490000000001E-6</v>
      </c>
      <c r="I5118">
        <v>-58.58126</v>
      </c>
      <c r="J5118">
        <v>-215.66919999999999</v>
      </c>
      <c r="K5118">
        <v>1.1230500000000001</v>
      </c>
      <c r="L5118">
        <v>-62.986359999999998</v>
      </c>
      <c r="M5118">
        <v>0.99992199999999998</v>
      </c>
      <c r="N5118">
        <v>-1.205322E-2</v>
      </c>
      <c r="O5118">
        <v>3.2979379999999998E-3</v>
      </c>
      <c r="P5118">
        <v>0.97719100000000003</v>
      </c>
      <c r="Q5118">
        <v>0.142929</v>
      </c>
      <c r="R5118">
        <v>0.1570648</v>
      </c>
      <c r="S5118">
        <v>2.947327</v>
      </c>
      <c r="T5118">
        <v>-0.26240839999999999</v>
      </c>
      <c r="U5118">
        <v>1.029785</v>
      </c>
      <c r="V5118">
        <v>-0.154617</v>
      </c>
      <c r="W5118">
        <v>0.153927799999999</v>
      </c>
      <c r="X5118">
        <v>0.97590969999999999</v>
      </c>
      <c r="Y5118">
        <v>-0.3254184</v>
      </c>
      <c r="Z5118">
        <v>1.5819550000000002E-2</v>
      </c>
      <c r="AA5118">
        <v>0.94543779999999999</v>
      </c>
      <c r="AB5118">
        <v>26</v>
      </c>
      <c r="AC5118">
        <v>12.461699999999899</v>
      </c>
      <c r="AD5118">
        <v>-1.123054468049</v>
      </c>
      <c r="AE5118">
        <v>4.4050999999999902</v>
      </c>
      <c r="AF5118">
        <v>-4.3326949351771198</v>
      </c>
      <c r="AG5118">
        <v>-1.123054468049</v>
      </c>
      <c r="AH5118">
        <v>12.3867340856194</v>
      </c>
      <c r="AI5118">
        <v>94.891540145506497</v>
      </c>
      <c r="AJ5118">
        <v>109.27907598833799</v>
      </c>
      <c r="AK5118">
        <v>13.1705990010842</v>
      </c>
      <c r="AL5118">
        <v>81.145382201408793</v>
      </c>
      <c r="AM5118">
        <v>99.002754162083804</v>
      </c>
      <c r="AN5118">
        <v>0.99999996342796404</v>
      </c>
    </row>
    <row r="5119" spans="1:40" x14ac:dyDescent="0.25">
      <c r="A5119" t="str">
        <f>"20190303162701792"</f>
        <v>20190303162701792</v>
      </c>
      <c r="B5119" t="str">
        <f>"1551601621779474"</f>
        <v>1551601621779474</v>
      </c>
      <c r="C5119" t="s">
        <v>40</v>
      </c>
      <c r="D5119">
        <v>4.9367080000000003</v>
      </c>
      <c r="E5119">
        <v>0.42627989999999999</v>
      </c>
      <c r="F5119" t="s">
        <v>59</v>
      </c>
      <c r="G5119">
        <v>-202.78989999999999</v>
      </c>
      <c r="H5119" s="1">
        <v>-4.7327079999999998E-6</v>
      </c>
      <c r="I5119">
        <v>-58.347059999999999</v>
      </c>
      <c r="J5119">
        <v>-215.5361</v>
      </c>
      <c r="K5119">
        <v>1.123046</v>
      </c>
      <c r="L5119">
        <v>-62.984219999999901</v>
      </c>
      <c r="M5119">
        <v>0.99991560000000002</v>
      </c>
      <c r="N5119">
        <v>-1.206895E-2</v>
      </c>
      <c r="O5119">
        <v>4.8263589999999997E-3</v>
      </c>
      <c r="P5119">
        <v>0.97620620000000002</v>
      </c>
      <c r="Q5119">
        <v>0.14334129999999901</v>
      </c>
      <c r="R5119">
        <v>0.16271140000000001</v>
      </c>
      <c r="S5119">
        <v>2.937424</v>
      </c>
      <c r="T5119">
        <v>-0.25614009999999998</v>
      </c>
      <c r="U5119">
        <v>1.0581050000000001</v>
      </c>
      <c r="V5119">
        <v>-0.1587713</v>
      </c>
      <c r="W5119">
        <v>0.1543302</v>
      </c>
      <c r="X5119">
        <v>0.97517889999999996</v>
      </c>
      <c r="Y5119">
        <v>-0.33307639999999999</v>
      </c>
      <c r="Z5119">
        <v>1.5779209999999998E-2</v>
      </c>
      <c r="AA5119">
        <v>0.94276780000000004</v>
      </c>
      <c r="AB5119">
        <v>26</v>
      </c>
      <c r="AC5119">
        <v>12.7462</v>
      </c>
      <c r="AD5119">
        <v>-1.1230507327079999</v>
      </c>
      <c r="AE5119">
        <v>4.63715999999999</v>
      </c>
      <c r="AF5119">
        <v>-4.5444283456937997</v>
      </c>
      <c r="AG5119">
        <v>-1.1230507327079999</v>
      </c>
      <c r="AH5119">
        <v>12.681492718982501</v>
      </c>
      <c r="AI5119">
        <v>94.765560460126196</v>
      </c>
      <c r="AJ5119">
        <v>109.71520255706599</v>
      </c>
      <c r="AK5119">
        <v>13.517889240520701</v>
      </c>
      <c r="AL5119">
        <v>81.122047978438502</v>
      </c>
      <c r="AM5119">
        <v>99.247328834042904</v>
      </c>
      <c r="AN5119">
        <v>1.0000000116704699</v>
      </c>
    </row>
    <row r="5120" spans="1:40" x14ac:dyDescent="0.25">
      <c r="A5120" t="str">
        <f>"20190303162701802"</f>
        <v>20190303162701802</v>
      </c>
      <c r="B5120" t="str">
        <f>"1551601621789234"</f>
        <v>1551601621789234</v>
      </c>
      <c r="C5120" t="s">
        <v>40</v>
      </c>
      <c r="D5120">
        <v>5.1175699999999997</v>
      </c>
      <c r="E5120">
        <v>0.42617319999999997</v>
      </c>
      <c r="F5120" t="s">
        <v>59</v>
      </c>
      <c r="G5120">
        <v>-202.61959999999999</v>
      </c>
      <c r="H5120" s="1">
        <v>-4.8410440000000003E-6</v>
      </c>
      <c r="I5120">
        <v>-58.249859999999998</v>
      </c>
      <c r="J5120">
        <v>-215.40989999999999</v>
      </c>
      <c r="K5120">
        <v>1.1230389999999999</v>
      </c>
      <c r="L5120">
        <v>-62.982120000000002</v>
      </c>
      <c r="M5120">
        <v>0.9999074</v>
      </c>
      <c r="N5120">
        <v>-1.20841E-2</v>
      </c>
      <c r="O5120">
        <v>6.2728280000000003E-3</v>
      </c>
      <c r="P5120">
        <v>0.97515050000000003</v>
      </c>
      <c r="Q5120">
        <v>0.14383080000000001</v>
      </c>
      <c r="R5120">
        <v>0.16850609999999999</v>
      </c>
      <c r="S5120">
        <v>2.931473</v>
      </c>
      <c r="T5120">
        <v>-0.25488309999999997</v>
      </c>
      <c r="U5120">
        <v>1.0744929999999999</v>
      </c>
      <c r="V5120">
        <v>-0.1631572</v>
      </c>
      <c r="W5120">
        <v>0.1548079</v>
      </c>
      <c r="X5120">
        <v>0.97437890000000005</v>
      </c>
      <c r="Y5120">
        <v>-0.33697310000000003</v>
      </c>
      <c r="Z5120">
        <v>1.5813899999999999E-2</v>
      </c>
      <c r="AA5120">
        <v>0.94138149999999998</v>
      </c>
      <c r="AB5120">
        <v>26</v>
      </c>
      <c r="AC5120">
        <v>12.7903</v>
      </c>
      <c r="AD5120">
        <v>-1.12304384104399</v>
      </c>
      <c r="AE5120">
        <v>4.7322599999999904</v>
      </c>
      <c r="AF5120">
        <v>-4.6205960259332199</v>
      </c>
      <c r="AG5120">
        <v>-1.12304384104399</v>
      </c>
      <c r="AH5120">
        <v>12.733386213803</v>
      </c>
      <c r="AI5120">
        <v>94.739387142372294</v>
      </c>
      <c r="AJ5120">
        <v>109.944443596677</v>
      </c>
      <c r="AK5120">
        <v>13.5922867676357</v>
      </c>
      <c r="AL5120">
        <v>81.094344736899899</v>
      </c>
      <c r="AM5120">
        <v>99.505839654777404</v>
      </c>
      <c r="AN5120">
        <v>0.99999999928973005</v>
      </c>
    </row>
    <row r="5121" spans="1:40" x14ac:dyDescent="0.25">
      <c r="A5121" t="str">
        <f>"20190303162701814"</f>
        <v>20190303162701814</v>
      </c>
      <c r="B5121" t="str">
        <f>"1551601621808755"</f>
        <v>1551601621808755</v>
      </c>
      <c r="C5121" t="s">
        <v>40</v>
      </c>
      <c r="D5121">
        <v>4.9699780000000002</v>
      </c>
      <c r="E5121">
        <v>0.42663430000000002</v>
      </c>
      <c r="F5121" t="s">
        <v>59</v>
      </c>
      <c r="G5121">
        <v>-202.548</v>
      </c>
      <c r="H5121" s="1">
        <v>-4.8932269999999997E-6</v>
      </c>
      <c r="I5121">
        <v>-58.179040000000001</v>
      </c>
      <c r="J5121">
        <v>-215.274</v>
      </c>
      <c r="K5121">
        <v>1.1230249999999999</v>
      </c>
      <c r="L5121">
        <v>-62.979550000000003</v>
      </c>
      <c r="M5121">
        <v>0.99989620000000001</v>
      </c>
      <c r="N5121">
        <v>-1.2099850000000001E-2</v>
      </c>
      <c r="O5121">
        <v>7.8115889999999999E-3</v>
      </c>
      <c r="P5121">
        <v>0.97396099999999997</v>
      </c>
      <c r="Q5121">
        <v>0.144164299999999</v>
      </c>
      <c r="R5121">
        <v>0.17497589999999999</v>
      </c>
      <c r="S5121">
        <v>2.9253689999999999</v>
      </c>
      <c r="T5121">
        <v>-0.25543120000000002</v>
      </c>
      <c r="U5121">
        <v>1.092438</v>
      </c>
      <c r="V5121">
        <v>-0.16812959999999999</v>
      </c>
      <c r="W5121">
        <v>0.15512629999999999</v>
      </c>
      <c r="X5121">
        <v>0.97348250000000003</v>
      </c>
      <c r="Y5121">
        <v>-0.34121430000000003</v>
      </c>
      <c r="Z5121">
        <v>1.5954510000000002E-2</v>
      </c>
      <c r="AA5121">
        <v>0.93985019999999997</v>
      </c>
      <c r="AB5121">
        <v>26</v>
      </c>
      <c r="AC5121">
        <v>12.726000000000001</v>
      </c>
      <c r="AD5121">
        <v>-1.123029893227</v>
      </c>
      <c r="AE5121">
        <v>4.8005100000000001</v>
      </c>
      <c r="AF5121">
        <v>-4.6691146049048804</v>
      </c>
      <c r="AG5121">
        <v>-1.123029893227</v>
      </c>
      <c r="AH5121">
        <v>12.6766916278651</v>
      </c>
      <c r="AI5121">
        <v>94.752105713987106</v>
      </c>
      <c r="AJ5121">
        <v>110.219902799504</v>
      </c>
      <c r="AK5121">
        <v>13.5558230278653</v>
      </c>
      <c r="AL5121">
        <v>81.075878281596303</v>
      </c>
      <c r="AM5121">
        <v>99.798855530236594</v>
      </c>
      <c r="AN5121">
        <v>0.99999995457704804</v>
      </c>
    </row>
    <row r="5122" spans="1:40" x14ac:dyDescent="0.25">
      <c r="A5122" t="str">
        <f>"20190303162701831"</f>
        <v>20190303162701831</v>
      </c>
      <c r="B5122" t="str">
        <f>"1551601621819490"</f>
        <v>1551601621819490</v>
      </c>
      <c r="C5122" t="s">
        <v>40</v>
      </c>
      <c r="D5122">
        <v>4.9793710000000004</v>
      </c>
      <c r="E5122">
        <v>0.42699720000000002</v>
      </c>
      <c r="F5122" t="s">
        <v>59</v>
      </c>
      <c r="G5122">
        <v>-202.49440000000001</v>
      </c>
      <c r="H5122" s="1">
        <v>-4.9314160000000004E-6</v>
      </c>
      <c r="I5122">
        <v>-58.129989999999999</v>
      </c>
      <c r="J5122">
        <v>-215.095</v>
      </c>
      <c r="K5122">
        <v>1.123008</v>
      </c>
      <c r="L5122">
        <v>-62.97589</v>
      </c>
      <c r="M5122">
        <v>0.99987839999999995</v>
      </c>
      <c r="N5122">
        <v>-1.2121460000000001E-2</v>
      </c>
      <c r="O5122">
        <v>9.823699E-3</v>
      </c>
      <c r="P5122">
        <v>0.97266140000000001</v>
      </c>
      <c r="Q5122">
        <v>0.1442493</v>
      </c>
      <c r="R5122">
        <v>0.18199470000000001</v>
      </c>
      <c r="S5122">
        <v>2.9191590000000001</v>
      </c>
      <c r="T5122">
        <v>-0.25652720000000001</v>
      </c>
      <c r="U5122">
        <v>1.107758</v>
      </c>
      <c r="V5122">
        <v>-0.17319039999999999</v>
      </c>
      <c r="W5122">
        <v>0.1552055</v>
      </c>
      <c r="X5122">
        <v>0.97258230000000001</v>
      </c>
      <c r="Y5122">
        <v>-0.34427639999999998</v>
      </c>
      <c r="Z5122">
        <v>1.6036419999999999E-2</v>
      </c>
      <c r="AA5122">
        <v>0.93873139999999999</v>
      </c>
      <c r="AB5122">
        <v>26</v>
      </c>
      <c r="AC5122">
        <v>12.600599999999901</v>
      </c>
      <c r="AD5122">
        <v>-1.123012931416</v>
      </c>
      <c r="AE5122">
        <v>4.8459000000000003</v>
      </c>
      <c r="AF5122">
        <v>-4.6894234502161396</v>
      </c>
      <c r="AG5122">
        <v>-1.123012931416</v>
      </c>
      <c r="AH5122">
        <v>12.560684677881801</v>
      </c>
      <c r="AI5122">
        <v>94.787915766294304</v>
      </c>
      <c r="AJ5122">
        <v>110.472684556288</v>
      </c>
      <c r="AK5122">
        <v>13.454465798267099</v>
      </c>
      <c r="AL5122">
        <v>81.071285195196594</v>
      </c>
      <c r="AM5122">
        <v>100.096979765806</v>
      </c>
      <c r="AN5122">
        <v>0.99999999607784995</v>
      </c>
    </row>
    <row r="5123" spans="1:40" x14ac:dyDescent="0.25">
      <c r="A5123" t="str">
        <f>"20190303162701841"</f>
        <v>20190303162701841</v>
      </c>
      <c r="B5123" t="str">
        <f>"1551601621829251"</f>
        <v>1551601621829251</v>
      </c>
      <c r="C5123" t="s">
        <v>40</v>
      </c>
      <c r="D5123">
        <v>4.9933860000000001</v>
      </c>
      <c r="E5123">
        <v>0.42734879999999997</v>
      </c>
      <c r="F5123" t="s">
        <v>59</v>
      </c>
      <c r="G5123">
        <v>-202.37989999999999</v>
      </c>
      <c r="H5123" s="1">
        <v>-5.0050969999999999E-6</v>
      </c>
      <c r="I5123">
        <v>-58.060859999999998</v>
      </c>
      <c r="J5123">
        <v>-214.96279999999999</v>
      </c>
      <c r="K5123">
        <v>1.122995</v>
      </c>
      <c r="L5123">
        <v>-62.973050000000001</v>
      </c>
      <c r="M5123">
        <v>0.99986249999999999</v>
      </c>
      <c r="N5123">
        <v>-1.2138049999999999E-2</v>
      </c>
      <c r="O5123">
        <v>1.1300630000000001E-2</v>
      </c>
      <c r="P5123">
        <v>0.97136429999999996</v>
      </c>
      <c r="Q5123">
        <v>0.1444308</v>
      </c>
      <c r="R5123">
        <v>0.1886562</v>
      </c>
      <c r="S5123">
        <v>2.9118499999999998</v>
      </c>
      <c r="T5123">
        <v>-0.25717839999999997</v>
      </c>
      <c r="U5123">
        <v>1.12558</v>
      </c>
      <c r="V5123">
        <v>-0.17842179999999999</v>
      </c>
      <c r="W5123">
        <v>0.1553727</v>
      </c>
      <c r="X5123">
        <v>0.97160950000000001</v>
      </c>
      <c r="Y5123">
        <v>-0.34865439999999998</v>
      </c>
      <c r="Z5123">
        <v>1.6199970000000001E-2</v>
      </c>
      <c r="AA5123">
        <v>0.93711129999999998</v>
      </c>
      <c r="AB5123">
        <v>26</v>
      </c>
      <c r="AC5123">
        <v>12.582899999999899</v>
      </c>
      <c r="AD5123">
        <v>-1.1230000050969999</v>
      </c>
      <c r="AE5123">
        <v>4.9121899999999998</v>
      </c>
      <c r="AF5123">
        <v>-4.7369301727107</v>
      </c>
      <c r="AG5123">
        <v>-1.1230000050969999</v>
      </c>
      <c r="AH5123">
        <v>12.550861675338</v>
      </c>
      <c r="AI5123">
        <v>94.785196897517096</v>
      </c>
      <c r="AJ5123">
        <v>110.677445538529</v>
      </c>
      <c r="AK5123">
        <v>13.4619376490182</v>
      </c>
      <c r="AL5123">
        <v>81.061587894718002</v>
      </c>
      <c r="AM5123">
        <v>100.40559560923199</v>
      </c>
      <c r="AN5123">
        <v>1.00000001755538</v>
      </c>
    </row>
    <row r="5124" spans="1:40" x14ac:dyDescent="0.25">
      <c r="A5124" t="str">
        <f>"20190303162701858"</f>
        <v>20190303162701858</v>
      </c>
      <c r="B5124" t="str">
        <f>"1551601621849746"</f>
        <v>1551601621849746</v>
      </c>
      <c r="C5124" t="s">
        <v>40</v>
      </c>
      <c r="D5124">
        <v>5.0903019999999897</v>
      </c>
      <c r="E5124">
        <v>0.42751939999999999</v>
      </c>
      <c r="F5124" t="s">
        <v>59</v>
      </c>
      <c r="G5124">
        <v>-202.285</v>
      </c>
      <c r="H5124" s="1">
        <v>-5.0697050000000003E-6</v>
      </c>
      <c r="I5124">
        <v>-57.987659999999998</v>
      </c>
      <c r="J5124">
        <v>-214.77520000000001</v>
      </c>
      <c r="K5124">
        <v>1.1229769999999999</v>
      </c>
      <c r="L5124">
        <v>-62.968600000000002</v>
      </c>
      <c r="M5124">
        <v>0.99983670000000002</v>
      </c>
      <c r="N5124">
        <v>-1.2162859999999999E-2</v>
      </c>
      <c r="O5124">
        <v>1.3366569999999999E-2</v>
      </c>
      <c r="P5124">
        <v>0.96994009999999997</v>
      </c>
      <c r="Q5124">
        <v>0.14435539999999999</v>
      </c>
      <c r="R5124">
        <v>0.19590199999999999</v>
      </c>
      <c r="S5124">
        <v>2.9048609999999999</v>
      </c>
      <c r="T5124">
        <v>-0.25731300000000001</v>
      </c>
      <c r="U5124">
        <v>1.1423030000000001</v>
      </c>
      <c r="V5124">
        <v>-0.18366450000000001</v>
      </c>
      <c r="W5124">
        <v>0.15529499999999999</v>
      </c>
      <c r="X5124">
        <v>0.97064450000000002</v>
      </c>
      <c r="Y5124">
        <v>-0.3521435</v>
      </c>
      <c r="Z5124">
        <v>1.625035E-2</v>
      </c>
      <c r="AA5124">
        <v>0.935805</v>
      </c>
      <c r="AB5124">
        <v>26</v>
      </c>
      <c r="AC5124">
        <v>12.4902</v>
      </c>
      <c r="AD5124">
        <v>-1.1229820697049999</v>
      </c>
      <c r="AE5124">
        <v>4.9809400000000004</v>
      </c>
      <c r="AF5124">
        <v>-4.7801921423574401</v>
      </c>
      <c r="AG5124">
        <v>-1.1229820697049999</v>
      </c>
      <c r="AH5124">
        <v>12.4687043429157</v>
      </c>
      <c r="AI5124">
        <v>94.807022890472894</v>
      </c>
      <c r="AJ5124">
        <v>110.975585332958</v>
      </c>
      <c r="AK5124">
        <v>13.4007430255856</v>
      </c>
      <c r="AL5124">
        <v>81.0660940084434</v>
      </c>
      <c r="AM5124">
        <v>100.714778769945</v>
      </c>
      <c r="AN5124">
        <v>0.99999996548274905</v>
      </c>
    </row>
    <row r="5125" spans="1:40" x14ac:dyDescent="0.25">
      <c r="A5125" t="str">
        <f>"20190303162701871"</f>
        <v>20190303162701871</v>
      </c>
      <c r="B5125" t="str">
        <f>"1551601621859508"</f>
        <v>1551601621859508</v>
      </c>
      <c r="C5125" t="s">
        <v>40</v>
      </c>
      <c r="D5125">
        <v>4.9749679999999996</v>
      </c>
      <c r="E5125">
        <v>0.42751939999999999</v>
      </c>
      <c r="F5125" t="s">
        <v>59</v>
      </c>
      <c r="G5125">
        <v>-202.04990000000001</v>
      </c>
      <c r="H5125" s="1">
        <v>-5.2173879999999999E-6</v>
      </c>
      <c r="I5125">
        <v>-57.861809999999998</v>
      </c>
      <c r="J5125">
        <v>-214.6301</v>
      </c>
      <c r="K5125">
        <v>1.122967</v>
      </c>
      <c r="L5125">
        <v>-62.964869999999998</v>
      </c>
      <c r="M5125">
        <v>0.99981399999999998</v>
      </c>
      <c r="N5125">
        <v>-1.218354E-2</v>
      </c>
      <c r="O5125">
        <v>1.495027E-2</v>
      </c>
      <c r="P5125">
        <v>0.96727059999999998</v>
      </c>
      <c r="Q5125">
        <v>0.1457087</v>
      </c>
      <c r="R5125">
        <v>0.2077418</v>
      </c>
      <c r="S5125">
        <v>2.896255</v>
      </c>
      <c r="T5125">
        <v>-0.25558789999999998</v>
      </c>
      <c r="U5125">
        <v>1.1622920000000001</v>
      </c>
      <c r="V5125">
        <v>-0.19400129999999999</v>
      </c>
      <c r="W5125">
        <v>0.15660060000000001</v>
      </c>
      <c r="X5125">
        <v>0.96842130000000004</v>
      </c>
      <c r="Y5125">
        <v>-0.35717700000000002</v>
      </c>
      <c r="Z5125">
        <v>1.631529E-2</v>
      </c>
      <c r="AA5125">
        <v>0.93389420000000001</v>
      </c>
      <c r="AB5125">
        <v>26</v>
      </c>
      <c r="AC5125">
        <v>12.5801999999999</v>
      </c>
      <c r="AD5125">
        <v>-1.1229722173879999</v>
      </c>
      <c r="AE5125">
        <v>5.1030599999999904</v>
      </c>
      <c r="AF5125">
        <v>-4.8810006376238197</v>
      </c>
      <c r="AG5125">
        <v>-1.1229722173879999</v>
      </c>
      <c r="AH5125">
        <v>12.5690892615085</v>
      </c>
      <c r="AI5125">
        <v>94.7608686798864</v>
      </c>
      <c r="AJ5125">
        <v>111.222867945031</v>
      </c>
      <c r="AK5125">
        <v>13.5302342436958</v>
      </c>
      <c r="AL5125">
        <v>80.990362688701097</v>
      </c>
      <c r="AM5125">
        <v>101.327967287866</v>
      </c>
      <c r="AN5125">
        <v>1.00000003330786</v>
      </c>
    </row>
    <row r="5126" spans="1:40" x14ac:dyDescent="0.25">
      <c r="A5126" t="str">
        <f>"20190303162701883"</f>
        <v>20190303162701883</v>
      </c>
      <c r="B5126" t="str">
        <f>"1551601621880003"</f>
        <v>1551601621880003</v>
      </c>
      <c r="C5126" t="s">
        <v>40</v>
      </c>
      <c r="D5126">
        <v>4.9450900000000004</v>
      </c>
      <c r="E5126">
        <v>0.38011660000000003</v>
      </c>
      <c r="F5126" t="s">
        <v>59</v>
      </c>
      <c r="G5126">
        <v>-201.75450000000001</v>
      </c>
      <c r="H5126" s="1">
        <v>-5.4229929999999996E-6</v>
      </c>
      <c r="I5126">
        <v>-57.613460000000003</v>
      </c>
      <c r="J5126">
        <v>-214.4795</v>
      </c>
      <c r="K5126">
        <v>1.122957</v>
      </c>
      <c r="L5126">
        <v>-62.960880000000003</v>
      </c>
      <c r="M5126">
        <v>0.99978809999999996</v>
      </c>
      <c r="N5126">
        <v>-1.2205840000000001E-2</v>
      </c>
      <c r="O5126">
        <v>1.6581869999999999E-2</v>
      </c>
      <c r="P5126">
        <v>0.96567630000000004</v>
      </c>
      <c r="Q5126">
        <v>0.14668</v>
      </c>
      <c r="R5126">
        <v>0.21436959999999999</v>
      </c>
      <c r="S5126">
        <v>2.8821110000000001</v>
      </c>
      <c r="T5126">
        <v>-0.25136920000000001</v>
      </c>
      <c r="U5126">
        <v>1.1978759999999999</v>
      </c>
      <c r="V5126">
        <v>-0.19906850000000001</v>
      </c>
      <c r="W5126">
        <v>0.1575646</v>
      </c>
      <c r="X5126">
        <v>0.96723579999999998</v>
      </c>
      <c r="Y5126">
        <v>-0.36709340000000001</v>
      </c>
      <c r="Z5126">
        <v>1.648817E-2</v>
      </c>
      <c r="AA5126">
        <v>0.93003800000000003</v>
      </c>
      <c r="AB5126">
        <v>26</v>
      </c>
      <c r="AC5126">
        <v>12.7249999999999</v>
      </c>
      <c r="AD5126">
        <v>-1.122962422993</v>
      </c>
      <c r="AE5126">
        <v>5.3474199999999996</v>
      </c>
      <c r="AF5126">
        <v>-5.1018955266457198</v>
      </c>
      <c r="AG5126">
        <v>-1.122962422993</v>
      </c>
      <c r="AH5126">
        <v>12.727683200811599</v>
      </c>
      <c r="AI5126">
        <v>94.6818119259962</v>
      </c>
      <c r="AJ5126">
        <v>111.843395564014</v>
      </c>
      <c r="AK5126">
        <v>13.7580631714091</v>
      </c>
      <c r="AL5126">
        <v>80.934434773149604</v>
      </c>
      <c r="AM5126">
        <v>101.629753607035</v>
      </c>
      <c r="AN5126">
        <v>0.99999998183352401</v>
      </c>
    </row>
    <row r="5127" spans="1:40" x14ac:dyDescent="0.25">
      <c r="A5127" t="str">
        <f>"20190303162701897"</f>
        <v>20190303162701897</v>
      </c>
      <c r="B5127" t="str">
        <f>"1551601621888787"</f>
        <v>1551601621888787</v>
      </c>
      <c r="C5127" t="s">
        <v>40</v>
      </c>
      <c r="D5127">
        <v>4.9667430000000001</v>
      </c>
      <c r="E5127">
        <v>0.37556410000000001</v>
      </c>
      <c r="F5127" t="s">
        <v>42</v>
      </c>
      <c r="G5127">
        <v>-213.565</v>
      </c>
      <c r="H5127">
        <v>1.03699599999999</v>
      </c>
      <c r="I5127">
        <v>-62.441290000000002</v>
      </c>
      <c r="J5127">
        <v>-214.32480000000001</v>
      </c>
      <c r="K5127">
        <v>1.1229499999999999</v>
      </c>
      <c r="L5127">
        <v>-62.956479999999999</v>
      </c>
      <c r="M5127">
        <v>0.99975890000000001</v>
      </c>
      <c r="N5127">
        <v>-1.2229540000000001E-2</v>
      </c>
      <c r="O5127">
        <v>1.8239640000000001E-2</v>
      </c>
      <c r="P5127">
        <v>0.96411559999999996</v>
      </c>
      <c r="Q5127">
        <v>0.14769749999999901</v>
      </c>
      <c r="R5127">
        <v>0.22060479999999999</v>
      </c>
      <c r="S5127">
        <v>2.7941280000000002</v>
      </c>
      <c r="T5127">
        <v>-0.26264369999999998</v>
      </c>
      <c r="U5127">
        <v>1.5874330000000001</v>
      </c>
      <c r="V5127">
        <v>-0.2037214</v>
      </c>
      <c r="W5127">
        <v>0.15857829999999901</v>
      </c>
      <c r="X5127">
        <v>0.96610070000000003</v>
      </c>
      <c r="Y5127">
        <v>-0.47623880000000002</v>
      </c>
      <c r="Z5127">
        <v>2.2521719999999999E-2</v>
      </c>
      <c r="AA5127">
        <v>0.87902749999999996</v>
      </c>
      <c r="AB5127">
        <v>26</v>
      </c>
      <c r="AC5127">
        <v>0.75980000000001202</v>
      </c>
      <c r="AD5127">
        <v>-8.5954000000000003E-2</v>
      </c>
      <c r="AE5127">
        <v>0.51519000000000303</v>
      </c>
      <c r="AF5127">
        <v>-0.49688855069996102</v>
      </c>
      <c r="AG5127">
        <v>-8.5954000000000003E-2</v>
      </c>
      <c r="AH5127">
        <v>0.76238732363348904</v>
      </c>
      <c r="AI5127">
        <v>95.395755104980793</v>
      </c>
      <c r="AJ5127">
        <v>123.094435902941</v>
      </c>
      <c r="AK5127">
        <v>0.91406824316882496</v>
      </c>
      <c r="AL5127">
        <v>80.875614921261601</v>
      </c>
      <c r="AM5127">
        <v>101.907498210231</v>
      </c>
      <c r="AN5127">
        <v>1.0000000242946601</v>
      </c>
    </row>
    <row r="5128" spans="1:40" x14ac:dyDescent="0.25">
      <c r="A5128" t="str">
        <f>"20190303162701915"</f>
        <v>20190303162701915</v>
      </c>
      <c r="B5128" t="str">
        <f>"1551601621909283"</f>
        <v>1551601621909283</v>
      </c>
      <c r="C5128" t="s">
        <v>40</v>
      </c>
      <c r="D5128">
        <v>4.9240339999999998</v>
      </c>
      <c r="E5128">
        <v>0.37346940000000001</v>
      </c>
      <c r="F5128" t="s">
        <v>42</v>
      </c>
      <c r="G5128">
        <v>-213.5514</v>
      </c>
      <c r="H5128">
        <v>1.0490389999999901</v>
      </c>
      <c r="I5128">
        <v>-62.499250000000004</v>
      </c>
      <c r="J5128">
        <v>-214.12110000000001</v>
      </c>
      <c r="K5128">
        <v>1.122946</v>
      </c>
      <c r="L5128">
        <v>-62.950290000000003</v>
      </c>
      <c r="M5128">
        <v>0.99971670000000001</v>
      </c>
      <c r="N5128">
        <v>-1.2259549999999999E-2</v>
      </c>
      <c r="O5128">
        <v>2.040726E-2</v>
      </c>
      <c r="P5128">
        <v>0.96022220000000003</v>
      </c>
      <c r="Q5128">
        <v>0.150553399999999</v>
      </c>
      <c r="R5128">
        <v>0.23517460000000001</v>
      </c>
      <c r="S5128">
        <v>2.7767330000000001</v>
      </c>
      <c r="T5128">
        <v>-0.26534609999999997</v>
      </c>
      <c r="U5128">
        <v>1.6413880000000001</v>
      </c>
      <c r="V5128">
        <v>-0.21627350000000001</v>
      </c>
      <c r="W5128">
        <v>0.16137660000000001</v>
      </c>
      <c r="X5128">
        <v>0.96290359999999997</v>
      </c>
      <c r="Y5128">
        <v>-0.48932609999999899</v>
      </c>
      <c r="Z5128">
        <v>2.3255439999999999E-2</v>
      </c>
      <c r="AA5128">
        <v>0.87179079999999998</v>
      </c>
      <c r="AB5128">
        <v>26</v>
      </c>
      <c r="AC5128">
        <v>0.56970000000001098</v>
      </c>
      <c r="AD5128">
        <v>-7.3907000000000098E-2</v>
      </c>
      <c r="AE5128">
        <v>0.451039999999998</v>
      </c>
      <c r="AF5128">
        <v>-0.43482083606890698</v>
      </c>
      <c r="AG5128">
        <v>-7.3907000000000098E-2</v>
      </c>
      <c r="AH5128">
        <v>0.572860139352247</v>
      </c>
      <c r="AI5128">
        <v>95.8673394131674</v>
      </c>
      <c r="AJ5128">
        <v>127.199766713005</v>
      </c>
      <c r="AK5128">
        <v>0.72298004356091305</v>
      </c>
      <c r="AL5128">
        <v>80.713191854801096</v>
      </c>
      <c r="AM5128">
        <v>102.65887078029201</v>
      </c>
      <c r="AN5128">
        <v>0.99999998836138404</v>
      </c>
    </row>
    <row r="5129" spans="1:40" x14ac:dyDescent="0.25">
      <c r="A5129" t="str">
        <f>"20190303162701926"</f>
        <v>20190303162701926</v>
      </c>
      <c r="B5129" t="str">
        <f>"1551601621919042"</f>
        <v>1551601621919042</v>
      </c>
      <c r="C5129" t="s">
        <v>40</v>
      </c>
      <c r="D5129">
        <v>4.9839500000000001</v>
      </c>
      <c r="E5129">
        <v>0.37408770000000002</v>
      </c>
      <c r="F5129" t="s">
        <v>42</v>
      </c>
      <c r="G5129">
        <v>-213.33019999999999</v>
      </c>
      <c r="H5129">
        <v>1.047787</v>
      </c>
      <c r="I5129">
        <v>-62.461129999999997</v>
      </c>
      <c r="J5129">
        <v>-213.98929999999999</v>
      </c>
      <c r="K5129">
        <v>1.122941</v>
      </c>
      <c r="L5129">
        <v>-62.946109999999997</v>
      </c>
      <c r="M5129">
        <v>0.99968690000000004</v>
      </c>
      <c r="N5129">
        <v>-1.2278020000000001E-2</v>
      </c>
      <c r="O5129">
        <v>2.1802800000000001E-2</v>
      </c>
      <c r="P5129">
        <v>0.95893810000000002</v>
      </c>
      <c r="Q5129">
        <v>0.15145719999999999</v>
      </c>
      <c r="R5129">
        <v>0.239788</v>
      </c>
      <c r="S5129">
        <v>2.7487490000000001</v>
      </c>
      <c r="T5129">
        <v>-0.26121519999999998</v>
      </c>
      <c r="U5129">
        <v>1.700531</v>
      </c>
      <c r="V5129">
        <v>-0.21956680000000001</v>
      </c>
      <c r="W5129">
        <v>0.16227820000000001</v>
      </c>
      <c r="X5129">
        <v>0.96200629999999998</v>
      </c>
      <c r="Y5129">
        <v>-0.50558249999999905</v>
      </c>
      <c r="Z5129">
        <v>2.375093E-2</v>
      </c>
      <c r="AA5129">
        <v>0.86245130000000003</v>
      </c>
      <c r="AB5129">
        <v>26</v>
      </c>
      <c r="AC5129">
        <v>0.65909999999999502</v>
      </c>
      <c r="AD5129">
        <v>-7.5153999999999901E-2</v>
      </c>
      <c r="AE5129">
        <v>0.48497999999999297</v>
      </c>
      <c r="AF5129">
        <v>-0.46655804750007301</v>
      </c>
      <c r="AG5129">
        <v>-7.5153999999999901E-2</v>
      </c>
      <c r="AH5129">
        <v>0.66391797967046395</v>
      </c>
      <c r="AI5129">
        <v>95.291413717381403</v>
      </c>
      <c r="AJ5129">
        <v>125.09703511433401</v>
      </c>
      <c r="AK5129">
        <v>0.81493043821714695</v>
      </c>
      <c r="AL5129">
        <v>80.6608436938902</v>
      </c>
      <c r="AM5129">
        <v>102.856867717588</v>
      </c>
      <c r="AN5129">
        <v>0.99999995754858395</v>
      </c>
    </row>
    <row r="5130" spans="1:40" x14ac:dyDescent="0.25">
      <c r="A5130" t="str">
        <f>"20190303162701938"</f>
        <v>20190303162701938</v>
      </c>
      <c r="B5130" t="str">
        <f>"1551601621928803"</f>
        <v>1551601621928803</v>
      </c>
      <c r="C5130" t="s">
        <v>40</v>
      </c>
      <c r="D5130">
        <v>4.9710010000000002</v>
      </c>
      <c r="E5130">
        <v>0.37454549999999998</v>
      </c>
      <c r="F5130" t="s">
        <v>42</v>
      </c>
      <c r="G5130">
        <v>-213.11449999999999</v>
      </c>
      <c r="H5130">
        <v>1.0407200000000001</v>
      </c>
      <c r="I5130">
        <v>-62.400669999999998</v>
      </c>
      <c r="J5130">
        <v>-213.85419999999999</v>
      </c>
      <c r="K5130">
        <v>1.1229370000000001</v>
      </c>
      <c r="L5130">
        <v>-62.941589999999998</v>
      </c>
      <c r="M5130">
        <v>0.99965470000000001</v>
      </c>
      <c r="N5130">
        <v>-1.2295830000000001E-2</v>
      </c>
      <c r="O5130">
        <v>2.322565E-2</v>
      </c>
      <c r="P5130">
        <v>0.95782420000000001</v>
      </c>
      <c r="Q5130">
        <v>0.15221689999999999</v>
      </c>
      <c r="R5130">
        <v>0.24372730000000001</v>
      </c>
      <c r="S5130">
        <v>2.74173</v>
      </c>
      <c r="T5130">
        <v>-0.25769340000000002</v>
      </c>
      <c r="U5130">
        <v>1.7094119999999999</v>
      </c>
      <c r="V5130">
        <v>-0.22215879999999999</v>
      </c>
      <c r="W5130">
        <v>0.16303899999999999</v>
      </c>
      <c r="X5130">
        <v>0.96128239999999998</v>
      </c>
      <c r="Y5130">
        <v>-0.50739499999999904</v>
      </c>
      <c r="Z5130">
        <v>2.350008E-2</v>
      </c>
      <c r="AA5130">
        <v>0.86139310000000002</v>
      </c>
      <c r="AB5130">
        <v>26</v>
      </c>
      <c r="AC5130">
        <v>0.73969999999999902</v>
      </c>
      <c r="AD5130">
        <v>-8.2216999999999901E-2</v>
      </c>
      <c r="AE5130">
        <v>0.54092000000000695</v>
      </c>
      <c r="AF5130">
        <v>-0.51941170923061497</v>
      </c>
      <c r="AG5130">
        <v>-8.2216999999999901E-2</v>
      </c>
      <c r="AH5130">
        <v>0.74605914282218</v>
      </c>
      <c r="AI5130">
        <v>95.167863682720693</v>
      </c>
      <c r="AJ5130">
        <v>124.845911628894</v>
      </c>
      <c r="AK5130">
        <v>0.91277182436983395</v>
      </c>
      <c r="AL5130">
        <v>80.616665581786094</v>
      </c>
      <c r="AM5130">
        <v>103.012973172961</v>
      </c>
      <c r="AN5130">
        <v>1.00000005024409</v>
      </c>
    </row>
    <row r="5131" spans="1:40" x14ac:dyDescent="0.25">
      <c r="A5131" t="str">
        <f>"20190303162701951"</f>
        <v>20190303162701951</v>
      </c>
      <c r="B5131" t="str">
        <f>"1551601621939539"</f>
        <v>1551601621939539</v>
      </c>
      <c r="C5131" t="s">
        <v>40</v>
      </c>
      <c r="D5131">
        <v>4.9835000000000003</v>
      </c>
      <c r="E5131">
        <v>0.37533440000000001</v>
      </c>
      <c r="F5131" t="s">
        <v>42</v>
      </c>
      <c r="G5131">
        <v>-213.0985</v>
      </c>
      <c r="H5131">
        <v>1.052368</v>
      </c>
      <c r="I5131">
        <v>-62.467109999999998</v>
      </c>
      <c r="J5131">
        <v>-213.71369999999999</v>
      </c>
      <c r="K5131">
        <v>1.122932</v>
      </c>
      <c r="L5131">
        <v>-62.936709999999998</v>
      </c>
      <c r="M5131">
        <v>0.99961909999999998</v>
      </c>
      <c r="N5131">
        <v>-1.2313309999999999E-2</v>
      </c>
      <c r="O5131">
        <v>2.4699970000000002E-2</v>
      </c>
      <c r="P5131">
        <v>0.95667049999999998</v>
      </c>
      <c r="Q5131">
        <v>0.15275369999999999</v>
      </c>
      <c r="R5131">
        <v>0.24788679999999999</v>
      </c>
      <c r="S5131">
        <v>2.7356259999999999</v>
      </c>
      <c r="T5131">
        <v>-0.25547950000000003</v>
      </c>
      <c r="U5131">
        <v>1.71765099999999</v>
      </c>
      <c r="V5131">
        <v>-0.2249246</v>
      </c>
      <c r="W5131">
        <v>0.16357479999999999</v>
      </c>
      <c r="X5131">
        <v>0.96054790000000001</v>
      </c>
      <c r="Y5131">
        <v>-0.50887389999999999</v>
      </c>
      <c r="Z5131">
        <v>2.3324930000000001E-2</v>
      </c>
      <c r="AA5131">
        <v>0.86052499999999998</v>
      </c>
      <c r="AB5131">
        <v>26</v>
      </c>
      <c r="AC5131">
        <v>0.61519999999998698</v>
      </c>
      <c r="AD5131">
        <v>-7.0564000000000002E-2</v>
      </c>
      <c r="AE5131">
        <v>0.46959999999999902</v>
      </c>
      <c r="AF5131">
        <v>-0.45051512924624398</v>
      </c>
      <c r="AG5131">
        <v>-7.0564000000000002E-2</v>
      </c>
      <c r="AH5131">
        <v>0.62144635648769597</v>
      </c>
      <c r="AI5131">
        <v>95.252552187309504</v>
      </c>
      <c r="AJ5131">
        <v>125.940088584457</v>
      </c>
      <c r="AK5131">
        <v>0.77080395287491399</v>
      </c>
      <c r="AL5131">
        <v>80.585548574266497</v>
      </c>
      <c r="AM5131">
        <v>103.17908589885199</v>
      </c>
      <c r="AN5131">
        <v>1.0000000295372999</v>
      </c>
    </row>
    <row r="5132" spans="1:40" x14ac:dyDescent="0.25">
      <c r="A5132" t="str">
        <f>"20190303162701963"</f>
        <v>20190303162701963</v>
      </c>
      <c r="B5132" t="str">
        <f>"1551601621949298"</f>
        <v>1551601621949298</v>
      </c>
      <c r="C5132" t="s">
        <v>40</v>
      </c>
      <c r="D5132">
        <v>4.9966809999999997</v>
      </c>
      <c r="E5132">
        <v>0.37611309999999998</v>
      </c>
      <c r="F5132" t="s">
        <v>42</v>
      </c>
      <c r="G5132">
        <v>-212.8817</v>
      </c>
      <c r="H5132">
        <v>1.04596</v>
      </c>
      <c r="I5132">
        <v>-62.4114</v>
      </c>
      <c r="J5132">
        <v>-213.56739999999999</v>
      </c>
      <c r="K5132">
        <v>1.1229309999999999</v>
      </c>
      <c r="L5132">
        <v>-62.931460000000001</v>
      </c>
      <c r="M5132">
        <v>0.99957980000000002</v>
      </c>
      <c r="N5132">
        <v>-1.2330900000000001E-2</v>
      </c>
      <c r="O5132">
        <v>2.6232220000000001E-2</v>
      </c>
      <c r="P5132">
        <v>0.95548999999999995</v>
      </c>
      <c r="Q5132">
        <v>0.1531305</v>
      </c>
      <c r="R5132">
        <v>0.25217040000000002</v>
      </c>
      <c r="S5132">
        <v>2.7295530000000001</v>
      </c>
      <c r="T5132">
        <v>-0.25253389999999998</v>
      </c>
      <c r="U5132">
        <v>1.7237849999999999</v>
      </c>
      <c r="V5132">
        <v>-0.22776089999999999</v>
      </c>
      <c r="W5132">
        <v>0.1639497</v>
      </c>
      <c r="X5132">
        <v>0.95981530000000004</v>
      </c>
      <c r="Y5132">
        <v>-0.50983509999999999</v>
      </c>
      <c r="Z5132">
        <v>2.3067770000000001E-2</v>
      </c>
      <c r="AA5132">
        <v>0.85996280000000003</v>
      </c>
      <c r="AB5132">
        <v>26</v>
      </c>
      <c r="AC5132">
        <v>0.68569999999999698</v>
      </c>
      <c r="AD5132">
        <v>-7.6970999999999901E-2</v>
      </c>
      <c r="AE5132">
        <v>0.52005999999999297</v>
      </c>
      <c r="AF5132">
        <v>-0.49790936195795998</v>
      </c>
      <c r="AG5132">
        <v>-7.6970999999999901E-2</v>
      </c>
      <c r="AH5132">
        <v>0.69355948795155797</v>
      </c>
      <c r="AI5132">
        <v>95.151477983382193</v>
      </c>
      <c r="AJ5132">
        <v>125.674730111063</v>
      </c>
      <c r="AK5132">
        <v>0.85724152424740396</v>
      </c>
      <c r="AL5132">
        <v>80.563773874233704</v>
      </c>
      <c r="AM5132">
        <v>103.349185822389</v>
      </c>
      <c r="AN5132">
        <v>0.99999997090649395</v>
      </c>
    </row>
    <row r="5133" spans="1:40" x14ac:dyDescent="0.25">
      <c r="A5133" t="str">
        <f>"20190303162701974"</f>
        <v>20190303162701974</v>
      </c>
      <c r="B5133" t="str">
        <f>"1551601621968819"</f>
        <v>1551601621968819</v>
      </c>
      <c r="C5133" t="s">
        <v>40</v>
      </c>
      <c r="D5133">
        <v>5.024127</v>
      </c>
      <c r="E5133">
        <v>0.37754080000000001</v>
      </c>
      <c r="F5133" t="s">
        <v>42</v>
      </c>
      <c r="G5133">
        <v>-212.6645</v>
      </c>
      <c r="H5133">
        <v>1.041444</v>
      </c>
      <c r="I5133">
        <v>-62.357770000000002</v>
      </c>
      <c r="J5133">
        <v>-213.4384</v>
      </c>
      <c r="K5133">
        <v>1.1229309999999999</v>
      </c>
      <c r="L5133">
        <v>-62.926569999999998</v>
      </c>
      <c r="M5133">
        <v>0.99954339999999997</v>
      </c>
      <c r="N5133">
        <v>-1.234523E-2</v>
      </c>
      <c r="O5133">
        <v>2.757981E-2</v>
      </c>
      <c r="P5133">
        <v>0.95415139999999998</v>
      </c>
      <c r="Q5133">
        <v>0.15416170000000001</v>
      </c>
      <c r="R5133">
        <v>0.25657229999999998</v>
      </c>
      <c r="S5133">
        <v>2.7225489999999999</v>
      </c>
      <c r="T5133">
        <v>-0.24572340000000001</v>
      </c>
      <c r="U5133">
        <v>1.7300720000000001</v>
      </c>
      <c r="V5133">
        <v>-0.23090479999999999</v>
      </c>
      <c r="W5133">
        <v>0.164970799999999</v>
      </c>
      <c r="X5133">
        <v>0.95888879999999999</v>
      </c>
      <c r="Y5133">
        <v>-0.51116989999999995</v>
      </c>
      <c r="Z5133">
        <v>2.255271E-2</v>
      </c>
      <c r="AA5133">
        <v>0.85918379999999905</v>
      </c>
      <c r="AB5133">
        <v>26</v>
      </c>
      <c r="AC5133">
        <v>0.77389999999999703</v>
      </c>
      <c r="AD5133">
        <v>-8.1486999999999796E-2</v>
      </c>
      <c r="AE5133">
        <v>0.56880000000000297</v>
      </c>
      <c r="AF5133">
        <v>-0.54332691185304804</v>
      </c>
      <c r="AG5133">
        <v>-8.1486999999999796E-2</v>
      </c>
      <c r="AH5133">
        <v>0.78365316566991094</v>
      </c>
      <c r="AI5133">
        <v>94.884269902464794</v>
      </c>
      <c r="AJ5133">
        <v>124.73456575898</v>
      </c>
      <c r="AK5133">
        <v>0.95705618872522003</v>
      </c>
      <c r="AL5133">
        <v>80.504462400022703</v>
      </c>
      <c r="AM5133">
        <v>103.53931283165301</v>
      </c>
      <c r="AN5133">
        <v>1.00000006114055</v>
      </c>
    </row>
    <row r="5134" spans="1:40" x14ac:dyDescent="0.25">
      <c r="A5134" t="str">
        <f>"20190303162701985"</f>
        <v>20190303162701985</v>
      </c>
      <c r="B5134" t="str">
        <f>"1551601621979555"</f>
        <v>1551601621979555</v>
      </c>
      <c r="C5134" t="s">
        <v>40</v>
      </c>
      <c r="D5134">
        <v>5.0074079999999999</v>
      </c>
      <c r="E5134">
        <v>0.37827620000000001</v>
      </c>
      <c r="F5134" t="s">
        <v>42</v>
      </c>
      <c r="G5134">
        <v>-212.64850000000001</v>
      </c>
      <c r="H5134">
        <v>1.05331</v>
      </c>
      <c r="I5134">
        <v>-62.423110000000001</v>
      </c>
      <c r="J5134">
        <v>-213.31819999999999</v>
      </c>
      <c r="K5134">
        <v>1.1229370000000001</v>
      </c>
      <c r="L5134">
        <v>-62.921909999999997</v>
      </c>
      <c r="M5134">
        <v>0.99950799999999995</v>
      </c>
      <c r="N5134">
        <v>-1.235759E-2</v>
      </c>
      <c r="O5134">
        <v>2.88361E-2</v>
      </c>
      <c r="P5134">
        <v>0.95295070000000004</v>
      </c>
      <c r="Q5134">
        <v>0.15478639999999999</v>
      </c>
      <c r="R5134">
        <v>0.26062659999999999</v>
      </c>
      <c r="S5134">
        <v>2.717133</v>
      </c>
      <c r="T5134">
        <v>-0.23947750000000001</v>
      </c>
      <c r="U5134">
        <v>1.7319340000000001</v>
      </c>
      <c r="V5134">
        <v>-0.23378589999999999</v>
      </c>
      <c r="W5134">
        <v>0.16558589999999901</v>
      </c>
      <c r="X5134">
        <v>0.9580843</v>
      </c>
      <c r="Y5134">
        <v>-0.51135920000000001</v>
      </c>
      <c r="Z5134">
        <v>2.2030850000000001E-2</v>
      </c>
      <c r="AA5134">
        <v>0.85908459999999998</v>
      </c>
      <c r="AB5134">
        <v>26</v>
      </c>
      <c r="AC5134">
        <v>0.66969999999997698</v>
      </c>
      <c r="AD5134">
        <v>-6.9627000000000105E-2</v>
      </c>
      <c r="AE5134">
        <v>0.49879999999999503</v>
      </c>
      <c r="AF5134">
        <v>-0.475970391700132</v>
      </c>
      <c r="AG5134">
        <v>-6.9627000000000105E-2</v>
      </c>
      <c r="AH5134">
        <v>0.67908472448923096</v>
      </c>
      <c r="AI5134">
        <v>94.799347252848307</v>
      </c>
      <c r="AJ5134">
        <v>125.02660856866</v>
      </c>
      <c r="AK5134">
        <v>0.83219696943619803</v>
      </c>
      <c r="AL5134">
        <v>80.468728031291604</v>
      </c>
      <c r="AM5134">
        <v>103.712989274515</v>
      </c>
      <c r="AN5134">
        <v>1.0000000316120501</v>
      </c>
    </row>
    <row r="5135" spans="1:40" x14ac:dyDescent="0.25">
      <c r="A5135" t="str">
        <f>"20190303162701997"</f>
        <v>20190303162701997</v>
      </c>
      <c r="B5135" t="str">
        <f>"1551601621989315"</f>
        <v>1551601621989315</v>
      </c>
      <c r="C5135" t="s">
        <v>40</v>
      </c>
      <c r="D5135">
        <v>5.0348269999999999</v>
      </c>
      <c r="E5135">
        <v>0.37916179999999999</v>
      </c>
      <c r="F5135" t="s">
        <v>42</v>
      </c>
      <c r="G5135">
        <v>-212.43469999999999</v>
      </c>
      <c r="H5135">
        <v>1.0456160000000001</v>
      </c>
      <c r="I5135">
        <v>-62.35575</v>
      </c>
      <c r="J5135">
        <v>-213.1815</v>
      </c>
      <c r="K5135">
        <v>1.1229420000000001</v>
      </c>
      <c r="L5135">
        <v>-62.916409999999999</v>
      </c>
      <c r="M5135">
        <v>0.99946550000000001</v>
      </c>
      <c r="N5135">
        <v>-1.236864E-2</v>
      </c>
      <c r="O5135">
        <v>3.026394E-2</v>
      </c>
      <c r="P5135">
        <v>0.9516888</v>
      </c>
      <c r="Q5135">
        <v>0.1550937</v>
      </c>
      <c r="R5135">
        <v>0.26501829999999998</v>
      </c>
      <c r="S5135">
        <v>2.7112430000000001</v>
      </c>
      <c r="T5135">
        <v>-0.2373189</v>
      </c>
      <c r="U5135">
        <v>1.7383120000000001</v>
      </c>
      <c r="V5135">
        <v>-0.23684279999999999</v>
      </c>
      <c r="W5135">
        <v>0.16588120000000001</v>
      </c>
      <c r="X5135">
        <v>0.95728210000000002</v>
      </c>
      <c r="Y5135">
        <v>-0.51243399999999995</v>
      </c>
      <c r="Z5135">
        <v>2.1847749999999999E-2</v>
      </c>
      <c r="AA5135">
        <v>0.85844859999999901</v>
      </c>
      <c r="AB5135">
        <v>26</v>
      </c>
      <c r="AC5135">
        <v>0.74680000000000701</v>
      </c>
      <c r="AD5135">
        <v>-7.73260000000002E-2</v>
      </c>
      <c r="AE5135">
        <v>0.56065999999999805</v>
      </c>
      <c r="AF5135">
        <v>-0.53413793041173196</v>
      </c>
      <c r="AG5135">
        <v>-7.73260000000002E-2</v>
      </c>
      <c r="AH5135">
        <v>0.75822806922630603</v>
      </c>
      <c r="AI5135">
        <v>94.765866863959104</v>
      </c>
      <c r="AJ5135">
        <v>125.16299141490001</v>
      </c>
      <c r="AK5135">
        <v>0.93069460294082595</v>
      </c>
      <c r="AL5135">
        <v>80.451571514159795</v>
      </c>
      <c r="AM5135">
        <v>103.896583940445</v>
      </c>
      <c r="AN5135">
        <v>1.00000005170284</v>
      </c>
    </row>
    <row r="5136" spans="1:40" x14ac:dyDescent="0.25">
      <c r="A5136" t="str">
        <f>"20190303162702009"</f>
        <v>20190303162702009</v>
      </c>
      <c r="B5136" t="str">
        <f>"1551601621999075"</f>
        <v>1551601621999075</v>
      </c>
      <c r="C5136" t="s">
        <v>40</v>
      </c>
      <c r="D5136">
        <v>5.0416119999999998</v>
      </c>
      <c r="E5136">
        <v>0.38001600000000002</v>
      </c>
      <c r="F5136" t="s">
        <v>42</v>
      </c>
      <c r="G5136">
        <v>-212.4178</v>
      </c>
      <c r="H5136">
        <v>1.055731</v>
      </c>
      <c r="I5136">
        <v>-62.42418</v>
      </c>
      <c r="J5136">
        <v>-213.04130000000001</v>
      </c>
      <c r="K5136">
        <v>1.122943</v>
      </c>
      <c r="L5136">
        <v>-62.910580000000003</v>
      </c>
      <c r="M5136">
        <v>0.99941979999999997</v>
      </c>
      <c r="N5136">
        <v>-1.237597E-2</v>
      </c>
      <c r="O5136">
        <v>3.1731200000000001E-2</v>
      </c>
      <c r="P5136">
        <v>0.95041940000000003</v>
      </c>
      <c r="Q5136">
        <v>0.15524669999999999</v>
      </c>
      <c r="R5136">
        <v>0.26944659999999998</v>
      </c>
      <c r="S5136">
        <v>2.705292</v>
      </c>
      <c r="T5136">
        <v>-0.23809150000000001</v>
      </c>
      <c r="U5136">
        <v>1.7444459999999999</v>
      </c>
      <c r="V5136">
        <v>-0.23990069999999999</v>
      </c>
      <c r="W5136">
        <v>0.16601850000000001</v>
      </c>
      <c r="X5136">
        <v>0.95649649999999997</v>
      </c>
      <c r="Y5136">
        <v>-0.51339520000000005</v>
      </c>
      <c r="Z5136">
        <v>2.1878829999999998E-2</v>
      </c>
      <c r="AA5136">
        <v>0.85787340000000001</v>
      </c>
      <c r="AB5136">
        <v>26</v>
      </c>
      <c r="AC5136">
        <v>0.62350000000000705</v>
      </c>
      <c r="AD5136">
        <v>-6.7211999999999994E-2</v>
      </c>
      <c r="AE5136">
        <v>0.486399999999996</v>
      </c>
      <c r="AF5136">
        <v>-0.46302421198672999</v>
      </c>
      <c r="AG5136">
        <v>-6.7211999999999994E-2</v>
      </c>
      <c r="AH5136">
        <v>0.63404089085331194</v>
      </c>
      <c r="AI5136">
        <v>94.893062889019902</v>
      </c>
      <c r="AJ5136">
        <v>126.139721600244</v>
      </c>
      <c r="AK5136">
        <v>0.78798269340385496</v>
      </c>
      <c r="AL5136">
        <v>80.443593899326004</v>
      </c>
      <c r="AM5136">
        <v>104.08001690737601</v>
      </c>
      <c r="AN5136">
        <v>1.00000002135749</v>
      </c>
    </row>
    <row r="5137" spans="1:40" x14ac:dyDescent="0.25">
      <c r="A5137" t="str">
        <f>"20190303162702024"</f>
        <v>20190303162702024</v>
      </c>
      <c r="B5137" t="str">
        <f>"1551601622019571"</f>
        <v>1551601622019571</v>
      </c>
      <c r="C5137" t="s">
        <v>40</v>
      </c>
      <c r="D5137">
        <v>5.0324879999999999</v>
      </c>
      <c r="E5137">
        <v>0.38165759999999899</v>
      </c>
      <c r="F5137" t="s">
        <v>42</v>
      </c>
      <c r="G5137">
        <v>-212.20179999999999</v>
      </c>
      <c r="H5137">
        <v>1.048154</v>
      </c>
      <c r="I5137">
        <v>-62.366079999999997</v>
      </c>
      <c r="J5137">
        <v>-212.8766</v>
      </c>
      <c r="K5137">
        <v>1.1229439999999999</v>
      </c>
      <c r="L5137">
        <v>-62.903500000000001</v>
      </c>
      <c r="M5137">
        <v>0.99936349999999996</v>
      </c>
      <c r="N5137">
        <v>-1.238064E-2</v>
      </c>
      <c r="O5137">
        <v>3.345542E-2</v>
      </c>
      <c r="P5137">
        <v>0.94913289999999995</v>
      </c>
      <c r="Q5137">
        <v>0.15565199999999901</v>
      </c>
      <c r="R5137">
        <v>0.2737135</v>
      </c>
      <c r="S5137">
        <v>2.6994319999999998</v>
      </c>
      <c r="T5137">
        <v>-0.2404945</v>
      </c>
      <c r="U5137">
        <v>1.7508239999999999</v>
      </c>
      <c r="V5137">
        <v>-0.24255589999999999</v>
      </c>
      <c r="W5137">
        <v>0.1664069</v>
      </c>
      <c r="X5137">
        <v>0.95575900000000003</v>
      </c>
      <c r="Y5137">
        <v>-0.51416079999999997</v>
      </c>
      <c r="Z5137">
        <v>2.200361E-2</v>
      </c>
      <c r="AA5137">
        <v>0.85741149999999999</v>
      </c>
      <c r="AB5137">
        <v>26</v>
      </c>
      <c r="AC5137">
        <v>0.67480000000000395</v>
      </c>
      <c r="AD5137">
        <v>-7.4789999999999898E-2</v>
      </c>
      <c r="AE5137">
        <v>0.53741999999999701</v>
      </c>
      <c r="AF5137">
        <v>-0.51070299842915201</v>
      </c>
      <c r="AG5137">
        <v>-7.4789999999999898E-2</v>
      </c>
      <c r="AH5137">
        <v>0.687237610876542</v>
      </c>
      <c r="AI5137">
        <v>94.992059814702998</v>
      </c>
      <c r="AJ5137">
        <v>126.616938938245</v>
      </c>
      <c r="AK5137">
        <v>0.85948044219041098</v>
      </c>
      <c r="AL5137">
        <v>80.4210255494351</v>
      </c>
      <c r="AM5137">
        <v>104.240090055566</v>
      </c>
      <c r="AN5137">
        <v>0.99999994353670796</v>
      </c>
    </row>
    <row r="5138" spans="1:40" x14ac:dyDescent="0.25">
      <c r="A5138" t="str">
        <f>"20190303162702036"</f>
        <v>20190303162702036</v>
      </c>
      <c r="B5138" t="str">
        <f>"1551601622029331"</f>
        <v>1551601622029331</v>
      </c>
      <c r="C5138" t="s">
        <v>40</v>
      </c>
      <c r="D5138">
        <v>5.0021990000000001</v>
      </c>
      <c r="E5138">
        <v>0.38230399999999998</v>
      </c>
      <c r="F5138" t="s">
        <v>42</v>
      </c>
      <c r="G5138">
        <v>-211.98220000000001</v>
      </c>
      <c r="H5138">
        <v>1.043026</v>
      </c>
      <c r="I5138">
        <v>-62.322819999999901</v>
      </c>
      <c r="J5138">
        <v>-212.72730000000001</v>
      </c>
      <c r="K5138">
        <v>1.122943</v>
      </c>
      <c r="L5138">
        <v>-62.896729999999998</v>
      </c>
      <c r="M5138">
        <v>0.99930980000000003</v>
      </c>
      <c r="N5138">
        <v>-1.238087E-2</v>
      </c>
      <c r="O5138">
        <v>3.5022499999999998E-2</v>
      </c>
      <c r="P5138">
        <v>0.947071</v>
      </c>
      <c r="Q5138">
        <v>0.15581349999999999</v>
      </c>
      <c r="R5138">
        <v>0.28067540000000002</v>
      </c>
      <c r="S5138">
        <v>2.695465</v>
      </c>
      <c r="T5138">
        <v>-0.24087700000000001</v>
      </c>
      <c r="U5138">
        <v>1.75058</v>
      </c>
      <c r="V5138">
        <v>-0.2480849</v>
      </c>
      <c r="W5138">
        <v>0.1665259</v>
      </c>
      <c r="X5138">
        <v>0.95431809999999995</v>
      </c>
      <c r="Y5138">
        <v>-0.51333620000000002</v>
      </c>
      <c r="Z5138">
        <v>2.1907659999999999E-2</v>
      </c>
      <c r="AA5138">
        <v>0.85790789999999995</v>
      </c>
      <c r="AB5138">
        <v>26</v>
      </c>
      <c r="AC5138">
        <v>0.74510000000000698</v>
      </c>
      <c r="AD5138">
        <v>-7.9917000000000002E-2</v>
      </c>
      <c r="AE5138">
        <v>0.57391000000001202</v>
      </c>
      <c r="AF5138">
        <v>-0.54353608548917498</v>
      </c>
      <c r="AG5138">
        <v>-7.9917000000000002E-2</v>
      </c>
      <c r="AH5138">
        <v>0.75926200429280899</v>
      </c>
      <c r="AI5138">
        <v>94.891801886239605</v>
      </c>
      <c r="AJ5138">
        <v>125.597898517684</v>
      </c>
      <c r="AK5138">
        <v>0.93717500728552805</v>
      </c>
      <c r="AL5138">
        <v>80.414111558157799</v>
      </c>
      <c r="AM5138">
        <v>104.572090087568</v>
      </c>
      <c r="AN5138">
        <v>1.00000001448321</v>
      </c>
    </row>
    <row r="5139" spans="1:40" x14ac:dyDescent="0.25">
      <c r="A5139" t="str">
        <f>"20190303162702048"</f>
        <v>20190303162702048</v>
      </c>
      <c r="B5139" t="str">
        <f>"1551601622040067"</f>
        <v>1551601622040067</v>
      </c>
      <c r="C5139" t="s">
        <v>40</v>
      </c>
      <c r="D5139">
        <v>5.0639000000000003</v>
      </c>
      <c r="E5139">
        <v>0.38301269999999998</v>
      </c>
      <c r="F5139" t="s">
        <v>42</v>
      </c>
      <c r="G5139">
        <v>-211.9641</v>
      </c>
      <c r="H5139">
        <v>1.0544129999999901</v>
      </c>
      <c r="I5139">
        <v>-62.394770000000001</v>
      </c>
      <c r="J5139">
        <v>-212.58840000000001</v>
      </c>
      <c r="K5139">
        <v>1.122946</v>
      </c>
      <c r="L5139">
        <v>-62.890259999999998</v>
      </c>
      <c r="M5139">
        <v>0.99925759999999997</v>
      </c>
      <c r="N5139">
        <v>-1.2380540000000001E-2</v>
      </c>
      <c r="O5139">
        <v>3.6484210000000003E-2</v>
      </c>
      <c r="P5139">
        <v>0.94593720000000003</v>
      </c>
      <c r="Q5139">
        <v>0.1556437</v>
      </c>
      <c r="R5139">
        <v>0.2845665</v>
      </c>
      <c r="S5139">
        <v>2.6840359999999999</v>
      </c>
      <c r="T5139">
        <v>-0.24100269999999999</v>
      </c>
      <c r="U5139">
        <v>1.76571699999999</v>
      </c>
      <c r="V5139">
        <v>-0.25061549999999999</v>
      </c>
      <c r="W5139">
        <v>0.1663355</v>
      </c>
      <c r="X5139">
        <v>0.95368989999999998</v>
      </c>
      <c r="Y5139">
        <v>-0.51711309999999999</v>
      </c>
      <c r="Z5139">
        <v>2.2038740000000001E-2</v>
      </c>
      <c r="AA5139">
        <v>0.85563330000000004</v>
      </c>
      <c r="AB5139">
        <v>26</v>
      </c>
      <c r="AC5139">
        <v>0.62430000000000496</v>
      </c>
      <c r="AD5139">
        <v>-6.8533000000000094E-2</v>
      </c>
      <c r="AE5139">
        <v>0.49549000000000298</v>
      </c>
      <c r="AF5139">
        <v>-0.46891433337490401</v>
      </c>
      <c r="AG5139">
        <v>-6.8533000000000094E-2</v>
      </c>
      <c r="AH5139">
        <v>0.63725174965354503</v>
      </c>
      <c r="AI5139">
        <v>94.9506563378838</v>
      </c>
      <c r="AJ5139">
        <v>126.34706359456899</v>
      </c>
      <c r="AK5139">
        <v>0.79414558902630406</v>
      </c>
      <c r="AL5139">
        <v>80.425175089189196</v>
      </c>
      <c r="AM5139">
        <v>104.723585070143</v>
      </c>
      <c r="AN5139">
        <v>1.0000000263812501</v>
      </c>
    </row>
    <row r="5140" spans="1:40" x14ac:dyDescent="0.25">
      <c r="A5140" t="str">
        <f>"20190303162702064"</f>
        <v>20190303162702064</v>
      </c>
      <c r="B5140" t="str">
        <f>"1551601622048851"</f>
        <v>1551601622048851</v>
      </c>
      <c r="C5140" t="s">
        <v>40</v>
      </c>
      <c r="D5140">
        <v>5.0218569999999998</v>
      </c>
      <c r="E5140">
        <v>0.38375949999999998</v>
      </c>
      <c r="F5140" t="s">
        <v>42</v>
      </c>
      <c r="G5140">
        <v>-211.74860000000001</v>
      </c>
      <c r="H5140">
        <v>1.0470440000000001</v>
      </c>
      <c r="I5140">
        <v>-62.334800000000001</v>
      </c>
      <c r="J5140">
        <v>-212.4136</v>
      </c>
      <c r="K5140">
        <v>1.1229499999999999</v>
      </c>
      <c r="L5140">
        <v>-62.881900000000002</v>
      </c>
      <c r="M5140">
        <v>0.99918859999999998</v>
      </c>
      <c r="N5140">
        <v>-1.2379589999999999E-2</v>
      </c>
      <c r="O5140">
        <v>3.8328290000000001E-2</v>
      </c>
      <c r="P5140">
        <v>0.94451450000000003</v>
      </c>
      <c r="Q5140">
        <v>0.15587790000000001</v>
      </c>
      <c r="R5140">
        <v>0.28912710000000003</v>
      </c>
      <c r="S5140">
        <v>2.6784210000000002</v>
      </c>
      <c r="T5140">
        <v>-0.242093</v>
      </c>
      <c r="U5140">
        <v>1.771423</v>
      </c>
      <c r="V5140">
        <v>-0.25346469999999999</v>
      </c>
      <c r="W5140">
        <v>0.16654469999999999</v>
      </c>
      <c r="X5140">
        <v>0.95290010000000003</v>
      </c>
      <c r="Y5140">
        <v>-0.51761380000000001</v>
      </c>
      <c r="Z5140">
        <v>2.2038990000000001E-2</v>
      </c>
      <c r="AA5140">
        <v>0.85533049999999999</v>
      </c>
      <c r="AB5140">
        <v>26</v>
      </c>
      <c r="AC5140">
        <v>0.66499999999999204</v>
      </c>
      <c r="AD5140">
        <v>-7.5905999999999793E-2</v>
      </c>
      <c r="AE5140">
        <v>0.54710000000000003</v>
      </c>
      <c r="AF5140">
        <v>-0.51718915606297999</v>
      </c>
      <c r="AG5140">
        <v>-7.5905999999999793E-2</v>
      </c>
      <c r="AH5140">
        <v>0.68019722966345297</v>
      </c>
      <c r="AI5140">
        <v>95.076371117268707</v>
      </c>
      <c r="AJ5140">
        <v>127.247606899948</v>
      </c>
      <c r="AK5140">
        <v>0.85785465856808996</v>
      </c>
      <c r="AL5140">
        <v>80.413019446624602</v>
      </c>
      <c r="AM5140">
        <v>104.895372259645</v>
      </c>
      <c r="AN5140">
        <v>1.0000000459120899</v>
      </c>
    </row>
    <row r="5141" spans="1:40" x14ac:dyDescent="0.25">
      <c r="A5141" t="str">
        <f>"20190303162702078"</f>
        <v>20190303162702078</v>
      </c>
      <c r="B5141" t="str">
        <f>"1551601622069346"</f>
        <v>1551601622069346</v>
      </c>
      <c r="C5141" t="s">
        <v>40</v>
      </c>
      <c r="D5141">
        <v>5.0432930000000002</v>
      </c>
      <c r="E5141">
        <v>0.38526359999999998</v>
      </c>
      <c r="F5141" t="s">
        <v>42</v>
      </c>
      <c r="G5141">
        <v>-211.52879999999999</v>
      </c>
      <c r="H5141">
        <v>1.0432600000000001</v>
      </c>
      <c r="I5141">
        <v>-62.292830000000002</v>
      </c>
      <c r="J5141">
        <v>-212.25049999999999</v>
      </c>
      <c r="K5141">
        <v>1.1229559999999901</v>
      </c>
      <c r="L5141">
        <v>-62.873719999999999</v>
      </c>
      <c r="M5141">
        <v>0.99912069999999997</v>
      </c>
      <c r="N5141">
        <v>-1.2378770000000001E-2</v>
      </c>
      <c r="O5141">
        <v>4.0059089999999999E-2</v>
      </c>
      <c r="P5141">
        <v>0.94319620000000004</v>
      </c>
      <c r="Q5141">
        <v>0.1560494</v>
      </c>
      <c r="R5141">
        <v>0.29330790000000001</v>
      </c>
      <c r="S5141">
        <v>2.6714319999999998</v>
      </c>
      <c r="T5141">
        <v>-0.24061750000000001</v>
      </c>
      <c r="U5141">
        <v>1.7788389999999901</v>
      </c>
      <c r="V5141">
        <v>-0.2560441</v>
      </c>
      <c r="W5141">
        <v>0.16669139999999999</v>
      </c>
      <c r="X5141">
        <v>0.95218449999999999</v>
      </c>
      <c r="Y5141">
        <v>-0.51882289999999998</v>
      </c>
      <c r="Z5141">
        <v>2.1894799999999999E-2</v>
      </c>
      <c r="AA5141">
        <v>0.85460130000000001</v>
      </c>
      <c r="AB5141">
        <v>26</v>
      </c>
      <c r="AC5141">
        <v>0.72169999999999801</v>
      </c>
      <c r="AD5141">
        <v>-7.9695999999999698E-2</v>
      </c>
      <c r="AE5141">
        <v>0.58088999999999602</v>
      </c>
      <c r="AF5141">
        <v>-0.54745950075640204</v>
      </c>
      <c r="AG5141">
        <v>-7.9695999999999698E-2</v>
      </c>
      <c r="AH5141">
        <v>0.73892414992768596</v>
      </c>
      <c r="AI5141">
        <v>94.952927518824694</v>
      </c>
      <c r="AJ5141">
        <v>126.53427623086201</v>
      </c>
      <c r="AK5141">
        <v>0.92307760060073096</v>
      </c>
      <c r="AL5141">
        <v>80.404494194245899</v>
      </c>
      <c r="AM5141">
        <v>105.05091060395399</v>
      </c>
      <c r="AN5141">
        <v>0.999999963009509</v>
      </c>
    </row>
    <row r="5142" spans="1:40" x14ac:dyDescent="0.25">
      <c r="A5142" t="str">
        <f>"20190303162702096"</f>
        <v>20190303162702096</v>
      </c>
      <c r="B5142" t="str">
        <f>"1551601622088867"</f>
        <v>1551601622088867</v>
      </c>
      <c r="C5142" t="s">
        <v>40</v>
      </c>
      <c r="D5142">
        <v>5.0443819999999997</v>
      </c>
      <c r="E5142">
        <v>0.3865015</v>
      </c>
      <c r="F5142" t="s">
        <v>42</v>
      </c>
      <c r="G5142">
        <v>-211.5069</v>
      </c>
      <c r="H5142">
        <v>1.0559400000000001</v>
      </c>
      <c r="I5142">
        <v>-62.37764</v>
      </c>
      <c r="J5142">
        <v>-212.05080000000001</v>
      </c>
      <c r="K5142">
        <v>1.122968</v>
      </c>
      <c r="L5142">
        <v>-62.863340000000001</v>
      </c>
      <c r="M5142">
        <v>0.9990329</v>
      </c>
      <c r="N5142">
        <v>-1.2377279999999999E-2</v>
      </c>
      <c r="O5142">
        <v>4.2193979999999999E-2</v>
      </c>
      <c r="P5142">
        <v>0.94128080000000003</v>
      </c>
      <c r="Q5142">
        <v>0.15542790000000001</v>
      </c>
      <c r="R5142">
        <v>0.29972110000000002</v>
      </c>
      <c r="S5142">
        <v>2.6670229999999999</v>
      </c>
      <c r="T5142">
        <v>-0.2403805</v>
      </c>
      <c r="U5142">
        <v>1.779633</v>
      </c>
      <c r="V5142">
        <v>-0.2604938</v>
      </c>
      <c r="W5142">
        <v>0.16602790000000001</v>
      </c>
      <c r="X5142">
        <v>0.95109290000000002</v>
      </c>
      <c r="Y5142">
        <v>-0.51783259999999998</v>
      </c>
      <c r="Z5142">
        <v>2.1704540000000001E-2</v>
      </c>
      <c r="AA5142">
        <v>0.85520659999999904</v>
      </c>
      <c r="AB5142">
        <v>26</v>
      </c>
      <c r="AC5142">
        <v>0.54390000000000704</v>
      </c>
      <c r="AD5142">
        <v>-6.7028000000000004E-2</v>
      </c>
      <c r="AE5142">
        <v>0.48570000000000102</v>
      </c>
      <c r="AF5142">
        <v>-0.45844281274432502</v>
      </c>
      <c r="AG5142">
        <v>-6.7028000000000004E-2</v>
      </c>
      <c r="AH5142">
        <v>0.55918601017901803</v>
      </c>
      <c r="AI5142">
        <v>95.295992616483105</v>
      </c>
      <c r="AJ5142">
        <v>129.346255593596</v>
      </c>
      <c r="AK5142">
        <v>0.72618975434858501</v>
      </c>
      <c r="AL5142">
        <v>80.443047474675197</v>
      </c>
      <c r="AM5142">
        <v>105.317049673169</v>
      </c>
      <c r="AN5142">
        <v>0.99999999392363004</v>
      </c>
    </row>
    <row r="5143" spans="1:40" x14ac:dyDescent="0.25">
      <c r="A5143" t="str">
        <f>"20190303162702108"</f>
        <v>20190303162702108</v>
      </c>
      <c r="B5143" t="str">
        <f>"1551601622099603"</f>
        <v>1551601622099603</v>
      </c>
      <c r="C5143" t="s">
        <v>40</v>
      </c>
      <c r="D5143">
        <v>5.0151019999999997</v>
      </c>
      <c r="E5143">
        <v>0.38720080000000001</v>
      </c>
      <c r="F5143" t="s">
        <v>42</v>
      </c>
      <c r="G5143">
        <v>-211.28399999999999</v>
      </c>
      <c r="H5143">
        <v>1.053072</v>
      </c>
      <c r="I5143">
        <v>-62.347340000000003</v>
      </c>
      <c r="J5143">
        <v>-211.9075</v>
      </c>
      <c r="K5143">
        <v>1.1229739999999999</v>
      </c>
      <c r="L5143">
        <v>-62.855649999999997</v>
      </c>
      <c r="M5143">
        <v>0.99896649999999998</v>
      </c>
      <c r="N5143">
        <v>-1.2375850000000001E-2</v>
      </c>
      <c r="O5143">
        <v>4.3737079999999998E-2</v>
      </c>
      <c r="P5143">
        <v>0.94046969999999996</v>
      </c>
      <c r="Q5143">
        <v>0.1548659</v>
      </c>
      <c r="R5143">
        <v>0.3025448</v>
      </c>
      <c r="S5143">
        <v>2.657562</v>
      </c>
      <c r="T5143">
        <v>-0.24225720000000001</v>
      </c>
      <c r="U5143">
        <v>1.7887569999999999</v>
      </c>
      <c r="V5143">
        <v>-0.26187939999999998</v>
      </c>
      <c r="W5143">
        <v>0.16544819999999999</v>
      </c>
      <c r="X5143">
        <v>0.95081340000000003</v>
      </c>
      <c r="Y5143">
        <v>-0.51990729999999996</v>
      </c>
      <c r="Z5143">
        <v>2.187366E-2</v>
      </c>
      <c r="AA5143">
        <v>0.8539426</v>
      </c>
      <c r="AB5143">
        <v>26</v>
      </c>
      <c r="AC5143">
        <v>0.62349999999997796</v>
      </c>
      <c r="AD5143">
        <v>-6.9901999999999895E-2</v>
      </c>
      <c r="AE5143">
        <v>0.50830999999999404</v>
      </c>
      <c r="AF5143">
        <v>-0.47695005248924799</v>
      </c>
      <c r="AG5143">
        <v>-6.9901999999999895E-2</v>
      </c>
      <c r="AH5143">
        <v>0.64030223725305802</v>
      </c>
      <c r="AI5143">
        <v>95.003535201923796</v>
      </c>
      <c r="AJ5143">
        <v>126.681788071493</v>
      </c>
      <c r="AK5143">
        <v>0.80147027219028399</v>
      </c>
      <c r="AL5143">
        <v>80.476727934019806</v>
      </c>
      <c r="AM5143">
        <v>105.39897814442401</v>
      </c>
      <c r="AN5143">
        <v>1.00000002432357</v>
      </c>
    </row>
    <row r="5144" spans="1:40" x14ac:dyDescent="0.25">
      <c r="A5144" t="str">
        <f>"20190303162702122"</f>
        <v>20190303162702122</v>
      </c>
      <c r="B5144" t="str">
        <f>"1551601622109363"</f>
        <v>1551601622109363</v>
      </c>
      <c r="C5144" t="s">
        <v>40</v>
      </c>
      <c r="D5144">
        <v>5.0391599999999999</v>
      </c>
      <c r="E5144">
        <v>0.38784150000000001</v>
      </c>
      <c r="F5144" t="s">
        <v>42</v>
      </c>
      <c r="G5144">
        <v>-211.06829999999999</v>
      </c>
      <c r="H5144">
        <v>1.0457749999999999</v>
      </c>
      <c r="I5144">
        <v>-62.289369999999998</v>
      </c>
      <c r="J5144">
        <v>-211.75229999999999</v>
      </c>
      <c r="K5144">
        <v>1.1229830000000001</v>
      </c>
      <c r="L5144">
        <v>-62.847079999999998</v>
      </c>
      <c r="M5144">
        <v>0.99889150000000004</v>
      </c>
      <c r="N5144">
        <v>-1.237399E-2</v>
      </c>
      <c r="O5144">
        <v>4.5418790000000001E-2</v>
      </c>
      <c r="P5144">
        <v>0.93968450000000003</v>
      </c>
      <c r="Q5144">
        <v>0.15401289999999901</v>
      </c>
      <c r="R5144">
        <v>0.30540679999999998</v>
      </c>
      <c r="S5144">
        <v>2.6538390000000001</v>
      </c>
      <c r="T5144">
        <v>-0.24413860000000001</v>
      </c>
      <c r="U5144">
        <v>1.7913509999999999</v>
      </c>
      <c r="V5144">
        <v>-0.2631713</v>
      </c>
      <c r="W5144">
        <v>0.16457569999999999</v>
      </c>
      <c r="X5144">
        <v>0.95060809999999996</v>
      </c>
      <c r="Y5144">
        <v>-0.5195786</v>
      </c>
      <c r="Z5144">
        <v>2.189317E-2</v>
      </c>
      <c r="AA5144">
        <v>0.85414210000000002</v>
      </c>
      <c r="AB5144">
        <v>26</v>
      </c>
      <c r="AC5144">
        <v>0.68399999999999705</v>
      </c>
      <c r="AD5144">
        <v>-7.7208000000000096E-2</v>
      </c>
      <c r="AE5144">
        <v>0.55771000000000703</v>
      </c>
      <c r="AF5144">
        <v>-0.522070023541504</v>
      </c>
      <c r="AG5144">
        <v>-7.7208000000000096E-2</v>
      </c>
      <c r="AH5144">
        <v>0.70324438511840104</v>
      </c>
      <c r="AI5144">
        <v>95.037731360309294</v>
      </c>
      <c r="AJ5144">
        <v>126.58921544170801</v>
      </c>
      <c r="AK5144">
        <v>0.87924447677832096</v>
      </c>
      <c r="AL5144">
        <v>80.527413344733205</v>
      </c>
      <c r="AM5144">
        <v>105.47449445234</v>
      </c>
      <c r="AN5144">
        <v>1.0000000269798901</v>
      </c>
    </row>
    <row r="5145" spans="1:40" x14ac:dyDescent="0.25">
      <c r="A5145" t="str">
        <f>"20190303162702135"</f>
        <v>20190303162702135</v>
      </c>
      <c r="B5145" t="str">
        <f>"1551601622128883"</f>
        <v>1551601622128883</v>
      </c>
      <c r="C5145" t="s">
        <v>40</v>
      </c>
      <c r="D5145">
        <v>4.9856769999999999</v>
      </c>
      <c r="E5145">
        <v>0.38838</v>
      </c>
      <c r="F5145" t="s">
        <v>42</v>
      </c>
      <c r="G5145">
        <v>-211.0471</v>
      </c>
      <c r="H5145">
        <v>1.056967</v>
      </c>
      <c r="I5145">
        <v>-62.369759999999999</v>
      </c>
      <c r="J5145">
        <v>-211.60069999999999</v>
      </c>
      <c r="K5145">
        <v>1.1229990000000001</v>
      </c>
      <c r="L5145">
        <v>-62.838349999999998</v>
      </c>
      <c r="M5145">
        <v>0.99881430000000004</v>
      </c>
      <c r="N5145">
        <v>-1.237211E-2</v>
      </c>
      <c r="O5145">
        <v>4.7085410000000001E-2</v>
      </c>
      <c r="P5145">
        <v>0.93899759999999999</v>
      </c>
      <c r="Q5145">
        <v>0.15312120000000001</v>
      </c>
      <c r="R5145">
        <v>0.30795709999999998</v>
      </c>
      <c r="S5145">
        <v>2.6499630000000001</v>
      </c>
      <c r="T5145">
        <v>-0.2481093</v>
      </c>
      <c r="U5145">
        <v>1.7945249999999999</v>
      </c>
      <c r="V5145">
        <v>-0.26416460000000003</v>
      </c>
      <c r="W5145">
        <v>0.16366410000000001</v>
      </c>
      <c r="X5145">
        <v>0.9504899</v>
      </c>
      <c r="Y5145">
        <v>-0.51938799999999996</v>
      </c>
      <c r="Z5145">
        <v>2.2069510000000001E-2</v>
      </c>
      <c r="AA5145">
        <v>0.8542535</v>
      </c>
      <c r="AB5145">
        <v>26</v>
      </c>
      <c r="AC5145">
        <v>0.55359999999998799</v>
      </c>
      <c r="AD5145">
        <v>-6.6031999999999993E-2</v>
      </c>
      <c r="AE5145">
        <v>0.46858999999999901</v>
      </c>
      <c r="AF5145">
        <v>-0.43836824706277699</v>
      </c>
      <c r="AG5145">
        <v>-6.6031999999999993E-2</v>
      </c>
      <c r="AH5145">
        <v>0.57032412964066903</v>
      </c>
      <c r="AI5145">
        <v>95.244851316406695</v>
      </c>
      <c r="AJ5145">
        <v>127.54696103350901</v>
      </c>
      <c r="AK5145">
        <v>0.72235486978858199</v>
      </c>
      <c r="AL5145">
        <v>80.580361522612506</v>
      </c>
      <c r="AM5145">
        <v>105.531924577072</v>
      </c>
      <c r="AN5145">
        <v>0.99999996176198902</v>
      </c>
    </row>
    <row r="5146" spans="1:40" x14ac:dyDescent="0.25">
      <c r="A5146" t="str">
        <f>"20190303162702149"</f>
        <v>20190303162702149</v>
      </c>
      <c r="B5146" t="str">
        <f>"1551601622139619"</f>
        <v>1551601622139619</v>
      </c>
      <c r="C5146" t="s">
        <v>40</v>
      </c>
      <c r="D5146">
        <v>4.991892</v>
      </c>
      <c r="E5146">
        <v>0.38838</v>
      </c>
      <c r="F5146" t="s">
        <v>42</v>
      </c>
      <c r="G5146">
        <v>-210.8306</v>
      </c>
      <c r="H5146">
        <v>1.049606</v>
      </c>
      <c r="I5146">
        <v>-62.315109999999997</v>
      </c>
      <c r="J5146">
        <v>-211.4485</v>
      </c>
      <c r="K5146">
        <v>1.123014</v>
      </c>
      <c r="L5146">
        <v>-62.829349999999998</v>
      </c>
      <c r="M5146">
        <v>0.99873330000000005</v>
      </c>
      <c r="N5146">
        <v>-1.236874E-2</v>
      </c>
      <c r="O5146">
        <v>4.8773629999999998E-2</v>
      </c>
      <c r="P5146">
        <v>0.9380522</v>
      </c>
      <c r="Q5146">
        <v>0.15166189999999999</v>
      </c>
      <c r="R5146">
        <v>0.31153969999999997</v>
      </c>
      <c r="S5146">
        <v>2.646347</v>
      </c>
      <c r="T5146">
        <v>-0.25219180000000002</v>
      </c>
      <c r="U5146">
        <v>1.797974</v>
      </c>
      <c r="V5146">
        <v>-0.26618059999999899</v>
      </c>
      <c r="W5146">
        <v>0.1621746</v>
      </c>
      <c r="X5146">
        <v>0.95018270000000005</v>
      </c>
      <c r="Y5146">
        <v>-0.51920029999999995</v>
      </c>
      <c r="Z5146">
        <v>2.2245529999999999E-2</v>
      </c>
      <c r="AA5146">
        <v>0.85436299999999898</v>
      </c>
      <c r="AB5146">
        <v>26</v>
      </c>
      <c r="AC5146">
        <v>0.61789999999999101</v>
      </c>
      <c r="AD5146">
        <v>-7.3407999999999904E-2</v>
      </c>
      <c r="AE5146">
        <v>0.51424000000000003</v>
      </c>
      <c r="AF5146">
        <v>-0.47949010253344798</v>
      </c>
      <c r="AG5146">
        <v>-7.3407999999999904E-2</v>
      </c>
      <c r="AH5146">
        <v>0.63693663714911097</v>
      </c>
      <c r="AI5146">
        <v>95.260797069438098</v>
      </c>
      <c r="AJ5146">
        <v>126.972675033903</v>
      </c>
      <c r="AK5146">
        <v>0.80061711987338602</v>
      </c>
      <c r="AL5146">
        <v>80.666859037509695</v>
      </c>
      <c r="AM5146">
        <v>105.649484184166</v>
      </c>
      <c r="AN5146">
        <v>0.99999993804040299</v>
      </c>
    </row>
    <row r="5147" spans="1:40" x14ac:dyDescent="0.25">
      <c r="A5147" t="str">
        <f>"20190303162702162"</f>
        <v>20190303162702162</v>
      </c>
      <c r="B5147" t="str">
        <f>"1551601622149378"</f>
        <v>1551601622149378</v>
      </c>
      <c r="C5147" t="s">
        <v>40</v>
      </c>
      <c r="D5147">
        <v>4.9103110000000001</v>
      </c>
      <c r="E5147">
        <v>0.35299770000000003</v>
      </c>
      <c r="F5147" t="s">
        <v>42</v>
      </c>
      <c r="G5147">
        <v>-210.6147</v>
      </c>
      <c r="H5147">
        <v>1.0420119999999999</v>
      </c>
      <c r="I5147">
        <v>-62.258240000000001</v>
      </c>
      <c r="J5147">
        <v>-211.31</v>
      </c>
      <c r="K5147">
        <v>1.1230340000000001</v>
      </c>
      <c r="L5147">
        <v>-62.820979999999999</v>
      </c>
      <c r="M5147">
        <v>0.99865649999999995</v>
      </c>
      <c r="N5147">
        <v>-1.236424E-2</v>
      </c>
      <c r="O5147">
        <v>5.0325189999999999E-2</v>
      </c>
      <c r="P5147">
        <v>0.93732559999999998</v>
      </c>
      <c r="Q5147">
        <v>0.15119389999999999</v>
      </c>
      <c r="R5147">
        <v>0.31394460000000002</v>
      </c>
      <c r="S5147">
        <v>2.6391450000000001</v>
      </c>
      <c r="T5147">
        <v>-0.25638260000000002</v>
      </c>
      <c r="U5147">
        <v>1.807922</v>
      </c>
      <c r="V5147">
        <v>-0.26714569999999999</v>
      </c>
      <c r="W5147">
        <v>0.16168150000000001</v>
      </c>
      <c r="X5147">
        <v>0.9499959</v>
      </c>
      <c r="Y5147">
        <v>-0.52109150000000004</v>
      </c>
      <c r="Z5147">
        <v>2.255091E-2</v>
      </c>
      <c r="AA5147">
        <v>0.85320289999999999</v>
      </c>
      <c r="AB5147">
        <v>26</v>
      </c>
      <c r="AC5147">
        <v>0.69530000000000303</v>
      </c>
      <c r="AD5147">
        <v>-8.10219999999999E-2</v>
      </c>
      <c r="AE5147">
        <v>0.56274000000000501</v>
      </c>
      <c r="AF5147">
        <v>-0.52274421016363004</v>
      </c>
      <c r="AG5147">
        <v>-8.10219999999999E-2</v>
      </c>
      <c r="AH5147">
        <v>0.716859530536337</v>
      </c>
      <c r="AI5147">
        <v>95.217880649758499</v>
      </c>
      <c r="AJ5147">
        <v>126.100065196309</v>
      </c>
      <c r="AK5147">
        <v>0.89090608947541405</v>
      </c>
      <c r="AL5147">
        <v>80.695489747952607</v>
      </c>
      <c r="AM5147">
        <v>105.70636602645401</v>
      </c>
      <c r="AN5147">
        <v>0.99999997124377404</v>
      </c>
    </row>
    <row r="5148" spans="1:40" x14ac:dyDescent="0.25">
      <c r="A5148" t="str">
        <f>"20190303162702183"</f>
        <v>20190303162702183</v>
      </c>
      <c r="B5148" t="str">
        <f>"1551601622179634"</f>
        <v>1551601622179634</v>
      </c>
      <c r="C5148" t="s">
        <v>40</v>
      </c>
      <c r="D5148">
        <v>4.8752610000000001</v>
      </c>
      <c r="E5148">
        <v>0.33200239999999998</v>
      </c>
      <c r="F5148" t="s">
        <v>42</v>
      </c>
      <c r="G5148">
        <v>-210.6156</v>
      </c>
      <c r="H5148">
        <v>1.018535</v>
      </c>
      <c r="I5148">
        <v>-62.255659999999999</v>
      </c>
      <c r="J5148">
        <v>-211.059</v>
      </c>
      <c r="K5148">
        <v>1.123062</v>
      </c>
      <c r="L5148">
        <v>-62.805149999999998</v>
      </c>
      <c r="M5148">
        <v>0.99850799999999995</v>
      </c>
      <c r="N5148">
        <v>-1.235258E-2</v>
      </c>
      <c r="O5148">
        <v>5.3189920000000002E-2</v>
      </c>
      <c r="P5148">
        <v>0.93588720000000003</v>
      </c>
      <c r="Q5148">
        <v>0.1502677</v>
      </c>
      <c r="R5148">
        <v>0.31864520000000002</v>
      </c>
      <c r="S5148">
        <v>2.5636139999999998</v>
      </c>
      <c r="T5148">
        <v>-0.38583400000000001</v>
      </c>
      <c r="U5148">
        <v>2.0876769999999998</v>
      </c>
      <c r="V5148">
        <v>-0.26919700000000002</v>
      </c>
      <c r="W5148">
        <v>0.160699799999999</v>
      </c>
      <c r="X5148">
        <v>0.94958339999999997</v>
      </c>
      <c r="Y5148">
        <v>-0.58520430000000001</v>
      </c>
      <c r="Z5148">
        <v>3.6050680000000002E-2</v>
      </c>
      <c r="AA5148">
        <v>0.81008409999999997</v>
      </c>
      <c r="AB5148">
        <v>26</v>
      </c>
      <c r="AC5148">
        <v>0.443400000000025</v>
      </c>
      <c r="AD5148">
        <v>-0.10452699999999999</v>
      </c>
      <c r="AE5148">
        <v>0.54948999999999804</v>
      </c>
      <c r="AF5148">
        <v>-0.51386414993996599</v>
      </c>
      <c r="AG5148">
        <v>-0.10452699999999999</v>
      </c>
      <c r="AH5148">
        <v>0.46187940213399198</v>
      </c>
      <c r="AI5148">
        <v>98.602687439830206</v>
      </c>
      <c r="AJ5148">
        <v>138.04966742798601</v>
      </c>
      <c r="AK5148">
        <v>0.69879527791634299</v>
      </c>
      <c r="AL5148">
        <v>80.752482954491498</v>
      </c>
      <c r="AM5148">
        <v>105.82748066192499</v>
      </c>
      <c r="AN5148">
        <v>1.0000000420422901</v>
      </c>
    </row>
    <row r="5149" spans="1:40" x14ac:dyDescent="0.25">
      <c r="A5149" t="str">
        <f>"20190303162702195"</f>
        <v>20190303162702195</v>
      </c>
      <c r="B5149" t="str">
        <f>"1551601622189395"</f>
        <v>1551601622189395</v>
      </c>
      <c r="C5149" t="s">
        <v>40</v>
      </c>
      <c r="D5149">
        <v>4.8369910000000003</v>
      </c>
      <c r="E5149">
        <v>0.33042179999999999</v>
      </c>
      <c r="F5149" t="s">
        <v>59</v>
      </c>
      <c r="G5149">
        <v>-204.70959999999999</v>
      </c>
      <c r="H5149" s="1">
        <v>-4.03594E-6</v>
      </c>
      <c r="I5149">
        <v>-57.078090000000003</v>
      </c>
      <c r="J5149">
        <v>-210.92189999999999</v>
      </c>
      <c r="K5149">
        <v>1.1230830000000001</v>
      </c>
      <c r="L5149">
        <v>-62.796080000000003</v>
      </c>
      <c r="M5149">
        <v>0.99842140000000001</v>
      </c>
      <c r="N5149">
        <v>-1.2346029999999999E-2</v>
      </c>
      <c r="O5149">
        <v>5.4792929999999997E-2</v>
      </c>
      <c r="P5149">
        <v>0.93504319999999996</v>
      </c>
      <c r="Q5149">
        <v>0.14943399999999901</v>
      </c>
      <c r="R5149">
        <v>0.32150220000000002</v>
      </c>
      <c r="S5149">
        <v>2.5068510000000002</v>
      </c>
      <c r="T5149">
        <v>-0.44340550000000001</v>
      </c>
      <c r="U5149">
        <v>2.261139</v>
      </c>
      <c r="V5149">
        <v>-0.27057419999999999</v>
      </c>
      <c r="W5149">
        <v>0.1598319</v>
      </c>
      <c r="X5149">
        <v>0.94933840000000003</v>
      </c>
      <c r="Y5149">
        <v>-0.62261339999999998</v>
      </c>
      <c r="Z5149">
        <v>4.3532399999999999E-2</v>
      </c>
      <c r="AA5149">
        <v>0.78131779999999995</v>
      </c>
      <c r="AB5149">
        <v>26</v>
      </c>
      <c r="AC5149">
        <v>6.2122999999999902</v>
      </c>
      <c r="AD5149">
        <v>-1.12308703594</v>
      </c>
      <c r="AE5149">
        <v>5.7179900000000004</v>
      </c>
      <c r="AF5149">
        <v>-5.2756390167028604</v>
      </c>
      <c r="AG5149">
        <v>-1.12308703594</v>
      </c>
      <c r="AH5149">
        <v>6.4030048266052804</v>
      </c>
      <c r="AI5149">
        <v>97.709257221818902</v>
      </c>
      <c r="AJ5149">
        <v>129.48619368333701</v>
      </c>
      <c r="AK5149">
        <v>8.3721062065877199</v>
      </c>
      <c r="AL5149">
        <v>80.802860912371798</v>
      </c>
      <c r="AM5149">
        <v>105.90826396083</v>
      </c>
      <c r="AN5149">
        <v>1.0000000158389</v>
      </c>
    </row>
    <row r="5150" spans="1:40" x14ac:dyDescent="0.25">
      <c r="A5150" t="str">
        <f>"20190303162702206"</f>
        <v>20190303162702206</v>
      </c>
      <c r="B5150" t="str">
        <f>"1551601622199155"</f>
        <v>1551601622199155</v>
      </c>
      <c r="C5150" t="s">
        <v>40</v>
      </c>
      <c r="D5150">
        <v>4.8135389999999996</v>
      </c>
      <c r="E5150">
        <v>0.32944849999999998</v>
      </c>
      <c r="F5150" t="s">
        <v>59</v>
      </c>
      <c r="G5150">
        <v>-204.6892</v>
      </c>
      <c r="H5150" s="1">
        <v>-4.0412079999999997E-6</v>
      </c>
      <c r="I5150">
        <v>-57.101179999999999</v>
      </c>
      <c r="J5150">
        <v>-210.78970000000001</v>
      </c>
      <c r="K5150">
        <v>1.123105</v>
      </c>
      <c r="L5150">
        <v>-62.787170000000003</v>
      </c>
      <c r="M5150">
        <v>0.99833490000000003</v>
      </c>
      <c r="N5150">
        <v>-1.234001E-2</v>
      </c>
      <c r="O5150">
        <v>5.6350549999999999E-2</v>
      </c>
      <c r="P5150">
        <v>0.93433200000000005</v>
      </c>
      <c r="Q5150">
        <v>0.1484502</v>
      </c>
      <c r="R5150">
        <v>0.32401619999999998</v>
      </c>
      <c r="S5150">
        <v>2.4960939999999998</v>
      </c>
      <c r="T5150">
        <v>-0.44978089999999998</v>
      </c>
      <c r="U5150">
        <v>2.2807309999999998</v>
      </c>
      <c r="V5150">
        <v>-0.27164490000000002</v>
      </c>
      <c r="W5150">
        <v>0.1588184</v>
      </c>
      <c r="X5150">
        <v>0.94920269999999995</v>
      </c>
      <c r="Y5150">
        <v>-0.62624440000000003</v>
      </c>
      <c r="Z5150">
        <v>4.4209690000000003E-2</v>
      </c>
      <c r="AA5150">
        <v>0.77837230000000002</v>
      </c>
      <c r="AB5150">
        <v>26</v>
      </c>
      <c r="AC5150">
        <v>6.10050000000001</v>
      </c>
      <c r="AD5150">
        <v>-1.123109041208</v>
      </c>
      <c r="AE5150">
        <v>5.6859899999999897</v>
      </c>
      <c r="AF5150">
        <v>-5.23815617077722</v>
      </c>
      <c r="AG5150">
        <v>-1.123109041208</v>
      </c>
      <c r="AH5150">
        <v>6.2970282465583898</v>
      </c>
      <c r="AI5150">
        <v>97.807520374331503</v>
      </c>
      <c r="AJ5150">
        <v>129.75523320615301</v>
      </c>
      <c r="AK5150">
        <v>8.2675400649678696</v>
      </c>
      <c r="AL5150">
        <v>80.861681413203101</v>
      </c>
      <c r="AM5150">
        <v>105.970178045727</v>
      </c>
      <c r="AN5150">
        <v>1.00000000078092</v>
      </c>
    </row>
    <row r="5151" spans="1:40" x14ac:dyDescent="0.25">
      <c r="A5151" t="str">
        <f>"20190303162702217"</f>
        <v>20190303162702217</v>
      </c>
      <c r="B5151" t="str">
        <f>"1551601622208915"</f>
        <v>1551601622208915</v>
      </c>
      <c r="C5151" t="s">
        <v>40</v>
      </c>
      <c r="D5151">
        <v>4.8183170000000004</v>
      </c>
      <c r="E5151">
        <v>0.3289763</v>
      </c>
      <c r="F5151" t="s">
        <v>59</v>
      </c>
      <c r="G5151">
        <v>-204.6687</v>
      </c>
      <c r="H5151" s="1">
        <v>-4.0426220000000002E-6</v>
      </c>
      <c r="I5151">
        <v>-57.141969999999901</v>
      </c>
      <c r="J5151">
        <v>-210.65889999999999</v>
      </c>
      <c r="K5151">
        <v>1.1231199999999999</v>
      </c>
      <c r="L5151">
        <v>-62.778170000000003</v>
      </c>
      <c r="M5151">
        <v>0.99824559999999996</v>
      </c>
      <c r="N5151">
        <v>-1.2334629999999999E-2</v>
      </c>
      <c r="O5151">
        <v>5.7910669999999997E-2</v>
      </c>
      <c r="P5151">
        <v>0.93371280000000001</v>
      </c>
      <c r="Q5151">
        <v>0.14771670000000001</v>
      </c>
      <c r="R5151">
        <v>0.3261289</v>
      </c>
      <c r="S5151">
        <v>2.4877319999999998</v>
      </c>
      <c r="T5151">
        <v>-0.45646379999999998</v>
      </c>
      <c r="U5151">
        <v>2.2943730000000002</v>
      </c>
      <c r="V5151">
        <v>-0.27230939999999998</v>
      </c>
      <c r="W5151">
        <v>0.15805849999999999</v>
      </c>
      <c r="X5151">
        <v>0.94913910000000001</v>
      </c>
      <c r="Y5151">
        <v>-0.62847249999999999</v>
      </c>
      <c r="Z5151">
        <v>4.4792779999999997E-2</v>
      </c>
      <c r="AA5151">
        <v>0.77654109999999998</v>
      </c>
      <c r="AB5151">
        <v>26</v>
      </c>
      <c r="AC5151">
        <v>5.9901999999999802</v>
      </c>
      <c r="AD5151">
        <v>-1.1231240426219999</v>
      </c>
      <c r="AE5151">
        <v>5.6361999999999997</v>
      </c>
      <c r="AF5151">
        <v>-5.1831699372391196</v>
      </c>
      <c r="AG5151">
        <v>-1.1231240426219999</v>
      </c>
      <c r="AH5151">
        <v>6.1911249449097498</v>
      </c>
      <c r="AI5151">
        <v>97.918894585086406</v>
      </c>
      <c r="AJ5151">
        <v>129.93585288264501</v>
      </c>
      <c r="AK5151">
        <v>8.1520970490358309</v>
      </c>
      <c r="AL5151">
        <v>80.905777132087493</v>
      </c>
      <c r="AM5151">
        <v>106.00826300726099</v>
      </c>
      <c r="AN5151">
        <v>0.999999964949709</v>
      </c>
    </row>
    <row r="5152" spans="1:40" x14ac:dyDescent="0.25">
      <c r="A5152" t="str">
        <f>"20190303162702238"</f>
        <v>20190303162702238</v>
      </c>
      <c r="B5152" t="str">
        <f>"1551601622229557"</f>
        <v>1551601622229557</v>
      </c>
      <c r="C5152" t="s">
        <v>40</v>
      </c>
      <c r="D5152">
        <v>4.8155130000000002</v>
      </c>
      <c r="E5152">
        <v>0.32829809999999998</v>
      </c>
      <c r="F5152" t="s">
        <v>59</v>
      </c>
      <c r="G5152">
        <v>-204.59809999999999</v>
      </c>
      <c r="H5152" s="1">
        <v>-4.0760289999999998E-6</v>
      </c>
      <c r="I5152">
        <v>-57.153660000000002</v>
      </c>
      <c r="J5152">
        <v>-210.42769999999999</v>
      </c>
      <c r="K5152">
        <v>1.1231629999999999</v>
      </c>
      <c r="L5152">
        <v>-62.761629999999997</v>
      </c>
      <c r="M5152">
        <v>0.99807860000000004</v>
      </c>
      <c r="N5152">
        <v>-1.2325930000000001E-2</v>
      </c>
      <c r="O5152">
        <v>6.0722779999999997E-2</v>
      </c>
      <c r="P5152">
        <v>0.93228169999999999</v>
      </c>
      <c r="Q5152">
        <v>0.14653959999999999</v>
      </c>
      <c r="R5152">
        <v>0.33072190000000001</v>
      </c>
      <c r="S5152">
        <v>2.4813999999999998</v>
      </c>
      <c r="T5152">
        <v>-0.45982529999999999</v>
      </c>
      <c r="U5152">
        <v>2.302765</v>
      </c>
      <c r="V5152">
        <v>-0.27431309999999998</v>
      </c>
      <c r="W5152">
        <v>0.15682670000000001</v>
      </c>
      <c r="X5152">
        <v>0.94876640000000001</v>
      </c>
      <c r="Y5152">
        <v>-0.62863139999999995</v>
      </c>
      <c r="Z5152">
        <v>4.4729499999999998E-2</v>
      </c>
      <c r="AA5152">
        <v>0.77641610000000005</v>
      </c>
      <c r="AB5152">
        <v>26</v>
      </c>
      <c r="AC5152">
        <v>5.8295999999999903</v>
      </c>
      <c r="AD5152">
        <v>-1.123167076029</v>
      </c>
      <c r="AE5152">
        <v>5.6079699999999999</v>
      </c>
      <c r="AF5152">
        <v>-5.1444232989918097</v>
      </c>
      <c r="AG5152">
        <v>-1.123167076029</v>
      </c>
      <c r="AH5152">
        <v>6.04289623593304</v>
      </c>
      <c r="AI5152">
        <v>98.055363112067397</v>
      </c>
      <c r="AJ5152">
        <v>130.40833219855901</v>
      </c>
      <c r="AK5152">
        <v>8.0151849809058699</v>
      </c>
      <c r="AL5152">
        <v>80.977245616748903</v>
      </c>
      <c r="AM5152">
        <v>106.125960110319</v>
      </c>
      <c r="AN5152">
        <v>0.99999998621672903</v>
      </c>
    </row>
    <row r="5153" spans="1:40" x14ac:dyDescent="0.25">
      <c r="A5153" t="str">
        <f>"20190303162702252"</f>
        <v>20190303162702252</v>
      </c>
      <c r="B5153" t="str">
        <f>"1551601622239317"</f>
        <v>1551601622239317</v>
      </c>
      <c r="C5153" t="s">
        <v>40</v>
      </c>
      <c r="D5153">
        <v>4.7872649999999997</v>
      </c>
      <c r="E5153">
        <v>0.32793319999999998</v>
      </c>
      <c r="F5153" t="s">
        <v>59</v>
      </c>
      <c r="G5153">
        <v>-204.48089999999999</v>
      </c>
      <c r="H5153" s="1">
        <v>-4.1311610000000003E-6</v>
      </c>
      <c r="I5153">
        <v>-57.174300000000002</v>
      </c>
      <c r="J5153">
        <v>-210.28299999999999</v>
      </c>
      <c r="K5153">
        <v>1.123197</v>
      </c>
      <c r="L5153">
        <v>-62.750889999999998</v>
      </c>
      <c r="M5153">
        <v>0.99796719999999906</v>
      </c>
      <c r="N5153">
        <v>-1.231897E-2</v>
      </c>
      <c r="O5153">
        <v>6.2528769999999997E-2</v>
      </c>
      <c r="P5153">
        <v>0.93128940000000004</v>
      </c>
      <c r="Q5153">
        <v>0.1465505</v>
      </c>
      <c r="R5153">
        <v>0.33350099999999999</v>
      </c>
      <c r="S5153">
        <v>2.4684750000000002</v>
      </c>
      <c r="T5153">
        <v>-0.46621509999999999</v>
      </c>
      <c r="U5153">
        <v>2.3192439999999999</v>
      </c>
      <c r="V5153">
        <v>-0.275441099999999</v>
      </c>
      <c r="W5153">
        <v>0.15679789999999999</v>
      </c>
      <c r="X5153">
        <v>0.94844430000000002</v>
      </c>
      <c r="Y5153">
        <v>-0.63182669999999996</v>
      </c>
      <c r="Z5153">
        <v>4.5369449999999999E-2</v>
      </c>
      <c r="AA5153">
        <v>0.77378080000000005</v>
      </c>
      <c r="AB5153">
        <v>26</v>
      </c>
      <c r="AC5153">
        <v>5.8020999999999896</v>
      </c>
      <c r="AD5153">
        <v>-1.123201131161</v>
      </c>
      <c r="AE5153">
        <v>5.5765900000000004</v>
      </c>
      <c r="AF5153">
        <v>-5.1034350264470003</v>
      </c>
      <c r="AG5153">
        <v>-1.123201131161</v>
      </c>
      <c r="AH5153">
        <v>6.0221563734300601</v>
      </c>
      <c r="AI5153">
        <v>98.098242708072405</v>
      </c>
      <c r="AJ5153">
        <v>130.27937952368401</v>
      </c>
      <c r="AK5153">
        <v>7.9732676636528304</v>
      </c>
      <c r="AL5153">
        <v>80.978916399976796</v>
      </c>
      <c r="AM5153">
        <v>106.19401446137699</v>
      </c>
      <c r="AN5153">
        <v>0.99999998560805403</v>
      </c>
    </row>
    <row r="5154" spans="1:40" x14ac:dyDescent="0.25">
      <c r="A5154" t="str">
        <f>"20190303162702267"</f>
        <v>20190303162702267</v>
      </c>
      <c r="B5154" t="str">
        <f>"1551601622258837"</f>
        <v>1551601622258837</v>
      </c>
      <c r="C5154" t="s">
        <v>40</v>
      </c>
      <c r="D5154">
        <v>4.7611270000000001</v>
      </c>
      <c r="E5154">
        <v>0.32763379999999998</v>
      </c>
      <c r="F5154" t="s">
        <v>59</v>
      </c>
      <c r="G5154">
        <v>-204.36340000000001</v>
      </c>
      <c r="H5154" s="1">
        <v>-4.1970870000000003E-6</v>
      </c>
      <c r="I5154">
        <v>-57.146880000000003</v>
      </c>
      <c r="J5154">
        <v>-210.1063</v>
      </c>
      <c r="K5154">
        <v>1.1232409999999999</v>
      </c>
      <c r="L5154">
        <v>-62.737459999999999</v>
      </c>
      <c r="M5154">
        <v>0.99782409999999999</v>
      </c>
      <c r="N5154">
        <v>-1.2308929999999999E-2</v>
      </c>
      <c r="O5154">
        <v>6.4774810000000002E-2</v>
      </c>
      <c r="P5154">
        <v>0.93016279999999996</v>
      </c>
      <c r="Q5154">
        <v>0.1464589</v>
      </c>
      <c r="R5154">
        <v>0.336671</v>
      </c>
      <c r="S5154">
        <v>2.4606170000000001</v>
      </c>
      <c r="T5154">
        <v>-0.4668853</v>
      </c>
      <c r="U5154">
        <v>2.329437</v>
      </c>
      <c r="V5154">
        <v>-0.27655479999999999</v>
      </c>
      <c r="W5154">
        <v>0.15665670000000001</v>
      </c>
      <c r="X5154">
        <v>0.94814350000000003</v>
      </c>
      <c r="Y5154">
        <v>-0.63300140000000005</v>
      </c>
      <c r="Z5154">
        <v>4.5246929999999998E-2</v>
      </c>
      <c r="AA5154">
        <v>0.77282729999999999</v>
      </c>
      <c r="AB5154">
        <v>26</v>
      </c>
      <c r="AC5154">
        <v>5.7428999999999899</v>
      </c>
      <c r="AD5154">
        <v>-1.1232451970870001</v>
      </c>
      <c r="AE5154">
        <v>5.5905799999999903</v>
      </c>
      <c r="AF5154">
        <v>-5.1065145970243604</v>
      </c>
      <c r="AG5154">
        <v>-1.1232451970870001</v>
      </c>
      <c r="AH5154">
        <v>5.9756236302604604</v>
      </c>
      <c r="AI5154">
        <v>98.132551817226997</v>
      </c>
      <c r="AJ5154">
        <v>130.51579622520401</v>
      </c>
      <c r="AK5154">
        <v>7.9401668038479603</v>
      </c>
      <c r="AL5154">
        <v>80.987107814259303</v>
      </c>
      <c r="AM5154">
        <v>106.260925682047</v>
      </c>
      <c r="AN5154">
        <v>0.99999998782508903</v>
      </c>
    </row>
    <row r="5155" spans="1:40" x14ac:dyDescent="0.25">
      <c r="A5155" t="str">
        <f>"20190303162702280"</f>
        <v>20190303162702280</v>
      </c>
      <c r="B5155" t="str">
        <f>"1551601622269573"</f>
        <v>1551601622269573</v>
      </c>
      <c r="C5155" t="s">
        <v>40</v>
      </c>
      <c r="D5155">
        <v>4.8047149999999998</v>
      </c>
      <c r="E5155">
        <v>0.32761980000000002</v>
      </c>
      <c r="F5155" t="s">
        <v>59</v>
      </c>
      <c r="G5155">
        <v>-204.21889999999999</v>
      </c>
      <c r="H5155" s="1">
        <v>-4.2772539999999997E-6</v>
      </c>
      <c r="I5155">
        <v>-57.117469999999997</v>
      </c>
      <c r="J5155">
        <v>-209.95249999999999</v>
      </c>
      <c r="K5155">
        <v>1.1232839999999999</v>
      </c>
      <c r="L5155">
        <v>-62.725340000000003</v>
      </c>
      <c r="M5155">
        <v>0.99769240000000003</v>
      </c>
      <c r="N5155">
        <v>-1.229894E-2</v>
      </c>
      <c r="O5155">
        <v>6.6775039999999994E-2</v>
      </c>
      <c r="P5155">
        <v>0.92913690000000004</v>
      </c>
      <c r="Q5155">
        <v>0.1463884</v>
      </c>
      <c r="R5155">
        <v>0.3395222</v>
      </c>
      <c r="S5155">
        <v>2.4517820000000001</v>
      </c>
      <c r="T5155">
        <v>-0.4677711</v>
      </c>
      <c r="U5155">
        <v>2.3404240000000001</v>
      </c>
      <c r="V5155">
        <v>-0.27757939999999998</v>
      </c>
      <c r="W5155">
        <v>0.15653710000000001</v>
      </c>
      <c r="X5155">
        <v>0.94786380000000003</v>
      </c>
      <c r="Y5155">
        <v>-0.63463179999999997</v>
      </c>
      <c r="Z5155">
        <v>4.5225210000000002E-2</v>
      </c>
      <c r="AA5155">
        <v>0.77149029999999996</v>
      </c>
      <c r="AB5155">
        <v>26</v>
      </c>
      <c r="AC5155">
        <v>5.7335999999999903</v>
      </c>
      <c r="AD5155">
        <v>-1.123288277254</v>
      </c>
      <c r="AE5155">
        <v>5.6078700000000001</v>
      </c>
      <c r="AF5155">
        <v>-5.1121785966712299</v>
      </c>
      <c r="AG5155">
        <v>-1.123288277254</v>
      </c>
      <c r="AH5155">
        <v>5.9780273405260003</v>
      </c>
      <c r="AI5155">
        <v>98.127241179914506</v>
      </c>
      <c r="AJ5155">
        <v>130.53578636007501</v>
      </c>
      <c r="AK5155">
        <v>7.9456250504385197</v>
      </c>
      <c r="AL5155">
        <v>80.994045964462799</v>
      </c>
      <c r="AM5155">
        <v>106.32252934828099</v>
      </c>
      <c r="AN5155">
        <v>0.99999998516560495</v>
      </c>
    </row>
    <row r="5156" spans="1:40" x14ac:dyDescent="0.25">
      <c r="A5156" t="str">
        <f>"20190303162702295"</f>
        <v>20190303162702295</v>
      </c>
      <c r="B5156" t="str">
        <f>"1551601622289093"</f>
        <v>1551601622289093</v>
      </c>
      <c r="C5156" t="s">
        <v>40</v>
      </c>
      <c r="D5156">
        <v>4.8039019999999999</v>
      </c>
      <c r="E5156">
        <v>0.32762370000000002</v>
      </c>
      <c r="F5156" t="s">
        <v>42</v>
      </c>
      <c r="G5156">
        <v>-209.27690000000001</v>
      </c>
      <c r="H5156">
        <v>0.99438179999999998</v>
      </c>
      <c r="I5156">
        <v>-62.07638</v>
      </c>
      <c r="J5156">
        <v>-209.78020000000001</v>
      </c>
      <c r="K5156">
        <v>1.123329</v>
      </c>
      <c r="L5156">
        <v>-62.711329999999997</v>
      </c>
      <c r="M5156">
        <v>0.99753579999999997</v>
      </c>
      <c r="N5156">
        <v>-1.228835E-2</v>
      </c>
      <c r="O5156">
        <v>6.9075570000000003E-2</v>
      </c>
      <c r="P5156">
        <v>0.92771490000000001</v>
      </c>
      <c r="Q5156">
        <v>0.14648039999999901</v>
      </c>
      <c r="R5156">
        <v>0.34334940000000003</v>
      </c>
      <c r="S5156">
        <v>2.4441220000000001</v>
      </c>
      <c r="T5156">
        <v>-0.46638570000000001</v>
      </c>
      <c r="U5156">
        <v>2.3484799999999999</v>
      </c>
      <c r="V5156">
        <v>-0.2793274</v>
      </c>
      <c r="W5156">
        <v>0.1565648</v>
      </c>
      <c r="X5156">
        <v>0.94734560000000001</v>
      </c>
      <c r="Y5156">
        <v>-0.6354263</v>
      </c>
      <c r="Z5156">
        <v>4.4892960000000003E-2</v>
      </c>
      <c r="AA5156">
        <v>0.77085539999999997</v>
      </c>
      <c r="AB5156">
        <v>26</v>
      </c>
      <c r="AC5156">
        <v>0.50329999999999497</v>
      </c>
      <c r="AD5156">
        <v>-0.12894719999999901</v>
      </c>
      <c r="AE5156">
        <v>0.63494999999999602</v>
      </c>
      <c r="AF5156">
        <v>-0.58387615529262005</v>
      </c>
      <c r="AG5156">
        <v>-0.12894719999999901</v>
      </c>
      <c r="AH5156">
        <v>0.53247379659206096</v>
      </c>
      <c r="AI5156">
        <v>99.267835294775907</v>
      </c>
      <c r="AJ5156">
        <v>137.636323383008</v>
      </c>
      <c r="AK5156">
        <v>0.800666652961328</v>
      </c>
      <c r="AL5156">
        <v>80.992439278244902</v>
      </c>
      <c r="AM5156">
        <v>106.428294463822</v>
      </c>
      <c r="AN5156">
        <v>1.00000000941458</v>
      </c>
    </row>
    <row r="5157" spans="1:40" x14ac:dyDescent="0.25">
      <c r="A5157" t="str">
        <f>"20190303162702309"</f>
        <v>20190303162702309</v>
      </c>
      <c r="B5157" t="str">
        <f>"1551601622299829"</f>
        <v>1551601622299829</v>
      </c>
      <c r="C5157" t="s">
        <v>40</v>
      </c>
      <c r="D5157">
        <v>4.7782400000000003</v>
      </c>
      <c r="E5157">
        <v>0.32774700000000001</v>
      </c>
      <c r="F5157" t="s">
        <v>59</v>
      </c>
      <c r="G5157">
        <v>-203.8818</v>
      </c>
      <c r="H5157" s="1">
        <v>-4.4761759999999998E-6</v>
      </c>
      <c r="I5157">
        <v>-56.995040000000003</v>
      </c>
      <c r="J5157">
        <v>-209.6268</v>
      </c>
      <c r="K5157">
        <v>1.1233839999999999</v>
      </c>
      <c r="L5157">
        <v>-62.69849</v>
      </c>
      <c r="M5157">
        <v>0.99738850000000001</v>
      </c>
      <c r="N5157">
        <v>-1.227983E-2</v>
      </c>
      <c r="O5157">
        <v>7.117134E-2</v>
      </c>
      <c r="P5157">
        <v>0.92678510000000003</v>
      </c>
      <c r="Q5157">
        <v>0.14696049999999999</v>
      </c>
      <c r="R5157">
        <v>0.34564719999999999</v>
      </c>
      <c r="S5157">
        <v>2.4339599999999999</v>
      </c>
      <c r="T5157">
        <v>-0.46353759999999999</v>
      </c>
      <c r="U5157">
        <v>2.3587950000000002</v>
      </c>
      <c r="V5157">
        <v>-0.27971360000000001</v>
      </c>
      <c r="W5157">
        <v>0.1569953</v>
      </c>
      <c r="X5157">
        <v>0.94716040000000001</v>
      </c>
      <c r="Y5157">
        <v>-0.63715980000000005</v>
      </c>
      <c r="Z5157">
        <v>4.4570659999999998E-2</v>
      </c>
      <c r="AA5157">
        <v>0.76944190000000001</v>
      </c>
      <c r="AB5157">
        <v>26</v>
      </c>
      <c r="AC5157">
        <v>5.7450000000000001</v>
      </c>
      <c r="AD5157">
        <v>-1.123388476176</v>
      </c>
      <c r="AE5157">
        <v>5.7034499999999904</v>
      </c>
      <c r="AF5157">
        <v>-5.1803164221029396</v>
      </c>
      <c r="AG5157">
        <v>-1.123388476176</v>
      </c>
      <c r="AH5157">
        <v>6.0204455698805104</v>
      </c>
      <c r="AI5157">
        <v>98.050640591571707</v>
      </c>
      <c r="AJ5157">
        <v>130.710480434776</v>
      </c>
      <c r="AK5157">
        <v>8.0214365771605003</v>
      </c>
      <c r="AL5157">
        <v>80.967464718680702</v>
      </c>
      <c r="AM5157">
        <v>106.452823904035</v>
      </c>
      <c r="AN5157">
        <v>1.0000000227876</v>
      </c>
    </row>
    <row r="5158" spans="1:40" x14ac:dyDescent="0.25">
      <c r="A5158" t="str">
        <f>"20190303162702321"</f>
        <v>20190303162702321</v>
      </c>
      <c r="B5158" t="str">
        <f>"1551601622309590"</f>
        <v>1551601622309590</v>
      </c>
      <c r="C5158" t="s">
        <v>40</v>
      </c>
      <c r="D5158">
        <v>4.7792309999999896</v>
      </c>
      <c r="E5158">
        <v>0.32795629999999998</v>
      </c>
      <c r="F5158" t="s">
        <v>59</v>
      </c>
      <c r="G5158">
        <v>-203.6926</v>
      </c>
      <c r="H5158" s="1">
        <v>-4.5891069999999998E-6</v>
      </c>
      <c r="I5158">
        <v>-56.92051</v>
      </c>
      <c r="J5158">
        <v>-209.47620000000001</v>
      </c>
      <c r="K5158">
        <v>1.1234459999999999</v>
      </c>
      <c r="L5158">
        <v>-62.685639999999999</v>
      </c>
      <c r="M5158">
        <v>0.99723680000000003</v>
      </c>
      <c r="N5158">
        <v>-1.227232E-2</v>
      </c>
      <c r="O5158">
        <v>7.32685E-2</v>
      </c>
      <c r="P5158">
        <v>0.92585499999999998</v>
      </c>
      <c r="Q5158">
        <v>0.14723120000000001</v>
      </c>
      <c r="R5158">
        <v>0.34801659999999901</v>
      </c>
      <c r="S5158">
        <v>2.4281160000000002</v>
      </c>
      <c r="T5158">
        <v>-0.45966059999999997</v>
      </c>
      <c r="U5158">
        <v>2.3641969999999999</v>
      </c>
      <c r="V5158">
        <v>-0.28017300000000001</v>
      </c>
      <c r="W5158">
        <v>0.157214299999999</v>
      </c>
      <c r="X5158">
        <v>0.94698830000000001</v>
      </c>
      <c r="Y5158">
        <v>-0.63745200000000002</v>
      </c>
      <c r="Z5158">
        <v>4.4010309999999997E-2</v>
      </c>
      <c r="AA5158">
        <v>0.76923209999999997</v>
      </c>
      <c r="AB5158">
        <v>26</v>
      </c>
      <c r="AC5158">
        <v>5.7835999999999999</v>
      </c>
      <c r="AD5158">
        <v>-1.1234505891069999</v>
      </c>
      <c r="AE5158">
        <v>5.7651299999999903</v>
      </c>
      <c r="AF5158">
        <v>-5.2269180337412804</v>
      </c>
      <c r="AG5158">
        <v>-1.1234505891069999</v>
      </c>
      <c r="AH5158">
        <v>6.0754995772978297</v>
      </c>
      <c r="AI5158">
        <v>97.979561110821294</v>
      </c>
      <c r="AJ5158">
        <v>130.70630869079901</v>
      </c>
      <c r="AK5158">
        <v>8.0928677532356108</v>
      </c>
      <c r="AL5158">
        <v>80.954759351002593</v>
      </c>
      <c r="AM5158">
        <v>106.481213615133</v>
      </c>
      <c r="AN5158">
        <v>1.0000000431951801</v>
      </c>
    </row>
    <row r="5159" spans="1:40" x14ac:dyDescent="0.25">
      <c r="A5159" t="str">
        <f>"20190303162702333"</f>
        <v>20190303162702333</v>
      </c>
      <c r="B5159" t="str">
        <f>"1551601622329110"</f>
        <v>1551601622329110</v>
      </c>
      <c r="C5159" t="s">
        <v>40</v>
      </c>
      <c r="D5159">
        <v>4.7753930000000002</v>
      </c>
      <c r="E5159">
        <v>0.32836559999999998</v>
      </c>
      <c r="F5159" t="s">
        <v>42</v>
      </c>
      <c r="G5159">
        <v>-208.82320000000001</v>
      </c>
      <c r="H5159">
        <v>1.000146</v>
      </c>
      <c r="I5159">
        <v>-62.047240000000002</v>
      </c>
      <c r="J5159">
        <v>-209.33850000000001</v>
      </c>
      <c r="K5159">
        <v>1.1235059999999999</v>
      </c>
      <c r="L5159">
        <v>-62.673340000000003</v>
      </c>
      <c r="M5159">
        <v>0.99708819999999998</v>
      </c>
      <c r="N5159">
        <v>-1.226701E-2</v>
      </c>
      <c r="O5159">
        <v>7.5264399999999995E-2</v>
      </c>
      <c r="P5159">
        <v>0.92504339999999996</v>
      </c>
      <c r="Q5159">
        <v>0.14689579999999999</v>
      </c>
      <c r="R5159">
        <v>0.35030919999999999</v>
      </c>
      <c r="S5159">
        <v>2.4225919999999999</v>
      </c>
      <c r="T5159">
        <v>-0.45743529999999999</v>
      </c>
      <c r="U5159">
        <v>2.368805</v>
      </c>
      <c r="V5159">
        <v>-0.28064099999999997</v>
      </c>
      <c r="W5159">
        <v>0.156829</v>
      </c>
      <c r="X5159">
        <v>0.94691349999999996</v>
      </c>
      <c r="Y5159">
        <v>-0.63760299999999903</v>
      </c>
      <c r="Z5159">
        <v>4.3593449999999999E-2</v>
      </c>
      <c r="AA5159">
        <v>0.76913069999999994</v>
      </c>
      <c r="AB5159">
        <v>26</v>
      </c>
      <c r="AC5159">
        <v>0.51529999999999598</v>
      </c>
      <c r="AD5159">
        <v>-0.123359999999999</v>
      </c>
      <c r="AE5159">
        <v>0.62610000000000099</v>
      </c>
      <c r="AF5159">
        <v>-0.57229234184338895</v>
      </c>
      <c r="AG5159">
        <v>-0.123359999999999</v>
      </c>
      <c r="AH5159">
        <v>0.54827573671302798</v>
      </c>
      <c r="AI5159">
        <v>98.847143267776502</v>
      </c>
      <c r="AJ5159">
        <v>136.227805341692</v>
      </c>
      <c r="AK5159">
        <v>0.80208634049010197</v>
      </c>
      <c r="AL5159">
        <v>80.977111776724996</v>
      </c>
      <c r="AM5159">
        <v>106.508479572376</v>
      </c>
      <c r="AN5159">
        <v>0.999999941302123</v>
      </c>
    </row>
    <row r="5160" spans="1:40" x14ac:dyDescent="0.25">
      <c r="A5160" t="str">
        <f>"20190303162702345"</f>
        <v>20190303162702345</v>
      </c>
      <c r="B5160" t="str">
        <f>"1551601622339845"</f>
        <v>1551601622339845</v>
      </c>
      <c r="C5160" t="s">
        <v>40</v>
      </c>
      <c r="D5160">
        <v>4.784961</v>
      </c>
      <c r="E5160">
        <v>0.32839269999999998</v>
      </c>
      <c r="F5160" t="s">
        <v>59</v>
      </c>
      <c r="G5160">
        <v>-203.3623</v>
      </c>
      <c r="H5160" s="1">
        <v>-4.7818809999999996E-6</v>
      </c>
      <c r="I5160">
        <v>-56.810040000000001</v>
      </c>
      <c r="J5160">
        <v>-209.20590000000001</v>
      </c>
      <c r="K5160">
        <v>1.123564</v>
      </c>
      <c r="L5160">
        <v>-62.661349999999999</v>
      </c>
      <c r="M5160">
        <v>0.99693920000000003</v>
      </c>
      <c r="N5160">
        <v>-1.2262230000000001E-2</v>
      </c>
      <c r="O5160">
        <v>7.7214759999999993E-2</v>
      </c>
      <c r="P5160">
        <v>0.92444210000000004</v>
      </c>
      <c r="Q5160">
        <v>0.14625569999999999</v>
      </c>
      <c r="R5160">
        <v>0.35215970000000002</v>
      </c>
      <c r="S5160">
        <v>2.41716</v>
      </c>
      <c r="T5160">
        <v>-0.45442460000000001</v>
      </c>
      <c r="U5160">
        <v>2.371521</v>
      </c>
      <c r="V5160">
        <v>-0.2806958</v>
      </c>
      <c r="W5160">
        <v>0.15614330000000001</v>
      </c>
      <c r="X5160">
        <v>0.94701060000000004</v>
      </c>
      <c r="Y5160">
        <v>-0.63748559999999999</v>
      </c>
      <c r="Z5160">
        <v>4.3104679999999999E-2</v>
      </c>
      <c r="AA5160">
        <v>0.76925559999999904</v>
      </c>
      <c r="AB5160">
        <v>26</v>
      </c>
      <c r="AC5160">
        <v>5.8436000000000003</v>
      </c>
      <c r="AD5160">
        <v>-1.1235687818809901</v>
      </c>
      <c r="AE5160">
        <v>5.85130999999999</v>
      </c>
      <c r="AF5160">
        <v>-5.2850296784013198</v>
      </c>
      <c r="AG5160">
        <v>-1.1235687818809901</v>
      </c>
      <c r="AH5160">
        <v>6.16420052295235</v>
      </c>
      <c r="AI5160">
        <v>97.878347554034704</v>
      </c>
      <c r="AJ5160">
        <v>130.60895194116799</v>
      </c>
      <c r="AK5160">
        <v>8.1970307792740602</v>
      </c>
      <c r="AL5160">
        <v>81.016889806477593</v>
      </c>
      <c r="AM5160">
        <v>106.509926816123</v>
      </c>
      <c r="AN5160">
        <v>0.99999996939244395</v>
      </c>
    </row>
    <row r="5161" spans="1:40" x14ac:dyDescent="0.25">
      <c r="A5161" t="str">
        <f>"20190303162702357"</f>
        <v>20190303162702357</v>
      </c>
      <c r="B5161" t="str">
        <f>"1551601622349608"</f>
        <v>1551601622349608</v>
      </c>
      <c r="C5161" t="s">
        <v>40</v>
      </c>
      <c r="D5161">
        <v>4.7645339999999896</v>
      </c>
      <c r="E5161">
        <v>0.32846579999999997</v>
      </c>
      <c r="F5161" t="s">
        <v>59</v>
      </c>
      <c r="G5161">
        <v>-203.2612</v>
      </c>
      <c r="H5161" s="1">
        <v>-4.8342250000000003E-6</v>
      </c>
      <c r="I5161">
        <v>-56.806330000000003</v>
      </c>
      <c r="J5161">
        <v>-209.07419999999999</v>
      </c>
      <c r="K5161">
        <v>1.1236280000000001</v>
      </c>
      <c r="L5161">
        <v>-62.649079999999998</v>
      </c>
      <c r="M5161">
        <v>0.9967821</v>
      </c>
      <c r="N5161">
        <v>-1.22585E-2</v>
      </c>
      <c r="O5161">
        <v>7.921533E-2</v>
      </c>
      <c r="P5161">
        <v>0.9241376</v>
      </c>
      <c r="Q5161">
        <v>0.1454519</v>
      </c>
      <c r="R5161">
        <v>0.35328949999999998</v>
      </c>
      <c r="S5161">
        <v>2.4122620000000001</v>
      </c>
      <c r="T5161">
        <v>-0.45592890000000003</v>
      </c>
      <c r="U5161">
        <v>2.3758849999999998</v>
      </c>
      <c r="V5161">
        <v>-0.27996159999999998</v>
      </c>
      <c r="W5161">
        <v>0.1552992</v>
      </c>
      <c r="X5161">
        <v>0.94736670000000001</v>
      </c>
      <c r="Y5161">
        <v>-0.63741169999999903</v>
      </c>
      <c r="Z5161">
        <v>4.2971479999999999E-2</v>
      </c>
      <c r="AA5161">
        <v>0.76932429999999996</v>
      </c>
      <c r="AB5161">
        <v>26</v>
      </c>
      <c r="AC5161">
        <v>5.8129999999999802</v>
      </c>
      <c r="AD5161">
        <v>-1.1236328342249999</v>
      </c>
      <c r="AE5161">
        <v>5.8427499999999997</v>
      </c>
      <c r="AF5161">
        <v>-5.2659972228119303</v>
      </c>
      <c r="AG5161">
        <v>-1.1236328342249999</v>
      </c>
      <c r="AH5161">
        <v>6.1434161682476001</v>
      </c>
      <c r="AI5161">
        <v>97.905871286917701</v>
      </c>
      <c r="AJ5161">
        <v>130.602434072389</v>
      </c>
      <c r="AK5161">
        <v>8.1691394720066697</v>
      </c>
      <c r="AL5161">
        <v>81.065850736394395</v>
      </c>
      <c r="AM5161">
        <v>106.463229919432</v>
      </c>
      <c r="AN5161">
        <v>1.0000000016320401</v>
      </c>
    </row>
    <row r="5162" spans="1:40" x14ac:dyDescent="0.25">
      <c r="A5162" t="str">
        <f>"20190303162702369"</f>
        <v>20190303162702369</v>
      </c>
      <c r="B5162" t="str">
        <f>"1551601622359366"</f>
        <v>1551601622359366</v>
      </c>
      <c r="C5162" t="s">
        <v>40</v>
      </c>
      <c r="D5162">
        <v>4.7397150000000003</v>
      </c>
      <c r="E5162">
        <v>0.32850180000000001</v>
      </c>
      <c r="F5162" t="s">
        <v>59</v>
      </c>
      <c r="G5162">
        <v>-203.16</v>
      </c>
      <c r="H5162" s="1">
        <v>-4.8848040000000003E-6</v>
      </c>
      <c r="I5162">
        <v>-56.810690000000001</v>
      </c>
      <c r="J5162">
        <v>-208.94630000000001</v>
      </c>
      <c r="K5162">
        <v>1.1236919999999999</v>
      </c>
      <c r="L5162">
        <v>-62.636839999999999</v>
      </c>
      <c r="M5162">
        <v>0.9966218</v>
      </c>
      <c r="N5162">
        <v>-1.225557E-2</v>
      </c>
      <c r="O5162">
        <v>8.1209390000000006E-2</v>
      </c>
      <c r="P5162">
        <v>0.92366369999999998</v>
      </c>
      <c r="Q5162">
        <v>0.14449310000000001</v>
      </c>
      <c r="R5162">
        <v>0.35491850000000003</v>
      </c>
      <c r="S5162">
        <v>2.409119</v>
      </c>
      <c r="T5162">
        <v>-0.4577059</v>
      </c>
      <c r="U5162">
        <v>2.3782350000000001</v>
      </c>
      <c r="V5162">
        <v>-0.27974369999999998</v>
      </c>
      <c r="W5162">
        <v>0.1542953</v>
      </c>
      <c r="X5162">
        <v>0.94759510000000002</v>
      </c>
      <c r="Y5162">
        <v>-0.63673869999999999</v>
      </c>
      <c r="Z5162">
        <v>4.2796559999999997E-2</v>
      </c>
      <c r="AA5162">
        <v>0.76989110000000005</v>
      </c>
      <c r="AB5162">
        <v>26</v>
      </c>
      <c r="AC5162">
        <v>5.7863000000000104</v>
      </c>
      <c r="AD5162">
        <v>-1.1236968848040001</v>
      </c>
      <c r="AE5162">
        <v>5.8261499999999904</v>
      </c>
      <c r="AF5162">
        <v>-5.2388568315516197</v>
      </c>
      <c r="AG5162">
        <v>-1.1236968848040001</v>
      </c>
      <c r="AH5162">
        <v>6.1256420938168699</v>
      </c>
      <c r="AI5162">
        <v>97.936485226608298</v>
      </c>
      <c r="AJ5162">
        <v>130.538183852142</v>
      </c>
      <c r="AK5162">
        <v>8.1382926128245394</v>
      </c>
      <c r="AL5162">
        <v>81.124071965869305</v>
      </c>
      <c r="AM5162">
        <v>106.447358282387</v>
      </c>
      <c r="AN5162">
        <v>1.00000002541789</v>
      </c>
    </row>
    <row r="5163" spans="1:40" x14ac:dyDescent="0.25">
      <c r="A5163" t="str">
        <f>"20190303162702379"</f>
        <v>20190303162702379</v>
      </c>
      <c r="B5163" t="str">
        <f>"1551601622369126"</f>
        <v>1551601622369126</v>
      </c>
      <c r="C5163" t="s">
        <v>40</v>
      </c>
      <c r="D5163">
        <v>4.7487450000000004</v>
      </c>
      <c r="E5163">
        <v>0.32859690000000003</v>
      </c>
      <c r="F5163" t="s">
        <v>59</v>
      </c>
      <c r="G5163">
        <v>-203.05619999999999</v>
      </c>
      <c r="H5163" s="1">
        <v>-4.9399349999999998E-6</v>
      </c>
      <c r="I5163">
        <v>-56.800759999999997</v>
      </c>
      <c r="J5163">
        <v>-208.81559999999999</v>
      </c>
      <c r="K5163">
        <v>1.123756</v>
      </c>
      <c r="L5163">
        <v>-62.624110000000002</v>
      </c>
      <c r="M5163">
        <v>0.99645019999999995</v>
      </c>
      <c r="N5163">
        <v>-1.225303E-2</v>
      </c>
      <c r="O5163">
        <v>8.3287280000000005E-2</v>
      </c>
      <c r="P5163">
        <v>0.92326989999999998</v>
      </c>
      <c r="Q5163">
        <v>0.1435572</v>
      </c>
      <c r="R5163">
        <v>0.35632000000000003</v>
      </c>
      <c r="S5163">
        <v>2.4042970000000001</v>
      </c>
      <c r="T5163">
        <v>-0.45868219999999998</v>
      </c>
      <c r="U5163">
        <v>2.3822329999999998</v>
      </c>
      <c r="V5163">
        <v>-0.2792133</v>
      </c>
      <c r="W5163">
        <v>0.1533158</v>
      </c>
      <c r="X5163">
        <v>0.94791040000000004</v>
      </c>
      <c r="Y5163">
        <v>-0.63654809999999995</v>
      </c>
      <c r="Z5163">
        <v>4.2596160000000001E-2</v>
      </c>
      <c r="AA5163">
        <v>0.77005979999999996</v>
      </c>
      <c r="AB5163">
        <v>26</v>
      </c>
      <c r="AC5163">
        <v>5.7593999999999896</v>
      </c>
      <c r="AD5163">
        <v>-1.1237609399349999</v>
      </c>
      <c r="AE5163">
        <v>5.8233499999999898</v>
      </c>
      <c r="AF5163">
        <v>-5.2250307631783697</v>
      </c>
      <c r="AG5163">
        <v>-1.1237609399349999</v>
      </c>
      <c r="AH5163">
        <v>6.1094222876624302</v>
      </c>
      <c r="AI5163">
        <v>97.957704914955499</v>
      </c>
      <c r="AJ5163">
        <v>130.538431167798</v>
      </c>
      <c r="AK5163">
        <v>8.1171932227384094</v>
      </c>
      <c r="AL5163">
        <v>81.180868456574402</v>
      </c>
      <c r="AM5163">
        <v>106.412687305825</v>
      </c>
      <c r="AN5163">
        <v>0.99999996392734403</v>
      </c>
    </row>
    <row r="5164" spans="1:40" x14ac:dyDescent="0.25">
      <c r="A5164" t="str">
        <f>"20190303162702396"</f>
        <v>20190303162702396</v>
      </c>
      <c r="B5164" t="str">
        <f>"1551601622389621"</f>
        <v>1551601622389621</v>
      </c>
      <c r="C5164" t="s">
        <v>40</v>
      </c>
      <c r="D5164">
        <v>4.7885249999999999</v>
      </c>
      <c r="E5164">
        <v>0.32863769999999998</v>
      </c>
      <c r="F5164" t="s">
        <v>42</v>
      </c>
      <c r="G5164">
        <v>-208.15209999999999</v>
      </c>
      <c r="H5164">
        <v>0.99679589999999996</v>
      </c>
      <c r="I5164">
        <v>-61.9647199999999</v>
      </c>
      <c r="J5164">
        <v>-208.63659999999999</v>
      </c>
      <c r="K5164">
        <v>1.123826</v>
      </c>
      <c r="L5164">
        <v>-62.605960000000003</v>
      </c>
      <c r="M5164">
        <v>0.99621950000000004</v>
      </c>
      <c r="N5164">
        <v>-1.2147989999999999E-2</v>
      </c>
      <c r="O5164">
        <v>8.6018910000000004E-2</v>
      </c>
      <c r="P5164">
        <v>0.92315910000000001</v>
      </c>
      <c r="Q5164">
        <v>0.14137239999999901</v>
      </c>
      <c r="R5164">
        <v>0.35747869999999998</v>
      </c>
      <c r="S5164">
        <v>2.400055</v>
      </c>
      <c r="T5164">
        <v>-0.45930870000000001</v>
      </c>
      <c r="U5164">
        <v>2.3855900000000001</v>
      </c>
      <c r="V5164">
        <v>-0.27779920000000002</v>
      </c>
      <c r="W5164">
        <v>0.15097260000000001</v>
      </c>
      <c r="X5164">
        <v>0.94870169999999998</v>
      </c>
      <c r="Y5164">
        <v>-0.63568559999999996</v>
      </c>
      <c r="Z5164">
        <v>4.2164340000000002E-2</v>
      </c>
      <c r="AA5164">
        <v>0.77079560000000003</v>
      </c>
      <c r="AB5164">
        <v>26</v>
      </c>
      <c r="AC5164">
        <v>0.48449999999999699</v>
      </c>
      <c r="AD5164">
        <v>-0.12703009999999901</v>
      </c>
      <c r="AE5164">
        <v>0.64124000000000303</v>
      </c>
      <c r="AF5164">
        <v>-0.58262839459478399</v>
      </c>
      <c r="AG5164">
        <v>-0.12703009999999901</v>
      </c>
      <c r="AH5164">
        <v>0.52475724583180505</v>
      </c>
      <c r="AI5164">
        <v>99.202296147729797</v>
      </c>
      <c r="AJ5164">
        <v>137.99151343858199</v>
      </c>
      <c r="AK5164">
        <v>0.79433158035362506</v>
      </c>
      <c r="AL5164">
        <v>81.316705814836695</v>
      </c>
      <c r="AM5164">
        <v>106.321106664006</v>
      </c>
      <c r="AN5164">
        <v>1.00000001852714</v>
      </c>
    </row>
    <row r="5165" spans="1:40" x14ac:dyDescent="0.25">
      <c r="A5165" t="str">
        <f>"20190303162702407"</f>
        <v>20190303162702407</v>
      </c>
      <c r="B5165" t="str">
        <f>"1551601622399381"</f>
        <v>1551601622399381</v>
      </c>
      <c r="C5165" t="s">
        <v>40</v>
      </c>
      <c r="D5165">
        <v>4.8089170000000001</v>
      </c>
      <c r="E5165">
        <v>0.32875670000000001</v>
      </c>
      <c r="F5165" t="s">
        <v>59</v>
      </c>
      <c r="G5165">
        <v>-202.852</v>
      </c>
      <c r="H5165" s="1">
        <v>-5.0344880000000003E-6</v>
      </c>
      <c r="I5165">
        <v>-56.843539999999997</v>
      </c>
      <c r="J5165">
        <v>-208.5077</v>
      </c>
      <c r="K5165">
        <v>1.1238649999999999</v>
      </c>
      <c r="L5165">
        <v>-62.592500000000001</v>
      </c>
      <c r="M5165">
        <v>0.99603750000000002</v>
      </c>
      <c r="N5165">
        <v>-1.209617E-2</v>
      </c>
      <c r="O5165">
        <v>8.8108350000000002E-2</v>
      </c>
      <c r="P5165">
        <v>0.92279520000000004</v>
      </c>
      <c r="Q5165">
        <v>0.14047519999999999</v>
      </c>
      <c r="R5165">
        <v>0.35877009999999998</v>
      </c>
      <c r="S5165">
        <v>2.3965450000000001</v>
      </c>
      <c r="T5165">
        <v>-0.4655957</v>
      </c>
      <c r="U5165">
        <v>2.3873289999999998</v>
      </c>
      <c r="V5165">
        <v>-0.27714080000000002</v>
      </c>
      <c r="W5165">
        <v>0.1499916</v>
      </c>
      <c r="X5165">
        <v>0.94904980000000005</v>
      </c>
      <c r="Y5165">
        <v>-0.63479940000000001</v>
      </c>
      <c r="Z5165">
        <v>4.2287520000000002E-2</v>
      </c>
      <c r="AA5165">
        <v>0.77151899999999995</v>
      </c>
      <c r="AB5165">
        <v>26</v>
      </c>
      <c r="AC5165">
        <v>5.6556999999999897</v>
      </c>
      <c r="AD5165">
        <v>-1.1238700344879999</v>
      </c>
      <c r="AE5165">
        <v>5.7489599999999896</v>
      </c>
      <c r="AF5165">
        <v>-5.1286449009622901</v>
      </c>
      <c r="AG5165">
        <v>-1.1238700344879999</v>
      </c>
      <c r="AH5165">
        <v>6.0232920802393597</v>
      </c>
      <c r="AI5165">
        <v>98.085630615122398</v>
      </c>
      <c r="AJ5165">
        <v>130.41335600488901</v>
      </c>
      <c r="AK5165">
        <v>7.99037732891638</v>
      </c>
      <c r="AL5165">
        <v>81.373560346014301</v>
      </c>
      <c r="AM5165">
        <v>106.278820078506</v>
      </c>
      <c r="AN5165">
        <v>1.0000000129876101</v>
      </c>
    </row>
    <row r="5166" spans="1:40" x14ac:dyDescent="0.25">
      <c r="A5166" t="str">
        <f>"20190303162702418"</f>
        <v>20190303162702418</v>
      </c>
      <c r="B5166" t="str">
        <f>"1551601622409141"</f>
        <v>1551601622409141</v>
      </c>
      <c r="C5166" t="s">
        <v>40</v>
      </c>
      <c r="D5166">
        <v>4.7898829999999997</v>
      </c>
      <c r="E5166">
        <v>0.3287698</v>
      </c>
      <c r="F5166" t="s">
        <v>59</v>
      </c>
      <c r="G5166">
        <v>-202.7671</v>
      </c>
      <c r="H5166" s="1">
        <v>-5.0735520000000004E-6</v>
      </c>
      <c r="I5166">
        <v>-56.862479999999998</v>
      </c>
      <c r="J5166">
        <v>-208.37629999999999</v>
      </c>
      <c r="K5166">
        <v>1.12388</v>
      </c>
      <c r="L5166">
        <v>-62.57846</v>
      </c>
      <c r="M5166">
        <v>0.9958302</v>
      </c>
      <c r="N5166">
        <v>-1.2092830000000001E-2</v>
      </c>
      <c r="O5166">
        <v>9.0420329999999993E-2</v>
      </c>
      <c r="P5166">
        <v>0.92243710000000001</v>
      </c>
      <c r="Q5166">
        <v>0.13912160000000001</v>
      </c>
      <c r="R5166">
        <v>0.3602149</v>
      </c>
      <c r="S5166">
        <v>2.393478</v>
      </c>
      <c r="T5166">
        <v>-0.46858490000000003</v>
      </c>
      <c r="U5166">
        <v>2.3890690000000001</v>
      </c>
      <c r="V5166">
        <v>-0.2764085</v>
      </c>
      <c r="W5166">
        <v>0.14861849999999999</v>
      </c>
      <c r="X5166">
        <v>0.94947930000000003</v>
      </c>
      <c r="Y5166">
        <v>-0.63374790000000003</v>
      </c>
      <c r="Z5166">
        <v>4.2113629999999999E-2</v>
      </c>
      <c r="AA5166">
        <v>0.77239239999999998</v>
      </c>
      <c r="AB5166">
        <v>26</v>
      </c>
      <c r="AC5166">
        <v>5.60919999999998</v>
      </c>
      <c r="AD5166">
        <v>-1.1238850735519901</v>
      </c>
      <c r="AE5166">
        <v>5.7159799999999903</v>
      </c>
      <c r="AF5166">
        <v>-5.0851890536818196</v>
      </c>
      <c r="AG5166">
        <v>-1.1238850735519901</v>
      </c>
      <c r="AH5166">
        <v>5.9852222846671497</v>
      </c>
      <c r="AI5166">
        <v>98.143792456455898</v>
      </c>
      <c r="AJ5166">
        <v>130.35203039429501</v>
      </c>
      <c r="AK5166">
        <v>7.9337980291355201</v>
      </c>
      <c r="AL5166">
        <v>81.453125152637398</v>
      </c>
      <c r="AM5166">
        <v>106.231116671493</v>
      </c>
      <c r="AN5166">
        <v>1.0000000292714899</v>
      </c>
    </row>
    <row r="5167" spans="1:40" x14ac:dyDescent="0.25">
      <c r="A5167" t="str">
        <f>"20190303162702430"</f>
        <v>20190303162702430</v>
      </c>
      <c r="B5167" t="str">
        <f>"1551601622419877"</f>
        <v>1551601622419877</v>
      </c>
      <c r="C5167" t="s">
        <v>40</v>
      </c>
      <c r="D5167">
        <v>4.7989360000000003</v>
      </c>
      <c r="E5167">
        <v>0.32874490000000001</v>
      </c>
      <c r="F5167" t="s">
        <v>59</v>
      </c>
      <c r="G5167">
        <v>-202.67769999999999</v>
      </c>
      <c r="H5167" s="1">
        <v>-5.1169720000000004E-6</v>
      </c>
      <c r="I5167">
        <v>-56.872059999999998</v>
      </c>
      <c r="J5167">
        <v>-208.24539999999999</v>
      </c>
      <c r="K5167">
        <v>1.123893</v>
      </c>
      <c r="L5167">
        <v>-62.564059999999998</v>
      </c>
      <c r="M5167">
        <v>0.99559620000000004</v>
      </c>
      <c r="N5167">
        <v>-1.2123790000000001E-2</v>
      </c>
      <c r="O5167">
        <v>9.2958330000000006E-2</v>
      </c>
      <c r="P5167">
        <v>0.92216940000000003</v>
      </c>
      <c r="Q5167">
        <v>0.1379706</v>
      </c>
      <c r="R5167">
        <v>0.36134169999999999</v>
      </c>
      <c r="S5167">
        <v>2.389084</v>
      </c>
      <c r="T5167">
        <v>-0.47118019999999999</v>
      </c>
      <c r="U5167">
        <v>2.3923649999999999</v>
      </c>
      <c r="V5167">
        <v>-0.27513259999999901</v>
      </c>
      <c r="W5167">
        <v>0.1474934</v>
      </c>
      <c r="X5167">
        <v>0.95002509999999996</v>
      </c>
      <c r="Y5167">
        <v>-0.632992</v>
      </c>
      <c r="Z5167">
        <v>4.1919999999999999E-2</v>
      </c>
      <c r="AA5167">
        <v>0.7730226</v>
      </c>
      <c r="AB5167">
        <v>26</v>
      </c>
      <c r="AC5167">
        <v>5.5677000000000003</v>
      </c>
      <c r="AD5167">
        <v>-1.1238981169719999</v>
      </c>
      <c r="AE5167">
        <v>5.6920000000000002</v>
      </c>
      <c r="AF5167">
        <v>-5.0491484656002896</v>
      </c>
      <c r="AG5167">
        <v>-1.1238981169719999</v>
      </c>
      <c r="AH5167">
        <v>5.9541159830102099</v>
      </c>
      <c r="AI5167">
        <v>98.192290625883203</v>
      </c>
      <c r="AJ5167">
        <v>130.29826986388801</v>
      </c>
      <c r="AK5167">
        <v>7.8872393360506399</v>
      </c>
      <c r="AL5167">
        <v>81.518306504976593</v>
      </c>
      <c r="AM5167">
        <v>106.15131298560399</v>
      </c>
      <c r="AN5167">
        <v>0.99999997062816404</v>
      </c>
    </row>
    <row r="5168" spans="1:40" x14ac:dyDescent="0.25">
      <c r="A5168" t="str">
        <f>"20190303162702442"</f>
        <v>20190303162702442</v>
      </c>
      <c r="B5168" t="str">
        <f>"1551601622429638"</f>
        <v>1551601622429638</v>
      </c>
      <c r="C5168" t="s">
        <v>40</v>
      </c>
      <c r="D5168">
        <v>4.7570949999999996</v>
      </c>
      <c r="E5168">
        <v>0.32878590000000002</v>
      </c>
      <c r="F5168" t="s">
        <v>59</v>
      </c>
      <c r="G5168">
        <v>-202.5718</v>
      </c>
      <c r="H5168" s="1">
        <v>-5.1726399999999997E-6</v>
      </c>
      <c r="I5168">
        <v>-56.864249999999998</v>
      </c>
      <c r="J5168">
        <v>-208.1113</v>
      </c>
      <c r="K5168">
        <v>1.123904</v>
      </c>
      <c r="L5168">
        <v>-62.549069999999901</v>
      </c>
      <c r="M5168">
        <v>0.99533899999999997</v>
      </c>
      <c r="N5168">
        <v>-1.2171E-2</v>
      </c>
      <c r="O5168">
        <v>9.5666189999999998E-2</v>
      </c>
      <c r="P5168">
        <v>0.92210250000000005</v>
      </c>
      <c r="Q5168">
        <v>0.13719229999999999</v>
      </c>
      <c r="R5168">
        <v>0.36180869999999998</v>
      </c>
      <c r="S5168">
        <v>2.3850099999999999</v>
      </c>
      <c r="T5168">
        <v>-0.47245290000000001</v>
      </c>
      <c r="U5168">
        <v>2.3960270000000001</v>
      </c>
      <c r="V5168">
        <v>-0.27301760000000003</v>
      </c>
      <c r="W5168">
        <v>0.14676700000000001</v>
      </c>
      <c r="X5168">
        <v>0.95074749999999997</v>
      </c>
      <c r="Y5168">
        <v>-0.63214519999999996</v>
      </c>
      <c r="Z5168">
        <v>4.1590170000000003E-2</v>
      </c>
      <c r="AA5168">
        <v>0.773733</v>
      </c>
      <c r="AB5168">
        <v>26</v>
      </c>
      <c r="AC5168">
        <v>5.5395000000000003</v>
      </c>
      <c r="AD5168">
        <v>-1.1239091726399999</v>
      </c>
      <c r="AE5168">
        <v>5.6848199999999904</v>
      </c>
      <c r="AF5168">
        <v>-5.0279533663525804</v>
      </c>
      <c r="AG5168">
        <v>-1.1239091726399999</v>
      </c>
      <c r="AH5168">
        <v>5.9389035869231197</v>
      </c>
      <c r="AI5168">
        <v>98.218651206868103</v>
      </c>
      <c r="AJ5168">
        <v>130.25168796367399</v>
      </c>
      <c r="AK5168">
        <v>7.8621919778983402</v>
      </c>
      <c r="AL5168">
        <v>81.560384212387504</v>
      </c>
      <c r="AM5168">
        <v>106.022001148578</v>
      </c>
      <c r="AN5168">
        <v>0.99999998547750402</v>
      </c>
    </row>
    <row r="5169" spans="1:40" x14ac:dyDescent="0.25">
      <c r="A5169" t="str">
        <f>"20190303162702455"</f>
        <v>20190303162702455</v>
      </c>
      <c r="B5169" t="str">
        <f>"1551601622449157"</f>
        <v>1551601622449157</v>
      </c>
      <c r="C5169" t="s">
        <v>40</v>
      </c>
      <c r="D5169">
        <v>4.8234760000000003</v>
      </c>
      <c r="E5169">
        <v>0.32880169999999997</v>
      </c>
      <c r="F5169" t="s">
        <v>42</v>
      </c>
      <c r="G5169">
        <v>-207.47300000000001</v>
      </c>
      <c r="H5169">
        <v>0.9975579</v>
      </c>
      <c r="I5169">
        <v>-61.906860000000002</v>
      </c>
      <c r="J5169">
        <v>-207.96719999999999</v>
      </c>
      <c r="K5169">
        <v>1.1239730000000001</v>
      </c>
      <c r="L5169">
        <v>-62.532260000000001</v>
      </c>
      <c r="M5169">
        <v>0.99503609999999998</v>
      </c>
      <c r="N5169">
        <v>-1.219987E-2</v>
      </c>
      <c r="O5169">
        <v>9.8764710000000006E-2</v>
      </c>
      <c r="P5169">
        <v>0.92214390000000002</v>
      </c>
      <c r="Q5169">
        <v>0.13604749999999999</v>
      </c>
      <c r="R5169">
        <v>0.36213529999999999</v>
      </c>
      <c r="S5169">
        <v>2.3828130000000001</v>
      </c>
      <c r="T5169">
        <v>-0.4716573</v>
      </c>
      <c r="U5169">
        <v>2.3977659999999998</v>
      </c>
      <c r="V5169">
        <v>-0.27039780000000002</v>
      </c>
      <c r="W5169">
        <v>0.145617</v>
      </c>
      <c r="X5169">
        <v>0.95167259999999998</v>
      </c>
      <c r="Y5169">
        <v>-0.63044319999999998</v>
      </c>
      <c r="Z5169">
        <v>4.0948730000000003E-2</v>
      </c>
      <c r="AA5169">
        <v>0.77515459999999903</v>
      </c>
      <c r="AB5169">
        <v>26</v>
      </c>
      <c r="AC5169">
        <v>0.49420000000000602</v>
      </c>
      <c r="AD5169">
        <v>-0.126415099999999</v>
      </c>
      <c r="AE5169">
        <v>0.62540000000000595</v>
      </c>
      <c r="AF5169">
        <v>-0.55945702998045399</v>
      </c>
      <c r="AG5169">
        <v>-0.126415099999999</v>
      </c>
      <c r="AH5169">
        <v>0.53997382666607596</v>
      </c>
      <c r="AI5169">
        <v>99.234576091381996</v>
      </c>
      <c r="AJ5169">
        <v>136.015242097087</v>
      </c>
      <c r="AK5169">
        <v>0.78774658322773194</v>
      </c>
      <c r="AL5169">
        <v>81.626990160819503</v>
      </c>
      <c r="AM5169">
        <v>105.861386590783</v>
      </c>
      <c r="AN5169">
        <v>1.0000000092623</v>
      </c>
    </row>
    <row r="5170" spans="1:40" x14ac:dyDescent="0.25">
      <c r="A5170" t="str">
        <f>"20190303162702465"</f>
        <v>20190303162702465</v>
      </c>
      <c r="B5170" t="str">
        <f>"1551601622459894"</f>
        <v>1551601622459894</v>
      </c>
      <c r="C5170" t="s">
        <v>40</v>
      </c>
      <c r="D5170">
        <v>4.8006640000000003</v>
      </c>
      <c r="E5170">
        <v>0.32875529999999997</v>
      </c>
      <c r="F5170" t="s">
        <v>59</v>
      </c>
      <c r="G5170">
        <v>-202.31010000000001</v>
      </c>
      <c r="H5170" s="1">
        <v>-5.3132360000000004E-6</v>
      </c>
      <c r="I5170">
        <v>-56.831620000000001</v>
      </c>
      <c r="J5170">
        <v>-207.84610000000001</v>
      </c>
      <c r="K5170">
        <v>1.1240490000000001</v>
      </c>
      <c r="L5170">
        <v>-62.517850000000003</v>
      </c>
      <c r="M5170">
        <v>0.99477260000000001</v>
      </c>
      <c r="N5170">
        <v>-1.221562E-2</v>
      </c>
      <c r="O5170">
        <v>0.1013824</v>
      </c>
      <c r="P5170">
        <v>0.92292640000000004</v>
      </c>
      <c r="Q5170">
        <v>0.13438339999999999</v>
      </c>
      <c r="R5170">
        <v>0.36076009999999997</v>
      </c>
      <c r="S5170">
        <v>2.3808750000000001</v>
      </c>
      <c r="T5170">
        <v>-0.47304309999999999</v>
      </c>
      <c r="U5170">
        <v>2.3992</v>
      </c>
      <c r="V5170">
        <v>-0.26646409999999998</v>
      </c>
      <c r="W5170">
        <v>0.14394870000000001</v>
      </c>
      <c r="X5170">
        <v>0.95303490000000002</v>
      </c>
      <c r="Y5170">
        <v>-0.62896350000000001</v>
      </c>
      <c r="Z5170">
        <v>4.0552400000000002E-2</v>
      </c>
      <c r="AA5170">
        <v>0.77637650000000002</v>
      </c>
      <c r="AB5170">
        <v>26</v>
      </c>
      <c r="AC5170">
        <v>5.5359999999999996</v>
      </c>
      <c r="AD5170">
        <v>-1.1240543132359999</v>
      </c>
      <c r="AE5170">
        <v>5.6862300000000001</v>
      </c>
      <c r="AF5170">
        <v>-4.9954159863651597</v>
      </c>
      <c r="AG5170">
        <v>-1.1240543132359999</v>
      </c>
      <c r="AH5170">
        <v>5.9643432273856396</v>
      </c>
      <c r="AI5170">
        <v>98.221259689997794</v>
      </c>
      <c r="AJ5170">
        <v>129.947746553748</v>
      </c>
      <c r="AK5170">
        <v>7.8607295532919803</v>
      </c>
      <c r="AL5170">
        <v>81.723593960100601</v>
      </c>
      <c r="AM5170">
        <v>105.620743525644</v>
      </c>
      <c r="AN5170">
        <v>0.99999993271925203</v>
      </c>
    </row>
    <row r="5171" spans="1:40" x14ac:dyDescent="0.25">
      <c r="A5171" t="str">
        <f>"20190303162702480"</f>
        <v>20190303162702480</v>
      </c>
      <c r="B5171" t="str">
        <f>"1551601622469654"</f>
        <v>1551601622469654</v>
      </c>
      <c r="C5171" t="s">
        <v>40</v>
      </c>
      <c r="D5171">
        <v>4.6134009999999996</v>
      </c>
      <c r="E5171">
        <v>0.32875529999999997</v>
      </c>
      <c r="F5171" t="s">
        <v>59</v>
      </c>
      <c r="G5171">
        <v>-202.22200000000001</v>
      </c>
      <c r="H5171" s="1">
        <v>-5.3511070000000003E-6</v>
      </c>
      <c r="I5171">
        <v>-56.863250000000001</v>
      </c>
      <c r="J5171">
        <v>-207.68520000000001</v>
      </c>
      <c r="K5171">
        <v>1.124209</v>
      </c>
      <c r="L5171">
        <v>-62.498049999999999</v>
      </c>
      <c r="M5171">
        <v>0.99440839999999997</v>
      </c>
      <c r="N5171">
        <v>-1.221304E-2</v>
      </c>
      <c r="O5171">
        <v>0.10489519999999999</v>
      </c>
      <c r="P5171">
        <v>0.92346510000000004</v>
      </c>
      <c r="Q5171">
        <v>0.13297629999999999</v>
      </c>
      <c r="R5171">
        <v>0.3599019</v>
      </c>
      <c r="S5171">
        <v>2.3832399999999998</v>
      </c>
      <c r="T5171">
        <v>-0.47632619999999998</v>
      </c>
      <c r="U5171">
        <v>2.3961790000000001</v>
      </c>
      <c r="V5171">
        <v>-0.26223649999999998</v>
      </c>
      <c r="W5171">
        <v>0.14246679999999901</v>
      </c>
      <c r="X5171">
        <v>0.95442930000000004</v>
      </c>
      <c r="Y5171">
        <v>-0.62535299999999905</v>
      </c>
      <c r="Z5171">
        <v>3.9928980000000003E-2</v>
      </c>
      <c r="AA5171">
        <v>0.77931980000000001</v>
      </c>
      <c r="AB5171">
        <v>26</v>
      </c>
      <c r="AC5171">
        <v>5.4631999999999996</v>
      </c>
      <c r="AD5171">
        <v>-1.124214351107</v>
      </c>
      <c r="AE5171">
        <v>5.6347999999999896</v>
      </c>
      <c r="AF5171">
        <v>-4.9294609457438199</v>
      </c>
      <c r="AG5171">
        <v>-1.124214351107</v>
      </c>
      <c r="AH5171">
        <v>5.9030453790840003</v>
      </c>
      <c r="AI5171">
        <v>98.316596761134903</v>
      </c>
      <c r="AJ5171">
        <v>129.86427211967199</v>
      </c>
      <c r="AK5171">
        <v>7.7723476421460598</v>
      </c>
      <c r="AL5171">
        <v>81.8093856681364</v>
      </c>
      <c r="AM5171">
        <v>105.363327045988</v>
      </c>
      <c r="AN5171">
        <v>1.00000002986648</v>
      </c>
    </row>
    <row r="5172" spans="1:40" x14ac:dyDescent="0.25">
      <c r="A5172" t="str">
        <f>"20190303162702496"</f>
        <v>20190303162702496</v>
      </c>
      <c r="B5172" t="str">
        <f>"1551601622489173"</f>
        <v>1551601622489173</v>
      </c>
      <c r="C5172" t="s">
        <v>40</v>
      </c>
      <c r="D5172">
        <v>5.1648379999999996</v>
      </c>
      <c r="E5172">
        <v>0.32836549999999998</v>
      </c>
      <c r="F5172" t="s">
        <v>42</v>
      </c>
      <c r="G5172">
        <v>-207.03020000000001</v>
      </c>
      <c r="H5172">
        <v>0.99251250000000002</v>
      </c>
      <c r="I5172">
        <v>-61.840629999999997</v>
      </c>
      <c r="J5172">
        <v>-207.49590000000001</v>
      </c>
      <c r="K5172">
        <v>1.124425</v>
      </c>
      <c r="L5172">
        <v>-62.473689999999998</v>
      </c>
      <c r="M5172">
        <v>0.99395919999999904</v>
      </c>
      <c r="N5172">
        <v>-1.220361E-2</v>
      </c>
      <c r="O5172">
        <v>0.1090696</v>
      </c>
      <c r="P5172">
        <v>0.92647429999999997</v>
      </c>
      <c r="Q5172">
        <v>0.1294206</v>
      </c>
      <c r="R5172">
        <v>0.35340579999999999</v>
      </c>
      <c r="S5172">
        <v>2.3845830000000001</v>
      </c>
      <c r="T5172">
        <v>-0.47951700000000003</v>
      </c>
      <c r="U5172">
        <v>2.3942570000000001</v>
      </c>
      <c r="V5172">
        <v>-0.2514923</v>
      </c>
      <c r="W5172">
        <v>0.1388761</v>
      </c>
      <c r="X5172">
        <v>0.95784400000000003</v>
      </c>
      <c r="Y5172">
        <v>-0.62156719999999999</v>
      </c>
      <c r="Z5172">
        <v>3.9176099999999998E-2</v>
      </c>
      <c r="AA5172">
        <v>0.78238059999999998</v>
      </c>
      <c r="AB5172">
        <v>26</v>
      </c>
      <c r="AC5172">
        <v>0.465699999999998</v>
      </c>
      <c r="AD5172">
        <v>-0.13191249999999999</v>
      </c>
      <c r="AE5172">
        <v>0.63305999999999996</v>
      </c>
      <c r="AF5172">
        <v>-0.56263400296029098</v>
      </c>
      <c r="AG5172">
        <v>-0.13191249999999999</v>
      </c>
      <c r="AH5172">
        <v>0.51739730187276201</v>
      </c>
      <c r="AI5172">
        <v>99.791511729416598</v>
      </c>
      <c r="AJ5172">
        <v>137.39841009636601</v>
      </c>
      <c r="AK5172">
        <v>0.77566609886508797</v>
      </c>
      <c r="AL5172">
        <v>82.017184081584602</v>
      </c>
      <c r="AM5172">
        <v>104.71156360001</v>
      </c>
      <c r="AN5172">
        <v>1.0000000382232399</v>
      </c>
    </row>
    <row r="5173" spans="1:40" x14ac:dyDescent="0.25">
      <c r="A5173" t="str">
        <f>"20190303162702512"</f>
        <v>20190303162702512</v>
      </c>
      <c r="B5173" t="str">
        <f>"1551601622499910"</f>
        <v>1551601622499910</v>
      </c>
      <c r="C5173" t="s">
        <v>40</v>
      </c>
      <c r="D5173">
        <v>4.8999639999999998</v>
      </c>
      <c r="E5173">
        <v>0.40136430000000001</v>
      </c>
      <c r="F5173" t="s">
        <v>42</v>
      </c>
      <c r="G5173">
        <v>-206.8124</v>
      </c>
      <c r="H5173">
        <v>0.98612960000000005</v>
      </c>
      <c r="I5173">
        <v>-61.795349999999999</v>
      </c>
      <c r="J5173">
        <v>-207.32339999999999</v>
      </c>
      <c r="K5173">
        <v>1.1246389999999999</v>
      </c>
      <c r="L5173">
        <v>-62.450560000000003</v>
      </c>
      <c r="M5173">
        <v>0.99352119999999999</v>
      </c>
      <c r="N5173">
        <v>-1.219902E-2</v>
      </c>
      <c r="O5173">
        <v>0.1129907</v>
      </c>
      <c r="P5173">
        <v>0.92756490000000003</v>
      </c>
      <c r="Q5173">
        <v>0.1280887</v>
      </c>
      <c r="R5173">
        <v>0.35102240000000001</v>
      </c>
      <c r="S5173">
        <v>2.3978579999999998</v>
      </c>
      <c r="T5173">
        <v>-0.48520990000000003</v>
      </c>
      <c r="U5173">
        <v>2.3803100000000001</v>
      </c>
      <c r="V5173">
        <v>-0.24527940000000001</v>
      </c>
      <c r="W5173">
        <v>0.13747870000000001</v>
      </c>
      <c r="X5173">
        <v>0.95965500000000004</v>
      </c>
      <c r="Y5173">
        <v>-0.6140215</v>
      </c>
      <c r="Z5173">
        <v>3.8204420000000003E-2</v>
      </c>
      <c r="AA5173">
        <v>0.78836410000000001</v>
      </c>
      <c r="AB5173">
        <v>26</v>
      </c>
      <c r="AC5173">
        <v>0.51099999999999501</v>
      </c>
      <c r="AD5173">
        <v>-0.13850939999999901</v>
      </c>
      <c r="AE5173">
        <v>0.65520999999999596</v>
      </c>
      <c r="AF5173">
        <v>-0.57723127012090603</v>
      </c>
      <c r="AG5173">
        <v>-0.13850939999999901</v>
      </c>
      <c r="AH5173">
        <v>0.56603667273204605</v>
      </c>
      <c r="AI5173">
        <v>99.721915997035396</v>
      </c>
      <c r="AJ5173">
        <v>135.56100819585501</v>
      </c>
      <c r="AK5173">
        <v>0.82023064315552097</v>
      </c>
      <c r="AL5173">
        <v>82.09802474947</v>
      </c>
      <c r="AM5173">
        <v>104.337353988967</v>
      </c>
      <c r="AN5173">
        <v>1.0000000480215201</v>
      </c>
    </row>
    <row r="5174" spans="1:40" x14ac:dyDescent="0.25">
      <c r="A5174" t="str">
        <f>"20190303162702525"</f>
        <v>20190303162702525</v>
      </c>
      <c r="B5174" t="str">
        <f>"1551601622509670"</f>
        <v>1551601622509670</v>
      </c>
      <c r="C5174" t="s">
        <v>40</v>
      </c>
      <c r="D5174">
        <v>5.0029199999999996</v>
      </c>
      <c r="E5174">
        <v>0.40136430000000001</v>
      </c>
      <c r="F5174" t="s">
        <v>42</v>
      </c>
      <c r="G5174">
        <v>-206.54320000000001</v>
      </c>
      <c r="H5174">
        <v>1.0505770000000001</v>
      </c>
      <c r="I5174">
        <v>-61.900480000000002</v>
      </c>
      <c r="J5174">
        <v>-207.18450000000001</v>
      </c>
      <c r="K5174">
        <v>1.124814</v>
      </c>
      <c r="L5174">
        <v>-62.431429999999999</v>
      </c>
      <c r="M5174">
        <v>0.9931468</v>
      </c>
      <c r="N5174">
        <v>-1.219842E-2</v>
      </c>
      <c r="O5174">
        <v>0.1162357</v>
      </c>
      <c r="P5174">
        <v>0.92936399999999997</v>
      </c>
      <c r="Q5174">
        <v>0.12681729999999999</v>
      </c>
      <c r="R5174">
        <v>0.34669860000000002</v>
      </c>
      <c r="S5174">
        <v>2.579758</v>
      </c>
      <c r="T5174">
        <v>-0.24489320000000001</v>
      </c>
      <c r="U5174">
        <v>1.8189090000000001</v>
      </c>
      <c r="V5174">
        <v>-0.23768259999999999</v>
      </c>
      <c r="W5174">
        <v>0.1362005</v>
      </c>
      <c r="X5174">
        <v>0.96174649999999995</v>
      </c>
      <c r="Y5174">
        <v>-0.47593410000000003</v>
      </c>
      <c r="Z5174">
        <v>1.4973429999999999E-2</v>
      </c>
      <c r="AA5174">
        <v>0.87935350000000001</v>
      </c>
      <c r="AB5174">
        <v>26</v>
      </c>
      <c r="AC5174">
        <v>0.64130000000000098</v>
      </c>
      <c r="AD5174">
        <v>-7.4236999999999803E-2</v>
      </c>
      <c r="AE5174">
        <v>0.53095000000000403</v>
      </c>
      <c r="AF5174">
        <v>-0.44923135535708902</v>
      </c>
      <c r="AG5174">
        <v>-7.4236999999999803E-2</v>
      </c>
      <c r="AH5174">
        <v>0.69316130003364496</v>
      </c>
      <c r="AI5174">
        <v>95.135657045219304</v>
      </c>
      <c r="AJ5174">
        <v>122.946895087355</v>
      </c>
      <c r="AK5174">
        <v>0.82933258145890998</v>
      </c>
      <c r="AL5174">
        <v>82.171954994228798</v>
      </c>
      <c r="AM5174">
        <v>103.881720649008</v>
      </c>
      <c r="AN5174">
        <v>0.99999996240262901</v>
      </c>
    </row>
    <row r="5175" spans="1:40" x14ac:dyDescent="0.25">
      <c r="A5175" t="str">
        <f>"20190303162702536"</f>
        <v>20190303162702536</v>
      </c>
      <c r="B5175" t="str">
        <f>"1551601622529189"</f>
        <v>1551601622529189</v>
      </c>
      <c r="C5175" t="s">
        <v>40</v>
      </c>
      <c r="D5175">
        <v>5.2141129999999896</v>
      </c>
      <c r="E5175">
        <v>0.48429610000000001</v>
      </c>
      <c r="F5175" t="s">
        <v>42</v>
      </c>
      <c r="G5175">
        <v>-206.33160000000001</v>
      </c>
      <c r="H5175">
        <v>1.043336</v>
      </c>
      <c r="I5175">
        <v>-61.83549</v>
      </c>
      <c r="J5175">
        <v>-207.04740000000001</v>
      </c>
      <c r="K5175">
        <v>1.1249659999999999</v>
      </c>
      <c r="L5175">
        <v>-62.411740000000002</v>
      </c>
      <c r="M5175">
        <v>0.99274519999999999</v>
      </c>
      <c r="N5175">
        <v>-1.2203810000000001E-2</v>
      </c>
      <c r="O5175">
        <v>0.11961579999999999</v>
      </c>
      <c r="P5175">
        <v>0.93119790000000002</v>
      </c>
      <c r="Q5175">
        <v>0.12577049999999901</v>
      </c>
      <c r="R5175">
        <v>0.34212900000000002</v>
      </c>
      <c r="S5175">
        <v>2.5873719999999998</v>
      </c>
      <c r="T5175">
        <v>-0.24717890000000001</v>
      </c>
      <c r="U5175">
        <v>1.807739</v>
      </c>
      <c r="V5175">
        <v>-0.229688</v>
      </c>
      <c r="W5175">
        <v>0.13517479999999901</v>
      </c>
      <c r="X5175">
        <v>0.96383149999999995</v>
      </c>
      <c r="Y5175">
        <v>-0.4691746</v>
      </c>
      <c r="Z5175">
        <v>1.447501E-2</v>
      </c>
      <c r="AA5175">
        <v>0.88298679999999996</v>
      </c>
      <c r="AB5175">
        <v>26</v>
      </c>
      <c r="AC5175">
        <v>0.71580000000000099</v>
      </c>
      <c r="AD5175">
        <v>-8.16299999999998E-2</v>
      </c>
      <c r="AE5175">
        <v>0.57625000000000104</v>
      </c>
      <c r="AF5175">
        <v>-0.482675870437421</v>
      </c>
      <c r="AG5175">
        <v>-8.16299999999998E-2</v>
      </c>
      <c r="AH5175">
        <v>0.773490073666527</v>
      </c>
      <c r="AI5175">
        <v>95.116191591589399</v>
      </c>
      <c r="AJ5175">
        <v>121.965126324099</v>
      </c>
      <c r="AK5175">
        <v>0.91538316942315001</v>
      </c>
      <c r="AL5175">
        <v>82.231272016894906</v>
      </c>
      <c r="AM5175">
        <v>103.40399098255</v>
      </c>
      <c r="AN5175">
        <v>0.99999998214564401</v>
      </c>
    </row>
    <row r="5176" spans="1:40" x14ac:dyDescent="0.25">
      <c r="A5176" t="str">
        <f>"20190303162702547"</f>
        <v>20190303162702547</v>
      </c>
      <c r="B5176" t="str">
        <f>"1551601622538950"</f>
        <v>1551601622538950</v>
      </c>
      <c r="C5176" t="s">
        <v>40</v>
      </c>
      <c r="D5176">
        <v>4.9549940000000001</v>
      </c>
      <c r="E5176">
        <v>0.48429610000000001</v>
      </c>
      <c r="F5176" t="s">
        <v>59</v>
      </c>
      <c r="G5176">
        <v>-192.6807</v>
      </c>
      <c r="H5176" s="1">
        <v>-7.8707889999999992E-6</v>
      </c>
      <c r="I5176">
        <v>-56.432319999999997</v>
      </c>
      <c r="J5176">
        <v>-206.92240000000001</v>
      </c>
      <c r="K5176">
        <v>1.125094</v>
      </c>
      <c r="L5176">
        <v>-62.393369999999997</v>
      </c>
      <c r="M5176">
        <v>0.99235609999999996</v>
      </c>
      <c r="N5176">
        <v>-1.2211059999999999E-2</v>
      </c>
      <c r="O5176">
        <v>0.12280149999999999</v>
      </c>
      <c r="P5176">
        <v>0.93321909999999997</v>
      </c>
      <c r="Q5176">
        <v>0.124297699999999</v>
      </c>
      <c r="R5176">
        <v>0.33712340000000002</v>
      </c>
      <c r="S5176">
        <v>2.8202060000000002</v>
      </c>
      <c r="T5176">
        <v>-0.22083330000000001</v>
      </c>
      <c r="U5176">
        <v>1.173767</v>
      </c>
      <c r="V5176">
        <v>-0.22140190000000001</v>
      </c>
      <c r="W5176">
        <v>0.13374929999999999</v>
      </c>
      <c r="X5176">
        <v>0.96596709999999997</v>
      </c>
      <c r="Y5176">
        <v>-0.26736729999999997</v>
      </c>
      <c r="Z5176">
        <v>4.0409770000000003E-3</v>
      </c>
      <c r="AA5176">
        <v>0.96358619999999995</v>
      </c>
      <c r="AB5176">
        <v>26</v>
      </c>
      <c r="AC5176">
        <v>14.2417</v>
      </c>
      <c r="AD5176">
        <v>-1.1251018707889999</v>
      </c>
      <c r="AE5176">
        <v>5.9610500000000002</v>
      </c>
      <c r="AF5176">
        <v>-4.1448808581866201</v>
      </c>
      <c r="AG5176">
        <v>-1.1251018707889999</v>
      </c>
      <c r="AH5176">
        <v>14.787441157906899</v>
      </c>
      <c r="AI5176">
        <v>94.190084460442407</v>
      </c>
      <c r="AJ5176">
        <v>105.658044585385</v>
      </c>
      <c r="AK5176">
        <v>15.398516407328801</v>
      </c>
      <c r="AL5176">
        <v>82.3136962519457</v>
      </c>
      <c r="AM5176">
        <v>102.909349492549</v>
      </c>
      <c r="AN5176">
        <v>1.0000000574282499</v>
      </c>
    </row>
    <row r="5177" spans="1:40" x14ac:dyDescent="0.25">
      <c r="A5177" t="str">
        <f>"20190303162702565"</f>
        <v>20190303162702565</v>
      </c>
      <c r="B5177" t="str">
        <f>"1551601622549686"</f>
        <v>1551601622549686</v>
      </c>
      <c r="C5177" t="s">
        <v>40</v>
      </c>
      <c r="D5177">
        <v>4.9633200000000004</v>
      </c>
      <c r="E5177">
        <v>0.54669639999999997</v>
      </c>
      <c r="F5177" t="s">
        <v>59</v>
      </c>
      <c r="G5177">
        <v>-192.798</v>
      </c>
      <c r="H5177" s="1">
        <v>-7.8223940000000001E-6</v>
      </c>
      <c r="I5177">
        <v>-56.597670000000001</v>
      </c>
      <c r="J5177">
        <v>-206.74950000000001</v>
      </c>
      <c r="K5177">
        <v>1.1252519999999999</v>
      </c>
      <c r="L5177">
        <v>-62.367220000000003</v>
      </c>
      <c r="M5177">
        <v>0.99177939999999998</v>
      </c>
      <c r="N5177">
        <v>-1.22249E-2</v>
      </c>
      <c r="O5177">
        <v>0.1273745</v>
      </c>
      <c r="P5177">
        <v>0.93751680000000004</v>
      </c>
      <c r="Q5177">
        <v>0.1216269</v>
      </c>
      <c r="R5177">
        <v>0.325989799999999</v>
      </c>
      <c r="S5177">
        <v>2.82579</v>
      </c>
      <c r="T5177">
        <v>-0.22509299999999999</v>
      </c>
      <c r="U5177">
        <v>1.1595150000000001</v>
      </c>
      <c r="V5177">
        <v>-0.2053758</v>
      </c>
      <c r="W5177">
        <v>0.13122629999999999</v>
      </c>
      <c r="X5177">
        <v>0.96984559999999997</v>
      </c>
      <c r="Y5177">
        <v>-0.25810569999999999</v>
      </c>
      <c r="Z5177">
        <v>3.3583509999999999E-3</v>
      </c>
      <c r="AA5177">
        <v>0.96611080000000005</v>
      </c>
      <c r="AB5177">
        <v>26</v>
      </c>
      <c r="AC5177">
        <v>13.951499999999999</v>
      </c>
      <c r="AD5177">
        <v>-1.125259822394</v>
      </c>
      <c r="AE5177">
        <v>5.7695499999999997</v>
      </c>
      <c r="AF5177">
        <v>-3.9235539944640498</v>
      </c>
      <c r="AG5177">
        <v>-1.125259822394</v>
      </c>
      <c r="AH5177">
        <v>14.492284537420799</v>
      </c>
      <c r="AI5177">
        <v>94.286151038350297</v>
      </c>
      <c r="AJ5177">
        <v>105.14876485756901</v>
      </c>
      <c r="AK5177">
        <v>15.0561215699441</v>
      </c>
      <c r="AL5177">
        <v>82.459538944733694</v>
      </c>
      <c r="AM5177">
        <v>101.956399451615</v>
      </c>
      <c r="AN5177">
        <v>1.00000002443834</v>
      </c>
    </row>
    <row r="5178" spans="1:40" x14ac:dyDescent="0.25">
      <c r="A5178" t="str">
        <f>"20190303162702577"</f>
        <v>20190303162702577</v>
      </c>
      <c r="B5178" t="str">
        <f>"1551601622569206"</f>
        <v>1551601622569206</v>
      </c>
      <c r="C5178" t="s">
        <v>40</v>
      </c>
      <c r="D5178">
        <v>4.9691780000000003</v>
      </c>
      <c r="E5178">
        <v>0.55705590000000005</v>
      </c>
      <c r="F5178" t="s">
        <v>42</v>
      </c>
      <c r="G5178">
        <v>-205.85749999999999</v>
      </c>
      <c r="H5178">
        <v>0.9707325</v>
      </c>
      <c r="I5178">
        <v>-62.16986</v>
      </c>
      <c r="J5178">
        <v>-206.59299999999999</v>
      </c>
      <c r="K5178">
        <v>1.1253949999999999</v>
      </c>
      <c r="L5178">
        <v>-62.342469999999999</v>
      </c>
      <c r="M5178">
        <v>0.99120839999999999</v>
      </c>
      <c r="N5178">
        <v>-1.224357E-2</v>
      </c>
      <c r="O5178">
        <v>0.1317422</v>
      </c>
      <c r="P5178">
        <v>0.93850869999999997</v>
      </c>
      <c r="Q5178">
        <v>0.1206489</v>
      </c>
      <c r="R5178">
        <v>0.32348870000000002</v>
      </c>
      <c r="S5178">
        <v>3.0346069999999998</v>
      </c>
      <c r="T5178">
        <v>-0.52585909999999902</v>
      </c>
      <c r="U5178">
        <v>0.67166139999999996</v>
      </c>
      <c r="V5178">
        <v>-0.198519</v>
      </c>
      <c r="W5178">
        <v>0.1302941</v>
      </c>
      <c r="X5178">
        <v>0.97139779999999998</v>
      </c>
      <c r="Y5178">
        <v>-8.5874590000000001E-2</v>
      </c>
      <c r="Z5178">
        <v>-1.2838820000000001E-2</v>
      </c>
      <c r="AA5178">
        <v>0.99622319999999998</v>
      </c>
      <c r="AB5178">
        <v>26</v>
      </c>
      <c r="AC5178">
        <v>0.73550000000000104</v>
      </c>
      <c r="AD5178">
        <v>-0.15466250000000001</v>
      </c>
      <c r="AE5178">
        <v>0.17260999999999799</v>
      </c>
      <c r="AF5178">
        <v>-7.1216932679623202E-2</v>
      </c>
      <c r="AG5178">
        <v>-0.15466250000000001</v>
      </c>
      <c r="AH5178">
        <v>0.72158817666391495</v>
      </c>
      <c r="AI5178">
        <v>102.04074417562801</v>
      </c>
      <c r="AJ5178">
        <v>95.636536223077997</v>
      </c>
      <c r="AK5178">
        <v>0.74140531230069895</v>
      </c>
      <c r="AL5178">
        <v>82.513412564552098</v>
      </c>
      <c r="AM5178">
        <v>101.55016609256</v>
      </c>
      <c r="AN5178">
        <v>1.0000000158503199</v>
      </c>
    </row>
    <row r="5179" spans="1:40" x14ac:dyDescent="0.25">
      <c r="A5179" t="str">
        <f>"20190303162702588"</f>
        <v>20190303162702588</v>
      </c>
      <c r="B5179" t="str">
        <f>"1551601622578965"</f>
        <v>1551601622578965</v>
      </c>
      <c r="C5179" t="s">
        <v>40</v>
      </c>
      <c r="D5179">
        <v>4.8577519999999996</v>
      </c>
      <c r="E5179">
        <v>0.55988749999999998</v>
      </c>
      <c r="F5179" t="s">
        <v>42</v>
      </c>
      <c r="G5179">
        <v>-205.8545</v>
      </c>
      <c r="H5179">
        <v>0.97101740000000003</v>
      </c>
      <c r="I5179">
        <v>-62.200310000000002</v>
      </c>
      <c r="J5179">
        <v>-206.4632</v>
      </c>
      <c r="K5179">
        <v>1.1255120000000001</v>
      </c>
      <c r="L5179">
        <v>-62.321350000000002</v>
      </c>
      <c r="M5179">
        <v>0.99070720000000001</v>
      </c>
      <c r="N5179">
        <v>-1.226092E-2</v>
      </c>
      <c r="O5179">
        <v>0.13545860000000001</v>
      </c>
      <c r="P5179">
        <v>0.93937309999999996</v>
      </c>
      <c r="Q5179">
        <v>0.1197228</v>
      </c>
      <c r="R5179">
        <v>0.32131729999999997</v>
      </c>
      <c r="S5179">
        <v>3.0750890000000002</v>
      </c>
      <c r="T5179">
        <v>-0.64304729999999999</v>
      </c>
      <c r="U5179">
        <v>0.59222410000000003</v>
      </c>
      <c r="V5179">
        <v>-0.1926264</v>
      </c>
      <c r="W5179">
        <v>0.12941520000000001</v>
      </c>
      <c r="X5179">
        <v>0.97270080000000003</v>
      </c>
      <c r="Y5179">
        <v>-5.559443E-2</v>
      </c>
      <c r="Z5179">
        <v>-1.9936539999999999E-2</v>
      </c>
      <c r="AA5179">
        <v>0.99825439999999999</v>
      </c>
      <c r="AB5179">
        <v>26</v>
      </c>
      <c r="AC5179">
        <v>0.60869999999999802</v>
      </c>
      <c r="AD5179">
        <v>-0.15449459999999901</v>
      </c>
      <c r="AE5179">
        <v>0.121040000000007</v>
      </c>
      <c r="AF5179">
        <v>-3.5278190461027301E-2</v>
      </c>
      <c r="AG5179">
        <v>-0.15449459999999901</v>
      </c>
      <c r="AH5179">
        <v>0.58333679936480398</v>
      </c>
      <c r="AI5179">
        <v>104.808135753965</v>
      </c>
      <c r="AJ5179">
        <v>93.460835295092807</v>
      </c>
      <c r="AK5179">
        <v>0.60447907626694397</v>
      </c>
      <c r="AL5179">
        <v>82.564199984181997</v>
      </c>
      <c r="AM5179">
        <v>101.20149951104401</v>
      </c>
      <c r="AN5179">
        <v>1.0000000351443099</v>
      </c>
    </row>
    <row r="5180" spans="1:40" x14ac:dyDescent="0.25">
      <c r="A5180" t="str">
        <f>"20190303162702602"</f>
        <v>20190303162702602</v>
      </c>
      <c r="B5180" t="str">
        <f>"1551601622589703"</f>
        <v>1551601622589703</v>
      </c>
      <c r="C5180" t="s">
        <v>40</v>
      </c>
      <c r="D5180">
        <v>4.8988370000000003</v>
      </c>
      <c r="E5180">
        <v>0.56047040000000004</v>
      </c>
      <c r="F5180" t="s">
        <v>42</v>
      </c>
      <c r="G5180">
        <v>-205.64410000000001</v>
      </c>
      <c r="H5180">
        <v>0.94275819999999999</v>
      </c>
      <c r="I5180">
        <v>-62.171149999999997</v>
      </c>
      <c r="J5180">
        <v>-206.3186</v>
      </c>
      <c r="K5180">
        <v>1.1256440000000001</v>
      </c>
      <c r="L5180">
        <v>-62.29739</v>
      </c>
      <c r="M5180">
        <v>0.99012140000000004</v>
      </c>
      <c r="N5180">
        <v>-1.228162E-2</v>
      </c>
      <c r="O5180">
        <v>0.13967299999999999</v>
      </c>
      <c r="P5180">
        <v>0.93989659999999997</v>
      </c>
      <c r="Q5180">
        <v>0.11931269999999999</v>
      </c>
      <c r="R5180">
        <v>0.31993559999999999</v>
      </c>
      <c r="S5180">
        <v>3.0876009999999998</v>
      </c>
      <c r="T5180">
        <v>-0.68937530000000002</v>
      </c>
      <c r="U5180">
        <v>0.56680299999999995</v>
      </c>
      <c r="V5180">
        <v>-0.1870725</v>
      </c>
      <c r="W5180">
        <v>0.12904869999999999</v>
      </c>
      <c r="X5180">
        <v>0.97383280000000005</v>
      </c>
      <c r="Y5180">
        <v>-4.3249910000000003E-2</v>
      </c>
      <c r="Z5180">
        <v>-2.3693760000000001E-2</v>
      </c>
      <c r="AA5180">
        <v>0.99878330000000004</v>
      </c>
      <c r="AB5180">
        <v>26</v>
      </c>
      <c r="AC5180">
        <v>0.67449999999999399</v>
      </c>
      <c r="AD5180">
        <v>-0.18288579999999999</v>
      </c>
      <c r="AE5180">
        <v>0.12624000000000199</v>
      </c>
      <c r="AF5180">
        <v>-2.8744110530886501E-2</v>
      </c>
      <c r="AG5180">
        <v>-0.18288579999999999</v>
      </c>
      <c r="AH5180">
        <v>0.64005752620151302</v>
      </c>
      <c r="AI5180">
        <v>105.931166587128</v>
      </c>
      <c r="AJ5180">
        <v>92.571347622281493</v>
      </c>
      <c r="AK5180">
        <v>0.66629353634794697</v>
      </c>
      <c r="AL5180">
        <v>82.585376238086795</v>
      </c>
      <c r="AM5180">
        <v>100.87400680176501</v>
      </c>
      <c r="AN5180">
        <v>1.00000000479189</v>
      </c>
    </row>
    <row r="5181" spans="1:40" x14ac:dyDescent="0.25">
      <c r="A5181" t="str">
        <f>"20190303162702616"</f>
        <v>20190303162702616</v>
      </c>
      <c r="B5181" t="str">
        <f>"1551601622609222"</f>
        <v>1551601622609222</v>
      </c>
      <c r="C5181" t="s">
        <v>40</v>
      </c>
      <c r="D5181">
        <v>4.8955010000000003</v>
      </c>
      <c r="E5181">
        <v>0.56121409999999905</v>
      </c>
      <c r="F5181" t="s">
        <v>42</v>
      </c>
      <c r="G5181">
        <v>-205.63419999999999</v>
      </c>
      <c r="H5181">
        <v>0.96363779999999999</v>
      </c>
      <c r="I5181">
        <v>-62.173499999999997</v>
      </c>
      <c r="J5181">
        <v>-206.1687</v>
      </c>
      <c r="K5181">
        <v>1.125775</v>
      </c>
      <c r="L5181">
        <v>-62.2714199999999</v>
      </c>
      <c r="M5181">
        <v>0.98947220000000002</v>
      </c>
      <c r="N5181">
        <v>-1.230525E-2</v>
      </c>
      <c r="O5181">
        <v>0.14419939999999901</v>
      </c>
      <c r="P5181">
        <v>0.93999089999999996</v>
      </c>
      <c r="Q5181">
        <v>0.1197978</v>
      </c>
      <c r="R5181">
        <v>0.31947730000000002</v>
      </c>
      <c r="S5181">
        <v>3.0940089999999998</v>
      </c>
      <c r="T5181">
        <v>-0.7328964</v>
      </c>
      <c r="U5181">
        <v>0.56072999999999995</v>
      </c>
      <c r="V5181">
        <v>-0.1821903</v>
      </c>
      <c r="W5181">
        <v>0.12956889999999999</v>
      </c>
      <c r="X5181">
        <v>0.97468900000000003</v>
      </c>
      <c r="Y5181">
        <v>-3.6953439999999997E-2</v>
      </c>
      <c r="Z5181">
        <v>-2.697053E-2</v>
      </c>
      <c r="AA5181">
        <v>0.99895299999999998</v>
      </c>
      <c r="AB5181">
        <v>26</v>
      </c>
      <c r="AC5181">
        <v>0.53450000000000797</v>
      </c>
      <c r="AD5181">
        <v>-0.16213719999999901</v>
      </c>
      <c r="AE5181">
        <v>9.79199999999949E-2</v>
      </c>
      <c r="AF5181">
        <v>-1.8196054050848998E-2</v>
      </c>
      <c r="AG5181">
        <v>-0.16213719999999901</v>
      </c>
      <c r="AH5181">
        <v>0.49864033298438498</v>
      </c>
      <c r="AI5181">
        <v>108.001173356908</v>
      </c>
      <c r="AJ5181">
        <v>92.089872476782503</v>
      </c>
      <c r="AK5181">
        <v>0.52465393326042997</v>
      </c>
      <c r="AL5181">
        <v>82.555318779568793</v>
      </c>
      <c r="AM5181">
        <v>100.58763031633499</v>
      </c>
      <c r="AN5181">
        <v>1.0000000259911399</v>
      </c>
    </row>
    <row r="5182" spans="1:40" x14ac:dyDescent="0.25">
      <c r="A5182" t="str">
        <f>"20190303162702629"</f>
        <v>20190303162702629</v>
      </c>
      <c r="B5182" t="str">
        <f>"1551601622618982"</f>
        <v>1551601622618982</v>
      </c>
      <c r="C5182" t="s">
        <v>40</v>
      </c>
      <c r="D5182">
        <v>4.8925549999999998</v>
      </c>
      <c r="E5182">
        <v>0.56191239999999998</v>
      </c>
      <c r="F5182" t="s">
        <v>42</v>
      </c>
      <c r="G5182">
        <v>-205.42330000000001</v>
      </c>
      <c r="H5182">
        <v>0.93789049999999996</v>
      </c>
      <c r="I5182">
        <v>-62.137889999999999</v>
      </c>
      <c r="J5182">
        <v>-206.0093</v>
      </c>
      <c r="K5182">
        <v>1.125926</v>
      </c>
      <c r="L5182">
        <v>-62.243070000000003</v>
      </c>
      <c r="M5182">
        <v>0.98874519999999999</v>
      </c>
      <c r="N5182">
        <v>-1.233035E-2</v>
      </c>
      <c r="O5182">
        <v>0.14910010000000001</v>
      </c>
      <c r="P5182">
        <v>0.9411176</v>
      </c>
      <c r="Q5182">
        <v>0.12071999999999999</v>
      </c>
      <c r="R5182">
        <v>0.31579210000000002</v>
      </c>
      <c r="S5182">
        <v>3.1021879999999999</v>
      </c>
      <c r="T5182">
        <v>-0.78230730000000004</v>
      </c>
      <c r="U5182">
        <v>0.55615230000000004</v>
      </c>
      <c r="V5182">
        <v>-0.1735949</v>
      </c>
      <c r="W5182">
        <v>0.130582</v>
      </c>
      <c r="X5182">
        <v>0.97612149999999998</v>
      </c>
      <c r="Y5182">
        <v>-3.0780990000000001E-2</v>
      </c>
      <c r="Z5182">
        <v>-3.0720999999999998E-2</v>
      </c>
      <c r="AA5182">
        <v>0.999054</v>
      </c>
      <c r="AB5182">
        <v>26</v>
      </c>
      <c r="AC5182">
        <v>0.58599999999998398</v>
      </c>
      <c r="AD5182">
        <v>-0.188035499999999</v>
      </c>
      <c r="AE5182">
        <v>0.10517999999999</v>
      </c>
      <c r="AF5182">
        <v>-1.5116910546216399E-2</v>
      </c>
      <c r="AG5182">
        <v>-0.188035499999999</v>
      </c>
      <c r="AH5182">
        <v>0.54115223543910296</v>
      </c>
      <c r="AI5182">
        <v>109.15400432873</v>
      </c>
      <c r="AJ5182">
        <v>91.6001227145955</v>
      </c>
      <c r="AK5182">
        <v>0.57308953241657701</v>
      </c>
      <c r="AL5182">
        <v>82.496774962443396</v>
      </c>
      <c r="AM5182">
        <v>100.084136440042</v>
      </c>
      <c r="AN5182">
        <v>1.0000000153961199</v>
      </c>
    </row>
    <row r="5183" spans="1:40" x14ac:dyDescent="0.25">
      <c r="A5183" t="str">
        <f>"20190303162702643"</f>
        <v>20190303162702643</v>
      </c>
      <c r="B5183" t="str">
        <f>"1551601622629718"</f>
        <v>1551601622629718</v>
      </c>
      <c r="C5183" t="s">
        <v>40</v>
      </c>
      <c r="D5183">
        <v>4.8836269999999997</v>
      </c>
      <c r="E5183">
        <v>0.56235609999999903</v>
      </c>
      <c r="F5183" t="s">
        <v>42</v>
      </c>
      <c r="G5183">
        <v>-205.20779999999999</v>
      </c>
      <c r="H5183">
        <v>0.92200210000000005</v>
      </c>
      <c r="I5183">
        <v>-62.10416</v>
      </c>
      <c r="J5183">
        <v>-205.86060000000001</v>
      </c>
      <c r="K5183">
        <v>1.1260680000000001</v>
      </c>
      <c r="L5183">
        <v>-62.215969999999999</v>
      </c>
      <c r="M5183">
        <v>0.98803339999999995</v>
      </c>
      <c r="N5183">
        <v>-1.2353609999999999E-2</v>
      </c>
      <c r="O5183">
        <v>0.15374499999999999</v>
      </c>
      <c r="P5183">
        <v>0.94099140000000003</v>
      </c>
      <c r="Q5183">
        <v>0.1211889</v>
      </c>
      <c r="R5183">
        <v>0.3159883</v>
      </c>
      <c r="S5183">
        <v>3.1082459999999998</v>
      </c>
      <c r="T5183">
        <v>-0.79129589999999905</v>
      </c>
      <c r="U5183">
        <v>0.53927609999999904</v>
      </c>
      <c r="V5183">
        <v>-0.16925879999999999</v>
      </c>
      <c r="W5183">
        <v>0.13108599999999901</v>
      </c>
      <c r="X5183">
        <v>0.97681519999999999</v>
      </c>
      <c r="Y5183">
        <v>-2.0990620000000001E-2</v>
      </c>
      <c r="Z5183">
        <v>-3.3399640000000001E-2</v>
      </c>
      <c r="AA5183">
        <v>0.99922160000000004</v>
      </c>
      <c r="AB5183">
        <v>26</v>
      </c>
      <c r="AC5183">
        <v>0.65280000000001304</v>
      </c>
      <c r="AD5183">
        <v>-0.20406589999999999</v>
      </c>
      <c r="AE5183">
        <v>0.11180999999999799</v>
      </c>
      <c r="AF5183">
        <v>-9.2316484702980994E-3</v>
      </c>
      <c r="AG5183">
        <v>-0.20406589999999999</v>
      </c>
      <c r="AH5183">
        <v>0.60481152630590795</v>
      </c>
      <c r="AI5183">
        <v>108.642585311898</v>
      </c>
      <c r="AJ5183">
        <v>90.874476429439</v>
      </c>
      <c r="AK5183">
        <v>0.63837692410422497</v>
      </c>
      <c r="AL5183">
        <v>82.467647461530404</v>
      </c>
      <c r="AM5183">
        <v>99.830384438328906</v>
      </c>
      <c r="AN5183">
        <v>1.00000000786224</v>
      </c>
    </row>
    <row r="5184" spans="1:40" x14ac:dyDescent="0.25">
      <c r="A5184" t="str">
        <f>"20190303162702655"</f>
        <v>20190303162702655</v>
      </c>
      <c r="B5184" t="str">
        <f>"1551601622639478"</f>
        <v>1551601622639478</v>
      </c>
      <c r="C5184" t="s">
        <v>40</v>
      </c>
      <c r="D5184">
        <v>4.9079439999999996</v>
      </c>
      <c r="E5184">
        <v>0.56256269999999997</v>
      </c>
      <c r="F5184" t="s">
        <v>42</v>
      </c>
      <c r="G5184">
        <v>-204.9939</v>
      </c>
      <c r="H5184">
        <v>0.90332449999999997</v>
      </c>
      <c r="I5184">
        <v>-62.066049999999997</v>
      </c>
      <c r="J5184">
        <v>-205.71860000000001</v>
      </c>
      <c r="K5184">
        <v>1.1261890000000001</v>
      </c>
      <c r="L5184">
        <v>-62.188929999999999</v>
      </c>
      <c r="M5184">
        <v>0.98731480000000005</v>
      </c>
      <c r="N5184">
        <v>-1.2375850000000001E-2</v>
      </c>
      <c r="O5184">
        <v>0.15829209999999999</v>
      </c>
      <c r="P5184">
        <v>0.94079349999999995</v>
      </c>
      <c r="Q5184">
        <v>0.121129</v>
      </c>
      <c r="R5184">
        <v>0.31659989999999999</v>
      </c>
      <c r="S5184">
        <v>3.1103670000000001</v>
      </c>
      <c r="T5184">
        <v>-0.79945239999999995</v>
      </c>
      <c r="U5184">
        <v>0.53814700000000004</v>
      </c>
      <c r="V5184">
        <v>-0.16542319999999999</v>
      </c>
      <c r="W5184">
        <v>0.13106139999999999</v>
      </c>
      <c r="X5184">
        <v>0.97747530000000005</v>
      </c>
      <c r="Y5184">
        <v>-1.6273300000000001E-2</v>
      </c>
      <c r="Z5184">
        <v>-3.5418310000000001E-2</v>
      </c>
      <c r="AA5184">
        <v>0.99924009999999996</v>
      </c>
      <c r="AB5184">
        <v>26</v>
      </c>
      <c r="AC5184">
        <v>0.724700000000012</v>
      </c>
      <c r="AD5184">
        <v>-0.22286449999999899</v>
      </c>
      <c r="AE5184">
        <v>0.122880000000009</v>
      </c>
      <c r="AF5184">
        <v>-6.0511811276638197E-3</v>
      </c>
      <c r="AG5184">
        <v>-0.22286449999999899</v>
      </c>
      <c r="AH5184">
        <v>0.67313337788180605</v>
      </c>
      <c r="AI5184">
        <v>108.31825238240199</v>
      </c>
      <c r="AJ5184">
        <v>90.515050675120406</v>
      </c>
      <c r="AK5184">
        <v>0.70909360917431696</v>
      </c>
      <c r="AL5184">
        <v>82.469068719023795</v>
      </c>
      <c r="AM5184">
        <v>99.605449361879096</v>
      </c>
      <c r="AN5184">
        <v>0.99999994388914304</v>
      </c>
    </row>
    <row r="5185" spans="1:40" x14ac:dyDescent="0.25">
      <c r="A5185" t="str">
        <f>"20190303162702667"</f>
        <v>20190303162702667</v>
      </c>
      <c r="B5185" t="str">
        <f>"1551601622658998"</f>
        <v>1551601622658998</v>
      </c>
      <c r="C5185" t="s">
        <v>40</v>
      </c>
      <c r="D5185">
        <v>4.9062489999999999</v>
      </c>
      <c r="E5185">
        <v>0.56321259999999995</v>
      </c>
      <c r="F5185" t="s">
        <v>42</v>
      </c>
      <c r="G5185">
        <v>-204.98060000000001</v>
      </c>
      <c r="H5185">
        <v>0.934396</v>
      </c>
      <c r="I5185">
        <v>-62.060809999999996</v>
      </c>
      <c r="J5185">
        <v>-205.59049999999999</v>
      </c>
      <c r="K5185">
        <v>1.126285</v>
      </c>
      <c r="L5185">
        <v>-62.164119999999997</v>
      </c>
      <c r="M5185">
        <v>0.98664130000000005</v>
      </c>
      <c r="N5185">
        <v>-1.239503E-2</v>
      </c>
      <c r="O5185">
        <v>0.16243569999999999</v>
      </c>
      <c r="P5185">
        <v>0.94067900000000004</v>
      </c>
      <c r="Q5185">
        <v>0.1213207</v>
      </c>
      <c r="R5185">
        <v>0.316866799999999</v>
      </c>
      <c r="S5185">
        <v>3.111084</v>
      </c>
      <c r="T5185">
        <v>-0.808527</v>
      </c>
      <c r="U5185">
        <v>0.54022219999999999</v>
      </c>
      <c r="V5185">
        <v>-0.16162670000000001</v>
      </c>
      <c r="W5185">
        <v>0.13129299999999999</v>
      </c>
      <c r="X5185">
        <v>0.97807920000000004</v>
      </c>
      <c r="Y5185">
        <v>-1.300114E-2</v>
      </c>
      <c r="Z5185">
        <v>-3.7235940000000002E-2</v>
      </c>
      <c r="AA5185">
        <v>0.9992219</v>
      </c>
      <c r="AB5185">
        <v>26</v>
      </c>
      <c r="AC5185">
        <v>0.60989999999998101</v>
      </c>
      <c r="AD5185">
        <v>-0.191889</v>
      </c>
      <c r="AE5185">
        <v>0.10331</v>
      </c>
      <c r="AF5185">
        <v>-2.6094948659804401E-3</v>
      </c>
      <c r="AG5185">
        <v>-0.191889</v>
      </c>
      <c r="AH5185">
        <v>0.56428204787220404</v>
      </c>
      <c r="AI5185">
        <v>108.78085939850899</v>
      </c>
      <c r="AJ5185">
        <v>90.264959654933094</v>
      </c>
      <c r="AK5185">
        <v>0.59602217017096304</v>
      </c>
      <c r="AL5185">
        <v>82.455683639100101</v>
      </c>
      <c r="AM5185">
        <v>99.383278222486794</v>
      </c>
      <c r="AN5185">
        <v>0.99999998173726401</v>
      </c>
    </row>
    <row r="5186" spans="1:40" x14ac:dyDescent="0.25">
      <c r="A5186" t="str">
        <f>"20190303162702680"</f>
        <v>20190303162702680</v>
      </c>
      <c r="B5186" t="str">
        <f>"1551601622669733"</f>
        <v>1551601622669733</v>
      </c>
      <c r="C5186" t="s">
        <v>40</v>
      </c>
      <c r="D5186">
        <v>4.953811</v>
      </c>
      <c r="E5186">
        <v>0.56347749999999996</v>
      </c>
      <c r="F5186" t="s">
        <v>42</v>
      </c>
      <c r="G5186">
        <v>-204.76920000000001</v>
      </c>
      <c r="H5186">
        <v>0.91095510000000002</v>
      </c>
      <c r="I5186">
        <v>-62.02234</v>
      </c>
      <c r="J5186">
        <v>-205.44839999999999</v>
      </c>
      <c r="K5186">
        <v>1.1263829999999999</v>
      </c>
      <c r="L5186">
        <v>-62.135860000000001</v>
      </c>
      <c r="M5186">
        <v>0.98586390000000002</v>
      </c>
      <c r="N5186">
        <v>-1.241546E-2</v>
      </c>
      <c r="O5186">
        <v>0.16708729999999999</v>
      </c>
      <c r="P5186">
        <v>0.94031169999999997</v>
      </c>
      <c r="Q5186">
        <v>0.12067410000000001</v>
      </c>
      <c r="R5186">
        <v>0.31820029999999999</v>
      </c>
      <c r="S5186">
        <v>3.113327</v>
      </c>
      <c r="T5186">
        <v>-0.81658379999999997</v>
      </c>
      <c r="U5186">
        <v>0.53787229999999997</v>
      </c>
      <c r="V5186">
        <v>-0.15840199999999999</v>
      </c>
      <c r="W5186">
        <v>0.13068080000000001</v>
      </c>
      <c r="X5186">
        <v>0.97868860000000002</v>
      </c>
      <c r="Y5186">
        <v>-7.8239280000000008E-3</v>
      </c>
      <c r="Z5186">
        <v>-3.939699E-2</v>
      </c>
      <c r="AA5186">
        <v>0.999193</v>
      </c>
      <c r="AB5186">
        <v>26</v>
      </c>
      <c r="AC5186">
        <v>0.67919999999998004</v>
      </c>
      <c r="AD5186">
        <v>-0.21542790000000001</v>
      </c>
      <c r="AE5186">
        <v>0.113520000000001</v>
      </c>
      <c r="AF5186">
        <v>1.43054049752211E-3</v>
      </c>
      <c r="AG5186">
        <v>-0.21542790000000001</v>
      </c>
      <c r="AH5186">
        <v>0.62723324016918103</v>
      </c>
      <c r="AI5186">
        <v>108.955367754889</v>
      </c>
      <c r="AJ5186">
        <v>89.869324861047403</v>
      </c>
      <c r="AK5186">
        <v>0.66319888730127896</v>
      </c>
      <c r="AL5186">
        <v>82.4910652507224</v>
      </c>
      <c r="AM5186">
        <v>99.193669701747297</v>
      </c>
      <c r="AN5186">
        <v>1.00000002043129</v>
      </c>
    </row>
    <row r="5187" spans="1:40" x14ac:dyDescent="0.25">
      <c r="A5187" t="str">
        <f>"20190303162702694"</f>
        <v>20190303162702694</v>
      </c>
      <c r="B5187" t="str">
        <f>"1551601622689253"</f>
        <v>1551601622689253</v>
      </c>
      <c r="C5187" t="s">
        <v>40</v>
      </c>
      <c r="D5187">
        <v>4.9844600000000003</v>
      </c>
      <c r="E5187">
        <v>0.56354879999999996</v>
      </c>
      <c r="F5187" t="s">
        <v>42</v>
      </c>
      <c r="G5187">
        <v>-204.7552</v>
      </c>
      <c r="H5187">
        <v>0.94358690000000001</v>
      </c>
      <c r="I5187">
        <v>-62.015529999999998</v>
      </c>
      <c r="J5187">
        <v>-205.29660000000001</v>
      </c>
      <c r="K5187">
        <v>1.1264689999999999</v>
      </c>
      <c r="L5187">
        <v>-62.104640000000003</v>
      </c>
      <c r="M5187">
        <v>0.98499479999999995</v>
      </c>
      <c r="N5187">
        <v>-1.243593E-2</v>
      </c>
      <c r="O5187">
        <v>0.17213599999999901</v>
      </c>
      <c r="P5187">
        <v>0.93950500000000003</v>
      </c>
      <c r="Q5187">
        <v>0.1202593</v>
      </c>
      <c r="R5187">
        <v>0.32073099999999999</v>
      </c>
      <c r="S5187">
        <v>3.1128230000000001</v>
      </c>
      <c r="T5187">
        <v>-0.82119409999999904</v>
      </c>
      <c r="U5187">
        <v>0.54077149999999996</v>
      </c>
      <c r="V5187">
        <v>-0.15603139999999999</v>
      </c>
      <c r="W5187">
        <v>0.1302922</v>
      </c>
      <c r="X5187">
        <v>0.97912109999999997</v>
      </c>
      <c r="Y5187">
        <v>-3.9652300000000001E-3</v>
      </c>
      <c r="Z5187">
        <v>-4.1358529999999998E-2</v>
      </c>
      <c r="AA5187">
        <v>0.99913649999999998</v>
      </c>
      <c r="AB5187">
        <v>26</v>
      </c>
      <c r="AC5187">
        <v>0.54140000000000998</v>
      </c>
      <c r="AD5187">
        <v>-0.18288209999999899</v>
      </c>
      <c r="AE5187">
        <v>8.9109999999997996E-2</v>
      </c>
      <c r="AF5187">
        <v>4.8798339658273999E-3</v>
      </c>
      <c r="AG5187">
        <v>-0.18288209999999899</v>
      </c>
      <c r="AH5187">
        <v>0.49379868820911299</v>
      </c>
      <c r="AI5187">
        <v>110.321582589979</v>
      </c>
      <c r="AJ5187">
        <v>89.433808155836303</v>
      </c>
      <c r="AK5187">
        <v>0.52659929714820697</v>
      </c>
      <c r="AL5187">
        <v>82.513522181539102</v>
      </c>
      <c r="AM5187">
        <v>99.054442973032096</v>
      </c>
      <c r="AN5187">
        <v>0.99999999181600396</v>
      </c>
    </row>
    <row r="5188" spans="1:40" x14ac:dyDescent="0.25">
      <c r="A5188" t="str">
        <f>"20190303162702708"</f>
        <v>20190303162702708</v>
      </c>
      <c r="B5188" t="str">
        <f>"1551601622699013"</f>
        <v>1551601622699013</v>
      </c>
      <c r="C5188" t="s">
        <v>40</v>
      </c>
      <c r="D5188">
        <v>4.9894280000000002</v>
      </c>
      <c r="E5188">
        <v>0.56357219999999997</v>
      </c>
      <c r="F5188" t="s">
        <v>42</v>
      </c>
      <c r="G5188">
        <v>-204.54239999999999</v>
      </c>
      <c r="H5188">
        <v>0.92543920000000002</v>
      </c>
      <c r="I5188">
        <v>-61.971739999999997</v>
      </c>
      <c r="J5188">
        <v>-205.13900000000001</v>
      </c>
      <c r="K5188">
        <v>1.1265540000000001</v>
      </c>
      <c r="L5188">
        <v>-62.071440000000003</v>
      </c>
      <c r="M5188">
        <v>0.98405450000000005</v>
      </c>
      <c r="N5188">
        <v>-1.2456E-2</v>
      </c>
      <c r="O5188">
        <v>0.17743049999999999</v>
      </c>
      <c r="P5188">
        <v>0.93881349999999997</v>
      </c>
      <c r="Q5188">
        <v>0.1194201</v>
      </c>
      <c r="R5188">
        <v>0.32306049999999997</v>
      </c>
      <c r="S5188">
        <v>3.1120909999999999</v>
      </c>
      <c r="T5188">
        <v>-0.82958609999999899</v>
      </c>
      <c r="U5188">
        <v>0.54855350000000003</v>
      </c>
      <c r="V5188">
        <v>-0.15318399999999999</v>
      </c>
      <c r="W5188">
        <v>0.12949079999999999</v>
      </c>
      <c r="X5188">
        <v>0.97967680000000001</v>
      </c>
      <c r="Y5188">
        <v>-1.4023529999999901E-3</v>
      </c>
      <c r="Z5188">
        <v>-4.341888E-2</v>
      </c>
      <c r="AA5188">
        <v>0.99905600000000006</v>
      </c>
      <c r="AB5188">
        <v>26</v>
      </c>
      <c r="AC5188">
        <v>0.596600000000023</v>
      </c>
      <c r="AD5188">
        <v>-0.20111480000000001</v>
      </c>
      <c r="AE5188">
        <v>9.9699999999998498E-2</v>
      </c>
      <c r="AF5188">
        <v>6.9743843752122702E-3</v>
      </c>
      <c r="AG5188">
        <v>-0.20111480000000001</v>
      </c>
      <c r="AH5188">
        <v>0.54461625499378297</v>
      </c>
      <c r="AI5188">
        <v>110.266552216813</v>
      </c>
      <c r="AJ5188">
        <v>89.266307342825499</v>
      </c>
      <c r="AK5188">
        <v>0.58060543402547204</v>
      </c>
      <c r="AL5188">
        <v>82.559830795928505</v>
      </c>
      <c r="AM5188">
        <v>98.886910459872894</v>
      </c>
      <c r="AN5188">
        <v>0.99999991879943595</v>
      </c>
    </row>
    <row r="5189" spans="1:40" x14ac:dyDescent="0.25">
      <c r="A5189" t="str">
        <f>"20190303162702721"</f>
        <v>20190303162702721</v>
      </c>
      <c r="B5189" t="str">
        <f>"1551601622709750"</f>
        <v>1551601622709750</v>
      </c>
      <c r="C5189" t="s">
        <v>40</v>
      </c>
      <c r="D5189">
        <v>4.9303489999999996</v>
      </c>
      <c r="E5189">
        <v>0.5637645</v>
      </c>
      <c r="F5189" t="s">
        <v>42</v>
      </c>
      <c r="G5189">
        <v>-204.3287</v>
      </c>
      <c r="H5189">
        <v>0.90941890000000003</v>
      </c>
      <c r="I5189">
        <v>-61.927219999999998</v>
      </c>
      <c r="J5189">
        <v>-204.9949</v>
      </c>
      <c r="K5189">
        <v>1.126625</v>
      </c>
      <c r="L5189">
        <v>-62.040370000000003</v>
      </c>
      <c r="M5189">
        <v>0.9831607</v>
      </c>
      <c r="N5189">
        <v>-1.247346E-2</v>
      </c>
      <c r="O5189">
        <v>0.18231739999999999</v>
      </c>
      <c r="P5189">
        <v>0.93744859999999997</v>
      </c>
      <c r="Q5189">
        <v>0.1194895</v>
      </c>
      <c r="R5189">
        <v>0.326974599999999</v>
      </c>
      <c r="S5189">
        <v>3.1109469999999999</v>
      </c>
      <c r="T5189">
        <v>-0.83396879999999995</v>
      </c>
      <c r="U5189">
        <v>0.55410769999999998</v>
      </c>
      <c r="V5189">
        <v>-0.152424799999999</v>
      </c>
      <c r="W5189">
        <v>0.1295665</v>
      </c>
      <c r="X5189">
        <v>0.97978529999999997</v>
      </c>
      <c r="Y5189">
        <v>1.466897E-3</v>
      </c>
      <c r="Z5189">
        <v>-4.5241330000000003E-2</v>
      </c>
      <c r="AA5189">
        <v>0.99897499999999995</v>
      </c>
      <c r="AB5189">
        <v>26</v>
      </c>
      <c r="AC5189">
        <v>0.66620000000000301</v>
      </c>
      <c r="AD5189">
        <v>-0.21720610000000001</v>
      </c>
      <c r="AE5189">
        <v>0.113149999999997</v>
      </c>
      <c r="AF5189">
        <v>9.2593385164097802E-3</v>
      </c>
      <c r="AG5189">
        <v>-0.21720610000000001</v>
      </c>
      <c r="AH5189">
        <v>0.61239117532663001</v>
      </c>
      <c r="AI5189">
        <v>109.526780783961</v>
      </c>
      <c r="AJ5189">
        <v>89.133755323585504</v>
      </c>
      <c r="AK5189">
        <v>0.64983626925934401</v>
      </c>
      <c r="AL5189">
        <v>82.555457382394906</v>
      </c>
      <c r="AM5189">
        <v>98.842599823004903</v>
      </c>
      <c r="AN5189">
        <v>1.00000001583669</v>
      </c>
    </row>
    <row r="5190" spans="1:40" x14ac:dyDescent="0.25">
      <c r="A5190" t="str">
        <f>"20190303162702734"</f>
        <v>20190303162702734</v>
      </c>
      <c r="B5190" t="str">
        <f>"1551601622730246"</f>
        <v>1551601622730246</v>
      </c>
      <c r="C5190" t="s">
        <v>40</v>
      </c>
      <c r="D5190">
        <v>4.9574280000000002</v>
      </c>
      <c r="E5190">
        <v>0.56402890000000006</v>
      </c>
      <c r="F5190" t="s">
        <v>42</v>
      </c>
      <c r="G5190">
        <v>-204.3143</v>
      </c>
      <c r="H5190">
        <v>0.94417139999999999</v>
      </c>
      <c r="I5190">
        <v>-61.916629999999998</v>
      </c>
      <c r="J5190">
        <v>-204.8561</v>
      </c>
      <c r="K5190">
        <v>1.1266799999999999</v>
      </c>
      <c r="L5190">
        <v>-62.009369999999997</v>
      </c>
      <c r="M5190">
        <v>0.98226420000000003</v>
      </c>
      <c r="N5190">
        <v>-1.248965E-2</v>
      </c>
      <c r="O5190">
        <v>0.18708559999999999</v>
      </c>
      <c r="P5190">
        <v>0.93596789999999996</v>
      </c>
      <c r="Q5190">
        <v>0.1201489</v>
      </c>
      <c r="R5190">
        <v>0.33095069999999999</v>
      </c>
      <c r="S5190">
        <v>3.109146</v>
      </c>
      <c r="T5190">
        <v>-0.8338428</v>
      </c>
      <c r="U5190">
        <v>0.56573490000000004</v>
      </c>
      <c r="V5190">
        <v>-0.15186949999999999</v>
      </c>
      <c r="W5190">
        <v>0.13023219999999999</v>
      </c>
      <c r="X5190">
        <v>0.97978330000000002</v>
      </c>
      <c r="Y5190">
        <v>2.4255750000000001E-3</v>
      </c>
      <c r="Z5190">
        <v>-4.6531599999999999E-2</v>
      </c>
      <c r="AA5190">
        <v>0.99891390000000002</v>
      </c>
      <c r="AB5190">
        <v>26</v>
      </c>
      <c r="AC5190">
        <v>0.54179999999999495</v>
      </c>
      <c r="AD5190">
        <v>-0.18250859999999899</v>
      </c>
      <c r="AE5190">
        <v>9.2739999999991996E-2</v>
      </c>
      <c r="AF5190">
        <v>9.2489722122116001E-3</v>
      </c>
      <c r="AG5190">
        <v>-0.18250859999999899</v>
      </c>
      <c r="AH5190">
        <v>0.495012749349859</v>
      </c>
      <c r="AI5190">
        <v>110.235420260194</v>
      </c>
      <c r="AJ5190">
        <v>88.929592379709405</v>
      </c>
      <c r="AK5190">
        <v>0.52766708688324304</v>
      </c>
      <c r="AL5190">
        <v>82.516989855948594</v>
      </c>
      <c r="AM5190">
        <v>98.810909357903199</v>
      </c>
      <c r="AN5190">
        <v>1.0000000429529801</v>
      </c>
    </row>
    <row r="5191" spans="1:40" x14ac:dyDescent="0.25">
      <c r="A5191" t="str">
        <f>"20190303162702746"</f>
        <v>20190303162702746</v>
      </c>
      <c r="B5191" t="str">
        <f>"1551601622739029"</f>
        <v>1551601622739029</v>
      </c>
      <c r="C5191" t="s">
        <v>40</v>
      </c>
      <c r="D5191">
        <v>4.9578030000000002</v>
      </c>
      <c r="E5191">
        <v>0.56405229999999995</v>
      </c>
      <c r="F5191" t="s">
        <v>42</v>
      </c>
      <c r="G5191">
        <v>-204.1028</v>
      </c>
      <c r="H5191">
        <v>0.92522040000000005</v>
      </c>
      <c r="I5191">
        <v>-61.869419999999998</v>
      </c>
      <c r="J5191">
        <v>-204.71860000000001</v>
      </c>
      <c r="K5191">
        <v>1.126733</v>
      </c>
      <c r="L5191">
        <v>-61.978149999999999</v>
      </c>
      <c r="M5191">
        <v>0.98134849999999996</v>
      </c>
      <c r="N5191">
        <v>-1.250516E-2</v>
      </c>
      <c r="O5191">
        <v>0.19183020000000001</v>
      </c>
      <c r="P5191">
        <v>0.93459000000000003</v>
      </c>
      <c r="Q5191">
        <v>0.1202703</v>
      </c>
      <c r="R5191">
        <v>0.33477820000000003</v>
      </c>
      <c r="S5191">
        <v>3.1078030000000001</v>
      </c>
      <c r="T5191">
        <v>-0.83102940000000003</v>
      </c>
      <c r="U5191">
        <v>0.57730099999999995</v>
      </c>
      <c r="V5191">
        <v>-0.151162299999999</v>
      </c>
      <c r="W5191">
        <v>0.13036410000000001</v>
      </c>
      <c r="X5191">
        <v>0.9798751</v>
      </c>
      <c r="Y5191">
        <v>3.4513339999999999E-3</v>
      </c>
      <c r="Z5191">
        <v>-4.766024E-2</v>
      </c>
      <c r="AA5191">
        <v>0.99885760000000001</v>
      </c>
      <c r="AB5191">
        <v>26</v>
      </c>
      <c r="AC5191">
        <v>0.61580000000000701</v>
      </c>
      <c r="AD5191">
        <v>-0.20151259999999999</v>
      </c>
      <c r="AE5191">
        <v>0.10873000000000101</v>
      </c>
      <c r="AF5191">
        <v>1.03528043386183E-2</v>
      </c>
      <c r="AG5191">
        <v>-0.20151259999999999</v>
      </c>
      <c r="AH5191">
        <v>0.56640204015517603</v>
      </c>
      <c r="AI5191">
        <v>109.581347404948</v>
      </c>
      <c r="AJ5191">
        <v>88.952853436493299</v>
      </c>
      <c r="AK5191">
        <v>0.60127013863019996</v>
      </c>
      <c r="AL5191">
        <v>82.509367430738706</v>
      </c>
      <c r="AM5191">
        <v>98.769710703280893</v>
      </c>
      <c r="AN5191">
        <v>1.0000000255550501</v>
      </c>
    </row>
    <row r="5192" spans="1:40" x14ac:dyDescent="0.25">
      <c r="A5192" t="str">
        <f>"20190303162702756"</f>
        <v>20190303162702756</v>
      </c>
      <c r="B5192" t="str">
        <f>"1551601622749766"</f>
        <v>1551601622749766</v>
      </c>
      <c r="C5192" t="s">
        <v>40</v>
      </c>
      <c r="D5192">
        <v>4.956925</v>
      </c>
      <c r="E5192">
        <v>0.56408150000000001</v>
      </c>
      <c r="F5192" t="s">
        <v>42</v>
      </c>
      <c r="G5192">
        <v>-203.89160000000001</v>
      </c>
      <c r="H5192">
        <v>0.90552889999999997</v>
      </c>
      <c r="I5192">
        <v>-61.821109999999997</v>
      </c>
      <c r="J5192">
        <v>-204.59989999999999</v>
      </c>
      <c r="K5192">
        <v>1.126776</v>
      </c>
      <c r="L5192">
        <v>-61.950530000000001</v>
      </c>
      <c r="M5192">
        <v>0.98053140000000005</v>
      </c>
      <c r="N5192">
        <v>-1.251823E-2</v>
      </c>
      <c r="O5192">
        <v>0.1959632</v>
      </c>
      <c r="P5192">
        <v>0.93335520000000005</v>
      </c>
      <c r="Q5192">
        <v>0.1207988</v>
      </c>
      <c r="R5192">
        <v>0.33801750000000003</v>
      </c>
      <c r="S5192">
        <v>3.105499</v>
      </c>
      <c r="T5192">
        <v>-0.83109369999999905</v>
      </c>
      <c r="U5192">
        <v>0.59021000000000001</v>
      </c>
      <c r="V5192">
        <v>-0.15046370000000001</v>
      </c>
      <c r="W5192">
        <v>0.13090350000000001</v>
      </c>
      <c r="X5192">
        <v>0.97991070000000002</v>
      </c>
      <c r="Y5192">
        <v>3.3983939999999999E-3</v>
      </c>
      <c r="Z5192">
        <v>-4.8667920000000003E-2</v>
      </c>
      <c r="AA5192">
        <v>0.99880919999999895</v>
      </c>
      <c r="AB5192">
        <v>26</v>
      </c>
      <c r="AC5192">
        <v>0.70829999999997995</v>
      </c>
      <c r="AD5192">
        <v>-0.221247099999999</v>
      </c>
      <c r="AE5192">
        <v>0.12942000000001</v>
      </c>
      <c r="AF5192">
        <v>1.0874533420999101E-2</v>
      </c>
      <c r="AG5192">
        <v>-0.221247099999999</v>
      </c>
      <c r="AH5192">
        <v>0.65781800291317305</v>
      </c>
      <c r="AI5192">
        <v>108.587219407297</v>
      </c>
      <c r="AJ5192">
        <v>89.052917192235597</v>
      </c>
      <c r="AK5192">
        <v>0.69411314617446196</v>
      </c>
      <c r="AL5192">
        <v>82.478194886154</v>
      </c>
      <c r="AM5192">
        <v>98.729494780488196</v>
      </c>
      <c r="AN5192">
        <v>1.00000001565221</v>
      </c>
    </row>
    <row r="5193" spans="1:40" x14ac:dyDescent="0.25">
      <c r="A5193" t="str">
        <f>"20190303162702767"</f>
        <v>20190303162702767</v>
      </c>
      <c r="B5193" t="str">
        <f>"1551601622759526"</f>
        <v>1551601622759526</v>
      </c>
      <c r="C5193" t="s">
        <v>40</v>
      </c>
      <c r="D5193">
        <v>4.989306</v>
      </c>
      <c r="E5193">
        <v>0.56406619999999996</v>
      </c>
      <c r="F5193" t="s">
        <v>42</v>
      </c>
      <c r="G5193">
        <v>-203.88</v>
      </c>
      <c r="H5193">
        <v>0.93451890000000004</v>
      </c>
      <c r="I5193">
        <v>-61.811309999999999</v>
      </c>
      <c r="J5193">
        <v>-204.4855</v>
      </c>
      <c r="K5193">
        <v>1.126817</v>
      </c>
      <c r="L5193">
        <v>-61.923400000000001</v>
      </c>
      <c r="M5193">
        <v>0.97972380000000003</v>
      </c>
      <c r="N5193">
        <v>-1.253045E-2</v>
      </c>
      <c r="O5193">
        <v>0.19996079999999999</v>
      </c>
      <c r="P5193">
        <v>0.93197450000000004</v>
      </c>
      <c r="Q5193">
        <v>0.1215497</v>
      </c>
      <c r="R5193">
        <v>0.34153939999999999</v>
      </c>
      <c r="S5193">
        <v>3.1039889999999999</v>
      </c>
      <c r="T5193">
        <v>-0.8295228</v>
      </c>
      <c r="U5193">
        <v>0.60086059999999997</v>
      </c>
      <c r="V5193">
        <v>-0.15020739999999999</v>
      </c>
      <c r="W5193">
        <v>0.13165750000000001</v>
      </c>
      <c r="X5193">
        <v>0.97984899999999997</v>
      </c>
      <c r="Y5193">
        <v>3.969078E-3</v>
      </c>
      <c r="Z5193">
        <v>-4.9619620000000003E-2</v>
      </c>
      <c r="AA5193">
        <v>0.99876030000000005</v>
      </c>
      <c r="AB5193">
        <v>26</v>
      </c>
      <c r="AC5193">
        <v>0.60550000000000603</v>
      </c>
      <c r="AD5193">
        <v>-0.192298099999999</v>
      </c>
      <c r="AE5193">
        <v>0.11209000000000199</v>
      </c>
      <c r="AF5193">
        <v>1.02594215456284E-2</v>
      </c>
      <c r="AG5193">
        <v>-0.192298099999999</v>
      </c>
      <c r="AH5193">
        <v>0.56097874908519296</v>
      </c>
      <c r="AI5193">
        <v>108.918281296584</v>
      </c>
      <c r="AJ5193">
        <v>88.952266849088602</v>
      </c>
      <c r="AK5193">
        <v>0.59311126436719197</v>
      </c>
      <c r="AL5193">
        <v>82.4346166792064</v>
      </c>
      <c r="AM5193">
        <v>98.715393766679696</v>
      </c>
      <c r="AN5193">
        <v>1.0000000115609999</v>
      </c>
    </row>
    <row r="5194" spans="1:40" x14ac:dyDescent="0.25">
      <c r="A5194" t="str">
        <f>"20190303162702777"</f>
        <v>20190303162702777</v>
      </c>
      <c r="B5194" t="str">
        <f>"1551601622769285"</f>
        <v>1551601622769285</v>
      </c>
      <c r="C5194" t="s">
        <v>40</v>
      </c>
      <c r="D5194">
        <v>4.9636389999999997</v>
      </c>
      <c r="E5194">
        <v>0.56392059999999999</v>
      </c>
      <c r="F5194" t="s">
        <v>42</v>
      </c>
      <c r="G5194">
        <v>-203.67160000000001</v>
      </c>
      <c r="H5194">
        <v>0.9095316</v>
      </c>
      <c r="I5194">
        <v>-61.762599999999999</v>
      </c>
      <c r="J5194">
        <v>-204.37090000000001</v>
      </c>
      <c r="K5194">
        <v>1.1268609999999999</v>
      </c>
      <c r="L5194">
        <v>-61.89575</v>
      </c>
      <c r="M5194">
        <v>0.97889300000000001</v>
      </c>
      <c r="N5194">
        <v>-1.2542370000000001E-2</v>
      </c>
      <c r="O5194">
        <v>0.2039887</v>
      </c>
      <c r="P5194">
        <v>0.9304597</v>
      </c>
      <c r="Q5194">
        <v>0.1222978</v>
      </c>
      <c r="R5194">
        <v>0.3453812</v>
      </c>
      <c r="S5194">
        <v>3.1023860000000001</v>
      </c>
      <c r="T5194">
        <v>-0.82818289999999894</v>
      </c>
      <c r="U5194">
        <v>0.61288450000000005</v>
      </c>
      <c r="V5194">
        <v>-0.15026049999999999</v>
      </c>
      <c r="W5194">
        <v>0.13240379999999999</v>
      </c>
      <c r="X5194">
        <v>0.97974030000000001</v>
      </c>
      <c r="Y5194">
        <v>4.1549109999999998E-3</v>
      </c>
      <c r="Z5194">
        <v>-5.0534040000000002E-2</v>
      </c>
      <c r="AA5194">
        <v>0.99871370000000004</v>
      </c>
      <c r="AB5194">
        <v>26</v>
      </c>
      <c r="AC5194">
        <v>0.69929999999999304</v>
      </c>
      <c r="AD5194">
        <v>-0.21732940000000001</v>
      </c>
      <c r="AE5194">
        <v>0.13314999999999999</v>
      </c>
      <c r="AF5194">
        <v>1.12610637172762E-2</v>
      </c>
      <c r="AG5194">
        <v>-0.21732940000000001</v>
      </c>
      <c r="AH5194">
        <v>0.65107299574002397</v>
      </c>
      <c r="AI5194">
        <v>108.45653397183899</v>
      </c>
      <c r="AJ5194">
        <v>89.009101744791593</v>
      </c>
      <c r="AK5194">
        <v>0.68648009835849799</v>
      </c>
      <c r="AL5194">
        <v>82.391479260000196</v>
      </c>
      <c r="AM5194">
        <v>98.719379850671402</v>
      </c>
      <c r="AN5194">
        <v>1.0000000197793899</v>
      </c>
    </row>
    <row r="5195" spans="1:40" x14ac:dyDescent="0.25">
      <c r="A5195" t="str">
        <f>"20190303162702788"</f>
        <v>20190303162702788</v>
      </c>
      <c r="B5195" t="str">
        <f>"1551601622779045"</f>
        <v>1551601622779045</v>
      </c>
      <c r="C5195" t="s">
        <v>40</v>
      </c>
      <c r="D5195">
        <v>4.9404500000000002</v>
      </c>
      <c r="E5195">
        <v>0.5636274</v>
      </c>
      <c r="F5195" t="s">
        <v>42</v>
      </c>
      <c r="G5195">
        <v>-203.6609</v>
      </c>
      <c r="H5195">
        <v>0.9368571</v>
      </c>
      <c r="I5195">
        <v>-61.752000000000002</v>
      </c>
      <c r="J5195">
        <v>-204.2595</v>
      </c>
      <c r="K5195">
        <v>1.1269020000000001</v>
      </c>
      <c r="L5195">
        <v>-61.868290000000002</v>
      </c>
      <c r="M5195">
        <v>0.97806380000000004</v>
      </c>
      <c r="N5195">
        <v>-1.255378E-2</v>
      </c>
      <c r="O5195">
        <v>0.2079271</v>
      </c>
      <c r="P5195">
        <v>0.92867239999999995</v>
      </c>
      <c r="Q5195">
        <v>0.12345109999999999</v>
      </c>
      <c r="R5195">
        <v>0.34975339999999999</v>
      </c>
      <c r="S5195">
        <v>3.1002960000000002</v>
      </c>
      <c r="T5195">
        <v>-0.82959210000000005</v>
      </c>
      <c r="U5195">
        <v>0.62762450000000003</v>
      </c>
      <c r="V5195">
        <v>-0.15098520000000001</v>
      </c>
      <c r="W5195">
        <v>0.13354369999999999</v>
      </c>
      <c r="X5195">
        <v>0.97947410000000001</v>
      </c>
      <c r="Y5195">
        <v>3.3770319999999999E-3</v>
      </c>
      <c r="Z5195">
        <v>-5.1466999999999999E-2</v>
      </c>
      <c r="AA5195">
        <v>0.99866900000000003</v>
      </c>
      <c r="AB5195">
        <v>26</v>
      </c>
      <c r="AC5195">
        <v>0.59860000000000402</v>
      </c>
      <c r="AD5195">
        <v>-0.19004489999999999</v>
      </c>
      <c r="AE5195">
        <v>0.116290000000006</v>
      </c>
      <c r="AF5195">
        <v>9.7773051781227995E-3</v>
      </c>
      <c r="AG5195">
        <v>-0.19004489999999999</v>
      </c>
      <c r="AH5195">
        <v>0.55572016352728204</v>
      </c>
      <c r="AI5195">
        <v>108.876921544053</v>
      </c>
      <c r="AJ5195">
        <v>88.992045697242304</v>
      </c>
      <c r="AK5195">
        <v>0.58739897843233102</v>
      </c>
      <c r="AL5195">
        <v>82.325582311625794</v>
      </c>
      <c r="AM5195">
        <v>98.763126210151</v>
      </c>
      <c r="AN5195">
        <v>0.99999998149976899</v>
      </c>
    </row>
    <row r="5196" spans="1:40" x14ac:dyDescent="0.25">
      <c r="A5196" t="str">
        <f>"20190303162702800"</f>
        <v>20190303162702800</v>
      </c>
      <c r="B5196" t="str">
        <f>"1551601622789781"</f>
        <v>1551601622789781</v>
      </c>
      <c r="C5196" t="s">
        <v>40</v>
      </c>
      <c r="D5196">
        <v>4.8481489999999896</v>
      </c>
      <c r="E5196">
        <v>0.56332159999999998</v>
      </c>
      <c r="F5196" t="s">
        <v>42</v>
      </c>
      <c r="G5196">
        <v>-203.4537</v>
      </c>
      <c r="H5196">
        <v>0.91062750000000003</v>
      </c>
      <c r="I5196">
        <v>-61.700389999999999</v>
      </c>
      <c r="J5196">
        <v>-204.12289999999999</v>
      </c>
      <c r="K5196">
        <v>1.1269499999999999</v>
      </c>
      <c r="L5196">
        <v>-61.834110000000003</v>
      </c>
      <c r="M5196">
        <v>0.97702029999999995</v>
      </c>
      <c r="N5196">
        <v>-1.2567480000000001E-2</v>
      </c>
      <c r="O5196">
        <v>0.21277599999999999</v>
      </c>
      <c r="P5196">
        <v>0.92640639999999996</v>
      </c>
      <c r="Q5196">
        <v>0.123886999999999</v>
      </c>
      <c r="R5196">
        <v>0.3555605</v>
      </c>
      <c r="S5196">
        <v>3.097763</v>
      </c>
      <c r="T5196">
        <v>-0.83190200000000003</v>
      </c>
      <c r="U5196">
        <v>0.64590449999999999</v>
      </c>
      <c r="V5196">
        <v>-0.1522917</v>
      </c>
      <c r="W5196">
        <v>0.1339562</v>
      </c>
      <c r="X5196">
        <v>0.97921550000000002</v>
      </c>
      <c r="Y5196">
        <v>2.3818440000000001E-3</v>
      </c>
      <c r="Z5196">
        <v>-5.2648390000000003E-2</v>
      </c>
      <c r="AA5196">
        <v>0.99861029999999995</v>
      </c>
      <c r="AB5196">
        <v>26</v>
      </c>
      <c r="AC5196">
        <v>0.66919999999998903</v>
      </c>
      <c r="AD5196">
        <v>-0.2163225</v>
      </c>
      <c r="AE5196">
        <v>0.13371999999998899</v>
      </c>
      <c r="AF5196">
        <v>1.06712068891957E-2</v>
      </c>
      <c r="AG5196">
        <v>-0.2163225</v>
      </c>
      <c r="AH5196">
        <v>0.62002669630873397</v>
      </c>
      <c r="AI5196">
        <v>109.230844207185</v>
      </c>
      <c r="AJ5196">
        <v>89.013986395387903</v>
      </c>
      <c r="AK5196">
        <v>0.65676662734813596</v>
      </c>
      <c r="AL5196">
        <v>82.301733747257302</v>
      </c>
      <c r="AM5196">
        <v>98.840060040582301</v>
      </c>
      <c r="AN5196">
        <v>1.0000000104237901</v>
      </c>
    </row>
    <row r="5197" spans="1:40" x14ac:dyDescent="0.25">
      <c r="A5197" t="str">
        <f>"20190303162702813"</f>
        <v>20190303162702813</v>
      </c>
      <c r="B5197" t="str">
        <f>"1551601622809301"</f>
        <v>1551601622809301</v>
      </c>
      <c r="C5197" t="s">
        <v>40</v>
      </c>
      <c r="D5197">
        <v>4.8450980000000001</v>
      </c>
      <c r="E5197">
        <v>0.56280209999999997</v>
      </c>
      <c r="F5197" t="s">
        <v>42</v>
      </c>
      <c r="G5197">
        <v>-203.44130000000001</v>
      </c>
      <c r="H5197">
        <v>0.94272880000000003</v>
      </c>
      <c r="I5197">
        <v>-61.68683</v>
      </c>
      <c r="J5197">
        <v>-203.99209999999999</v>
      </c>
      <c r="K5197">
        <v>1.1270039999999999</v>
      </c>
      <c r="L5197">
        <v>-61.800350000000002</v>
      </c>
      <c r="M5197">
        <v>0.97598620000000003</v>
      </c>
      <c r="N5197">
        <v>-1.2580610000000001E-2</v>
      </c>
      <c r="O5197">
        <v>0.21746860000000001</v>
      </c>
      <c r="P5197">
        <v>0.92439070000000001</v>
      </c>
      <c r="Q5197">
        <v>0.12531639999999999</v>
      </c>
      <c r="R5197">
        <v>0.36027429999999999</v>
      </c>
      <c r="S5197">
        <v>3.0934300000000001</v>
      </c>
      <c r="T5197">
        <v>-0.83664300000000003</v>
      </c>
      <c r="U5197">
        <v>0.66897580000000001</v>
      </c>
      <c r="V5197">
        <v>-0.15265039999999999</v>
      </c>
      <c r="W5197">
        <v>0.13537560000000001</v>
      </c>
      <c r="X5197">
        <v>0.97896439999999996</v>
      </c>
      <c r="Y5197">
        <v>-3.3975019999999898E-4</v>
      </c>
      <c r="Z5197">
        <v>-5.3737100000000003E-2</v>
      </c>
      <c r="AA5197">
        <v>0.99855510000000003</v>
      </c>
      <c r="AB5197">
        <v>26</v>
      </c>
      <c r="AC5197">
        <v>0.55079999999998097</v>
      </c>
      <c r="AD5197">
        <v>-0.1842752</v>
      </c>
      <c r="AE5197">
        <v>0.113519999999994</v>
      </c>
      <c r="AF5197">
        <v>8.1169531693192198E-3</v>
      </c>
      <c r="AG5197">
        <v>-0.1842752</v>
      </c>
      <c r="AH5197">
        <v>0.50778440127060598</v>
      </c>
      <c r="AI5197">
        <v>109.943511618485</v>
      </c>
      <c r="AJ5197">
        <v>89.084202759143295</v>
      </c>
      <c r="AK5197">
        <v>0.54024830627919596</v>
      </c>
      <c r="AL5197">
        <v>82.219660406815706</v>
      </c>
      <c r="AM5197">
        <v>98.862788072868398</v>
      </c>
      <c r="AN5197">
        <v>0.99999999708143905</v>
      </c>
    </row>
    <row r="5198" spans="1:40" x14ac:dyDescent="0.25">
      <c r="A5198" t="str">
        <f>"20190303162702826"</f>
        <v>20190303162702826</v>
      </c>
      <c r="B5198" t="str">
        <f>"1551601622819062"</f>
        <v>1551601622819062</v>
      </c>
      <c r="C5198" t="s">
        <v>40</v>
      </c>
      <c r="D5198">
        <v>4.8265250000000002</v>
      </c>
      <c r="E5198">
        <v>0.56265290000000001</v>
      </c>
      <c r="F5198" t="s">
        <v>42</v>
      </c>
      <c r="G5198">
        <v>-203.2336</v>
      </c>
      <c r="H5198">
        <v>0.92042869999999999</v>
      </c>
      <c r="I5198">
        <v>-61.630859999999998</v>
      </c>
      <c r="J5198">
        <v>-203.84399999999999</v>
      </c>
      <c r="K5198">
        <v>1.127062</v>
      </c>
      <c r="L5198">
        <v>-61.761600000000001</v>
      </c>
      <c r="M5198">
        <v>0.97478149999999997</v>
      </c>
      <c r="N5198">
        <v>-1.259539E-2</v>
      </c>
      <c r="O5198">
        <v>0.22280559999999999</v>
      </c>
      <c r="P5198">
        <v>0.92212830000000001</v>
      </c>
      <c r="Q5198">
        <v>0.12678889999999901</v>
      </c>
      <c r="R5198">
        <v>0.36551899999999998</v>
      </c>
      <c r="S5198">
        <v>3.090271</v>
      </c>
      <c r="T5198">
        <v>-0.84186740000000004</v>
      </c>
      <c r="U5198">
        <v>0.69079590000000002</v>
      </c>
      <c r="V5198">
        <v>-0.15293779999999901</v>
      </c>
      <c r="W5198">
        <v>0.13683770000000001</v>
      </c>
      <c r="X5198">
        <v>0.97871629999999998</v>
      </c>
      <c r="Y5198">
        <v>-1.9875819999999999E-3</v>
      </c>
      <c r="Z5198">
        <v>-5.5152E-2</v>
      </c>
      <c r="AA5198">
        <v>0.99847600000000003</v>
      </c>
      <c r="AB5198">
        <v>26</v>
      </c>
      <c r="AC5198">
        <v>0.61040000000002603</v>
      </c>
      <c r="AD5198">
        <v>-0.20663329999999999</v>
      </c>
      <c r="AE5198">
        <v>0.13074000000000199</v>
      </c>
      <c r="AF5198">
        <v>7.7131544471174098E-3</v>
      </c>
      <c r="AG5198">
        <v>-0.20663329999999999</v>
      </c>
      <c r="AH5198">
        <v>0.56254748739397298</v>
      </c>
      <c r="AI5198">
        <v>110.16740314883501</v>
      </c>
      <c r="AJ5198">
        <v>89.214460083815993</v>
      </c>
      <c r="AK5198">
        <v>0.599346718514156</v>
      </c>
      <c r="AL5198">
        <v>82.135101857501894</v>
      </c>
      <c r="AM5198">
        <v>98.881423663078195</v>
      </c>
      <c r="AN5198">
        <v>1.0000000613479001</v>
      </c>
    </row>
    <row r="5199" spans="1:40" x14ac:dyDescent="0.25">
      <c r="A5199" t="str">
        <f>"20190303162702842"</f>
        <v>20190303162702842</v>
      </c>
      <c r="B5199" t="str">
        <f>"1551601622829797"</f>
        <v>1551601622829797</v>
      </c>
      <c r="C5199" t="s">
        <v>40</v>
      </c>
      <c r="D5199">
        <v>4.8285549999999997</v>
      </c>
      <c r="E5199">
        <v>0.56245210000000001</v>
      </c>
      <c r="F5199" t="s">
        <v>42</v>
      </c>
      <c r="G5199">
        <v>-203.02359999999999</v>
      </c>
      <c r="H5199">
        <v>0.90373709999999996</v>
      </c>
      <c r="I5199">
        <v>-61.572650000000003</v>
      </c>
      <c r="J5199">
        <v>-203.6686</v>
      </c>
      <c r="K5199">
        <v>1.1271420000000001</v>
      </c>
      <c r="L5199">
        <v>-61.71454</v>
      </c>
      <c r="M5199">
        <v>0.97330070000000002</v>
      </c>
      <c r="N5199">
        <v>-1.2613269999999999E-2</v>
      </c>
      <c r="O5199">
        <v>0.2291869</v>
      </c>
      <c r="P5199">
        <v>0.91947409999999996</v>
      </c>
      <c r="Q5199">
        <v>0.12921079999999999</v>
      </c>
      <c r="R5199">
        <v>0.371311</v>
      </c>
      <c r="S5199">
        <v>3.0869900000000001</v>
      </c>
      <c r="T5199">
        <v>-0.84066669999999999</v>
      </c>
      <c r="U5199">
        <v>0.71127320000000005</v>
      </c>
      <c r="V5199">
        <v>-0.15281539999999999</v>
      </c>
      <c r="W5199">
        <v>0.13925290000000001</v>
      </c>
      <c r="X5199">
        <v>0.9783946</v>
      </c>
      <c r="Y5199">
        <v>-2.1234069999999999E-3</v>
      </c>
      <c r="Z5199">
        <v>-5.6608329999999998E-2</v>
      </c>
      <c r="AA5199">
        <v>0.99839420000000001</v>
      </c>
      <c r="AB5199">
        <v>26</v>
      </c>
      <c r="AC5199">
        <v>0.64500000000001001</v>
      </c>
      <c r="AD5199">
        <v>-0.22340489999999999</v>
      </c>
      <c r="AE5199">
        <v>0.14188999999999599</v>
      </c>
      <c r="AF5199">
        <v>8.7261501889974707E-3</v>
      </c>
      <c r="AG5199">
        <v>-0.22340489999999999</v>
      </c>
      <c r="AH5199">
        <v>0.59254553900814799</v>
      </c>
      <c r="AI5199">
        <v>110.655681882335</v>
      </c>
      <c r="AJ5199">
        <v>89.156291954169205</v>
      </c>
      <c r="AK5199">
        <v>0.63332149090299195</v>
      </c>
      <c r="AL5199">
        <v>81.995382529742102</v>
      </c>
      <c r="AM5199">
        <v>98.877300296715902</v>
      </c>
      <c r="AN5199">
        <v>0.99999995497236305</v>
      </c>
    </row>
    <row r="5200" spans="1:40" x14ac:dyDescent="0.25">
      <c r="A5200" t="str">
        <f>"20190303162702853"</f>
        <v>20190303162702853</v>
      </c>
      <c r="B5200" t="str">
        <f>"1551601622849319"</f>
        <v>1551601622849319</v>
      </c>
      <c r="C5200" t="s">
        <v>40</v>
      </c>
      <c r="D5200">
        <v>4.7688439999999996</v>
      </c>
      <c r="E5200">
        <v>0.56213869999999999</v>
      </c>
      <c r="F5200" t="s">
        <v>42</v>
      </c>
      <c r="G5200">
        <v>-203.00649999999999</v>
      </c>
      <c r="H5200">
        <v>0.94752380000000003</v>
      </c>
      <c r="I5200">
        <v>-61.55688</v>
      </c>
      <c r="J5200">
        <v>-203.55199999999999</v>
      </c>
      <c r="K5200">
        <v>1.1271899999999999</v>
      </c>
      <c r="L5200">
        <v>-61.682189999999999</v>
      </c>
      <c r="M5200">
        <v>0.97227870000000005</v>
      </c>
      <c r="N5200">
        <v>-1.262565E-2</v>
      </c>
      <c r="O5200">
        <v>0.23348379999999999</v>
      </c>
      <c r="P5200">
        <v>0.91747909999999999</v>
      </c>
      <c r="Q5200">
        <v>0.13022700000000001</v>
      </c>
      <c r="R5200">
        <v>0.375863</v>
      </c>
      <c r="S5200">
        <v>3.0836489999999999</v>
      </c>
      <c r="T5200">
        <v>-0.83698689999999998</v>
      </c>
      <c r="U5200">
        <v>0.73468020000000001</v>
      </c>
      <c r="V5200">
        <v>-0.153407399999999</v>
      </c>
      <c r="W5200">
        <v>0.1402534</v>
      </c>
      <c r="X5200">
        <v>0.97815909999999995</v>
      </c>
      <c r="Y5200">
        <v>-5.0825200000000001E-3</v>
      </c>
      <c r="Z5200">
        <v>-5.6983850000000003E-2</v>
      </c>
      <c r="AA5200">
        <v>0.99836219999999998</v>
      </c>
      <c r="AB5200">
        <v>26</v>
      </c>
      <c r="AC5200">
        <v>0.54550000000003196</v>
      </c>
      <c r="AD5200">
        <v>-0.179666199999999</v>
      </c>
      <c r="AE5200">
        <v>0.12530999999999801</v>
      </c>
      <c r="AF5200">
        <v>5.0130592757512398E-3</v>
      </c>
      <c r="AG5200">
        <v>-0.179666199999999</v>
      </c>
      <c r="AH5200">
        <v>0.50739774222254896</v>
      </c>
      <c r="AI5200">
        <v>109.49783944070801</v>
      </c>
      <c r="AJ5200">
        <v>89.433939551017403</v>
      </c>
      <c r="AK5200">
        <v>0.53829131796665897</v>
      </c>
      <c r="AL5200">
        <v>81.937490616758893</v>
      </c>
      <c r="AM5200">
        <v>98.913250681388106</v>
      </c>
      <c r="AN5200">
        <v>1.00000003574956</v>
      </c>
    </row>
    <row r="5201" spans="1:40" x14ac:dyDescent="0.25">
      <c r="A5201" t="str">
        <f>"20190303162702864"</f>
        <v>20190303162702864</v>
      </c>
      <c r="B5201" t="str">
        <f>"1551601622859078"</f>
        <v>1551601622859078</v>
      </c>
      <c r="C5201" t="s">
        <v>40</v>
      </c>
      <c r="D5201">
        <v>4.7487640000000004</v>
      </c>
      <c r="E5201">
        <v>0.56202439999999998</v>
      </c>
      <c r="F5201" t="s">
        <v>42</v>
      </c>
      <c r="G5201">
        <v>-202.80099999999999</v>
      </c>
      <c r="H5201">
        <v>0.92250120000000002</v>
      </c>
      <c r="I5201">
        <v>-61.498559999999998</v>
      </c>
      <c r="J5201">
        <v>-203.42679999999999</v>
      </c>
      <c r="K5201">
        <v>1.1272450000000001</v>
      </c>
      <c r="L5201">
        <v>-61.647190000000002</v>
      </c>
      <c r="M5201">
        <v>0.97115560000000001</v>
      </c>
      <c r="N5201">
        <v>-1.263865E-2</v>
      </c>
      <c r="O5201">
        <v>0.23811160000000001</v>
      </c>
      <c r="P5201">
        <v>0.91516830000000005</v>
      </c>
      <c r="Q5201">
        <v>0.13157449999999901</v>
      </c>
      <c r="R5201">
        <v>0.3809922</v>
      </c>
      <c r="S5201">
        <v>3.0804140000000002</v>
      </c>
      <c r="T5201">
        <v>-0.83962990000000004</v>
      </c>
      <c r="U5201">
        <v>0.75332639999999995</v>
      </c>
      <c r="V5201">
        <v>-0.154308</v>
      </c>
      <c r="W5201">
        <v>0.1415785</v>
      </c>
      <c r="X5201">
        <v>0.97782650000000004</v>
      </c>
      <c r="Y5201">
        <v>-6.3997259999999997E-3</v>
      </c>
      <c r="Z5201">
        <v>-5.8111049999999997E-2</v>
      </c>
      <c r="AA5201">
        <v>0.9982896</v>
      </c>
      <c r="AB5201">
        <v>26</v>
      </c>
      <c r="AC5201">
        <v>0.62579999999999802</v>
      </c>
      <c r="AD5201">
        <v>-0.2047438</v>
      </c>
      <c r="AE5201">
        <v>0.14863000000000401</v>
      </c>
      <c r="AF5201">
        <v>4.23830666249966E-3</v>
      </c>
      <c r="AG5201">
        <v>-0.2047438</v>
      </c>
      <c r="AH5201">
        <v>0.58401541124899004</v>
      </c>
      <c r="AI5201">
        <v>109.31914656262499</v>
      </c>
      <c r="AJ5201">
        <v>89.584201347502301</v>
      </c>
      <c r="AK5201">
        <v>0.61887962275238295</v>
      </c>
      <c r="AL5201">
        <v>81.860802845806006</v>
      </c>
      <c r="AM5201">
        <v>98.967729508231997</v>
      </c>
      <c r="AN5201">
        <v>1.0000000473142401</v>
      </c>
    </row>
    <row r="5202" spans="1:40" x14ac:dyDescent="0.25">
      <c r="A5202" t="str">
        <f>"20190303162702876"</f>
        <v>20190303162702876</v>
      </c>
      <c r="B5202" t="str">
        <f>"1551601622869814"</f>
        <v>1551601622869814</v>
      </c>
      <c r="C5202" t="s">
        <v>40</v>
      </c>
      <c r="D5202">
        <v>4.7189040000000002</v>
      </c>
      <c r="E5202">
        <v>0.56189019999999901</v>
      </c>
      <c r="F5202" t="s">
        <v>42</v>
      </c>
      <c r="G5202">
        <v>-202.5941</v>
      </c>
      <c r="H5202">
        <v>0.90067809999999904</v>
      </c>
      <c r="I5202">
        <v>-61.438279999999999</v>
      </c>
      <c r="J5202">
        <v>-203.2927</v>
      </c>
      <c r="K5202">
        <v>1.1273070000000001</v>
      </c>
      <c r="L5202">
        <v>-61.608699999999999</v>
      </c>
      <c r="M5202">
        <v>0.96991249999999996</v>
      </c>
      <c r="N5202">
        <v>-1.265288E-2</v>
      </c>
      <c r="O5202">
        <v>0.2431249</v>
      </c>
      <c r="P5202">
        <v>0.91263099999999997</v>
      </c>
      <c r="Q5202">
        <v>0.13269310000000001</v>
      </c>
      <c r="R5202">
        <v>0.3866483</v>
      </c>
      <c r="S5202">
        <v>3.0769959999999998</v>
      </c>
      <c r="T5202">
        <v>-0.8376943</v>
      </c>
      <c r="U5202">
        <v>0.77236939999999998</v>
      </c>
      <c r="V5202">
        <v>-0.15538460000000001</v>
      </c>
      <c r="W5202">
        <v>0.1426702</v>
      </c>
      <c r="X5202">
        <v>0.97749719999999996</v>
      </c>
      <c r="Y5202">
        <v>-7.3875009999999899E-3</v>
      </c>
      <c r="Z5202">
        <v>-5.9054120000000002E-2</v>
      </c>
      <c r="AA5202">
        <v>0.99822739999999999</v>
      </c>
      <c r="AB5202">
        <v>26</v>
      </c>
      <c r="AC5202">
        <v>0.698599999999999</v>
      </c>
      <c r="AD5202">
        <v>-0.22662889999999999</v>
      </c>
      <c r="AE5202">
        <v>0.17041999999999199</v>
      </c>
      <c r="AF5202">
        <v>4.14338049734677E-3</v>
      </c>
      <c r="AG5202">
        <v>-0.22662889999999999</v>
      </c>
      <c r="AH5202">
        <v>0.65410159954811198</v>
      </c>
      <c r="AI5202">
        <v>109.109492216123</v>
      </c>
      <c r="AJ5202">
        <v>89.637067023802302</v>
      </c>
      <c r="AK5202">
        <v>0.69226203741686898</v>
      </c>
      <c r="AL5202">
        <v>81.797610920974407</v>
      </c>
      <c r="AM5202">
        <v>99.032261318178698</v>
      </c>
      <c r="AN5202">
        <v>0.99999996794651902</v>
      </c>
    </row>
    <row r="5203" spans="1:40" x14ac:dyDescent="0.25">
      <c r="A5203" t="str">
        <f>"20190303162702889"</f>
        <v>20190303162702889</v>
      </c>
      <c r="B5203" t="str">
        <f>"1551601622879574"</f>
        <v>1551601622879574</v>
      </c>
      <c r="C5203" t="s">
        <v>40</v>
      </c>
      <c r="D5203">
        <v>4.7077059999999999</v>
      </c>
      <c r="E5203">
        <v>0.56176479999999995</v>
      </c>
      <c r="F5203" t="s">
        <v>42</v>
      </c>
      <c r="G5203">
        <v>-202.58179999999999</v>
      </c>
      <c r="H5203">
        <v>0.93383879999999997</v>
      </c>
      <c r="I5203">
        <v>-61.425260000000002</v>
      </c>
      <c r="J5203">
        <v>-203.16720000000001</v>
      </c>
      <c r="K5203">
        <v>1.127364</v>
      </c>
      <c r="L5203">
        <v>-61.57199</v>
      </c>
      <c r="M5203">
        <v>0.96871470000000004</v>
      </c>
      <c r="N5203">
        <v>-1.2666149999999999E-2</v>
      </c>
      <c r="O5203">
        <v>0.24785360000000001</v>
      </c>
      <c r="P5203">
        <v>0.90992169999999895</v>
      </c>
      <c r="Q5203">
        <v>0.13419510000000001</v>
      </c>
      <c r="R5203">
        <v>0.39247219999999999</v>
      </c>
      <c r="S5203">
        <v>3.0727690000000001</v>
      </c>
      <c r="T5203">
        <v>-0.8367</v>
      </c>
      <c r="U5203">
        <v>0.79327389999999998</v>
      </c>
      <c r="V5203">
        <v>-0.15696060000000001</v>
      </c>
      <c r="W5203">
        <v>0.1441365</v>
      </c>
      <c r="X5203">
        <v>0.97703019999999996</v>
      </c>
      <c r="Y5203">
        <v>-9.265222E-3</v>
      </c>
      <c r="Z5203">
        <v>-5.9876649999999997E-2</v>
      </c>
      <c r="AA5203">
        <v>0.99816280000000002</v>
      </c>
      <c r="AB5203">
        <v>26</v>
      </c>
      <c r="AC5203">
        <v>0.58540000000002101</v>
      </c>
      <c r="AD5203">
        <v>-0.19352519999999901</v>
      </c>
      <c r="AE5203">
        <v>0.146730000000005</v>
      </c>
      <c r="AF5203">
        <v>2.6787755849520798E-3</v>
      </c>
      <c r="AG5203">
        <v>-0.19352519999999901</v>
      </c>
      <c r="AH5203">
        <v>0.54723131012276505</v>
      </c>
      <c r="AI5203">
        <v>109.475631575618</v>
      </c>
      <c r="AJ5203">
        <v>89.719531199109099</v>
      </c>
      <c r="AK5203">
        <v>0.58044921022631502</v>
      </c>
      <c r="AL5203">
        <v>81.712720862970599</v>
      </c>
      <c r="AM5203">
        <v>99.126625810844899</v>
      </c>
      <c r="AN5203">
        <v>0.99999998614832397</v>
      </c>
    </row>
    <row r="5204" spans="1:40" x14ac:dyDescent="0.25">
      <c r="A5204" t="str">
        <f>"20190303162702902"</f>
        <v>20190303162702902</v>
      </c>
      <c r="B5204" t="str">
        <f>"1551601622889334"</f>
        <v>1551601622889334</v>
      </c>
      <c r="C5204" t="s">
        <v>40</v>
      </c>
      <c r="D5204">
        <v>4.674633</v>
      </c>
      <c r="E5204">
        <v>0.56165609999999999</v>
      </c>
      <c r="F5204" t="s">
        <v>42</v>
      </c>
      <c r="G5204">
        <v>-202.376</v>
      </c>
      <c r="H5204">
        <v>0.91229360000000004</v>
      </c>
      <c r="I5204">
        <v>-61.361939999999997</v>
      </c>
      <c r="J5204">
        <v>-203.024</v>
      </c>
      <c r="K5204">
        <v>1.1274309999999901</v>
      </c>
      <c r="L5204">
        <v>-61.529449999999997</v>
      </c>
      <c r="M5204">
        <v>0.96730870000000002</v>
      </c>
      <c r="N5204">
        <v>-1.2681130000000001E-2</v>
      </c>
      <c r="O5204">
        <v>0.25328440000000002</v>
      </c>
      <c r="P5204">
        <v>0.90659829999999997</v>
      </c>
      <c r="Q5204">
        <v>0.13564970000000001</v>
      </c>
      <c r="R5204">
        <v>0.39959790000000001</v>
      </c>
      <c r="S5204">
        <v>3.0685730000000002</v>
      </c>
      <c r="T5204">
        <v>-0.83425020000000005</v>
      </c>
      <c r="U5204">
        <v>0.81481930000000002</v>
      </c>
      <c r="V5204">
        <v>-0.15924489999999999</v>
      </c>
      <c r="W5204">
        <v>0.14554059999999999</v>
      </c>
      <c r="X5204">
        <v>0.97645230000000005</v>
      </c>
      <c r="Y5204">
        <v>-1.060878E-2</v>
      </c>
      <c r="Z5204">
        <v>-6.08246E-2</v>
      </c>
      <c r="AA5204">
        <v>0.99809210000000004</v>
      </c>
      <c r="AB5204">
        <v>26</v>
      </c>
      <c r="AC5204">
        <v>0.648000000000024</v>
      </c>
      <c r="AD5204">
        <v>-0.21513739999999901</v>
      </c>
      <c r="AE5204">
        <v>0.167509999999992</v>
      </c>
      <c r="AF5204">
        <v>1.89843131973949E-3</v>
      </c>
      <c r="AG5204">
        <v>-0.21513739999999901</v>
      </c>
      <c r="AH5204">
        <v>0.60662081026572701</v>
      </c>
      <c r="AI5204">
        <v>109.526906604545</v>
      </c>
      <c r="AJ5204">
        <v>89.820692357767399</v>
      </c>
      <c r="AK5204">
        <v>0.64364315607926903</v>
      </c>
      <c r="AL5204">
        <v>81.631415031856605</v>
      </c>
      <c r="AM5204">
        <v>99.262549029112293</v>
      </c>
      <c r="AN5204">
        <v>1.00000004929982</v>
      </c>
    </row>
    <row r="5205" spans="1:40" x14ac:dyDescent="0.25">
      <c r="A5205" t="str">
        <f>"20190303162702915"</f>
        <v>20190303162702915</v>
      </c>
      <c r="B5205" t="str">
        <f>"1551601622909830"</f>
        <v>1551601622909830</v>
      </c>
      <c r="C5205" t="s">
        <v>40</v>
      </c>
      <c r="D5205">
        <v>4.6817609999999998</v>
      </c>
      <c r="E5205">
        <v>0.56141419999999997</v>
      </c>
      <c r="F5205" t="s">
        <v>42</v>
      </c>
      <c r="G5205">
        <v>-202.36250000000001</v>
      </c>
      <c r="H5205">
        <v>0.9478974</v>
      </c>
      <c r="I5205">
        <v>-61.348080000000003</v>
      </c>
      <c r="J5205">
        <v>-202.886</v>
      </c>
      <c r="K5205">
        <v>1.127486</v>
      </c>
      <c r="L5205">
        <v>-61.487180000000002</v>
      </c>
      <c r="M5205">
        <v>0.96590299999999996</v>
      </c>
      <c r="N5205">
        <v>-1.2695669999999999E-2</v>
      </c>
      <c r="O5205">
        <v>0.25859270000000001</v>
      </c>
      <c r="P5205">
        <v>0.9034354</v>
      </c>
      <c r="Q5205">
        <v>0.13689519999999999</v>
      </c>
      <c r="R5205">
        <v>0.406281</v>
      </c>
      <c r="S5205">
        <v>3.0632169999999999</v>
      </c>
      <c r="T5205">
        <v>-0.83153199999999905</v>
      </c>
      <c r="U5205">
        <v>0.8400879</v>
      </c>
      <c r="V5205">
        <v>-0.1611832</v>
      </c>
      <c r="W5205">
        <v>0.1467425</v>
      </c>
      <c r="X5205">
        <v>0.97595419999999999</v>
      </c>
      <c r="Y5205">
        <v>-1.323618E-2</v>
      </c>
      <c r="Z5205">
        <v>-6.1546780000000002E-2</v>
      </c>
      <c r="AA5205">
        <v>0.99801640000000003</v>
      </c>
      <c r="AB5205">
        <v>26</v>
      </c>
      <c r="AC5205">
        <v>0.52349999999998398</v>
      </c>
      <c r="AD5205">
        <v>-0.17958859999999999</v>
      </c>
      <c r="AE5205">
        <v>0.139099999999999</v>
      </c>
      <c r="AF5205">
        <v>9.1560530019717202E-4</v>
      </c>
      <c r="AG5205">
        <v>-0.17958859999999999</v>
      </c>
      <c r="AH5205">
        <v>0.48801874419963698</v>
      </c>
      <c r="AI5205">
        <v>110.20334488165</v>
      </c>
      <c r="AJ5205">
        <v>89.892503600586707</v>
      </c>
      <c r="AK5205">
        <v>0.52001461351890499</v>
      </c>
      <c r="AL5205">
        <v>81.561803386801202</v>
      </c>
      <c r="AM5205">
        <v>99.378000870957706</v>
      </c>
      <c r="AN5205">
        <v>0.99999999288306496</v>
      </c>
    </row>
    <row r="5206" spans="1:40" x14ac:dyDescent="0.25">
      <c r="A5206" t="str">
        <f>"20190303162702927"</f>
        <v>20190303162702927</v>
      </c>
      <c r="B5206" t="str">
        <f>"1551601622919590"</f>
        <v>1551601622919590</v>
      </c>
      <c r="C5206" t="s">
        <v>40</v>
      </c>
      <c r="D5206">
        <v>4.6967509999999999</v>
      </c>
      <c r="E5206">
        <v>0.56124890000000005</v>
      </c>
      <c r="F5206" t="s">
        <v>42</v>
      </c>
      <c r="G5206">
        <v>-202.1568</v>
      </c>
      <c r="H5206">
        <v>0.92921909999999996</v>
      </c>
      <c r="I5206">
        <v>-61.28105</v>
      </c>
      <c r="J5206">
        <v>-202.7527</v>
      </c>
      <c r="K5206">
        <v>1.127542</v>
      </c>
      <c r="L5206">
        <v>-61.445799999999998</v>
      </c>
      <c r="M5206">
        <v>0.96450820000000004</v>
      </c>
      <c r="N5206">
        <v>-1.2709369999999999E-2</v>
      </c>
      <c r="O5206">
        <v>0.26374699999999901</v>
      </c>
      <c r="P5206">
        <v>0.89992850000000002</v>
      </c>
      <c r="Q5206">
        <v>0.1382553</v>
      </c>
      <c r="R5206">
        <v>0.41353859999999998</v>
      </c>
      <c r="S5206">
        <v>3.0578159999999999</v>
      </c>
      <c r="T5206">
        <v>-0.83188719999999905</v>
      </c>
      <c r="U5206">
        <v>0.86480709999999905</v>
      </c>
      <c r="V5206">
        <v>-0.1639245</v>
      </c>
      <c r="W5206">
        <v>0.1480437</v>
      </c>
      <c r="X5206">
        <v>0.97530079999999997</v>
      </c>
      <c r="Y5206">
        <v>-1.5893560000000001E-2</v>
      </c>
      <c r="Z5206">
        <v>-6.2456100000000001E-2</v>
      </c>
      <c r="AA5206">
        <v>0.99792119999999995</v>
      </c>
      <c r="AB5206">
        <v>26</v>
      </c>
      <c r="AC5206">
        <v>0.59589999999999999</v>
      </c>
      <c r="AD5206">
        <v>-0.1983229</v>
      </c>
      <c r="AE5206">
        <v>0.16474999999999701</v>
      </c>
      <c r="AF5206">
        <v>-1.57405992167808E-3</v>
      </c>
      <c r="AG5206">
        <v>-0.1983229</v>
      </c>
      <c r="AH5206">
        <v>0.56057062158636595</v>
      </c>
      <c r="AI5206">
        <v>109.48307375568299</v>
      </c>
      <c r="AJ5206">
        <v>90.160883838200604</v>
      </c>
      <c r="AK5206">
        <v>0.59462078008994201</v>
      </c>
      <c r="AL5206">
        <v>81.486426178037703</v>
      </c>
      <c r="AM5206">
        <v>99.540861673073096</v>
      </c>
      <c r="AN5206">
        <v>0.99999991464528604</v>
      </c>
    </row>
    <row r="5207" spans="1:40" x14ac:dyDescent="0.25">
      <c r="A5207" t="str">
        <f>"20190303162702943"</f>
        <v>20190303162702943</v>
      </c>
      <c r="B5207" t="str">
        <f>"1551601622929350"</f>
        <v>1551601622929350</v>
      </c>
      <c r="C5207" t="s">
        <v>40</v>
      </c>
      <c r="D5207">
        <v>4.7504169999999997</v>
      </c>
      <c r="E5207">
        <v>0.56124890000000005</v>
      </c>
      <c r="F5207" t="s">
        <v>42</v>
      </c>
      <c r="G5207">
        <v>-201.95169999999999</v>
      </c>
      <c r="H5207">
        <v>0.90985799999999994</v>
      </c>
      <c r="I5207">
        <v>-61.212179999999996</v>
      </c>
      <c r="J5207">
        <v>-202.58760000000001</v>
      </c>
      <c r="K5207">
        <v>1.127618</v>
      </c>
      <c r="L5207">
        <v>-61.393459999999997</v>
      </c>
      <c r="M5207">
        <v>0.96272409999999997</v>
      </c>
      <c r="N5207">
        <v>-1.2726019999999999E-2</v>
      </c>
      <c r="O5207">
        <v>0.27018579999999998</v>
      </c>
      <c r="P5207">
        <v>0.89346899999999996</v>
      </c>
      <c r="Q5207">
        <v>0.13980499999999901</v>
      </c>
      <c r="R5207">
        <v>0.4268113</v>
      </c>
      <c r="S5207">
        <v>3.0519099999999999</v>
      </c>
      <c r="T5207">
        <v>-0.829713699999999</v>
      </c>
      <c r="U5207">
        <v>0.89041139999999996</v>
      </c>
      <c r="V5207">
        <v>-0.1719628</v>
      </c>
      <c r="W5207">
        <v>0.1494347</v>
      </c>
      <c r="X5207">
        <v>0.97370330000000005</v>
      </c>
      <c r="Y5207">
        <v>-1.7536590000000001E-2</v>
      </c>
      <c r="Z5207">
        <v>-6.361472E-2</v>
      </c>
      <c r="AA5207">
        <v>0.99782040000000005</v>
      </c>
      <c r="AB5207">
        <v>26</v>
      </c>
      <c r="AC5207">
        <v>0.63590000000002</v>
      </c>
      <c r="AD5207">
        <v>-0.21776000000000001</v>
      </c>
      <c r="AE5207">
        <v>0.181279999999993</v>
      </c>
      <c r="AF5207">
        <v>-2.4463753486311502E-3</v>
      </c>
      <c r="AG5207">
        <v>-0.21776000000000001</v>
      </c>
      <c r="AH5207">
        <v>0.59653279369572298</v>
      </c>
      <c r="AI5207">
        <v>110.05409077489</v>
      </c>
      <c r="AJ5207">
        <v>90.2349681329991</v>
      </c>
      <c r="AK5207">
        <v>0.63504076743684001</v>
      </c>
      <c r="AL5207">
        <v>81.4058321916512</v>
      </c>
      <c r="AM5207">
        <v>100.01555832737201</v>
      </c>
      <c r="AN5207">
        <v>1.0000000252894099</v>
      </c>
    </row>
    <row r="5208" spans="1:40" x14ac:dyDescent="0.25">
      <c r="A5208" t="str">
        <f>"20190303162702953"</f>
        <v>20190303162702953</v>
      </c>
      <c r="B5208" t="str">
        <f>"1551601622949846"</f>
        <v>1551601622949846</v>
      </c>
      <c r="C5208" t="s">
        <v>40</v>
      </c>
      <c r="D5208">
        <v>4.9159709999999999</v>
      </c>
      <c r="E5208">
        <v>0.5504793</v>
      </c>
      <c r="F5208" t="s">
        <v>42</v>
      </c>
      <c r="G5208">
        <v>-201.7448</v>
      </c>
      <c r="H5208">
        <v>0.8994605</v>
      </c>
      <c r="I5208">
        <v>-61.13494</v>
      </c>
      <c r="J5208">
        <v>-202.46879999999999</v>
      </c>
      <c r="K5208">
        <v>1.127661</v>
      </c>
      <c r="L5208">
        <v>-61.354610000000001</v>
      </c>
      <c r="M5208">
        <v>0.96139280000000005</v>
      </c>
      <c r="N5208">
        <v>-1.2738050000000001E-2</v>
      </c>
      <c r="O5208">
        <v>0.27488479999999998</v>
      </c>
      <c r="P5208">
        <v>0.88887939999999999</v>
      </c>
      <c r="Q5208">
        <v>0.14023279999999999</v>
      </c>
      <c r="R5208">
        <v>0.43615189999999998</v>
      </c>
      <c r="S5208">
        <v>3.0408940000000002</v>
      </c>
      <c r="T5208">
        <v>-0.82338999999999996</v>
      </c>
      <c r="U5208">
        <v>0.9328613</v>
      </c>
      <c r="V5208">
        <v>-0.1774598</v>
      </c>
      <c r="W5208">
        <v>0.149754</v>
      </c>
      <c r="X5208">
        <v>0.97266730000000001</v>
      </c>
      <c r="Y5208">
        <v>-2.61389E-2</v>
      </c>
      <c r="Z5208">
        <v>-6.3114210000000004E-2</v>
      </c>
      <c r="AA5208">
        <v>0.997664</v>
      </c>
      <c r="AB5208">
        <v>26</v>
      </c>
      <c r="AC5208">
        <v>0.72399999999998899</v>
      </c>
      <c r="AD5208">
        <v>-0.2282005</v>
      </c>
      <c r="AE5208">
        <v>0.21967</v>
      </c>
      <c r="AF5208">
        <v>-1.1158437752003101E-2</v>
      </c>
      <c r="AG5208">
        <v>-0.2282005</v>
      </c>
      <c r="AH5208">
        <v>0.69341225395652095</v>
      </c>
      <c r="AI5208">
        <v>108.214063136684</v>
      </c>
      <c r="AJ5208">
        <v>90.921928056682603</v>
      </c>
      <c r="AK5208">
        <v>0.73008255209282902</v>
      </c>
      <c r="AL5208">
        <v>81.387328869765497</v>
      </c>
      <c r="AM5208">
        <v>100.339693753053</v>
      </c>
      <c r="AN5208">
        <v>0.99999995881066395</v>
      </c>
    </row>
    <row r="5209" spans="1:40" x14ac:dyDescent="0.25">
      <c r="A5209" t="str">
        <f>"20190303162702965"</f>
        <v>20190303162702965</v>
      </c>
      <c r="B5209" t="str">
        <f>"1551601622959606"</f>
        <v>1551601622959606</v>
      </c>
      <c r="C5209" t="s">
        <v>40</v>
      </c>
      <c r="D5209">
        <v>4.7178149999999999</v>
      </c>
      <c r="E5209">
        <v>0.52198009999999995</v>
      </c>
      <c r="F5209" t="s">
        <v>42</v>
      </c>
      <c r="G5209">
        <v>-201.75239999999999</v>
      </c>
      <c r="H5209">
        <v>0.89863009999999999</v>
      </c>
      <c r="I5209">
        <v>-61.104550000000003</v>
      </c>
      <c r="J5209">
        <v>-202.34010000000001</v>
      </c>
      <c r="K5209">
        <v>1.127707</v>
      </c>
      <c r="L5209">
        <v>-61.312159999999999</v>
      </c>
      <c r="M5209">
        <v>0.95992089999999997</v>
      </c>
      <c r="N5209">
        <v>-1.2750600000000001E-2</v>
      </c>
      <c r="O5209">
        <v>0.27998079999999997</v>
      </c>
      <c r="P5209">
        <v>0.88372619999999902</v>
      </c>
      <c r="Q5209">
        <v>0.14074739999999999</v>
      </c>
      <c r="R5209">
        <v>0.44633850000000003</v>
      </c>
      <c r="S5209">
        <v>3.0110779999999999</v>
      </c>
      <c r="T5209">
        <v>-0.96304230000000002</v>
      </c>
      <c r="U5209">
        <v>1.051361</v>
      </c>
      <c r="V5209">
        <v>-0.1835331</v>
      </c>
      <c r="W5209">
        <v>0.15014759999999999</v>
      </c>
      <c r="X5209">
        <v>0.97147890000000003</v>
      </c>
      <c r="Y5209">
        <v>-6.031806E-2</v>
      </c>
      <c r="Z5209">
        <v>-7.0139270000000004E-2</v>
      </c>
      <c r="AA5209">
        <v>0.99571189999999998</v>
      </c>
      <c r="AB5209">
        <v>26</v>
      </c>
      <c r="AC5209">
        <v>0.58770000000001199</v>
      </c>
      <c r="AD5209">
        <v>-0.2290769</v>
      </c>
      <c r="AE5209">
        <v>0.20760999999999499</v>
      </c>
      <c r="AF5209">
        <v>-3.0612291982868401E-2</v>
      </c>
      <c r="AG5209">
        <v>-0.2290769</v>
      </c>
      <c r="AH5209">
        <v>0.54826528101870098</v>
      </c>
      <c r="AI5209">
        <v>112.644507095956</v>
      </c>
      <c r="AJ5209">
        <v>93.195781179009202</v>
      </c>
      <c r="AK5209">
        <v>0.59498584596994397</v>
      </c>
      <c r="AL5209">
        <v>81.364519510208595</v>
      </c>
      <c r="AM5209">
        <v>100.69830623608701</v>
      </c>
      <c r="AN5209">
        <v>0.99999997686328901</v>
      </c>
    </row>
    <row r="5210" spans="1:40" x14ac:dyDescent="0.25">
      <c r="A5210" t="str">
        <f>"20190303162702976"</f>
        <v>20190303162702976</v>
      </c>
      <c r="B5210" t="str">
        <f>"1551601622968896"</f>
        <v>1551601622968896</v>
      </c>
      <c r="C5210" t="s">
        <v>40</v>
      </c>
      <c r="D5210">
        <v>4.770956</v>
      </c>
      <c r="E5210">
        <v>0.50973040000000003</v>
      </c>
      <c r="F5210" t="s">
        <v>59</v>
      </c>
      <c r="G5210">
        <v>-197.30330000000001</v>
      </c>
      <c r="H5210" s="1">
        <v>-7.4439269999999997E-6</v>
      </c>
      <c r="I5210">
        <v>-59.085700000000003</v>
      </c>
      <c r="J5210">
        <v>-202.22130000000001</v>
      </c>
      <c r="K5210">
        <v>1.1277440000000001</v>
      </c>
      <c r="L5210">
        <v>-61.272089999999999</v>
      </c>
      <c r="M5210">
        <v>0.95852380000000004</v>
      </c>
      <c r="N5210">
        <v>-1.276192E-2</v>
      </c>
      <c r="O5210">
        <v>0.2847268</v>
      </c>
      <c r="P5210">
        <v>0.87848749999999998</v>
      </c>
      <c r="Q5210">
        <v>0.14108589999999999</v>
      </c>
      <c r="R5210">
        <v>0.4564587</v>
      </c>
      <c r="S5210">
        <v>2.8584749999999999</v>
      </c>
      <c r="T5210">
        <v>-0.6399937</v>
      </c>
      <c r="U5210">
        <v>1.26355</v>
      </c>
      <c r="V5210">
        <v>-0.18992619999999999</v>
      </c>
      <c r="W5210">
        <v>0.150359299999999</v>
      </c>
      <c r="X5210">
        <v>0.97021650000000004</v>
      </c>
      <c r="Y5210">
        <v>-0.12929649999999901</v>
      </c>
      <c r="Z5210">
        <v>-4.0657890000000002E-2</v>
      </c>
      <c r="AA5210">
        <v>0.99077210000000004</v>
      </c>
      <c r="AB5210">
        <v>26</v>
      </c>
      <c r="AC5210">
        <v>4.9180000000000001</v>
      </c>
      <c r="AD5210">
        <v>-1.127751443927</v>
      </c>
      <c r="AE5210">
        <v>2.1863899999999998</v>
      </c>
      <c r="AF5210">
        <v>-0.66622580991563796</v>
      </c>
      <c r="AG5210">
        <v>-1.127751443927</v>
      </c>
      <c r="AH5210">
        <v>5.1125089478043098</v>
      </c>
      <c r="AI5210">
        <v>102.33839142262499</v>
      </c>
      <c r="AJ5210">
        <v>97.424540694811398</v>
      </c>
      <c r="AK5210">
        <v>5.2776346870976498</v>
      </c>
      <c r="AL5210">
        <v>81.352250640906405</v>
      </c>
      <c r="AM5210">
        <v>101.075960310263</v>
      </c>
      <c r="AN5210">
        <v>0.999999968707589</v>
      </c>
    </row>
    <row r="5211" spans="1:40" x14ac:dyDescent="0.25">
      <c r="A5211" t="str">
        <f>"20190303162702987"</f>
        <v>20190303162702987</v>
      </c>
      <c r="B5211" t="str">
        <f>"1551601622979632"</f>
        <v>1551601622979632</v>
      </c>
      <c r="C5211" t="s">
        <v>40</v>
      </c>
      <c r="D5211">
        <v>4.7417069999999999</v>
      </c>
      <c r="E5211">
        <v>0.50973040000000003</v>
      </c>
      <c r="F5211" t="s">
        <v>59</v>
      </c>
      <c r="G5211">
        <v>-196.2192</v>
      </c>
      <c r="H5211" s="1">
        <v>-7.5939710000000003E-6</v>
      </c>
      <c r="I5211">
        <v>-58.310859999999998</v>
      </c>
      <c r="J5211">
        <v>-202.11099999999999</v>
      </c>
      <c r="K5211">
        <v>1.127777</v>
      </c>
      <c r="L5211">
        <v>-61.234380000000002</v>
      </c>
      <c r="M5211">
        <v>0.95719739999999998</v>
      </c>
      <c r="N5211">
        <v>-1.2772E-2</v>
      </c>
      <c r="O5211">
        <v>0.28915380000000002</v>
      </c>
      <c r="P5211">
        <v>0.87310659999999896</v>
      </c>
      <c r="Q5211">
        <v>0.14129159999999999</v>
      </c>
      <c r="R5211">
        <v>0.46660649999999998</v>
      </c>
      <c r="S5211">
        <v>2.785034</v>
      </c>
      <c r="T5211">
        <v>-0.52329170000000003</v>
      </c>
      <c r="U5211">
        <v>1.3740540000000001</v>
      </c>
      <c r="V5211">
        <v>-0.196716</v>
      </c>
      <c r="W5211">
        <v>0.15042949999999999</v>
      </c>
      <c r="X5211">
        <v>0.96885180000000004</v>
      </c>
      <c r="Y5211">
        <v>-0.16509740000000001</v>
      </c>
      <c r="Z5211">
        <v>-3.0358309999999999E-2</v>
      </c>
      <c r="AA5211">
        <v>0.98580990000000002</v>
      </c>
      <c r="AB5211">
        <v>26</v>
      </c>
      <c r="AC5211">
        <v>5.8917999999999804</v>
      </c>
      <c r="AD5211">
        <v>-1.1277845939710001</v>
      </c>
      <c r="AE5211">
        <v>2.9235199999999999</v>
      </c>
      <c r="AF5211">
        <v>-1.0635686865979299</v>
      </c>
      <c r="AG5211">
        <v>-1.1277845939710001</v>
      </c>
      <c r="AH5211">
        <v>6.3002575858390504</v>
      </c>
      <c r="AI5211">
        <v>100.01009767045601</v>
      </c>
      <c r="AJ5211">
        <v>99.581961777074895</v>
      </c>
      <c r="AK5211">
        <v>6.4881678530562503</v>
      </c>
      <c r="AL5211">
        <v>81.348182604324194</v>
      </c>
      <c r="AM5211">
        <v>101.477332887367</v>
      </c>
      <c r="AN5211">
        <v>1.0000000147447401</v>
      </c>
    </row>
    <row r="5212" spans="1:40" x14ac:dyDescent="0.25">
      <c r="A5212" t="str">
        <f>"20190303162702998"</f>
        <v>20190303162702998</v>
      </c>
      <c r="B5212" t="str">
        <f>"1551601622989391"</f>
        <v>1551601622989391</v>
      </c>
      <c r="C5212" t="s">
        <v>40</v>
      </c>
      <c r="D5212">
        <v>4.7228430000000001</v>
      </c>
      <c r="E5212">
        <v>0.43307990000000002</v>
      </c>
      <c r="F5212" t="s">
        <v>59</v>
      </c>
      <c r="G5212">
        <v>-196.1361</v>
      </c>
      <c r="H5212" s="1">
        <v>-7.623723E-6</v>
      </c>
      <c r="I5212">
        <v>-58.199440000000003</v>
      </c>
      <c r="J5212">
        <v>-201.99119999999999</v>
      </c>
      <c r="K5212">
        <v>1.12781</v>
      </c>
      <c r="L5212">
        <v>-61.192779999999999</v>
      </c>
      <c r="M5212">
        <v>0.95572409999999997</v>
      </c>
      <c r="N5212">
        <v>-1.278253E-2</v>
      </c>
      <c r="O5212">
        <v>0.29398639999999998</v>
      </c>
      <c r="P5212">
        <v>0.86764430000000003</v>
      </c>
      <c r="Q5212">
        <v>0.14150119999999999</v>
      </c>
      <c r="R5212">
        <v>0.47662450000000001</v>
      </c>
      <c r="S5212">
        <v>2.7689210000000002</v>
      </c>
      <c r="T5212">
        <v>-0.52264359999999999</v>
      </c>
      <c r="U5212">
        <v>1.4064639999999999</v>
      </c>
      <c r="V5212">
        <v>-0.20300460000000001</v>
      </c>
      <c r="W5212">
        <v>0.15051110000000001</v>
      </c>
      <c r="X5212">
        <v>0.96754099999999998</v>
      </c>
      <c r="Y5212">
        <v>-0.17155960000000001</v>
      </c>
      <c r="Z5212">
        <v>-3.0510260000000001E-2</v>
      </c>
      <c r="AA5212">
        <v>0.98470119999999906</v>
      </c>
      <c r="AB5212">
        <v>26</v>
      </c>
      <c r="AC5212">
        <v>5.8550999999999904</v>
      </c>
      <c r="AD5212">
        <v>-1.127817623723</v>
      </c>
      <c r="AE5212">
        <v>2.9933399999999999</v>
      </c>
      <c r="AF5212">
        <v>-1.10701759201419</v>
      </c>
      <c r="AG5212">
        <v>-1.127817623723</v>
      </c>
      <c r="AH5212">
        <v>6.2913310683903703</v>
      </c>
      <c r="AI5212">
        <v>100.01255857681601</v>
      </c>
      <c r="AJ5212">
        <v>99.979561930960102</v>
      </c>
      <c r="AK5212">
        <v>6.4867794130448901</v>
      </c>
      <c r="AL5212">
        <v>81.343453494794403</v>
      </c>
      <c r="AM5212">
        <v>101.84962588196601</v>
      </c>
      <c r="AN5212">
        <v>1.00000002276268</v>
      </c>
    </row>
    <row r="5213" spans="1:40" x14ac:dyDescent="0.25">
      <c r="A5213" t="str">
        <f>"20190303162703008"</f>
        <v>20190303162703008</v>
      </c>
      <c r="B5213" t="str">
        <f>"1551601622999152"</f>
        <v>1551601622999152</v>
      </c>
      <c r="C5213" t="s">
        <v>40</v>
      </c>
      <c r="D5213">
        <v>4.4396250000000004</v>
      </c>
      <c r="E5213">
        <v>0.43307990000000002</v>
      </c>
      <c r="F5213" t="s">
        <v>59</v>
      </c>
      <c r="G5213">
        <v>-178.41200000000001</v>
      </c>
      <c r="H5213">
        <v>7.9987039999999995E-2</v>
      </c>
      <c r="I5213">
        <v>-42.197609999999997</v>
      </c>
      <c r="J5213">
        <v>-201.87989999999999</v>
      </c>
      <c r="K5213">
        <v>1.127847</v>
      </c>
      <c r="L5213">
        <v>-61.153289999999998</v>
      </c>
      <c r="M5213">
        <v>0.95432019999999995</v>
      </c>
      <c r="N5213">
        <v>-1.279219E-2</v>
      </c>
      <c r="O5213">
        <v>0.29851169999999999</v>
      </c>
      <c r="P5213">
        <v>0.86244460000000001</v>
      </c>
      <c r="Q5213">
        <v>0.14160339999999999</v>
      </c>
      <c r="R5213">
        <v>0.48593999999999998</v>
      </c>
      <c r="S5213">
        <v>2.4090120000000002</v>
      </c>
      <c r="T5213">
        <v>-0.1070526</v>
      </c>
      <c r="U5213">
        <v>1.940674</v>
      </c>
      <c r="V5213">
        <v>-0.20886440000000001</v>
      </c>
      <c r="W5213">
        <v>0.15049409999999999</v>
      </c>
      <c r="X5213">
        <v>0.96629560000000003</v>
      </c>
      <c r="Y5213">
        <v>-0.36603340000000001</v>
      </c>
      <c r="Z5213">
        <v>2.0666059999999999E-3</v>
      </c>
      <c r="AA5213">
        <v>0.93059939999999997</v>
      </c>
      <c r="AB5213">
        <v>26</v>
      </c>
      <c r="AC5213">
        <v>23.467899999999901</v>
      </c>
      <c r="AD5213">
        <v>-1.04785996</v>
      </c>
      <c r="AE5213">
        <v>18.955680000000001</v>
      </c>
      <c r="AF5213">
        <v>-11.071894564973601</v>
      </c>
      <c r="AG5213">
        <v>-1.04785996</v>
      </c>
      <c r="AH5213">
        <v>28.022869809694999</v>
      </c>
      <c r="AI5213">
        <v>91.991771491165807</v>
      </c>
      <c r="AJ5213">
        <v>111.559079844641</v>
      </c>
      <c r="AK5213">
        <v>30.1490645315038</v>
      </c>
      <c r="AL5213">
        <v>81.3444385394656</v>
      </c>
      <c r="AM5213">
        <v>102.19682189420099</v>
      </c>
      <c r="AN5213">
        <v>0.99999999915076498</v>
      </c>
    </row>
    <row r="5214" spans="1:40" x14ac:dyDescent="0.25">
      <c r="A5214" t="str">
        <f>"20190303162703020"</f>
        <v>20190303162703020</v>
      </c>
      <c r="B5214" t="str">
        <f>"1551601623008911"</f>
        <v>1551601623008911</v>
      </c>
      <c r="C5214" t="s">
        <v>40</v>
      </c>
      <c r="D5214">
        <v>4.818962</v>
      </c>
      <c r="E5214">
        <v>0.3699248</v>
      </c>
      <c r="F5214" t="s">
        <v>59</v>
      </c>
      <c r="G5214">
        <v>-178.4725</v>
      </c>
      <c r="H5214">
        <v>7.9987089999999997E-2</v>
      </c>
      <c r="I5214">
        <v>-41.87968</v>
      </c>
      <c r="J5214">
        <v>-201.75380000000001</v>
      </c>
      <c r="K5214">
        <v>1.1278820000000001</v>
      </c>
      <c r="L5214">
        <v>-61.108150000000002</v>
      </c>
      <c r="M5214">
        <v>0.95269749999999997</v>
      </c>
      <c r="N5214">
        <v>-1.2802880000000001E-2</v>
      </c>
      <c r="O5214">
        <v>0.30365039999999999</v>
      </c>
      <c r="P5214">
        <v>0.8569542</v>
      </c>
      <c r="Q5214">
        <v>0.1417004</v>
      </c>
      <c r="R5214">
        <v>0.49553079999999999</v>
      </c>
      <c r="S5214">
        <v>2.388077</v>
      </c>
      <c r="T5214">
        <v>-0.1069051</v>
      </c>
      <c r="U5214">
        <v>1.9663390000000001</v>
      </c>
      <c r="V5214">
        <v>-0.21446209999999999</v>
      </c>
      <c r="W5214">
        <v>0.1504733</v>
      </c>
      <c r="X5214">
        <v>0.96507189999999998</v>
      </c>
      <c r="Y5214">
        <v>-0.37097409999999997</v>
      </c>
      <c r="Z5214">
        <v>2.0752449999999999E-3</v>
      </c>
      <c r="AA5214">
        <v>0.92864089999999999</v>
      </c>
      <c r="AB5214">
        <v>26</v>
      </c>
      <c r="AC5214">
        <v>23.281300000000002</v>
      </c>
      <c r="AD5214">
        <v>-1.0478949099999999</v>
      </c>
      <c r="AE5214">
        <v>19.228470000000002</v>
      </c>
      <c r="AF5214">
        <v>-11.2369279317285</v>
      </c>
      <c r="AG5214">
        <v>-1.0478949099999999</v>
      </c>
      <c r="AH5214">
        <v>27.987358441337499</v>
      </c>
      <c r="AI5214">
        <v>91.989985085537896</v>
      </c>
      <c r="AJ5214">
        <v>111.875466714319</v>
      </c>
      <c r="AK5214">
        <v>30.177124873141398</v>
      </c>
      <c r="AL5214">
        <v>81.345643932831507</v>
      </c>
      <c r="AM5214">
        <v>102.528902630376</v>
      </c>
      <c r="AN5214">
        <v>0.99999998925945399</v>
      </c>
    </row>
    <row r="5215" spans="1:40" x14ac:dyDescent="0.25">
      <c r="A5215" t="str">
        <f>"20190303162703032"</f>
        <v>20190303162703032</v>
      </c>
      <c r="B5215" t="str">
        <f>"1551601623029408"</f>
        <v>1551601623029408</v>
      </c>
      <c r="C5215" t="s">
        <v>40</v>
      </c>
      <c r="D5215">
        <v>4.6955989999999996</v>
      </c>
      <c r="E5215">
        <v>0.36005429999999999</v>
      </c>
      <c r="F5215" t="s">
        <v>42</v>
      </c>
      <c r="G5215">
        <v>-201.18469999999999</v>
      </c>
      <c r="H5215">
        <v>1.063704</v>
      </c>
      <c r="I5215">
        <v>-60.456169999999901</v>
      </c>
      <c r="J5215">
        <v>-201.6354</v>
      </c>
      <c r="K5215">
        <v>1.127915</v>
      </c>
      <c r="L5215">
        <v>-61.0646699999999</v>
      </c>
      <c r="M5215">
        <v>0.95113159999999997</v>
      </c>
      <c r="N5215">
        <v>-1.2813140000000001E-2</v>
      </c>
      <c r="O5215">
        <v>0.30852000000000002</v>
      </c>
      <c r="P5215">
        <v>0.85179389999999999</v>
      </c>
      <c r="Q5215">
        <v>0.14180390000000001</v>
      </c>
      <c r="R5215">
        <v>0.5043204</v>
      </c>
      <c r="S5215">
        <v>2.1297450000000002</v>
      </c>
      <c r="T5215">
        <v>-0.24017240000000001</v>
      </c>
      <c r="U5215">
        <v>2.439667</v>
      </c>
      <c r="V5215">
        <v>-0.21947810000000001</v>
      </c>
      <c r="W5215">
        <v>0.15047049999999901</v>
      </c>
      <c r="X5215">
        <v>0.96394400000000002</v>
      </c>
      <c r="Y5215">
        <v>-0.51266089999999997</v>
      </c>
      <c r="Z5215">
        <v>3.898243E-3</v>
      </c>
      <c r="AA5215">
        <v>0.85858230000000002</v>
      </c>
      <c r="AB5215">
        <v>26</v>
      </c>
      <c r="AC5215">
        <v>0.45070000000001098</v>
      </c>
      <c r="AD5215">
        <v>-6.4211000000000004E-2</v>
      </c>
      <c r="AE5215">
        <v>0.60849999999999904</v>
      </c>
      <c r="AF5215">
        <v>-0.43661024905546397</v>
      </c>
      <c r="AG5215">
        <v>-6.4211000000000004E-2</v>
      </c>
      <c r="AH5215">
        <v>0.61205900099973398</v>
      </c>
      <c r="AI5215">
        <v>94.881588562456599</v>
      </c>
      <c r="AJ5215">
        <v>125.502035402402</v>
      </c>
      <c r="AK5215">
        <v>0.75456463129812001</v>
      </c>
      <c r="AL5215">
        <v>81.345806489301395</v>
      </c>
      <c r="AM5215">
        <v>102.82686721839301</v>
      </c>
      <c r="AN5215">
        <v>1.0000000214429201</v>
      </c>
    </row>
    <row r="5216" spans="1:40" x14ac:dyDescent="0.25">
      <c r="A5216" t="str">
        <f>"20190303162703044"</f>
        <v>20190303162703044</v>
      </c>
      <c r="B5216" t="str">
        <f>"1551601623039168"</f>
        <v>1551601623039168</v>
      </c>
      <c r="C5216" t="s">
        <v>40</v>
      </c>
      <c r="D5216">
        <v>4.8224919999999996</v>
      </c>
      <c r="E5216">
        <v>0.30823810000000001</v>
      </c>
      <c r="F5216" t="s">
        <v>42</v>
      </c>
      <c r="G5216">
        <v>-201.01779999999999</v>
      </c>
      <c r="H5216">
        <v>1.0470010000000001</v>
      </c>
      <c r="I5216">
        <v>-60.308959999999999</v>
      </c>
      <c r="J5216">
        <v>-201.5095</v>
      </c>
      <c r="K5216">
        <v>1.127948</v>
      </c>
      <c r="L5216">
        <v>-61.018039999999999</v>
      </c>
      <c r="M5216">
        <v>0.94943279999999997</v>
      </c>
      <c r="N5216">
        <v>-1.282383E-2</v>
      </c>
      <c r="O5216">
        <v>0.3137085</v>
      </c>
      <c r="P5216">
        <v>0.8465587</v>
      </c>
      <c r="Q5216">
        <v>0.1418634</v>
      </c>
      <c r="R5216">
        <v>0.51304320000000003</v>
      </c>
      <c r="S5216">
        <v>2.0683440000000002</v>
      </c>
      <c r="T5216">
        <v>-0.27100109999999999</v>
      </c>
      <c r="U5216">
        <v>2.5314030000000001</v>
      </c>
      <c r="V5216">
        <v>-0.22413959999999999</v>
      </c>
      <c r="W5216">
        <v>0.1504286</v>
      </c>
      <c r="X5216">
        <v>0.96287730000000005</v>
      </c>
      <c r="Y5216">
        <v>-0.53550549999999997</v>
      </c>
      <c r="Z5216">
        <v>4.4103409999999999E-3</v>
      </c>
      <c r="AA5216">
        <v>0.84452019999999905</v>
      </c>
      <c r="AB5216">
        <v>26</v>
      </c>
      <c r="AC5216">
        <v>0.49170000000000802</v>
      </c>
      <c r="AD5216">
        <v>-8.0946999999999797E-2</v>
      </c>
      <c r="AE5216">
        <v>0.70908000000000004</v>
      </c>
      <c r="AF5216">
        <v>-0.51448831203021195</v>
      </c>
      <c r="AG5216">
        <v>-8.0946999999999797E-2</v>
      </c>
      <c r="AH5216">
        <v>0.68332368792403098</v>
      </c>
      <c r="AI5216">
        <v>95.406127598824597</v>
      </c>
      <c r="AJ5216">
        <v>126.97683490134</v>
      </c>
      <c r="AK5216">
        <v>0.85917512912257599</v>
      </c>
      <c r="AL5216">
        <v>81.348234717644999</v>
      </c>
      <c r="AM5216">
        <v>103.104009621228</v>
      </c>
      <c r="AN5216">
        <v>1.0000000094207</v>
      </c>
    </row>
    <row r="5217" spans="1:40" x14ac:dyDescent="0.25">
      <c r="A5217" t="str">
        <f>"20190303162703054"</f>
        <v>20190303162703054</v>
      </c>
      <c r="B5217" t="str">
        <f>"1551601623048929"</f>
        <v>1551601623048929</v>
      </c>
      <c r="C5217" t="s">
        <v>40</v>
      </c>
      <c r="D5217">
        <v>4.8213410000000003</v>
      </c>
      <c r="E5217">
        <v>0.30637740000000002</v>
      </c>
      <c r="F5217" t="s">
        <v>59</v>
      </c>
      <c r="G5217">
        <v>-196.62880000000001</v>
      </c>
      <c r="H5217" s="1">
        <v>-9.4031130000000004E-6</v>
      </c>
      <c r="I5217">
        <v>-53.302639999999997</v>
      </c>
      <c r="J5217">
        <v>-201.39169999999999</v>
      </c>
      <c r="K5217">
        <v>1.1279809999999999</v>
      </c>
      <c r="L5217">
        <v>-60.973329999999997</v>
      </c>
      <c r="M5217">
        <v>0.94779990000000003</v>
      </c>
      <c r="N5217">
        <v>-1.2834079999999999E-2</v>
      </c>
      <c r="O5217">
        <v>0.31860759999999899</v>
      </c>
      <c r="P5217">
        <v>0.8418641</v>
      </c>
      <c r="Q5217">
        <v>0.1420256</v>
      </c>
      <c r="R5217">
        <v>0.52066659999999998</v>
      </c>
      <c r="S5217">
        <v>1.84639</v>
      </c>
      <c r="T5217">
        <v>-0.4267106</v>
      </c>
      <c r="U5217">
        <v>2.9187620000000001</v>
      </c>
      <c r="V5217">
        <v>-0.2278908</v>
      </c>
      <c r="W5217">
        <v>0.15050729999999901</v>
      </c>
      <c r="X5217">
        <v>0.96198399999999995</v>
      </c>
      <c r="Y5217">
        <v>-0.6276465</v>
      </c>
      <c r="Z5217">
        <v>1.0348970000000001E-2</v>
      </c>
      <c r="AA5217">
        <v>0.7784297</v>
      </c>
      <c r="AB5217">
        <v>26</v>
      </c>
      <c r="AC5217">
        <v>4.7628999999999699</v>
      </c>
      <c r="AD5217">
        <v>-1.1279904031129999</v>
      </c>
      <c r="AE5217">
        <v>7.6706899999999996</v>
      </c>
      <c r="AF5217">
        <v>-5.66484476396439</v>
      </c>
      <c r="AG5217">
        <v>-1.1279904031129999</v>
      </c>
      <c r="AH5217">
        <v>6.8518514438766598</v>
      </c>
      <c r="AI5217">
        <v>97.230940953670199</v>
      </c>
      <c r="AJ5217">
        <v>129.582621337364</v>
      </c>
      <c r="AK5217">
        <v>8.9616235559347395</v>
      </c>
      <c r="AL5217">
        <v>81.343673007042995</v>
      </c>
      <c r="AM5217">
        <v>103.327491151321</v>
      </c>
      <c r="AN5217">
        <v>0.99999994016696303</v>
      </c>
    </row>
    <row r="5218" spans="1:40" x14ac:dyDescent="0.25">
      <c r="A5218" t="str">
        <f>"20190303162703065"</f>
        <v>20190303162703065</v>
      </c>
      <c r="B5218" t="str">
        <f>"1551601623059665"</f>
        <v>1551601623059665</v>
      </c>
      <c r="C5218" t="s">
        <v>40</v>
      </c>
      <c r="D5218">
        <v>4.7646810000000004</v>
      </c>
      <c r="E5218">
        <v>0.30844379999999999</v>
      </c>
      <c r="F5218" t="s">
        <v>59</v>
      </c>
      <c r="G5218">
        <v>-196.7433</v>
      </c>
      <c r="H5218" s="1">
        <v>-9.3736520000000001E-6</v>
      </c>
      <c r="I5218">
        <v>-53.415149999999997</v>
      </c>
      <c r="J5218">
        <v>-201.28219999999999</v>
      </c>
      <c r="K5218">
        <v>1.1280110000000001</v>
      </c>
      <c r="L5218">
        <v>-60.931399999999996</v>
      </c>
      <c r="M5218">
        <v>0.94625400000000004</v>
      </c>
      <c r="N5218">
        <v>-1.284336E-2</v>
      </c>
      <c r="O5218">
        <v>0.32316929999999999</v>
      </c>
      <c r="P5218">
        <v>0.83777649999999904</v>
      </c>
      <c r="Q5218">
        <v>0.14184530000000001</v>
      </c>
      <c r="R5218">
        <v>0.52726700000000004</v>
      </c>
      <c r="S5218">
        <v>1.813782</v>
      </c>
      <c r="T5218">
        <v>-0.44014429999999999</v>
      </c>
      <c r="U5218">
        <v>2.9492189999999998</v>
      </c>
      <c r="V5218">
        <v>-0.2308201</v>
      </c>
      <c r="W5218">
        <v>0.15026030000000001</v>
      </c>
      <c r="X5218">
        <v>0.96132399999999996</v>
      </c>
      <c r="Y5218">
        <v>-0.63354929999999998</v>
      </c>
      <c r="Z5218">
        <v>1.0381639999999999E-2</v>
      </c>
      <c r="AA5218">
        <v>0.7736326</v>
      </c>
      <c r="AB5218">
        <v>26</v>
      </c>
      <c r="AC5218">
        <v>4.5388999999999804</v>
      </c>
      <c r="AD5218">
        <v>-1.128020373652</v>
      </c>
      <c r="AE5218">
        <v>7.5162499999999897</v>
      </c>
      <c r="AF5218">
        <v>-5.55424382641759</v>
      </c>
      <c r="AG5218">
        <v>-1.128020373652</v>
      </c>
      <c r="AH5218">
        <v>6.6153448273042699</v>
      </c>
      <c r="AI5218">
        <v>97.440177446355094</v>
      </c>
      <c r="AJ5218">
        <v>130.01682109984199</v>
      </c>
      <c r="AK5218">
        <v>8.7111905977778594</v>
      </c>
      <c r="AL5218">
        <v>81.357987984495395</v>
      </c>
      <c r="AM5218">
        <v>103.501500498223</v>
      </c>
      <c r="AN5218">
        <v>0.99999995464804803</v>
      </c>
    </row>
    <row r="5219" spans="1:40" x14ac:dyDescent="0.25">
      <c r="A5219" t="str">
        <f>"20190303162703077"</f>
        <v>20190303162703077</v>
      </c>
      <c r="B5219" t="str">
        <f>"1551601623069425"</f>
        <v>1551601623069425</v>
      </c>
      <c r="C5219" t="s">
        <v>40</v>
      </c>
      <c r="D5219">
        <v>4.7567469999999998</v>
      </c>
      <c r="E5219">
        <v>0.31152760000000002</v>
      </c>
      <c r="F5219" t="s">
        <v>59</v>
      </c>
      <c r="G5219">
        <v>-196.69649999999999</v>
      </c>
      <c r="H5219" s="1">
        <v>-9.3692589999999997E-6</v>
      </c>
      <c r="I5219">
        <v>-53.414360000000002</v>
      </c>
      <c r="J5219">
        <v>-201.15950000000001</v>
      </c>
      <c r="K5219">
        <v>1.12805</v>
      </c>
      <c r="L5219">
        <v>-60.883510000000001</v>
      </c>
      <c r="M5219">
        <v>0.94448240000000006</v>
      </c>
      <c r="N5219">
        <v>-1.285364E-2</v>
      </c>
      <c r="O5219">
        <v>0.32831050000000001</v>
      </c>
      <c r="P5219">
        <v>0.83365900000000004</v>
      </c>
      <c r="Q5219">
        <v>0.1413962</v>
      </c>
      <c r="R5219">
        <v>0.53387249999999997</v>
      </c>
      <c r="S5219">
        <v>1.7994079999999999</v>
      </c>
      <c r="T5219">
        <v>-0.44263360000000002</v>
      </c>
      <c r="U5219">
        <v>2.9496769999999999</v>
      </c>
      <c r="V5219">
        <v>-0.23317389999999999</v>
      </c>
      <c r="W5219">
        <v>0.1497549</v>
      </c>
      <c r="X5219">
        <v>0.96083470000000004</v>
      </c>
      <c r="Y5219">
        <v>-0.63214510000000002</v>
      </c>
      <c r="Z5219">
        <v>9.5870829999999997E-3</v>
      </c>
      <c r="AA5219">
        <v>0.7747908</v>
      </c>
      <c r="AB5219">
        <v>26</v>
      </c>
      <c r="AC5219">
        <v>4.4630000000000196</v>
      </c>
      <c r="AD5219">
        <v>-1.128059369259</v>
      </c>
      <c r="AE5219">
        <v>7.46915</v>
      </c>
      <c r="AF5219">
        <v>-5.4972912037614599</v>
      </c>
      <c r="AG5219">
        <v>-1.128059369259</v>
      </c>
      <c r="AH5219">
        <v>6.5577498695980498</v>
      </c>
      <c r="AI5219">
        <v>97.509827547279897</v>
      </c>
      <c r="AJ5219">
        <v>129.97274196603999</v>
      </c>
      <c r="AK5219">
        <v>8.6311535655287397</v>
      </c>
      <c r="AL5219">
        <v>81.387276718978001</v>
      </c>
      <c r="AM5219">
        <v>103.64075198245</v>
      </c>
      <c r="AN5219">
        <v>0.99999995921965401</v>
      </c>
    </row>
    <row r="5220" spans="1:40" x14ac:dyDescent="0.25">
      <c r="A5220" t="str">
        <f>"20190303162703090"</f>
        <v>20190303162703090</v>
      </c>
      <c r="B5220" t="str">
        <f>"1551601623079184"</f>
        <v>1551601623079184</v>
      </c>
      <c r="C5220" t="s">
        <v>40</v>
      </c>
      <c r="D5220">
        <v>4.7720129999999896</v>
      </c>
      <c r="E5220">
        <v>0.31385059999999998</v>
      </c>
      <c r="F5220" t="s">
        <v>59</v>
      </c>
      <c r="G5220">
        <v>-196.61170000000001</v>
      </c>
      <c r="H5220" s="1">
        <v>-9.3651120000000007E-6</v>
      </c>
      <c r="I5220">
        <v>-53.402470000000001</v>
      </c>
      <c r="J5220">
        <v>-201.0273</v>
      </c>
      <c r="K5220">
        <v>1.1280829999999999</v>
      </c>
      <c r="L5220">
        <v>-60.830930000000002</v>
      </c>
      <c r="M5220">
        <v>0.94252729999999996</v>
      </c>
      <c r="N5220">
        <v>-1.286439E-2</v>
      </c>
      <c r="O5220">
        <v>0.3338815</v>
      </c>
      <c r="P5220">
        <v>0.82951580000000003</v>
      </c>
      <c r="Q5220">
        <v>0.14093420000000001</v>
      </c>
      <c r="R5220">
        <v>0.54040829999999995</v>
      </c>
      <c r="S5220">
        <v>1.7891239999999999</v>
      </c>
      <c r="T5220">
        <v>-0.44378469999999998</v>
      </c>
      <c r="U5220">
        <v>2.943085</v>
      </c>
      <c r="V5220">
        <v>-0.23503450000000001</v>
      </c>
      <c r="W5220">
        <v>0.14924570000000001</v>
      </c>
      <c r="X5220">
        <v>0.96046050000000005</v>
      </c>
      <c r="Y5220">
        <v>-0.62881169999999997</v>
      </c>
      <c r="Z5220">
        <v>8.53505699999999E-3</v>
      </c>
      <c r="AA5220">
        <v>0.77751079999999995</v>
      </c>
      <c r="AB5220">
        <v>26</v>
      </c>
      <c r="AC5220">
        <v>4.41559999999998</v>
      </c>
      <c r="AD5220">
        <v>-1.1280923651119901</v>
      </c>
      <c r="AE5220">
        <v>7.4284600000000003</v>
      </c>
      <c r="AF5220">
        <v>-5.4350788446006302</v>
      </c>
      <c r="AG5220">
        <v>-1.1280923651119901</v>
      </c>
      <c r="AH5220">
        <v>6.53130039367064</v>
      </c>
      <c r="AI5220">
        <v>97.562622169792206</v>
      </c>
      <c r="AJ5220">
        <v>129.76583127469399</v>
      </c>
      <c r="AK5220">
        <v>8.5714969091525504</v>
      </c>
      <c r="AL5220">
        <v>81.416783114791002</v>
      </c>
      <c r="AM5220">
        <v>103.750636622871</v>
      </c>
      <c r="AN5220">
        <v>0.99999993360949202</v>
      </c>
    </row>
    <row r="5221" spans="1:40" x14ac:dyDescent="0.25">
      <c r="A5221" t="str">
        <f>"20190303162703105"</f>
        <v>20190303162703105</v>
      </c>
      <c r="B5221" t="str">
        <f>"1551601623099681"</f>
        <v>1551601623099681</v>
      </c>
      <c r="C5221" t="s">
        <v>40</v>
      </c>
      <c r="D5221">
        <v>4.7666029999999999</v>
      </c>
      <c r="E5221">
        <v>0.31814429999999999</v>
      </c>
      <c r="F5221" t="s">
        <v>59</v>
      </c>
      <c r="G5221">
        <v>-196.50470000000001</v>
      </c>
      <c r="H5221" s="1">
        <v>-9.3767949999999994E-6</v>
      </c>
      <c r="I5221">
        <v>-53.34093</v>
      </c>
      <c r="J5221">
        <v>-200.875</v>
      </c>
      <c r="K5221">
        <v>1.1281219999999901</v>
      </c>
      <c r="L5221">
        <v>-60.769500000000001</v>
      </c>
      <c r="M5221">
        <v>0.94022050000000001</v>
      </c>
      <c r="N5221">
        <v>-1.287627E-2</v>
      </c>
      <c r="O5221">
        <v>0.34032279999999998</v>
      </c>
      <c r="P5221">
        <v>0.82529589999999997</v>
      </c>
      <c r="Q5221">
        <v>0.14037620000000001</v>
      </c>
      <c r="R5221">
        <v>0.54697450000000003</v>
      </c>
      <c r="S5221">
        <v>1.775833</v>
      </c>
      <c r="T5221">
        <v>-0.44295430000000002</v>
      </c>
      <c r="U5221">
        <v>2.9410099999999999</v>
      </c>
      <c r="V5221">
        <v>-0.2360594</v>
      </c>
      <c r="W5221">
        <v>0.1486567</v>
      </c>
      <c r="X5221">
        <v>0.9603005</v>
      </c>
      <c r="Y5221">
        <v>-0.62588730000000004</v>
      </c>
      <c r="Z5221">
        <v>7.4011609999999999E-3</v>
      </c>
      <c r="AA5221">
        <v>0.77987839999999997</v>
      </c>
      <c r="AB5221">
        <v>25</v>
      </c>
      <c r="AC5221">
        <v>4.3702999999999799</v>
      </c>
      <c r="AD5221">
        <v>-1.1281313767950001</v>
      </c>
      <c r="AE5221">
        <v>7.4285699999999899</v>
      </c>
      <c r="AF5221">
        <v>-5.4050333738871998</v>
      </c>
      <c r="AG5221">
        <v>-1.1281313767950001</v>
      </c>
      <c r="AH5221">
        <v>6.5259005995317301</v>
      </c>
      <c r="AI5221">
        <v>97.583475795569797</v>
      </c>
      <c r="AJ5221">
        <v>129.633025402984</v>
      </c>
      <c r="AK5221">
        <v>8.5483591882368</v>
      </c>
      <c r="AL5221">
        <v>81.450911207294197</v>
      </c>
      <c r="AM5221">
        <v>103.81052048254899</v>
      </c>
      <c r="AN5221">
        <v>0.99999995254174801</v>
      </c>
    </row>
    <row r="5222" spans="1:40" x14ac:dyDescent="0.25">
      <c r="A5222" t="str">
        <f>"20190303162703120"</f>
        <v>20190303162703120</v>
      </c>
      <c r="B5222" t="str">
        <f>"1551601623109440"</f>
        <v>1551601623109440</v>
      </c>
      <c r="C5222" t="s">
        <v>40</v>
      </c>
      <c r="D5222">
        <v>4.7521829999999996</v>
      </c>
      <c r="E5222">
        <v>0.32011909999999999</v>
      </c>
      <c r="F5222" t="s">
        <v>59</v>
      </c>
      <c r="G5222">
        <v>-196.3699</v>
      </c>
      <c r="H5222" s="1">
        <v>-9.3675910000000003E-6</v>
      </c>
      <c r="I5222">
        <v>-53.329210000000003</v>
      </c>
      <c r="J5222">
        <v>-200.7133</v>
      </c>
      <c r="K5222">
        <v>1.128169</v>
      </c>
      <c r="L5222">
        <v>-60.702730000000003</v>
      </c>
      <c r="M5222">
        <v>0.93770169999999997</v>
      </c>
      <c r="N5222">
        <v>-1.288832E-2</v>
      </c>
      <c r="O5222">
        <v>0.34720220000000002</v>
      </c>
      <c r="P5222">
        <v>0.82081749999999998</v>
      </c>
      <c r="Q5222">
        <v>0.1402815</v>
      </c>
      <c r="R5222">
        <v>0.55369630000000003</v>
      </c>
      <c r="S5222">
        <v>1.7714840000000001</v>
      </c>
      <c r="T5222">
        <v>-0.44360660000000002</v>
      </c>
      <c r="U5222">
        <v>2.9256899999999999</v>
      </c>
      <c r="V5222">
        <v>-0.23687469999999999</v>
      </c>
      <c r="W5222">
        <v>0.14853459999999999</v>
      </c>
      <c r="X5222">
        <v>0.96011869999999999</v>
      </c>
      <c r="Y5222">
        <v>-0.61928329999999998</v>
      </c>
      <c r="Z5222">
        <v>5.8431359999999996E-3</v>
      </c>
      <c r="AA5222">
        <v>0.7851458</v>
      </c>
      <c r="AB5222">
        <v>25</v>
      </c>
      <c r="AC5222">
        <v>4.3433999999999999</v>
      </c>
      <c r="AD5222">
        <v>-1.128178367591</v>
      </c>
      <c r="AE5222">
        <v>7.3735200000000001</v>
      </c>
      <c r="AF5222">
        <v>-5.3142137366474396</v>
      </c>
      <c r="AG5222">
        <v>-1.128178367591</v>
      </c>
      <c r="AH5222">
        <v>6.52014856111842</v>
      </c>
      <c r="AI5222">
        <v>97.639118245858199</v>
      </c>
      <c r="AJ5222">
        <v>129.181579362104</v>
      </c>
      <c r="AK5222">
        <v>8.4868127896712302</v>
      </c>
      <c r="AL5222">
        <v>81.457986266782896</v>
      </c>
      <c r="AM5222">
        <v>103.858906524172</v>
      </c>
      <c r="AN5222">
        <v>1.0000000344934601</v>
      </c>
    </row>
    <row r="5223" spans="1:40" x14ac:dyDescent="0.25">
      <c r="A5223" t="str">
        <f>"20190303162703134"</f>
        <v>20190303162703134</v>
      </c>
      <c r="B5223" t="str">
        <f>"1551601623128960"</f>
        <v>1551601623128960</v>
      </c>
      <c r="C5223" t="s">
        <v>40</v>
      </c>
      <c r="D5223">
        <v>4.8392770000000001</v>
      </c>
      <c r="E5223">
        <v>0.32359680000000002</v>
      </c>
      <c r="F5223" t="s">
        <v>42</v>
      </c>
      <c r="G5223">
        <v>-200.2398</v>
      </c>
      <c r="H5223">
        <v>1.0086269999999999</v>
      </c>
      <c r="I5223">
        <v>-59.914319999999996</v>
      </c>
      <c r="J5223">
        <v>-200.5729</v>
      </c>
      <c r="K5223">
        <v>1.1282000000000001</v>
      </c>
      <c r="L5223">
        <v>-60.6434</v>
      </c>
      <c r="M5223">
        <v>0.93545259999999997</v>
      </c>
      <c r="N5223">
        <v>-1.2898339999999999E-2</v>
      </c>
      <c r="O5223">
        <v>0.3532169</v>
      </c>
      <c r="P5223">
        <v>0.81636089999999994</v>
      </c>
      <c r="Q5223">
        <v>0.1400206</v>
      </c>
      <c r="R5223">
        <v>0.56031169999999997</v>
      </c>
      <c r="S5223">
        <v>1.7567900000000001</v>
      </c>
      <c r="T5223">
        <v>-0.4435965</v>
      </c>
      <c r="U5223">
        <v>2.9261469999999998</v>
      </c>
      <c r="V5223">
        <v>-0.23846110000000001</v>
      </c>
      <c r="W5223">
        <v>0.14823430000000001</v>
      </c>
      <c r="X5223">
        <v>0.95977230000000002</v>
      </c>
      <c r="Y5223">
        <v>-0.61723899999999998</v>
      </c>
      <c r="Z5223">
        <v>4.836697E-3</v>
      </c>
      <c r="AA5223">
        <v>0.78676080000000004</v>
      </c>
      <c r="AB5223">
        <v>25</v>
      </c>
      <c r="AC5223">
        <v>0.33310000000000101</v>
      </c>
      <c r="AD5223">
        <v>-0.119573</v>
      </c>
      <c r="AE5223">
        <v>0.72908000000000295</v>
      </c>
      <c r="AF5223">
        <v>-0.55212386447804596</v>
      </c>
      <c r="AG5223">
        <v>-0.119573</v>
      </c>
      <c r="AH5223">
        <v>0.55678005333949498</v>
      </c>
      <c r="AI5223">
        <v>98.670418711856499</v>
      </c>
      <c r="AJ5223">
        <v>134.75942153485599</v>
      </c>
      <c r="AK5223">
        <v>0.79318503002256902</v>
      </c>
      <c r="AL5223">
        <v>81.475384377340305</v>
      </c>
      <c r="AM5223">
        <v>103.952947521314</v>
      </c>
      <c r="AN5223">
        <v>0.99999998587849404</v>
      </c>
    </row>
    <row r="5224" spans="1:40" x14ac:dyDescent="0.25">
      <c r="A5224" t="str">
        <f>"20190303162703146"</f>
        <v>20190303162703146</v>
      </c>
      <c r="B5224" t="str">
        <f>"1551601623139697"</f>
        <v>1551601623139697</v>
      </c>
      <c r="C5224" t="s">
        <v>40</v>
      </c>
      <c r="D5224">
        <v>4.83582</v>
      </c>
      <c r="E5224">
        <v>0.3253952</v>
      </c>
      <c r="F5224" t="s">
        <v>59</v>
      </c>
      <c r="G5224">
        <v>-196.11269999999999</v>
      </c>
      <c r="H5224" s="1">
        <v>-9.3880719999999992E-6</v>
      </c>
      <c r="I5224">
        <v>-53.202219999999997</v>
      </c>
      <c r="J5224">
        <v>-200.44450000000001</v>
      </c>
      <c r="K5224">
        <v>1.128226</v>
      </c>
      <c r="L5224">
        <v>-60.588439999999999</v>
      </c>
      <c r="M5224">
        <v>0.93335440000000003</v>
      </c>
      <c r="N5224">
        <v>-1.290697E-2</v>
      </c>
      <c r="O5224">
        <v>0.35872399999999999</v>
      </c>
      <c r="P5224">
        <v>0.81290419999999997</v>
      </c>
      <c r="Q5224">
        <v>0.13987140000000001</v>
      </c>
      <c r="R5224">
        <v>0.56535170000000001</v>
      </c>
      <c r="S5224">
        <v>1.748505</v>
      </c>
      <c r="T5224">
        <v>-0.44228879999999998</v>
      </c>
      <c r="U5224">
        <v>2.9171450000000001</v>
      </c>
      <c r="V5224">
        <v>-0.2387406</v>
      </c>
      <c r="W5224">
        <v>0.1480735</v>
      </c>
      <c r="X5224">
        <v>0.95972760000000001</v>
      </c>
      <c r="Y5224">
        <v>-0.61324409999999996</v>
      </c>
      <c r="Z5224">
        <v>3.7169080000000001E-3</v>
      </c>
      <c r="AA5224">
        <v>0.7898847</v>
      </c>
      <c r="AB5224">
        <v>25</v>
      </c>
      <c r="AC5224">
        <v>4.3318000000000101</v>
      </c>
      <c r="AD5224">
        <v>-1.128235388072</v>
      </c>
      <c r="AE5224">
        <v>7.3862199999999998</v>
      </c>
      <c r="AF5224">
        <v>-5.2493517925094704</v>
      </c>
      <c r="AG5224">
        <v>-1.128235388072</v>
      </c>
      <c r="AH5224">
        <v>6.5790582614323396</v>
      </c>
      <c r="AI5224">
        <v>97.634889402436499</v>
      </c>
      <c r="AJ5224">
        <v>128.585947236561</v>
      </c>
      <c r="AK5224">
        <v>8.4919147981913703</v>
      </c>
      <c r="AL5224">
        <v>81.484700046382699</v>
      </c>
      <c r="AM5224">
        <v>103.969286848968</v>
      </c>
      <c r="AN5224">
        <v>0.99999995084618298</v>
      </c>
    </row>
    <row r="5225" spans="1:40" x14ac:dyDescent="0.25">
      <c r="A5225" t="str">
        <f>"20190303162703157"</f>
        <v>20190303162703157</v>
      </c>
      <c r="B5225" t="str">
        <f>"1551601623149456"</f>
        <v>1551601623149456</v>
      </c>
      <c r="C5225" t="s">
        <v>40</v>
      </c>
      <c r="D5225">
        <v>4.8489659999999999</v>
      </c>
      <c r="E5225">
        <v>0.32689879999999999</v>
      </c>
      <c r="F5225" t="s">
        <v>59</v>
      </c>
      <c r="G5225">
        <v>-195.98390000000001</v>
      </c>
      <c r="H5225" s="1">
        <v>-9.4103119999999998E-6</v>
      </c>
      <c r="I5225">
        <v>-53.10566</v>
      </c>
      <c r="J5225">
        <v>-200.32759999999999</v>
      </c>
      <c r="K5225">
        <v>1.1282430000000001</v>
      </c>
      <c r="L5225">
        <v>-60.537480000000002</v>
      </c>
      <c r="M5225">
        <v>0.93140279999999998</v>
      </c>
      <c r="N5225">
        <v>-1.291433E-2</v>
      </c>
      <c r="O5225">
        <v>0.36376120000000001</v>
      </c>
      <c r="P5225">
        <v>0.80997649999999999</v>
      </c>
      <c r="Q5225">
        <v>0.13911560000000001</v>
      </c>
      <c r="R5225">
        <v>0.5697236</v>
      </c>
      <c r="S5225">
        <v>1.738205</v>
      </c>
      <c r="T5225">
        <v>-0.43964710000000001</v>
      </c>
      <c r="U5225">
        <v>2.9158629999999999</v>
      </c>
      <c r="V5225">
        <v>-0.23867260000000001</v>
      </c>
      <c r="W5225">
        <v>0.14731649999999999</v>
      </c>
      <c r="X5225">
        <v>0.95986099999999996</v>
      </c>
      <c r="Y5225">
        <v>-0.61095559999999904</v>
      </c>
      <c r="Z5225">
        <v>2.8482859999999998E-3</v>
      </c>
      <c r="AA5225">
        <v>0.79165969999999997</v>
      </c>
      <c r="AB5225">
        <v>25</v>
      </c>
      <c r="AC5225">
        <v>4.3436999999999797</v>
      </c>
      <c r="AD5225">
        <v>-1.128252410312</v>
      </c>
      <c r="AE5225">
        <v>7.4318200000000001</v>
      </c>
      <c r="AF5225">
        <v>-5.2521668791086</v>
      </c>
      <c r="AG5225">
        <v>-1.128252410312</v>
      </c>
      <c r="AH5225">
        <v>6.6357099973084104</v>
      </c>
      <c r="AI5225">
        <v>97.593895556864496</v>
      </c>
      <c r="AJ5225">
        <v>128.36162751720201</v>
      </c>
      <c r="AK5225">
        <v>8.5376142800995094</v>
      </c>
      <c r="AL5225">
        <v>81.528553896814998</v>
      </c>
      <c r="AM5225">
        <v>103.963598806711</v>
      </c>
      <c r="AN5225">
        <v>0.99999995024200306</v>
      </c>
    </row>
    <row r="5226" spans="1:40" x14ac:dyDescent="0.25">
      <c r="A5226" t="str">
        <f>"20190303162703168"</f>
        <v>20190303162703168</v>
      </c>
      <c r="B5226" t="str">
        <f>"1551601623159216"</f>
        <v>1551601623159216</v>
      </c>
      <c r="C5226" t="s">
        <v>40</v>
      </c>
      <c r="D5226">
        <v>4.8831379999999998</v>
      </c>
      <c r="E5226">
        <v>0.3284609</v>
      </c>
      <c r="F5226" t="s">
        <v>42</v>
      </c>
      <c r="G5226">
        <v>-199.84549999999999</v>
      </c>
      <c r="H5226">
        <v>1.005849</v>
      </c>
      <c r="I5226">
        <v>-59.724699999999999</v>
      </c>
      <c r="J5226">
        <v>-200.21629999999999</v>
      </c>
      <c r="K5226">
        <v>1.128253</v>
      </c>
      <c r="L5226">
        <v>-60.488219999999998</v>
      </c>
      <c r="M5226">
        <v>0.92951119999999998</v>
      </c>
      <c r="N5226">
        <v>-1.292075E-2</v>
      </c>
      <c r="O5226">
        <v>0.3685676</v>
      </c>
      <c r="P5226">
        <v>0.80693079999999995</v>
      </c>
      <c r="Q5226">
        <v>0.138824</v>
      </c>
      <c r="R5226">
        <v>0.57409980000000005</v>
      </c>
      <c r="S5226">
        <v>1.728561</v>
      </c>
      <c r="T5226">
        <v>-0.438942</v>
      </c>
      <c r="U5226">
        <v>2.9154049999999998</v>
      </c>
      <c r="V5226">
        <v>-0.23889260000000001</v>
      </c>
      <c r="W5226">
        <v>0.14701889999999901</v>
      </c>
      <c r="X5226">
        <v>0.95985200000000004</v>
      </c>
      <c r="Y5226">
        <v>-0.60879969999999894</v>
      </c>
      <c r="Z5226">
        <v>2.0024330000000001E-3</v>
      </c>
      <c r="AA5226">
        <v>0.79332139999999995</v>
      </c>
      <c r="AB5226">
        <v>25</v>
      </c>
      <c r="AC5226">
        <v>0.37080000000000202</v>
      </c>
      <c r="AD5226">
        <v>-0.122404</v>
      </c>
      <c r="AE5226">
        <v>0.76351999999999898</v>
      </c>
      <c r="AF5226">
        <v>-0.56140817790111197</v>
      </c>
      <c r="AG5226">
        <v>-0.122404</v>
      </c>
      <c r="AH5226">
        <v>0.61336799754624205</v>
      </c>
      <c r="AI5226">
        <v>98.374246214028005</v>
      </c>
      <c r="AJ5226">
        <v>132.46748410341601</v>
      </c>
      <c r="AK5226">
        <v>0.840465455473414</v>
      </c>
      <c r="AL5226">
        <v>81.545793647454403</v>
      </c>
      <c r="AM5226">
        <v>103.976091570482</v>
      </c>
      <c r="AN5226">
        <v>1.0000000465979799</v>
      </c>
    </row>
    <row r="5227" spans="1:40" x14ac:dyDescent="0.25">
      <c r="A5227" t="str">
        <f>"20190303162703180"</f>
        <v>20190303162703180</v>
      </c>
      <c r="B5227" t="str">
        <f>"1551601623169953"</f>
        <v>1551601623169953</v>
      </c>
      <c r="C5227" t="s">
        <v>40</v>
      </c>
      <c r="D5227">
        <v>4.9116150000000003</v>
      </c>
      <c r="E5227">
        <v>0.32970660000000002</v>
      </c>
      <c r="F5227" t="s">
        <v>59</v>
      </c>
      <c r="G5227">
        <v>-195.78450000000001</v>
      </c>
      <c r="H5227" s="1">
        <v>-9.4373769999999992E-6</v>
      </c>
      <c r="I5227">
        <v>-52.976430000000001</v>
      </c>
      <c r="J5227">
        <v>-200.09059999999999</v>
      </c>
      <c r="K5227">
        <v>1.128263</v>
      </c>
      <c r="L5227">
        <v>-60.432009999999998</v>
      </c>
      <c r="M5227">
        <v>0.92733960000000004</v>
      </c>
      <c r="N5227">
        <v>-1.292753E-2</v>
      </c>
      <c r="O5227">
        <v>0.37399759999999999</v>
      </c>
      <c r="P5227">
        <v>0.80374109999999999</v>
      </c>
      <c r="Q5227">
        <v>0.1383219</v>
      </c>
      <c r="R5227">
        <v>0.57867729999999995</v>
      </c>
      <c r="S5227">
        <v>1.7195130000000001</v>
      </c>
      <c r="T5227">
        <v>-0.4377624</v>
      </c>
      <c r="U5227">
        <v>2.9145509999999999</v>
      </c>
      <c r="V5227">
        <v>-0.23869799999999999</v>
      </c>
      <c r="W5227">
        <v>0.14652029999999999</v>
      </c>
      <c r="X5227">
        <v>0.95997659999999996</v>
      </c>
      <c r="Y5227">
        <v>-0.60595019999999999</v>
      </c>
      <c r="Z5227">
        <v>1.0169630000000001E-3</v>
      </c>
      <c r="AA5227">
        <v>0.79550189999999998</v>
      </c>
      <c r="AB5227">
        <v>25</v>
      </c>
      <c r="AC5227">
        <v>4.3060999999999803</v>
      </c>
      <c r="AD5227">
        <v>-1.1282724373769999</v>
      </c>
      <c r="AE5227">
        <v>7.4555799999999897</v>
      </c>
      <c r="AF5227">
        <v>-5.2142820036284201</v>
      </c>
      <c r="AG5227">
        <v>-1.1282724373769999</v>
      </c>
      <c r="AH5227">
        <v>6.6676494693219199</v>
      </c>
      <c r="AI5227">
        <v>97.592542020814903</v>
      </c>
      <c r="AJ5227">
        <v>128.02636791891101</v>
      </c>
      <c r="AK5227">
        <v>8.5392789480176106</v>
      </c>
      <c r="AL5227">
        <v>81.574673707029305</v>
      </c>
      <c r="AM5227">
        <v>103.963410824863</v>
      </c>
      <c r="AN5227">
        <v>1.0000000030318199</v>
      </c>
    </row>
    <row r="5228" spans="1:40" x14ac:dyDescent="0.25">
      <c r="A5228" t="str">
        <f>"20190303162703194"</f>
        <v>20190303162703194</v>
      </c>
      <c r="B5228" t="str">
        <f>"1551601623179712"</f>
        <v>1551601623179712</v>
      </c>
      <c r="C5228" t="s">
        <v>40</v>
      </c>
      <c r="D5228">
        <v>4.9236199999999997</v>
      </c>
      <c r="E5228">
        <v>0.32970660000000002</v>
      </c>
      <c r="F5228" t="s">
        <v>42</v>
      </c>
      <c r="G5228">
        <v>-199.63329999999999</v>
      </c>
      <c r="H5228">
        <v>1.0114749999999999</v>
      </c>
      <c r="I5228">
        <v>-59.651470000000003</v>
      </c>
      <c r="J5228">
        <v>-199.97290000000001</v>
      </c>
      <c r="K5228">
        <v>1.1282669999999999</v>
      </c>
      <c r="L5228">
        <v>-60.378169999999997</v>
      </c>
      <c r="M5228">
        <v>0.9252648</v>
      </c>
      <c r="N5228">
        <v>-1.293304E-2</v>
      </c>
      <c r="O5228">
        <v>0.37910120000000003</v>
      </c>
      <c r="P5228">
        <v>0.80027099999999995</v>
      </c>
      <c r="Q5228">
        <v>0.1382255</v>
      </c>
      <c r="R5228">
        <v>0.58348959999999905</v>
      </c>
      <c r="S5228">
        <v>1.70826699999999</v>
      </c>
      <c r="T5228">
        <v>-0.43629250000000003</v>
      </c>
      <c r="U5228">
        <v>2.9158629999999999</v>
      </c>
      <c r="V5228">
        <v>-0.2391645</v>
      </c>
      <c r="W5228">
        <v>0.1464152</v>
      </c>
      <c r="X5228">
        <v>0.95987650000000002</v>
      </c>
      <c r="Y5228">
        <v>-0.60406530000000003</v>
      </c>
      <c r="Z5228">
        <v>1.7379219999999999E-4</v>
      </c>
      <c r="AA5228">
        <v>0.79693480000000005</v>
      </c>
      <c r="AB5228">
        <v>25</v>
      </c>
      <c r="AC5228">
        <v>0.339600000000018</v>
      </c>
      <c r="AD5228">
        <v>-0.11679200000000001</v>
      </c>
      <c r="AE5228">
        <v>0.72670000000000101</v>
      </c>
      <c r="AF5228">
        <v>-0.53240577835163505</v>
      </c>
      <c r="AG5228">
        <v>-0.11679200000000001</v>
      </c>
      <c r="AH5228">
        <v>0.57751885209919795</v>
      </c>
      <c r="AI5228">
        <v>98.457238326489602</v>
      </c>
      <c r="AJ5228">
        <v>132.67248452522401</v>
      </c>
      <c r="AK5228">
        <v>0.79411857339832104</v>
      </c>
      <c r="AL5228">
        <v>81.580760965813099</v>
      </c>
      <c r="AM5228">
        <v>103.991031081172</v>
      </c>
      <c r="AN5228">
        <v>0.99999998205176899</v>
      </c>
    </row>
    <row r="5229" spans="1:40" x14ac:dyDescent="0.25">
      <c r="A5229" t="str">
        <f>"20190303162703207"</f>
        <v>20190303162703207</v>
      </c>
      <c r="B5229" t="str">
        <f>"1551601623199232"</f>
        <v>1551601623199232</v>
      </c>
      <c r="C5229" t="s">
        <v>40</v>
      </c>
      <c r="D5229">
        <v>4.945767</v>
      </c>
      <c r="E5229">
        <v>0.3530587</v>
      </c>
      <c r="F5229" t="s">
        <v>42</v>
      </c>
      <c r="G5229">
        <v>-199.46879999999999</v>
      </c>
      <c r="H5229">
        <v>0.99781019999999998</v>
      </c>
      <c r="I5229">
        <v>-59.506230000000002</v>
      </c>
      <c r="J5229">
        <v>-199.82679999999999</v>
      </c>
      <c r="K5229">
        <v>1.1282730000000001</v>
      </c>
      <c r="L5229">
        <v>-60.310549999999999</v>
      </c>
      <c r="M5229">
        <v>0.92264299999999999</v>
      </c>
      <c r="N5229">
        <v>-1.2939350000000001E-2</v>
      </c>
      <c r="O5229">
        <v>0.38543810000000001</v>
      </c>
      <c r="P5229">
        <v>0.79558019999999996</v>
      </c>
      <c r="Q5229">
        <v>0.13836419999999999</v>
      </c>
      <c r="R5229">
        <v>0.58983680000000005</v>
      </c>
      <c r="S5229">
        <v>1.6911769999999999</v>
      </c>
      <c r="T5229">
        <v>-0.43768639999999998</v>
      </c>
      <c r="U5229">
        <v>2.9256899999999999</v>
      </c>
      <c r="V5229">
        <v>-0.24023249999999999</v>
      </c>
      <c r="W5229">
        <v>0.1465331</v>
      </c>
      <c r="X5229">
        <v>0.95959179999999999</v>
      </c>
      <c r="Y5229">
        <v>-0.6032845</v>
      </c>
      <c r="Z5229">
        <v>-7.8256429999999904E-4</v>
      </c>
      <c r="AA5229">
        <v>0.7975257</v>
      </c>
      <c r="AB5229">
        <v>25</v>
      </c>
      <c r="AC5229">
        <v>0.35800000000000398</v>
      </c>
      <c r="AD5229">
        <v>-0.13046279999999999</v>
      </c>
      <c r="AE5229">
        <v>0.80431999999999704</v>
      </c>
      <c r="AF5229">
        <v>-0.59118199096846502</v>
      </c>
      <c r="AG5229">
        <v>-0.13046279999999999</v>
      </c>
      <c r="AH5229">
        <v>0.62661531865525399</v>
      </c>
      <c r="AI5229">
        <v>98.611484304580301</v>
      </c>
      <c r="AJ5229">
        <v>133.33337822777901</v>
      </c>
      <c r="AK5229">
        <v>0.87129986009565297</v>
      </c>
      <c r="AL5229">
        <v>81.573932403981402</v>
      </c>
      <c r="AM5229">
        <v>104.055042373196</v>
      </c>
      <c r="AN5229">
        <v>1.0000000130395399</v>
      </c>
    </row>
    <row r="5230" spans="1:40" x14ac:dyDescent="0.25">
      <c r="A5230" t="str">
        <f>"20190303162703226"</f>
        <v>20190303162703226</v>
      </c>
      <c r="B5230" t="str">
        <f>"1551601623219729"</f>
        <v>1551601623219729</v>
      </c>
      <c r="C5230" t="s">
        <v>40</v>
      </c>
      <c r="D5230">
        <v>4.9673449999999999</v>
      </c>
      <c r="E5230">
        <v>0.35470420000000003</v>
      </c>
      <c r="F5230" t="s">
        <v>42</v>
      </c>
      <c r="G5230">
        <v>-199.26240000000001</v>
      </c>
      <c r="H5230">
        <v>1.0005930000000001</v>
      </c>
      <c r="I5230">
        <v>-59.42521</v>
      </c>
      <c r="J5230">
        <v>-199.62950000000001</v>
      </c>
      <c r="K5230">
        <v>1.12827099999999</v>
      </c>
      <c r="L5230">
        <v>-60.217190000000002</v>
      </c>
      <c r="M5230">
        <v>0.91901489999999997</v>
      </c>
      <c r="N5230">
        <v>-1.2946650000000001E-2</v>
      </c>
      <c r="O5230">
        <v>0.39401009999999997</v>
      </c>
      <c r="P5230">
        <v>0.78805689999999995</v>
      </c>
      <c r="Q5230">
        <v>0.13894189999999901</v>
      </c>
      <c r="R5230">
        <v>0.59971790000000003</v>
      </c>
      <c r="S5230">
        <v>1.775833</v>
      </c>
      <c r="T5230">
        <v>-0.40168890000000002</v>
      </c>
      <c r="U5230">
        <v>2.785126</v>
      </c>
      <c r="V5230">
        <v>-0.24332989999999999</v>
      </c>
      <c r="W5230">
        <v>0.14704909999999999</v>
      </c>
      <c r="X5230">
        <v>0.95873209999999998</v>
      </c>
      <c r="Y5230">
        <v>-0.56104830000000006</v>
      </c>
      <c r="Z5230">
        <v>-4.8099379999999997E-3</v>
      </c>
      <c r="AA5230">
        <v>0.82776919999999898</v>
      </c>
      <c r="AB5230">
        <v>25</v>
      </c>
      <c r="AC5230">
        <v>0.36709999999999299</v>
      </c>
      <c r="AD5230">
        <v>-0.12767799999999899</v>
      </c>
      <c r="AE5230">
        <v>0.79198000000000202</v>
      </c>
      <c r="AF5230">
        <v>-0.57103286242511897</v>
      </c>
      <c r="AG5230">
        <v>-0.12767799999999899</v>
      </c>
      <c r="AH5230">
        <v>0.63586951246485701</v>
      </c>
      <c r="AI5230">
        <v>98.496805126367605</v>
      </c>
      <c r="AJ5230">
        <v>131.92493862638301</v>
      </c>
      <c r="AK5230">
        <v>0.86412397174000499</v>
      </c>
      <c r="AL5230">
        <v>81.544044406128606</v>
      </c>
      <c r="AM5230">
        <v>104.24118355698501</v>
      </c>
      <c r="AN5230">
        <v>1.0000000588076099</v>
      </c>
    </row>
    <row r="5231" spans="1:40" x14ac:dyDescent="0.25">
      <c r="A5231" t="str">
        <f>"20190303162703238"</f>
        <v>20190303162703238</v>
      </c>
      <c r="B5231" t="str">
        <f>"1551601623229489"</f>
        <v>1551601623229489</v>
      </c>
      <c r="C5231" t="s">
        <v>40</v>
      </c>
      <c r="D5231">
        <v>5.0088990000000004</v>
      </c>
      <c r="E5231">
        <v>0.35544829999999999</v>
      </c>
      <c r="F5231" t="s">
        <v>42</v>
      </c>
      <c r="G5231">
        <v>-199.0693</v>
      </c>
      <c r="H5231">
        <v>1.001037</v>
      </c>
      <c r="I5231">
        <v>-59.322830000000003</v>
      </c>
      <c r="J5231">
        <v>-199.5018</v>
      </c>
      <c r="K5231">
        <v>1.128269</v>
      </c>
      <c r="L5231">
        <v>-60.155639999999998</v>
      </c>
      <c r="M5231">
        <v>0.9166166</v>
      </c>
      <c r="N5231">
        <v>-1.295075E-2</v>
      </c>
      <c r="O5231">
        <v>0.39955750000000001</v>
      </c>
      <c r="P5231">
        <v>0.78328419999999999</v>
      </c>
      <c r="Q5231">
        <v>0.13889219999999999</v>
      </c>
      <c r="R5231">
        <v>0.60594950000000003</v>
      </c>
      <c r="S5231">
        <v>1.7501070000000001</v>
      </c>
      <c r="T5231">
        <v>-0.39755010000000002</v>
      </c>
      <c r="U5231">
        <v>2.7947389999999999</v>
      </c>
      <c r="V5231">
        <v>-0.24513779999999999</v>
      </c>
      <c r="W5231">
        <v>0.1469656</v>
      </c>
      <c r="X5231">
        <v>0.95828420000000003</v>
      </c>
      <c r="Y5231">
        <v>-0.56283030000000001</v>
      </c>
      <c r="Z5231">
        <v>-5.2399899999999999E-3</v>
      </c>
      <c r="AA5231">
        <v>0.82655579999999995</v>
      </c>
      <c r="AB5231">
        <v>25</v>
      </c>
      <c r="AC5231">
        <v>0.43250000000000399</v>
      </c>
      <c r="AD5231">
        <v>-0.12723199999999901</v>
      </c>
      <c r="AE5231">
        <v>0.83281000000000205</v>
      </c>
      <c r="AF5231">
        <v>-0.57994763831221596</v>
      </c>
      <c r="AG5231">
        <v>-0.12723199999999901</v>
      </c>
      <c r="AH5231">
        <v>0.71608997195372404</v>
      </c>
      <c r="AI5231">
        <v>97.861331177774801</v>
      </c>
      <c r="AJ5231">
        <v>129.003354119525</v>
      </c>
      <c r="AK5231">
        <v>0.93022152895995902</v>
      </c>
      <c r="AL5231">
        <v>81.548880807663807</v>
      </c>
      <c r="AM5231">
        <v>104.349069986559</v>
      </c>
      <c r="AN5231">
        <v>1.0000000182709099</v>
      </c>
    </row>
    <row r="5232" spans="1:40" x14ac:dyDescent="0.25">
      <c r="A5232" t="str">
        <f>"20190303162703251"</f>
        <v>20190303162703251</v>
      </c>
      <c r="B5232" t="str">
        <f>"1551601623239251"</f>
        <v>1551601623239251</v>
      </c>
      <c r="C5232" t="s">
        <v>40</v>
      </c>
      <c r="D5232">
        <v>4.98231</v>
      </c>
      <c r="E5232">
        <v>0.35591349999999999</v>
      </c>
      <c r="F5232" t="s">
        <v>42</v>
      </c>
      <c r="G5232">
        <v>-199.02520000000001</v>
      </c>
      <c r="H5232">
        <v>1.019882</v>
      </c>
      <c r="I5232">
        <v>-59.38391</v>
      </c>
      <c r="J5232">
        <v>-199.38249999999999</v>
      </c>
      <c r="K5232">
        <v>1.1282700000000001</v>
      </c>
      <c r="L5232">
        <v>-60.097019999999901</v>
      </c>
      <c r="M5232">
        <v>0.91433560000000003</v>
      </c>
      <c r="N5232">
        <v>-1.295411E-2</v>
      </c>
      <c r="O5232">
        <v>0.4047501</v>
      </c>
      <c r="P5232">
        <v>0.7788583</v>
      </c>
      <c r="Q5232">
        <v>0.13886009999999999</v>
      </c>
      <c r="R5232">
        <v>0.61163519999999905</v>
      </c>
      <c r="S5232">
        <v>1.731033</v>
      </c>
      <c r="T5232">
        <v>-0.3937042</v>
      </c>
      <c r="U5232">
        <v>2.803528</v>
      </c>
      <c r="V5232">
        <v>-0.2466769</v>
      </c>
      <c r="W5232">
        <v>0.146904799999999</v>
      </c>
      <c r="X5232">
        <v>0.95789849999999999</v>
      </c>
      <c r="Y5232">
        <v>-0.563419</v>
      </c>
      <c r="Z5232">
        <v>-5.7103450000000004E-3</v>
      </c>
      <c r="AA5232">
        <v>0.82615149999999904</v>
      </c>
      <c r="AB5232">
        <v>25</v>
      </c>
      <c r="AC5232">
        <v>0.35729999999998002</v>
      </c>
      <c r="AD5232">
        <v>-0.108388</v>
      </c>
      <c r="AE5232">
        <v>0.71310999999999303</v>
      </c>
      <c r="AF5232">
        <v>-0.49824652681137299</v>
      </c>
      <c r="AG5232">
        <v>-0.108388</v>
      </c>
      <c r="AH5232">
        <v>0.60421751018597303</v>
      </c>
      <c r="AI5232">
        <v>97.879654182721097</v>
      </c>
      <c r="AJ5232">
        <v>129.50948671952699</v>
      </c>
      <c r="AK5232">
        <v>0.79061770764316497</v>
      </c>
      <c r="AL5232">
        <v>81.552402671664694</v>
      </c>
      <c r="AM5232">
        <v>104.440976852931</v>
      </c>
      <c r="AN5232">
        <v>1.0000000247794401</v>
      </c>
    </row>
    <row r="5233" spans="1:40" x14ac:dyDescent="0.25">
      <c r="A5233" t="str">
        <f>"20190303162703263"</f>
        <v>20190303162703263</v>
      </c>
      <c r="B5233" t="str">
        <f>"1551601623259744"</f>
        <v>1551601623259744</v>
      </c>
      <c r="C5233" t="s">
        <v>40</v>
      </c>
      <c r="D5233">
        <v>4.92774</v>
      </c>
      <c r="E5233">
        <v>0.35509400000000002</v>
      </c>
      <c r="F5233" t="s">
        <v>42</v>
      </c>
      <c r="G5233">
        <v>-198.86099999999999</v>
      </c>
      <c r="H5233">
        <v>1.010235</v>
      </c>
      <c r="I5233">
        <v>-59.240569999999998</v>
      </c>
      <c r="J5233">
        <v>-199.2629</v>
      </c>
      <c r="K5233">
        <v>1.1282650000000001</v>
      </c>
      <c r="L5233">
        <v>-60.0379</v>
      </c>
      <c r="M5233">
        <v>0.91201779999999999</v>
      </c>
      <c r="N5233">
        <v>-1.2957299999999901E-2</v>
      </c>
      <c r="O5233">
        <v>0.40994589999999997</v>
      </c>
      <c r="P5233">
        <v>0.77428999999999903</v>
      </c>
      <c r="Q5233">
        <v>0.1387989</v>
      </c>
      <c r="R5233">
        <v>0.61742189999999997</v>
      </c>
      <c r="S5233">
        <v>1.71232599999999</v>
      </c>
      <c r="T5233">
        <v>-0.38760919999999999</v>
      </c>
      <c r="U5233">
        <v>2.812408</v>
      </c>
      <c r="V5233">
        <v>-0.24836130000000001</v>
      </c>
      <c r="W5233">
        <v>0.14681229999999901</v>
      </c>
      <c r="X5233">
        <v>0.95747729999999998</v>
      </c>
      <c r="Y5233">
        <v>-0.56395099999999998</v>
      </c>
      <c r="Z5233">
        <v>-6.0867019999999898E-3</v>
      </c>
      <c r="AA5233">
        <v>0.82578589999999996</v>
      </c>
      <c r="AB5233">
        <v>25</v>
      </c>
      <c r="AC5233">
        <v>0.40190000000001103</v>
      </c>
      <c r="AD5233">
        <v>-0.11803</v>
      </c>
      <c r="AE5233">
        <v>0.79733000000000198</v>
      </c>
      <c r="AF5233">
        <v>-0.55280947279487003</v>
      </c>
      <c r="AG5233">
        <v>-0.11803</v>
      </c>
      <c r="AH5233">
        <v>0.68155109653777901</v>
      </c>
      <c r="AI5233">
        <v>97.660200664655704</v>
      </c>
      <c r="AJ5233">
        <v>129.045679884067</v>
      </c>
      <c r="AK5233">
        <v>0.88546106142709202</v>
      </c>
      <c r="AL5233">
        <v>81.557760272773606</v>
      </c>
      <c r="AM5233">
        <v>104.541544781139</v>
      </c>
      <c r="AN5233">
        <v>0.99999998339213403</v>
      </c>
    </row>
    <row r="5234" spans="1:40" x14ac:dyDescent="0.25">
      <c r="A5234" t="str">
        <f>"20190303162703278"</f>
        <v>20190303162703278</v>
      </c>
      <c r="B5234" t="str">
        <f>"1551601623269504"</f>
        <v>1551601623269504</v>
      </c>
      <c r="C5234" t="s">
        <v>40</v>
      </c>
      <c r="D5234">
        <v>5.032851</v>
      </c>
      <c r="E5234">
        <v>0.31141039999999998</v>
      </c>
      <c r="F5234" t="s">
        <v>59</v>
      </c>
      <c r="G5234">
        <v>-194.33170000000001</v>
      </c>
      <c r="H5234" s="1">
        <v>-9.7330300000000002E-6</v>
      </c>
      <c r="I5234">
        <v>-51.764119999999998</v>
      </c>
      <c r="J5234">
        <v>-199.108</v>
      </c>
      <c r="K5234">
        <v>1.1282589999999999</v>
      </c>
      <c r="L5234">
        <v>-59.959440000000001</v>
      </c>
      <c r="M5234">
        <v>0.90895800000000004</v>
      </c>
      <c r="N5234">
        <v>-1.296078E-2</v>
      </c>
      <c r="O5234">
        <v>0.41668640000000001</v>
      </c>
      <c r="P5234">
        <v>0.76731110000000002</v>
      </c>
      <c r="Q5234">
        <v>0.1381136</v>
      </c>
      <c r="R5234">
        <v>0.62622549999999999</v>
      </c>
      <c r="S5234">
        <v>1.68684399999999</v>
      </c>
      <c r="T5234">
        <v>-0.3859514</v>
      </c>
      <c r="U5234">
        <v>2.8302309999999999</v>
      </c>
      <c r="V5234">
        <v>-0.25214920000000002</v>
      </c>
      <c r="W5234">
        <v>0.1460533</v>
      </c>
      <c r="X5234">
        <v>0.95660290000000003</v>
      </c>
      <c r="Y5234">
        <v>-0.56565030000000005</v>
      </c>
      <c r="Z5234">
        <v>-6.7001150000000004E-3</v>
      </c>
      <c r="AA5234">
        <v>0.82461799999999996</v>
      </c>
      <c r="AB5234">
        <v>25</v>
      </c>
      <c r="AC5234">
        <v>4.7762999999999902</v>
      </c>
      <c r="AD5234">
        <v>-1.1282687330299901</v>
      </c>
      <c r="AE5234">
        <v>8.1953200000000006</v>
      </c>
      <c r="AF5234">
        <v>-5.3832775473876904</v>
      </c>
      <c r="AG5234">
        <v>-1.1282687330299901</v>
      </c>
      <c r="AH5234">
        <v>7.6487700504795599</v>
      </c>
      <c r="AI5234">
        <v>96.878268363081204</v>
      </c>
      <c r="AJ5234">
        <v>125.13824956963001</v>
      </c>
      <c r="AK5234">
        <v>9.4210588986193393</v>
      </c>
      <c r="AL5234">
        <v>81.601721338935505</v>
      </c>
      <c r="AM5234">
        <v>104.766616218046</v>
      </c>
      <c r="AN5234">
        <v>0.99999994689496796</v>
      </c>
    </row>
    <row r="5235" spans="1:40" x14ac:dyDescent="0.25">
      <c r="A5235" t="str">
        <f>"20190303162703290"</f>
        <v>20190303162703290</v>
      </c>
      <c r="B5235" t="str">
        <f>"1551601623279264"</f>
        <v>1551601623279264</v>
      </c>
      <c r="C5235" t="s">
        <v>40</v>
      </c>
      <c r="D5235">
        <v>5.0442679999999998</v>
      </c>
      <c r="E5235">
        <v>0.30263099999999998</v>
      </c>
      <c r="F5235" t="s">
        <v>59</v>
      </c>
      <c r="G5235">
        <v>-195.7174</v>
      </c>
      <c r="H5235" s="1">
        <v>-9.5637290000000006E-6</v>
      </c>
      <c r="I5235">
        <v>-52.610489999999999</v>
      </c>
      <c r="J5235">
        <v>-198.98439999999999</v>
      </c>
      <c r="K5235">
        <v>1.128255</v>
      </c>
      <c r="L5235">
        <v>-59.895870000000002</v>
      </c>
      <c r="M5235">
        <v>0.90647390000000005</v>
      </c>
      <c r="N5235">
        <v>-1.2963199999999999E-2</v>
      </c>
      <c r="O5235">
        <v>0.42206270000000001</v>
      </c>
      <c r="P5235">
        <v>0.76234780000000002</v>
      </c>
      <c r="Q5235">
        <v>0.1380818</v>
      </c>
      <c r="R5235">
        <v>0.63226530000000003</v>
      </c>
      <c r="S5235">
        <v>1.4432529999999999</v>
      </c>
      <c r="T5235">
        <v>-0.48025699999999999</v>
      </c>
      <c r="U5235">
        <v>3.1281430000000001</v>
      </c>
      <c r="V5235">
        <v>-0.2540365</v>
      </c>
      <c r="W5235">
        <v>0.14598539999999999</v>
      </c>
      <c r="X5235">
        <v>0.95611389999999996</v>
      </c>
      <c r="Y5235">
        <v>-0.64326179999999999</v>
      </c>
      <c r="Z5235">
        <v>-2.9922199999999999E-3</v>
      </c>
      <c r="AA5235">
        <v>0.76564049999999995</v>
      </c>
      <c r="AB5235">
        <v>25</v>
      </c>
      <c r="AC5235">
        <v>3.2669999999999901</v>
      </c>
      <c r="AD5235">
        <v>-1.1282645637289901</v>
      </c>
      <c r="AE5235">
        <v>7.2853799999999804</v>
      </c>
      <c r="AF5235">
        <v>-5.1232643844843997</v>
      </c>
      <c r="AG5235">
        <v>-1.1282645637289901</v>
      </c>
      <c r="AH5235">
        <v>5.9186593036041897</v>
      </c>
      <c r="AI5235">
        <v>98.201615733003294</v>
      </c>
      <c r="AJ5235">
        <v>130.87986718978399</v>
      </c>
      <c r="AK5235">
        <v>7.9089409424545103</v>
      </c>
      <c r="AL5235">
        <v>81.605654617940004</v>
      </c>
      <c r="AM5235">
        <v>104.879530033796</v>
      </c>
      <c r="AN5235">
        <v>1.0000000350592999</v>
      </c>
    </row>
    <row r="5236" spans="1:40" x14ac:dyDescent="0.25">
      <c r="A5236" t="str">
        <f>"20190303162703304"</f>
        <v>20190303162703304</v>
      </c>
      <c r="B5236" t="str">
        <f>"1551601623299760"</f>
        <v>1551601623299760</v>
      </c>
      <c r="C5236" t="s">
        <v>40</v>
      </c>
      <c r="D5236">
        <v>5.0303789999999999</v>
      </c>
      <c r="E5236">
        <v>0.2964618</v>
      </c>
      <c r="F5236" t="s">
        <v>59</v>
      </c>
      <c r="G5236">
        <v>-195.85130000000001</v>
      </c>
      <c r="H5236" s="1">
        <v>-9.5741780000000004E-6</v>
      </c>
      <c r="I5236">
        <v>-52.618549999999999</v>
      </c>
      <c r="J5236">
        <v>-198.85650000000001</v>
      </c>
      <c r="K5236">
        <v>1.128252</v>
      </c>
      <c r="L5236">
        <v>-59.829410000000003</v>
      </c>
      <c r="M5236">
        <v>0.90386369999999905</v>
      </c>
      <c r="N5236">
        <v>-1.296551E-2</v>
      </c>
      <c r="O5236">
        <v>0.427624</v>
      </c>
      <c r="P5236">
        <v>0.75712780000000002</v>
      </c>
      <c r="Q5236">
        <v>0.13814609999999999</v>
      </c>
      <c r="R5236">
        <v>0.63849290000000003</v>
      </c>
      <c r="S5236">
        <v>1.375381</v>
      </c>
      <c r="T5236">
        <v>-0.4952917</v>
      </c>
      <c r="U5236">
        <v>3.1946409999999998</v>
      </c>
      <c r="V5236">
        <v>-0.25600729999999999</v>
      </c>
      <c r="W5236">
        <v>0.1460118</v>
      </c>
      <c r="X5236">
        <v>0.95558399999999999</v>
      </c>
      <c r="Y5236">
        <v>-0.6578929</v>
      </c>
      <c r="Z5236">
        <v>-2.5943699999999999E-3</v>
      </c>
      <c r="AA5236">
        <v>0.75310699999999997</v>
      </c>
      <c r="AB5236">
        <v>25</v>
      </c>
      <c r="AC5236">
        <v>3.0051999999999999</v>
      </c>
      <c r="AD5236">
        <v>-1.128261574178</v>
      </c>
      <c r="AE5236">
        <v>7.2108599999999896</v>
      </c>
      <c r="AF5236">
        <v>-5.1260547685109303</v>
      </c>
      <c r="AG5236">
        <v>-1.128261574178</v>
      </c>
      <c r="AH5236">
        <v>5.6817992507267903</v>
      </c>
      <c r="AI5236">
        <v>98.387197903867502</v>
      </c>
      <c r="AJ5236">
        <v>132.05641898875601</v>
      </c>
      <c r="AK5236">
        <v>7.7351311815055697</v>
      </c>
      <c r="AL5236">
        <v>81.604125179155901</v>
      </c>
      <c r="AM5236">
        <v>104.99772529509799</v>
      </c>
      <c r="AN5236">
        <v>0.99999998222426401</v>
      </c>
    </row>
    <row r="5237" spans="1:40" x14ac:dyDescent="0.25">
      <c r="A5237" t="str">
        <f>"20190303162703319"</f>
        <v>20190303162703319</v>
      </c>
      <c r="B5237" t="str">
        <f>"1551601623310496"</f>
        <v>1551601623310496</v>
      </c>
      <c r="C5237" t="s">
        <v>40</v>
      </c>
      <c r="D5237">
        <v>4.9677530000000001</v>
      </c>
      <c r="E5237">
        <v>0.29637920000000001</v>
      </c>
      <c r="F5237" t="s">
        <v>59</v>
      </c>
      <c r="G5237">
        <v>-195.8991</v>
      </c>
      <c r="H5237" s="1">
        <v>-9.6023350000000003E-6</v>
      </c>
      <c r="I5237">
        <v>-52.554220000000001</v>
      </c>
      <c r="J5237">
        <v>-198.70529999999999</v>
      </c>
      <c r="K5237">
        <v>1.1282479999999999</v>
      </c>
      <c r="L5237">
        <v>-59.749270000000003</v>
      </c>
      <c r="M5237">
        <v>0.90072459999999999</v>
      </c>
      <c r="N5237">
        <v>-1.296778E-2</v>
      </c>
      <c r="O5237">
        <v>0.4341969</v>
      </c>
      <c r="P5237">
        <v>0.75156020000000001</v>
      </c>
      <c r="Q5237">
        <v>0.13822499999999999</v>
      </c>
      <c r="R5237">
        <v>0.64502019999999904</v>
      </c>
      <c r="S5237">
        <v>1.3186040000000001</v>
      </c>
      <c r="T5237">
        <v>-0.50305599999999995</v>
      </c>
      <c r="U5237">
        <v>3.2437740000000002</v>
      </c>
      <c r="V5237">
        <v>-0.25732310000000003</v>
      </c>
      <c r="W5237">
        <v>0.14606659999999999</v>
      </c>
      <c r="X5237">
        <v>0.95522220000000002</v>
      </c>
      <c r="Y5237">
        <v>-0.66763039999999996</v>
      </c>
      <c r="Z5237">
        <v>-2.697334E-3</v>
      </c>
      <c r="AA5237">
        <v>0.74448789999999998</v>
      </c>
      <c r="AB5237">
        <v>25</v>
      </c>
      <c r="AC5237">
        <v>2.8061999999999898</v>
      </c>
      <c r="AD5237">
        <v>-1.1282576023349999</v>
      </c>
      <c r="AE5237">
        <v>7.1950500000000002</v>
      </c>
      <c r="AF5237">
        <v>-5.1527826173164799</v>
      </c>
      <c r="AG5237">
        <v>-1.1282576023349999</v>
      </c>
      <c r="AH5237">
        <v>5.5340447233888597</v>
      </c>
      <c r="AI5237">
        <v>98.486499401054203</v>
      </c>
      <c r="AJ5237">
        <v>132.95678846655301</v>
      </c>
      <c r="AK5237">
        <v>7.6452459031095703</v>
      </c>
      <c r="AL5237">
        <v>81.600951835222006</v>
      </c>
      <c r="AM5237">
        <v>105.076759113733</v>
      </c>
      <c r="AN5237">
        <v>1.0000000404010001</v>
      </c>
    </row>
    <row r="5238" spans="1:40" x14ac:dyDescent="0.25">
      <c r="A5238" t="str">
        <f>"20190303162703336"</f>
        <v>20190303162703336</v>
      </c>
      <c r="B5238" t="str">
        <f>"1551601623329040"</f>
        <v>1551601623329040</v>
      </c>
      <c r="C5238" t="s">
        <v>40</v>
      </c>
      <c r="D5238">
        <v>4.8947839999999996</v>
      </c>
      <c r="E5238">
        <v>0.29705290000000001</v>
      </c>
      <c r="F5238" t="s">
        <v>59</v>
      </c>
      <c r="G5238">
        <v>-195.8203</v>
      </c>
      <c r="H5238" s="1">
        <v>-9.6232910000000002E-6</v>
      </c>
      <c r="I5238">
        <v>-52.474939999999997</v>
      </c>
      <c r="J5238">
        <v>-198.53809999999999</v>
      </c>
      <c r="K5238">
        <v>1.1282449999999999</v>
      </c>
      <c r="L5238">
        <v>-59.658909999999999</v>
      </c>
      <c r="M5238">
        <v>0.89718249999999999</v>
      </c>
      <c r="N5238">
        <v>-1.2969960000000001E-2</v>
      </c>
      <c r="O5238">
        <v>0.44146960000000002</v>
      </c>
      <c r="P5238">
        <v>0.74490040000000002</v>
      </c>
      <c r="Q5238">
        <v>0.1385063</v>
      </c>
      <c r="R5238">
        <v>0.65264029999999995</v>
      </c>
      <c r="S5238">
        <v>1.2909550000000001</v>
      </c>
      <c r="T5238">
        <v>-0.50486059999999999</v>
      </c>
      <c r="U5238">
        <v>3.2550349999999999</v>
      </c>
      <c r="V5238">
        <v>-0.25935279999999999</v>
      </c>
      <c r="W5238">
        <v>0.14630899999999999</v>
      </c>
      <c r="X5238">
        <v>0.95463589999999998</v>
      </c>
      <c r="Y5238">
        <v>-0.66799030000000004</v>
      </c>
      <c r="Z5238">
        <v>-3.8637440000000001E-3</v>
      </c>
      <c r="AA5238">
        <v>0.74416009999999999</v>
      </c>
      <c r="AB5238">
        <v>25</v>
      </c>
      <c r="AC5238">
        <v>2.71779999999998</v>
      </c>
      <c r="AD5238">
        <v>-1.128254623291</v>
      </c>
      <c r="AE5238">
        <v>7.1839699999999898</v>
      </c>
      <c r="AF5238">
        <v>-5.1351457120892103</v>
      </c>
      <c r="AG5238">
        <v>-1.128254623291</v>
      </c>
      <c r="AH5238">
        <v>5.49184078692425</v>
      </c>
      <c r="AI5238">
        <v>98.534176972679802</v>
      </c>
      <c r="AJ5238">
        <v>133.07758740903901</v>
      </c>
      <c r="AK5238">
        <v>7.6028281059281202</v>
      </c>
      <c r="AL5238">
        <v>81.586911745922706</v>
      </c>
      <c r="AM5238">
        <v>105.199103839662</v>
      </c>
      <c r="AN5238">
        <v>0.99999994995882302</v>
      </c>
    </row>
    <row r="5239" spans="1:40" x14ac:dyDescent="0.25">
      <c r="A5239" t="str">
        <f>"20190303162703349"</f>
        <v>20190303162703349</v>
      </c>
      <c r="B5239" t="str">
        <f>"1551601623339777"</f>
        <v>1551601623339777</v>
      </c>
      <c r="C5239" t="s">
        <v>40</v>
      </c>
      <c r="D5239">
        <v>4.911124</v>
      </c>
      <c r="E5239">
        <v>0.29758449999999997</v>
      </c>
      <c r="F5239" t="s">
        <v>59</v>
      </c>
      <c r="G5239">
        <v>-195.70500000000001</v>
      </c>
      <c r="H5239" s="1">
        <v>-9.6607230000000001E-6</v>
      </c>
      <c r="I5239">
        <v>-52.340310000000002</v>
      </c>
      <c r="J5239">
        <v>-198.40430000000001</v>
      </c>
      <c r="K5239">
        <v>1.128247</v>
      </c>
      <c r="L5239">
        <v>-59.585450000000002</v>
      </c>
      <c r="M5239">
        <v>0.89429799999999904</v>
      </c>
      <c r="N5239">
        <v>-1.2971420000000001E-2</v>
      </c>
      <c r="O5239">
        <v>0.44728390000000001</v>
      </c>
      <c r="P5239">
        <v>0.74048510000000001</v>
      </c>
      <c r="Q5239">
        <v>0.1387796</v>
      </c>
      <c r="R5239">
        <v>0.65758809999999901</v>
      </c>
      <c r="S5239">
        <v>1.262802</v>
      </c>
      <c r="T5239">
        <v>-0.50289649999999997</v>
      </c>
      <c r="U5239">
        <v>3.2621150000000001</v>
      </c>
      <c r="V5239">
        <v>-0.25954250000000001</v>
      </c>
      <c r="W5239">
        <v>0.14658119999999999</v>
      </c>
      <c r="X5239">
        <v>0.95454260000000002</v>
      </c>
      <c r="Y5239">
        <v>-0.66932729999999996</v>
      </c>
      <c r="Z5239">
        <v>-4.6084560000000004E-3</v>
      </c>
      <c r="AA5239">
        <v>0.74295339999999999</v>
      </c>
      <c r="AB5239">
        <v>25</v>
      </c>
      <c r="AC5239">
        <v>2.6992999999999898</v>
      </c>
      <c r="AD5239">
        <v>-1.128256660723</v>
      </c>
      <c r="AE5239">
        <v>7.2451400000000001</v>
      </c>
      <c r="AF5239">
        <v>-5.1624707118736</v>
      </c>
      <c r="AG5239">
        <v>-1.128256660723</v>
      </c>
      <c r="AH5239">
        <v>5.5371759311619799</v>
      </c>
      <c r="AI5239">
        <v>98.476665839133403</v>
      </c>
      <c r="AJ5239">
        <v>132.99430223392099</v>
      </c>
      <c r="AK5239">
        <v>7.6540436526099196</v>
      </c>
      <c r="AL5239">
        <v>81.571145997918805</v>
      </c>
      <c r="AM5239">
        <v>105.211123995081</v>
      </c>
      <c r="AN5239">
        <v>0.99999996635722399</v>
      </c>
    </row>
    <row r="5240" spans="1:40" x14ac:dyDescent="0.25">
      <c r="A5240" t="str">
        <f>"20190303162703361"</f>
        <v>20190303162703361</v>
      </c>
      <c r="B5240" t="str">
        <f>"1551601623359296"</f>
        <v>1551601623359296</v>
      </c>
      <c r="C5240" t="s">
        <v>40</v>
      </c>
      <c r="D5240">
        <v>4.9305890000000003</v>
      </c>
      <c r="E5240">
        <v>0.29874630000000002</v>
      </c>
      <c r="F5240" t="s">
        <v>59</v>
      </c>
      <c r="G5240">
        <v>-195.60120000000001</v>
      </c>
      <c r="H5240" s="1">
        <v>-9.6933189999999995E-6</v>
      </c>
      <c r="I5240">
        <v>-52.222149999999999</v>
      </c>
      <c r="J5240">
        <v>-198.28370000000001</v>
      </c>
      <c r="K5240">
        <v>1.1282449999999999</v>
      </c>
      <c r="L5240">
        <v>-59.518549999999998</v>
      </c>
      <c r="M5240">
        <v>0.89165949999999905</v>
      </c>
      <c r="N5240">
        <v>-1.2972569999999999E-2</v>
      </c>
      <c r="O5240">
        <v>0.4525209</v>
      </c>
      <c r="P5240">
        <v>0.73669289999999998</v>
      </c>
      <c r="Q5240">
        <v>0.13908589999999901</v>
      </c>
      <c r="R5240">
        <v>0.66176950000000001</v>
      </c>
      <c r="S5240">
        <v>1.24379</v>
      </c>
      <c r="T5240">
        <v>-0.50062470000000003</v>
      </c>
      <c r="U5240">
        <v>3.2672119999999998</v>
      </c>
      <c r="V5240">
        <v>-0.25937830000000001</v>
      </c>
      <c r="W5240">
        <v>0.14689389999999999</v>
      </c>
      <c r="X5240">
        <v>0.95453920000000003</v>
      </c>
      <c r="Y5240">
        <v>-0.6691935</v>
      </c>
      <c r="Z5240">
        <v>-5.4002850000000003E-3</v>
      </c>
      <c r="AA5240">
        <v>0.74306859999999997</v>
      </c>
      <c r="AB5240">
        <v>25</v>
      </c>
      <c r="AC5240">
        <v>2.6825000000000001</v>
      </c>
      <c r="AD5240">
        <v>-1.1282546933190001</v>
      </c>
      <c r="AE5240">
        <v>7.2963999999999896</v>
      </c>
      <c r="AF5240">
        <v>-5.1832820908422796</v>
      </c>
      <c r="AG5240">
        <v>-1.1282546933190001</v>
      </c>
      <c r="AH5240">
        <v>5.5766627865711902</v>
      </c>
      <c r="AI5240">
        <v>98.429375777286893</v>
      </c>
      <c r="AJ5240">
        <v>132.90621421346199</v>
      </c>
      <c r="AK5240">
        <v>7.6966576980771704</v>
      </c>
      <c r="AL5240">
        <v>81.553033854310101</v>
      </c>
      <c r="AM5240">
        <v>105.201997743989</v>
      </c>
      <c r="AN5240">
        <v>1.0000000023523701</v>
      </c>
    </row>
    <row r="5241" spans="1:40" x14ac:dyDescent="0.25">
      <c r="A5241" t="str">
        <f>"20190303162703380"</f>
        <v>20190303162703380</v>
      </c>
      <c r="B5241" t="str">
        <f>"1551601623369057"</f>
        <v>1551601623369057</v>
      </c>
      <c r="C5241" t="s">
        <v>40</v>
      </c>
      <c r="D5241">
        <v>4.9351079999999996</v>
      </c>
      <c r="E5241">
        <v>0.29955929999999997</v>
      </c>
      <c r="F5241" t="s">
        <v>59</v>
      </c>
      <c r="G5241">
        <v>-195.48570000000001</v>
      </c>
      <c r="H5241" s="1">
        <v>-9.7284699999999997E-6</v>
      </c>
      <c r="I5241">
        <v>-52.093710000000002</v>
      </c>
      <c r="J5241">
        <v>-198.107</v>
      </c>
      <c r="K5241">
        <v>1.1282399999999999</v>
      </c>
      <c r="L5241">
        <v>-59.418329999999997</v>
      </c>
      <c r="M5241">
        <v>0.88771990000000001</v>
      </c>
      <c r="N5241">
        <v>-1.2973719999999999E-2</v>
      </c>
      <c r="O5241">
        <v>0.46020109999999997</v>
      </c>
      <c r="P5241">
        <v>0.73157109999999903</v>
      </c>
      <c r="Q5241">
        <v>0.14007629999999999</v>
      </c>
      <c r="R5241">
        <v>0.66721989999999998</v>
      </c>
      <c r="S5241">
        <v>1.2311859999999999</v>
      </c>
      <c r="T5241">
        <v>-0.49644719999999998</v>
      </c>
      <c r="U5241">
        <v>3.267029</v>
      </c>
      <c r="V5241">
        <v>-0.2583241</v>
      </c>
      <c r="W5241">
        <v>0.14790929999999999</v>
      </c>
      <c r="X5241">
        <v>0.95466830000000003</v>
      </c>
      <c r="Y5241">
        <v>-0.66540489999999997</v>
      </c>
      <c r="Z5241">
        <v>-6.9110919999999998E-3</v>
      </c>
      <c r="AA5241">
        <v>0.74645069999999902</v>
      </c>
      <c r="AB5241">
        <v>25</v>
      </c>
      <c r="AC5241">
        <v>2.62129999999999</v>
      </c>
      <c r="AD5241">
        <v>-1.1282497284699999</v>
      </c>
      <c r="AE5241">
        <v>7.3246200000000004</v>
      </c>
      <c r="AF5241">
        <v>-5.1872282903020999</v>
      </c>
      <c r="AG5241">
        <v>-1.1282497284699999</v>
      </c>
      <c r="AH5241">
        <v>5.5808750875352198</v>
      </c>
      <c r="AI5241">
        <v>98.423045250668807</v>
      </c>
      <c r="AJ5241">
        <v>132.90638516342801</v>
      </c>
      <c r="AK5241">
        <v>7.7023666186552298</v>
      </c>
      <c r="AL5241">
        <v>81.494213460080502</v>
      </c>
      <c r="AM5241">
        <v>105.14110067895901</v>
      </c>
      <c r="AN5241">
        <v>1.00000003234609</v>
      </c>
    </row>
    <row r="5242" spans="1:40" x14ac:dyDescent="0.25">
      <c r="A5242" t="str">
        <f>"20190303162703393"</f>
        <v>20190303162703393</v>
      </c>
      <c r="B5242" t="str">
        <f>"1551601623389554"</f>
        <v>1551601623389554</v>
      </c>
      <c r="C5242" t="s">
        <v>40</v>
      </c>
      <c r="D5242">
        <v>4.9327589999999999</v>
      </c>
      <c r="E5242">
        <v>0.3011278</v>
      </c>
      <c r="F5242" t="s">
        <v>59</v>
      </c>
      <c r="G5242">
        <v>-195.3288</v>
      </c>
      <c r="H5242" s="1">
        <v>-9.7782129999999995E-6</v>
      </c>
      <c r="I5242">
        <v>-51.913829999999997</v>
      </c>
      <c r="J5242">
        <v>-197.988</v>
      </c>
      <c r="K5242">
        <v>1.128236</v>
      </c>
      <c r="L5242">
        <v>-59.349580000000003</v>
      </c>
      <c r="M5242">
        <v>0.88502000000000003</v>
      </c>
      <c r="N5242">
        <v>-1.297416E-2</v>
      </c>
      <c r="O5242">
        <v>0.46537240000000002</v>
      </c>
      <c r="P5242">
        <v>0.72849519999999901</v>
      </c>
      <c r="Q5242">
        <v>0.14042660000000001</v>
      </c>
      <c r="R5242">
        <v>0.67050369999999904</v>
      </c>
      <c r="S5242">
        <v>1.2111209999999999</v>
      </c>
      <c r="T5242">
        <v>-0.49185849999999998</v>
      </c>
      <c r="U5242">
        <v>3.271576</v>
      </c>
      <c r="V5242">
        <v>-0.25708130000000001</v>
      </c>
      <c r="W5242">
        <v>0.1482899</v>
      </c>
      <c r="X5242">
        <v>0.95494469999999998</v>
      </c>
      <c r="Y5242">
        <v>-0.66549060000000004</v>
      </c>
      <c r="Z5242">
        <v>-7.5734929999999997E-3</v>
      </c>
      <c r="AA5242">
        <v>0.74636780000000003</v>
      </c>
      <c r="AB5242">
        <v>25</v>
      </c>
      <c r="AC5242">
        <v>2.65919999999999</v>
      </c>
      <c r="AD5242">
        <v>-1.128245778213</v>
      </c>
      <c r="AE5242">
        <v>7.4357499999999996</v>
      </c>
      <c r="AF5242">
        <v>-5.2368234463029797</v>
      </c>
      <c r="AG5242">
        <v>-1.128245778213</v>
      </c>
      <c r="AH5242">
        <v>5.6980178557633199</v>
      </c>
      <c r="AI5242">
        <v>98.294573757109404</v>
      </c>
      <c r="AJ5242">
        <v>132.58489029420701</v>
      </c>
      <c r="AK5242">
        <v>7.8207842208055904</v>
      </c>
      <c r="AL5242">
        <v>81.472163550125998</v>
      </c>
      <c r="AM5242">
        <v>105.067414245471</v>
      </c>
      <c r="AN5242">
        <v>1.0000000346548901</v>
      </c>
    </row>
    <row r="5243" spans="1:40" x14ac:dyDescent="0.25">
      <c r="A5243" t="str">
        <f>"20190303162703405"</f>
        <v>20190303162703405</v>
      </c>
      <c r="B5243" t="str">
        <f>"1551601623399313"</f>
        <v>1551601623399313</v>
      </c>
      <c r="C5243" t="s">
        <v>40</v>
      </c>
      <c r="D5243">
        <v>4.9502930000000003</v>
      </c>
      <c r="E5243">
        <v>0.30186449999999998</v>
      </c>
      <c r="F5243" t="s">
        <v>59</v>
      </c>
      <c r="G5243">
        <v>-195.1841</v>
      </c>
      <c r="H5243" s="1">
        <v>-9.8259119999999997E-6</v>
      </c>
      <c r="I5243">
        <v>-51.742849999999997</v>
      </c>
      <c r="J5243">
        <v>-197.86519999999999</v>
      </c>
      <c r="K5243">
        <v>1.128228</v>
      </c>
      <c r="L5243">
        <v>-59.278109999999998</v>
      </c>
      <c r="M5243">
        <v>0.8822004</v>
      </c>
      <c r="N5243">
        <v>-1.297444E-2</v>
      </c>
      <c r="O5243">
        <v>0.47069529999999898</v>
      </c>
      <c r="P5243">
        <v>0.72531119999999905</v>
      </c>
      <c r="Q5243">
        <v>0.14088519999999999</v>
      </c>
      <c r="R5243">
        <v>0.67385079999999997</v>
      </c>
      <c r="S5243">
        <v>1.2043299999999999</v>
      </c>
      <c r="T5243">
        <v>-0.48460409999999998</v>
      </c>
      <c r="U5243">
        <v>3.267242</v>
      </c>
      <c r="V5243">
        <v>-0.2557702</v>
      </c>
      <c r="W5243">
        <v>0.14878029999999901</v>
      </c>
      <c r="X5243">
        <v>0.95522039999999997</v>
      </c>
      <c r="Y5243">
        <v>-0.66216850000000005</v>
      </c>
      <c r="Z5243">
        <v>-8.5134389999999994E-3</v>
      </c>
      <c r="AA5243">
        <v>0.74930659999999905</v>
      </c>
      <c r="AB5243">
        <v>25</v>
      </c>
      <c r="AC5243">
        <v>2.6810999999999798</v>
      </c>
      <c r="AD5243">
        <v>-1.1282378259119901</v>
      </c>
      <c r="AE5243">
        <v>7.5352600000000001</v>
      </c>
      <c r="AF5243">
        <v>-5.2809941714839699</v>
      </c>
      <c r="AG5243">
        <v>-1.1282378259119901</v>
      </c>
      <c r="AH5243">
        <v>5.7972168264793202</v>
      </c>
      <c r="AI5243">
        <v>98.187054964602197</v>
      </c>
      <c r="AJ5243">
        <v>132.33206025671399</v>
      </c>
      <c r="AK5243">
        <v>7.9227232038158002</v>
      </c>
      <c r="AL5243">
        <v>81.443750157209706</v>
      </c>
      <c r="AM5243">
        <v>104.98990731839901</v>
      </c>
      <c r="AN5243">
        <v>0.99999999272614504</v>
      </c>
    </row>
    <row r="5244" spans="1:40" x14ac:dyDescent="0.25">
      <c r="A5244" t="str">
        <f>"20190303162703416"</f>
        <v>20190303162703416</v>
      </c>
      <c r="B5244" t="str">
        <f>"1551601623409073"</f>
        <v>1551601623409073</v>
      </c>
      <c r="C5244" t="s">
        <v>40</v>
      </c>
      <c r="D5244">
        <v>4.9656669999999998</v>
      </c>
      <c r="E5244">
        <v>0.30262509999999998</v>
      </c>
      <c r="F5244" t="s">
        <v>59</v>
      </c>
      <c r="G5244">
        <v>-195.0729</v>
      </c>
      <c r="H5244" s="1">
        <v>-9.8548189999999995E-6</v>
      </c>
      <c r="I5244">
        <v>-51.632809999999999</v>
      </c>
      <c r="J5244">
        <v>-197.74260000000001</v>
      </c>
      <c r="K5244">
        <v>1.128225</v>
      </c>
      <c r="L5244">
        <v>-59.205379999999998</v>
      </c>
      <c r="M5244">
        <v>0.87934049999999997</v>
      </c>
      <c r="N5244">
        <v>-1.297425E-2</v>
      </c>
      <c r="O5244">
        <v>0.47601670000000001</v>
      </c>
      <c r="P5244">
        <v>0.72183019999999998</v>
      </c>
      <c r="Q5244">
        <v>0.1408587</v>
      </c>
      <c r="R5244">
        <v>0.67758390000000002</v>
      </c>
      <c r="S5244">
        <v>1.193619</v>
      </c>
      <c r="T5244">
        <v>-0.4822825</v>
      </c>
      <c r="U5244">
        <v>3.268097</v>
      </c>
      <c r="V5244">
        <v>-0.25491940000000002</v>
      </c>
      <c r="W5244">
        <v>0.14877699999999999</v>
      </c>
      <c r="X5244">
        <v>0.95544830000000003</v>
      </c>
      <c r="Y5244">
        <v>-0.65994719999999996</v>
      </c>
      <c r="Z5244">
        <v>-9.4921999999999992E-3</v>
      </c>
      <c r="AA5244">
        <v>0.75125200000000003</v>
      </c>
      <c r="AB5244">
        <v>25</v>
      </c>
      <c r="AC5244">
        <v>2.6697000000000002</v>
      </c>
      <c r="AD5244">
        <v>-1.128234854819</v>
      </c>
      <c r="AE5244">
        <v>7.5725699999999998</v>
      </c>
      <c r="AF5244">
        <v>-5.2841690770982899</v>
      </c>
      <c r="AG5244">
        <v>-1.128234854819</v>
      </c>
      <c r="AH5244">
        <v>5.8374912334526501</v>
      </c>
      <c r="AI5244">
        <v>98.154260791359206</v>
      </c>
      <c r="AJ5244">
        <v>132.15178267809699</v>
      </c>
      <c r="AK5244">
        <v>7.9543485354632804</v>
      </c>
      <c r="AL5244">
        <v>81.443941209335705</v>
      </c>
      <c r="AM5244">
        <v>104.938873533388</v>
      </c>
      <c r="AN5244">
        <v>0.99999997509912397</v>
      </c>
    </row>
    <row r="5245" spans="1:40" x14ac:dyDescent="0.25">
      <c r="A5245" t="str">
        <f>"20190303162703428"</f>
        <v>20190303162703428</v>
      </c>
      <c r="B5245" t="str">
        <f>"1551601623419809"</f>
        <v>1551601623419809</v>
      </c>
      <c r="C5245" t="s">
        <v>40</v>
      </c>
      <c r="D5245">
        <v>4.9547910000000002</v>
      </c>
      <c r="E5245">
        <v>0.3034173</v>
      </c>
      <c r="F5245" t="s">
        <v>59</v>
      </c>
      <c r="G5245">
        <v>-194.97280000000001</v>
      </c>
      <c r="H5245" s="1">
        <v>-9.8801080000000007E-6</v>
      </c>
      <c r="I5245">
        <v>-51.53575</v>
      </c>
      <c r="J5245">
        <v>-197.636</v>
      </c>
      <c r="K5245">
        <v>1.128212</v>
      </c>
      <c r="L5245">
        <v>-59.141449999999999</v>
      </c>
      <c r="M5245">
        <v>0.87682569999999904</v>
      </c>
      <c r="N5245">
        <v>-1.297382E-2</v>
      </c>
      <c r="O5245">
        <v>0.48063329999999999</v>
      </c>
      <c r="P5245">
        <v>0.71905750000000002</v>
      </c>
      <c r="Q5245">
        <v>0.14058409999999999</v>
      </c>
      <c r="R5245">
        <v>0.68058260000000004</v>
      </c>
      <c r="S5245">
        <v>1.1807559999999999</v>
      </c>
      <c r="T5245">
        <v>-0.4809754</v>
      </c>
      <c r="U5245">
        <v>3.2696230000000002</v>
      </c>
      <c r="V5245">
        <v>-0.25383709999999998</v>
      </c>
      <c r="W5245">
        <v>0.14853039999999901</v>
      </c>
      <c r="X5245">
        <v>0.95577480000000004</v>
      </c>
      <c r="Y5245">
        <v>-0.65877430000000003</v>
      </c>
      <c r="Z5245">
        <v>-1.0292050000000001E-2</v>
      </c>
      <c r="AA5245">
        <v>0.752270199999999</v>
      </c>
      <c r="AB5245">
        <v>25</v>
      </c>
      <c r="AC5245">
        <v>2.6631999999999798</v>
      </c>
      <c r="AD5245">
        <v>-1.128221880108</v>
      </c>
      <c r="AE5245">
        <v>7.6056999999999899</v>
      </c>
      <c r="AF5245">
        <v>-5.2856984826394102</v>
      </c>
      <c r="AG5245">
        <v>-1.128221880108</v>
      </c>
      <c r="AH5245">
        <v>5.87604200727771</v>
      </c>
      <c r="AI5245">
        <v>98.123991903763994</v>
      </c>
      <c r="AJ5245">
        <v>131.97245192245501</v>
      </c>
      <c r="AK5245">
        <v>7.9836935519484502</v>
      </c>
      <c r="AL5245">
        <v>81.458229403445202</v>
      </c>
      <c r="AM5245">
        <v>104.873409587921</v>
      </c>
      <c r="AN5245">
        <v>1.0000000106878</v>
      </c>
    </row>
    <row r="5246" spans="1:40" x14ac:dyDescent="0.25">
      <c r="A5246" t="str">
        <f>"20190303162703448"</f>
        <v>20190303162703448</v>
      </c>
      <c r="B5246" t="str">
        <f>"1551601623439328"</f>
        <v>1551601623439328</v>
      </c>
      <c r="C5246" t="s">
        <v>40</v>
      </c>
      <c r="D5246">
        <v>4.9927539999999997</v>
      </c>
      <c r="E5246">
        <v>0.30497220000000003</v>
      </c>
      <c r="F5246" t="s">
        <v>59</v>
      </c>
      <c r="G5246">
        <v>-194.88390000000001</v>
      </c>
      <c r="H5246" s="1">
        <v>-9.899214E-6</v>
      </c>
      <c r="I5246">
        <v>-51.458779999999997</v>
      </c>
      <c r="J5246">
        <v>-197.4547</v>
      </c>
      <c r="K5246">
        <v>1.1281840000000001</v>
      </c>
      <c r="L5246">
        <v>-59.031039999999997</v>
      </c>
      <c r="M5246">
        <v>0.87247859999999999</v>
      </c>
      <c r="N5246">
        <v>-1.297269E-2</v>
      </c>
      <c r="O5246">
        <v>0.48848019999999998</v>
      </c>
      <c r="P5246">
        <v>0.71467409999999998</v>
      </c>
      <c r="Q5246">
        <v>0.13900170000000001</v>
      </c>
      <c r="R5246">
        <v>0.68550679999999997</v>
      </c>
      <c r="S5246">
        <v>1.1712800000000001</v>
      </c>
      <c r="T5246">
        <v>-0.4801627</v>
      </c>
      <c r="U5246">
        <v>3.2696839999999998</v>
      </c>
      <c r="V5246">
        <v>-0.25164019999999998</v>
      </c>
      <c r="W5246">
        <v>0.1470062</v>
      </c>
      <c r="X5246">
        <v>0.95659099999999997</v>
      </c>
      <c r="Y5246">
        <v>-0.6540551</v>
      </c>
      <c r="Z5246">
        <v>-1.1968960000000001E-2</v>
      </c>
      <c r="AA5246">
        <v>0.75635220000000003</v>
      </c>
      <c r="AB5246">
        <v>25</v>
      </c>
      <c r="AC5246">
        <v>2.57079999999999</v>
      </c>
      <c r="AD5246">
        <v>-1.1281938992139999</v>
      </c>
      <c r="AE5246">
        <v>7.57226</v>
      </c>
      <c r="AF5246">
        <v>-5.2468664823174</v>
      </c>
      <c r="AG5246">
        <v>-1.1281938992139999</v>
      </c>
      <c r="AH5246">
        <v>5.8263983651035396</v>
      </c>
      <c r="AI5246">
        <v>98.188060396974194</v>
      </c>
      <c r="AJ5246">
        <v>132.00409369277</v>
      </c>
      <c r="AK5246">
        <v>7.9214485585889296</v>
      </c>
      <c r="AL5246">
        <v>81.546528705873001</v>
      </c>
      <c r="AM5246">
        <v>104.73828182329</v>
      </c>
      <c r="AN5246">
        <v>0.99999997718773903</v>
      </c>
    </row>
    <row r="5247" spans="1:40" x14ac:dyDescent="0.25">
      <c r="A5247" t="str">
        <f>"20190303162703459"</f>
        <v>20190303162703459</v>
      </c>
      <c r="B5247" t="str">
        <f>"1551601623449089"</f>
        <v>1551601623449089</v>
      </c>
      <c r="C5247" t="s">
        <v>40</v>
      </c>
      <c r="D5247">
        <v>4.9756600000000004</v>
      </c>
      <c r="E5247">
        <v>0.30553130000000001</v>
      </c>
      <c r="F5247" t="s">
        <v>59</v>
      </c>
      <c r="G5247">
        <v>-194.74189999999999</v>
      </c>
      <c r="H5247" s="1">
        <v>-9.9166170000000007E-6</v>
      </c>
      <c r="I5247">
        <v>-51.37191</v>
      </c>
      <c r="J5247">
        <v>-197.3389</v>
      </c>
      <c r="K5247">
        <v>1.1281669999999999</v>
      </c>
      <c r="L5247">
        <v>-58.959409999999998</v>
      </c>
      <c r="M5247">
        <v>0.86965700000000001</v>
      </c>
      <c r="N5247">
        <v>-1.297179E-2</v>
      </c>
      <c r="O5247">
        <v>0.49348599999999998</v>
      </c>
      <c r="P5247">
        <v>0.71152569999999904</v>
      </c>
      <c r="Q5247">
        <v>0.1382621</v>
      </c>
      <c r="R5247">
        <v>0.6889229</v>
      </c>
      <c r="S5247">
        <v>1.1572880000000001</v>
      </c>
      <c r="T5247">
        <v>-0.48128900000000002</v>
      </c>
      <c r="U5247">
        <v>3.267395</v>
      </c>
      <c r="V5247">
        <v>-0.25063590000000002</v>
      </c>
      <c r="W5247">
        <v>0.14629539999999999</v>
      </c>
      <c r="X5247">
        <v>0.95696360000000003</v>
      </c>
      <c r="Y5247">
        <v>-0.65244590000000002</v>
      </c>
      <c r="Z5247">
        <v>-1.301068E-2</v>
      </c>
      <c r="AA5247">
        <v>0.75772359999999905</v>
      </c>
      <c r="AB5247">
        <v>25</v>
      </c>
      <c r="AC5247">
        <v>2.597</v>
      </c>
      <c r="AD5247">
        <v>-1.1281769166169999</v>
      </c>
      <c r="AE5247">
        <v>7.5874999999999897</v>
      </c>
      <c r="AF5247">
        <v>-5.2141979354580297</v>
      </c>
      <c r="AG5247">
        <v>-1.1281769166169999</v>
      </c>
      <c r="AH5247">
        <v>5.8868292072233199</v>
      </c>
      <c r="AI5247">
        <v>98.163995256018794</v>
      </c>
      <c r="AJ5247">
        <v>131.53258453953401</v>
      </c>
      <c r="AK5247">
        <v>7.9445202108333604</v>
      </c>
      <c r="AL5247">
        <v>81.587699996010301</v>
      </c>
      <c r="AM5247">
        <v>104.676537479252</v>
      </c>
      <c r="AN5247">
        <v>1.0000000150774599</v>
      </c>
    </row>
    <row r="5248" spans="1:40" x14ac:dyDescent="0.25">
      <c r="A5248" t="str">
        <f>"20190303162703472"</f>
        <v>20190303162703472</v>
      </c>
      <c r="B5248" t="str">
        <f>"1551601623469585"</f>
        <v>1551601623469585</v>
      </c>
      <c r="C5248" t="s">
        <v>40</v>
      </c>
      <c r="D5248">
        <v>4.9923890000000002</v>
      </c>
      <c r="E5248">
        <v>0.30656230000000001</v>
      </c>
      <c r="F5248" t="s">
        <v>59</v>
      </c>
      <c r="G5248">
        <v>-194.6669</v>
      </c>
      <c r="H5248" s="1">
        <v>-9.9234599999999997E-6</v>
      </c>
      <c r="I5248">
        <v>-51.332450000000001</v>
      </c>
      <c r="J5248">
        <v>-197.23339999999999</v>
      </c>
      <c r="K5248">
        <v>1.128152</v>
      </c>
      <c r="L5248">
        <v>-58.893129999999999</v>
      </c>
      <c r="M5248">
        <v>0.86705399999999999</v>
      </c>
      <c r="N5248">
        <v>-1.297075E-2</v>
      </c>
      <c r="O5248">
        <v>0.49804530000000002</v>
      </c>
      <c r="P5248">
        <v>0.70843069999999997</v>
      </c>
      <c r="Q5248">
        <v>0.13745779999999999</v>
      </c>
      <c r="R5248">
        <v>0.69226540000000003</v>
      </c>
      <c r="S5248">
        <v>1.1452180000000001</v>
      </c>
      <c r="T5248">
        <v>-0.48352859999999998</v>
      </c>
      <c r="U5248">
        <v>3.2688600000000001</v>
      </c>
      <c r="V5248">
        <v>-0.25002029999999997</v>
      </c>
      <c r="W5248">
        <v>0.14551040000000001</v>
      </c>
      <c r="X5248">
        <v>0.95724430000000005</v>
      </c>
      <c r="Y5248">
        <v>-0.65108529999999998</v>
      </c>
      <c r="Z5248">
        <v>-1.399329E-2</v>
      </c>
      <c r="AA5248">
        <v>0.75887559999999998</v>
      </c>
      <c r="AB5248">
        <v>25</v>
      </c>
      <c r="AC5248">
        <v>2.5664999999999898</v>
      </c>
      <c r="AD5248">
        <v>-1.12816192346</v>
      </c>
      <c r="AE5248">
        <v>7.5606799999999996</v>
      </c>
      <c r="AF5248">
        <v>-5.1744240597219102</v>
      </c>
      <c r="AG5248">
        <v>-1.12816192346</v>
      </c>
      <c r="AH5248">
        <v>5.8740863796788201</v>
      </c>
      <c r="AI5248">
        <v>98.200801271919403</v>
      </c>
      <c r="AJ5248">
        <v>131.376503437666</v>
      </c>
      <c r="AK5248">
        <v>7.9090014838348699</v>
      </c>
      <c r="AL5248">
        <v>81.633163890926497</v>
      </c>
      <c r="AM5248">
        <v>104.637931346843</v>
      </c>
      <c r="AN5248">
        <v>1.0000000384013601</v>
      </c>
    </row>
    <row r="5249" spans="1:40" x14ac:dyDescent="0.25">
      <c r="A5249" t="str">
        <f>"20190303162703485"</f>
        <v>20190303162703485</v>
      </c>
      <c r="B5249" t="str">
        <f>"1551601623479344"</f>
        <v>1551601623479344</v>
      </c>
      <c r="C5249" t="s">
        <v>40</v>
      </c>
      <c r="D5249">
        <v>5.0300419999999999</v>
      </c>
      <c r="E5249">
        <v>0.30712319999999999</v>
      </c>
      <c r="F5249" t="s">
        <v>59</v>
      </c>
      <c r="G5249">
        <v>-194.57669999999999</v>
      </c>
      <c r="H5249" s="1">
        <v>-9.9449110000000004E-6</v>
      </c>
      <c r="I5249">
        <v>-51.248690000000003</v>
      </c>
      <c r="J5249">
        <v>-197.1086</v>
      </c>
      <c r="K5249">
        <v>1.1281380000000001</v>
      </c>
      <c r="L5249">
        <v>-58.81409</v>
      </c>
      <c r="M5249">
        <v>0.86394020000000005</v>
      </c>
      <c r="N5249">
        <v>-1.29695E-2</v>
      </c>
      <c r="O5249">
        <v>0.50342739999999997</v>
      </c>
      <c r="P5249">
        <v>0.70448549999999999</v>
      </c>
      <c r="Q5249">
        <v>0.13673170000000001</v>
      </c>
      <c r="R5249">
        <v>0.69642280000000001</v>
      </c>
      <c r="S5249">
        <v>1.135513</v>
      </c>
      <c r="T5249">
        <v>-0.48219139999999999</v>
      </c>
      <c r="U5249">
        <v>3.267334</v>
      </c>
      <c r="V5249">
        <v>-0.249613</v>
      </c>
      <c r="W5249">
        <v>0.1448004</v>
      </c>
      <c r="X5249">
        <v>0.95745820000000004</v>
      </c>
      <c r="Y5249">
        <v>-0.64833130000000005</v>
      </c>
      <c r="Z5249">
        <v>-1.5080380000000001E-2</v>
      </c>
      <c r="AA5249">
        <v>0.76120900000000002</v>
      </c>
      <c r="AB5249">
        <v>25</v>
      </c>
      <c r="AC5249">
        <v>2.5318999999999998</v>
      </c>
      <c r="AD5249">
        <v>-1.1281479449109999</v>
      </c>
      <c r="AE5249">
        <v>7.5653999999999897</v>
      </c>
      <c r="AF5249">
        <v>-5.1587097171037</v>
      </c>
      <c r="AG5249">
        <v>-1.1281479449109999</v>
      </c>
      <c r="AH5249">
        <v>5.8789827702535504</v>
      </c>
      <c r="AI5249">
        <v>98.207628863571699</v>
      </c>
      <c r="AJ5249">
        <v>131.266413739516</v>
      </c>
      <c r="AK5249">
        <v>7.9023694006218896</v>
      </c>
      <c r="AL5249">
        <v>81.6742790743927</v>
      </c>
      <c r="AM5249">
        <v>104.611981640886</v>
      </c>
      <c r="AN5249">
        <v>1.0000000051782001</v>
      </c>
    </row>
    <row r="5250" spans="1:40" x14ac:dyDescent="0.25">
      <c r="A5250" t="str">
        <f>"20190303162703497"</f>
        <v>20190303162703497</v>
      </c>
      <c r="B5250" t="str">
        <f>"1551601623489104"</f>
        <v>1551601623489104</v>
      </c>
      <c r="C5250" t="s">
        <v>40</v>
      </c>
      <c r="D5250">
        <v>5.0394110000000003</v>
      </c>
      <c r="E5250">
        <v>0.30768469999999998</v>
      </c>
      <c r="F5250" t="s">
        <v>59</v>
      </c>
      <c r="G5250">
        <v>-194.489</v>
      </c>
      <c r="H5250" s="1">
        <v>-9.9666159999999992E-6</v>
      </c>
      <c r="I5250">
        <v>-51.16489</v>
      </c>
      <c r="J5250">
        <v>-196.9794</v>
      </c>
      <c r="K5250">
        <v>1.1281239999999999</v>
      </c>
      <c r="L5250">
        <v>-58.730800000000002</v>
      </c>
      <c r="M5250">
        <v>0.86066929999999997</v>
      </c>
      <c r="N5250">
        <v>-1.296808E-2</v>
      </c>
      <c r="O5250">
        <v>0.50899919999999998</v>
      </c>
      <c r="P5250">
        <v>0.70017050000000003</v>
      </c>
      <c r="Q5250">
        <v>0.13630699999999901</v>
      </c>
      <c r="R5250">
        <v>0.70084349999999995</v>
      </c>
      <c r="S5250">
        <v>1.119766</v>
      </c>
      <c r="T5250">
        <v>-0.48222759999999998</v>
      </c>
      <c r="U5250">
        <v>3.2696529999999999</v>
      </c>
      <c r="V5250">
        <v>-0.24939900000000001</v>
      </c>
      <c r="W5250">
        <v>0.1443866</v>
      </c>
      <c r="X5250">
        <v>0.95757650000000005</v>
      </c>
      <c r="Y5250">
        <v>-0.64690340000000002</v>
      </c>
      <c r="Z5250">
        <v>-1.6127799999999901E-2</v>
      </c>
      <c r="AA5250">
        <v>0.76240140000000001</v>
      </c>
      <c r="AB5250">
        <v>25</v>
      </c>
      <c r="AC5250">
        <v>2.49039999999999</v>
      </c>
      <c r="AD5250">
        <v>-1.128133966616</v>
      </c>
      <c r="AE5250">
        <v>7.5659099999999997</v>
      </c>
      <c r="AF5250">
        <v>-5.1414403696804198</v>
      </c>
      <c r="AG5250">
        <v>-1.128133966616</v>
      </c>
      <c r="AH5250">
        <v>5.87706519758187</v>
      </c>
      <c r="AI5250">
        <v>98.220822317580996</v>
      </c>
      <c r="AJ5250">
        <v>131.18044907366999</v>
      </c>
      <c r="AK5250">
        <v>7.8896762074397104</v>
      </c>
      <c r="AL5250">
        <v>81.698240263445797</v>
      </c>
      <c r="AM5250">
        <v>104.598263247912</v>
      </c>
      <c r="AN5250">
        <v>1.0000000524064001</v>
      </c>
    </row>
    <row r="5251" spans="1:40" x14ac:dyDescent="0.25">
      <c r="A5251" t="str">
        <f>"20190303162703516"</f>
        <v>20190303162703516</v>
      </c>
      <c r="B5251" t="str">
        <f>"1551601623509601"</f>
        <v>1551601623509601</v>
      </c>
      <c r="C5251" t="s">
        <v>40</v>
      </c>
      <c r="D5251">
        <v>5.040915</v>
      </c>
      <c r="E5251">
        <v>0.30871279999999901</v>
      </c>
      <c r="F5251" t="s">
        <v>59</v>
      </c>
      <c r="G5251">
        <v>-194.39840000000001</v>
      </c>
      <c r="H5251" s="1">
        <v>-9.9933600000000005E-6</v>
      </c>
      <c r="I5251">
        <v>-51.066450000000003</v>
      </c>
      <c r="J5251">
        <v>-196.81460000000001</v>
      </c>
      <c r="K5251">
        <v>1.128115</v>
      </c>
      <c r="L5251">
        <v>-58.622990000000001</v>
      </c>
      <c r="M5251">
        <v>0.856433</v>
      </c>
      <c r="N5251">
        <v>-1.2966210000000001E-2</v>
      </c>
      <c r="O5251">
        <v>0.51609539999999998</v>
      </c>
      <c r="P5251">
        <v>0.69375779999999998</v>
      </c>
      <c r="Q5251">
        <v>0.13645829999999901</v>
      </c>
      <c r="R5251">
        <v>0.70716290000000004</v>
      </c>
      <c r="S5251">
        <v>1.1022190000000001</v>
      </c>
      <c r="T5251">
        <v>-0.48177579999999998</v>
      </c>
      <c r="U5251">
        <v>3.2731020000000002</v>
      </c>
      <c r="V5251">
        <v>-0.25018089999999998</v>
      </c>
      <c r="W5251">
        <v>0.14452760000000001</v>
      </c>
      <c r="X5251">
        <v>0.95735119999999896</v>
      </c>
      <c r="Y5251">
        <v>-0.64458110000000002</v>
      </c>
      <c r="Z5251">
        <v>-1.7475089999999999E-2</v>
      </c>
      <c r="AA5251">
        <v>0.76433619999999902</v>
      </c>
      <c r="AB5251">
        <v>25</v>
      </c>
      <c r="AC5251">
        <v>2.4161999999999999</v>
      </c>
      <c r="AD5251">
        <v>-1.1281249933599999</v>
      </c>
      <c r="AE5251">
        <v>7.5565399999999903</v>
      </c>
      <c r="AF5251">
        <v>-5.1215589823257499</v>
      </c>
      <c r="AG5251">
        <v>-1.1281249933599999</v>
      </c>
      <c r="AH5251">
        <v>5.8513923697419701</v>
      </c>
      <c r="AI5251">
        <v>98.254552340236103</v>
      </c>
      <c r="AJ5251">
        <v>131.19474546796201</v>
      </c>
      <c r="AK5251">
        <v>7.8575966474972301</v>
      </c>
      <c r="AL5251">
        <v>81.690075610799596</v>
      </c>
      <c r="AM5251">
        <v>104.64536459629601</v>
      </c>
      <c r="AN5251">
        <v>1.000000015014</v>
      </c>
    </row>
    <row r="5252" spans="1:40" x14ac:dyDescent="0.25">
      <c r="A5252" t="str">
        <f>"20190303162703537"</f>
        <v>20190303162703537</v>
      </c>
      <c r="B5252" t="str">
        <f>"1551601623529120"</f>
        <v>1551601623529120</v>
      </c>
      <c r="C5252" t="s">
        <v>40</v>
      </c>
      <c r="D5252">
        <v>5.0458259999999999</v>
      </c>
      <c r="E5252">
        <v>0.30960029999999999</v>
      </c>
      <c r="F5252" t="s">
        <v>59</v>
      </c>
      <c r="G5252">
        <v>-194.25899999999999</v>
      </c>
      <c r="H5252" s="1">
        <v>-1.0059E-5</v>
      </c>
      <c r="I5252">
        <v>-50.847630000000002</v>
      </c>
      <c r="J5252">
        <v>-196.60939999999999</v>
      </c>
      <c r="K5252">
        <v>1.1281019999999999</v>
      </c>
      <c r="L5252">
        <v>-58.486109999999996</v>
      </c>
      <c r="M5252">
        <v>0.85105200000000003</v>
      </c>
      <c r="N5252">
        <v>-1.2963860000000001E-2</v>
      </c>
      <c r="O5252">
        <v>0.52492139999999998</v>
      </c>
      <c r="P5252">
        <v>0.68577460000000001</v>
      </c>
      <c r="Q5252">
        <v>0.13711779999999901</v>
      </c>
      <c r="R5252">
        <v>0.714781</v>
      </c>
      <c r="S5252">
        <v>1.0771790000000001</v>
      </c>
      <c r="T5252">
        <v>-0.47550510000000001</v>
      </c>
      <c r="U5252">
        <v>3.2773129999999999</v>
      </c>
      <c r="V5252">
        <v>-0.25093280000000001</v>
      </c>
      <c r="W5252">
        <v>0.14517729999999901</v>
      </c>
      <c r="X5252">
        <v>0.95705600000000002</v>
      </c>
      <c r="Y5252">
        <v>-0.64235359999999997</v>
      </c>
      <c r="Z5252">
        <v>-1.8745290000000001E-2</v>
      </c>
      <c r="AA5252">
        <v>0.76617919999999995</v>
      </c>
      <c r="AB5252">
        <v>25</v>
      </c>
      <c r="AC5252">
        <v>2.3503999999999698</v>
      </c>
      <c r="AD5252">
        <v>-1.128112059</v>
      </c>
      <c r="AE5252">
        <v>7.6384799999999897</v>
      </c>
      <c r="AF5252">
        <v>-5.1645071738975403</v>
      </c>
      <c r="AG5252">
        <v>-1.128112059</v>
      </c>
      <c r="AH5252">
        <v>5.8930000521234103</v>
      </c>
      <c r="AI5252">
        <v>98.192533276807794</v>
      </c>
      <c r="AJ5252">
        <v>131.23067536244</v>
      </c>
      <c r="AK5252">
        <v>7.9165788558712</v>
      </c>
      <c r="AL5252">
        <v>81.652453232370306</v>
      </c>
      <c r="AM5252">
        <v>104.691814066272</v>
      </c>
      <c r="AN5252">
        <v>0.99999995284356302</v>
      </c>
    </row>
    <row r="5253" spans="1:40" x14ac:dyDescent="0.25">
      <c r="A5253" t="str">
        <f>"20190303162703550"</f>
        <v>20190303162703550</v>
      </c>
      <c r="B5253" t="str">
        <f>"1551601623538881"</f>
        <v>1551601623538881</v>
      </c>
      <c r="C5253" t="s">
        <v>40</v>
      </c>
      <c r="D5253">
        <v>5.0329189999999997</v>
      </c>
      <c r="E5253">
        <v>0.30991980000000002</v>
      </c>
      <c r="F5253" t="s">
        <v>59</v>
      </c>
      <c r="G5253">
        <v>-194.09960000000001</v>
      </c>
      <c r="H5253" s="1">
        <v>-1.013296E-5</v>
      </c>
      <c r="I5253">
        <v>-50.6004</v>
      </c>
      <c r="J5253">
        <v>-196.49180000000001</v>
      </c>
      <c r="K5253">
        <v>1.1280939999999999</v>
      </c>
      <c r="L5253">
        <v>-58.406190000000002</v>
      </c>
      <c r="M5253">
        <v>0.84791459999999996</v>
      </c>
      <c r="N5253">
        <v>-1.2962609999999999E-2</v>
      </c>
      <c r="O5253">
        <v>0.52997439999999996</v>
      </c>
      <c r="P5253">
        <v>0.68111350000000004</v>
      </c>
      <c r="Q5253">
        <v>0.1373876</v>
      </c>
      <c r="R5253">
        <v>0.71917249999999999</v>
      </c>
      <c r="S5253">
        <v>1.0453030000000001</v>
      </c>
      <c r="T5253">
        <v>-0.46984890000000001</v>
      </c>
      <c r="U5253">
        <v>3.284332</v>
      </c>
      <c r="V5253">
        <v>-0.25142120000000001</v>
      </c>
      <c r="W5253">
        <v>0.14543919999999999</v>
      </c>
      <c r="X5253">
        <v>0.95688810000000002</v>
      </c>
      <c r="Y5253">
        <v>-0.64505409999999996</v>
      </c>
      <c r="Z5253">
        <v>-1.8961740000000001E-2</v>
      </c>
      <c r="AA5253">
        <v>0.76390159999999996</v>
      </c>
      <c r="AB5253">
        <v>25</v>
      </c>
      <c r="AC5253">
        <v>2.3921999999999999</v>
      </c>
      <c r="AD5253">
        <v>-1.1281041329599999</v>
      </c>
      <c r="AE5253">
        <v>7.80579</v>
      </c>
      <c r="AF5253">
        <v>-5.2510290132848798</v>
      </c>
      <c r="AG5253">
        <v>-1.1281041329599999</v>
      </c>
      <c r="AH5253">
        <v>6.05024937322694</v>
      </c>
      <c r="AI5253">
        <v>98.0154837533061</v>
      </c>
      <c r="AJ5253">
        <v>130.95480782534099</v>
      </c>
      <c r="AK5253">
        <v>8.0902065555456595</v>
      </c>
      <c r="AL5253">
        <v>81.637286960943996</v>
      </c>
      <c r="AM5253">
        <v>104.721639323807</v>
      </c>
      <c r="AN5253">
        <v>1.0000000083138401</v>
      </c>
    </row>
    <row r="5254" spans="1:40" x14ac:dyDescent="0.25">
      <c r="A5254" t="str">
        <f>"20190303162703563"</f>
        <v>20190303162703563</v>
      </c>
      <c r="B5254" t="str">
        <f>"1551601623549617"</f>
        <v>1551601623549617</v>
      </c>
      <c r="C5254" t="s">
        <v>40</v>
      </c>
      <c r="D5254">
        <v>4.9818319999999998</v>
      </c>
      <c r="E5254">
        <v>0.30991340000000001</v>
      </c>
      <c r="F5254" t="s">
        <v>59</v>
      </c>
      <c r="G5254">
        <v>-194.0147</v>
      </c>
      <c r="H5254" s="1">
        <v>-1.0174550000000001E-5</v>
      </c>
      <c r="I5254">
        <v>-50.462690000000002</v>
      </c>
      <c r="J5254">
        <v>-196.37710000000001</v>
      </c>
      <c r="K5254">
        <v>1.1280870000000001</v>
      </c>
      <c r="L5254">
        <v>-58.32761</v>
      </c>
      <c r="M5254">
        <v>0.84481700000000004</v>
      </c>
      <c r="N5254">
        <v>-1.2961469999999999E-2</v>
      </c>
      <c r="O5254">
        <v>0.53489830000000005</v>
      </c>
      <c r="P5254">
        <v>0.67661689999999997</v>
      </c>
      <c r="Q5254">
        <v>0.13764940000000001</v>
      </c>
      <c r="R5254">
        <v>0.72335479999999996</v>
      </c>
      <c r="S5254">
        <v>1.0257419999999999</v>
      </c>
      <c r="T5254">
        <v>-0.46712589999999998</v>
      </c>
      <c r="U5254">
        <v>3.2892459999999999</v>
      </c>
      <c r="V5254">
        <v>-0.25178080000000003</v>
      </c>
      <c r="W5254">
        <v>0.1456953</v>
      </c>
      <c r="X5254">
        <v>0.95675460000000001</v>
      </c>
      <c r="Y5254">
        <v>-0.64512009999999997</v>
      </c>
      <c r="Z5254">
        <v>-1.9562940000000001E-2</v>
      </c>
      <c r="AA5254">
        <v>0.76383069999999997</v>
      </c>
      <c r="AB5254">
        <v>25</v>
      </c>
      <c r="AC5254">
        <v>2.3624000000000001</v>
      </c>
      <c r="AD5254">
        <v>-1.1280971745499999</v>
      </c>
      <c r="AE5254">
        <v>7.8649199999999899</v>
      </c>
      <c r="AF5254">
        <v>-5.2815595896189</v>
      </c>
      <c r="AG5254">
        <v>-1.1280971745499999</v>
      </c>
      <c r="AH5254">
        <v>6.0883574296283296</v>
      </c>
      <c r="AI5254">
        <v>97.967537347785495</v>
      </c>
      <c r="AJ5254">
        <v>130.941152511756</v>
      </c>
      <c r="AK5254">
        <v>8.1385238910279991</v>
      </c>
      <c r="AL5254">
        <v>81.622455700269001</v>
      </c>
      <c r="AM5254">
        <v>104.74374618540401</v>
      </c>
      <c r="AN5254">
        <v>1.00000002815594</v>
      </c>
    </row>
    <row r="5255" spans="1:40" x14ac:dyDescent="0.25">
      <c r="A5255" t="str">
        <f>"20190303162703580"</f>
        <v>20190303162703580</v>
      </c>
      <c r="B5255" t="str">
        <f>"1551601623569136"</f>
        <v>1551601623569136</v>
      </c>
      <c r="C5255" t="s">
        <v>40</v>
      </c>
      <c r="D5255">
        <v>5.0400460000000002</v>
      </c>
      <c r="E5255">
        <v>0.30935030000000002</v>
      </c>
      <c r="F5255" t="s">
        <v>59</v>
      </c>
      <c r="G5255">
        <v>-193.93520000000001</v>
      </c>
      <c r="H5255" s="1">
        <v>-1.7945609999999999E-6</v>
      </c>
      <c r="I5255">
        <v>-50.321129999999997</v>
      </c>
      <c r="J5255">
        <v>-196.2122</v>
      </c>
      <c r="K5255">
        <v>1.128082</v>
      </c>
      <c r="L5255">
        <v>-58.212400000000002</v>
      </c>
      <c r="M5255">
        <v>0.84028729999999996</v>
      </c>
      <c r="N5255">
        <v>-1.2960019999999999E-2</v>
      </c>
      <c r="O5255">
        <v>0.54198639999999998</v>
      </c>
      <c r="P5255">
        <v>0.67047199999999996</v>
      </c>
      <c r="Q5255">
        <v>0.13759199999999999</v>
      </c>
      <c r="R5255">
        <v>0.72906499999999996</v>
      </c>
      <c r="S5255">
        <v>1.005142</v>
      </c>
      <c r="T5255">
        <v>-0.46433059999999998</v>
      </c>
      <c r="U5255">
        <v>3.2955320000000001</v>
      </c>
      <c r="V5255">
        <v>-0.251834</v>
      </c>
      <c r="W5255">
        <v>0.14563870000000001</v>
      </c>
      <c r="X5255">
        <v>0.95674919999999997</v>
      </c>
      <c r="Y5255">
        <v>-0.64354219999999995</v>
      </c>
      <c r="Z5255">
        <v>-2.0629930000000001E-2</v>
      </c>
      <c r="AA5255">
        <v>0.76513249999999999</v>
      </c>
      <c r="AB5255">
        <v>25</v>
      </c>
      <c r="AC5255">
        <v>2.2769999999999802</v>
      </c>
      <c r="AD5255">
        <v>-1.1280837945610001</v>
      </c>
      <c r="AE5255">
        <v>7.8912699999999996</v>
      </c>
      <c r="AF5255">
        <v>-5.2973498680719304</v>
      </c>
      <c r="AG5255">
        <v>-1.1280837945610001</v>
      </c>
      <c r="AH5255">
        <v>6.0761880252337601</v>
      </c>
      <c r="AI5255">
        <v>97.9662936123148</v>
      </c>
      <c r="AJ5255">
        <v>131.08260999269399</v>
      </c>
      <c r="AK5255">
        <v>8.1396897723627699</v>
      </c>
      <c r="AL5255">
        <v>81.6257334774687</v>
      </c>
      <c r="AM5255">
        <v>104.74680531446801</v>
      </c>
      <c r="AN5255">
        <v>1.00000001309716</v>
      </c>
    </row>
    <row r="5256" spans="1:40" x14ac:dyDescent="0.25">
      <c r="A5256" t="str">
        <f>"20190303162703604"</f>
        <v>20190303162703604</v>
      </c>
      <c r="B5256" t="str">
        <f>"1551601623599393"</f>
        <v>1551601623599393</v>
      </c>
      <c r="C5256" t="s">
        <v>40</v>
      </c>
      <c r="D5256">
        <v>5.0166690000000003</v>
      </c>
      <c r="E5256">
        <v>0.30863309999999999</v>
      </c>
      <c r="F5256" t="s">
        <v>42</v>
      </c>
      <c r="G5256">
        <v>-195.94909999999999</v>
      </c>
      <c r="H5256">
        <v>1.003263</v>
      </c>
      <c r="I5256">
        <v>-57.318379999999998</v>
      </c>
      <c r="J5256">
        <v>-196.00370000000001</v>
      </c>
      <c r="K5256">
        <v>1.1280779999999999</v>
      </c>
      <c r="L5256">
        <v>-58.063870000000001</v>
      </c>
      <c r="M5256">
        <v>0.83444119999999999</v>
      </c>
      <c r="N5256">
        <v>-1.295845E-2</v>
      </c>
      <c r="O5256">
        <v>0.55094449999999995</v>
      </c>
      <c r="P5256">
        <v>0.66299640000000004</v>
      </c>
      <c r="Q5256">
        <v>0.13794279999999901</v>
      </c>
      <c r="R5256">
        <v>0.73580409999999996</v>
      </c>
      <c r="S5256">
        <v>0.97340389999999999</v>
      </c>
      <c r="T5256">
        <v>-0.46167900000000001</v>
      </c>
      <c r="U5256">
        <v>3.3067929999999999</v>
      </c>
      <c r="V5256">
        <v>-0.25131219999999999</v>
      </c>
      <c r="W5256">
        <v>0.14600150000000001</v>
      </c>
      <c r="X5256">
        <v>0.95683110000000005</v>
      </c>
      <c r="Y5256">
        <v>-0.642899</v>
      </c>
      <c r="Z5256">
        <v>-2.188381E-2</v>
      </c>
      <c r="AA5256">
        <v>0.76563829999999999</v>
      </c>
      <c r="AB5256">
        <v>25</v>
      </c>
      <c r="AC5256">
        <v>5.4600000000021902E-2</v>
      </c>
      <c r="AD5256">
        <v>-0.124815</v>
      </c>
      <c r="AE5256">
        <v>0.74548999999998899</v>
      </c>
      <c r="AF5256">
        <v>-0.57597627929142603</v>
      </c>
      <c r="AG5256">
        <v>-0.124815</v>
      </c>
      <c r="AH5256">
        <v>0.44394431756881803</v>
      </c>
      <c r="AI5256">
        <v>99.739084181142601</v>
      </c>
      <c r="AJ5256">
        <v>142.376100025303</v>
      </c>
      <c r="AK5256">
        <v>0.73784416758082305</v>
      </c>
      <c r="AL5256">
        <v>81.604721927092001</v>
      </c>
      <c r="AM5256">
        <v>104.71637259806801</v>
      </c>
      <c r="AN5256">
        <v>1.0000000068991499</v>
      </c>
    </row>
    <row r="5257" spans="1:40" x14ac:dyDescent="0.25">
      <c r="A5257" t="str">
        <f>"20190303162703618"</f>
        <v>20190303162703618</v>
      </c>
      <c r="B5257" t="str">
        <f>"1551601623609154"</f>
        <v>1551601623609154</v>
      </c>
      <c r="C5257" t="s">
        <v>40</v>
      </c>
      <c r="D5257">
        <v>5.0198660000000004</v>
      </c>
      <c r="E5257">
        <v>0.3085252</v>
      </c>
      <c r="F5257" t="s">
        <v>59</v>
      </c>
      <c r="G5257">
        <v>-193.6987</v>
      </c>
      <c r="H5257" s="1">
        <v>-2.0026699999999999E-6</v>
      </c>
      <c r="I5257">
        <v>-49.880699999999997</v>
      </c>
      <c r="J5257">
        <v>-195.8665</v>
      </c>
      <c r="K5257">
        <v>1.128077</v>
      </c>
      <c r="L5257">
        <v>-57.96414</v>
      </c>
      <c r="M5257">
        <v>0.83051409999999903</v>
      </c>
      <c r="N5257">
        <v>-1.295751E-2</v>
      </c>
      <c r="O5257">
        <v>0.55684679999999998</v>
      </c>
      <c r="P5257">
        <v>0.65774600000000005</v>
      </c>
      <c r="Q5257">
        <v>0.13801040000000001</v>
      </c>
      <c r="R5257">
        <v>0.74048859999999905</v>
      </c>
      <c r="S5257">
        <v>0.93525700000000001</v>
      </c>
      <c r="T5257">
        <v>-0.45771289999999998</v>
      </c>
      <c r="U5257">
        <v>3.3202820000000002</v>
      </c>
      <c r="V5257">
        <v>-0.25132379999999999</v>
      </c>
      <c r="W5257">
        <v>0.146068899999999</v>
      </c>
      <c r="X5257">
        <v>0.95681769999999999</v>
      </c>
      <c r="Y5257">
        <v>-0.64646049999999999</v>
      </c>
      <c r="Z5257">
        <v>-2.2173519999999999E-2</v>
      </c>
      <c r="AA5257">
        <v>0.7626252</v>
      </c>
      <c r="AB5257">
        <v>25</v>
      </c>
      <c r="AC5257">
        <v>2.1678000000000002</v>
      </c>
      <c r="AD5257">
        <v>-1.1280790026700001</v>
      </c>
      <c r="AE5257">
        <v>8.0834399999999995</v>
      </c>
      <c r="AF5257">
        <v>-5.4084757964985499</v>
      </c>
      <c r="AG5257">
        <v>-1.1280790026700001</v>
      </c>
      <c r="AH5257">
        <v>6.1896965761075498</v>
      </c>
      <c r="AI5257">
        <v>97.814478206803301</v>
      </c>
      <c r="AJ5257">
        <v>131.14653560884801</v>
      </c>
      <c r="AK5257">
        <v>8.29677746970793</v>
      </c>
      <c r="AL5257">
        <v>81.600817806557401</v>
      </c>
      <c r="AM5257">
        <v>104.717219548383</v>
      </c>
      <c r="AN5257">
        <v>0.99999994351346799</v>
      </c>
    </row>
    <row r="5258" spans="1:40" x14ac:dyDescent="0.25">
      <c r="A5258" t="str">
        <f>"20190303162703638"</f>
        <v>20190303162703638</v>
      </c>
      <c r="B5258" t="str">
        <f>"1551601623629648"</f>
        <v>1551601623629648</v>
      </c>
      <c r="C5258" t="s">
        <v>40</v>
      </c>
      <c r="D5258">
        <v>5.0238889999999996</v>
      </c>
      <c r="E5258">
        <v>0.3084073</v>
      </c>
      <c r="F5258" t="s">
        <v>59</v>
      </c>
      <c r="G5258">
        <v>-193.6182</v>
      </c>
      <c r="H5258" s="1">
        <v>-2.0634469999999998E-6</v>
      </c>
      <c r="I5258">
        <v>-49.747799999999998</v>
      </c>
      <c r="J5258">
        <v>-195.69450000000001</v>
      </c>
      <c r="K5258">
        <v>1.1280749999999999</v>
      </c>
      <c r="L5258">
        <v>-57.837220000000002</v>
      </c>
      <c r="M5258">
        <v>0.82550759999999901</v>
      </c>
      <c r="N5258">
        <v>-1.295646E-2</v>
      </c>
      <c r="O5258">
        <v>0.56424240000000003</v>
      </c>
      <c r="P5258">
        <v>0.65182589999999996</v>
      </c>
      <c r="Q5258">
        <v>0.13799700000000001</v>
      </c>
      <c r="R5258">
        <v>0.74570760000000003</v>
      </c>
      <c r="S5258">
        <v>0.91056820000000005</v>
      </c>
      <c r="T5258">
        <v>-0.45688719999999999</v>
      </c>
      <c r="U5258">
        <v>3.327728</v>
      </c>
      <c r="V5258">
        <v>-0.25040000000000001</v>
      </c>
      <c r="W5258">
        <v>0.1460746</v>
      </c>
      <c r="X5258">
        <v>0.95705910000000005</v>
      </c>
      <c r="Y5258">
        <v>-0.64540039999999999</v>
      </c>
      <c r="Z5258">
        <v>-2.3347090000000001E-2</v>
      </c>
      <c r="AA5258">
        <v>0.76348760000000004</v>
      </c>
      <c r="AB5258">
        <v>25</v>
      </c>
      <c r="AC5258">
        <v>2.0762999999999998</v>
      </c>
      <c r="AD5258">
        <v>-1.1280770634470001</v>
      </c>
      <c r="AE5258">
        <v>8.0894199999999898</v>
      </c>
      <c r="AF5258">
        <v>-5.4081336301441398</v>
      </c>
      <c r="AG5258">
        <v>-1.1280770634470001</v>
      </c>
      <c r="AH5258">
        <v>6.1664177619394698</v>
      </c>
      <c r="AI5258">
        <v>97.8311581639922</v>
      </c>
      <c r="AJ5258">
        <v>131.25173523474001</v>
      </c>
      <c r="AK5258">
        <v>8.27920136470504</v>
      </c>
      <c r="AL5258">
        <v>81.600488452201702</v>
      </c>
      <c r="AM5258">
        <v>104.661919280517</v>
      </c>
      <c r="AN5258">
        <v>1.0000000348289799</v>
      </c>
    </row>
    <row r="5259" spans="1:40" x14ac:dyDescent="0.25">
      <c r="A5259" t="str">
        <f>"20190303162703658"</f>
        <v>20190303162703658</v>
      </c>
      <c r="B5259" t="str">
        <f>"1551601623649168"</f>
        <v>1551601623649168</v>
      </c>
      <c r="C5259" t="s">
        <v>40</v>
      </c>
      <c r="D5259">
        <v>5.0479940000000001</v>
      </c>
      <c r="E5259">
        <v>0.30846309999999999</v>
      </c>
      <c r="F5259" t="s">
        <v>59</v>
      </c>
      <c r="G5259">
        <v>-193.512</v>
      </c>
      <c r="H5259" s="1">
        <v>-2.1328780000000002E-6</v>
      </c>
      <c r="I5259">
        <v>-49.590600000000002</v>
      </c>
      <c r="J5259">
        <v>-195.50899999999999</v>
      </c>
      <c r="K5259">
        <v>1.1280709999999901</v>
      </c>
      <c r="L5259">
        <v>-57.697600000000001</v>
      </c>
      <c r="M5259">
        <v>0.81999330000000004</v>
      </c>
      <c r="N5259">
        <v>-1.295543E-2</v>
      </c>
      <c r="O5259">
        <v>0.57222659999999903</v>
      </c>
      <c r="P5259">
        <v>0.64532979999999995</v>
      </c>
      <c r="Q5259">
        <v>0.13850979999999999</v>
      </c>
      <c r="R5259">
        <v>0.75124199999999997</v>
      </c>
      <c r="S5259">
        <v>0.88282780000000005</v>
      </c>
      <c r="T5259">
        <v>-0.45631129999999998</v>
      </c>
      <c r="U5259">
        <v>3.335785</v>
      </c>
      <c r="V5259">
        <v>-0.24934770000000001</v>
      </c>
      <c r="W5259">
        <v>0.14660899999999999</v>
      </c>
      <c r="X5259">
        <v>0.95725210000000005</v>
      </c>
      <c r="Y5259">
        <v>-0.64443339999999905</v>
      </c>
      <c r="Z5259">
        <v>-2.462191E-2</v>
      </c>
      <c r="AA5259">
        <v>0.76426400000000005</v>
      </c>
      <c r="AB5259">
        <v>25</v>
      </c>
      <c r="AC5259">
        <v>1.9970000000000101</v>
      </c>
      <c r="AD5259">
        <v>-1.12807313287799</v>
      </c>
      <c r="AE5259">
        <v>8.1069999999999993</v>
      </c>
      <c r="AF5259">
        <v>-5.4067138778036101</v>
      </c>
      <c r="AG5259">
        <v>-1.12807313287799</v>
      </c>
      <c r="AH5259">
        <v>6.1645629236802097</v>
      </c>
      <c r="AI5259">
        <v>97.833329480674294</v>
      </c>
      <c r="AJ5259">
        <v>131.25282267086101</v>
      </c>
      <c r="AK5259">
        <v>8.2768919281073199</v>
      </c>
      <c r="AL5259">
        <v>81.569536308438401</v>
      </c>
      <c r="AM5259">
        <v>104.600123570319</v>
      </c>
      <c r="AN5259">
        <v>1.0000000286653401</v>
      </c>
    </row>
    <row r="5260" spans="1:40" x14ac:dyDescent="0.25">
      <c r="A5260" t="str">
        <f>"20190303162703672"</f>
        <v>20190303162703672</v>
      </c>
      <c r="B5260" t="str">
        <f>"1551601623669665"</f>
        <v>1551601623669665</v>
      </c>
      <c r="C5260" t="s">
        <v>40</v>
      </c>
      <c r="D5260">
        <v>5.0250709999999996</v>
      </c>
      <c r="E5260">
        <v>0.30849660000000001</v>
      </c>
      <c r="F5260" t="s">
        <v>59</v>
      </c>
      <c r="G5260">
        <v>-193.38720000000001</v>
      </c>
      <c r="H5260" s="1">
        <v>-2.2242950000000001E-6</v>
      </c>
      <c r="I5260">
        <v>-49.389270000000003</v>
      </c>
      <c r="J5260">
        <v>-195.3956</v>
      </c>
      <c r="K5260">
        <v>1.1280730000000001</v>
      </c>
      <c r="L5260">
        <v>-57.610750000000003</v>
      </c>
      <c r="M5260">
        <v>0.81656269999999997</v>
      </c>
      <c r="N5260">
        <v>-1.295489E-2</v>
      </c>
      <c r="O5260">
        <v>0.57711140000000005</v>
      </c>
      <c r="P5260">
        <v>0.64116249999999997</v>
      </c>
      <c r="Q5260">
        <v>0.13891619999999999</v>
      </c>
      <c r="R5260">
        <v>0.75472709999999998</v>
      </c>
      <c r="S5260">
        <v>0.85388180000000002</v>
      </c>
      <c r="T5260">
        <v>-0.45398090000000002</v>
      </c>
      <c r="U5260">
        <v>3.3435969999999999</v>
      </c>
      <c r="V5260">
        <v>-0.24887570000000001</v>
      </c>
      <c r="W5260">
        <v>0.14702409999999999</v>
      </c>
      <c r="X5260">
        <v>0.95731129999999998</v>
      </c>
      <c r="Y5260">
        <v>-0.64652959999999904</v>
      </c>
      <c r="Z5260">
        <v>-2.501107E-2</v>
      </c>
      <c r="AA5260">
        <v>0.76247880000000001</v>
      </c>
      <c r="AB5260">
        <v>25</v>
      </c>
      <c r="AC5260">
        <v>2.0083999999999902</v>
      </c>
      <c r="AD5260">
        <v>-1.1280752242949901</v>
      </c>
      <c r="AE5260">
        <v>8.2214799999999997</v>
      </c>
      <c r="AF5260">
        <v>-5.4577834494583701</v>
      </c>
      <c r="AG5260">
        <v>-1.1280752242949901</v>
      </c>
      <c r="AH5260">
        <v>6.2737669070192696</v>
      </c>
      <c r="AI5260">
        <v>97.725545018317206</v>
      </c>
      <c r="AJ5260">
        <v>131.02122214711699</v>
      </c>
      <c r="AK5260">
        <v>8.3916687909175796</v>
      </c>
      <c r="AL5260">
        <v>81.545492572262106</v>
      </c>
      <c r="AM5260">
        <v>104.572801321301</v>
      </c>
      <c r="AN5260">
        <v>1.00000006256949</v>
      </c>
    </row>
    <row r="5261" spans="1:40" x14ac:dyDescent="0.25">
      <c r="A5261" t="str">
        <f>"20190303162703686"</f>
        <v>20190303162703686</v>
      </c>
      <c r="B5261" t="str">
        <f>"1551601623679424"</f>
        <v>1551601623679424</v>
      </c>
      <c r="C5261" t="s">
        <v>40</v>
      </c>
      <c r="D5261">
        <v>5.0772490000000001</v>
      </c>
      <c r="E5261">
        <v>0.30856820000000001</v>
      </c>
      <c r="F5261" t="s">
        <v>59</v>
      </c>
      <c r="G5261">
        <v>-193.3115</v>
      </c>
      <c r="H5261" s="1">
        <v>-2.2850670000000001E-6</v>
      </c>
      <c r="I5261">
        <v>-49.258180000000003</v>
      </c>
      <c r="J5261">
        <v>-195.27010000000001</v>
      </c>
      <c r="K5261">
        <v>1.1280730000000001</v>
      </c>
      <c r="L5261">
        <v>-57.5135199999999</v>
      </c>
      <c r="M5261">
        <v>0.81271340000000003</v>
      </c>
      <c r="N5261">
        <v>-1.295435E-2</v>
      </c>
      <c r="O5261">
        <v>0.58251969999999997</v>
      </c>
      <c r="P5261">
        <v>0.63660680000000003</v>
      </c>
      <c r="Q5261">
        <v>0.13935620000000001</v>
      </c>
      <c r="R5261">
        <v>0.75849290000000003</v>
      </c>
      <c r="S5261">
        <v>0.83547969999999905</v>
      </c>
      <c r="T5261">
        <v>-0.45222849999999998</v>
      </c>
      <c r="U5261">
        <v>3.3484189999999998</v>
      </c>
      <c r="V5261">
        <v>-0.24822420000000001</v>
      </c>
      <c r="W5261">
        <v>0.14747689999999999</v>
      </c>
      <c r="X5261">
        <v>0.95741080000000001</v>
      </c>
      <c r="Y5261">
        <v>-0.64571299999999998</v>
      </c>
      <c r="Z5261">
        <v>-2.577811E-2</v>
      </c>
      <c r="AA5261">
        <v>0.76314499999999996</v>
      </c>
      <c r="AB5261">
        <v>25</v>
      </c>
      <c r="AC5261">
        <v>1.9586000000000101</v>
      </c>
      <c r="AD5261">
        <v>-1.1280752850669999</v>
      </c>
      <c r="AE5261">
        <v>8.2553399999999897</v>
      </c>
      <c r="AF5261">
        <v>-5.4720368535718196</v>
      </c>
      <c r="AG5261">
        <v>-1.1280752850669999</v>
      </c>
      <c r="AH5261">
        <v>6.2900229193555797</v>
      </c>
      <c r="AI5261">
        <v>97.705752690752803</v>
      </c>
      <c r="AJ5261">
        <v>131.021801275754</v>
      </c>
      <c r="AK5261">
        <v>8.4130927429599698</v>
      </c>
      <c r="AL5261">
        <v>81.519263142014907</v>
      </c>
      <c r="AM5261">
        <v>104.534824346698</v>
      </c>
      <c r="AN5261">
        <v>1.0000000647279399</v>
      </c>
    </row>
    <row r="5262" spans="1:40" x14ac:dyDescent="0.25">
      <c r="A5262" t="str">
        <f>"20190303162703706"</f>
        <v>20190303162703706</v>
      </c>
      <c r="B5262" t="str">
        <f>"1551601623698945"</f>
        <v>1551601623698945</v>
      </c>
      <c r="C5262" t="s">
        <v>40</v>
      </c>
      <c r="D5262">
        <v>5.0862869999999996</v>
      </c>
      <c r="E5262">
        <v>0.3087548</v>
      </c>
      <c r="F5262" t="s">
        <v>59</v>
      </c>
      <c r="G5262">
        <v>-193.2253</v>
      </c>
      <c r="H5262" s="1">
        <v>-2.3573740000000002E-6</v>
      </c>
      <c r="I5262">
        <v>-49.103610000000003</v>
      </c>
      <c r="J5262">
        <v>-195.0925</v>
      </c>
      <c r="K5262">
        <v>1.128074</v>
      </c>
      <c r="L5262">
        <v>-57.373570000000001</v>
      </c>
      <c r="M5262">
        <v>0.80716999999999905</v>
      </c>
      <c r="N5262">
        <v>-1.2953620000000001E-2</v>
      </c>
      <c r="O5262">
        <v>0.5901769</v>
      </c>
      <c r="P5262">
        <v>0.63013409999999903</v>
      </c>
      <c r="Q5262">
        <v>0.13974210000000001</v>
      </c>
      <c r="R5262">
        <v>0.76380839999999905</v>
      </c>
      <c r="S5262">
        <v>0.81536869999999995</v>
      </c>
      <c r="T5262">
        <v>-0.44982909999999998</v>
      </c>
      <c r="U5262">
        <v>3.3535159999999999</v>
      </c>
      <c r="V5262">
        <v>-0.24726210000000001</v>
      </c>
      <c r="W5262">
        <v>0.14788200000000001</v>
      </c>
      <c r="X5262">
        <v>0.95759720000000004</v>
      </c>
      <c r="Y5262">
        <v>-0.64315100000000003</v>
      </c>
      <c r="Z5262">
        <v>-2.6982550000000001E-2</v>
      </c>
      <c r="AA5262">
        <v>0.76526380000000005</v>
      </c>
      <c r="AB5262">
        <v>25</v>
      </c>
      <c r="AC5262">
        <v>1.86719999999999</v>
      </c>
      <c r="AD5262">
        <v>-1.128076357374</v>
      </c>
      <c r="AE5262">
        <v>8.2699599999999904</v>
      </c>
      <c r="AF5262">
        <v>-5.47679067471217</v>
      </c>
      <c r="AG5262">
        <v>-1.128076357374</v>
      </c>
      <c r="AH5262">
        <v>6.2772887121839096</v>
      </c>
      <c r="AI5262">
        <v>97.711680604978795</v>
      </c>
      <c r="AJ5262">
        <v>131.103952964478</v>
      </c>
      <c r="AK5262">
        <v>8.4066727032037996</v>
      </c>
      <c r="AL5262">
        <v>81.495794876465197</v>
      </c>
      <c r="AM5262">
        <v>104.47816096678901</v>
      </c>
      <c r="AN5262">
        <v>1.0000000147341199</v>
      </c>
    </row>
    <row r="5263" spans="1:40" x14ac:dyDescent="0.25">
      <c r="A5263" t="str">
        <f>"20190303162703730"</f>
        <v>20190303162703730</v>
      </c>
      <c r="B5263" t="str">
        <f>"1551601623719440"</f>
        <v>1551601623719440</v>
      </c>
      <c r="C5263" t="s">
        <v>40</v>
      </c>
      <c r="D5263">
        <v>5.0973189999999997</v>
      </c>
      <c r="E5263">
        <v>0.30891540000000001</v>
      </c>
      <c r="F5263" t="s">
        <v>59</v>
      </c>
      <c r="G5263">
        <v>-193.10589999999999</v>
      </c>
      <c r="H5263" s="1">
        <v>-2.4546300000000002E-6</v>
      </c>
      <c r="I5263">
        <v>-48.894449999999999</v>
      </c>
      <c r="J5263">
        <v>-194.8947</v>
      </c>
      <c r="K5263">
        <v>1.12808</v>
      </c>
      <c r="L5263">
        <v>-57.214390000000002</v>
      </c>
      <c r="M5263">
        <v>0.80085769999999901</v>
      </c>
      <c r="N5263">
        <v>-1.295288E-2</v>
      </c>
      <c r="O5263">
        <v>0.59871479999999999</v>
      </c>
      <c r="P5263">
        <v>0.62214619999999998</v>
      </c>
      <c r="Q5263">
        <v>0.1407891</v>
      </c>
      <c r="R5263">
        <v>0.77013799999999999</v>
      </c>
      <c r="S5263">
        <v>0.78723140000000003</v>
      </c>
      <c r="T5263">
        <v>-0.4470227</v>
      </c>
      <c r="U5263">
        <v>3.3600159999999999</v>
      </c>
      <c r="V5263">
        <v>-0.24692990000000001</v>
      </c>
      <c r="W5263">
        <v>0.1489345</v>
      </c>
      <c r="X5263">
        <v>0.95751980000000003</v>
      </c>
      <c r="Y5263">
        <v>-0.64149209999999901</v>
      </c>
      <c r="Z5263">
        <v>-2.8201739999999999E-2</v>
      </c>
      <c r="AA5263">
        <v>0.76661099999999904</v>
      </c>
      <c r="AB5263">
        <v>25</v>
      </c>
      <c r="AC5263">
        <v>1.7887999999999999</v>
      </c>
      <c r="AD5263">
        <v>-1.1280824546299999</v>
      </c>
      <c r="AE5263">
        <v>8.3199400000000008</v>
      </c>
      <c r="AF5263">
        <v>-5.4960009099665497</v>
      </c>
      <c r="AG5263">
        <v>-1.1280824546299999</v>
      </c>
      <c r="AH5263">
        <v>6.3036169835653304</v>
      </c>
      <c r="AI5263">
        <v>97.682140287645197</v>
      </c>
      <c r="AJ5263">
        <v>131.08453949516999</v>
      </c>
      <c r="AK5263">
        <v>8.4388496314539498</v>
      </c>
      <c r="AL5263">
        <v>81.434815789595504</v>
      </c>
      <c r="AM5263">
        <v>104.46064512951401</v>
      </c>
      <c r="AN5263">
        <v>1.00000001409815</v>
      </c>
    </row>
    <row r="5264" spans="1:40" x14ac:dyDescent="0.25">
      <c r="A5264" t="str">
        <f>"20190303162703749"</f>
        <v>20190303162703749</v>
      </c>
      <c r="B5264" t="str">
        <f>"1551601623738961"</f>
        <v>1551601623738961</v>
      </c>
      <c r="C5264" t="s">
        <v>40</v>
      </c>
      <c r="D5264">
        <v>5.1310779999999996</v>
      </c>
      <c r="E5264">
        <v>0.30914199999999997</v>
      </c>
      <c r="F5264" t="s">
        <v>59</v>
      </c>
      <c r="G5264">
        <v>-192.9838</v>
      </c>
      <c r="H5264" s="1">
        <v>-2.549902E-6</v>
      </c>
      <c r="I5264">
        <v>-48.687649999999998</v>
      </c>
      <c r="J5264">
        <v>-194.71969999999999</v>
      </c>
      <c r="K5264">
        <v>1.128085</v>
      </c>
      <c r="L5264">
        <v>-57.070619999999998</v>
      </c>
      <c r="M5264">
        <v>0.79514929999999995</v>
      </c>
      <c r="N5264">
        <v>-1.295226E-2</v>
      </c>
      <c r="O5264">
        <v>0.60627529999999996</v>
      </c>
      <c r="P5264">
        <v>0.61493999999999904</v>
      </c>
      <c r="Q5264">
        <v>0.1417455</v>
      </c>
      <c r="R5264">
        <v>0.77573000000000003</v>
      </c>
      <c r="S5264">
        <v>0.75460819999999995</v>
      </c>
      <c r="T5264">
        <v>-0.44548539999999998</v>
      </c>
      <c r="U5264">
        <v>3.3672490000000002</v>
      </c>
      <c r="V5264">
        <v>-0.24666080000000001</v>
      </c>
      <c r="W5264">
        <v>0.14989539999999901</v>
      </c>
      <c r="X5264">
        <v>0.95743920000000005</v>
      </c>
      <c r="Y5264">
        <v>-0.64168970000000003</v>
      </c>
      <c r="Z5264">
        <v>-2.9218419999999998E-2</v>
      </c>
      <c r="AA5264">
        <v>0.76640759999999997</v>
      </c>
      <c r="AB5264">
        <v>25</v>
      </c>
      <c r="AC5264">
        <v>1.73589999999998</v>
      </c>
      <c r="AD5264">
        <v>-1.128087549902</v>
      </c>
      <c r="AE5264">
        <v>8.3829700000000003</v>
      </c>
      <c r="AF5264">
        <v>-5.5179358905445302</v>
      </c>
      <c r="AG5264">
        <v>-1.128087549902</v>
      </c>
      <c r="AH5264">
        <v>6.3529162834428101</v>
      </c>
      <c r="AI5264">
        <v>97.635633985492902</v>
      </c>
      <c r="AJ5264">
        <v>130.97651566218201</v>
      </c>
      <c r="AK5264">
        <v>8.4899789938984007</v>
      </c>
      <c r="AL5264">
        <v>81.379135126123103</v>
      </c>
      <c r="AM5264">
        <v>104.44671106062199</v>
      </c>
      <c r="AN5264">
        <v>1.0000000014472199</v>
      </c>
    </row>
    <row r="5265" spans="1:40" x14ac:dyDescent="0.25">
      <c r="A5265" t="str">
        <f>"20190303162703772"</f>
        <v>20190303162703772</v>
      </c>
      <c r="B5265" t="str">
        <f>"1551601623759456"</f>
        <v>1551601623759456</v>
      </c>
      <c r="C5265" t="s">
        <v>40</v>
      </c>
      <c r="D5265">
        <v>5.3860460000000003</v>
      </c>
      <c r="E5265">
        <v>0.30909049999999999</v>
      </c>
      <c r="F5265" t="s">
        <v>59</v>
      </c>
      <c r="G5265">
        <v>-192.87450000000001</v>
      </c>
      <c r="H5265" s="1">
        <v>-2.6410569999999999E-6</v>
      </c>
      <c r="I5265">
        <v>-48.49259</v>
      </c>
      <c r="J5265">
        <v>-194.53129999999999</v>
      </c>
      <c r="K5265">
        <v>1.1280829999999999</v>
      </c>
      <c r="L5265">
        <v>-56.912779999999998</v>
      </c>
      <c r="M5265">
        <v>0.78887549999999995</v>
      </c>
      <c r="N5265">
        <v>-1.2951580000000001E-2</v>
      </c>
      <c r="O5265">
        <v>0.61441650000000003</v>
      </c>
      <c r="P5265">
        <v>0.60748429999999998</v>
      </c>
      <c r="Q5265">
        <v>0.14175470000000001</v>
      </c>
      <c r="R5265">
        <v>0.78158070000000002</v>
      </c>
      <c r="S5265">
        <v>0.72557069999999901</v>
      </c>
      <c r="T5265">
        <v>-0.4436059</v>
      </c>
      <c r="U5265">
        <v>3.3731990000000001</v>
      </c>
      <c r="V5265">
        <v>-0.2459837</v>
      </c>
      <c r="W5265">
        <v>0.14991849999999901</v>
      </c>
      <c r="X5265">
        <v>0.95760979999999996</v>
      </c>
      <c r="Y5265">
        <v>-0.64044480000000004</v>
      </c>
      <c r="Z5265">
        <v>-3.0410840000000001E-2</v>
      </c>
      <c r="AA5265">
        <v>0.76740189999999997</v>
      </c>
      <c r="AB5265">
        <v>25</v>
      </c>
      <c r="AC5265">
        <v>1.6567999999999701</v>
      </c>
      <c r="AD5265">
        <v>-1.1280856410569999</v>
      </c>
      <c r="AE5265">
        <v>8.4201899999999998</v>
      </c>
      <c r="AF5265">
        <v>-5.5294396980671596</v>
      </c>
      <c r="AG5265">
        <v>-1.1280856410569999</v>
      </c>
      <c r="AH5265">
        <v>6.3709662235742304</v>
      </c>
      <c r="AI5265">
        <v>97.616683332636697</v>
      </c>
      <c r="AJ5265">
        <v>130.95511353161899</v>
      </c>
      <c r="AK5265">
        <v>8.5109630013320903</v>
      </c>
      <c r="AL5265">
        <v>81.377796742623701</v>
      </c>
      <c r="AM5265">
        <v>104.406246891427</v>
      </c>
      <c r="AN5265">
        <v>1.0000000331819801</v>
      </c>
    </row>
    <row r="5266" spans="1:40" x14ac:dyDescent="0.25">
      <c r="A5266" t="str">
        <f>"20190303162703795"</f>
        <v>20190303162703795</v>
      </c>
      <c r="B5266" t="str">
        <f>"1551601623789244"</f>
        <v>1551601623789244</v>
      </c>
      <c r="C5266" t="s">
        <v>40</v>
      </c>
      <c r="D5266">
        <v>5.2947850000000001</v>
      </c>
      <c r="E5266">
        <v>0.37515720000000002</v>
      </c>
      <c r="F5266" t="s">
        <v>59</v>
      </c>
      <c r="G5266">
        <v>-192.77099999999999</v>
      </c>
      <c r="H5266" s="1">
        <v>-2.721933E-6</v>
      </c>
      <c r="I5266">
        <v>-48.317059999999998</v>
      </c>
      <c r="J5266">
        <v>-194.33260000000001</v>
      </c>
      <c r="K5266">
        <v>1.12808</v>
      </c>
      <c r="L5266">
        <v>-56.742649999999998</v>
      </c>
      <c r="M5266">
        <v>0.78210459999999904</v>
      </c>
      <c r="N5266">
        <v>-1.295079E-2</v>
      </c>
      <c r="O5266">
        <v>0.62301249999999997</v>
      </c>
      <c r="P5266">
        <v>0.59984469999999901</v>
      </c>
      <c r="Q5266">
        <v>0.141209</v>
      </c>
      <c r="R5266">
        <v>0.78755719999999996</v>
      </c>
      <c r="S5266">
        <v>0.69233699999999998</v>
      </c>
      <c r="T5266">
        <v>-0.4436774</v>
      </c>
      <c r="U5266">
        <v>3.3807070000000001</v>
      </c>
      <c r="V5266">
        <v>-0.244894</v>
      </c>
      <c r="W5266">
        <v>0.149397</v>
      </c>
      <c r="X5266">
        <v>0.95797049999999995</v>
      </c>
      <c r="Y5266">
        <v>-0.63966040000000002</v>
      </c>
      <c r="Z5266">
        <v>-3.1807769999999999E-2</v>
      </c>
      <c r="AA5266">
        <v>0.76799930000000005</v>
      </c>
      <c r="AB5266">
        <v>25</v>
      </c>
      <c r="AC5266">
        <v>1.5616000000000201</v>
      </c>
      <c r="AD5266">
        <v>-1.1280827219329901</v>
      </c>
      <c r="AE5266">
        <v>8.4255899999999997</v>
      </c>
      <c r="AF5266">
        <v>-5.5215755821894899</v>
      </c>
      <c r="AG5266">
        <v>-1.1280827219329901</v>
      </c>
      <c r="AH5266">
        <v>6.3608875183751596</v>
      </c>
      <c r="AI5266">
        <v>97.628072079888796</v>
      </c>
      <c r="AJ5266">
        <v>130.95965129563999</v>
      </c>
      <c r="AK5266">
        <v>8.4983090999784103</v>
      </c>
      <c r="AL5266">
        <v>81.408016605973202</v>
      </c>
      <c r="AM5266">
        <v>104.339888400852</v>
      </c>
      <c r="AN5266">
        <v>1.00000000685762</v>
      </c>
    </row>
    <row r="5267" spans="1:40" x14ac:dyDescent="0.25">
      <c r="A5267" t="str">
        <f>"20190303162703819"</f>
        <v>20190303162703819</v>
      </c>
      <c r="B5267" t="str">
        <f>"1551601623809740"</f>
        <v>1551601623809740</v>
      </c>
      <c r="C5267" t="s">
        <v>40</v>
      </c>
      <c r="D5267">
        <v>5.3236049999999997</v>
      </c>
      <c r="E5267">
        <v>0.38204779999999999</v>
      </c>
      <c r="F5267" t="s">
        <v>42</v>
      </c>
      <c r="G5267">
        <v>-194.0214</v>
      </c>
      <c r="H5267">
        <v>1.0290090000000001</v>
      </c>
      <c r="I5267">
        <v>-55.853160000000003</v>
      </c>
      <c r="J5267">
        <v>-194.12889999999999</v>
      </c>
      <c r="K5267">
        <v>1.128064</v>
      </c>
      <c r="L5267">
        <v>-56.564390000000003</v>
      </c>
      <c r="M5267">
        <v>0.77499899999999999</v>
      </c>
      <c r="N5267">
        <v>-1.294999E-2</v>
      </c>
      <c r="O5267">
        <v>0.6318298</v>
      </c>
      <c r="P5267">
        <v>0.59182950000000001</v>
      </c>
      <c r="Q5267">
        <v>0.13999229999999999</v>
      </c>
      <c r="R5267">
        <v>0.79381359999999901</v>
      </c>
      <c r="S5267">
        <v>1.0689390000000001</v>
      </c>
      <c r="T5267">
        <v>-0.3403794</v>
      </c>
      <c r="U5267">
        <v>3.0560909999999999</v>
      </c>
      <c r="V5267">
        <v>-0.24390039999999999</v>
      </c>
      <c r="W5267">
        <v>0.1482031</v>
      </c>
      <c r="X5267">
        <v>0.95840930000000002</v>
      </c>
      <c r="Y5267">
        <v>-0.52230840000000001</v>
      </c>
      <c r="Z5267">
        <v>-3.2308509999999999E-2</v>
      </c>
      <c r="AA5267">
        <v>0.85214439999999902</v>
      </c>
      <c r="AB5267">
        <v>25</v>
      </c>
      <c r="AC5267">
        <v>0.10749999999998699</v>
      </c>
      <c r="AD5267">
        <v>-9.9054999999999893E-2</v>
      </c>
      <c r="AE5267">
        <v>0.71123000000000702</v>
      </c>
      <c r="AF5267">
        <v>-0.474326376616233</v>
      </c>
      <c r="AG5267">
        <v>-9.9054999999999893E-2</v>
      </c>
      <c r="AH5267">
        <v>0.52281878991045305</v>
      </c>
      <c r="AI5267">
        <v>97.987600682767606</v>
      </c>
      <c r="AJ5267">
        <v>132.21582824235901</v>
      </c>
      <c r="AK5267">
        <v>0.71283721259647703</v>
      </c>
      <c r="AL5267">
        <v>81.477191879136896</v>
      </c>
      <c r="AM5267">
        <v>104.277820735772</v>
      </c>
      <c r="AN5267">
        <v>0.99999997514812899</v>
      </c>
    </row>
    <row r="5268" spans="1:40" x14ac:dyDescent="0.25">
      <c r="A5268" t="str">
        <f>"20190303162703839"</f>
        <v>20190303162703839</v>
      </c>
      <c r="B5268" t="str">
        <f>"1551601623829260"</f>
        <v>1551601623829260</v>
      </c>
      <c r="C5268" t="s">
        <v>40</v>
      </c>
      <c r="D5268">
        <v>5.3031709999999999</v>
      </c>
      <c r="E5268">
        <v>0.3849088</v>
      </c>
      <c r="F5268" t="s">
        <v>42</v>
      </c>
      <c r="G5268">
        <v>-193.83090000000001</v>
      </c>
      <c r="H5268">
        <v>1.037992</v>
      </c>
      <c r="I5268">
        <v>-55.727910000000001</v>
      </c>
      <c r="J5268">
        <v>-193.95670000000001</v>
      </c>
      <c r="K5268">
        <v>1.128061</v>
      </c>
      <c r="L5268">
        <v>-56.41046</v>
      </c>
      <c r="M5268">
        <v>0.76885979999999998</v>
      </c>
      <c r="N5268">
        <v>-1.294941E-2</v>
      </c>
      <c r="O5268">
        <v>0.63928629999999997</v>
      </c>
      <c r="P5268">
        <v>0.5845882</v>
      </c>
      <c r="Q5268">
        <v>0.1384725</v>
      </c>
      <c r="R5268">
        <v>0.79942599999999997</v>
      </c>
      <c r="S5268">
        <v>1.0798490000000001</v>
      </c>
      <c r="T5268">
        <v>-0.32644590000000001</v>
      </c>
      <c r="U5268">
        <v>3.0317379999999998</v>
      </c>
      <c r="V5268">
        <v>-0.2435312</v>
      </c>
      <c r="W5268">
        <v>0.1466935</v>
      </c>
      <c r="X5268">
        <v>0.95873540000000002</v>
      </c>
      <c r="Y5268">
        <v>-0.50924990000000003</v>
      </c>
      <c r="Z5268">
        <v>-3.2368340000000002E-2</v>
      </c>
      <c r="AA5268">
        <v>0.86000969999999999</v>
      </c>
      <c r="AB5268">
        <v>25</v>
      </c>
      <c r="AC5268">
        <v>0.125799999999998</v>
      </c>
      <c r="AD5268">
        <v>-9.0068999999999899E-2</v>
      </c>
      <c r="AE5268">
        <v>0.68255000000000599</v>
      </c>
      <c r="AF5268">
        <v>-0.43703999713070002</v>
      </c>
      <c r="AG5268">
        <v>-9.0068999999999899E-2</v>
      </c>
      <c r="AH5268">
        <v>0.52428254778174899</v>
      </c>
      <c r="AI5268">
        <v>97.517280012321294</v>
      </c>
      <c r="AJ5268">
        <v>129.81446220339899</v>
      </c>
      <c r="AK5268">
        <v>0.68846828086813505</v>
      </c>
      <c r="AL5268">
        <v>81.5646416355507</v>
      </c>
      <c r="AM5268">
        <v>104.25243799164799</v>
      </c>
      <c r="AN5268">
        <v>0.99999999776442505</v>
      </c>
    </row>
    <row r="5269" spans="1:40" x14ac:dyDescent="0.25">
      <c r="A5269" t="str">
        <f>"20190303162703861"</f>
        <v>20190303162703861</v>
      </c>
      <c r="B5269" t="str">
        <f>"1551601623849755"</f>
        <v>1551601623849755</v>
      </c>
      <c r="C5269" t="s">
        <v>40</v>
      </c>
      <c r="D5269">
        <v>5.3395039999999998</v>
      </c>
      <c r="E5269">
        <v>0.38654919999999998</v>
      </c>
      <c r="F5269" t="s">
        <v>42</v>
      </c>
      <c r="G5269">
        <v>-193.66409999999999</v>
      </c>
      <c r="H5269">
        <v>1.0383869999999999</v>
      </c>
      <c r="I5269">
        <v>-55.582929999999998</v>
      </c>
      <c r="J5269">
        <v>-193.78129999999999</v>
      </c>
      <c r="K5269">
        <v>1.1280559999999999</v>
      </c>
      <c r="L5269">
        <v>-56.250549999999997</v>
      </c>
      <c r="M5269">
        <v>0.76247349999999903</v>
      </c>
      <c r="N5269">
        <v>-1.294886E-2</v>
      </c>
      <c r="O5269">
        <v>0.64688990000000002</v>
      </c>
      <c r="P5269">
        <v>0.57699659999999997</v>
      </c>
      <c r="Q5269">
        <v>0.13767850000000001</v>
      </c>
      <c r="R5269">
        <v>0.80505879999999996</v>
      </c>
      <c r="S5269">
        <v>1.0702210000000001</v>
      </c>
      <c r="T5269">
        <v>-0.32799050000000002</v>
      </c>
      <c r="U5269">
        <v>3.0269170000000001</v>
      </c>
      <c r="V5269">
        <v>-0.243173</v>
      </c>
      <c r="W5269">
        <v>0.14590899999999901</v>
      </c>
      <c r="X5269">
        <v>0.95894599999999997</v>
      </c>
      <c r="Y5269">
        <v>-0.50272850000000002</v>
      </c>
      <c r="Z5269">
        <v>-3.3907779999999998E-2</v>
      </c>
      <c r="AA5269">
        <v>0.86377909999999902</v>
      </c>
      <c r="AB5269">
        <v>25</v>
      </c>
      <c r="AC5269">
        <v>0.117199999999996</v>
      </c>
      <c r="AD5269">
        <v>-8.9668999999999693E-2</v>
      </c>
      <c r="AE5269">
        <v>0.667619999999992</v>
      </c>
      <c r="AF5269">
        <v>-0.42581156662909497</v>
      </c>
      <c r="AG5269">
        <v>-8.9668999999999693E-2</v>
      </c>
      <c r="AH5269">
        <v>0.51231655244534002</v>
      </c>
      <c r="AI5269">
        <v>97.666140339446997</v>
      </c>
      <c r="AJ5269">
        <v>129.731642533859</v>
      </c>
      <c r="AK5269">
        <v>0.67217874835909697</v>
      </c>
      <c r="AL5269">
        <v>81.610078992794698</v>
      </c>
      <c r="AM5269">
        <v>104.229328318716</v>
      </c>
      <c r="AN5269">
        <v>0.99999998756299902</v>
      </c>
    </row>
    <row r="5270" spans="1:40" x14ac:dyDescent="0.25">
      <c r="A5270" t="str">
        <f>"20190303162703884"</f>
        <v>20190303162703884</v>
      </c>
      <c r="B5270" t="str">
        <f>"1551601623879036"</f>
        <v>1551601623879036</v>
      </c>
      <c r="C5270" t="s">
        <v>40</v>
      </c>
      <c r="D5270">
        <v>5.3579670000000004</v>
      </c>
      <c r="E5270">
        <v>0.3885653</v>
      </c>
      <c r="F5270" t="s">
        <v>42</v>
      </c>
      <c r="G5270">
        <v>-193.49860000000001</v>
      </c>
      <c r="H5270">
        <v>1.040238</v>
      </c>
      <c r="I5270">
        <v>-55.436309999999999</v>
      </c>
      <c r="J5270">
        <v>-193.59229999999999</v>
      </c>
      <c r="K5270">
        <v>1.1280520000000001</v>
      </c>
      <c r="L5270">
        <v>-56.0745199999999</v>
      </c>
      <c r="M5270">
        <v>0.75543990000000005</v>
      </c>
      <c r="N5270">
        <v>-1.294817E-2</v>
      </c>
      <c r="O5270">
        <v>0.6550899</v>
      </c>
      <c r="P5270">
        <v>0.56866219999999901</v>
      </c>
      <c r="Q5270">
        <v>0.1369108</v>
      </c>
      <c r="R5270">
        <v>0.81109719999999996</v>
      </c>
      <c r="S5270">
        <v>1.051712</v>
      </c>
      <c r="T5270">
        <v>-0.32663399999999998</v>
      </c>
      <c r="U5270">
        <v>3.0285030000000002</v>
      </c>
      <c r="V5270">
        <v>-0.24278649999999999</v>
      </c>
      <c r="W5270">
        <v>0.1451509</v>
      </c>
      <c r="X5270">
        <v>0.95915899999999998</v>
      </c>
      <c r="Y5270">
        <v>-0.49826599999999999</v>
      </c>
      <c r="Z5270">
        <v>-3.4969199999999902E-2</v>
      </c>
      <c r="AA5270">
        <v>0.8663187</v>
      </c>
      <c r="AB5270">
        <v>25</v>
      </c>
      <c r="AC5270">
        <v>9.3699999999984102E-2</v>
      </c>
      <c r="AD5270">
        <v>-8.7814000000000003E-2</v>
      </c>
      <c r="AE5270">
        <v>0.63820999999999295</v>
      </c>
      <c r="AF5270">
        <v>-0.41312633348837902</v>
      </c>
      <c r="AG5270">
        <v>-8.7814000000000003E-2</v>
      </c>
      <c r="AH5270">
        <v>0.48001469642856498</v>
      </c>
      <c r="AI5270">
        <v>97.894170730289304</v>
      </c>
      <c r="AJ5270">
        <v>130.71704822080599</v>
      </c>
      <c r="AK5270">
        <v>0.63937373640536699</v>
      </c>
      <c r="AL5270">
        <v>81.6539826649133</v>
      </c>
      <c r="AM5270">
        <v>104.204601251989</v>
      </c>
      <c r="AN5270">
        <v>1.00000002781702</v>
      </c>
    </row>
    <row r="5271" spans="1:40" x14ac:dyDescent="0.25">
      <c r="A5271" t="str">
        <f>"20190303162703908"</f>
        <v>20190303162703908</v>
      </c>
      <c r="B5271" t="str">
        <f>"1551601623899532"</f>
        <v>1551601623899532</v>
      </c>
      <c r="C5271" t="s">
        <v>40</v>
      </c>
      <c r="D5271">
        <v>5.3647910000000003</v>
      </c>
      <c r="E5271">
        <v>0.3895383</v>
      </c>
      <c r="F5271" t="s">
        <v>42</v>
      </c>
      <c r="G5271">
        <v>-193.2527</v>
      </c>
      <c r="H5271">
        <v>1.0207759999999999</v>
      </c>
      <c r="I5271">
        <v>-55.078360000000004</v>
      </c>
      <c r="J5271">
        <v>-193.39850000000001</v>
      </c>
      <c r="K5271">
        <v>1.1280429999999999</v>
      </c>
      <c r="L5271">
        <v>-55.889800000000001</v>
      </c>
      <c r="M5271">
        <v>0.748054</v>
      </c>
      <c r="N5271">
        <v>-1.2947490000000001E-2</v>
      </c>
      <c r="O5271">
        <v>0.66351150000000003</v>
      </c>
      <c r="P5271">
        <v>0.55947429999999998</v>
      </c>
      <c r="Q5271">
        <v>0.1362825</v>
      </c>
      <c r="R5271">
        <v>0.81756689999999999</v>
      </c>
      <c r="S5271">
        <v>1.033112</v>
      </c>
      <c r="T5271">
        <v>-0.32625310000000002</v>
      </c>
      <c r="U5271">
        <v>3.0294189999999999</v>
      </c>
      <c r="V5271">
        <v>-0.2429307</v>
      </c>
      <c r="W5271">
        <v>0.14452100000000001</v>
      </c>
      <c r="X5271">
        <v>0.95921749999999995</v>
      </c>
      <c r="Y5271">
        <v>-0.49342239999999998</v>
      </c>
      <c r="Z5271">
        <v>-3.6217180000000002E-2</v>
      </c>
      <c r="AA5271">
        <v>0.86903549999999996</v>
      </c>
      <c r="AB5271">
        <v>25</v>
      </c>
      <c r="AC5271">
        <v>0.14580000000000801</v>
      </c>
      <c r="AD5271">
        <v>-0.107267</v>
      </c>
      <c r="AE5271">
        <v>0.81144000000000405</v>
      </c>
      <c r="AF5271">
        <v>-0.50180885571095701</v>
      </c>
      <c r="AG5271">
        <v>-0.107267</v>
      </c>
      <c r="AH5271">
        <v>0.63674123600946297</v>
      </c>
      <c r="AI5271">
        <v>97.537158587332698</v>
      </c>
      <c r="AJ5271">
        <v>128.24126079062901</v>
      </c>
      <c r="AK5271">
        <v>0.81777609319042699</v>
      </c>
      <c r="AL5271">
        <v>81.690457050164298</v>
      </c>
      <c r="AM5271">
        <v>104.211864465208</v>
      </c>
      <c r="AN5271">
        <v>0.99999992837486695</v>
      </c>
    </row>
    <row r="5272" spans="1:40" x14ac:dyDescent="0.25">
      <c r="A5272" t="str">
        <f>"20190303162703931"</f>
        <v>20190303162703931</v>
      </c>
      <c r="B5272" t="str">
        <f>"1551601623919052"</f>
        <v>1551601623919052</v>
      </c>
      <c r="C5272" t="s">
        <v>40</v>
      </c>
      <c r="D5272">
        <v>5.3433380000000001</v>
      </c>
      <c r="E5272">
        <v>0.39050869999999999</v>
      </c>
      <c r="F5272" t="s">
        <v>42</v>
      </c>
      <c r="G5272">
        <v>-193.0823</v>
      </c>
      <c r="H5272">
        <v>1.024807</v>
      </c>
      <c r="I5272">
        <v>-54.934620000000002</v>
      </c>
      <c r="J5272">
        <v>-193.21530000000001</v>
      </c>
      <c r="K5272">
        <v>1.1280289999999999</v>
      </c>
      <c r="L5272">
        <v>-55.711399999999998</v>
      </c>
      <c r="M5272">
        <v>0.74091289999999999</v>
      </c>
      <c r="N5272">
        <v>-1.2946849999999999E-2</v>
      </c>
      <c r="O5272">
        <v>0.67147630000000003</v>
      </c>
      <c r="P5272">
        <v>0.5505932</v>
      </c>
      <c r="Q5272">
        <v>0.13549459999999999</v>
      </c>
      <c r="R5272">
        <v>0.82370409999999905</v>
      </c>
      <c r="S5272">
        <v>1.0047299999999999</v>
      </c>
      <c r="T5272">
        <v>-0.3281693</v>
      </c>
      <c r="U5272">
        <v>3.036591</v>
      </c>
      <c r="V5272">
        <v>-0.24313319999999999</v>
      </c>
      <c r="W5272">
        <v>0.1437311</v>
      </c>
      <c r="X5272">
        <v>0.95928500000000005</v>
      </c>
      <c r="Y5272">
        <v>-0.49206749999999999</v>
      </c>
      <c r="Z5272">
        <v>-3.7525410000000002E-2</v>
      </c>
      <c r="AA5272">
        <v>0.86974789999999902</v>
      </c>
      <c r="AB5272">
        <v>25</v>
      </c>
      <c r="AC5272">
        <v>0.133000000000009</v>
      </c>
      <c r="AD5272">
        <v>-0.10322199999999999</v>
      </c>
      <c r="AE5272">
        <v>0.77678000000000202</v>
      </c>
      <c r="AF5272">
        <v>-0.47805945878402301</v>
      </c>
      <c r="AG5272">
        <v>-0.10322199999999999</v>
      </c>
      <c r="AH5272">
        <v>0.60972275650261998</v>
      </c>
      <c r="AI5272">
        <v>97.588568792017497</v>
      </c>
      <c r="AJ5272">
        <v>128.09858874378199</v>
      </c>
      <c r="AK5272">
        <v>0.78163768282627399</v>
      </c>
      <c r="AL5272">
        <v>81.736193483527401</v>
      </c>
      <c r="AM5272">
        <v>104.222270315505</v>
      </c>
      <c r="AN5272">
        <v>1.0000000466372201</v>
      </c>
    </row>
    <row r="5273" spans="1:40" x14ac:dyDescent="0.25">
      <c r="A5273" t="str">
        <f>"20190303162703951"</f>
        <v>20190303162703951</v>
      </c>
      <c r="B5273" t="str">
        <f>"1551601623939548"</f>
        <v>1551601623939548</v>
      </c>
      <c r="C5273" t="s">
        <v>40</v>
      </c>
      <c r="D5273">
        <v>5.3826199999999904</v>
      </c>
      <c r="E5273">
        <v>0.39134150000000001</v>
      </c>
      <c r="F5273" t="s">
        <v>42</v>
      </c>
      <c r="G5273">
        <v>-192.9178</v>
      </c>
      <c r="H5273">
        <v>1.0277940000000001</v>
      </c>
      <c r="I5273">
        <v>-54.785820000000001</v>
      </c>
      <c r="J5273">
        <v>-193.05359999999999</v>
      </c>
      <c r="K5273">
        <v>1.1280250000000001</v>
      </c>
      <c r="L5273">
        <v>-55.550809999999998</v>
      </c>
      <c r="M5273">
        <v>0.73447799999999996</v>
      </c>
      <c r="N5273">
        <v>-1.2946269999999999E-2</v>
      </c>
      <c r="O5273">
        <v>0.67850900000000003</v>
      </c>
      <c r="P5273">
        <v>0.54186610000000002</v>
      </c>
      <c r="Q5273">
        <v>0.13555029999999901</v>
      </c>
      <c r="R5273">
        <v>0.82946209999999898</v>
      </c>
      <c r="S5273">
        <v>0.97805790000000004</v>
      </c>
      <c r="T5273">
        <v>-0.32949719999999999</v>
      </c>
      <c r="U5273">
        <v>3.0424799999999999</v>
      </c>
      <c r="V5273">
        <v>-0.2441112</v>
      </c>
      <c r="W5273">
        <v>0.14376700000000001</v>
      </c>
      <c r="X5273">
        <v>0.95903119999999997</v>
      </c>
      <c r="Y5273">
        <v>-0.49118279999999997</v>
      </c>
      <c r="Z5273">
        <v>-3.8634780000000001E-2</v>
      </c>
      <c r="AA5273">
        <v>0.87019930000000001</v>
      </c>
      <c r="AB5273">
        <v>25</v>
      </c>
      <c r="AC5273">
        <v>0.13579999999998901</v>
      </c>
      <c r="AD5273">
        <v>-0.100230999999999</v>
      </c>
      <c r="AE5273">
        <v>0.76499000000000394</v>
      </c>
      <c r="AF5273">
        <v>-0.46207608169456599</v>
      </c>
      <c r="AG5273">
        <v>-0.100230999999999</v>
      </c>
      <c r="AH5273">
        <v>0.60871603280713404</v>
      </c>
      <c r="AI5273">
        <v>97.471849669825204</v>
      </c>
      <c r="AJ5273">
        <v>127.202117865359</v>
      </c>
      <c r="AK5273">
        <v>0.77077608112321405</v>
      </c>
      <c r="AL5273">
        <v>81.734114884723198</v>
      </c>
      <c r="AM5273">
        <v>104.280768473012</v>
      </c>
      <c r="AN5273">
        <v>1.00000003541393</v>
      </c>
    </row>
    <row r="5274" spans="1:40" x14ac:dyDescent="0.25">
      <c r="A5274" t="str">
        <f>"20190303162703973"</f>
        <v>20190303162703973</v>
      </c>
      <c r="B5274" t="str">
        <f>"1551601623959069"</f>
        <v>1551601623959069</v>
      </c>
      <c r="C5274" t="s">
        <v>40</v>
      </c>
      <c r="D5274">
        <v>5.3932599999999997</v>
      </c>
      <c r="E5274">
        <v>0.39221070000000002</v>
      </c>
      <c r="F5274" t="s">
        <v>42</v>
      </c>
      <c r="G5274">
        <v>-192.7653</v>
      </c>
      <c r="H5274">
        <v>1.0287839999999999</v>
      </c>
      <c r="I5274">
        <v>-54.6280199999999</v>
      </c>
      <c r="J5274">
        <v>-192.88059999999999</v>
      </c>
      <c r="K5274">
        <v>1.1280239999999999</v>
      </c>
      <c r="L5274">
        <v>-55.375549999999997</v>
      </c>
      <c r="M5274">
        <v>0.7274467</v>
      </c>
      <c r="N5274">
        <v>-1.294563E-2</v>
      </c>
      <c r="O5274">
        <v>0.68604209999999999</v>
      </c>
      <c r="P5274">
        <v>0.53311619999999904</v>
      </c>
      <c r="Q5274">
        <v>0.13526779999999999</v>
      </c>
      <c r="R5274">
        <v>0.83515849999999903</v>
      </c>
      <c r="S5274">
        <v>0.95208740000000003</v>
      </c>
      <c r="T5274">
        <v>-0.3278162</v>
      </c>
      <c r="U5274">
        <v>3.0484010000000001</v>
      </c>
      <c r="V5274">
        <v>-0.24433779999999999</v>
      </c>
      <c r="W5274">
        <v>0.14348050000000001</v>
      </c>
      <c r="X5274">
        <v>0.95901639999999999</v>
      </c>
      <c r="Y5274">
        <v>-0.48946139999999999</v>
      </c>
      <c r="Z5274">
        <v>-3.9389449999999999E-2</v>
      </c>
      <c r="AA5274">
        <v>0.87113490000000005</v>
      </c>
      <c r="AB5274">
        <v>25</v>
      </c>
      <c r="AC5274">
        <v>0.11529999999998999</v>
      </c>
      <c r="AD5274">
        <v>-9.9239999999999995E-2</v>
      </c>
      <c r="AE5274">
        <v>0.74753000000000402</v>
      </c>
      <c r="AF5274">
        <v>-0.45686166751330198</v>
      </c>
      <c r="AG5274">
        <v>-9.9239999999999995E-2</v>
      </c>
      <c r="AH5274">
        <v>0.58666229775538403</v>
      </c>
      <c r="AI5274">
        <v>97.602019798630906</v>
      </c>
      <c r="AJ5274">
        <v>127.909578240801</v>
      </c>
      <c r="AK5274">
        <v>0.75016252402440298</v>
      </c>
      <c r="AL5274">
        <v>81.7507020911316</v>
      </c>
      <c r="AM5274">
        <v>104.293693402467</v>
      </c>
      <c r="AN5274">
        <v>1.0000000349290199</v>
      </c>
    </row>
    <row r="5275" spans="1:40" x14ac:dyDescent="0.25">
      <c r="A5275" t="str">
        <f>"20190303162703997"</f>
        <v>20190303162703997</v>
      </c>
      <c r="B5275" t="str">
        <f>"1551601623989325"</f>
        <v>1551601623989325</v>
      </c>
      <c r="C5275" t="s">
        <v>40</v>
      </c>
      <c r="D5275">
        <v>5.4025290000000004</v>
      </c>
      <c r="E5275">
        <v>0.39352130000000002</v>
      </c>
      <c r="F5275" t="s">
        <v>42</v>
      </c>
      <c r="G5275">
        <v>-192.60749999999999</v>
      </c>
      <c r="H5275">
        <v>1.0314369999999999</v>
      </c>
      <c r="I5275">
        <v>-54.473399999999998</v>
      </c>
      <c r="J5275">
        <v>-192.70150000000001</v>
      </c>
      <c r="K5275">
        <v>1.1280269999999999</v>
      </c>
      <c r="L5275">
        <v>-55.190339999999999</v>
      </c>
      <c r="M5275">
        <v>0.72001029999999999</v>
      </c>
      <c r="N5275">
        <v>-1.294495E-2</v>
      </c>
      <c r="O5275">
        <v>0.69384259999999998</v>
      </c>
      <c r="P5275">
        <v>0.52423829999999905</v>
      </c>
      <c r="Q5275">
        <v>0.13555320000000001</v>
      </c>
      <c r="R5275">
        <v>0.84071369999999901</v>
      </c>
      <c r="S5275">
        <v>0.92488099999999995</v>
      </c>
      <c r="T5275">
        <v>-0.32705240000000002</v>
      </c>
      <c r="U5275">
        <v>3.0547179999999998</v>
      </c>
      <c r="V5275">
        <v>-0.24413260000000001</v>
      </c>
      <c r="W5275">
        <v>0.143769799999999</v>
      </c>
      <c r="X5275">
        <v>0.95902529999999997</v>
      </c>
      <c r="Y5275">
        <v>-0.48768889999999998</v>
      </c>
      <c r="Z5275">
        <v>-4.0311319999999998E-2</v>
      </c>
      <c r="AA5275">
        <v>0.87208629999999998</v>
      </c>
      <c r="AB5275">
        <v>25</v>
      </c>
      <c r="AC5275">
        <v>9.4000000000022496E-2</v>
      </c>
      <c r="AD5275">
        <v>-9.6589999999999898E-2</v>
      </c>
      <c r="AE5275">
        <v>0.71694000000000102</v>
      </c>
      <c r="AF5275">
        <v>-0.443113782142253</v>
      </c>
      <c r="AG5275">
        <v>-9.6589999999999898E-2</v>
      </c>
      <c r="AH5275">
        <v>0.55526362987259503</v>
      </c>
      <c r="AI5275">
        <v>97.742783176424794</v>
      </c>
      <c r="AJ5275">
        <v>128.59071224522401</v>
      </c>
      <c r="AK5275">
        <v>0.71693594601170796</v>
      </c>
      <c r="AL5275">
        <v>81.733952510164102</v>
      </c>
      <c r="AM5275">
        <v>104.282053449815</v>
      </c>
      <c r="AN5275">
        <v>1.0000000039074399</v>
      </c>
    </row>
    <row r="5276" spans="1:40" x14ac:dyDescent="0.25">
      <c r="A5276" t="str">
        <f>"20190303162704018"</f>
        <v>20190303162704018</v>
      </c>
      <c r="B5276" t="str">
        <f>"1551601624009820"</f>
        <v>1551601624009820</v>
      </c>
      <c r="C5276" t="s">
        <v>40</v>
      </c>
      <c r="D5276">
        <v>5.2996280000000002</v>
      </c>
      <c r="E5276">
        <v>0.39397729999999997</v>
      </c>
      <c r="F5276" t="s">
        <v>42</v>
      </c>
      <c r="G5276">
        <v>-192.4453</v>
      </c>
      <c r="H5276">
        <v>1.0354639999999999</v>
      </c>
      <c r="I5276">
        <v>-54.321089999999998</v>
      </c>
      <c r="J5276">
        <v>-192.5334</v>
      </c>
      <c r="K5276">
        <v>1.1280319999999999</v>
      </c>
      <c r="L5276">
        <v>-55.012729999999998</v>
      </c>
      <c r="M5276">
        <v>0.71287180000000006</v>
      </c>
      <c r="N5276">
        <v>-1.294439E-2</v>
      </c>
      <c r="O5276">
        <v>0.70117489999999905</v>
      </c>
      <c r="P5276">
        <v>0.51533169999999995</v>
      </c>
      <c r="Q5276">
        <v>0.1357516</v>
      </c>
      <c r="R5276">
        <v>0.84617070000000005</v>
      </c>
      <c r="S5276">
        <v>0.90138240000000003</v>
      </c>
      <c r="T5276">
        <v>-0.3256986</v>
      </c>
      <c r="U5276">
        <v>3.0588380000000002</v>
      </c>
      <c r="V5276">
        <v>-0.24442520000000001</v>
      </c>
      <c r="W5276">
        <v>0.1439628</v>
      </c>
      <c r="X5276">
        <v>0.95892180000000005</v>
      </c>
      <c r="Y5276">
        <v>-0.48525570000000001</v>
      </c>
      <c r="Z5276">
        <v>-4.1128640000000001E-2</v>
      </c>
      <c r="AA5276">
        <v>0.87340439999999997</v>
      </c>
      <c r="AB5276">
        <v>25</v>
      </c>
      <c r="AC5276">
        <v>8.8099999999997097E-2</v>
      </c>
      <c r="AD5276">
        <v>-9.25679999999999E-2</v>
      </c>
      <c r="AE5276">
        <v>0.69163999999999903</v>
      </c>
      <c r="AF5276">
        <v>-0.42384232804279798</v>
      </c>
      <c r="AG5276">
        <v>-9.25679999999999E-2</v>
      </c>
      <c r="AH5276">
        <v>0.53832166323806996</v>
      </c>
      <c r="AI5276">
        <v>97.694406252121794</v>
      </c>
      <c r="AJ5276">
        <v>128.21478315457699</v>
      </c>
      <c r="AK5276">
        <v>0.69137642914416797</v>
      </c>
      <c r="AL5276">
        <v>81.722778083322297</v>
      </c>
      <c r="AM5276">
        <v>104.299949400637</v>
      </c>
      <c r="AN5276">
        <v>0.99999999234706005</v>
      </c>
    </row>
    <row r="5277" spans="1:40" x14ac:dyDescent="0.25">
      <c r="A5277" t="str">
        <f>"20190303162704154"</f>
        <v>20190303162704154</v>
      </c>
      <c r="B5277" t="str">
        <f>"1551601624149388"</f>
        <v>1551601624149388</v>
      </c>
      <c r="C5277" t="s">
        <v>40</v>
      </c>
      <c r="D5277">
        <v>5.4576320000000003</v>
      </c>
      <c r="E5277">
        <v>0.39316420000000002</v>
      </c>
      <c r="F5277" t="s">
        <v>42</v>
      </c>
      <c r="G5277">
        <v>-191.47470000000001</v>
      </c>
      <c r="H5277">
        <v>1.0307759999999999</v>
      </c>
      <c r="I5277">
        <v>-53.1372</v>
      </c>
      <c r="J5277">
        <v>-191.53649999999999</v>
      </c>
      <c r="K5277">
        <v>1.1280030000000001</v>
      </c>
      <c r="L5277">
        <v>-53.878570000000003</v>
      </c>
      <c r="M5277">
        <v>0.66716719999999996</v>
      </c>
      <c r="N5277">
        <v>-1.294097E-2</v>
      </c>
      <c r="O5277">
        <v>0.7447956</v>
      </c>
      <c r="P5277">
        <v>0.4626574</v>
      </c>
      <c r="Q5277">
        <v>0.13479959999999999</v>
      </c>
      <c r="R5277">
        <v>0.87622900000000004</v>
      </c>
      <c r="S5277">
        <v>0.71366879999999999</v>
      </c>
      <c r="T5277">
        <v>-0.32787319999999998</v>
      </c>
      <c r="U5277">
        <v>3.1063540000000001</v>
      </c>
      <c r="V5277">
        <v>-0.24253739999999999</v>
      </c>
      <c r="W5277">
        <v>0.1430553</v>
      </c>
      <c r="X5277">
        <v>0.95953670000000002</v>
      </c>
      <c r="Y5277">
        <v>-0.48314509999999999</v>
      </c>
      <c r="Z5277">
        <v>-4.6869809999999998E-2</v>
      </c>
      <c r="AA5277">
        <v>0.87428490000000003</v>
      </c>
      <c r="AB5277">
        <v>25</v>
      </c>
      <c r="AC5277">
        <v>6.17999999999767E-2</v>
      </c>
      <c r="AD5277">
        <v>-9.7227000000000105E-2</v>
      </c>
      <c r="AE5277">
        <v>0.74136999999999598</v>
      </c>
      <c r="AF5277">
        <v>-0.44109292497654701</v>
      </c>
      <c r="AG5277">
        <v>-9.7227000000000105E-2</v>
      </c>
      <c r="AH5277">
        <v>0.58348363702961203</v>
      </c>
      <c r="AI5277">
        <v>97.571599562427906</v>
      </c>
      <c r="AJ5277">
        <v>127.087986809437</v>
      </c>
      <c r="AK5277">
        <v>0.73788157090055395</v>
      </c>
      <c r="AL5277">
        <v>81.775317443599803</v>
      </c>
      <c r="AM5277">
        <v>104.185255980926</v>
      </c>
      <c r="AN5277">
        <v>0.99999994395186798</v>
      </c>
    </row>
    <row r="5278" spans="1:40" x14ac:dyDescent="0.25">
      <c r="A5278" t="str">
        <f>"20190303162704176"</f>
        <v>20190303162704176</v>
      </c>
      <c r="B5278" t="str">
        <f>"1551601624168908"</f>
        <v>1551601624168908</v>
      </c>
      <c r="C5278" t="s">
        <v>40</v>
      </c>
      <c r="D5278">
        <v>5.4264859999999997</v>
      </c>
      <c r="E5278">
        <v>0.39235360000000002</v>
      </c>
      <c r="F5278" t="s">
        <v>42</v>
      </c>
      <c r="G5278">
        <v>-191.33779999999999</v>
      </c>
      <c r="H5278">
        <v>1.030626</v>
      </c>
      <c r="I5278">
        <v>-52.965820000000001</v>
      </c>
      <c r="J5278">
        <v>-191.37799999999999</v>
      </c>
      <c r="K5278">
        <v>1.128001</v>
      </c>
      <c r="L5278">
        <v>-53.684359999999998</v>
      </c>
      <c r="M5278">
        <v>0.65931839999999997</v>
      </c>
      <c r="N5278">
        <v>-1.2940510000000001E-2</v>
      </c>
      <c r="O5278">
        <v>0.75175249999999905</v>
      </c>
      <c r="P5278">
        <v>0.4528932</v>
      </c>
      <c r="Q5278">
        <v>0.13398699999999999</v>
      </c>
      <c r="R5278">
        <v>0.88143930000000004</v>
      </c>
      <c r="S5278">
        <v>0.67820740000000002</v>
      </c>
      <c r="T5278">
        <v>-0.33249699999999999</v>
      </c>
      <c r="U5278">
        <v>3.1168209999999998</v>
      </c>
      <c r="V5278">
        <v>-0.2432021</v>
      </c>
      <c r="W5278">
        <v>0.14223089999999999</v>
      </c>
      <c r="X5278">
        <v>0.95949110000000004</v>
      </c>
      <c r="Y5278">
        <v>-0.48408649999999998</v>
      </c>
      <c r="Z5278">
        <v>-4.846905E-2</v>
      </c>
      <c r="AA5278">
        <v>0.87367669999999997</v>
      </c>
      <c r="AB5278">
        <v>25</v>
      </c>
      <c r="AC5278">
        <v>4.0199999999998598E-2</v>
      </c>
      <c r="AD5278">
        <v>-9.7375000000000003E-2</v>
      </c>
      <c r="AE5278">
        <v>0.71854000000000395</v>
      </c>
      <c r="AF5278">
        <v>-0.43558866263417501</v>
      </c>
      <c r="AG5278">
        <v>-9.7375000000000003E-2</v>
      </c>
      <c r="AH5278">
        <v>0.55652749875651797</v>
      </c>
      <c r="AI5278">
        <v>97.845013460856194</v>
      </c>
      <c r="AJ5278">
        <v>128.04994125999099</v>
      </c>
      <c r="AK5278">
        <v>0.71340187167725899</v>
      </c>
      <c r="AL5278">
        <v>81.823040805075706</v>
      </c>
      <c r="AM5278">
        <v>104.223205302569</v>
      </c>
      <c r="AN5278">
        <v>1.0000000306692101</v>
      </c>
    </row>
    <row r="5279" spans="1:40" x14ac:dyDescent="0.25">
      <c r="A5279" t="str">
        <f>"20190303162704199"</f>
        <v>20190303162704199</v>
      </c>
      <c r="B5279" t="str">
        <f>"1551601624189405"</f>
        <v>1551601624189405</v>
      </c>
      <c r="C5279" t="s">
        <v>40</v>
      </c>
      <c r="D5279">
        <v>5.3635120000000001</v>
      </c>
      <c r="E5279">
        <v>0.39162770000000002</v>
      </c>
      <c r="F5279" t="s">
        <v>42</v>
      </c>
      <c r="G5279">
        <v>-191.19659999999999</v>
      </c>
      <c r="H5279">
        <v>1.032802</v>
      </c>
      <c r="I5279">
        <v>-52.796410000000002</v>
      </c>
      <c r="J5279">
        <v>-191.22309999999999</v>
      </c>
      <c r="K5279">
        <v>1.1279980000000001</v>
      </c>
      <c r="L5279">
        <v>-53.490419999999901</v>
      </c>
      <c r="M5279">
        <v>0.6514723</v>
      </c>
      <c r="N5279">
        <v>-1.294004E-2</v>
      </c>
      <c r="O5279">
        <v>0.75856210000000002</v>
      </c>
      <c r="P5279">
        <v>0.44307390000000002</v>
      </c>
      <c r="Q5279">
        <v>0.13417989999999999</v>
      </c>
      <c r="R5279">
        <v>0.88638660000000002</v>
      </c>
      <c r="S5279">
        <v>0.63851930000000001</v>
      </c>
      <c r="T5279">
        <v>-0.33517909999999901</v>
      </c>
      <c r="U5279">
        <v>3.1263730000000001</v>
      </c>
      <c r="V5279">
        <v>-0.2438765</v>
      </c>
      <c r="W5279">
        <v>0.1424098</v>
      </c>
      <c r="X5279">
        <v>0.95929339999999996</v>
      </c>
      <c r="Y5279">
        <v>-0.48617460000000001</v>
      </c>
      <c r="Z5279">
        <v>-4.9694420000000003E-2</v>
      </c>
      <c r="AA5279">
        <v>0.87244759999999999</v>
      </c>
      <c r="AB5279">
        <v>25</v>
      </c>
      <c r="AC5279">
        <v>2.6499999999998601E-2</v>
      </c>
      <c r="AD5279">
        <v>-9.5196000000000003E-2</v>
      </c>
      <c r="AE5279">
        <v>0.69400999999999802</v>
      </c>
      <c r="AF5279">
        <v>-0.42409479850362802</v>
      </c>
      <c r="AG5279">
        <v>-9.5196000000000003E-2</v>
      </c>
      <c r="AH5279">
        <v>0.53373162874240399</v>
      </c>
      <c r="AI5279">
        <v>97.949568169267096</v>
      </c>
      <c r="AJ5279">
        <v>128.47010414623799</v>
      </c>
      <c r="AK5279">
        <v>0.68832269180512495</v>
      </c>
      <c r="AL5279">
        <v>81.812685442022698</v>
      </c>
      <c r="AM5279">
        <v>104.263858578135</v>
      </c>
      <c r="AN5279">
        <v>1.00000006283592</v>
      </c>
    </row>
    <row r="5280" spans="1:40" x14ac:dyDescent="0.25">
      <c r="A5280" t="str">
        <f>"20190303162704220"</f>
        <v>20190303162704220</v>
      </c>
      <c r="B5280" t="str">
        <f>"1551601624208924"</f>
        <v>1551601624208924</v>
      </c>
      <c r="C5280" t="s">
        <v>40</v>
      </c>
      <c r="D5280">
        <v>5.428693</v>
      </c>
      <c r="E5280">
        <v>0.39106750000000001</v>
      </c>
      <c r="F5280" t="s">
        <v>42</v>
      </c>
      <c r="G5280">
        <v>-191.05770000000001</v>
      </c>
      <c r="H5280">
        <v>1.0347599999999999</v>
      </c>
      <c r="I5280">
        <v>-52.625230000000002</v>
      </c>
      <c r="J5280">
        <v>-191.0753</v>
      </c>
      <c r="K5280">
        <v>1.128007</v>
      </c>
      <c r="L5280">
        <v>-53.30151</v>
      </c>
      <c r="M5280">
        <v>0.64382720000000004</v>
      </c>
      <c r="N5280">
        <v>-1.293951E-2</v>
      </c>
      <c r="O5280">
        <v>0.76506149999999995</v>
      </c>
      <c r="P5280">
        <v>0.43467519999999998</v>
      </c>
      <c r="Q5280">
        <v>0.13525709999999999</v>
      </c>
      <c r="R5280">
        <v>0.89037230000000001</v>
      </c>
      <c r="S5280">
        <v>0.59887699999999999</v>
      </c>
      <c r="T5280">
        <v>-0.33797969999999999</v>
      </c>
      <c r="U5280">
        <v>3.1363530000000002</v>
      </c>
      <c r="V5280">
        <v>-0.2432298</v>
      </c>
      <c r="W5280">
        <v>0.14349890000000001</v>
      </c>
      <c r="X5280">
        <v>0.95929520000000001</v>
      </c>
      <c r="Y5280">
        <v>-0.48856620000000001</v>
      </c>
      <c r="Z5280">
        <v>-5.0888490000000002E-2</v>
      </c>
      <c r="AA5280">
        <v>0.87104159999999997</v>
      </c>
      <c r="AB5280">
        <v>25</v>
      </c>
      <c r="AC5280">
        <v>1.75999999999874E-2</v>
      </c>
      <c r="AD5280">
        <v>-9.3246999999999802E-2</v>
      </c>
      <c r="AE5280">
        <v>0.67627999999999799</v>
      </c>
      <c r="AF5280">
        <v>-0.41411017360108798</v>
      </c>
      <c r="AG5280">
        <v>-9.3246999999999802E-2</v>
      </c>
      <c r="AH5280">
        <v>0.51891278071910396</v>
      </c>
      <c r="AI5280">
        <v>97.995135535597399</v>
      </c>
      <c r="AJ5280">
        <v>128.59106616463799</v>
      </c>
      <c r="AK5280">
        <v>0.67041234541329597</v>
      </c>
      <c r="AL5280">
        <v>81.749636330080307</v>
      </c>
      <c r="AM5280">
        <v>104.227546470465</v>
      </c>
      <c r="AN5280">
        <v>0.99999997532614404</v>
      </c>
    </row>
    <row r="5281" spans="1:40" x14ac:dyDescent="0.25">
      <c r="A5281" t="str">
        <f>"20190303162704243"</f>
        <v>20190303162704243</v>
      </c>
      <c r="B5281" t="str">
        <f>"1551601624239180"</f>
        <v>1551601624239180</v>
      </c>
      <c r="C5281" t="s">
        <v>40</v>
      </c>
      <c r="D5281">
        <v>5.4249289999999997</v>
      </c>
      <c r="E5281">
        <v>0.39096900000000001</v>
      </c>
      <c r="F5281" t="s">
        <v>42</v>
      </c>
      <c r="G5281">
        <v>-190.9229</v>
      </c>
      <c r="H5281">
        <v>1.037242</v>
      </c>
      <c r="I5281">
        <v>-52.451419999999999</v>
      </c>
      <c r="J5281">
        <v>-190.92529999999999</v>
      </c>
      <c r="K5281">
        <v>1.1280110000000001</v>
      </c>
      <c r="L5281">
        <v>-53.105829999999997</v>
      </c>
      <c r="M5281">
        <v>0.63589879999999999</v>
      </c>
      <c r="N5281">
        <v>-1.2938979999999999E-2</v>
      </c>
      <c r="O5281">
        <v>0.77166400000000002</v>
      </c>
      <c r="P5281">
        <v>0.42599399999999998</v>
      </c>
      <c r="Q5281">
        <v>0.1364407</v>
      </c>
      <c r="R5281">
        <v>0.89437860000000002</v>
      </c>
      <c r="S5281">
        <v>0.56413269999999904</v>
      </c>
      <c r="T5281">
        <v>-0.33581040000000001</v>
      </c>
      <c r="U5281">
        <v>3.1450200000000001</v>
      </c>
      <c r="V5281">
        <v>-0.24256720000000001</v>
      </c>
      <c r="W5281">
        <v>0.14469509999999999</v>
      </c>
      <c r="X5281">
        <v>0.95928329999999995</v>
      </c>
      <c r="Y5281">
        <v>-0.48932160000000002</v>
      </c>
      <c r="Z5281">
        <v>-5.1258409999999997E-2</v>
      </c>
      <c r="AA5281">
        <v>0.87059580000000003</v>
      </c>
      <c r="AB5281">
        <v>25</v>
      </c>
      <c r="AC5281">
        <v>2.3999999999944001E-3</v>
      </c>
      <c r="AD5281">
        <v>-9.07690000000001E-2</v>
      </c>
      <c r="AE5281">
        <v>0.65441000000000504</v>
      </c>
      <c r="AF5281">
        <v>-0.40650078469925499</v>
      </c>
      <c r="AG5281">
        <v>-9.07690000000001E-2</v>
      </c>
      <c r="AH5281">
        <v>0.49699185428231701</v>
      </c>
      <c r="AI5281">
        <v>98.046641237821603</v>
      </c>
      <c r="AJ5281">
        <v>129.28050330578401</v>
      </c>
      <c r="AK5281">
        <v>0.64844645310548699</v>
      </c>
      <c r="AL5281">
        <v>81.680376357945093</v>
      </c>
      <c r="AM5281">
        <v>104.19052471480001</v>
      </c>
      <c r="AN5281">
        <v>0.99999998406936896</v>
      </c>
    </row>
    <row r="5282" spans="1:40" x14ac:dyDescent="0.25">
      <c r="A5282" t="str">
        <f>"20190303162704265"</f>
        <v>20190303162704265</v>
      </c>
      <c r="B5282" t="str">
        <f>"1551601624259676"</f>
        <v>1551601624259676</v>
      </c>
      <c r="C5282" t="s">
        <v>40</v>
      </c>
      <c r="D5282">
        <v>5.4289860000000001</v>
      </c>
      <c r="E5282">
        <v>0.3908759</v>
      </c>
      <c r="F5282" t="s">
        <v>42</v>
      </c>
      <c r="G5282">
        <v>-190.7475</v>
      </c>
      <c r="H5282">
        <v>1.0175289999999999</v>
      </c>
      <c r="I5282">
        <v>-52.054769999999998</v>
      </c>
      <c r="J5282">
        <v>-190.76910000000001</v>
      </c>
      <c r="K5282">
        <v>1.128018</v>
      </c>
      <c r="L5282">
        <v>-52.896999999999998</v>
      </c>
      <c r="M5282">
        <v>0.62743899999999997</v>
      </c>
      <c r="N5282">
        <v>-1.293849E-2</v>
      </c>
      <c r="O5282">
        <v>0.77855830000000004</v>
      </c>
      <c r="P5282">
        <v>0.41652020000000001</v>
      </c>
      <c r="Q5282">
        <v>0.13707730000000001</v>
      </c>
      <c r="R5282">
        <v>0.8987328</v>
      </c>
      <c r="S5282">
        <v>0.53312680000000001</v>
      </c>
      <c r="T5282">
        <v>-0.33119559999999998</v>
      </c>
      <c r="U5282">
        <v>3.1508790000000002</v>
      </c>
      <c r="V5282">
        <v>-0.2421818</v>
      </c>
      <c r="W5282">
        <v>0.1453391</v>
      </c>
      <c r="X5282">
        <v>0.95928340000000001</v>
      </c>
      <c r="Y5282">
        <v>-0.4884173</v>
      </c>
      <c r="Z5282">
        <v>-5.130403E-2</v>
      </c>
      <c r="AA5282">
        <v>0.87110069999999995</v>
      </c>
      <c r="AB5282">
        <v>25</v>
      </c>
      <c r="AC5282">
        <v>2.1600000000006499E-2</v>
      </c>
      <c r="AD5282">
        <v>-0.110488999999999</v>
      </c>
      <c r="AE5282">
        <v>0.84223000000000003</v>
      </c>
      <c r="AF5282">
        <v>-0.50302264074646896</v>
      </c>
      <c r="AG5282">
        <v>-0.110488999999999</v>
      </c>
      <c r="AH5282">
        <v>0.65801690506454003</v>
      </c>
      <c r="AI5282">
        <v>97.598317659988496</v>
      </c>
      <c r="AJ5282">
        <v>127.396193250024</v>
      </c>
      <c r="AK5282">
        <v>0.83559909261276</v>
      </c>
      <c r="AL5282">
        <v>81.643084297134195</v>
      </c>
      <c r="AM5282">
        <v>104.168885556822</v>
      </c>
      <c r="AN5282">
        <v>1.0000000598778001</v>
      </c>
    </row>
    <row r="5283" spans="1:40" x14ac:dyDescent="0.25">
      <c r="A5283" t="str">
        <f>"20190303162704289"</f>
        <v>20190303162704289</v>
      </c>
      <c r="B5283" t="str">
        <f>"1551601624279404"</f>
        <v>1551601624279404</v>
      </c>
      <c r="C5283" t="s">
        <v>40</v>
      </c>
      <c r="D5283">
        <v>5.4222570000000001</v>
      </c>
      <c r="E5283">
        <v>0.39096439999999999</v>
      </c>
      <c r="F5283" t="s">
        <v>42</v>
      </c>
      <c r="G5283">
        <v>-190.60849999999999</v>
      </c>
      <c r="H5283">
        <v>1.021334</v>
      </c>
      <c r="I5283">
        <v>-51.882640000000002</v>
      </c>
      <c r="J5283">
        <v>-190.6206</v>
      </c>
      <c r="K5283">
        <v>1.128015</v>
      </c>
      <c r="L5283">
        <v>-52.694090000000003</v>
      </c>
      <c r="M5283">
        <v>0.61921059999999895</v>
      </c>
      <c r="N5283">
        <v>-1.293802E-2</v>
      </c>
      <c r="O5283">
        <v>0.78511839999999999</v>
      </c>
      <c r="P5283">
        <v>0.40734229999999999</v>
      </c>
      <c r="Q5283">
        <v>0.1372332</v>
      </c>
      <c r="R5283">
        <v>0.90290599999999999</v>
      </c>
      <c r="S5283">
        <v>0.4995117</v>
      </c>
      <c r="T5283">
        <v>-0.3320323</v>
      </c>
      <c r="U5283">
        <v>3.1571660000000001</v>
      </c>
      <c r="V5283">
        <v>-0.24184620000000001</v>
      </c>
      <c r="W5283">
        <v>0.145502399999999</v>
      </c>
      <c r="X5283">
        <v>0.95934330000000001</v>
      </c>
      <c r="Y5283">
        <v>-0.48856300000000003</v>
      </c>
      <c r="Z5283">
        <v>-5.2283969999999999E-2</v>
      </c>
      <c r="AA5283">
        <v>0.87096070000000003</v>
      </c>
      <c r="AB5283">
        <v>25</v>
      </c>
      <c r="AC5283">
        <v>1.21000000000037E-2</v>
      </c>
      <c r="AD5283">
        <v>-0.106681</v>
      </c>
      <c r="AE5283">
        <v>0.81145</v>
      </c>
      <c r="AF5283">
        <v>-0.48462523421135401</v>
      </c>
      <c r="AG5283">
        <v>-0.106681</v>
      </c>
      <c r="AH5283">
        <v>0.63368045080030899</v>
      </c>
      <c r="AI5283">
        <v>97.616779673733205</v>
      </c>
      <c r="AJ5283">
        <v>127.407984777526</v>
      </c>
      <c r="AK5283">
        <v>0.80485611578833904</v>
      </c>
      <c r="AL5283">
        <v>81.633627286089094</v>
      </c>
      <c r="AM5283">
        <v>104.149192385093</v>
      </c>
      <c r="AN5283">
        <v>1.0000000500575399</v>
      </c>
    </row>
    <row r="5284" spans="1:40" x14ac:dyDescent="0.25">
      <c r="A5284" t="str">
        <f>"20190303162704312"</f>
        <v>20190303162704312</v>
      </c>
      <c r="B5284" t="str">
        <f>"1551601624298924"</f>
        <v>1551601624298924</v>
      </c>
      <c r="C5284" t="s">
        <v>40</v>
      </c>
      <c r="D5284">
        <v>5.2700440000000004</v>
      </c>
      <c r="E5284">
        <v>0.39090190000000002</v>
      </c>
      <c r="F5284" t="s">
        <v>42</v>
      </c>
      <c r="G5284">
        <v>-190.47460000000001</v>
      </c>
      <c r="H5284">
        <v>1.024464</v>
      </c>
      <c r="I5284">
        <v>-51.707410000000003</v>
      </c>
      <c r="J5284">
        <v>-190.47210000000001</v>
      </c>
      <c r="K5284">
        <v>1.128012</v>
      </c>
      <c r="L5284">
        <v>-52.486600000000003</v>
      </c>
      <c r="M5284">
        <v>0.61079159999999999</v>
      </c>
      <c r="N5284">
        <v>-1.2937540000000001E-2</v>
      </c>
      <c r="O5284">
        <v>0.79168559999999999</v>
      </c>
      <c r="P5284">
        <v>0.39834710000000001</v>
      </c>
      <c r="Q5284">
        <v>0.137300799999999</v>
      </c>
      <c r="R5284">
        <v>0.90690020000000005</v>
      </c>
      <c r="S5284">
        <v>0.46765139999999999</v>
      </c>
      <c r="T5284">
        <v>-0.33184239999999998</v>
      </c>
      <c r="U5284">
        <v>3.1620789999999999</v>
      </c>
      <c r="V5284">
        <v>-0.24113129999999999</v>
      </c>
      <c r="W5284">
        <v>0.14558489999999999</v>
      </c>
      <c r="X5284">
        <v>0.95951070000000005</v>
      </c>
      <c r="Y5284">
        <v>-0.48804259999999999</v>
      </c>
      <c r="Z5284">
        <v>-5.3117709999999999E-2</v>
      </c>
      <c r="AA5284">
        <v>0.87120200000000003</v>
      </c>
      <c r="AB5284">
        <v>25</v>
      </c>
      <c r="AC5284">
        <v>-2.4999999999977202E-3</v>
      </c>
      <c r="AD5284">
        <v>-0.103547999999999</v>
      </c>
      <c r="AE5284">
        <v>0.77919000000000604</v>
      </c>
      <c r="AF5284">
        <v>-0.46964794604717902</v>
      </c>
      <c r="AG5284">
        <v>-0.103547999999999</v>
      </c>
      <c r="AH5284">
        <v>0.60471870558686402</v>
      </c>
      <c r="AI5284">
        <v>97.701841435150499</v>
      </c>
      <c r="AJ5284">
        <v>127.834296291599</v>
      </c>
      <c r="AK5284">
        <v>0.77264228101818699</v>
      </c>
      <c r="AL5284">
        <v>81.628849300213901</v>
      </c>
      <c r="AM5284">
        <v>104.106676730788</v>
      </c>
      <c r="AN5284">
        <v>1.0000000251810901</v>
      </c>
    </row>
    <row r="5285" spans="1:40" x14ac:dyDescent="0.25">
      <c r="A5285" t="str">
        <f>"20190303162704336"</f>
        <v>20190303162704336</v>
      </c>
      <c r="B5285" t="str">
        <f>"1551601624329180"</f>
        <v>1551601624329180</v>
      </c>
      <c r="C5285" t="s">
        <v>40</v>
      </c>
      <c r="D5285">
        <v>5.4528970000000001</v>
      </c>
      <c r="E5285">
        <v>0.39104949999999999</v>
      </c>
      <c r="F5285" t="s">
        <v>42</v>
      </c>
      <c r="G5285">
        <v>-190.3408</v>
      </c>
      <c r="H5285">
        <v>1.0273080000000001</v>
      </c>
      <c r="I5285">
        <v>-51.531579999999998</v>
      </c>
      <c r="J5285">
        <v>-190.32429999999999</v>
      </c>
      <c r="K5285">
        <v>1.1280140000000001</v>
      </c>
      <c r="L5285">
        <v>-52.275599999999997</v>
      </c>
      <c r="M5285">
        <v>0.60222050000000005</v>
      </c>
      <c r="N5285">
        <v>-1.293706E-2</v>
      </c>
      <c r="O5285">
        <v>0.79822499999999996</v>
      </c>
      <c r="P5285">
        <v>0.38941930000000002</v>
      </c>
      <c r="Q5285">
        <v>0.13733679999999901</v>
      </c>
      <c r="R5285">
        <v>0.91076409999999997</v>
      </c>
      <c r="S5285">
        <v>0.4351196</v>
      </c>
      <c r="T5285">
        <v>-0.33398850000000002</v>
      </c>
      <c r="U5285">
        <v>3.1674500000000001</v>
      </c>
      <c r="V5285">
        <v>-0.24020649999999999</v>
      </c>
      <c r="W5285">
        <v>0.14564009999999999</v>
      </c>
      <c r="X5285">
        <v>0.95973430000000004</v>
      </c>
      <c r="Y5285">
        <v>-0.48762620000000001</v>
      </c>
      <c r="Z5285">
        <v>-5.439621E-2</v>
      </c>
      <c r="AA5285">
        <v>0.87135620000000003</v>
      </c>
      <c r="AB5285">
        <v>25</v>
      </c>
      <c r="AC5285">
        <v>-1.6500000000007699E-2</v>
      </c>
      <c r="AD5285">
        <v>-0.100705999999999</v>
      </c>
      <c r="AE5285">
        <v>0.74401999999999802</v>
      </c>
      <c r="AF5285">
        <v>-0.452978605983057</v>
      </c>
      <c r="AG5285">
        <v>-0.100705999999999</v>
      </c>
      <c r="AH5285">
        <v>0.57350573863555998</v>
      </c>
      <c r="AI5285">
        <v>97.845864797805007</v>
      </c>
      <c r="AJ5285">
        <v>128.30314184352201</v>
      </c>
      <c r="AK5285">
        <v>0.73772633690432399</v>
      </c>
      <c r="AL5285">
        <v>81.625652828097103</v>
      </c>
      <c r="AM5285">
        <v>104.051577519776</v>
      </c>
      <c r="AN5285">
        <v>1.0000000639833699</v>
      </c>
    </row>
    <row r="5286" spans="1:40" x14ac:dyDescent="0.25">
      <c r="A5286" t="str">
        <f>"20190303162704357"</f>
        <v>20190303162704357</v>
      </c>
      <c r="B5286" t="str">
        <f>"1551601624349676"</f>
        <v>1551601624349676</v>
      </c>
      <c r="C5286" t="s">
        <v>40</v>
      </c>
      <c r="D5286">
        <v>5.4157729999999997</v>
      </c>
      <c r="E5286">
        <v>0.39129609999999998</v>
      </c>
      <c r="F5286" t="s">
        <v>42</v>
      </c>
      <c r="G5286">
        <v>-190.20679999999999</v>
      </c>
      <c r="H5286">
        <v>1.030378</v>
      </c>
      <c r="I5286">
        <v>-51.355249999999998</v>
      </c>
      <c r="J5286">
        <v>-190.18600000000001</v>
      </c>
      <c r="K5286">
        <v>1.1280030000000001</v>
      </c>
      <c r="L5286">
        <v>-52.073639999999997</v>
      </c>
      <c r="M5286">
        <v>0.59401169999999903</v>
      </c>
      <c r="N5286">
        <v>-1.293658E-2</v>
      </c>
      <c r="O5286">
        <v>0.80435239999999997</v>
      </c>
      <c r="P5286">
        <v>0.38074469999999999</v>
      </c>
      <c r="Q5286">
        <v>0.13771749999999999</v>
      </c>
      <c r="R5286">
        <v>0.91436719999999905</v>
      </c>
      <c r="S5286">
        <v>0.4048157</v>
      </c>
      <c r="T5286">
        <v>-0.33645249999999999</v>
      </c>
      <c r="U5286">
        <v>3.1716000000000002</v>
      </c>
      <c r="V5286">
        <v>-0.23946780000000001</v>
      </c>
      <c r="W5286">
        <v>0.1460359</v>
      </c>
      <c r="X5286">
        <v>0.95985869999999995</v>
      </c>
      <c r="Y5286">
        <v>-0.48702790000000001</v>
      </c>
      <c r="Z5286">
        <v>-5.5720499999999999E-2</v>
      </c>
      <c r="AA5286">
        <v>0.87160720000000003</v>
      </c>
      <c r="AB5286">
        <v>25</v>
      </c>
      <c r="AC5286">
        <v>-2.0800000000008301E-2</v>
      </c>
      <c r="AD5286">
        <v>-9.7625000000000003E-2</v>
      </c>
      <c r="AE5286">
        <v>0.71839000000000597</v>
      </c>
      <c r="AF5286">
        <v>-0.43546461395203201</v>
      </c>
      <c r="AG5286">
        <v>-9.7625000000000003E-2</v>
      </c>
      <c r="AH5286">
        <v>0.55528461648322103</v>
      </c>
      <c r="AI5286">
        <v>97.876512429773499</v>
      </c>
      <c r="AJ5286">
        <v>128.10420795145501</v>
      </c>
      <c r="AK5286">
        <v>0.71239109759479102</v>
      </c>
      <c r="AL5286">
        <v>81.602729689063693</v>
      </c>
      <c r="AM5286">
        <v>104.00832533309</v>
      </c>
      <c r="AN5286">
        <v>1.00000001764566</v>
      </c>
    </row>
    <row r="5287" spans="1:40" x14ac:dyDescent="0.25">
      <c r="A5287" t="str">
        <f>"20190303162704379"</f>
        <v>20190303162704379</v>
      </c>
      <c r="B5287" t="str">
        <f>"1551601624369196"</f>
        <v>1551601624369196</v>
      </c>
      <c r="C5287" t="s">
        <v>40</v>
      </c>
      <c r="D5287">
        <v>5.4123970000000003</v>
      </c>
      <c r="E5287">
        <v>0.39162409999999998</v>
      </c>
      <c r="F5287" t="s">
        <v>42</v>
      </c>
      <c r="G5287">
        <v>-190.07939999999999</v>
      </c>
      <c r="H5287">
        <v>1.033093</v>
      </c>
      <c r="I5287">
        <v>-51.175319999999999</v>
      </c>
      <c r="J5287">
        <v>-190.04759999999999</v>
      </c>
      <c r="K5287">
        <v>1.128001</v>
      </c>
      <c r="L5287">
        <v>-51.866999999999997</v>
      </c>
      <c r="M5287">
        <v>0.58560659999999998</v>
      </c>
      <c r="N5287">
        <v>-1.2936080000000001E-2</v>
      </c>
      <c r="O5287">
        <v>0.8104922</v>
      </c>
      <c r="P5287">
        <v>0.37206919999999999</v>
      </c>
      <c r="Q5287">
        <v>0.1378481</v>
      </c>
      <c r="R5287">
        <v>0.9179119</v>
      </c>
      <c r="S5287">
        <v>0.37661739999999999</v>
      </c>
      <c r="T5287">
        <v>-0.33539210000000003</v>
      </c>
      <c r="U5287">
        <v>3.174652</v>
      </c>
      <c r="V5287">
        <v>-0.2385534</v>
      </c>
      <c r="W5287">
        <v>0.14618589999999901</v>
      </c>
      <c r="X5287">
        <v>0.96006349999999996</v>
      </c>
      <c r="Y5287">
        <v>-0.48568149999999899</v>
      </c>
      <c r="Z5287">
        <v>-5.6390280000000001E-2</v>
      </c>
      <c r="AA5287">
        <v>0.87231510000000001</v>
      </c>
      <c r="AB5287">
        <v>25</v>
      </c>
      <c r="AC5287">
        <v>-3.1800000000003999E-2</v>
      </c>
      <c r="AD5287">
        <v>-9.4908000000000006E-2</v>
      </c>
      <c r="AE5287">
        <v>0.69167999999999796</v>
      </c>
      <c r="AF5287">
        <v>-0.42291635932791199</v>
      </c>
      <c r="AG5287">
        <v>-9.4908000000000006E-2</v>
      </c>
      <c r="AH5287">
        <v>0.53202859892731202</v>
      </c>
      <c r="AI5287">
        <v>97.949615072421494</v>
      </c>
      <c r="AJ5287">
        <v>128.481639034224</v>
      </c>
      <c r="AK5287">
        <v>0.68623626072055799</v>
      </c>
      <c r="AL5287">
        <v>81.594041795684106</v>
      </c>
      <c r="AM5287">
        <v>103.954068871803</v>
      </c>
      <c r="AN5287">
        <v>0.99999998302130899</v>
      </c>
    </row>
    <row r="5288" spans="1:40" x14ac:dyDescent="0.25">
      <c r="A5288" t="str">
        <f>"20190303162704403"</f>
        <v>20190303162704403</v>
      </c>
      <c r="B5288" t="str">
        <f>"1551601624389222"</f>
        <v>1551601624389222</v>
      </c>
      <c r="C5288" t="s">
        <v>40</v>
      </c>
      <c r="D5288">
        <v>5.4226070000000002</v>
      </c>
      <c r="E5288">
        <v>0.39201079999999999</v>
      </c>
      <c r="F5288" t="s">
        <v>42</v>
      </c>
      <c r="G5288">
        <v>-189.95160000000001</v>
      </c>
      <c r="H5288">
        <v>1.035703</v>
      </c>
      <c r="I5288">
        <v>-50.994990000000001</v>
      </c>
      <c r="J5288">
        <v>-189.9024</v>
      </c>
      <c r="K5288">
        <v>1.1279999999999999</v>
      </c>
      <c r="L5288">
        <v>-51.64508</v>
      </c>
      <c r="M5288">
        <v>0.57657219999999998</v>
      </c>
      <c r="N5288">
        <v>-1.293556E-2</v>
      </c>
      <c r="O5288">
        <v>0.8169438</v>
      </c>
      <c r="P5288">
        <v>0.36285400000000001</v>
      </c>
      <c r="Q5288">
        <v>0.1381328</v>
      </c>
      <c r="R5288">
        <v>0.92155100000000001</v>
      </c>
      <c r="S5288">
        <v>0.34962459999999901</v>
      </c>
      <c r="T5288">
        <v>-0.33626279999999997</v>
      </c>
      <c r="U5288">
        <v>3.177063</v>
      </c>
      <c r="V5288">
        <v>-0.23749120000000001</v>
      </c>
      <c r="W5288">
        <v>0.1464925</v>
      </c>
      <c r="X5288">
        <v>0.96028009999999997</v>
      </c>
      <c r="Y5288">
        <v>-0.48338320000000001</v>
      </c>
      <c r="Z5288">
        <v>-5.7543509999999999E-2</v>
      </c>
      <c r="AA5288">
        <v>0.87351559999999995</v>
      </c>
      <c r="AB5288">
        <v>25</v>
      </c>
      <c r="AC5288">
        <v>-4.9200000000013198E-2</v>
      </c>
      <c r="AD5288">
        <v>-9.2296999999999796E-2</v>
      </c>
      <c r="AE5288">
        <v>0.65008999999999795</v>
      </c>
      <c r="AF5288">
        <v>-0.40689702614168499</v>
      </c>
      <c r="AG5288">
        <v>-9.2296999999999796E-2</v>
      </c>
      <c r="AH5288">
        <v>0.49288318940662901</v>
      </c>
      <c r="AI5288">
        <v>98.217179066775003</v>
      </c>
      <c r="AJ5288">
        <v>129.541190757202</v>
      </c>
      <c r="AK5288">
        <v>0.64576912630722605</v>
      </c>
      <c r="AL5288">
        <v>81.576283849127506</v>
      </c>
      <c r="AM5288">
        <v>103.891335849298</v>
      </c>
      <c r="AN5288">
        <v>0.99999999654484995</v>
      </c>
    </row>
    <row r="5289" spans="1:40" x14ac:dyDescent="0.25">
      <c r="A5289" t="str">
        <f>"20190303162704421"</f>
        <v>20190303162704421</v>
      </c>
      <c r="B5289" t="str">
        <f>"1551601624409718"</f>
        <v>1551601624409718</v>
      </c>
      <c r="C5289" t="s">
        <v>40</v>
      </c>
      <c r="D5289">
        <v>5.4010040000000004</v>
      </c>
      <c r="E5289">
        <v>0.39243749999999999</v>
      </c>
      <c r="F5289" t="s">
        <v>42</v>
      </c>
      <c r="G5289">
        <v>-189.79589999999999</v>
      </c>
      <c r="H5289">
        <v>1.0163850000000001</v>
      </c>
      <c r="I5289">
        <v>-50.591200000000001</v>
      </c>
      <c r="J5289">
        <v>-189.78729999999999</v>
      </c>
      <c r="K5289">
        <v>1.1279999999999999</v>
      </c>
      <c r="L5289">
        <v>-51.465299999999999</v>
      </c>
      <c r="M5289">
        <v>0.56925079999999995</v>
      </c>
      <c r="N5289">
        <v>-1.29353E-2</v>
      </c>
      <c r="O5289">
        <v>0.82206219999999997</v>
      </c>
      <c r="P5289">
        <v>0.35435850000000002</v>
      </c>
      <c r="Q5289">
        <v>0.13840329999999901</v>
      </c>
      <c r="R5289">
        <v>0.92481049999999998</v>
      </c>
      <c r="S5289">
        <v>0.32113649999999999</v>
      </c>
      <c r="T5289">
        <v>-0.33672390000000002</v>
      </c>
      <c r="U5289">
        <v>3.1794129999999998</v>
      </c>
      <c r="V5289">
        <v>-0.23773040000000001</v>
      </c>
      <c r="W5289">
        <v>0.14675849999999999</v>
      </c>
      <c r="X5289">
        <v>0.96018029999999999</v>
      </c>
      <c r="Y5289">
        <v>-0.48338049999999999</v>
      </c>
      <c r="Z5289">
        <v>-5.8345029999999999E-2</v>
      </c>
      <c r="AA5289">
        <v>0.87346389999999996</v>
      </c>
      <c r="AB5289">
        <v>25</v>
      </c>
      <c r="AC5289">
        <v>-8.6000000000012698E-3</v>
      </c>
      <c r="AD5289">
        <v>-0.11161499999999901</v>
      </c>
      <c r="AE5289">
        <v>0.87409999999999799</v>
      </c>
      <c r="AF5289">
        <v>-0.49659778799128601</v>
      </c>
      <c r="AG5289">
        <v>-0.11161499999999901</v>
      </c>
      <c r="AH5289">
        <v>0.70227909860170201</v>
      </c>
      <c r="AI5289">
        <v>97.393776634521799</v>
      </c>
      <c r="AJ5289">
        <v>125.26501381148501</v>
      </c>
      <c r="AK5289">
        <v>0.867331080727342</v>
      </c>
      <c r="AL5289">
        <v>81.560876719114304</v>
      </c>
      <c r="AM5289">
        <v>103.90617363395199</v>
      </c>
      <c r="AN5289">
        <v>1.0000000044572499</v>
      </c>
    </row>
    <row r="5290" spans="1:40" x14ac:dyDescent="0.25">
      <c r="A5290" t="str">
        <f>"20190303162704447"</f>
        <v>20190303162704447</v>
      </c>
      <c r="B5290" t="str">
        <f>"1551601624438998"</f>
        <v>1551601624438998</v>
      </c>
      <c r="C5290" t="s">
        <v>40</v>
      </c>
      <c r="D5290">
        <v>5.4238119999999999</v>
      </c>
      <c r="E5290">
        <v>0.39303389999999999</v>
      </c>
      <c r="F5290" t="s">
        <v>42</v>
      </c>
      <c r="G5290">
        <v>-189.70670000000001</v>
      </c>
      <c r="H5290">
        <v>1.03626</v>
      </c>
      <c r="I5290">
        <v>-50.598469999999999</v>
      </c>
      <c r="J5290">
        <v>-189.64109999999999</v>
      </c>
      <c r="K5290">
        <v>1.127999</v>
      </c>
      <c r="L5290">
        <v>-51.231110000000001</v>
      </c>
      <c r="M5290">
        <v>0.55971179999999998</v>
      </c>
      <c r="N5290">
        <v>-1.293482E-2</v>
      </c>
      <c r="O5290">
        <v>0.8285865</v>
      </c>
      <c r="P5290">
        <v>0.34332879999999999</v>
      </c>
      <c r="Q5290">
        <v>0.1385036</v>
      </c>
      <c r="R5290">
        <v>0.92894670000000001</v>
      </c>
      <c r="S5290">
        <v>0.2955933</v>
      </c>
      <c r="T5290">
        <v>-0.33666109999999999</v>
      </c>
      <c r="U5290">
        <v>3.1810299999999998</v>
      </c>
      <c r="V5290">
        <v>-0.2380516</v>
      </c>
      <c r="W5290">
        <v>0.14685290000000001</v>
      </c>
      <c r="X5290">
        <v>0.96008629999999995</v>
      </c>
      <c r="Y5290">
        <v>-0.48026980000000002</v>
      </c>
      <c r="Z5290">
        <v>-5.9363949999999999E-2</v>
      </c>
      <c r="AA5290">
        <v>0.87510959999999904</v>
      </c>
      <c r="AB5290">
        <v>25</v>
      </c>
      <c r="AC5290">
        <v>-6.5600000000017603E-2</v>
      </c>
      <c r="AD5290">
        <v>-9.1739000000000001E-2</v>
      </c>
      <c r="AE5290">
        <v>0.63264000000000198</v>
      </c>
      <c r="AF5290">
        <v>-0.40016048062014897</v>
      </c>
      <c r="AG5290">
        <v>-9.1739000000000001E-2</v>
      </c>
      <c r="AH5290">
        <v>0.47758485790988098</v>
      </c>
      <c r="AI5290">
        <v>98.3758878507102</v>
      </c>
      <c r="AJ5290">
        <v>129.95908666999901</v>
      </c>
      <c r="AK5290">
        <v>0.62978706788560701</v>
      </c>
      <c r="AL5290">
        <v>81.555408894552997</v>
      </c>
      <c r="AM5290">
        <v>103.92554201504601</v>
      </c>
      <c r="AN5290">
        <v>1.0000000209743301</v>
      </c>
    </row>
    <row r="5291" spans="1:40" x14ac:dyDescent="0.25">
      <c r="A5291" t="str">
        <f>"20190303162704469"</f>
        <v>20190303162704469</v>
      </c>
      <c r="B5291" t="str">
        <f>"1551601624459494"</f>
        <v>1551601624459494</v>
      </c>
      <c r="C5291" t="s">
        <v>40</v>
      </c>
      <c r="D5291">
        <v>5.421475</v>
      </c>
      <c r="E5291">
        <v>0.39352409999999999</v>
      </c>
      <c r="F5291" t="s">
        <v>42</v>
      </c>
      <c r="G5291">
        <v>-189.55779999999999</v>
      </c>
      <c r="H5291">
        <v>1.021204</v>
      </c>
      <c r="I5291">
        <v>-50.221550000000001</v>
      </c>
      <c r="J5291">
        <v>-189.5147</v>
      </c>
      <c r="K5291">
        <v>1.1280079999999999</v>
      </c>
      <c r="L5291">
        <v>-51.024050000000003</v>
      </c>
      <c r="M5291">
        <v>0.55126919999999902</v>
      </c>
      <c r="N5291">
        <v>-1.293426E-2</v>
      </c>
      <c r="O5291">
        <v>0.8342271</v>
      </c>
      <c r="P5291">
        <v>0.33373589999999997</v>
      </c>
      <c r="Q5291">
        <v>0.13947590000000001</v>
      </c>
      <c r="R5291">
        <v>0.93229119999999999</v>
      </c>
      <c r="S5291">
        <v>0.26251219999999997</v>
      </c>
      <c r="T5291">
        <v>-0.33668379999999998</v>
      </c>
      <c r="U5291">
        <v>3.1826479999999999</v>
      </c>
      <c r="V5291">
        <v>-0.23813500000000001</v>
      </c>
      <c r="W5291">
        <v>0.14782210000000001</v>
      </c>
      <c r="X5291">
        <v>0.95991680000000001</v>
      </c>
      <c r="Y5291">
        <v>-0.48043829999999998</v>
      </c>
      <c r="Z5291">
        <v>-6.0163370000000001E-2</v>
      </c>
      <c r="AA5291">
        <v>0.87496249999999998</v>
      </c>
      <c r="AB5291">
        <v>25</v>
      </c>
      <c r="AC5291">
        <v>-4.3099999999981202E-2</v>
      </c>
      <c r="AD5291">
        <v>-0.106803999999999</v>
      </c>
      <c r="AE5291">
        <v>0.80250000000000199</v>
      </c>
      <c r="AF5291">
        <v>-0.47008621602571299</v>
      </c>
      <c r="AG5291">
        <v>-0.106803999999999</v>
      </c>
      <c r="AH5291">
        <v>0.63455425563914603</v>
      </c>
      <c r="AI5291">
        <v>97.702220652906405</v>
      </c>
      <c r="AJ5291">
        <v>126.531538745161</v>
      </c>
      <c r="AK5291">
        <v>0.796898518170993</v>
      </c>
      <c r="AL5291">
        <v>81.4992645396688</v>
      </c>
      <c r="AM5291">
        <v>103.932594731541</v>
      </c>
      <c r="AN5291">
        <v>0.99999995719782397</v>
      </c>
    </row>
    <row r="5292" spans="1:40" x14ac:dyDescent="0.25">
      <c r="A5292" t="str">
        <f>"20190303162704490"</f>
        <v>20190303162704490</v>
      </c>
      <c r="B5292" t="str">
        <f>"1551601624479521"</f>
        <v>1551601624479521</v>
      </c>
      <c r="C5292" t="s">
        <v>40</v>
      </c>
      <c r="D5292">
        <v>5.4533670000000001</v>
      </c>
      <c r="E5292">
        <v>0.3940361</v>
      </c>
      <c r="F5292" t="s">
        <v>42</v>
      </c>
      <c r="G5292">
        <v>-189.44229999999999</v>
      </c>
      <c r="H5292">
        <v>1.024721</v>
      </c>
      <c r="I5292">
        <v>-50.034599999999998</v>
      </c>
      <c r="J5292">
        <v>-189.39230000000001</v>
      </c>
      <c r="K5292">
        <v>1.1280049999999999</v>
      </c>
      <c r="L5292">
        <v>-50.81879</v>
      </c>
      <c r="M5292">
        <v>0.54289609999999899</v>
      </c>
      <c r="N5292">
        <v>-1.293358E-2</v>
      </c>
      <c r="O5292">
        <v>0.83970029999999996</v>
      </c>
      <c r="P5292">
        <v>0.32465139999999998</v>
      </c>
      <c r="Q5292">
        <v>0.14000770000000001</v>
      </c>
      <c r="R5292">
        <v>0.93541399999999997</v>
      </c>
      <c r="S5292">
        <v>0.23260500000000001</v>
      </c>
      <c r="T5292">
        <v>-0.33239479999999999</v>
      </c>
      <c r="U5292">
        <v>3.1843569999999999</v>
      </c>
      <c r="V5292">
        <v>-0.23783460000000001</v>
      </c>
      <c r="W5292">
        <v>0.1483592</v>
      </c>
      <c r="X5292">
        <v>0.95990850000000005</v>
      </c>
      <c r="Y5292">
        <v>-0.47988459999999999</v>
      </c>
      <c r="Z5292">
        <v>-6.0024840000000003E-2</v>
      </c>
      <c r="AA5292">
        <v>0.8752759</v>
      </c>
      <c r="AB5292">
        <v>25</v>
      </c>
      <c r="AC5292">
        <v>-4.9999999999982898E-2</v>
      </c>
      <c r="AD5292">
        <v>-0.103283999999999</v>
      </c>
      <c r="AE5292">
        <v>0.78419000000000205</v>
      </c>
      <c r="AF5292">
        <v>-0.45981374361911098</v>
      </c>
      <c r="AG5292">
        <v>-0.103283999999999</v>
      </c>
      <c r="AH5292">
        <v>0.62066943203948899</v>
      </c>
      <c r="AI5292">
        <v>97.615950420673897</v>
      </c>
      <c r="AJ5292">
        <v>126.532348691176</v>
      </c>
      <c r="AK5292">
        <v>0.77931175234641703</v>
      </c>
      <c r="AL5292">
        <v>81.468148577117702</v>
      </c>
      <c r="AM5292">
        <v>103.915818300963</v>
      </c>
      <c r="AN5292">
        <v>1.00000003877702</v>
      </c>
    </row>
    <row r="5293" spans="1:40" x14ac:dyDescent="0.25">
      <c r="A5293" t="str">
        <f>"20190303162704514"</f>
        <v>20190303162704514</v>
      </c>
      <c r="B5293" t="str">
        <f>"1551601624509777"</f>
        <v>1551601624509777</v>
      </c>
      <c r="C5293" t="s">
        <v>40</v>
      </c>
      <c r="D5293">
        <v>5.4153190000000002</v>
      </c>
      <c r="E5293">
        <v>0.39496140000000002</v>
      </c>
      <c r="F5293" t="s">
        <v>42</v>
      </c>
      <c r="G5293">
        <v>-189.3296</v>
      </c>
      <c r="H5293">
        <v>1.027101</v>
      </c>
      <c r="I5293">
        <v>-49.846150000000002</v>
      </c>
      <c r="J5293">
        <v>-189.25890000000001</v>
      </c>
      <c r="K5293">
        <v>1.1279999999999999</v>
      </c>
      <c r="L5293">
        <v>-50.589689999999997</v>
      </c>
      <c r="M5293">
        <v>0.53354429999999997</v>
      </c>
      <c r="N5293">
        <v>-1.293295E-2</v>
      </c>
      <c r="O5293">
        <v>0.84567320000000001</v>
      </c>
      <c r="P5293">
        <v>0.31481789999999998</v>
      </c>
      <c r="Q5293">
        <v>0.14012179999999999</v>
      </c>
      <c r="R5293">
        <v>0.93875209999999998</v>
      </c>
      <c r="S5293">
        <v>0.20545959999999999</v>
      </c>
      <c r="T5293">
        <v>-0.33044859999999998</v>
      </c>
      <c r="U5293">
        <v>3.1852719999999999</v>
      </c>
      <c r="V5293">
        <v>-0.23724590000000001</v>
      </c>
      <c r="W5293">
        <v>0.1484856</v>
      </c>
      <c r="X5293">
        <v>0.96003450000000001</v>
      </c>
      <c r="Y5293">
        <v>-0.47760429999999998</v>
      </c>
      <c r="Z5293">
        <v>-6.0524550000000003E-2</v>
      </c>
      <c r="AA5293">
        <v>0.87648780000000004</v>
      </c>
      <c r="AB5293">
        <v>25</v>
      </c>
      <c r="AC5293">
        <v>-7.0699999999987995E-2</v>
      </c>
      <c r="AD5293">
        <v>-0.100898999999999</v>
      </c>
      <c r="AE5293">
        <v>0.74354000000000298</v>
      </c>
      <c r="AF5293">
        <v>-0.44835644161404498</v>
      </c>
      <c r="AG5293">
        <v>-0.100898999999999</v>
      </c>
      <c r="AH5293">
        <v>0.580525301909814</v>
      </c>
      <c r="AI5293">
        <v>97.832275673255296</v>
      </c>
      <c r="AJ5293">
        <v>127.679944580765</v>
      </c>
      <c r="AK5293">
        <v>0.74041456839752295</v>
      </c>
      <c r="AL5293">
        <v>81.460824220742694</v>
      </c>
      <c r="AM5293">
        <v>103.880955568871</v>
      </c>
      <c r="AN5293">
        <v>0.99999991583220604</v>
      </c>
    </row>
    <row r="5294" spans="1:40" x14ac:dyDescent="0.25">
      <c r="A5294" t="str">
        <f>"20190303162704540"</f>
        <v>20190303162704540</v>
      </c>
      <c r="B5294" t="str">
        <f>"1551601624529297"</f>
        <v>1551601624529297</v>
      </c>
      <c r="C5294" t="s">
        <v>40</v>
      </c>
      <c r="D5294">
        <v>5.4341119999999998</v>
      </c>
      <c r="E5294">
        <v>0.39562999999999998</v>
      </c>
      <c r="F5294" t="s">
        <v>42</v>
      </c>
      <c r="G5294">
        <v>-189.2063</v>
      </c>
      <c r="H5294">
        <v>1.031469</v>
      </c>
      <c r="I5294">
        <v>-49.66104</v>
      </c>
      <c r="J5294">
        <v>-189.12620000000001</v>
      </c>
      <c r="K5294">
        <v>1.1280049999999999</v>
      </c>
      <c r="L5294">
        <v>-50.356110000000001</v>
      </c>
      <c r="M5294">
        <v>0.52400249999999904</v>
      </c>
      <c r="N5294">
        <v>-1.293237E-2</v>
      </c>
      <c r="O5294">
        <v>0.85161849999999994</v>
      </c>
      <c r="P5294">
        <v>0.30485479999999998</v>
      </c>
      <c r="Q5294">
        <v>0.1397177</v>
      </c>
      <c r="R5294">
        <v>0.94209469999999995</v>
      </c>
      <c r="S5294">
        <v>0.17997739999999901</v>
      </c>
      <c r="T5294">
        <v>-0.33104149999999999</v>
      </c>
      <c r="U5294">
        <v>3.1847840000000001</v>
      </c>
      <c r="V5294">
        <v>-0.2366451</v>
      </c>
      <c r="W5294">
        <v>0.14809520000000001</v>
      </c>
      <c r="X5294">
        <v>0.96024319999999996</v>
      </c>
      <c r="Y5294">
        <v>-0.47471479999999999</v>
      </c>
      <c r="Z5294">
        <v>-6.1625729999999997E-2</v>
      </c>
      <c r="AA5294">
        <v>0.87797959999999997</v>
      </c>
      <c r="AB5294">
        <v>25</v>
      </c>
      <c r="AC5294">
        <v>-8.0099999999987403E-2</v>
      </c>
      <c r="AD5294">
        <v>-9.65359999999999E-2</v>
      </c>
      <c r="AE5294">
        <v>0.69507000000000096</v>
      </c>
      <c r="AF5294">
        <v>-0.42439024501575201</v>
      </c>
      <c r="AG5294">
        <v>-9.65359999999999E-2</v>
      </c>
      <c r="AH5294">
        <v>0.53973313984434002</v>
      </c>
      <c r="AI5294">
        <v>98.003332683407706</v>
      </c>
      <c r="AJ5294">
        <v>128.17784393477501</v>
      </c>
      <c r="AK5294">
        <v>0.69335282620521599</v>
      </c>
      <c r="AL5294">
        <v>81.483443695428804</v>
      </c>
      <c r="AM5294">
        <v>103.84426426194</v>
      </c>
      <c r="AN5294">
        <v>1.0000000473816399</v>
      </c>
    </row>
    <row r="5295" spans="1:40" x14ac:dyDescent="0.25">
      <c r="A5295" t="str">
        <f>"20190303162704564"</f>
        <v>20190303162704564</v>
      </c>
      <c r="B5295" t="str">
        <f>"1551601624549792"</f>
        <v>1551601624549792</v>
      </c>
      <c r="C5295" t="s">
        <v>40</v>
      </c>
      <c r="D5295">
        <v>5.4143850000000002</v>
      </c>
      <c r="E5295">
        <v>0.39628819999999998</v>
      </c>
      <c r="F5295" t="s">
        <v>42</v>
      </c>
      <c r="G5295">
        <v>-189.08420000000001</v>
      </c>
      <c r="H5295">
        <v>1.0358069999999999</v>
      </c>
      <c r="I5295">
        <v>-49.473759999999999</v>
      </c>
      <c r="J5295">
        <v>-188.99010000000001</v>
      </c>
      <c r="K5295">
        <v>1.1279969999999999</v>
      </c>
      <c r="L5295">
        <v>-50.109920000000002</v>
      </c>
      <c r="M5295">
        <v>0.51393759999999999</v>
      </c>
      <c r="N5295">
        <v>-1.29315E-2</v>
      </c>
      <c r="O5295">
        <v>0.85773009999999905</v>
      </c>
      <c r="P5295">
        <v>0.29452440000000002</v>
      </c>
      <c r="Q5295">
        <v>0.13923160000000001</v>
      </c>
      <c r="R5295">
        <v>0.94544700000000004</v>
      </c>
      <c r="S5295">
        <v>0.15165709999999999</v>
      </c>
      <c r="T5295">
        <v>-0.3327695</v>
      </c>
      <c r="U5295">
        <v>3.1846619999999999</v>
      </c>
      <c r="V5295">
        <v>-0.23587420000000001</v>
      </c>
      <c r="W5295">
        <v>0.14762639999999999</v>
      </c>
      <c r="X5295">
        <v>0.96050500000000005</v>
      </c>
      <c r="Y5295">
        <v>-0.47214289999999998</v>
      </c>
      <c r="Z5295">
        <v>-6.2992629999999994E-2</v>
      </c>
      <c r="AA5295">
        <v>0.87926849999999901</v>
      </c>
      <c r="AB5295">
        <v>25</v>
      </c>
      <c r="AC5295">
        <v>-9.4099999999997394E-2</v>
      </c>
      <c r="AD5295">
        <v>-9.2189999999999994E-2</v>
      </c>
      <c r="AE5295">
        <v>0.63616000000000295</v>
      </c>
      <c r="AF5295">
        <v>-0.39948321570859702</v>
      </c>
      <c r="AG5295">
        <v>-9.2189999999999994E-2</v>
      </c>
      <c r="AH5295">
        <v>0.48731870137564998</v>
      </c>
      <c r="AI5295">
        <v>98.323474556230494</v>
      </c>
      <c r="AJ5295">
        <v>129.34344757508899</v>
      </c>
      <c r="AK5295">
        <v>0.63684013099311798</v>
      </c>
      <c r="AL5295">
        <v>81.510602276990596</v>
      </c>
      <c r="AM5295">
        <v>103.797273946244</v>
      </c>
      <c r="AN5295">
        <v>1.00000002361379</v>
      </c>
    </row>
    <row r="5296" spans="1:40" x14ac:dyDescent="0.25">
      <c r="A5296" t="str">
        <f>"20190303162704584"</f>
        <v>20190303162704584</v>
      </c>
      <c r="B5296" t="str">
        <f>"1551601624579580"</f>
        <v>1551601624579580</v>
      </c>
      <c r="C5296" t="s">
        <v>40</v>
      </c>
      <c r="D5296">
        <v>5.3678160000000004</v>
      </c>
      <c r="E5296">
        <v>0.39730510000000002</v>
      </c>
      <c r="F5296" t="s">
        <v>42</v>
      </c>
      <c r="G5296">
        <v>-188.95009999999999</v>
      </c>
      <c r="H5296">
        <v>1.0181309999999999</v>
      </c>
      <c r="I5296">
        <v>-49.063800000000001</v>
      </c>
      <c r="J5296">
        <v>-188.88579999999999</v>
      </c>
      <c r="K5296">
        <v>1.1279939999999999</v>
      </c>
      <c r="L5296">
        <v>-49.916409999999999</v>
      </c>
      <c r="M5296">
        <v>0.50602179999999997</v>
      </c>
      <c r="N5296">
        <v>-1.2930850000000001E-2</v>
      </c>
      <c r="O5296">
        <v>0.86242379999999996</v>
      </c>
      <c r="P5296">
        <v>0.28672229999999999</v>
      </c>
      <c r="Q5296">
        <v>0.13849059999999999</v>
      </c>
      <c r="R5296">
        <v>0.94795079999999998</v>
      </c>
      <c r="S5296">
        <v>0.1218109</v>
      </c>
      <c r="T5296">
        <v>-0.33442739999999999</v>
      </c>
      <c r="U5296">
        <v>3.1843870000000001</v>
      </c>
      <c r="V5296">
        <v>-0.23499049999999999</v>
      </c>
      <c r="W5296">
        <v>0.14690429999999999</v>
      </c>
      <c r="X5296">
        <v>0.96083220000000003</v>
      </c>
      <c r="Y5296">
        <v>-0.47225479999999997</v>
      </c>
      <c r="Z5296">
        <v>-6.4061489999999999E-2</v>
      </c>
      <c r="AA5296">
        <v>0.87913109999999905</v>
      </c>
      <c r="AB5296">
        <v>25</v>
      </c>
      <c r="AC5296">
        <v>-6.4300000000002897E-2</v>
      </c>
      <c r="AD5296">
        <v>-0.109863</v>
      </c>
      <c r="AE5296">
        <v>0.85260999999999798</v>
      </c>
      <c r="AF5296">
        <v>-0.47902522909721001</v>
      </c>
      <c r="AG5296">
        <v>-0.109863</v>
      </c>
      <c r="AH5296">
        <v>0.69141759538010805</v>
      </c>
      <c r="AI5296">
        <v>97.441356988577894</v>
      </c>
      <c r="AJ5296">
        <v>124.714839749025</v>
      </c>
      <c r="AK5296">
        <v>0.84828847692388598</v>
      </c>
      <c r="AL5296">
        <v>81.5524311038413</v>
      </c>
      <c r="AM5296">
        <v>103.743043291147</v>
      </c>
      <c r="AN5296">
        <v>0.999999962502789</v>
      </c>
    </row>
    <row r="5297" spans="1:40" x14ac:dyDescent="0.25">
      <c r="A5297" t="str">
        <f>"20190303162704605"</f>
        <v>20190303162704605</v>
      </c>
      <c r="B5297" t="str">
        <f>"1551601624599101"</f>
        <v>1551601624599101</v>
      </c>
      <c r="C5297" t="s">
        <v>40</v>
      </c>
      <c r="D5297">
        <v>5.3432300000000001</v>
      </c>
      <c r="E5297">
        <v>0.3979625</v>
      </c>
      <c r="F5297" t="s">
        <v>42</v>
      </c>
      <c r="G5297">
        <v>-188.85169999999999</v>
      </c>
      <c r="H5297">
        <v>1.017093</v>
      </c>
      <c r="I5297">
        <v>-48.868850000000002</v>
      </c>
      <c r="J5297">
        <v>-188.7722</v>
      </c>
      <c r="K5297">
        <v>1.12799</v>
      </c>
      <c r="L5297">
        <v>-49.700380000000003</v>
      </c>
      <c r="M5297">
        <v>0.4971795</v>
      </c>
      <c r="N5297">
        <v>-1.2930270000000001E-2</v>
      </c>
      <c r="O5297">
        <v>0.86755130000000003</v>
      </c>
      <c r="P5297">
        <v>0.27798499999999998</v>
      </c>
      <c r="Q5297">
        <v>0.13826279999999999</v>
      </c>
      <c r="R5297">
        <v>0.95058290000000001</v>
      </c>
      <c r="S5297">
        <v>0.10350040000000001</v>
      </c>
      <c r="T5297">
        <v>-0.33693129999999999</v>
      </c>
      <c r="U5297">
        <v>3.1826479999999999</v>
      </c>
      <c r="V5297">
        <v>-0.23402310000000001</v>
      </c>
      <c r="W5297">
        <v>0.1466963</v>
      </c>
      <c r="X5297">
        <v>0.96110010000000001</v>
      </c>
      <c r="Y5297">
        <v>-0.46828229999999998</v>
      </c>
      <c r="Z5297">
        <v>-6.5564780000000003E-2</v>
      </c>
      <c r="AA5297">
        <v>0.88114300000000001</v>
      </c>
      <c r="AB5297">
        <v>25</v>
      </c>
      <c r="AC5297">
        <v>-7.9499999999995893E-2</v>
      </c>
      <c r="AD5297">
        <v>-0.110897</v>
      </c>
      <c r="AE5297">
        <v>0.831529999999993</v>
      </c>
      <c r="AF5297">
        <v>-0.47407472862743</v>
      </c>
      <c r="AG5297">
        <v>-0.110897</v>
      </c>
      <c r="AH5297">
        <v>0.67011534111020599</v>
      </c>
      <c r="AI5297">
        <v>97.694048257437004</v>
      </c>
      <c r="AJ5297">
        <v>125.27759046788501</v>
      </c>
      <c r="AK5297">
        <v>0.82831127200070098</v>
      </c>
      <c r="AL5297">
        <v>81.564479548255306</v>
      </c>
      <c r="AM5297">
        <v>103.684926909319</v>
      </c>
      <c r="AN5297">
        <v>1.00000000899365</v>
      </c>
    </row>
    <row r="5298" spans="1:40" x14ac:dyDescent="0.25">
      <c r="A5298" t="str">
        <f>"20190303162704628"</f>
        <v>20190303162704628</v>
      </c>
      <c r="B5298" t="str">
        <f>"1551601624619597"</f>
        <v>1551601624619597</v>
      </c>
      <c r="C5298" t="s">
        <v>40</v>
      </c>
      <c r="D5298">
        <v>5.3454730000000001</v>
      </c>
      <c r="E5298">
        <v>0.39863090000000001</v>
      </c>
      <c r="F5298" t="s">
        <v>42</v>
      </c>
      <c r="G5298">
        <v>-188.74680000000001</v>
      </c>
      <c r="H5298">
        <v>1.0193700000000001</v>
      </c>
      <c r="I5298">
        <v>-48.675579999999997</v>
      </c>
      <c r="J5298">
        <v>-188.65960000000001</v>
      </c>
      <c r="K5298">
        <v>1.12798</v>
      </c>
      <c r="L5298">
        <v>-49.480960000000003</v>
      </c>
      <c r="M5298">
        <v>0.48818909999999999</v>
      </c>
      <c r="N5298">
        <v>-1.2929950000000001E-2</v>
      </c>
      <c r="O5298">
        <v>0.87264209999999998</v>
      </c>
      <c r="P5298">
        <v>0.269065</v>
      </c>
      <c r="Q5298">
        <v>0.13795940000000001</v>
      </c>
      <c r="R5298">
        <v>0.95318999999999998</v>
      </c>
      <c r="S5298">
        <v>7.9086299999999998E-2</v>
      </c>
      <c r="T5298">
        <v>-0.337256099999999</v>
      </c>
      <c r="U5298">
        <v>3.1818849999999999</v>
      </c>
      <c r="V5298">
        <v>-0.23311370000000001</v>
      </c>
      <c r="W5298">
        <v>0.1464114</v>
      </c>
      <c r="X5298">
        <v>0.96136449999999996</v>
      </c>
      <c r="Y5298">
        <v>-0.46590890000000001</v>
      </c>
      <c r="Z5298">
        <v>-6.6492040000000002E-2</v>
      </c>
      <c r="AA5298">
        <v>0.88233079999999997</v>
      </c>
      <c r="AB5298">
        <v>25</v>
      </c>
      <c r="AC5298">
        <v>-8.7199999999995698E-2</v>
      </c>
      <c r="AD5298">
        <v>-0.108609999999999</v>
      </c>
      <c r="AE5298">
        <v>0.80537999999999899</v>
      </c>
      <c r="AF5298">
        <v>-0.46102430188457699</v>
      </c>
      <c r="AG5298">
        <v>-0.108609999999999</v>
      </c>
      <c r="AH5298">
        <v>0.64863419593998395</v>
      </c>
      <c r="AI5298">
        <v>97.771825117497201</v>
      </c>
      <c r="AJ5298">
        <v>125.403754441384</v>
      </c>
      <c r="AK5298">
        <v>0.80315992129268399</v>
      </c>
      <c r="AL5298">
        <v>81.580981201284501</v>
      </c>
      <c r="AM5298">
        <v>103.630126773393</v>
      </c>
      <c r="AN5298">
        <v>0.99999999851894905</v>
      </c>
    </row>
    <row r="5299" spans="1:40" x14ac:dyDescent="0.25">
      <c r="A5299" t="str">
        <f>"20190303162704649"</f>
        <v>20190303162704649</v>
      </c>
      <c r="B5299" t="str">
        <f>"1551601624639116"</f>
        <v>1551601624639116</v>
      </c>
      <c r="C5299" t="s">
        <v>40</v>
      </c>
      <c r="D5299">
        <v>5.3235010000000003</v>
      </c>
      <c r="E5299">
        <v>0.39935520000000002</v>
      </c>
      <c r="F5299" t="s">
        <v>42</v>
      </c>
      <c r="G5299">
        <v>-188.64250000000001</v>
      </c>
      <c r="H5299">
        <v>1.021725</v>
      </c>
      <c r="I5299">
        <v>-48.4816</v>
      </c>
      <c r="J5299">
        <v>-188.5532</v>
      </c>
      <c r="K5299">
        <v>1.1279870000000001</v>
      </c>
      <c r="L5299">
        <v>-49.268250000000002</v>
      </c>
      <c r="M5299">
        <v>0.47946040000000001</v>
      </c>
      <c r="N5299">
        <v>-1.2929980000000001E-2</v>
      </c>
      <c r="O5299">
        <v>0.87746829999999998</v>
      </c>
      <c r="P5299">
        <v>0.26111020000000001</v>
      </c>
      <c r="Q5299">
        <v>0.137297</v>
      </c>
      <c r="R5299">
        <v>0.95549519999999999</v>
      </c>
      <c r="S5299">
        <v>5.4000850000000003E-2</v>
      </c>
      <c r="T5299">
        <v>-0.33820430000000001</v>
      </c>
      <c r="U5299">
        <v>3.1810299999999998</v>
      </c>
      <c r="V5299">
        <v>-0.23157069999999999</v>
      </c>
      <c r="W5299">
        <v>0.1457793</v>
      </c>
      <c r="X5299">
        <v>0.96183339999999995</v>
      </c>
      <c r="Y5299">
        <v>-0.4640378</v>
      </c>
      <c r="Z5299">
        <v>-6.7513719999999999E-2</v>
      </c>
      <c r="AA5299">
        <v>0.88323890000000005</v>
      </c>
      <c r="AB5299">
        <v>25</v>
      </c>
      <c r="AC5299">
        <v>-8.9300000000008595E-2</v>
      </c>
      <c r="AD5299">
        <v>-0.106262</v>
      </c>
      <c r="AE5299">
        <v>0.78665000000000096</v>
      </c>
      <c r="AF5299">
        <v>-0.44750180488596197</v>
      </c>
      <c r="AG5299">
        <v>-0.106262</v>
      </c>
      <c r="AH5299">
        <v>0.63604051664722505</v>
      </c>
      <c r="AI5299">
        <v>97.780574598941996</v>
      </c>
      <c r="AJ5299">
        <v>125.12923665393301</v>
      </c>
      <c r="AK5299">
        <v>0.78491847782878899</v>
      </c>
      <c r="AL5299">
        <v>81.617591026850505</v>
      </c>
      <c r="AM5299">
        <v>103.536881969148</v>
      </c>
      <c r="AN5299">
        <v>1.00000004138126</v>
      </c>
    </row>
    <row r="5300" spans="1:40" x14ac:dyDescent="0.25">
      <c r="A5300" t="str">
        <f>"20190303162704672"</f>
        <v>20190303162704672</v>
      </c>
      <c r="B5300" t="str">
        <f>"1551601624659612"</f>
        <v>1551601624659612</v>
      </c>
      <c r="C5300" t="s">
        <v>40</v>
      </c>
      <c r="D5300">
        <v>5.3253069999999996</v>
      </c>
      <c r="E5300">
        <v>0.3997289</v>
      </c>
      <c r="F5300" t="s">
        <v>42</v>
      </c>
      <c r="G5300">
        <v>-188.54300000000001</v>
      </c>
      <c r="H5300">
        <v>1.022996</v>
      </c>
      <c r="I5300">
        <v>-48.285710000000002</v>
      </c>
      <c r="J5300">
        <v>-188.44200000000001</v>
      </c>
      <c r="K5300">
        <v>1.12799</v>
      </c>
      <c r="L5300">
        <v>-49.04016</v>
      </c>
      <c r="M5300">
        <v>0.47008139999999998</v>
      </c>
      <c r="N5300">
        <v>-1.293075E-2</v>
      </c>
      <c r="O5300">
        <v>0.88252839999999999</v>
      </c>
      <c r="P5300">
        <v>0.25285570000000002</v>
      </c>
      <c r="Q5300">
        <v>0.13650190000000001</v>
      </c>
      <c r="R5300">
        <v>0.95782630000000002</v>
      </c>
      <c r="S5300">
        <v>3.2882689999999999E-2</v>
      </c>
      <c r="T5300">
        <v>-0.33976109999999998</v>
      </c>
      <c r="U5300">
        <v>3.1795650000000002</v>
      </c>
      <c r="V5300">
        <v>-0.2296578</v>
      </c>
      <c r="W5300">
        <v>0.1450207</v>
      </c>
      <c r="X5300">
        <v>0.96240650000000005</v>
      </c>
      <c r="Y5300">
        <v>-0.46046029999999999</v>
      </c>
      <c r="Z5300">
        <v>-6.8789589999999998E-2</v>
      </c>
      <c r="AA5300">
        <v>0.88501090000000004</v>
      </c>
      <c r="AB5300">
        <v>25</v>
      </c>
      <c r="AC5300">
        <v>-0.10099999999999899</v>
      </c>
      <c r="AD5300">
        <v>-0.104994</v>
      </c>
      <c r="AE5300">
        <v>0.75445000000000495</v>
      </c>
      <c r="AF5300">
        <v>-0.43553868794799899</v>
      </c>
      <c r="AG5300">
        <v>-0.104994</v>
      </c>
      <c r="AH5300">
        <v>0.60685089145649995</v>
      </c>
      <c r="AI5300">
        <v>98.001084822039601</v>
      </c>
      <c r="AJ5300">
        <v>125.667116011304</v>
      </c>
      <c r="AK5300">
        <v>0.75431140333221403</v>
      </c>
      <c r="AL5300">
        <v>81.661522033504994</v>
      </c>
      <c r="AM5300">
        <v>103.421418957082</v>
      </c>
      <c r="AN5300">
        <v>0.99999998988578997</v>
      </c>
    </row>
    <row r="5301" spans="1:40" x14ac:dyDescent="0.25">
      <c r="A5301" t="str">
        <f>"20190303162704693"</f>
        <v>20190303162704693</v>
      </c>
      <c r="B5301" t="str">
        <f>"1551601624679639"</f>
        <v>1551601624679639</v>
      </c>
      <c r="C5301" t="s">
        <v>40</v>
      </c>
      <c r="D5301">
        <v>5.3490820000000001</v>
      </c>
      <c r="E5301">
        <v>0.427616</v>
      </c>
      <c r="F5301" t="s">
        <v>42</v>
      </c>
      <c r="G5301">
        <v>-188.43969999999999</v>
      </c>
      <c r="H5301">
        <v>1.0260279999999999</v>
      </c>
      <c r="I5301">
        <v>-48.090429999999998</v>
      </c>
      <c r="J5301">
        <v>-188.34</v>
      </c>
      <c r="K5301">
        <v>1.128004</v>
      </c>
      <c r="L5301">
        <v>-48.825290000000003</v>
      </c>
      <c r="M5301">
        <v>0.46121400000000001</v>
      </c>
      <c r="N5301">
        <v>-1.293267E-2</v>
      </c>
      <c r="O5301">
        <v>0.8871947</v>
      </c>
      <c r="P5301">
        <v>0.24502370000000001</v>
      </c>
      <c r="Q5301">
        <v>0.13610149999999999</v>
      </c>
      <c r="R5301">
        <v>0.95991649999999995</v>
      </c>
      <c r="S5301">
        <v>7.385254E-3</v>
      </c>
      <c r="T5301">
        <v>-0.34125889999999998</v>
      </c>
      <c r="U5301">
        <v>3.1787719999999999</v>
      </c>
      <c r="V5301">
        <v>-0.2278963</v>
      </c>
      <c r="W5301">
        <v>0.1446498</v>
      </c>
      <c r="X5301">
        <v>0.96288099999999999</v>
      </c>
      <c r="Y5301">
        <v>-0.45866499999999999</v>
      </c>
      <c r="Z5301">
        <v>-6.9923410000000005E-2</v>
      </c>
      <c r="AA5301">
        <v>0.88585389999999997</v>
      </c>
      <c r="AB5301">
        <v>25</v>
      </c>
      <c r="AC5301">
        <v>-9.9699999999984301E-2</v>
      </c>
      <c r="AD5301">
        <v>-0.101975999999999</v>
      </c>
      <c r="AE5301">
        <v>0.73486000000000395</v>
      </c>
      <c r="AF5301">
        <v>-0.41948478753766599</v>
      </c>
      <c r="AG5301">
        <v>-0.101975999999999</v>
      </c>
      <c r="AH5301">
        <v>0.59478482688948997</v>
      </c>
      <c r="AI5301">
        <v>97.975771742775507</v>
      </c>
      <c r="AJ5301">
        <v>125.194226470072</v>
      </c>
      <c r="AK5301">
        <v>0.734939168808876</v>
      </c>
      <c r="AL5301">
        <v>81.683000040020602</v>
      </c>
      <c r="AM5301">
        <v>103.315827882902</v>
      </c>
      <c r="AN5301">
        <v>1.0000000541773599</v>
      </c>
    </row>
    <row r="5302" spans="1:40" x14ac:dyDescent="0.25">
      <c r="A5302" t="str">
        <f>"20190303162704716"</f>
        <v>20190303162704716</v>
      </c>
      <c r="B5302" t="str">
        <f>"1551601624709895"</f>
        <v>1551601624709895</v>
      </c>
      <c r="C5302" t="s">
        <v>40</v>
      </c>
      <c r="D5302">
        <v>5.310308</v>
      </c>
      <c r="E5302">
        <v>0.42961539999999998</v>
      </c>
      <c r="F5302" t="s">
        <v>41</v>
      </c>
      <c r="G5302">
        <v>-187.68610000000001</v>
      </c>
      <c r="H5302" s="1">
        <v>-1.286053E-6</v>
      </c>
      <c r="I5302">
        <v>-38.38194</v>
      </c>
      <c r="J5302">
        <v>-188.2312</v>
      </c>
      <c r="K5302">
        <v>1.1280429999999999</v>
      </c>
      <c r="L5302">
        <v>-48.589970000000001</v>
      </c>
      <c r="M5302">
        <v>0.4514513</v>
      </c>
      <c r="N5302">
        <v>-1.29368E-2</v>
      </c>
      <c r="O5302">
        <v>0.89220200000000005</v>
      </c>
      <c r="P5302">
        <v>0.23600769999999999</v>
      </c>
      <c r="Q5302">
        <v>0.13677420000000001</v>
      </c>
      <c r="R5302">
        <v>0.96207750000000003</v>
      </c>
      <c r="S5302">
        <v>0.1955414</v>
      </c>
      <c r="T5302">
        <v>-0.33734239999999999</v>
      </c>
      <c r="U5302">
        <v>3.1231990000000001</v>
      </c>
      <c r="V5302">
        <v>-0.22633980000000001</v>
      </c>
      <c r="W5302">
        <v>0.1453401</v>
      </c>
      <c r="X5302">
        <v>0.96314409999999895</v>
      </c>
      <c r="Y5302">
        <v>-0.39460109999999998</v>
      </c>
      <c r="Z5302">
        <v>-7.3033959999999995E-2</v>
      </c>
      <c r="AA5302">
        <v>0.91594540000000002</v>
      </c>
      <c r="AB5302">
        <v>25</v>
      </c>
      <c r="AC5302">
        <v>0.54509999999999004</v>
      </c>
      <c r="AD5302">
        <v>-1.128044286053</v>
      </c>
      <c r="AE5302">
        <v>10.208030000000001</v>
      </c>
      <c r="AF5302">
        <v>-4.07283998819661</v>
      </c>
      <c r="AG5302">
        <v>-1.128044286053</v>
      </c>
      <c r="AH5302">
        <v>9.2419563901984603</v>
      </c>
      <c r="AI5302">
        <v>96.373069149857102</v>
      </c>
      <c r="AJ5302">
        <v>113.782619348021</v>
      </c>
      <c r="AK5302">
        <v>10.162394766937499</v>
      </c>
      <c r="AL5302">
        <v>81.643025912342594</v>
      </c>
      <c r="AM5302">
        <v>103.224603987357</v>
      </c>
      <c r="AN5302">
        <v>1.00000000354842</v>
      </c>
    </row>
    <row r="5303" spans="1:40" x14ac:dyDescent="0.25">
      <c r="A5303" t="str">
        <f>"20190303162704740"</f>
        <v>20190303162704740</v>
      </c>
      <c r="B5303" t="str">
        <f>"1551601624729415"</f>
        <v>1551601624729415</v>
      </c>
      <c r="C5303" t="s">
        <v>40</v>
      </c>
      <c r="D5303">
        <v>5.265123</v>
      </c>
      <c r="E5303">
        <v>0.42980699999999999</v>
      </c>
      <c r="F5303" t="s">
        <v>41</v>
      </c>
      <c r="G5303">
        <v>-187.58799999999999</v>
      </c>
      <c r="H5303" s="1">
        <v>-1.6655589999999999E-6</v>
      </c>
      <c r="I5303">
        <v>-37.482059999999997</v>
      </c>
      <c r="J5303">
        <v>-188.1259</v>
      </c>
      <c r="K5303">
        <v>1.128096</v>
      </c>
      <c r="L5303">
        <v>-48.3551</v>
      </c>
      <c r="M5303">
        <v>0.44163540000000001</v>
      </c>
      <c r="N5303">
        <v>-1.294357E-2</v>
      </c>
      <c r="O5303">
        <v>0.89710129999999999</v>
      </c>
      <c r="P5303">
        <v>0.2273096</v>
      </c>
      <c r="Q5303">
        <v>0.1377864</v>
      </c>
      <c r="R5303">
        <v>0.96402560000000004</v>
      </c>
      <c r="S5303">
        <v>0.18060300000000001</v>
      </c>
      <c r="T5303">
        <v>-0.31674059999999998</v>
      </c>
      <c r="U5303">
        <v>3.1189580000000001</v>
      </c>
      <c r="V5303">
        <v>-0.22443840000000001</v>
      </c>
      <c r="W5303">
        <v>0.1463708</v>
      </c>
      <c r="X5303">
        <v>0.96343290000000004</v>
      </c>
      <c r="Y5303">
        <v>-0.38882620000000001</v>
      </c>
      <c r="Z5303">
        <v>-6.8791019999999994E-2</v>
      </c>
      <c r="AA5303">
        <v>0.91873939999999998</v>
      </c>
      <c r="AB5303">
        <v>25</v>
      </c>
      <c r="AC5303">
        <v>0.53790000000000704</v>
      </c>
      <c r="AD5303">
        <v>-1.12809766555899</v>
      </c>
      <c r="AE5303">
        <v>10.87304</v>
      </c>
      <c r="AF5303">
        <v>-4.2738370801897103</v>
      </c>
      <c r="AG5303">
        <v>-1.12809766555899</v>
      </c>
      <c r="AH5303">
        <v>9.8864483144595301</v>
      </c>
      <c r="AI5303">
        <v>95.979235293429198</v>
      </c>
      <c r="AJ5303">
        <v>113.37846440096899</v>
      </c>
      <c r="AK5303">
        <v>10.8295959299285</v>
      </c>
      <c r="AL5303">
        <v>81.583332583580997</v>
      </c>
      <c r="AM5303">
        <v>103.113569477409</v>
      </c>
      <c r="AN5303">
        <v>0.99999997964480403</v>
      </c>
    </row>
    <row r="5304" spans="1:40" x14ac:dyDescent="0.25">
      <c r="A5304" t="str">
        <f>"20190303162704763"</f>
        <v>20190303162704763</v>
      </c>
      <c r="B5304" t="str">
        <f>"1551601624749912"</f>
        <v>1551601624749912</v>
      </c>
      <c r="C5304" t="s">
        <v>40</v>
      </c>
      <c r="D5304">
        <v>5.352849</v>
      </c>
      <c r="E5304">
        <v>0.430344</v>
      </c>
      <c r="F5304" t="s">
        <v>41</v>
      </c>
      <c r="G5304">
        <v>-187.57679999999999</v>
      </c>
      <c r="H5304" s="1">
        <v>-1.805632E-6</v>
      </c>
      <c r="I5304">
        <v>-37.160220000000002</v>
      </c>
      <c r="J5304">
        <v>-188.02670000000001</v>
      </c>
      <c r="K5304">
        <v>1.128166</v>
      </c>
      <c r="L5304">
        <v>-48.127229999999997</v>
      </c>
      <c r="M5304">
        <v>0.43202089999999999</v>
      </c>
      <c r="N5304">
        <v>-1.295293E-2</v>
      </c>
      <c r="O5304">
        <v>0.90177059999999998</v>
      </c>
      <c r="P5304">
        <v>0.2191757</v>
      </c>
      <c r="Q5304">
        <v>0.1383926</v>
      </c>
      <c r="R5304">
        <v>0.96582060000000003</v>
      </c>
      <c r="S5304">
        <v>0.1530762</v>
      </c>
      <c r="T5304">
        <v>-0.3144788</v>
      </c>
      <c r="U5304">
        <v>3.1207889999999998</v>
      </c>
      <c r="V5304">
        <v>-0.22225139999999999</v>
      </c>
      <c r="W5304">
        <v>0.14699670000000001</v>
      </c>
      <c r="X5304">
        <v>0.96384449999999999</v>
      </c>
      <c r="Y5304">
        <v>-0.38709660000000001</v>
      </c>
      <c r="Z5304">
        <v>-6.8869230000000003E-2</v>
      </c>
      <c r="AA5304">
        <v>0.91946360000000005</v>
      </c>
      <c r="AB5304">
        <v>25</v>
      </c>
      <c r="AC5304">
        <v>0.44990000000001301</v>
      </c>
      <c r="AD5304">
        <v>-1.1281678056319999</v>
      </c>
      <c r="AE5304">
        <v>10.967009999999901</v>
      </c>
      <c r="AF5304">
        <v>-4.2873415460314099</v>
      </c>
      <c r="AG5304">
        <v>-1.1281678056319999</v>
      </c>
      <c r="AH5304">
        <v>9.97951263241319</v>
      </c>
      <c r="AI5304">
        <v>95.929968007058804</v>
      </c>
      <c r="AJ5304">
        <v>113.249052723936</v>
      </c>
      <c r="AK5304">
        <v>10.9199236494806</v>
      </c>
      <c r="AL5304">
        <v>81.547078910598898</v>
      </c>
      <c r="AM5304">
        <v>102.984781620514</v>
      </c>
      <c r="AN5304">
        <v>0.99999996739654895</v>
      </c>
    </row>
    <row r="5305" spans="1:40" x14ac:dyDescent="0.25">
      <c r="A5305" t="str">
        <f>"20190303162704794"</f>
        <v>20190303162704794</v>
      </c>
      <c r="B5305" t="str">
        <f>"1551601624789458"</f>
        <v>1551601624789458</v>
      </c>
      <c r="C5305" t="s">
        <v>40</v>
      </c>
      <c r="D5305">
        <v>5.2877359999999998</v>
      </c>
      <c r="E5305">
        <v>0.431425</v>
      </c>
      <c r="F5305" t="s">
        <v>41</v>
      </c>
      <c r="G5305">
        <v>-187.5548</v>
      </c>
      <c r="H5305" s="1">
        <v>-1.982588E-6</v>
      </c>
      <c r="I5305">
        <v>-36.756819999999998</v>
      </c>
      <c r="J5305">
        <v>-187.88980000000001</v>
      </c>
      <c r="K5305">
        <v>1.12829</v>
      </c>
      <c r="L5305">
        <v>-47.799840000000003</v>
      </c>
      <c r="M5305">
        <v>0.41800609999999999</v>
      </c>
      <c r="N5305">
        <v>-1.297214E-2</v>
      </c>
      <c r="O5305">
        <v>0.90835160000000004</v>
      </c>
      <c r="P5305">
        <v>0.2080794</v>
      </c>
      <c r="Q5305">
        <v>0.1385595</v>
      </c>
      <c r="R5305">
        <v>0.968248</v>
      </c>
      <c r="S5305">
        <v>0.12953190000000001</v>
      </c>
      <c r="T5305">
        <v>-0.30967689999999998</v>
      </c>
      <c r="U5305">
        <v>3.121124</v>
      </c>
      <c r="V5305">
        <v>-0.21841169999999999</v>
      </c>
      <c r="W5305">
        <v>0.1472019</v>
      </c>
      <c r="X5305">
        <v>0.96469059999999995</v>
      </c>
      <c r="Y5305">
        <v>-0.37975209999999998</v>
      </c>
      <c r="Z5305">
        <v>-6.8703020000000004E-2</v>
      </c>
      <c r="AA5305">
        <v>0.92253359999999995</v>
      </c>
      <c r="AB5305">
        <v>25</v>
      </c>
      <c r="AC5305">
        <v>0.33500000000000801</v>
      </c>
      <c r="AD5305">
        <v>-1.128291982588</v>
      </c>
      <c r="AE5305">
        <v>11.04302</v>
      </c>
      <c r="AF5305">
        <v>-4.2676053219567596</v>
      </c>
      <c r="AG5305">
        <v>-1.128291982588</v>
      </c>
      <c r="AH5305">
        <v>10.066839631116601</v>
      </c>
      <c r="AI5305">
        <v>95.891530966503197</v>
      </c>
      <c r="AJ5305">
        <v>112.973400121368</v>
      </c>
      <c r="AK5305">
        <v>10.9921225493799</v>
      </c>
      <c r="AL5305">
        <v>81.535192892209395</v>
      </c>
      <c r="AM5305">
        <v>102.757034242987</v>
      </c>
      <c r="AN5305">
        <v>1.0000000118944199</v>
      </c>
    </row>
    <row r="5306" spans="1:40" x14ac:dyDescent="0.25">
      <c r="A5306" t="str">
        <f>"20190303162704819"</f>
        <v>20190303162704819</v>
      </c>
      <c r="B5306" t="str">
        <f>"1551601624809954"</f>
        <v>1551601624809954</v>
      </c>
      <c r="C5306" t="s">
        <v>40</v>
      </c>
      <c r="D5306">
        <v>5.2703100000000003</v>
      </c>
      <c r="E5306">
        <v>0.43253039999999998</v>
      </c>
      <c r="F5306" t="s">
        <v>41</v>
      </c>
      <c r="G5306">
        <v>-187.51849999999999</v>
      </c>
      <c r="H5306" s="1">
        <v>-2.119876E-6</v>
      </c>
      <c r="I5306">
        <v>-36.451810000000002</v>
      </c>
      <c r="J5306">
        <v>-187.7878</v>
      </c>
      <c r="K5306">
        <v>1.1283810000000001</v>
      </c>
      <c r="L5306">
        <v>-47.546480000000003</v>
      </c>
      <c r="M5306">
        <v>0.40701730000000003</v>
      </c>
      <c r="N5306">
        <v>-1.2988329999999999E-2</v>
      </c>
      <c r="O5306">
        <v>0.91332809999999998</v>
      </c>
      <c r="P5306">
        <v>0.1988559</v>
      </c>
      <c r="Q5306">
        <v>0.1377217</v>
      </c>
      <c r="R5306">
        <v>0.97030360000000004</v>
      </c>
      <c r="S5306">
        <v>0.1021271</v>
      </c>
      <c r="T5306">
        <v>-0.31029139999999999</v>
      </c>
      <c r="U5306">
        <v>3.120819</v>
      </c>
      <c r="V5306">
        <v>-0.2160137</v>
      </c>
      <c r="W5306">
        <v>0.14638590000000001</v>
      </c>
      <c r="X5306">
        <v>0.96535439999999995</v>
      </c>
      <c r="Y5306">
        <v>-0.37668299999999999</v>
      </c>
      <c r="Z5306">
        <v>-6.9629250000000004E-2</v>
      </c>
      <c r="AA5306">
        <v>0.92372169999999998</v>
      </c>
      <c r="AB5306">
        <v>25</v>
      </c>
      <c r="AC5306">
        <v>0.26930000000001503</v>
      </c>
      <c r="AD5306">
        <v>-1.1283831198759999</v>
      </c>
      <c r="AE5306">
        <v>11.094669999999899</v>
      </c>
      <c r="AF5306">
        <v>-4.2264315191987798</v>
      </c>
      <c r="AG5306">
        <v>-1.1283831198759999</v>
      </c>
      <c r="AH5306">
        <v>10.138735376999101</v>
      </c>
      <c r="AI5306">
        <v>95.865199889691894</v>
      </c>
      <c r="AJ5306">
        <v>112.629294614351</v>
      </c>
      <c r="AK5306">
        <v>11.042188501221601</v>
      </c>
      <c r="AL5306">
        <v>81.582457609432893</v>
      </c>
      <c r="AM5306">
        <v>102.613081326765</v>
      </c>
      <c r="AN5306">
        <v>0.99999993395292697</v>
      </c>
    </row>
    <row r="5307" spans="1:40" x14ac:dyDescent="0.25">
      <c r="A5307" t="str">
        <f>"20190303162704842"</f>
        <v>20190303162704842</v>
      </c>
      <c r="B5307" t="str">
        <f>"1551601624829474"</f>
        <v>1551601624829474</v>
      </c>
      <c r="C5307" t="s">
        <v>40</v>
      </c>
      <c r="D5307">
        <v>5.2453560000000001</v>
      </c>
      <c r="E5307">
        <v>0.43331819999999999</v>
      </c>
      <c r="F5307" t="s">
        <v>41</v>
      </c>
      <c r="G5307">
        <v>-187.49039999999999</v>
      </c>
      <c r="H5307" s="1">
        <v>-2.2987679999999999E-6</v>
      </c>
      <c r="I5307">
        <v>-36.046419999999998</v>
      </c>
      <c r="J5307">
        <v>-187.69810000000001</v>
      </c>
      <c r="K5307">
        <v>1.1284590000000001</v>
      </c>
      <c r="L5307">
        <v>-47.315460000000002</v>
      </c>
      <c r="M5307">
        <v>0.39686290000000002</v>
      </c>
      <c r="N5307">
        <v>-1.3004E-2</v>
      </c>
      <c r="O5307">
        <v>0.91778579999999998</v>
      </c>
      <c r="P5307">
        <v>0.19083849999999999</v>
      </c>
      <c r="Q5307">
        <v>0.13681989999999999</v>
      </c>
      <c r="R5307">
        <v>0.9720396</v>
      </c>
      <c r="S5307">
        <v>8.0673220000000004E-2</v>
      </c>
      <c r="T5307">
        <v>-0.30601050000000002</v>
      </c>
      <c r="U5307">
        <v>3.118744</v>
      </c>
      <c r="V5307">
        <v>-0.21333540000000001</v>
      </c>
      <c r="W5307">
        <v>0.1455137</v>
      </c>
      <c r="X5307">
        <v>0.96608170000000004</v>
      </c>
      <c r="Y5307">
        <v>-0.37274590000000002</v>
      </c>
      <c r="Z5307">
        <v>-6.9247399999999903E-2</v>
      </c>
      <c r="AA5307">
        <v>0.925346</v>
      </c>
      <c r="AB5307">
        <v>25</v>
      </c>
      <c r="AC5307">
        <v>0.20770000000001601</v>
      </c>
      <c r="AD5307">
        <v>-1.1284612987680001</v>
      </c>
      <c r="AE5307">
        <v>11.269039999999899</v>
      </c>
      <c r="AF5307">
        <v>-4.2395039081835</v>
      </c>
      <c r="AG5307">
        <v>-1.1284612987680001</v>
      </c>
      <c r="AH5307">
        <v>10.3224003269543</v>
      </c>
      <c r="AI5307">
        <v>95.774395830214303</v>
      </c>
      <c r="AJ5307">
        <v>112.328402903956</v>
      </c>
      <c r="AK5307">
        <v>11.2160049393813</v>
      </c>
      <c r="AL5307">
        <v>81.632972797853995</v>
      </c>
      <c r="AM5307">
        <v>102.45252063628</v>
      </c>
      <c r="AN5307">
        <v>1.0000000404278599</v>
      </c>
    </row>
    <row r="5308" spans="1:40" x14ac:dyDescent="0.25">
      <c r="A5308" t="str">
        <f>"20190303162704861"</f>
        <v>20190303162704861</v>
      </c>
      <c r="B5308" t="str">
        <f>"1551601624848994"</f>
        <v>1551601624848994</v>
      </c>
      <c r="C5308" t="s">
        <v>40</v>
      </c>
      <c r="D5308">
        <v>5.3544999999999998</v>
      </c>
      <c r="E5308">
        <v>0.4339732</v>
      </c>
      <c r="F5308" t="s">
        <v>41</v>
      </c>
      <c r="G5308">
        <v>-187.48099999999999</v>
      </c>
      <c r="H5308" s="1">
        <v>-2.3386489999999998E-6</v>
      </c>
      <c r="I5308">
        <v>-35.957329999999999</v>
      </c>
      <c r="J5308">
        <v>-187.62260000000001</v>
      </c>
      <c r="K5308">
        <v>1.1285240000000001</v>
      </c>
      <c r="L5308">
        <v>-47.114260000000002</v>
      </c>
      <c r="M5308">
        <v>0.3878933</v>
      </c>
      <c r="N5308">
        <v>-1.302001E-2</v>
      </c>
      <c r="O5308">
        <v>0.92161230000000005</v>
      </c>
      <c r="P5308">
        <v>0.18351049999999999</v>
      </c>
      <c r="Q5308">
        <v>0.1356358</v>
      </c>
      <c r="R5308">
        <v>0.97361529999999996</v>
      </c>
      <c r="S5308">
        <v>5.960083E-2</v>
      </c>
      <c r="T5308">
        <v>-0.3098012</v>
      </c>
      <c r="U5308">
        <v>3.1181950000000001</v>
      </c>
      <c r="V5308">
        <v>-0.21125769999999999</v>
      </c>
      <c r="W5308">
        <v>0.1443507</v>
      </c>
      <c r="X5308">
        <v>0.96671249999999997</v>
      </c>
      <c r="Y5308">
        <v>-0.36994300000000002</v>
      </c>
      <c r="Z5308">
        <v>-7.0857589999999998E-2</v>
      </c>
      <c r="AA5308">
        <v>0.92634839999999996</v>
      </c>
      <c r="AB5308">
        <v>25</v>
      </c>
      <c r="AC5308">
        <v>0.14160000000001099</v>
      </c>
      <c r="AD5308">
        <v>-1.1285263386489901</v>
      </c>
      <c r="AE5308">
        <v>11.1569299999999</v>
      </c>
      <c r="AF5308">
        <v>-4.1550489544602502</v>
      </c>
      <c r="AG5308">
        <v>-1.1285263386489901</v>
      </c>
      <c r="AH5308">
        <v>10.2334803893391</v>
      </c>
      <c r="AI5308">
        <v>95.834051096212093</v>
      </c>
      <c r="AJ5308">
        <v>112.098382519724</v>
      </c>
      <c r="AK5308">
        <v>11.1023476972204</v>
      </c>
      <c r="AL5308">
        <v>81.700318512135297</v>
      </c>
      <c r="AM5308">
        <v>102.327171399582</v>
      </c>
      <c r="AN5308">
        <v>0.99999999902801495</v>
      </c>
    </row>
    <row r="5309" spans="1:40" x14ac:dyDescent="0.25">
      <c r="A5309" t="str">
        <f>"20190303162704885"</f>
        <v>20190303162704885</v>
      </c>
      <c r="B5309" t="str">
        <f>"1551601624879757"</f>
        <v>1551601624879757</v>
      </c>
      <c r="C5309" t="s">
        <v>40</v>
      </c>
      <c r="D5309">
        <v>5.2747789999999997</v>
      </c>
      <c r="E5309">
        <v>0.43515480000000001</v>
      </c>
      <c r="F5309" t="s">
        <v>41</v>
      </c>
      <c r="G5309">
        <v>-187.4811</v>
      </c>
      <c r="H5309" s="1">
        <v>-2.3298729999999998E-6</v>
      </c>
      <c r="I5309">
        <v>-35.97775</v>
      </c>
      <c r="J5309">
        <v>-187.53319999999999</v>
      </c>
      <c r="K5309">
        <v>1.1286290000000001</v>
      </c>
      <c r="L5309">
        <v>-46.867489999999997</v>
      </c>
      <c r="M5309">
        <v>0.37672879999999997</v>
      </c>
      <c r="N5309">
        <v>-1.3043320000000001E-2</v>
      </c>
      <c r="O5309">
        <v>0.92623180000000005</v>
      </c>
      <c r="P5309">
        <v>0.17265059999999999</v>
      </c>
      <c r="Q5309">
        <v>0.13439219999999999</v>
      </c>
      <c r="R5309">
        <v>0.97577170000000002</v>
      </c>
      <c r="S5309">
        <v>3.9611819999999999E-2</v>
      </c>
      <c r="T5309">
        <v>-0.31595040000000002</v>
      </c>
      <c r="U5309">
        <v>3.1178590000000002</v>
      </c>
      <c r="V5309">
        <v>-0.210427</v>
      </c>
      <c r="W5309">
        <v>0.143095</v>
      </c>
      <c r="X5309">
        <v>0.9670803</v>
      </c>
      <c r="Y5309">
        <v>-0.36464990000000003</v>
      </c>
      <c r="Z5309">
        <v>-7.327612E-2</v>
      </c>
      <c r="AA5309">
        <v>0.928257</v>
      </c>
      <c r="AB5309">
        <v>25</v>
      </c>
      <c r="AC5309">
        <v>5.2099999999995802E-2</v>
      </c>
      <c r="AD5309">
        <v>-1.128631329873</v>
      </c>
      <c r="AE5309">
        <v>10.88974</v>
      </c>
      <c r="AF5309">
        <v>-4.0114780612577796</v>
      </c>
      <c r="AG5309">
        <v>-1.128631329873</v>
      </c>
      <c r="AH5309">
        <v>9.9995022533503093</v>
      </c>
      <c r="AI5309">
        <v>95.980138442299904</v>
      </c>
      <c r="AJ5309">
        <v>111.859066015526</v>
      </c>
      <c r="AK5309">
        <v>10.8330886744954</v>
      </c>
      <c r="AL5309">
        <v>81.773019653288699</v>
      </c>
      <c r="AM5309">
        <v>102.27564382410399</v>
      </c>
      <c r="AN5309">
        <v>1.0000000040010399</v>
      </c>
    </row>
    <row r="5310" spans="1:40" x14ac:dyDescent="0.25">
      <c r="A5310" t="str">
        <f>"20190303162704908"</f>
        <v>20190303162704908</v>
      </c>
      <c r="B5310" t="str">
        <f>"1551601624899276"</f>
        <v>1551601624899276</v>
      </c>
      <c r="C5310" t="s">
        <v>40</v>
      </c>
      <c r="D5310">
        <v>5.2851900000000001</v>
      </c>
      <c r="E5310">
        <v>0.43582789999999999</v>
      </c>
      <c r="F5310" t="s">
        <v>41</v>
      </c>
      <c r="G5310">
        <v>-187.4888</v>
      </c>
      <c r="H5310" s="1">
        <v>-2.358104E-6</v>
      </c>
      <c r="I5310">
        <v>-35.908740000000002</v>
      </c>
      <c r="J5310">
        <v>-187.45050000000001</v>
      </c>
      <c r="K5310">
        <v>1.128738</v>
      </c>
      <c r="L5310">
        <v>-46.6297</v>
      </c>
      <c r="M5310">
        <v>0.36580620000000003</v>
      </c>
      <c r="N5310">
        <v>-1.3068359999999999E-2</v>
      </c>
      <c r="O5310">
        <v>0.93059930000000002</v>
      </c>
      <c r="P5310">
        <v>0.1627845</v>
      </c>
      <c r="Q5310">
        <v>0.13324079999999999</v>
      </c>
      <c r="R5310">
        <v>0.97762369999999998</v>
      </c>
      <c r="S5310">
        <v>1.261902E-2</v>
      </c>
      <c r="T5310">
        <v>-0.320961</v>
      </c>
      <c r="U5310">
        <v>3.1164550000000002</v>
      </c>
      <c r="V5310">
        <v>-0.20889050000000001</v>
      </c>
      <c r="W5310">
        <v>0.14194809999999999</v>
      </c>
      <c r="X5310">
        <v>0.96758230000000001</v>
      </c>
      <c r="Y5310">
        <v>-0.36172789999999999</v>
      </c>
      <c r="Z5310">
        <v>-7.5348709999999999E-2</v>
      </c>
      <c r="AA5310">
        <v>0.9292338</v>
      </c>
      <c r="AB5310">
        <v>25</v>
      </c>
      <c r="AC5310">
        <v>-3.8299999999992403E-2</v>
      </c>
      <c r="AD5310">
        <v>-1.1287403581039901</v>
      </c>
      <c r="AE5310">
        <v>10.7209599999999</v>
      </c>
      <c r="AF5310">
        <v>-3.9143846268691198</v>
      </c>
      <c r="AG5310">
        <v>-1.1287403581039901</v>
      </c>
      <c r="AH5310">
        <v>9.8545260016884395</v>
      </c>
      <c r="AI5310">
        <v>96.076244885357895</v>
      </c>
      <c r="AJ5310">
        <v>111.663814078141</v>
      </c>
      <c r="AK5310">
        <v>10.6634021081939</v>
      </c>
      <c r="AL5310">
        <v>81.839409932027195</v>
      </c>
      <c r="AM5310">
        <v>102.182563791657</v>
      </c>
      <c r="AN5310">
        <v>1.0000000056785701</v>
      </c>
    </row>
    <row r="5311" spans="1:40" x14ac:dyDescent="0.25">
      <c r="A5311" t="str">
        <f>"20190303162704929"</f>
        <v>20190303162704929</v>
      </c>
      <c r="B5311" t="str">
        <f>"1551601624919772"</f>
        <v>1551601624919772</v>
      </c>
      <c r="C5311" t="s">
        <v>40</v>
      </c>
      <c r="D5311">
        <v>5.2569679999999996</v>
      </c>
      <c r="E5311">
        <v>0.4361931</v>
      </c>
      <c r="F5311" t="s">
        <v>41</v>
      </c>
      <c r="G5311">
        <v>-187.50530000000001</v>
      </c>
      <c r="H5311" s="1">
        <v>-2.4198399999999999E-6</v>
      </c>
      <c r="I5311">
        <v>-35.758020000000002</v>
      </c>
      <c r="J5311">
        <v>-187.37370000000001</v>
      </c>
      <c r="K5311">
        <v>1.1288320000000001</v>
      </c>
      <c r="L5311">
        <v>-46.400089999999999</v>
      </c>
      <c r="M5311">
        <v>0.35512569999999999</v>
      </c>
      <c r="N5311">
        <v>-1.3092039999999999E-2</v>
      </c>
      <c r="O5311">
        <v>0.93472690000000003</v>
      </c>
      <c r="P5311">
        <v>0.15367049999999999</v>
      </c>
      <c r="Q5311">
        <v>0.13221379999999999</v>
      </c>
      <c r="R5311">
        <v>0.97923689999999997</v>
      </c>
      <c r="S5311">
        <v>-1.570129E-2</v>
      </c>
      <c r="T5311">
        <v>-0.32344869999999998</v>
      </c>
      <c r="U5311">
        <v>3.1153559999999998</v>
      </c>
      <c r="V5311">
        <v>-0.2068845</v>
      </c>
      <c r="W5311">
        <v>0.14094079999999901</v>
      </c>
      <c r="X5311">
        <v>0.96816040000000003</v>
      </c>
      <c r="Y5311">
        <v>-0.3594985</v>
      </c>
      <c r="Z5311">
        <v>-7.668962E-2</v>
      </c>
      <c r="AA5311">
        <v>0.92998899999999995</v>
      </c>
      <c r="AB5311">
        <v>25</v>
      </c>
      <c r="AC5311">
        <v>-0.131599999999991</v>
      </c>
      <c r="AD5311">
        <v>-1.12883441984</v>
      </c>
      <c r="AE5311">
        <v>10.64207</v>
      </c>
      <c r="AF5311">
        <v>-3.85920205112058</v>
      </c>
      <c r="AG5311">
        <v>-1.12883441984</v>
      </c>
      <c r="AH5311">
        <v>9.7913924966222705</v>
      </c>
      <c r="AI5311">
        <v>96.122020918405099</v>
      </c>
      <c r="AJ5311">
        <v>111.51149796214401</v>
      </c>
      <c r="AK5311">
        <v>10.5848511865637</v>
      </c>
      <c r="AL5311">
        <v>81.897710332831096</v>
      </c>
      <c r="AM5311">
        <v>102.06202367778999</v>
      </c>
      <c r="AN5311">
        <v>1.0000000327865199</v>
      </c>
    </row>
    <row r="5312" spans="1:40" x14ac:dyDescent="0.25">
      <c r="A5312" t="str">
        <f>"20190303162704952"</f>
        <v>20190303162704952</v>
      </c>
      <c r="B5312" t="str">
        <f>"1551601624949052"</f>
        <v>1551601624949052</v>
      </c>
      <c r="C5312" t="s">
        <v>40</v>
      </c>
      <c r="D5312">
        <v>5.3995980000000001</v>
      </c>
      <c r="E5312">
        <v>0.45412360000000002</v>
      </c>
      <c r="F5312" t="s">
        <v>41</v>
      </c>
      <c r="G5312">
        <v>-187.52449999999999</v>
      </c>
      <c r="H5312" s="1">
        <v>-2.4662260000000001E-6</v>
      </c>
      <c r="I5312">
        <v>-35.641950000000001</v>
      </c>
      <c r="J5312">
        <v>-187.2936</v>
      </c>
      <c r="K5312">
        <v>1.128933</v>
      </c>
      <c r="L5312">
        <v>-46.150239999999997</v>
      </c>
      <c r="M5312">
        <v>0.34335329999999997</v>
      </c>
      <c r="N5312">
        <v>-1.311649E-2</v>
      </c>
      <c r="O5312">
        <v>0.93911469999999997</v>
      </c>
      <c r="P5312">
        <v>0.1435091</v>
      </c>
      <c r="Q5312">
        <v>0.13161320000000001</v>
      </c>
      <c r="R5312">
        <v>0.98085829999999996</v>
      </c>
      <c r="S5312">
        <v>-4.3655399999999997E-2</v>
      </c>
      <c r="T5312">
        <v>-0.32680949999999998</v>
      </c>
      <c r="U5312">
        <v>3.1145939999999999</v>
      </c>
      <c r="V5312">
        <v>-0.2048046</v>
      </c>
      <c r="W5312">
        <v>0.14036199999999999</v>
      </c>
      <c r="X5312">
        <v>0.96868650000000001</v>
      </c>
      <c r="Y5312">
        <v>-0.35611989999999999</v>
      </c>
      <c r="Z5312">
        <v>-7.8335399999999999E-2</v>
      </c>
      <c r="AA5312">
        <v>0.93115099999999995</v>
      </c>
      <c r="AB5312">
        <v>25</v>
      </c>
      <c r="AC5312">
        <v>-0.230899999999991</v>
      </c>
      <c r="AD5312">
        <v>-1.1289354662260001</v>
      </c>
      <c r="AE5312">
        <v>10.508290000000001</v>
      </c>
      <c r="AF5312">
        <v>-3.7816013098720198</v>
      </c>
      <c r="AG5312">
        <v>-1.1289354662260001</v>
      </c>
      <c r="AH5312">
        <v>9.6783993692882202</v>
      </c>
      <c r="AI5312">
        <v>96.200635643350793</v>
      </c>
      <c r="AJ5312">
        <v>111.341874944426</v>
      </c>
      <c r="AK5312">
        <v>10.452101133512199</v>
      </c>
      <c r="AL5312">
        <v>81.931205637466903</v>
      </c>
      <c r="AM5312">
        <v>101.937957834765</v>
      </c>
      <c r="AN5312">
        <v>0.99999997525370399</v>
      </c>
    </row>
    <row r="5313" spans="1:40" x14ac:dyDescent="0.25">
      <c r="A5313" t="str">
        <f>"20190303162704975"</f>
        <v>20190303162704975</v>
      </c>
      <c r="B5313" t="str">
        <f>"1551601624969548"</f>
        <v>1551601624969548</v>
      </c>
      <c r="C5313" t="s">
        <v>40</v>
      </c>
      <c r="D5313">
        <v>5.454885</v>
      </c>
      <c r="E5313">
        <v>0.45276830000000001</v>
      </c>
      <c r="F5313" t="s">
        <v>41</v>
      </c>
      <c r="G5313">
        <v>-187.08080000000001</v>
      </c>
      <c r="H5313" s="1">
        <v>-2.4160700000000001E-6</v>
      </c>
      <c r="I5313">
        <v>-35.942340000000002</v>
      </c>
      <c r="J5313">
        <v>-187.2218</v>
      </c>
      <c r="K5313">
        <v>1.1290260000000001</v>
      </c>
      <c r="L5313">
        <v>-45.91583</v>
      </c>
      <c r="M5313">
        <v>0.332157599999999</v>
      </c>
      <c r="N5313">
        <v>-1.3139909999999999E-2</v>
      </c>
      <c r="O5313">
        <v>0.94313230000000003</v>
      </c>
      <c r="P5313">
        <v>0.13373019999999999</v>
      </c>
      <c r="Q5313">
        <v>0.1318985</v>
      </c>
      <c r="R5313">
        <v>0.98220110000000005</v>
      </c>
      <c r="S5313">
        <v>6.4529420000000004E-2</v>
      </c>
      <c r="T5313">
        <v>-0.34229270000000001</v>
      </c>
      <c r="U5313">
        <v>3.0950319999999998</v>
      </c>
      <c r="V5313">
        <v>-0.2029533</v>
      </c>
      <c r="W5313">
        <v>0.1406656</v>
      </c>
      <c r="X5313">
        <v>0.969032</v>
      </c>
      <c r="Y5313">
        <v>-0.31222070000000002</v>
      </c>
      <c r="Z5313">
        <v>-8.4810090000000005E-2</v>
      </c>
      <c r="AA5313">
        <v>0.94621639999999996</v>
      </c>
      <c r="AB5313">
        <v>25</v>
      </c>
      <c r="AC5313">
        <v>0.14099999999999099</v>
      </c>
      <c r="AD5313">
        <v>-1.1290284160699999</v>
      </c>
      <c r="AE5313">
        <v>9.9734899999999893</v>
      </c>
      <c r="AF5313">
        <v>-3.13983495662066</v>
      </c>
      <c r="AG5313">
        <v>-1.1290284160699999</v>
      </c>
      <c r="AH5313">
        <v>9.3343763575436007</v>
      </c>
      <c r="AI5313">
        <v>96.539944731206106</v>
      </c>
      <c r="AJ5313">
        <v>108.591565011396</v>
      </c>
      <c r="AK5313">
        <v>9.9128124517404093</v>
      </c>
      <c r="AL5313">
        <v>81.913636000691497</v>
      </c>
      <c r="AM5313">
        <v>101.829002071559</v>
      </c>
      <c r="AN5313">
        <v>0.99999993501412199</v>
      </c>
    </row>
    <row r="5314" spans="1:40" x14ac:dyDescent="0.25">
      <c r="A5314" t="str">
        <f>"20190303162705007"</f>
        <v>20190303162705007</v>
      </c>
      <c r="B5314" t="str">
        <f>"1551601624999335"</f>
        <v>1551601624999335</v>
      </c>
      <c r="C5314" t="s">
        <v>40</v>
      </c>
      <c r="D5314">
        <v>5.5058420000000003</v>
      </c>
      <c r="E5314">
        <v>0.45418829999999999</v>
      </c>
      <c r="F5314" t="s">
        <v>41</v>
      </c>
      <c r="G5314">
        <v>-187.11670000000001</v>
      </c>
      <c r="H5314" s="1">
        <v>-4.2243210000000003E-6</v>
      </c>
      <c r="I5314">
        <v>-31.712409999999998</v>
      </c>
      <c r="J5314">
        <v>-187.12639999999999</v>
      </c>
      <c r="K5314">
        <v>1.1291679999999999</v>
      </c>
      <c r="L5314">
        <v>-45.587310000000002</v>
      </c>
      <c r="M5314">
        <v>0.31621559999999999</v>
      </c>
      <c r="N5314">
        <v>-1.317582E-2</v>
      </c>
      <c r="O5314">
        <v>0.94859590000000005</v>
      </c>
      <c r="P5314">
        <v>0.1210355</v>
      </c>
      <c r="Q5314">
        <v>0.1339148</v>
      </c>
      <c r="R5314">
        <v>0.9835737</v>
      </c>
      <c r="S5314">
        <v>2.2811890000000001E-2</v>
      </c>
      <c r="T5314">
        <v>-0.24516299999999999</v>
      </c>
      <c r="U5314">
        <v>3.0841980000000002</v>
      </c>
      <c r="V5314">
        <v>-0.1991272</v>
      </c>
      <c r="W5314">
        <v>0.14273729999999901</v>
      </c>
      <c r="X5314">
        <v>0.96952280000000002</v>
      </c>
      <c r="Y5314">
        <v>-0.30901319999999999</v>
      </c>
      <c r="Z5314">
        <v>-5.8083570000000001E-2</v>
      </c>
      <c r="AA5314">
        <v>0.94928250000000003</v>
      </c>
      <c r="AB5314">
        <v>25</v>
      </c>
      <c r="AC5314">
        <v>9.6999999999809391E-3</v>
      </c>
      <c r="AD5314">
        <v>-1.1291722243209901</v>
      </c>
      <c r="AE5314">
        <v>13.874899999999901</v>
      </c>
      <c r="AF5314">
        <v>-4.3498290449065502</v>
      </c>
      <c r="AG5314">
        <v>-1.1291722243209901</v>
      </c>
      <c r="AH5314">
        <v>13.079257760894</v>
      </c>
      <c r="AI5314">
        <v>94.683289657035203</v>
      </c>
      <c r="AJ5314">
        <v>108.39581542542</v>
      </c>
      <c r="AK5314">
        <v>13.8297876414642</v>
      </c>
      <c r="AL5314">
        <v>81.793727043089305</v>
      </c>
      <c r="AM5314">
        <v>101.60639364333601</v>
      </c>
      <c r="AN5314">
        <v>1.0000000191554801</v>
      </c>
    </row>
    <row r="5315" spans="1:40" x14ac:dyDescent="0.25">
      <c r="A5315" t="str">
        <f>"20190303162705031"</f>
        <v>20190303162705031</v>
      </c>
      <c r="B5315" t="str">
        <f>"1551601625019831"</f>
        <v>1551601625019831</v>
      </c>
      <c r="C5315" t="s">
        <v>40</v>
      </c>
      <c r="D5315">
        <v>5.255503</v>
      </c>
      <c r="E5315">
        <v>0.4556135</v>
      </c>
      <c r="F5315" t="s">
        <v>41</v>
      </c>
      <c r="G5315">
        <v>-187.1566</v>
      </c>
      <c r="H5315" s="1">
        <v>-4.5130060000000004E-6</v>
      </c>
      <c r="I5315">
        <v>-31.02298</v>
      </c>
      <c r="J5315">
        <v>-187.05439999999999</v>
      </c>
      <c r="K5315">
        <v>1.1292759999999999</v>
      </c>
      <c r="L5315">
        <v>-45.323270000000001</v>
      </c>
      <c r="M5315">
        <v>0.30320560000000002</v>
      </c>
      <c r="N5315">
        <v>-1.320585E-2</v>
      </c>
      <c r="O5315">
        <v>0.95283370000000001</v>
      </c>
      <c r="P5315">
        <v>0.1102196</v>
      </c>
      <c r="Q5315">
        <v>0.13425509999999999</v>
      </c>
      <c r="R5315">
        <v>0.98479810000000001</v>
      </c>
      <c r="S5315">
        <v>-6.4086909999999898E-3</v>
      </c>
      <c r="T5315">
        <v>-0.23905860000000001</v>
      </c>
      <c r="U5315">
        <v>3.0834350000000001</v>
      </c>
      <c r="V5315">
        <v>-0.1965383</v>
      </c>
      <c r="W5315">
        <v>0.1431172</v>
      </c>
      <c r="X5315">
        <v>0.96999500000000005</v>
      </c>
      <c r="Y5315">
        <v>-0.30499999999999999</v>
      </c>
      <c r="Z5315">
        <v>-5.6825029999999999E-2</v>
      </c>
      <c r="AA5315">
        <v>0.95065549999999999</v>
      </c>
      <c r="AB5315">
        <v>25</v>
      </c>
      <c r="AC5315">
        <v>-0.10220000000001001</v>
      </c>
      <c r="AD5315">
        <v>-1.129280513006</v>
      </c>
      <c r="AE5315">
        <v>14.300289999999899</v>
      </c>
      <c r="AF5315">
        <v>-4.4062177678236303</v>
      </c>
      <c r="AG5315">
        <v>-1.129280513006</v>
      </c>
      <c r="AH5315">
        <v>13.5117391618969</v>
      </c>
      <c r="AI5315">
        <v>94.543146769267594</v>
      </c>
      <c r="AJ5315">
        <v>108.06129932617</v>
      </c>
      <c r="AK5315">
        <v>14.2568273004087</v>
      </c>
      <c r="AL5315">
        <v>81.7717349905449</v>
      </c>
      <c r="AM5315">
        <v>101.454082362563</v>
      </c>
      <c r="AN5315">
        <v>1.0000000681638599</v>
      </c>
    </row>
    <row r="5316" spans="1:40" x14ac:dyDescent="0.25">
      <c r="A5316" t="str">
        <f>"20190303162705052"</f>
        <v>20190303162705052</v>
      </c>
      <c r="B5316" t="str">
        <f>"1551601625039351"</f>
        <v>1551601625039351</v>
      </c>
      <c r="C5316" t="s">
        <v>40</v>
      </c>
      <c r="D5316">
        <v>5.0307639999999996</v>
      </c>
      <c r="E5316">
        <v>0.45632250000000002</v>
      </c>
      <c r="F5316" t="s">
        <v>41</v>
      </c>
      <c r="G5316">
        <v>-187.18790000000001</v>
      </c>
      <c r="H5316" s="1">
        <v>-4.586811E-6</v>
      </c>
      <c r="I5316">
        <v>-30.837990000000001</v>
      </c>
      <c r="J5316">
        <v>-186.9992</v>
      </c>
      <c r="K5316">
        <v>1.1293580000000001</v>
      </c>
      <c r="L5316">
        <v>-45.110230000000001</v>
      </c>
      <c r="M5316">
        <v>0.29260540000000002</v>
      </c>
      <c r="N5316">
        <v>-1.3228429999999999E-2</v>
      </c>
      <c r="O5316">
        <v>0.95614180000000004</v>
      </c>
      <c r="P5316">
        <v>0.1026045</v>
      </c>
      <c r="Q5316">
        <v>0.1343647</v>
      </c>
      <c r="R5316">
        <v>0.98560559999999997</v>
      </c>
      <c r="S5316">
        <v>-2.8411869999999999E-2</v>
      </c>
      <c r="T5316">
        <v>-0.24029349999999999</v>
      </c>
      <c r="U5316">
        <v>3.0822449999999999</v>
      </c>
      <c r="V5316">
        <v>-0.19328020000000001</v>
      </c>
      <c r="W5316">
        <v>0.1432899</v>
      </c>
      <c r="X5316">
        <v>0.97062389999999998</v>
      </c>
      <c r="Y5316">
        <v>-0.3012106</v>
      </c>
      <c r="Z5316">
        <v>-5.7604420000000003E-2</v>
      </c>
      <c r="AA5316">
        <v>0.95181610000000005</v>
      </c>
      <c r="AB5316">
        <v>25</v>
      </c>
      <c r="AC5316">
        <v>-0.188700000000011</v>
      </c>
      <c r="AD5316">
        <v>-1.129362586811</v>
      </c>
      <c r="AE5316">
        <v>14.27224</v>
      </c>
      <c r="AF5316">
        <v>-4.3298327986831602</v>
      </c>
      <c r="AG5316">
        <v>-1.129362586811</v>
      </c>
      <c r="AH5316">
        <v>13.5076951049563</v>
      </c>
      <c r="AI5316">
        <v>94.552198338529493</v>
      </c>
      <c r="AJ5316">
        <v>107.77302614923499</v>
      </c>
      <c r="AK5316">
        <v>14.229572690896299</v>
      </c>
      <c r="AL5316">
        <v>81.7617363411578</v>
      </c>
      <c r="AM5316">
        <v>101.26198655114101</v>
      </c>
      <c r="AN5316">
        <v>0.99999999320263</v>
      </c>
    </row>
    <row r="5317" spans="1:40" x14ac:dyDescent="0.25">
      <c r="A5317" t="str">
        <f>"20190303162705074"</f>
        <v>20190303162705074</v>
      </c>
      <c r="B5317" t="str">
        <f>"1551601625069607"</f>
        <v>1551601625069607</v>
      </c>
      <c r="C5317" t="s">
        <v>40</v>
      </c>
      <c r="D5317">
        <v>5.3160379999999998</v>
      </c>
      <c r="E5317">
        <v>0.4579259</v>
      </c>
      <c r="F5317" t="s">
        <v>41</v>
      </c>
      <c r="G5317">
        <v>-187.215</v>
      </c>
      <c r="H5317" s="1">
        <v>-4.5969540000000002E-6</v>
      </c>
      <c r="I5317">
        <v>-30.803159999999998</v>
      </c>
      <c r="J5317">
        <v>-186.9393</v>
      </c>
      <c r="K5317">
        <v>1.1294280000000001</v>
      </c>
      <c r="L5317">
        <v>-44.866489999999999</v>
      </c>
      <c r="M5317">
        <v>0.28036919999999999</v>
      </c>
      <c r="N5317">
        <v>-1.3251890000000001E-2</v>
      </c>
      <c r="O5317">
        <v>0.95980080000000001</v>
      </c>
      <c r="P5317">
        <v>9.3352000000000004E-2</v>
      </c>
      <c r="Q5317">
        <v>0.13421369999999999</v>
      </c>
      <c r="R5317">
        <v>0.98654560000000002</v>
      </c>
      <c r="S5317">
        <v>-4.6478270000000002E-2</v>
      </c>
      <c r="T5317">
        <v>-0.2432705</v>
      </c>
      <c r="U5317">
        <v>3.0818180000000002</v>
      </c>
      <c r="V5317">
        <v>-0.19001209999999999</v>
      </c>
      <c r="W5317">
        <v>0.143204</v>
      </c>
      <c r="X5317">
        <v>0.97128159999999997</v>
      </c>
      <c r="Y5317">
        <v>-0.2946069</v>
      </c>
      <c r="Z5317">
        <v>-5.8962540000000001E-2</v>
      </c>
      <c r="AA5317">
        <v>0.95379780000000003</v>
      </c>
      <c r="AB5317">
        <v>25</v>
      </c>
      <c r="AC5317">
        <v>-0.2757</v>
      </c>
      <c r="AD5317">
        <v>-1.129432596954</v>
      </c>
      <c r="AE5317">
        <v>14.063329999999899</v>
      </c>
      <c r="AF5317">
        <v>-4.1809551543041197</v>
      </c>
      <c r="AG5317">
        <v>-1.129432596954</v>
      </c>
      <c r="AH5317">
        <v>13.335895232151101</v>
      </c>
      <c r="AI5317">
        <v>94.620187807394203</v>
      </c>
      <c r="AJ5317">
        <v>107.406802656908</v>
      </c>
      <c r="AK5317">
        <v>14.021487283318899</v>
      </c>
      <c r="AL5317">
        <v>81.766709102528907</v>
      </c>
      <c r="AM5317">
        <v>101.068994883492</v>
      </c>
      <c r="AN5317">
        <v>0.99999996513048395</v>
      </c>
    </row>
    <row r="5318" spans="1:40" x14ac:dyDescent="0.25">
      <c r="A5318" t="str">
        <f>"20190303162705097"</f>
        <v>20190303162705097</v>
      </c>
      <c r="B5318" t="str">
        <f>"1551601625089633"</f>
        <v>1551601625089633</v>
      </c>
      <c r="C5318" t="s">
        <v>40</v>
      </c>
      <c r="D5318">
        <v>5.5105180000000002</v>
      </c>
      <c r="E5318">
        <v>0.45871840000000003</v>
      </c>
      <c r="F5318" t="s">
        <v>41</v>
      </c>
      <c r="G5318">
        <v>-187.2296</v>
      </c>
      <c r="H5318" s="1">
        <v>-4.625185E-6</v>
      </c>
      <c r="I5318">
        <v>-30.731290000000001</v>
      </c>
      <c r="J5318">
        <v>-186.88159999999999</v>
      </c>
      <c r="K5318">
        <v>1.129478</v>
      </c>
      <c r="L5318">
        <v>-44.618189999999998</v>
      </c>
      <c r="M5318">
        <v>0.2678007</v>
      </c>
      <c r="N5318">
        <v>-1.3273729999999999E-2</v>
      </c>
      <c r="O5318">
        <v>0.96338290000000004</v>
      </c>
      <c r="P5318">
        <v>8.4134230000000004E-2</v>
      </c>
      <c r="Q5318">
        <v>0.13318840000000001</v>
      </c>
      <c r="R5318">
        <v>0.98751319999999998</v>
      </c>
      <c r="S5318">
        <v>-6.3278199999999896E-2</v>
      </c>
      <c r="T5318">
        <v>-0.2461294</v>
      </c>
      <c r="U5318">
        <v>3.0803829999999999</v>
      </c>
      <c r="V5318">
        <v>-0.1864189</v>
      </c>
      <c r="W5318">
        <v>0.1422582</v>
      </c>
      <c r="X5318">
        <v>0.97211650000000005</v>
      </c>
      <c r="Y5318">
        <v>-0.28731820000000002</v>
      </c>
      <c r="Z5318">
        <v>-6.032183E-2</v>
      </c>
      <c r="AA5318">
        <v>0.9559339</v>
      </c>
      <c r="AB5318">
        <v>25</v>
      </c>
      <c r="AC5318">
        <v>-0.34800000000001302</v>
      </c>
      <c r="AD5318">
        <v>-1.1294826251850001</v>
      </c>
      <c r="AE5318">
        <v>13.886900000000001</v>
      </c>
      <c r="AF5318">
        <v>-4.0279069301306398</v>
      </c>
      <c r="AG5318">
        <v>-1.1294826251850001</v>
      </c>
      <c r="AH5318">
        <v>13.199116646393099</v>
      </c>
      <c r="AI5318">
        <v>94.679024655657997</v>
      </c>
      <c r="AJ5318">
        <v>106.970348737411</v>
      </c>
      <c r="AK5318">
        <v>13.8461707877478</v>
      </c>
      <c r="AL5318">
        <v>81.821459861685099</v>
      </c>
      <c r="AM5318">
        <v>100.85559465190801</v>
      </c>
      <c r="AN5318">
        <v>0.99999994565834804</v>
      </c>
    </row>
    <row r="5319" spans="1:40" x14ac:dyDescent="0.25">
      <c r="A5319" t="str">
        <f>"20190303162705118"</f>
        <v>20190303162705118</v>
      </c>
      <c r="B5319" t="str">
        <f>"1551601625109153"</f>
        <v>1551601625109153</v>
      </c>
      <c r="C5319" t="s">
        <v>40</v>
      </c>
      <c r="D5319">
        <v>5.439724</v>
      </c>
      <c r="E5319">
        <v>0.459289</v>
      </c>
      <c r="F5319" t="s">
        <v>41</v>
      </c>
      <c r="G5319">
        <v>-187.26779999999999</v>
      </c>
      <c r="H5319" s="1">
        <v>-4.669118E-6</v>
      </c>
      <c r="I5319">
        <v>-30.613109999999999</v>
      </c>
      <c r="J5319">
        <v>-186.83189999999999</v>
      </c>
      <c r="K5319">
        <v>1.129516</v>
      </c>
      <c r="L5319">
        <v>-44.390630000000002</v>
      </c>
      <c r="M5319">
        <v>0.25620769999999998</v>
      </c>
      <c r="N5319">
        <v>-1.329208E-2</v>
      </c>
      <c r="O5319">
        <v>0.96653029999999995</v>
      </c>
      <c r="P5319">
        <v>7.5615870000000002E-2</v>
      </c>
      <c r="Q5319">
        <v>0.13163250000000001</v>
      </c>
      <c r="R5319">
        <v>0.98841040000000002</v>
      </c>
      <c r="S5319">
        <v>-8.4884639999999997E-2</v>
      </c>
      <c r="T5319">
        <v>-0.2482867</v>
      </c>
      <c r="U5319">
        <v>3.0786440000000002</v>
      </c>
      <c r="V5319">
        <v>-0.18315229999999999</v>
      </c>
      <c r="W5319">
        <v>0.1407803</v>
      </c>
      <c r="X5319">
        <v>0.97295229999999999</v>
      </c>
      <c r="Y5319">
        <v>-0.28252500000000003</v>
      </c>
      <c r="Z5319">
        <v>-6.140574E-2</v>
      </c>
      <c r="AA5319">
        <v>0.95729249999999999</v>
      </c>
      <c r="AB5319">
        <v>25</v>
      </c>
      <c r="AC5319">
        <v>-0.43590000000000301</v>
      </c>
      <c r="AD5319">
        <v>-1.129520669118</v>
      </c>
      <c r="AE5319">
        <v>13.777520000000001</v>
      </c>
      <c r="AF5319">
        <v>-3.9252108782585999</v>
      </c>
      <c r="AG5319">
        <v>-1.129520669118</v>
      </c>
      <c r="AH5319">
        <v>13.117797947133001</v>
      </c>
      <c r="AI5319">
        <v>94.715769813610294</v>
      </c>
      <c r="AJ5319">
        <v>106.658649209207</v>
      </c>
      <c r="AK5319">
        <v>13.738985419694201</v>
      </c>
      <c r="AL5319">
        <v>81.906998796754294</v>
      </c>
      <c r="AM5319">
        <v>100.66082248422801</v>
      </c>
      <c r="AN5319">
        <v>1.00000001796933</v>
      </c>
    </row>
    <row r="5320" spans="1:40" x14ac:dyDescent="0.25">
      <c r="A5320" t="str">
        <f>"20190303162705145"</f>
        <v>20190303162705145</v>
      </c>
      <c r="B5320" t="str">
        <f>"1551601625139409"</f>
        <v>1551601625139409</v>
      </c>
      <c r="C5320" t="s">
        <v>40</v>
      </c>
      <c r="D5320">
        <v>5.4600049999999998</v>
      </c>
      <c r="E5320">
        <v>0.49345480000000003</v>
      </c>
      <c r="F5320" t="s">
        <v>41</v>
      </c>
      <c r="G5320">
        <v>-187.30959999999999</v>
      </c>
      <c r="H5320" s="1">
        <v>-4.6694929999999999E-6</v>
      </c>
      <c r="I5320">
        <v>-30.594950000000001</v>
      </c>
      <c r="J5320">
        <v>-186.77780000000001</v>
      </c>
      <c r="K5320">
        <v>1.129535</v>
      </c>
      <c r="L5320">
        <v>-44.126739999999998</v>
      </c>
      <c r="M5320">
        <v>0.24269740000000001</v>
      </c>
      <c r="N5320">
        <v>-1.3310600000000001E-2</v>
      </c>
      <c r="O5320">
        <v>0.9700107</v>
      </c>
      <c r="P5320">
        <v>6.5543229999999994E-2</v>
      </c>
      <c r="Q5320">
        <v>0.13033739999999999</v>
      </c>
      <c r="R5320">
        <v>0.98930090000000004</v>
      </c>
      <c r="S5320">
        <v>-0.1065369</v>
      </c>
      <c r="T5320">
        <v>-0.251919</v>
      </c>
      <c r="U5320">
        <v>3.0768740000000001</v>
      </c>
      <c r="V5320">
        <v>-0.179508</v>
      </c>
      <c r="W5320">
        <v>0.13957539999999999</v>
      </c>
      <c r="X5320">
        <v>0.97380469999999997</v>
      </c>
      <c r="Y5320">
        <v>-0.27587970000000001</v>
      </c>
      <c r="Z5320">
        <v>-6.3004260000000006E-2</v>
      </c>
      <c r="AA5320">
        <v>0.95912500000000001</v>
      </c>
      <c r="AB5320">
        <v>25</v>
      </c>
      <c r="AC5320">
        <v>-0.53179999999997496</v>
      </c>
      <c r="AD5320">
        <v>-1.129539669493</v>
      </c>
      <c r="AE5320">
        <v>13.531790000000001</v>
      </c>
      <c r="AF5320">
        <v>-3.77406252355672</v>
      </c>
      <c r="AG5320">
        <v>-1.129539669493</v>
      </c>
      <c r="AH5320">
        <v>12.9082635467309</v>
      </c>
      <c r="AI5320">
        <v>94.800943453964294</v>
      </c>
      <c r="AJ5320">
        <v>106.297636943553</v>
      </c>
      <c r="AK5320">
        <v>13.4960244364233</v>
      </c>
      <c r="AL5320">
        <v>81.976722804504504</v>
      </c>
      <c r="AM5320">
        <v>100.444470290425</v>
      </c>
      <c r="AN5320">
        <v>1.0000000040456201</v>
      </c>
    </row>
    <row r="5321" spans="1:40" x14ac:dyDescent="0.25">
      <c r="A5321" t="str">
        <f>"20190303162705186"</f>
        <v>20190303162705186</v>
      </c>
      <c r="B5321" t="str">
        <f>"1551601625178956"</f>
        <v>1551601625178956</v>
      </c>
      <c r="C5321" t="s">
        <v>40</v>
      </c>
      <c r="D5321">
        <v>5.1852720000000003</v>
      </c>
      <c r="E5321">
        <v>0.55448249999999999</v>
      </c>
      <c r="F5321" t="s">
        <v>41</v>
      </c>
      <c r="G5321">
        <v>-186.2782</v>
      </c>
      <c r="H5321" s="1">
        <v>-3.9629790000000001E-6</v>
      </c>
      <c r="I5321">
        <v>-32.668329999999997</v>
      </c>
      <c r="J5321">
        <v>-186.6917</v>
      </c>
      <c r="K5321">
        <v>1.129526</v>
      </c>
      <c r="L5321">
        <v>-43.659030000000001</v>
      </c>
      <c r="M5321">
        <v>0.21865180000000001</v>
      </c>
      <c r="N5321">
        <v>-1.3334489999999999E-2</v>
      </c>
      <c r="O5321">
        <v>0.97571180000000002</v>
      </c>
      <c r="P5321">
        <v>4.8780749999999998E-2</v>
      </c>
      <c r="Q5321">
        <v>0.12696760000000001</v>
      </c>
      <c r="R5321">
        <v>0.99070659999999999</v>
      </c>
      <c r="S5321">
        <v>0.13356019999999999</v>
      </c>
      <c r="T5321">
        <v>-0.30198029999999998</v>
      </c>
      <c r="U5321">
        <v>3.0633849999999998</v>
      </c>
      <c r="V5321">
        <v>-0.17194690000000001</v>
      </c>
      <c r="W5321">
        <v>0.13640169999999999</v>
      </c>
      <c r="X5321">
        <v>0.97561719999999996</v>
      </c>
      <c r="Y5321">
        <v>-0.1759647</v>
      </c>
      <c r="Z5321">
        <v>-8.0528269999999999E-2</v>
      </c>
      <c r="AA5321">
        <v>0.9810972</v>
      </c>
      <c r="AB5321">
        <v>25</v>
      </c>
      <c r="AC5321">
        <v>0.41349999999999898</v>
      </c>
      <c r="AD5321">
        <v>-1.1295299629790001</v>
      </c>
      <c r="AE5321">
        <v>10.9907</v>
      </c>
      <c r="AF5321">
        <v>-1.9789849485156701</v>
      </c>
      <c r="AG5321">
        <v>-1.1295299629790001</v>
      </c>
      <c r="AH5321">
        <v>10.7022530369261</v>
      </c>
      <c r="AI5321">
        <v>95.925055636143995</v>
      </c>
      <c r="AJ5321">
        <v>100.476394321124</v>
      </c>
      <c r="AK5321">
        <v>10.942140532369001</v>
      </c>
      <c r="AL5321">
        <v>82.160319101276301</v>
      </c>
      <c r="AM5321">
        <v>99.995401510596196</v>
      </c>
      <c r="AN5321">
        <v>1.00000004055916</v>
      </c>
    </row>
    <row r="5322" spans="1:40" x14ac:dyDescent="0.25">
      <c r="A5322" t="str">
        <f>"20190303162705208"</f>
        <v>20190303162705208</v>
      </c>
      <c r="B5322" t="str">
        <f>"1551601625199452"</f>
        <v>1551601625199452</v>
      </c>
      <c r="C5322" t="s">
        <v>40</v>
      </c>
      <c r="D5322">
        <v>5.2683419999999996</v>
      </c>
      <c r="E5322">
        <v>0.55457270000000003</v>
      </c>
      <c r="F5322" t="s">
        <v>42</v>
      </c>
      <c r="G5322">
        <v>-186.53960000000001</v>
      </c>
      <c r="H5322">
        <v>0.92502490000000004</v>
      </c>
      <c r="I5322">
        <v>-42.823239999999998</v>
      </c>
      <c r="J5322">
        <v>-186.6525</v>
      </c>
      <c r="K5322">
        <v>1.1295280000000001</v>
      </c>
      <c r="L5322">
        <v>-43.420560000000002</v>
      </c>
      <c r="M5322">
        <v>0.20636399999999999</v>
      </c>
      <c r="N5322">
        <v>-1.3343320000000001E-2</v>
      </c>
      <c r="O5322">
        <v>0.97838429999999998</v>
      </c>
      <c r="P5322">
        <v>3.8051439999999999E-2</v>
      </c>
      <c r="Q5322">
        <v>0.1277269</v>
      </c>
      <c r="R5322">
        <v>0.99107920000000005</v>
      </c>
      <c r="S5322">
        <v>0.56323239999999997</v>
      </c>
      <c r="T5322">
        <v>-0.75844</v>
      </c>
      <c r="U5322">
        <v>3.097626</v>
      </c>
      <c r="V5322">
        <v>-0.1702341</v>
      </c>
      <c r="W5322">
        <v>0.13720850000000001</v>
      </c>
      <c r="X5322">
        <v>0.97580440000000002</v>
      </c>
      <c r="Y5322">
        <v>-3.2269979999999997E-2</v>
      </c>
      <c r="Z5322">
        <v>-0.2157367</v>
      </c>
      <c r="AA5322">
        <v>0.97591819999999896</v>
      </c>
      <c r="AB5322">
        <v>25</v>
      </c>
      <c r="AC5322">
        <v>0.112899999999996</v>
      </c>
      <c r="AD5322">
        <v>-0.20450309999999999</v>
      </c>
      <c r="AE5322">
        <v>0.59731999999998897</v>
      </c>
      <c r="AF5322">
        <v>-1.1504862449713099E-2</v>
      </c>
      <c r="AG5322">
        <v>-0.20450309999999999</v>
      </c>
      <c r="AH5322">
        <v>0.54597205808050198</v>
      </c>
      <c r="AI5322">
        <v>110.530112976914</v>
      </c>
      <c r="AJ5322">
        <v>91.207172621849793</v>
      </c>
      <c r="AK5322">
        <v>0.58312894626682299</v>
      </c>
      <c r="AL5322">
        <v>82.113653991917701</v>
      </c>
      <c r="AM5322">
        <v>99.895952562551301</v>
      </c>
      <c r="AN5322">
        <v>1.0000000241672</v>
      </c>
    </row>
    <row r="5323" spans="1:40" x14ac:dyDescent="0.25">
      <c r="A5323" t="str">
        <f>"20190303162705230"</f>
        <v>20190303162705230</v>
      </c>
      <c r="B5323" t="str">
        <f>"1551601625219949"</f>
        <v>1551601625219949</v>
      </c>
      <c r="C5323" t="s">
        <v>40</v>
      </c>
      <c r="D5323">
        <v>5.2182579999999996</v>
      </c>
      <c r="E5323">
        <v>0.55416969999999899</v>
      </c>
      <c r="F5323" t="s">
        <v>42</v>
      </c>
      <c r="G5323">
        <v>-186.5145</v>
      </c>
      <c r="H5323">
        <v>0.91412959999999999</v>
      </c>
      <c r="I5323">
        <v>-42.609340000000003</v>
      </c>
      <c r="J5323">
        <v>-186.6156</v>
      </c>
      <c r="K5323">
        <v>1.1295440000000001</v>
      </c>
      <c r="L5323">
        <v>-43.177889999999998</v>
      </c>
      <c r="M5323">
        <v>0.19385379999999999</v>
      </c>
      <c r="N5323">
        <v>-1.3350600000000001E-2</v>
      </c>
      <c r="O5323">
        <v>0.98093960000000002</v>
      </c>
      <c r="P5323">
        <v>2.65718E-2</v>
      </c>
      <c r="Q5323">
        <v>0.13176019999999999</v>
      </c>
      <c r="R5323">
        <v>0.99092539999999996</v>
      </c>
      <c r="S5323">
        <v>0.52949519999999906</v>
      </c>
      <c r="T5323">
        <v>-0.82647340000000002</v>
      </c>
      <c r="U5323">
        <v>3.1131899999999999</v>
      </c>
      <c r="V5323">
        <v>-0.1690527</v>
      </c>
      <c r="W5323">
        <v>0.1412717</v>
      </c>
      <c r="X5323">
        <v>0.97542989999999996</v>
      </c>
      <c r="Y5323">
        <v>-3.1374659999999999E-2</v>
      </c>
      <c r="Z5323">
        <v>-0.2350167</v>
      </c>
      <c r="AA5323">
        <v>0.97148480000000004</v>
      </c>
      <c r="AB5323">
        <v>25</v>
      </c>
      <c r="AC5323">
        <v>0.10110000000000199</v>
      </c>
      <c r="AD5323">
        <v>-0.21541440000000001</v>
      </c>
      <c r="AE5323">
        <v>0.568550000000001</v>
      </c>
      <c r="AF5323">
        <v>-9.6945444352558204E-3</v>
      </c>
      <c r="AG5323">
        <v>-0.21541440000000001</v>
      </c>
      <c r="AH5323">
        <v>0.50683562461234799</v>
      </c>
      <c r="AI5323">
        <v>113.022606401289</v>
      </c>
      <c r="AJ5323">
        <v>91.095796600896605</v>
      </c>
      <c r="AK5323">
        <v>0.55079914514762696</v>
      </c>
      <c r="AL5323">
        <v>81.878559271358995</v>
      </c>
      <c r="AM5323">
        <v>99.832319886912998</v>
      </c>
      <c r="AN5323">
        <v>0.99999999920609495</v>
      </c>
    </row>
    <row r="5324" spans="1:40" x14ac:dyDescent="0.25">
      <c r="A5324" t="str">
        <f>"20190303162705255"</f>
        <v>20190303162705255</v>
      </c>
      <c r="B5324" t="str">
        <f>"1551601625249228"</f>
        <v>1551601625249228</v>
      </c>
      <c r="C5324" t="s">
        <v>40</v>
      </c>
      <c r="D5324">
        <v>5.1140210000000002</v>
      </c>
      <c r="E5324">
        <v>0.55447659999999999</v>
      </c>
      <c r="F5324" t="s">
        <v>42</v>
      </c>
      <c r="G5324">
        <v>-186.49170000000001</v>
      </c>
      <c r="H5324">
        <v>0.91519680000000003</v>
      </c>
      <c r="I5324">
        <v>-42.389800000000001</v>
      </c>
      <c r="J5324">
        <v>-186.5789</v>
      </c>
      <c r="K5324">
        <v>1.129556</v>
      </c>
      <c r="L5324">
        <v>-42.912480000000002</v>
      </c>
      <c r="M5324">
        <v>0.1801633</v>
      </c>
      <c r="N5324">
        <v>-1.3356969999999999E-2</v>
      </c>
      <c r="O5324">
        <v>0.98354600000000003</v>
      </c>
      <c r="P5324">
        <v>1.186152E-2</v>
      </c>
      <c r="Q5324">
        <v>0.13574449999999999</v>
      </c>
      <c r="R5324">
        <v>0.99067289999999997</v>
      </c>
      <c r="S5324">
        <v>0.49143979999999998</v>
      </c>
      <c r="T5324">
        <v>-0.85106729999999997</v>
      </c>
      <c r="U5324">
        <v>3.127472</v>
      </c>
      <c r="V5324">
        <v>-0.16992199999999999</v>
      </c>
      <c r="W5324">
        <v>0.14523720000000001</v>
      </c>
      <c r="X5324">
        <v>0.97469620000000001</v>
      </c>
      <c r="Y5324">
        <v>-2.9951040000000002E-2</v>
      </c>
      <c r="Z5324">
        <v>-0.24204049999999999</v>
      </c>
      <c r="AA5324">
        <v>0.96980379999999999</v>
      </c>
      <c r="AB5324">
        <v>25</v>
      </c>
      <c r="AC5324">
        <v>8.7199999999995698E-2</v>
      </c>
      <c r="AD5324">
        <v>-0.2143592</v>
      </c>
      <c r="AE5324">
        <v>0.52268000000000103</v>
      </c>
      <c r="AF5324">
        <v>-7.2215557181529097E-3</v>
      </c>
      <c r="AG5324">
        <v>-0.2143592</v>
      </c>
      <c r="AH5324">
        <v>0.455327477922715</v>
      </c>
      <c r="AI5324">
        <v>115.207355051985</v>
      </c>
      <c r="AJ5324">
        <v>90.908642671783795</v>
      </c>
      <c r="AK5324">
        <v>0.50331414607885905</v>
      </c>
      <c r="AL5324">
        <v>81.648984900076101</v>
      </c>
      <c r="AM5324">
        <v>99.889177016900803</v>
      </c>
      <c r="AN5324">
        <v>1.0000000063211401</v>
      </c>
    </row>
    <row r="5325" spans="1:40" x14ac:dyDescent="0.25">
      <c r="A5325" t="str">
        <f>"20190303162705278"</f>
        <v>20190303162705278</v>
      </c>
      <c r="B5325" t="str">
        <f>"1551601625269725"</f>
        <v>1551601625269725</v>
      </c>
      <c r="C5325" t="s">
        <v>40</v>
      </c>
      <c r="D5325">
        <v>5.0981180000000004</v>
      </c>
      <c r="E5325">
        <v>0.55520209999999903</v>
      </c>
      <c r="F5325" t="s">
        <v>42</v>
      </c>
      <c r="G5325">
        <v>-186.47229999999999</v>
      </c>
      <c r="H5325">
        <v>0.92562650000000002</v>
      </c>
      <c r="I5325">
        <v>-42.165619999999997</v>
      </c>
      <c r="J5325">
        <v>-186.54730000000001</v>
      </c>
      <c r="K5325">
        <v>1.1295599999999999</v>
      </c>
      <c r="L5325">
        <v>-42.659730000000003</v>
      </c>
      <c r="M5325">
        <v>0.16712489999999999</v>
      </c>
      <c r="N5325">
        <v>-1.336175E-2</v>
      </c>
      <c r="O5325">
        <v>0.98584519999999998</v>
      </c>
      <c r="P5325">
        <v>-2.1226539999999999E-3</v>
      </c>
      <c r="Q5325">
        <v>0.13723969999999999</v>
      </c>
      <c r="R5325">
        <v>0.99053559999999996</v>
      </c>
      <c r="S5325">
        <v>0.44779970000000002</v>
      </c>
      <c r="T5325">
        <v>-0.8579447</v>
      </c>
      <c r="U5325">
        <v>3.1404420000000002</v>
      </c>
      <c r="V5325">
        <v>-0.17077000000000001</v>
      </c>
      <c r="W5325">
        <v>0.1467175</v>
      </c>
      <c r="X5325">
        <v>0.97432620000000003</v>
      </c>
      <c r="Y5325">
        <v>-3.057033E-2</v>
      </c>
      <c r="Z5325">
        <v>-0.24407309999999999</v>
      </c>
      <c r="AA5325">
        <v>0.96927490000000005</v>
      </c>
      <c r="AB5325">
        <v>25</v>
      </c>
      <c r="AC5325">
        <v>7.5000000000016998E-2</v>
      </c>
      <c r="AD5325">
        <v>-0.20393349999999999</v>
      </c>
      <c r="AE5325">
        <v>0.494109999999992</v>
      </c>
      <c r="AF5325">
        <v>-7.4071151125692904E-3</v>
      </c>
      <c r="AG5325">
        <v>-0.20393349999999999</v>
      </c>
      <c r="AH5325">
        <v>0.42836788360942202</v>
      </c>
      <c r="AI5325">
        <v>115.454438022993</v>
      </c>
      <c r="AJ5325">
        <v>90.990630158389706</v>
      </c>
      <c r="AK5325">
        <v>0.47449213005544799</v>
      </c>
      <c r="AL5325">
        <v>81.563251352136007</v>
      </c>
      <c r="AM5325">
        <v>99.941246258761097</v>
      </c>
      <c r="AN5325">
        <v>0.99999998085634401</v>
      </c>
    </row>
    <row r="5326" spans="1:40" x14ac:dyDescent="0.25">
      <c r="A5326" t="str">
        <f>"20190303162705320"</f>
        <v>20190303162705320</v>
      </c>
      <c r="B5326" t="str">
        <f>"1551601625309271"</f>
        <v>1551601625309271</v>
      </c>
      <c r="C5326" t="s">
        <v>40</v>
      </c>
      <c r="D5326">
        <v>5.1021099999999997</v>
      </c>
      <c r="E5326">
        <v>0.55601049999999996</v>
      </c>
      <c r="F5326" t="s">
        <v>42</v>
      </c>
      <c r="G5326">
        <v>-186.4546</v>
      </c>
      <c r="H5326">
        <v>0.93482920000000003</v>
      </c>
      <c r="I5326">
        <v>-41.941960000000002</v>
      </c>
      <c r="J5326">
        <v>-186.49860000000001</v>
      </c>
      <c r="K5326">
        <v>1.1295770000000001</v>
      </c>
      <c r="L5326">
        <v>-42.19858</v>
      </c>
      <c r="M5326">
        <v>0.14333209999999999</v>
      </c>
      <c r="N5326">
        <v>-1.336802E-2</v>
      </c>
      <c r="O5326">
        <v>0.98958440000000003</v>
      </c>
      <c r="P5326">
        <v>-2.8885890000000001E-2</v>
      </c>
      <c r="Q5326">
        <v>0.13996430000000001</v>
      </c>
      <c r="R5326">
        <v>0.98973509999999998</v>
      </c>
      <c r="S5326">
        <v>0.40649410000000002</v>
      </c>
      <c r="T5326">
        <v>-0.85449909999999996</v>
      </c>
      <c r="U5326">
        <v>3.1479490000000001</v>
      </c>
      <c r="V5326">
        <v>-0.1736337</v>
      </c>
      <c r="W5326">
        <v>0.1493805</v>
      </c>
      <c r="X5326">
        <v>0.97341500000000003</v>
      </c>
      <c r="Y5326">
        <v>-1.9309880000000001E-2</v>
      </c>
      <c r="Z5326">
        <v>-0.2441768</v>
      </c>
      <c r="AA5326">
        <v>0.96953849999999997</v>
      </c>
      <c r="AB5326">
        <v>25</v>
      </c>
      <c r="AC5326">
        <v>4.40000000000111E-2</v>
      </c>
      <c r="AD5326">
        <v>-0.1947478</v>
      </c>
      <c r="AE5326">
        <v>0.25662000000000501</v>
      </c>
      <c r="AF5326">
        <v>4.3350706638534903E-3</v>
      </c>
      <c r="AG5326">
        <v>-0.1947478</v>
      </c>
      <c r="AH5326">
        <v>0.166900414457996</v>
      </c>
      <c r="AI5326">
        <v>139.39361453727301</v>
      </c>
      <c r="AJ5326">
        <v>88.512134198952793</v>
      </c>
      <c r="AK5326">
        <v>0.25651753700039998</v>
      </c>
      <c r="AL5326">
        <v>81.408972473187106</v>
      </c>
      <c r="AM5326">
        <v>100.113810148768</v>
      </c>
      <c r="AN5326">
        <v>0.99999997889046899</v>
      </c>
    </row>
    <row r="5327" spans="1:40" x14ac:dyDescent="0.25">
      <c r="A5327" t="str">
        <f>"20190303162705343"</f>
        <v>20190303162705343</v>
      </c>
      <c r="B5327" t="str">
        <f>"1551601625329767"</f>
        <v>1551601625329767</v>
      </c>
      <c r="C5327" t="s">
        <v>40</v>
      </c>
      <c r="D5327">
        <v>5.1172740000000001</v>
      </c>
      <c r="E5327">
        <v>0.55563709999999999</v>
      </c>
      <c r="F5327" t="s">
        <v>42</v>
      </c>
      <c r="G5327">
        <v>-186.4264</v>
      </c>
      <c r="H5327">
        <v>0.94211540000000005</v>
      </c>
      <c r="I5327">
        <v>-41.499470000000002</v>
      </c>
      <c r="J5327">
        <v>-186.4769</v>
      </c>
      <c r="K5327">
        <v>1.129586</v>
      </c>
      <c r="L5327">
        <v>-41.950710000000001</v>
      </c>
      <c r="M5327">
        <v>0.13053709999999999</v>
      </c>
      <c r="N5327">
        <v>-1.3370409999999999E-2</v>
      </c>
      <c r="O5327">
        <v>0.99135329999999999</v>
      </c>
      <c r="P5327">
        <v>-4.2448300000000001E-2</v>
      </c>
      <c r="Q5327">
        <v>0.1434484</v>
      </c>
      <c r="R5327">
        <v>0.98874709999999999</v>
      </c>
      <c r="S5327">
        <v>0.32588200000000001</v>
      </c>
      <c r="T5327">
        <v>-0.84793660000000004</v>
      </c>
      <c r="U5327">
        <v>3.1605530000000002</v>
      </c>
      <c r="V5327">
        <v>-0.17440810000000001</v>
      </c>
      <c r="W5327">
        <v>0.15284510000000001</v>
      </c>
      <c r="X5327">
        <v>0.97273849999999995</v>
      </c>
      <c r="Y5327">
        <v>-3.1203850000000002E-2</v>
      </c>
      <c r="Z5327">
        <v>-0.2423217</v>
      </c>
      <c r="AA5327">
        <v>0.96969399999999994</v>
      </c>
      <c r="AB5327">
        <v>25</v>
      </c>
      <c r="AC5327">
        <v>5.0499999999999497E-2</v>
      </c>
      <c r="AD5327">
        <v>-0.18747059999999999</v>
      </c>
      <c r="AE5327">
        <v>0.45123999999999798</v>
      </c>
      <c r="AF5327">
        <v>-7.5533901315974596E-3</v>
      </c>
      <c r="AG5327">
        <v>-0.18747059999999999</v>
      </c>
      <c r="AH5327">
        <v>0.38785387167371299</v>
      </c>
      <c r="AI5327">
        <v>115.792715854641</v>
      </c>
      <c r="AJ5327">
        <v>91.115684814731196</v>
      </c>
      <c r="AK5327">
        <v>0.43085137267871099</v>
      </c>
      <c r="AL5327">
        <v>81.208159554434403</v>
      </c>
      <c r="AM5327">
        <v>100.16489732117699</v>
      </c>
      <c r="AN5327">
        <v>0.999999999660935</v>
      </c>
    </row>
    <row r="5328" spans="1:40" x14ac:dyDescent="0.25">
      <c r="A5328" t="str">
        <f>"20190303162705368"</f>
        <v>20190303162705368</v>
      </c>
      <c r="B5328" t="str">
        <f>"1551601625360023"</f>
        <v>1551601625360023</v>
      </c>
      <c r="C5328" t="s">
        <v>40</v>
      </c>
      <c r="D5328">
        <v>5.0365719999999996</v>
      </c>
      <c r="E5328">
        <v>0.55573530000000004</v>
      </c>
      <c r="F5328" t="s">
        <v>42</v>
      </c>
      <c r="G5328">
        <v>-186.4007</v>
      </c>
      <c r="H5328">
        <v>0.89781639999999996</v>
      </c>
      <c r="I5328">
        <v>-41.081189999999999</v>
      </c>
      <c r="J5328">
        <v>-186.45670000000001</v>
      </c>
      <c r="K5328">
        <v>1.1295959999999901</v>
      </c>
      <c r="L5328">
        <v>-41.669310000000003</v>
      </c>
      <c r="M5328">
        <v>0.116004</v>
      </c>
      <c r="N5328">
        <v>-1.33726E-2</v>
      </c>
      <c r="O5328">
        <v>0.99315869999999995</v>
      </c>
      <c r="P5328">
        <v>-5.657239E-2</v>
      </c>
      <c r="Q5328">
        <v>0.14577809999999999</v>
      </c>
      <c r="R5328">
        <v>0.98769850000000003</v>
      </c>
      <c r="S5328">
        <v>0.27783200000000002</v>
      </c>
      <c r="T5328">
        <v>-0.84494760000000002</v>
      </c>
      <c r="U5328">
        <v>3.1686709999999998</v>
      </c>
      <c r="V5328">
        <v>-0.17406740000000001</v>
      </c>
      <c r="W5328">
        <v>0.1551833</v>
      </c>
      <c r="X5328">
        <v>0.97242930000000005</v>
      </c>
      <c r="Y5328">
        <v>-3.1368970000000003E-2</v>
      </c>
      <c r="Z5328">
        <v>-0.24169750000000001</v>
      </c>
      <c r="AA5328">
        <v>0.9698445</v>
      </c>
      <c r="AB5328">
        <v>25</v>
      </c>
      <c r="AC5328">
        <v>5.6000000000011603E-2</v>
      </c>
      <c r="AD5328">
        <v>-0.231779599999999</v>
      </c>
      <c r="AE5328">
        <v>0.58811999999999598</v>
      </c>
      <c r="AF5328">
        <v>-1.09266663866875E-2</v>
      </c>
      <c r="AG5328">
        <v>-0.231779599999999</v>
      </c>
      <c r="AH5328">
        <v>0.51185947472177695</v>
      </c>
      <c r="AI5328">
        <v>114.357008099908</v>
      </c>
      <c r="AJ5328">
        <v>91.222907514386307</v>
      </c>
      <c r="AK5328">
        <v>0.56199759508109903</v>
      </c>
      <c r="AL5328">
        <v>81.072573066320601</v>
      </c>
      <c r="AM5328">
        <v>100.14861229042501</v>
      </c>
      <c r="AN5328">
        <v>1.00000002992006</v>
      </c>
    </row>
    <row r="5329" spans="1:40" x14ac:dyDescent="0.25">
      <c r="A5329" t="str">
        <f>"20190303162705411"</f>
        <v>20190303162705411</v>
      </c>
      <c r="B5329" t="str">
        <f>"1551601625399571"</f>
        <v>1551601625399571</v>
      </c>
      <c r="C5329" t="s">
        <v>40</v>
      </c>
      <c r="D5329">
        <v>5.2602989999999998</v>
      </c>
      <c r="E5329">
        <v>0.55359550000000002</v>
      </c>
      <c r="F5329" t="s">
        <v>42</v>
      </c>
      <c r="G5329">
        <v>-186.3972</v>
      </c>
      <c r="H5329">
        <v>0.91358430000000002</v>
      </c>
      <c r="I5329">
        <v>-40.854080000000003</v>
      </c>
      <c r="J5329">
        <v>-186.4324</v>
      </c>
      <c r="K5329">
        <v>1.129616</v>
      </c>
      <c r="L5329">
        <v>-41.218110000000003</v>
      </c>
      <c r="M5329">
        <v>9.2682130000000001E-2</v>
      </c>
      <c r="N5329">
        <v>-1.337524E-2</v>
      </c>
      <c r="O5329">
        <v>0.99560590000000004</v>
      </c>
      <c r="P5329">
        <v>-7.8434500000000004E-2</v>
      </c>
      <c r="Q5329">
        <v>0.1494124</v>
      </c>
      <c r="R5329">
        <v>0.98565919999999896</v>
      </c>
      <c r="S5329">
        <v>0.23156740000000001</v>
      </c>
      <c r="T5329">
        <v>-0.84151830000000005</v>
      </c>
      <c r="U5329">
        <v>3.1748349999999999</v>
      </c>
      <c r="V5329">
        <v>-0.17282049999999999</v>
      </c>
      <c r="W5329">
        <v>0.15884670000000001</v>
      </c>
      <c r="X5329">
        <v>0.97206009999999998</v>
      </c>
      <c r="Y5329">
        <v>-2.2135749999999999E-2</v>
      </c>
      <c r="Z5329">
        <v>-0.24133379999999999</v>
      </c>
      <c r="AA5329">
        <v>0.97018970000000004</v>
      </c>
      <c r="AB5329">
        <v>25</v>
      </c>
      <c r="AC5329">
        <v>3.5200000000003201E-2</v>
      </c>
      <c r="AD5329">
        <v>-0.21603169999999899</v>
      </c>
      <c r="AE5329">
        <v>0.36402999999999902</v>
      </c>
      <c r="AF5329">
        <v>9.6845938647045001E-4</v>
      </c>
      <c r="AG5329">
        <v>-0.21603169999999899</v>
      </c>
      <c r="AH5329">
        <v>0.271125846163637</v>
      </c>
      <c r="AI5329">
        <v>128.54748119313899</v>
      </c>
      <c r="AJ5329">
        <v>89.795340797397103</v>
      </c>
      <c r="AK5329">
        <v>0.34666966665172899</v>
      </c>
      <c r="AL5329">
        <v>80.860039259160502</v>
      </c>
      <c r="AM5329">
        <v>100.08115881624499</v>
      </c>
      <c r="AN5329">
        <v>1.0000000186665701</v>
      </c>
    </row>
    <row r="5330" spans="1:40" x14ac:dyDescent="0.25">
      <c r="A5330" t="str">
        <f>"20190303162705434"</f>
        <v>20190303162705434</v>
      </c>
      <c r="B5330" t="str">
        <f>"1551601625419090"</f>
        <v>1551601625419090</v>
      </c>
      <c r="C5330" t="s">
        <v>40</v>
      </c>
      <c r="D5330">
        <v>5.207776</v>
      </c>
      <c r="E5330">
        <v>0.49929259999999998</v>
      </c>
      <c r="F5330" t="s">
        <v>42</v>
      </c>
      <c r="G5330">
        <v>-186.39660000000001</v>
      </c>
      <c r="H5330">
        <v>0.92244910000000002</v>
      </c>
      <c r="I5330">
        <v>-40.410110000000003</v>
      </c>
      <c r="J5330">
        <v>-186.423</v>
      </c>
      <c r="K5330">
        <v>1.1296120000000001</v>
      </c>
      <c r="L5330">
        <v>-40.950740000000003</v>
      </c>
      <c r="M5330">
        <v>7.8857559999999993E-2</v>
      </c>
      <c r="N5330">
        <v>-1.337556E-2</v>
      </c>
      <c r="O5330">
        <v>0.99679609999999996</v>
      </c>
      <c r="P5330">
        <v>-9.0863169999999993E-2</v>
      </c>
      <c r="Q5330">
        <v>0.15194199999999999</v>
      </c>
      <c r="R5330">
        <v>0.98420399999999997</v>
      </c>
      <c r="S5330">
        <v>0.14096069999999999</v>
      </c>
      <c r="T5330">
        <v>-0.81482929999999998</v>
      </c>
      <c r="U5330">
        <v>3.178375</v>
      </c>
      <c r="V5330">
        <v>-0.17161080000000001</v>
      </c>
      <c r="W5330">
        <v>0.161403399999999</v>
      </c>
      <c r="X5330">
        <v>0.97185319999999997</v>
      </c>
      <c r="Y5330">
        <v>-3.5791099999999999E-2</v>
      </c>
      <c r="Z5330">
        <v>-0.23404430000000001</v>
      </c>
      <c r="AA5330">
        <v>0.97156690000000001</v>
      </c>
      <c r="AB5330">
        <v>25</v>
      </c>
      <c r="AC5330">
        <v>2.6399999999995299E-2</v>
      </c>
      <c r="AD5330">
        <v>-0.20716290000000001</v>
      </c>
      <c r="AE5330">
        <v>0.54063000000000705</v>
      </c>
      <c r="AF5330">
        <v>-1.42337883426125E-2</v>
      </c>
      <c r="AG5330">
        <v>-0.20716290000000001</v>
      </c>
      <c r="AH5330">
        <v>0.471902167225213</v>
      </c>
      <c r="AI5330">
        <v>113.691668183918</v>
      </c>
      <c r="AJ5330">
        <v>91.727664906460603</v>
      </c>
      <c r="AK5330">
        <v>0.51556834978385302</v>
      </c>
      <c r="AL5330">
        <v>80.711635883205901</v>
      </c>
      <c r="AM5330">
        <v>100.014114189523</v>
      </c>
      <c r="AN5330">
        <v>0.99999998327921902</v>
      </c>
    </row>
    <row r="5331" spans="1:40" x14ac:dyDescent="0.25">
      <c r="A5331" t="str">
        <f>"20190303162705478"</f>
        <v>20190303162705478</v>
      </c>
      <c r="B5331" t="str">
        <f>"1551601625469842"</f>
        <v>1551601625469842</v>
      </c>
      <c r="C5331" t="s">
        <v>40</v>
      </c>
      <c r="D5331">
        <v>4.7247820000000003</v>
      </c>
      <c r="E5331">
        <v>0.50041229999999903</v>
      </c>
      <c r="F5331" t="s">
        <v>41</v>
      </c>
      <c r="G5331">
        <v>-188.61580000000001</v>
      </c>
      <c r="H5331" s="1">
        <v>-8.5190609999999899E-7</v>
      </c>
      <c r="I5331">
        <v>-18.953759999999999</v>
      </c>
      <c r="J5331">
        <v>-186.4153</v>
      </c>
      <c r="K5331">
        <v>1.12958799999999</v>
      </c>
      <c r="L5331">
        <v>-40.475279999999998</v>
      </c>
      <c r="M5331">
        <v>5.4345499999999998E-2</v>
      </c>
      <c r="N5331">
        <v>-1.3370409999999999E-2</v>
      </c>
      <c r="O5331">
        <v>0.99843269999999995</v>
      </c>
      <c r="P5331">
        <v>-0.107622</v>
      </c>
      <c r="Q5331">
        <v>0.15431539999999999</v>
      </c>
      <c r="R5331">
        <v>0.98214270000000004</v>
      </c>
      <c r="S5331">
        <v>-0.30346679999999998</v>
      </c>
      <c r="T5331">
        <v>-0.15633320000000001</v>
      </c>
      <c r="U5331">
        <v>3.0442809999999998</v>
      </c>
      <c r="V5331">
        <v>-0.164287299999999</v>
      </c>
      <c r="W5331">
        <v>0.16395489999999999</v>
      </c>
      <c r="X5331">
        <v>0.97269139999999998</v>
      </c>
      <c r="Y5331">
        <v>-0.15299279999999901</v>
      </c>
      <c r="Z5331">
        <v>-3.7350830000000002E-2</v>
      </c>
      <c r="AA5331">
        <v>0.98752119999999999</v>
      </c>
      <c r="AB5331">
        <v>25</v>
      </c>
      <c r="AC5331">
        <v>-2.2004999999999999</v>
      </c>
      <c r="AD5331">
        <v>-1.1295888519060999</v>
      </c>
      <c r="AE5331">
        <v>21.521519999999999</v>
      </c>
      <c r="AF5331">
        <v>-3.3577953352603398</v>
      </c>
      <c r="AG5331">
        <v>-1.1295888519060999</v>
      </c>
      <c r="AH5331">
        <v>21.312008123109202</v>
      </c>
      <c r="AI5331">
        <v>92.997076293770206</v>
      </c>
      <c r="AJ5331">
        <v>98.953586125294606</v>
      </c>
      <c r="AK5331">
        <v>21.604454418645201</v>
      </c>
      <c r="AL5331">
        <v>80.5634725348731</v>
      </c>
      <c r="AM5331">
        <v>99.586763228669994</v>
      </c>
      <c r="AN5331">
        <v>1.0000000429046201</v>
      </c>
    </row>
    <row r="5332" spans="1:40" x14ac:dyDescent="0.25">
      <c r="A5332" t="str">
        <f>"20190303162705501"</f>
        <v>20190303162705501</v>
      </c>
      <c r="B5332" t="str">
        <f>"1551601625489869"</f>
        <v>1551601625489869</v>
      </c>
      <c r="C5332" t="s">
        <v>40</v>
      </c>
      <c r="D5332">
        <v>4.7223199999999999</v>
      </c>
      <c r="E5332">
        <v>0.50134590000000001</v>
      </c>
      <c r="F5332" t="s">
        <v>41</v>
      </c>
      <c r="G5332">
        <v>-188.4024</v>
      </c>
      <c r="H5332" s="1">
        <v>-3.4016089999999998E-6</v>
      </c>
      <c r="I5332">
        <v>-23.098579999999998</v>
      </c>
      <c r="J5332">
        <v>-186.41579999999999</v>
      </c>
      <c r="K5332">
        <v>1.129529</v>
      </c>
      <c r="L5332">
        <v>-40.221559999999997</v>
      </c>
      <c r="M5332">
        <v>4.1346679999999997E-2</v>
      </c>
      <c r="N5332">
        <v>-1.336212E-2</v>
      </c>
      <c r="O5332">
        <v>0.99905549999999999</v>
      </c>
      <c r="P5332">
        <v>-0.1140829</v>
      </c>
      <c r="Q5332">
        <v>0.15211740000000001</v>
      </c>
      <c r="R5332">
        <v>0.98175630000000003</v>
      </c>
      <c r="S5332">
        <v>-0.34848020000000002</v>
      </c>
      <c r="T5332">
        <v>-0.19810520000000001</v>
      </c>
      <c r="U5332">
        <v>3.047485</v>
      </c>
      <c r="V5332">
        <v>-0.15796199999999999</v>
      </c>
      <c r="W5332">
        <v>0.16191729999999999</v>
      </c>
      <c r="X5332">
        <v>0.97407940000000004</v>
      </c>
      <c r="Y5332">
        <v>-0.15436759999999999</v>
      </c>
      <c r="Z5332">
        <v>-5.081753E-2</v>
      </c>
      <c r="AA5332">
        <v>0.98670570000000002</v>
      </c>
      <c r="AB5332">
        <v>25</v>
      </c>
      <c r="AC5332">
        <v>-1.9866000000000099</v>
      </c>
      <c r="AD5332">
        <v>-1.129532401609</v>
      </c>
      <c r="AE5332">
        <v>17.122979999999998</v>
      </c>
      <c r="AF5332">
        <v>-2.6814292109817401</v>
      </c>
      <c r="AG5332">
        <v>-1.129532401609</v>
      </c>
      <c r="AH5332">
        <v>16.9533953774549</v>
      </c>
      <c r="AI5332">
        <v>93.765074231051699</v>
      </c>
      <c r="AJ5332">
        <v>98.987719198974105</v>
      </c>
      <c r="AK5332">
        <v>17.201265095454499</v>
      </c>
      <c r="AL5332">
        <v>80.6817987293187</v>
      </c>
      <c r="AM5332">
        <v>99.211208704068795</v>
      </c>
      <c r="AN5332">
        <v>0.99999994149382299</v>
      </c>
    </row>
    <row r="5333" spans="1:40" x14ac:dyDescent="0.25">
      <c r="A5333" t="str">
        <f>"20190303162705523"</f>
        <v>20190303162705523</v>
      </c>
      <c r="B5333" t="str">
        <f>"1551601625509389"</f>
        <v>1551601625509389</v>
      </c>
      <c r="C5333" t="s">
        <v>40</v>
      </c>
      <c r="D5333">
        <v>4.6529920000000002</v>
      </c>
      <c r="E5333">
        <v>0.50216369999999999</v>
      </c>
      <c r="F5333" t="s">
        <v>41</v>
      </c>
      <c r="G5333">
        <v>-188.31209999999999</v>
      </c>
      <c r="H5333" s="1">
        <v>-2.9192630000000002E-6</v>
      </c>
      <c r="I5333">
        <v>-24.260280000000002</v>
      </c>
      <c r="J5333">
        <v>-186.41929999999999</v>
      </c>
      <c r="K5333">
        <v>1.1294249999999999</v>
      </c>
      <c r="L5333">
        <v>-39.980800000000002</v>
      </c>
      <c r="M5333">
        <v>2.9137139999999999E-2</v>
      </c>
      <c r="N5333">
        <v>-1.334893E-2</v>
      </c>
      <c r="O5333">
        <v>0.99948630000000005</v>
      </c>
      <c r="P5333">
        <v>-0.1189201</v>
      </c>
      <c r="Q5333">
        <v>0.14871219999999999</v>
      </c>
      <c r="R5333">
        <v>0.98170400000000002</v>
      </c>
      <c r="S5333">
        <v>-0.36199949999999997</v>
      </c>
      <c r="T5333">
        <v>-0.2156333</v>
      </c>
      <c r="U5333">
        <v>3.0470890000000002</v>
      </c>
      <c r="V5333">
        <v>-0.1507559</v>
      </c>
      <c r="W5333">
        <v>0.15869929999999999</v>
      </c>
      <c r="X5333">
        <v>0.97574959999999999</v>
      </c>
      <c r="Y5333">
        <v>-0.146587299999999</v>
      </c>
      <c r="Z5333">
        <v>-5.6574520000000003E-2</v>
      </c>
      <c r="AA5333">
        <v>0.98757859999999997</v>
      </c>
      <c r="AB5333">
        <v>25</v>
      </c>
      <c r="AC5333">
        <v>-1.89279999999999</v>
      </c>
      <c r="AD5333">
        <v>-1.1294279192629999</v>
      </c>
      <c r="AE5333">
        <v>15.72052</v>
      </c>
      <c r="AF5333">
        <v>-2.3381917005104</v>
      </c>
      <c r="AG5333">
        <v>-1.1294279192629999</v>
      </c>
      <c r="AH5333">
        <v>15.579423115203999</v>
      </c>
      <c r="AI5333">
        <v>94.100629123968702</v>
      </c>
      <c r="AJ5333">
        <v>98.535363015530905</v>
      </c>
      <c r="AK5333">
        <v>15.7943398866714</v>
      </c>
      <c r="AL5333">
        <v>80.868593409799999</v>
      </c>
      <c r="AM5333">
        <v>98.782903453892402</v>
      </c>
      <c r="AN5333">
        <v>1.00000004555272</v>
      </c>
    </row>
    <row r="5334" spans="1:40" x14ac:dyDescent="0.25">
      <c r="A5334" t="str">
        <f>"20190303162705547"</f>
        <v>20190303162705547</v>
      </c>
      <c r="B5334" t="str">
        <f>"1551601625539646"</f>
        <v>1551601625539646</v>
      </c>
      <c r="C5334" t="s">
        <v>40</v>
      </c>
      <c r="D5334">
        <v>4.565334</v>
      </c>
      <c r="E5334">
        <v>0.50276080000000001</v>
      </c>
      <c r="F5334" t="s">
        <v>41</v>
      </c>
      <c r="G5334">
        <v>-188.20849999999999</v>
      </c>
      <c r="H5334" s="1">
        <v>-2.5057380000000002E-6</v>
      </c>
      <c r="I5334">
        <v>-25.267019999999999</v>
      </c>
      <c r="J5334">
        <v>-186.42679999999999</v>
      </c>
      <c r="K5334">
        <v>1.1292489999999999</v>
      </c>
      <c r="L5334">
        <v>-39.708370000000002</v>
      </c>
      <c r="M5334">
        <v>1.5576059999999999E-2</v>
      </c>
      <c r="N5334">
        <v>-1.332302E-2</v>
      </c>
      <c r="O5334">
        <v>0.99978990000000001</v>
      </c>
      <c r="P5334">
        <v>-0.1253891</v>
      </c>
      <c r="Q5334">
        <v>0.14555460000000001</v>
      </c>
      <c r="R5334">
        <v>0.98137220000000003</v>
      </c>
      <c r="S5334">
        <v>-0.37046810000000002</v>
      </c>
      <c r="T5334">
        <v>-0.2338471</v>
      </c>
      <c r="U5334">
        <v>3.046478</v>
      </c>
      <c r="V5334">
        <v>-0.143819899999999</v>
      </c>
      <c r="W5334">
        <v>0.15573020000000001</v>
      </c>
      <c r="X5334">
        <v>0.97727370000000002</v>
      </c>
      <c r="Y5334">
        <v>-0.1358473</v>
      </c>
      <c r="Z5334">
        <v>-6.2584650000000006E-2</v>
      </c>
      <c r="AA5334">
        <v>0.98875109999999999</v>
      </c>
      <c r="AB5334">
        <v>25</v>
      </c>
      <c r="AC5334">
        <v>-1.7817000000000001</v>
      </c>
      <c r="AD5334">
        <v>-1.1292515057379999</v>
      </c>
      <c r="AE5334">
        <v>14.44135</v>
      </c>
      <c r="AF5334">
        <v>-1.9944308807098099</v>
      </c>
      <c r="AG5334">
        <v>-1.1292515057379999</v>
      </c>
      <c r="AH5334">
        <v>14.3255621157408</v>
      </c>
      <c r="AI5334">
        <v>94.464295059652002</v>
      </c>
      <c r="AJ5334">
        <v>97.925876592930393</v>
      </c>
      <c r="AK5334">
        <v>14.507745980444</v>
      </c>
      <c r="AL5334">
        <v>81.040851841696096</v>
      </c>
      <c r="AM5334">
        <v>98.371807202321094</v>
      </c>
      <c r="AN5334">
        <v>0.99999997176986899</v>
      </c>
    </row>
    <row r="5335" spans="1:40" x14ac:dyDescent="0.25">
      <c r="A5335" t="str">
        <f>"20190303162705572"</f>
        <v>20190303162705572</v>
      </c>
      <c r="B5335" t="str">
        <f>"1551601625559166"</f>
        <v>1551601625559166</v>
      </c>
      <c r="C5335" t="s">
        <v>40</v>
      </c>
      <c r="D5335">
        <v>4.6081130000000003</v>
      </c>
      <c r="E5335">
        <v>0.50299870000000002</v>
      </c>
      <c r="F5335" t="s">
        <v>41</v>
      </c>
      <c r="G5335">
        <v>-188.1679</v>
      </c>
      <c r="H5335" s="1">
        <v>-2.2080089999999999E-6</v>
      </c>
      <c r="I5335">
        <v>-25.97784</v>
      </c>
      <c r="J5335">
        <v>-186.43770000000001</v>
      </c>
      <c r="K5335">
        <v>1.1290530000000001</v>
      </c>
      <c r="L5335">
        <v>-39.432920000000003</v>
      </c>
      <c r="M5335">
        <v>2.117524E-3</v>
      </c>
      <c r="N5335">
        <v>-1.3289459999999999E-2</v>
      </c>
      <c r="O5335">
        <v>0.99990950000000001</v>
      </c>
      <c r="P5335">
        <v>-0.13055600000000001</v>
      </c>
      <c r="Q5335">
        <v>0.14203460000000001</v>
      </c>
      <c r="R5335">
        <v>0.98121420000000004</v>
      </c>
      <c r="S5335">
        <v>-0.38609310000000002</v>
      </c>
      <c r="T5335">
        <v>-0.25041340000000001</v>
      </c>
      <c r="U5335">
        <v>3.0447690000000001</v>
      </c>
      <c r="V5335">
        <v>-0.13565479999999899</v>
      </c>
      <c r="W5335">
        <v>0.1524219</v>
      </c>
      <c r="X5335">
        <v>0.97896130000000003</v>
      </c>
      <c r="Y5335">
        <v>-0.1275268</v>
      </c>
      <c r="Z5335">
        <v>-6.8054859999999995E-2</v>
      </c>
      <c r="AA5335">
        <v>0.98949759999999998</v>
      </c>
      <c r="AB5335">
        <v>25</v>
      </c>
      <c r="AC5335">
        <v>-1.73019999999999</v>
      </c>
      <c r="AD5335">
        <v>-1.1290552080089999</v>
      </c>
      <c r="AE5335">
        <v>13.455080000000001</v>
      </c>
      <c r="AF5335">
        <v>-1.7465917274234</v>
      </c>
      <c r="AG5335">
        <v>-1.1290552080089999</v>
      </c>
      <c r="AH5335">
        <v>13.3588511331055</v>
      </c>
      <c r="AI5335">
        <v>94.790430292805496</v>
      </c>
      <c r="AJ5335">
        <v>97.448836586587205</v>
      </c>
      <c r="AK5335">
        <v>13.519772628321499</v>
      </c>
      <c r="AL5335">
        <v>81.232694114052194</v>
      </c>
      <c r="AM5335">
        <v>97.889244334505406</v>
      </c>
      <c r="AN5335">
        <v>0.99999994363016798</v>
      </c>
    </row>
    <row r="5336" spans="1:40" x14ac:dyDescent="0.25">
      <c r="A5336" t="str">
        <f>"20190303162705615"</f>
        <v>20190303162705615</v>
      </c>
      <c r="B5336" t="str">
        <f>"1551601625599690"</f>
        <v>1551601625599690</v>
      </c>
      <c r="C5336" t="s">
        <v>40</v>
      </c>
      <c r="D5336">
        <v>4.5441330000000004</v>
      </c>
      <c r="E5336">
        <v>0.5034457</v>
      </c>
      <c r="F5336" t="s">
        <v>41</v>
      </c>
      <c r="G5336">
        <v>-188.14609999999999</v>
      </c>
      <c r="H5336" s="1">
        <v>-2.0006130000000001E-6</v>
      </c>
      <c r="I5336">
        <v>-26.470279999999999</v>
      </c>
      <c r="J5336">
        <v>-186.4631</v>
      </c>
      <c r="K5336">
        <v>1.128622</v>
      </c>
      <c r="L5336">
        <v>-38.973660000000002</v>
      </c>
      <c r="M5336">
        <v>-1.944309E-2</v>
      </c>
      <c r="N5336">
        <v>-1.321835E-2</v>
      </c>
      <c r="O5336">
        <v>0.99972360000000005</v>
      </c>
      <c r="P5336">
        <v>-0.13297120000000001</v>
      </c>
      <c r="Q5336">
        <v>0.13991579999999901</v>
      </c>
      <c r="R5336">
        <v>0.98119429999999996</v>
      </c>
      <c r="S5336">
        <v>-0.4009857</v>
      </c>
      <c r="T5336">
        <v>-0.2649994</v>
      </c>
      <c r="U5336">
        <v>3.0424500000000001</v>
      </c>
      <c r="V5336">
        <v>-0.1166991</v>
      </c>
      <c r="W5336">
        <v>0.150754799999999</v>
      </c>
      <c r="X5336">
        <v>0.98165899999999995</v>
      </c>
      <c r="Y5336">
        <v>-0.1109434</v>
      </c>
      <c r="Z5336">
        <v>-7.2950829999999994E-2</v>
      </c>
      <c r="AA5336">
        <v>0.99114570000000002</v>
      </c>
      <c r="AB5336">
        <v>25</v>
      </c>
      <c r="AC5336">
        <v>-1.6829999999999901</v>
      </c>
      <c r="AD5336">
        <v>-1.1286240006129999</v>
      </c>
      <c r="AE5336">
        <v>12.5033799999999</v>
      </c>
      <c r="AF5336">
        <v>-1.4281271100581101</v>
      </c>
      <c r="AG5336">
        <v>-1.1286240006129999</v>
      </c>
      <c r="AH5336">
        <v>12.434232102691601</v>
      </c>
      <c r="AI5336">
        <v>95.152691498409297</v>
      </c>
      <c r="AJ5336">
        <v>96.551966716862196</v>
      </c>
      <c r="AK5336">
        <v>12.566760408349101</v>
      </c>
      <c r="AL5336">
        <v>81.329329512888506</v>
      </c>
      <c r="AM5336">
        <v>96.779474693341001</v>
      </c>
      <c r="AN5336">
        <v>1.0000000409724199</v>
      </c>
    </row>
    <row r="5337" spans="1:40" x14ac:dyDescent="0.25">
      <c r="A5337" t="str">
        <f>"20190303162705640"</f>
        <v>20190303162705640</v>
      </c>
      <c r="B5337" t="str">
        <f>"1551601625629946"</f>
        <v>1551601625629946</v>
      </c>
      <c r="C5337" t="s">
        <v>40</v>
      </c>
      <c r="D5337">
        <v>4.5460079999999996</v>
      </c>
      <c r="E5337">
        <v>0.50364249999999999</v>
      </c>
      <c r="F5337" t="s">
        <v>41</v>
      </c>
      <c r="G5337">
        <v>-188.13059999999999</v>
      </c>
      <c r="H5337" s="1">
        <v>-2.0033080000000002E-6</v>
      </c>
      <c r="I5337">
        <v>-26.470420000000001</v>
      </c>
      <c r="J5337">
        <v>-186.483</v>
      </c>
      <c r="K5337">
        <v>1.128274</v>
      </c>
      <c r="L5337">
        <v>-38.687710000000003</v>
      </c>
      <c r="M5337">
        <v>-3.2164289999999998E-2</v>
      </c>
      <c r="N5337">
        <v>-1.315907E-2</v>
      </c>
      <c r="O5337">
        <v>0.99939599999999995</v>
      </c>
      <c r="P5337">
        <v>-0.13429140000000001</v>
      </c>
      <c r="Q5337">
        <v>0.13823009999999999</v>
      </c>
      <c r="R5337">
        <v>0.98125340000000005</v>
      </c>
      <c r="S5337">
        <v>-0.40567019999999998</v>
      </c>
      <c r="T5337">
        <v>-0.27456239999999998</v>
      </c>
      <c r="U5337">
        <v>3.041687</v>
      </c>
      <c r="V5337">
        <v>-0.1053409</v>
      </c>
      <c r="W5337">
        <v>0.14932400000000001</v>
      </c>
      <c r="X5337">
        <v>0.98316099999999995</v>
      </c>
      <c r="Y5337">
        <v>-9.9795560000000005E-2</v>
      </c>
      <c r="Z5337">
        <v>-7.6129530000000001E-2</v>
      </c>
      <c r="AA5337">
        <v>0.99209130000000001</v>
      </c>
      <c r="AB5337">
        <v>25</v>
      </c>
      <c r="AC5337">
        <v>-1.64759999999998</v>
      </c>
      <c r="AD5337">
        <v>-1.1282760033079999</v>
      </c>
      <c r="AE5337">
        <v>12.217289999999901</v>
      </c>
      <c r="AF5337">
        <v>-1.2433382983758601</v>
      </c>
      <c r="AG5337">
        <v>-1.1282760033079999</v>
      </c>
      <c r="AH5337">
        <v>12.1620924551532</v>
      </c>
      <c r="AI5337">
        <v>95.2728274956836</v>
      </c>
      <c r="AJ5337">
        <v>95.837104921229695</v>
      </c>
      <c r="AK5337">
        <v>12.2774341680802</v>
      </c>
      <c r="AL5337">
        <v>81.412246216107505</v>
      </c>
      <c r="AM5337">
        <v>96.115631555423505</v>
      </c>
      <c r="AN5337">
        <v>0.99999995705490397</v>
      </c>
    </row>
    <row r="5338" spans="1:40" x14ac:dyDescent="0.25">
      <c r="A5338" t="str">
        <f>"20190303162705680"</f>
        <v>20190303162705680</v>
      </c>
      <c r="B5338" t="str">
        <f>"1551601625668987"</f>
        <v>1551601625668987</v>
      </c>
      <c r="C5338" t="s">
        <v>40</v>
      </c>
      <c r="D5338">
        <v>4.5268040000000003</v>
      </c>
      <c r="E5338">
        <v>0.50378319999999999</v>
      </c>
      <c r="F5338" t="s">
        <v>41</v>
      </c>
      <c r="G5338">
        <v>-188.12129999999999</v>
      </c>
      <c r="H5338" s="1">
        <v>-1.996373E-6</v>
      </c>
      <c r="I5338">
        <v>-26.49042</v>
      </c>
      <c r="J5338">
        <v>-186.5181</v>
      </c>
      <c r="K5338">
        <v>1.1275409999999999</v>
      </c>
      <c r="L5338">
        <v>-38.261110000000002</v>
      </c>
      <c r="M5338">
        <v>-4.9555479999999999E-2</v>
      </c>
      <c r="N5338">
        <v>-1.304425E-2</v>
      </c>
      <c r="O5338">
        <v>0.99868619999999997</v>
      </c>
      <c r="P5338">
        <v>-0.11832479999999999</v>
      </c>
      <c r="Q5338">
        <v>0.1301863</v>
      </c>
      <c r="R5338">
        <v>0.98440380000000005</v>
      </c>
      <c r="S5338">
        <v>-0.4084778</v>
      </c>
      <c r="T5338">
        <v>-0.28130339999999998</v>
      </c>
      <c r="U5338">
        <v>3.0410460000000001</v>
      </c>
      <c r="V5338">
        <v>-7.1692809999999996E-2</v>
      </c>
      <c r="W5338">
        <v>0.1419387</v>
      </c>
      <c r="X5338">
        <v>0.98727580000000004</v>
      </c>
      <c r="Y5338">
        <v>-8.3376710000000007E-2</v>
      </c>
      <c r="Z5338">
        <v>-7.8418920000000003E-2</v>
      </c>
      <c r="AA5338">
        <v>0.99342779999999997</v>
      </c>
      <c r="AB5338">
        <v>25</v>
      </c>
      <c r="AC5338">
        <v>-1.60319999999998</v>
      </c>
      <c r="AD5338">
        <v>-1.1275429963729999</v>
      </c>
      <c r="AE5338">
        <v>11.770689999999901</v>
      </c>
      <c r="AF5338">
        <v>-1.00878986228867</v>
      </c>
      <c r="AG5338">
        <v>-1.1275429963729999</v>
      </c>
      <c r="AH5338">
        <v>11.7300035318856</v>
      </c>
      <c r="AI5338">
        <v>95.470599328427696</v>
      </c>
      <c r="AJ5338">
        <v>94.915389233567495</v>
      </c>
      <c r="AK5338">
        <v>11.827171811256299</v>
      </c>
      <c r="AL5338">
        <v>81.839953805601496</v>
      </c>
      <c r="AM5338">
        <v>94.153345964867597</v>
      </c>
      <c r="AN5338">
        <v>0.99999997941451202</v>
      </c>
    </row>
    <row r="5339" spans="1:40" x14ac:dyDescent="0.25">
      <c r="A5339" t="str">
        <f>"20190303162705723"</f>
        <v>20190303162705723</v>
      </c>
      <c r="B5339" t="str">
        <f>"1551601625709509"</f>
        <v>1551601625709509</v>
      </c>
      <c r="C5339" t="s">
        <v>40</v>
      </c>
      <c r="D5339">
        <v>4.5394259999999997</v>
      </c>
      <c r="E5339">
        <v>0.50380659999999999</v>
      </c>
      <c r="F5339" t="s">
        <v>41</v>
      </c>
      <c r="G5339">
        <v>-187.86099999999999</v>
      </c>
      <c r="H5339" s="1">
        <v>-1.7889909999999999E-6</v>
      </c>
      <c r="I5339">
        <v>-27.08146</v>
      </c>
      <c r="J5339">
        <v>-186.56309999999999</v>
      </c>
      <c r="K5339">
        <v>1.1264609999999999</v>
      </c>
      <c r="L5339">
        <v>-37.783969999999997</v>
      </c>
      <c r="M5339">
        <v>-6.6385250000000007E-2</v>
      </c>
      <c r="N5339">
        <v>-1.2889589999999999E-2</v>
      </c>
      <c r="O5339">
        <v>0.99771080000000001</v>
      </c>
      <c r="P5339">
        <v>-9.7011390000000003E-2</v>
      </c>
      <c r="Q5339">
        <v>0.12286909999999999</v>
      </c>
      <c r="R5339">
        <v>0.98767000000000005</v>
      </c>
      <c r="S5339">
        <v>-0.36567690000000003</v>
      </c>
      <c r="T5339">
        <v>-0.30702689999999999</v>
      </c>
      <c r="U5339">
        <v>3.0441889999999998</v>
      </c>
      <c r="V5339">
        <v>-3.3068149999999998E-2</v>
      </c>
      <c r="W5339">
        <v>0.13520739999999901</v>
      </c>
      <c r="X5339">
        <v>0.99026539999999996</v>
      </c>
      <c r="Y5339">
        <v>-5.2595980000000001E-2</v>
      </c>
      <c r="Z5339">
        <v>-8.6811139999999995E-2</v>
      </c>
      <c r="AA5339">
        <v>0.99483540000000004</v>
      </c>
      <c r="AB5339">
        <v>25</v>
      </c>
      <c r="AC5339">
        <v>-1.2978999999999901</v>
      </c>
      <c r="AD5339">
        <v>-1.1264627889909999</v>
      </c>
      <c r="AE5339">
        <v>10.70251</v>
      </c>
      <c r="AF5339">
        <v>-0.578176383693778</v>
      </c>
      <c r="AG5339">
        <v>-1.1264627889909999</v>
      </c>
      <c r="AH5339">
        <v>10.6488075977456</v>
      </c>
      <c r="AI5339">
        <v>96.029647165385398</v>
      </c>
      <c r="AJ5339">
        <v>93.107819494666799</v>
      </c>
      <c r="AK5339">
        <v>10.7238197299025</v>
      </c>
      <c r="AL5339">
        <v>82.229387421887495</v>
      </c>
      <c r="AM5339">
        <v>91.912579850294804</v>
      </c>
      <c r="AN5339">
        <v>1.0000000529981601</v>
      </c>
    </row>
    <row r="5340" spans="1:40" x14ac:dyDescent="0.25">
      <c r="A5340" t="str">
        <f>"20190303162705770"</f>
        <v>20190303162705770</v>
      </c>
      <c r="B5340" t="str">
        <f>"1551601625759284"</f>
        <v>1551601625759284</v>
      </c>
      <c r="C5340" t="s">
        <v>40</v>
      </c>
      <c r="D5340">
        <v>4.5543440000000004</v>
      </c>
      <c r="E5340">
        <v>0.50325719999999996</v>
      </c>
      <c r="F5340" t="s">
        <v>42</v>
      </c>
      <c r="G5340">
        <v>-186.65559999999999</v>
      </c>
      <c r="H5340">
        <v>1.025169</v>
      </c>
      <c r="I5340">
        <v>-36.85107</v>
      </c>
      <c r="J5340">
        <v>-186.61680000000001</v>
      </c>
      <c r="K5340">
        <v>1.1254150000000001</v>
      </c>
      <c r="L5340">
        <v>-37.268070000000002</v>
      </c>
      <c r="M5340">
        <v>-8.1262319999999999E-2</v>
      </c>
      <c r="N5340">
        <v>-1.2731060000000001E-2</v>
      </c>
      <c r="O5340">
        <v>0.99661140000000004</v>
      </c>
      <c r="P5340">
        <v>-7.8409599999999996E-2</v>
      </c>
      <c r="Q5340">
        <v>0.12270639999999899</v>
      </c>
      <c r="R5340">
        <v>0.98934069999999996</v>
      </c>
      <c r="S5340">
        <v>-0.30253600000000003</v>
      </c>
      <c r="T5340">
        <v>-0.33106940000000001</v>
      </c>
      <c r="U5340">
        <v>3.0489199999999999</v>
      </c>
      <c r="V5340">
        <v>7.613486E-4</v>
      </c>
      <c r="W5340">
        <v>0.1353482</v>
      </c>
      <c r="X5340">
        <v>0.99079779999999995</v>
      </c>
      <c r="Y5340">
        <v>-1.708689E-2</v>
      </c>
      <c r="Z5340">
        <v>-9.4535599999999997E-2</v>
      </c>
      <c r="AA5340">
        <v>0.99537489999999995</v>
      </c>
      <c r="AB5340">
        <v>25</v>
      </c>
      <c r="AC5340">
        <v>-3.87999999999806E-2</v>
      </c>
      <c r="AD5340">
        <v>-0.100246</v>
      </c>
      <c r="AE5340">
        <v>0.41700000000000098</v>
      </c>
      <c r="AF5340">
        <v>-4.5233560310796303E-3</v>
      </c>
      <c r="AG5340">
        <v>-0.100246</v>
      </c>
      <c r="AH5340">
        <v>0.396080379071508</v>
      </c>
      <c r="AI5340">
        <v>104.20213709602</v>
      </c>
      <c r="AJ5340">
        <v>90.654306441733496</v>
      </c>
      <c r="AK5340">
        <v>0.40859440518834</v>
      </c>
      <c r="AL5340">
        <v>82.221244899211797</v>
      </c>
      <c r="AM5340">
        <v>89.955972799967398</v>
      </c>
      <c r="AN5340">
        <v>0.99999999768988501</v>
      </c>
    </row>
    <row r="5341" spans="1:40" x14ac:dyDescent="0.25">
      <c r="A5341" t="str">
        <f>"20190303162705795"</f>
        <v>20190303162705795</v>
      </c>
      <c r="B5341" t="str">
        <f>"1551601625790048"</f>
        <v>1551601625790048</v>
      </c>
      <c r="C5341" t="s">
        <v>40</v>
      </c>
      <c r="D5341">
        <v>4.5627620000000002</v>
      </c>
      <c r="E5341">
        <v>0.50287020000000004</v>
      </c>
      <c r="F5341" t="s">
        <v>42</v>
      </c>
      <c r="G5341">
        <v>-186.6865</v>
      </c>
      <c r="H5341">
        <v>1.0317000000000001</v>
      </c>
      <c r="I5341">
        <v>-36.405889999999999</v>
      </c>
      <c r="J5341">
        <v>-186.648</v>
      </c>
      <c r="K5341">
        <v>1.1248990000000001</v>
      </c>
      <c r="L5341">
        <v>-36.985840000000003</v>
      </c>
      <c r="M5341">
        <v>-8.7988300000000005E-2</v>
      </c>
      <c r="N5341">
        <v>-1.264818E-2</v>
      </c>
      <c r="O5341">
        <v>0.99604119999999996</v>
      </c>
      <c r="P5341">
        <v>-7.1128070000000002E-2</v>
      </c>
      <c r="Q5341">
        <v>0.1268205</v>
      </c>
      <c r="R5341">
        <v>0.98937220000000003</v>
      </c>
      <c r="S5341">
        <v>-0.24700929999999999</v>
      </c>
      <c r="T5341">
        <v>-0.33203389999999999</v>
      </c>
      <c r="U5341">
        <v>3.053925</v>
      </c>
      <c r="V5341">
        <v>1.4853659999999999E-2</v>
      </c>
      <c r="W5341">
        <v>0.1395055</v>
      </c>
      <c r="X5341">
        <v>0.99010989999999999</v>
      </c>
      <c r="Y5341">
        <v>7.7608019999999998E-3</v>
      </c>
      <c r="Z5341">
        <v>-9.4747600000000001E-2</v>
      </c>
      <c r="AA5341">
        <v>0.99547110000000005</v>
      </c>
      <c r="AB5341">
        <v>25</v>
      </c>
      <c r="AC5341">
        <v>-3.8499999999999E-2</v>
      </c>
      <c r="AD5341">
        <v>-9.3198999999999796E-2</v>
      </c>
      <c r="AE5341">
        <v>0.57995000000000296</v>
      </c>
      <c r="AF5341">
        <v>1.2364334219894E-2</v>
      </c>
      <c r="AG5341">
        <v>-9.3198999999999796E-2</v>
      </c>
      <c r="AH5341">
        <v>0.566521858740754</v>
      </c>
      <c r="AI5341">
        <v>99.339915281629004</v>
      </c>
      <c r="AJ5341">
        <v>88.749718643299303</v>
      </c>
      <c r="AK5341">
        <v>0.57426992502897101</v>
      </c>
      <c r="AL5341">
        <v>81.980767437516704</v>
      </c>
      <c r="AM5341">
        <v>89.140511380858499</v>
      </c>
      <c r="AN5341">
        <v>1.00000001491182</v>
      </c>
    </row>
    <row r="5342" spans="1:40" x14ac:dyDescent="0.25">
      <c r="A5342" t="str">
        <f>"20190303162705836"</f>
        <v>20190303162705836</v>
      </c>
      <c r="B5342" t="str">
        <f>"1551601625829088"</f>
        <v>1551601625829088</v>
      </c>
      <c r="C5342" t="s">
        <v>40</v>
      </c>
      <c r="D5342">
        <v>4.5523160000000003</v>
      </c>
      <c r="E5342">
        <v>0.4960677</v>
      </c>
      <c r="F5342" t="s">
        <v>42</v>
      </c>
      <c r="G5342">
        <v>-186.7072</v>
      </c>
      <c r="H5342">
        <v>1.0421199999999999</v>
      </c>
      <c r="I5342">
        <v>-36.178449999999998</v>
      </c>
      <c r="J5342">
        <v>-186.6996</v>
      </c>
      <c r="K5342">
        <v>1.1237889999999999</v>
      </c>
      <c r="L5342">
        <v>-36.53098</v>
      </c>
      <c r="M5342">
        <v>-9.6139550000000004E-2</v>
      </c>
      <c r="N5342">
        <v>-1.251114E-2</v>
      </c>
      <c r="O5342">
        <v>0.99528919999999999</v>
      </c>
      <c r="P5342">
        <v>-6.4815310000000001E-2</v>
      </c>
      <c r="Q5342">
        <v>0.13614389999999901</v>
      </c>
      <c r="R5342">
        <v>0.98856650000000001</v>
      </c>
      <c r="S5342">
        <v>-0.22476199999999999</v>
      </c>
      <c r="T5342">
        <v>-0.31344450000000001</v>
      </c>
      <c r="U5342">
        <v>3.056244</v>
      </c>
      <c r="V5342">
        <v>2.9502299999999902E-2</v>
      </c>
      <c r="W5342">
        <v>0.14873029999999901</v>
      </c>
      <c r="X5342">
        <v>0.98843760000000003</v>
      </c>
      <c r="Y5342">
        <v>2.3158450000000001E-2</v>
      </c>
      <c r="Z5342">
        <v>-8.8758480000000001E-2</v>
      </c>
      <c r="AA5342">
        <v>0.99578390000000006</v>
      </c>
      <c r="AB5342">
        <v>25</v>
      </c>
      <c r="AC5342">
        <v>-7.5999999999964898E-3</v>
      </c>
      <c r="AD5342">
        <v>-8.16689999999997E-2</v>
      </c>
      <c r="AE5342">
        <v>0.35253000000000101</v>
      </c>
      <c r="AF5342">
        <v>2.49894093889079E-2</v>
      </c>
      <c r="AG5342">
        <v>-8.16689999999997E-2</v>
      </c>
      <c r="AH5342">
        <v>0.333725168339774</v>
      </c>
      <c r="AI5342">
        <v>103.714190442684</v>
      </c>
      <c r="AJ5342">
        <v>85.717672024249097</v>
      </c>
      <c r="AK5342">
        <v>0.34448045536142802</v>
      </c>
      <c r="AL5342">
        <v>81.446647141668095</v>
      </c>
      <c r="AM5342">
        <v>88.290377073397593</v>
      </c>
      <c r="AN5342">
        <v>0.99999998846856997</v>
      </c>
    </row>
    <row r="5343" spans="1:40" x14ac:dyDescent="0.25">
      <c r="A5343" t="str">
        <f>"20190303162705878"</f>
        <v>20190303162705878</v>
      </c>
      <c r="B5343" t="str">
        <f>"1551601625869103"</f>
        <v>1551601625869103</v>
      </c>
      <c r="C5343" t="s">
        <v>40</v>
      </c>
      <c r="D5343">
        <v>4.5990390000000003</v>
      </c>
      <c r="E5343">
        <v>0.49495030000000001</v>
      </c>
      <c r="F5343" t="s">
        <v>41</v>
      </c>
      <c r="G5343">
        <v>-193.55520000000001</v>
      </c>
      <c r="H5343" s="1">
        <v>-1.115991E-6</v>
      </c>
      <c r="I5343">
        <v>49.98545</v>
      </c>
      <c r="J5343">
        <v>-186.75129999999999</v>
      </c>
      <c r="K5343">
        <v>1.1221840000000001</v>
      </c>
      <c r="L5343">
        <v>-36.067869999999999</v>
      </c>
      <c r="M5343">
        <v>-0.10052990000000001</v>
      </c>
      <c r="N5343">
        <v>-1.240835E-2</v>
      </c>
      <c r="O5343">
        <v>0.99485670000000004</v>
      </c>
      <c r="P5343">
        <v>-6.4803620000000006E-2</v>
      </c>
      <c r="Q5343">
        <v>0.14058109999999999</v>
      </c>
      <c r="R5343">
        <v>0.98794610000000005</v>
      </c>
      <c r="S5343">
        <v>-0.23965449999999999</v>
      </c>
      <c r="T5343">
        <v>-3.928471E-2</v>
      </c>
      <c r="U5343">
        <v>3.024384</v>
      </c>
      <c r="V5343">
        <v>3.4390709999999998E-2</v>
      </c>
      <c r="W5343">
        <v>0.152952</v>
      </c>
      <c r="X5343">
        <v>0.98763500000000004</v>
      </c>
      <c r="Y5343">
        <v>2.1627179999999999E-2</v>
      </c>
      <c r="Z5343">
        <v>-5.0904070000000001E-4</v>
      </c>
      <c r="AA5343">
        <v>0.99976600000000004</v>
      </c>
      <c r="AB5343">
        <v>25</v>
      </c>
      <c r="AC5343">
        <v>-6.80390000000002</v>
      </c>
      <c r="AD5343">
        <v>-1.1221851159909999</v>
      </c>
      <c r="AE5343">
        <v>86.053319999999999</v>
      </c>
      <c r="AF5343">
        <v>1.88185294474983</v>
      </c>
      <c r="AG5343">
        <v>-1.1221851159909999</v>
      </c>
      <c r="AH5343">
        <v>86.286775389855507</v>
      </c>
      <c r="AI5343">
        <v>90.744929486131795</v>
      </c>
      <c r="AJ5343">
        <v>88.750618032077099</v>
      </c>
      <c r="AK5343">
        <v>86.314589016686995</v>
      </c>
      <c r="AL5343">
        <v>81.201961447084599</v>
      </c>
      <c r="AM5343">
        <v>88.005693687208193</v>
      </c>
      <c r="AN5343">
        <v>0.99999996423165105</v>
      </c>
    </row>
    <row r="5344" spans="1:40" x14ac:dyDescent="0.25">
      <c r="A5344" t="str">
        <f>"20190303162705900"</f>
        <v>20190303162705900</v>
      </c>
      <c r="B5344" t="str">
        <f>"1551601625889132"</f>
        <v>1551601625889132</v>
      </c>
      <c r="C5344" t="s">
        <v>40</v>
      </c>
      <c r="D5344">
        <v>4.6390099999999999</v>
      </c>
      <c r="E5344">
        <v>0.49396079999999998</v>
      </c>
      <c r="F5344" t="s">
        <v>41</v>
      </c>
      <c r="G5344">
        <v>-192.67320000000001</v>
      </c>
      <c r="H5344" s="1">
        <v>-4.3471310000000001E-6</v>
      </c>
      <c r="I5344">
        <v>38.367600000000003</v>
      </c>
      <c r="J5344">
        <v>-186.77879999999999</v>
      </c>
      <c r="K5344">
        <v>1.121243</v>
      </c>
      <c r="L5344">
        <v>-35.810179999999903</v>
      </c>
      <c r="M5344">
        <v>-0.1012232</v>
      </c>
      <c r="N5344">
        <v>-1.2374420000000001E-2</v>
      </c>
      <c r="O5344">
        <v>0.99478679999999997</v>
      </c>
      <c r="P5344">
        <v>-6.6198439999999997E-2</v>
      </c>
      <c r="Q5344">
        <v>0.1347216</v>
      </c>
      <c r="R5344">
        <v>0.98866980000000004</v>
      </c>
      <c r="S5344">
        <v>-0.24084469999999999</v>
      </c>
      <c r="T5344">
        <v>-4.5639279999999997E-2</v>
      </c>
      <c r="U5344">
        <v>3.0272830000000002</v>
      </c>
      <c r="V5344">
        <v>3.4116939999999998E-2</v>
      </c>
      <c r="W5344">
        <v>0.1469906</v>
      </c>
      <c r="X5344">
        <v>0.98854940000000002</v>
      </c>
      <c r="Y5344">
        <v>2.20086E-2</v>
      </c>
      <c r="Z5344">
        <v>-2.608478E-3</v>
      </c>
      <c r="AA5344">
        <v>0.99975440000000004</v>
      </c>
      <c r="AB5344">
        <v>25</v>
      </c>
      <c r="AC5344">
        <v>-5.8944000000000099</v>
      </c>
      <c r="AD5344">
        <v>-1.121247347131</v>
      </c>
      <c r="AE5344">
        <v>74.177779999999998</v>
      </c>
      <c r="AF5344">
        <v>1.64459345741538</v>
      </c>
      <c r="AG5344">
        <v>-1.121247347131</v>
      </c>
      <c r="AH5344">
        <v>74.376533760998598</v>
      </c>
      <c r="AI5344">
        <v>90.863473676156005</v>
      </c>
      <c r="AJ5344">
        <v>88.733297897782407</v>
      </c>
      <c r="AK5344">
        <v>74.403162953967097</v>
      </c>
      <c r="AL5344">
        <v>81.547433034399603</v>
      </c>
      <c r="AM5344">
        <v>88.023385446240397</v>
      </c>
      <c r="AN5344">
        <v>1.0000000591618401</v>
      </c>
    </row>
    <row r="5345" spans="1:40" x14ac:dyDescent="0.25">
      <c r="A5345" t="str">
        <f>"20190303162705925"</f>
        <v>20190303162705925</v>
      </c>
      <c r="B5345" t="str">
        <f>"1551601625919387"</f>
        <v>1551601625919387</v>
      </c>
      <c r="C5345" t="s">
        <v>40</v>
      </c>
      <c r="D5345">
        <v>4.6449319999999998</v>
      </c>
      <c r="E5345">
        <v>0.49313360000000001</v>
      </c>
      <c r="F5345" t="s">
        <v>41</v>
      </c>
      <c r="G5345">
        <v>-190.54859999999999</v>
      </c>
      <c r="H5345" s="1">
        <v>-2.6358890000000003E-7</v>
      </c>
      <c r="I5345">
        <v>9.8632659999999994</v>
      </c>
      <c r="J5345">
        <v>-186.8049</v>
      </c>
      <c r="K5345">
        <v>1.1203559999999999</v>
      </c>
      <c r="L5345">
        <v>-35.552669999999999</v>
      </c>
      <c r="M5345">
        <v>-0.1005177</v>
      </c>
      <c r="N5345">
        <v>-1.2355420000000001E-2</v>
      </c>
      <c r="O5345">
        <v>0.99485860000000004</v>
      </c>
      <c r="P5345">
        <v>-6.7857849999999997E-2</v>
      </c>
      <c r="Q5345">
        <v>0.1287391</v>
      </c>
      <c r="R5345">
        <v>0.98935410000000001</v>
      </c>
      <c r="S5345">
        <v>-0.2499084</v>
      </c>
      <c r="T5345">
        <v>-7.4329140000000002E-2</v>
      </c>
      <c r="U5345">
        <v>3.027771</v>
      </c>
      <c r="V5345">
        <v>3.2138460000000001E-2</v>
      </c>
      <c r="W5345">
        <v>0.14093079999999999</v>
      </c>
      <c r="X5345">
        <v>0.98949770000000004</v>
      </c>
      <c r="Y5345">
        <v>1.834409E-2</v>
      </c>
      <c r="Z5345">
        <v>-1.2009769999999999E-2</v>
      </c>
      <c r="AA5345">
        <v>0.99975959999999997</v>
      </c>
      <c r="AB5345">
        <v>25</v>
      </c>
      <c r="AC5345">
        <v>-3.7436999999999898</v>
      </c>
      <c r="AD5345">
        <v>-1.1203562635888999</v>
      </c>
      <c r="AE5345">
        <v>45.415936000000002</v>
      </c>
      <c r="AF5345">
        <v>0.84020956271229896</v>
      </c>
      <c r="AG5345">
        <v>-1.1203562635888999</v>
      </c>
      <c r="AH5345">
        <v>45.534695104646197</v>
      </c>
      <c r="AI5345">
        <v>91.409207155382802</v>
      </c>
      <c r="AJ5345">
        <v>88.942894000954297</v>
      </c>
      <c r="AK5345">
        <v>45.5562246958605</v>
      </c>
      <c r="AL5345">
        <v>81.898289082325505</v>
      </c>
      <c r="AM5345">
        <v>88.139711677117205</v>
      </c>
      <c r="AN5345">
        <v>1.0000000346525499</v>
      </c>
    </row>
    <row r="5346" spans="1:40" x14ac:dyDescent="0.25">
      <c r="A5346" t="str">
        <f>"20190303162705948"</f>
        <v>20190303162705948</v>
      </c>
      <c r="B5346" t="str">
        <f>"1551601625939884"</f>
        <v>1551601625939884</v>
      </c>
      <c r="C5346" t="s">
        <v>40</v>
      </c>
      <c r="D5346">
        <v>4.6942849999999998</v>
      </c>
      <c r="E5346">
        <v>0.49264380000000002</v>
      </c>
      <c r="F5346" t="s">
        <v>41</v>
      </c>
      <c r="G5346">
        <v>-189.6319</v>
      </c>
      <c r="H5346" s="1">
        <v>-3.349076E-6</v>
      </c>
      <c r="I5346">
        <v>-2.7126480000000002</v>
      </c>
      <c r="J5346">
        <v>-186.83109999999999</v>
      </c>
      <c r="K5346">
        <v>1.119551</v>
      </c>
      <c r="L5346">
        <v>-35.275390000000002</v>
      </c>
      <c r="M5346">
        <v>-9.835526E-2</v>
      </c>
      <c r="N5346">
        <v>-1.235024E-2</v>
      </c>
      <c r="O5346">
        <v>0.99507469999999998</v>
      </c>
      <c r="P5346">
        <v>-6.7165790000000003E-2</v>
      </c>
      <c r="Q5346">
        <v>0.126628399999999</v>
      </c>
      <c r="R5346">
        <v>0.98967369999999999</v>
      </c>
      <c r="S5346">
        <v>-0.26065060000000001</v>
      </c>
      <c r="T5346">
        <v>-0.1032965</v>
      </c>
      <c r="U5346">
        <v>3.0278320000000001</v>
      </c>
      <c r="V5346">
        <v>3.097954E-2</v>
      </c>
      <c r="W5346">
        <v>0.13875899999999999</v>
      </c>
      <c r="X5346">
        <v>0.98984150000000004</v>
      </c>
      <c r="Y5346">
        <v>1.266481E-2</v>
      </c>
      <c r="Z5346">
        <v>-2.1490970000000002E-2</v>
      </c>
      <c r="AA5346">
        <v>0.99968880000000004</v>
      </c>
      <c r="AB5346">
        <v>25</v>
      </c>
      <c r="AC5346">
        <v>-2.8008000000000002</v>
      </c>
      <c r="AD5346">
        <v>-1.119554349076</v>
      </c>
      <c r="AE5346">
        <v>32.562742</v>
      </c>
      <c r="AF5346">
        <v>0.41525619216259402</v>
      </c>
      <c r="AG5346">
        <v>-1.119554349076</v>
      </c>
      <c r="AH5346">
        <v>32.642025227566101</v>
      </c>
      <c r="AI5346">
        <v>91.964198605490296</v>
      </c>
      <c r="AJ5346">
        <v>89.271149884624506</v>
      </c>
      <c r="AK5346">
        <v>32.663858476957799</v>
      </c>
      <c r="AL5346">
        <v>82.023958653540703</v>
      </c>
      <c r="AM5346">
        <v>88.207371909305493</v>
      </c>
      <c r="AN5346">
        <v>0.99999999355093006</v>
      </c>
    </row>
    <row r="5347" spans="1:40" x14ac:dyDescent="0.25">
      <c r="A5347" t="str">
        <f>"20190303162705971"</f>
        <v>20190303162705971</v>
      </c>
      <c r="B5347" t="str">
        <f>"1551601625959404"</f>
        <v>1551601625959404</v>
      </c>
      <c r="C5347" t="s">
        <v>40</v>
      </c>
      <c r="D5347">
        <v>4.8445220000000004</v>
      </c>
      <c r="E5347">
        <v>0.49242570000000002</v>
      </c>
      <c r="F5347" t="s">
        <v>41</v>
      </c>
      <c r="G5347">
        <v>-189.4966</v>
      </c>
      <c r="H5347" s="1">
        <v>-2.6905150000000001E-6</v>
      </c>
      <c r="I5347">
        <v>-4.3037089999999996</v>
      </c>
      <c r="J5347">
        <v>-186.85290000000001</v>
      </c>
      <c r="K5347">
        <v>1.1189979999999999</v>
      </c>
      <c r="L5347">
        <v>-35.030119999999997</v>
      </c>
      <c r="M5347">
        <v>-9.5607010000000006E-2</v>
      </c>
      <c r="N5347">
        <v>-1.2347769999999999E-2</v>
      </c>
      <c r="O5347">
        <v>0.99534259999999997</v>
      </c>
      <c r="P5347">
        <v>-6.5995090000000006E-2</v>
      </c>
      <c r="Q5347">
        <v>0.12921659999999999</v>
      </c>
      <c r="R5347">
        <v>0.98941789999999996</v>
      </c>
      <c r="S5347">
        <v>-0.26055909999999999</v>
      </c>
      <c r="T5347">
        <v>-0.10944130000000001</v>
      </c>
      <c r="U5347">
        <v>3.0276179999999999</v>
      </c>
      <c r="V5347">
        <v>2.9590410000000001E-2</v>
      </c>
      <c r="W5347">
        <v>0.14130519999999999</v>
      </c>
      <c r="X5347">
        <v>0.98952379999999995</v>
      </c>
      <c r="Y5347">
        <v>9.9320829999999995E-3</v>
      </c>
      <c r="Z5347">
        <v>-2.3517440000000001E-2</v>
      </c>
      <c r="AA5347">
        <v>0.99967410000000001</v>
      </c>
      <c r="AB5347">
        <v>25</v>
      </c>
      <c r="AC5347">
        <v>-2.6436999999999902</v>
      </c>
      <c r="AD5347">
        <v>-1.1190006905149901</v>
      </c>
      <c r="AE5347">
        <v>30.726410999999999</v>
      </c>
      <c r="AF5347">
        <v>0.30589367299829201</v>
      </c>
      <c r="AG5347">
        <v>-1.1190006905149901</v>
      </c>
      <c r="AH5347">
        <v>30.797865567239299</v>
      </c>
      <c r="AI5347">
        <v>92.080750299360602</v>
      </c>
      <c r="AJ5347">
        <v>89.430939780294807</v>
      </c>
      <c r="AK5347">
        <v>30.819705660215099</v>
      </c>
      <c r="AL5347">
        <v>81.876620839384103</v>
      </c>
      <c r="AM5347">
        <v>88.287155380293399</v>
      </c>
      <c r="AN5347">
        <v>1.0000000513387199</v>
      </c>
    </row>
    <row r="5348" spans="1:40" x14ac:dyDescent="0.25">
      <c r="A5348" t="str">
        <f>"20190303162706014"</f>
        <v>20190303162706014</v>
      </c>
      <c r="B5348" t="str">
        <f>"1551601626009686"</f>
        <v>1551601626009686</v>
      </c>
      <c r="C5348" t="s">
        <v>40</v>
      </c>
      <c r="D5348">
        <v>4.9630589999999897</v>
      </c>
      <c r="E5348">
        <v>0.49195650000000002</v>
      </c>
      <c r="F5348" t="s">
        <v>41</v>
      </c>
      <c r="G5348">
        <v>-189.67939999999999</v>
      </c>
      <c r="H5348" s="1">
        <v>-3.8166680000000002E-6</v>
      </c>
      <c r="I5348">
        <v>-1.6030439999999999</v>
      </c>
      <c r="J5348">
        <v>-186.892</v>
      </c>
      <c r="K5348">
        <v>1.1183379999999901</v>
      </c>
      <c r="L5348">
        <v>-34.542850000000001</v>
      </c>
      <c r="M5348">
        <v>-8.8596869999999994E-2</v>
      </c>
      <c r="N5348">
        <v>-1.2327889999999999E-2</v>
      </c>
      <c r="O5348">
        <v>0.99599130000000002</v>
      </c>
      <c r="P5348">
        <v>-5.721358E-2</v>
      </c>
      <c r="Q5348">
        <v>0.14188509999999999</v>
      </c>
      <c r="R5348">
        <v>0.98822829999999995</v>
      </c>
      <c r="S5348">
        <v>-0.2560577</v>
      </c>
      <c r="T5348">
        <v>-0.1013727</v>
      </c>
      <c r="U5348">
        <v>3.0282290000000001</v>
      </c>
      <c r="V5348">
        <v>3.157927E-2</v>
      </c>
      <c r="W5348">
        <v>0.15386849999999999</v>
      </c>
      <c r="X5348">
        <v>0.98758659999999998</v>
      </c>
      <c r="Y5348">
        <v>4.3809460000000001E-3</v>
      </c>
      <c r="Z5348">
        <v>-2.0923290000000001E-2</v>
      </c>
      <c r="AA5348">
        <v>0.99977150000000004</v>
      </c>
      <c r="AB5348">
        <v>25</v>
      </c>
      <c r="AC5348">
        <v>-2.7873999999999901</v>
      </c>
      <c r="AD5348">
        <v>-1.1183418166679999</v>
      </c>
      <c r="AE5348">
        <v>32.939805999999997</v>
      </c>
      <c r="AF5348">
        <v>0.141985858737434</v>
      </c>
      <c r="AG5348">
        <v>-1.1183418166679999</v>
      </c>
      <c r="AH5348">
        <v>33.019436228933898</v>
      </c>
      <c r="AI5348">
        <v>91.939802658239202</v>
      </c>
      <c r="AJ5348">
        <v>89.753625705210496</v>
      </c>
      <c r="AK5348">
        <v>33.038674569050499</v>
      </c>
      <c r="AL5348">
        <v>81.1488213917698</v>
      </c>
      <c r="AM5348">
        <v>88.1685225449109</v>
      </c>
      <c r="AN5348">
        <v>1.00000002904277</v>
      </c>
    </row>
    <row r="5349" spans="1:40" x14ac:dyDescent="0.25">
      <c r="A5349" t="str">
        <f>"20190303162706057"</f>
        <v>20190303162706057</v>
      </c>
      <c r="B5349" t="str">
        <f>"1551601626049703"</f>
        <v>1551601626049703</v>
      </c>
      <c r="C5349" t="s">
        <v>40</v>
      </c>
      <c r="D5349">
        <v>4.7598269999999996</v>
      </c>
      <c r="E5349">
        <v>0.49187019999999998</v>
      </c>
      <c r="F5349" t="s">
        <v>41</v>
      </c>
      <c r="G5349">
        <v>-191.7252</v>
      </c>
      <c r="H5349" s="1">
        <v>-4.0930630000000003E-6</v>
      </c>
      <c r="I5349">
        <v>28.115189999999998</v>
      </c>
      <c r="J5349">
        <v>-186.9263</v>
      </c>
      <c r="K5349">
        <v>1.1180939999999999</v>
      </c>
      <c r="L5349">
        <v>-34.054749999999999</v>
      </c>
      <c r="M5349">
        <v>-8.0721210000000002E-2</v>
      </c>
      <c r="N5349">
        <v>-1.2302530000000001E-2</v>
      </c>
      <c r="O5349">
        <v>0.99666080000000001</v>
      </c>
      <c r="P5349">
        <v>-4.6672779999999997E-2</v>
      </c>
      <c r="Q5349">
        <v>0.14027249999999999</v>
      </c>
      <c r="R5349">
        <v>0.98901220000000001</v>
      </c>
      <c r="S5349">
        <v>-0.23371890000000001</v>
      </c>
      <c r="T5349">
        <v>-5.4079889999999999E-2</v>
      </c>
      <c r="U5349">
        <v>3.0299680000000002</v>
      </c>
      <c r="V5349">
        <v>3.4398289999999998E-2</v>
      </c>
      <c r="W5349">
        <v>0.1521961</v>
      </c>
      <c r="X5349">
        <v>0.9877515</v>
      </c>
      <c r="Y5349">
        <v>3.8323989999999998E-3</v>
      </c>
      <c r="Z5349">
        <v>-5.4681540000000002E-3</v>
      </c>
      <c r="AA5349">
        <v>0.99997769999999997</v>
      </c>
      <c r="AB5349">
        <v>25</v>
      </c>
      <c r="AC5349">
        <v>-4.7988999999999997</v>
      </c>
      <c r="AD5349">
        <v>-1.118098093063</v>
      </c>
      <c r="AE5349">
        <v>62.169939999999997</v>
      </c>
      <c r="AF5349">
        <v>0.23549937581059799</v>
      </c>
      <c r="AG5349">
        <v>-1.118098093063</v>
      </c>
      <c r="AH5349">
        <v>62.334391306228902</v>
      </c>
      <c r="AI5349">
        <v>91.027602488810402</v>
      </c>
      <c r="AJ5349">
        <v>89.783537533091405</v>
      </c>
      <c r="AK5349">
        <v>62.344863002654698</v>
      </c>
      <c r="AL5349">
        <v>81.245784373841303</v>
      </c>
      <c r="AM5349">
        <v>88.005489560008996</v>
      </c>
      <c r="AN5349">
        <v>0.999999960481191</v>
      </c>
    </row>
    <row r="5350" spans="1:40" x14ac:dyDescent="0.25">
      <c r="A5350" t="str">
        <f>"20190303162706079"</f>
        <v>20190303162706079</v>
      </c>
      <c r="B5350" t="str">
        <f>"1551601626069222"</f>
        <v>1551601626069222</v>
      </c>
      <c r="C5350" t="s">
        <v>40</v>
      </c>
      <c r="D5350">
        <v>4.6966380000000001</v>
      </c>
      <c r="E5350">
        <v>0.49183179999999999</v>
      </c>
      <c r="F5350" t="s">
        <v>41</v>
      </c>
      <c r="G5350">
        <v>-190.86070000000001</v>
      </c>
      <c r="H5350" s="1">
        <v>-2.4755439999999998E-6</v>
      </c>
      <c r="I5350">
        <v>24.825839999999999</v>
      </c>
      <c r="J5350">
        <v>-186.94239999999999</v>
      </c>
      <c r="K5350">
        <v>1.1180909999999999</v>
      </c>
      <c r="L5350">
        <v>-33.802460000000004</v>
      </c>
      <c r="M5350">
        <v>-7.6647409999999999E-2</v>
      </c>
      <c r="N5350">
        <v>-1.229102E-2</v>
      </c>
      <c r="O5350">
        <v>0.99698249999999999</v>
      </c>
      <c r="P5350">
        <v>-4.3045779999999999E-2</v>
      </c>
      <c r="Q5350">
        <v>0.13756969999999999</v>
      </c>
      <c r="R5350">
        <v>0.98955630000000006</v>
      </c>
      <c r="S5350">
        <v>-0.20259089999999999</v>
      </c>
      <c r="T5350">
        <v>-5.7573800000000001E-2</v>
      </c>
      <c r="U5350">
        <v>3.0319210000000001</v>
      </c>
      <c r="V5350">
        <v>3.398839E-2</v>
      </c>
      <c r="W5350">
        <v>0.14949079999999901</v>
      </c>
      <c r="X5350">
        <v>0.98817880000000002</v>
      </c>
      <c r="Y5350">
        <v>1.00077E-2</v>
      </c>
      <c r="Z5350">
        <v>-6.6217619999999998E-3</v>
      </c>
      <c r="AA5350">
        <v>0.99992800000000004</v>
      </c>
      <c r="AB5350">
        <v>25</v>
      </c>
      <c r="AC5350">
        <v>-3.9183000000000101</v>
      </c>
      <c r="AD5350">
        <v>-1.118093475544</v>
      </c>
      <c r="AE5350">
        <v>58.628300000000003</v>
      </c>
      <c r="AF5350">
        <v>0.587062614834167</v>
      </c>
      <c r="AG5350">
        <v>-1.118093475544</v>
      </c>
      <c r="AH5350">
        <v>58.734888137462796</v>
      </c>
      <c r="AI5350">
        <v>91.090512029894498</v>
      </c>
      <c r="AJ5350">
        <v>89.427340526911607</v>
      </c>
      <c r="AK5350">
        <v>58.748462618642698</v>
      </c>
      <c r="AL5350">
        <v>81.402581383897299</v>
      </c>
      <c r="AM5350">
        <v>88.030089379310994</v>
      </c>
      <c r="AN5350">
        <v>1.0000000253544301</v>
      </c>
    </row>
    <row r="5351" spans="1:40" x14ac:dyDescent="0.25">
      <c r="A5351" t="str">
        <f>"20190303162706102"</f>
        <v>20190303162706102</v>
      </c>
      <c r="B5351" t="str">
        <f>"1551601626089718"</f>
        <v>1551601626089718</v>
      </c>
      <c r="C5351" t="s">
        <v>40</v>
      </c>
      <c r="D5351">
        <v>4.7292969999999999</v>
      </c>
      <c r="E5351">
        <v>0.49178729999999998</v>
      </c>
      <c r="F5351" t="s">
        <v>41</v>
      </c>
      <c r="G5351">
        <v>-190.1337</v>
      </c>
      <c r="H5351" s="1">
        <v>-3.2986890000000002E-6</v>
      </c>
      <c r="I5351">
        <v>17.195529999999899</v>
      </c>
      <c r="J5351">
        <v>-186.9573</v>
      </c>
      <c r="K5351">
        <v>1.118142</v>
      </c>
      <c r="L5351">
        <v>-33.55359</v>
      </c>
      <c r="M5351">
        <v>-7.2712810000000003E-2</v>
      </c>
      <c r="N5351">
        <v>-1.2280599999999999E-2</v>
      </c>
      <c r="O5351">
        <v>0.99727730000000003</v>
      </c>
      <c r="P5351">
        <v>-4.0705579999999998E-2</v>
      </c>
      <c r="Q5351">
        <v>0.135616299999999</v>
      </c>
      <c r="R5351">
        <v>0.9899249</v>
      </c>
      <c r="S5351">
        <v>-0.18977359999999999</v>
      </c>
      <c r="T5351">
        <v>-6.6488740000000005E-2</v>
      </c>
      <c r="U5351">
        <v>3.032654</v>
      </c>
      <c r="V5351">
        <v>3.2409380000000002E-2</v>
      </c>
      <c r="W5351">
        <v>0.1475467</v>
      </c>
      <c r="X5351">
        <v>0.98852399999999996</v>
      </c>
      <c r="Y5351">
        <v>1.028782E-2</v>
      </c>
      <c r="Z5351">
        <v>-9.5587550000000004E-3</v>
      </c>
      <c r="AA5351">
        <v>0.99990140000000005</v>
      </c>
      <c r="AB5351">
        <v>25</v>
      </c>
      <c r="AC5351">
        <v>-3.1764000000000001</v>
      </c>
      <c r="AD5351">
        <v>-1.1181452986889999</v>
      </c>
      <c r="AE5351">
        <v>50.749119999999998</v>
      </c>
      <c r="AF5351">
        <v>0.52214641987983001</v>
      </c>
      <c r="AG5351">
        <v>-1.1181452986889999</v>
      </c>
      <c r="AH5351">
        <v>50.821170544741399</v>
      </c>
      <c r="AI5351">
        <v>91.260326987839406</v>
      </c>
      <c r="AJ5351">
        <v>89.411352921805104</v>
      </c>
      <c r="AK5351">
        <v>50.836151126245397</v>
      </c>
      <c r="AL5351">
        <v>81.515219515866306</v>
      </c>
      <c r="AM5351">
        <v>88.122194517953304</v>
      </c>
      <c r="AN5351">
        <v>1.00000004758443</v>
      </c>
    </row>
    <row r="5352" spans="1:40" x14ac:dyDescent="0.25">
      <c r="A5352" t="str">
        <f>"20190303162706126"</f>
        <v>20190303162706126</v>
      </c>
      <c r="B5352" t="str">
        <f>"1551601626118999"</f>
        <v>1551601626118999</v>
      </c>
      <c r="C5352" t="s">
        <v>40</v>
      </c>
      <c r="D5352">
        <v>5.0203930000000003</v>
      </c>
      <c r="E5352">
        <v>0.49185030000000002</v>
      </c>
      <c r="F5352" t="s">
        <v>41</v>
      </c>
      <c r="G5352">
        <v>-189.73500000000001</v>
      </c>
      <c r="H5352" s="1">
        <v>-1.4754519999999901E-6</v>
      </c>
      <c r="I5352">
        <v>12.96251</v>
      </c>
      <c r="J5352">
        <v>-186.97210000000001</v>
      </c>
      <c r="K5352">
        <v>1.118225</v>
      </c>
      <c r="L5352">
        <v>-33.28546</v>
      </c>
      <c r="M5352">
        <v>-6.8602899999999994E-2</v>
      </c>
      <c r="N5352">
        <v>-1.2270680000000001E-2</v>
      </c>
      <c r="O5352">
        <v>0.99756860000000003</v>
      </c>
      <c r="P5352">
        <v>-3.9804060000000002E-2</v>
      </c>
      <c r="Q5352">
        <v>0.13576750000000001</v>
      </c>
      <c r="R5352">
        <v>0.98994079999999995</v>
      </c>
      <c r="S5352">
        <v>-0.1811218</v>
      </c>
      <c r="T5352">
        <v>-7.2908520000000004E-2</v>
      </c>
      <c r="U5352">
        <v>3.0330810000000001</v>
      </c>
      <c r="V5352">
        <v>2.920319E-2</v>
      </c>
      <c r="W5352">
        <v>0.1477164</v>
      </c>
      <c r="X5352">
        <v>0.98859850000000005</v>
      </c>
      <c r="Y5352">
        <v>9.0193219999999998E-3</v>
      </c>
      <c r="Z5352">
        <v>-1.1680350000000001E-2</v>
      </c>
      <c r="AA5352">
        <v>0.99989110000000003</v>
      </c>
      <c r="AB5352">
        <v>25</v>
      </c>
      <c r="AC5352">
        <v>-2.7629000000000001</v>
      </c>
      <c r="AD5352">
        <v>-1.1182264754519999</v>
      </c>
      <c r="AE5352">
        <v>46.247970000000002</v>
      </c>
      <c r="AF5352">
        <v>0.41635139036615498</v>
      </c>
      <c r="AG5352">
        <v>-1.1182264754519999</v>
      </c>
      <c r="AH5352">
        <v>46.301580099787699</v>
      </c>
      <c r="AI5352">
        <v>91.383421830918707</v>
      </c>
      <c r="AJ5352">
        <v>89.484800854020605</v>
      </c>
      <c r="AK5352">
        <v>46.316952605581797</v>
      </c>
      <c r="AL5352">
        <v>81.505388102386107</v>
      </c>
      <c r="AM5352">
        <v>88.307975280117304</v>
      </c>
      <c r="AN5352">
        <v>0.99999997766869198</v>
      </c>
    </row>
    <row r="5353" spans="1:40" x14ac:dyDescent="0.25">
      <c r="A5353" t="str">
        <f>"20190303162706149"</f>
        <v>20190303162706149</v>
      </c>
      <c r="B5353" t="str">
        <f>"1551601626139495"</f>
        <v>1551601626139495</v>
      </c>
      <c r="C5353" t="s">
        <v>40</v>
      </c>
      <c r="D5353">
        <v>4.8008119999999996</v>
      </c>
      <c r="E5353">
        <v>0.49189169999999999</v>
      </c>
      <c r="F5353" t="s">
        <v>41</v>
      </c>
      <c r="G5353">
        <v>-189.70760000000001</v>
      </c>
      <c r="H5353" s="1">
        <v>-1.879448E-6</v>
      </c>
      <c r="I5353">
        <v>13.892899999999999</v>
      </c>
      <c r="J5353">
        <v>-186.98560000000001</v>
      </c>
      <c r="K5353">
        <v>1.1183110000000001</v>
      </c>
      <c r="L5353">
        <v>-33.025179999999999</v>
      </c>
      <c r="M5353">
        <v>-6.472087E-2</v>
      </c>
      <c r="N5353">
        <v>-1.22623E-2</v>
      </c>
      <c r="O5353">
        <v>0.9978281</v>
      </c>
      <c r="P5353">
        <v>-4.1050499999999997E-2</v>
      </c>
      <c r="Q5353">
        <v>0.13681740000000001</v>
      </c>
      <c r="R5353">
        <v>0.9897454</v>
      </c>
      <c r="S5353">
        <v>-0.1758728</v>
      </c>
      <c r="T5353">
        <v>-7.1894760000000002E-2</v>
      </c>
      <c r="U5353">
        <v>3.033264</v>
      </c>
      <c r="V5353">
        <v>2.4075249999999999E-2</v>
      </c>
      <c r="W5353">
        <v>0.14879589999999901</v>
      </c>
      <c r="X5353">
        <v>0.98857479999999998</v>
      </c>
      <c r="Y5353">
        <v>6.8566699999999996E-3</v>
      </c>
      <c r="Z5353">
        <v>-1.136325E-2</v>
      </c>
      <c r="AA5353">
        <v>0.99991189999999996</v>
      </c>
      <c r="AB5353">
        <v>25</v>
      </c>
      <c r="AC5353">
        <v>-2.722</v>
      </c>
      <c r="AD5353">
        <v>-1.118312879448</v>
      </c>
      <c r="AE5353">
        <v>46.918080000000003</v>
      </c>
      <c r="AF5353">
        <v>0.32033357445291899</v>
      </c>
      <c r="AG5353">
        <v>-1.118312879448</v>
      </c>
      <c r="AH5353">
        <v>46.969285460656998</v>
      </c>
      <c r="AI5353">
        <v>91.363891629212304</v>
      </c>
      <c r="AJ5353">
        <v>89.609245124428696</v>
      </c>
      <c r="AK5353">
        <v>46.983688807712298</v>
      </c>
      <c r="AL5353">
        <v>81.442846227192305</v>
      </c>
      <c r="AM5353">
        <v>88.604923363708707</v>
      </c>
      <c r="AN5353">
        <v>0.99999998635720599</v>
      </c>
    </row>
    <row r="5354" spans="1:40" x14ac:dyDescent="0.25">
      <c r="A5354" t="str">
        <f>"20190303162706195"</f>
        <v>20190303162706195</v>
      </c>
      <c r="B5354" t="str">
        <f>"1551601626180486"</f>
        <v>1551601626180486</v>
      </c>
      <c r="C5354" t="s">
        <v>40</v>
      </c>
      <c r="D5354">
        <v>4.7919809999999998</v>
      </c>
      <c r="E5354">
        <v>0.49214010000000002</v>
      </c>
      <c r="F5354" t="s">
        <v>41</v>
      </c>
      <c r="G5354">
        <v>-189.8494</v>
      </c>
      <c r="H5354" s="1">
        <v>-2.9267989999999998E-6</v>
      </c>
      <c r="I5354">
        <v>16.392939999999999</v>
      </c>
      <c r="J5354">
        <v>-187.0087</v>
      </c>
      <c r="K5354">
        <v>1.118441</v>
      </c>
      <c r="L5354">
        <v>-32.52411</v>
      </c>
      <c r="M5354">
        <v>-5.7448249999999999E-2</v>
      </c>
      <c r="N5354">
        <v>-1.224922E-2</v>
      </c>
      <c r="O5354">
        <v>0.99827330000000003</v>
      </c>
      <c r="P5354">
        <v>-4.0384009999999998E-2</v>
      </c>
      <c r="Q5354">
        <v>0.1439985</v>
      </c>
      <c r="R5354">
        <v>0.98875360000000001</v>
      </c>
      <c r="S5354">
        <v>-0.175781299999999</v>
      </c>
      <c r="T5354">
        <v>-6.8641659999999993E-2</v>
      </c>
      <c r="U5354">
        <v>3.033264</v>
      </c>
      <c r="V5354">
        <v>1.747516E-2</v>
      </c>
      <c r="W5354">
        <v>0.15600059999999999</v>
      </c>
      <c r="X5354">
        <v>0.98760239999999999</v>
      </c>
      <c r="Y5354">
        <v>-3.9904939999999998E-4</v>
      </c>
      <c r="Z5354">
        <v>-1.0321500000000001E-2</v>
      </c>
      <c r="AA5354">
        <v>0.99994669999999997</v>
      </c>
      <c r="AB5354">
        <v>25</v>
      </c>
      <c r="AC5354">
        <v>-2.8406999999999898</v>
      </c>
      <c r="AD5354">
        <v>-1.1184439267990001</v>
      </c>
      <c r="AE5354">
        <v>48.917050000000003</v>
      </c>
      <c r="AF5354">
        <v>-2.5584637221947398E-2</v>
      </c>
      <c r="AG5354">
        <v>-1.1184439267990001</v>
      </c>
      <c r="AH5354">
        <v>48.973940242194097</v>
      </c>
      <c r="AI5354">
        <v>91.308266607068802</v>
      </c>
      <c r="AJ5354">
        <v>90.029932073927199</v>
      </c>
      <c r="AK5354">
        <v>48.986716508019299</v>
      </c>
      <c r="AL5354">
        <v>81.025167938788101</v>
      </c>
      <c r="AM5354">
        <v>88.986283915753503</v>
      </c>
      <c r="AN5354">
        <v>1.00000003445157</v>
      </c>
    </row>
    <row r="5355" spans="1:40" x14ac:dyDescent="0.25">
      <c r="A5355" t="str">
        <f>"20190303162706237"</f>
        <v>20190303162706237</v>
      </c>
      <c r="B5355" t="str">
        <f>"1551601626229286"</f>
        <v>1551601626229286</v>
      </c>
      <c r="C5355" t="s">
        <v>40</v>
      </c>
      <c r="D5355">
        <v>4.8344670000000001</v>
      </c>
      <c r="E5355">
        <v>0.49240030000000001</v>
      </c>
      <c r="F5355" t="s">
        <v>41</v>
      </c>
      <c r="G5355">
        <v>-191.23689999999999</v>
      </c>
      <c r="H5355" s="1">
        <v>-1.528596E-6</v>
      </c>
      <c r="I5355">
        <v>42.385170000000002</v>
      </c>
      <c r="J5355">
        <v>-187.02760000000001</v>
      </c>
      <c r="K5355">
        <v>1.118487</v>
      </c>
      <c r="L5355">
        <v>-32.040709999999997</v>
      </c>
      <c r="M5355">
        <v>-5.0523489999999997E-2</v>
      </c>
      <c r="N5355">
        <v>-1.224019E-2</v>
      </c>
      <c r="O5355">
        <v>0.99864790000000003</v>
      </c>
      <c r="P5355">
        <v>-3.2403939999999999E-2</v>
      </c>
      <c r="Q5355">
        <v>0.1416597</v>
      </c>
      <c r="R5355">
        <v>0.98938490000000001</v>
      </c>
      <c r="S5355">
        <v>-0.1712341</v>
      </c>
      <c r="T5355">
        <v>-4.529536E-2</v>
      </c>
      <c r="U5355">
        <v>3.033722</v>
      </c>
      <c r="V5355">
        <v>1.857549E-2</v>
      </c>
      <c r="W5355">
        <v>0.1536527</v>
      </c>
      <c r="X5355">
        <v>0.98795029999999995</v>
      </c>
      <c r="Y5355">
        <v>-5.8337500000000004E-3</v>
      </c>
      <c r="Z5355">
        <v>-2.6658860000000001E-3</v>
      </c>
      <c r="AA5355">
        <v>0.99997939999999996</v>
      </c>
      <c r="AB5355">
        <v>25</v>
      </c>
      <c r="AC5355">
        <v>-4.2092999999999803</v>
      </c>
      <c r="AD5355">
        <v>-1.118488528596</v>
      </c>
      <c r="AE5355">
        <v>74.425880000000006</v>
      </c>
      <c r="AF5355">
        <v>-0.44328680513374602</v>
      </c>
      <c r="AG5355">
        <v>-1.118488528596</v>
      </c>
      <c r="AH5355">
        <v>74.526720903015601</v>
      </c>
      <c r="AI5355">
        <v>90.859808767245795</v>
      </c>
      <c r="AJ5355">
        <v>90.340792714646796</v>
      </c>
      <c r="AK5355">
        <v>74.536431685023601</v>
      </c>
      <c r="AL5355">
        <v>81.161334351232597</v>
      </c>
      <c r="AM5355">
        <v>88.922848861678304</v>
      </c>
      <c r="AN5355">
        <v>0.99999999815805996</v>
      </c>
    </row>
    <row r="5356" spans="1:40" x14ac:dyDescent="0.25">
      <c r="A5356" t="str">
        <f>"20190303162706257"</f>
        <v>20190303162706257</v>
      </c>
      <c r="B5356" t="str">
        <f>"1551601626249783"</f>
        <v>1551601626249783</v>
      </c>
      <c r="C5356" t="s">
        <v>40</v>
      </c>
      <c r="D5356">
        <v>5.0572589999999904</v>
      </c>
      <c r="E5356">
        <v>0.49244769999999999</v>
      </c>
      <c r="F5356" t="s">
        <v>41</v>
      </c>
      <c r="G5356">
        <v>-190.17570000000001</v>
      </c>
      <c r="H5356" s="1">
        <v>-1.3138229999999901E-6</v>
      </c>
      <c r="I5356">
        <v>32.542679999999997</v>
      </c>
      <c r="J5356">
        <v>-187.03569999999999</v>
      </c>
      <c r="K5356">
        <v>1.1184780000000001</v>
      </c>
      <c r="L5356">
        <v>-31.80414</v>
      </c>
      <c r="M5356">
        <v>-4.7132729999999998E-2</v>
      </c>
      <c r="N5356">
        <v>-1.2236790000000001E-2</v>
      </c>
      <c r="O5356">
        <v>0.99881370000000003</v>
      </c>
      <c r="P5356">
        <v>-2.8241510000000001E-2</v>
      </c>
      <c r="Q5356">
        <v>0.13642660000000001</v>
      </c>
      <c r="R5356">
        <v>0.99024749999999995</v>
      </c>
      <c r="S5356">
        <v>-0.14793399999999901</v>
      </c>
      <c r="T5356">
        <v>-5.255961E-2</v>
      </c>
      <c r="U5356">
        <v>3.0348820000000001</v>
      </c>
      <c r="V5356">
        <v>1.9373100000000001E-2</v>
      </c>
      <c r="W5356">
        <v>0.148421</v>
      </c>
      <c r="X5356">
        <v>0.98873449999999996</v>
      </c>
      <c r="Y5356">
        <v>-1.5513720000000001E-3</v>
      </c>
      <c r="Z5356">
        <v>-5.054589E-3</v>
      </c>
      <c r="AA5356">
        <v>0.99998600000000004</v>
      </c>
      <c r="AB5356">
        <v>25</v>
      </c>
      <c r="AC5356">
        <v>-3.1400000000000099</v>
      </c>
      <c r="AD5356">
        <v>-1.118479313823</v>
      </c>
      <c r="AE5356">
        <v>64.346819999999994</v>
      </c>
      <c r="AF5356">
        <v>-0.103410297687584</v>
      </c>
      <c r="AG5356">
        <v>-1.118479313823</v>
      </c>
      <c r="AH5356">
        <v>64.403891879563304</v>
      </c>
      <c r="AI5356">
        <v>90.994933974783095</v>
      </c>
      <c r="AJ5356">
        <v>90.091997057181104</v>
      </c>
      <c r="AK5356">
        <v>64.413686270074606</v>
      </c>
      <c r="AL5356">
        <v>81.464567817814</v>
      </c>
      <c r="AM5356">
        <v>88.877499622587393</v>
      </c>
      <c r="AN5356">
        <v>1.0000000108674201</v>
      </c>
    </row>
    <row r="5357" spans="1:40" x14ac:dyDescent="0.25">
      <c r="A5357" t="str">
        <f>"20190303162706281"</f>
        <v>20190303162706281</v>
      </c>
      <c r="B5357" t="str">
        <f>"1551601626269303"</f>
        <v>1551601626269303</v>
      </c>
      <c r="C5357" t="s">
        <v>40</v>
      </c>
      <c r="D5357">
        <v>4.9660729999999997</v>
      </c>
      <c r="E5357">
        <v>0.4933189</v>
      </c>
      <c r="F5357" t="s">
        <v>41</v>
      </c>
      <c r="G5357">
        <v>-189.25659999999999</v>
      </c>
      <c r="H5357" s="1">
        <v>-3.5470410000000002E-6</v>
      </c>
      <c r="I5357">
        <v>17.593629999999902</v>
      </c>
      <c r="J5357">
        <v>-187.0438</v>
      </c>
      <c r="K5357">
        <v>1.1184780000000001</v>
      </c>
      <c r="L5357">
        <v>-31.540710000000001</v>
      </c>
      <c r="M5357">
        <v>-4.3358309999999997E-2</v>
      </c>
      <c r="N5357">
        <v>-1.2233580000000001E-2</v>
      </c>
      <c r="O5357">
        <v>0.99898469999999995</v>
      </c>
      <c r="P5357">
        <v>-2.2570199999999999E-2</v>
      </c>
      <c r="Q5357">
        <v>0.1315267</v>
      </c>
      <c r="R5357">
        <v>0.99105569999999998</v>
      </c>
      <c r="S5357">
        <v>-0.13645940000000001</v>
      </c>
      <c r="T5357">
        <v>-6.8722370000000005E-2</v>
      </c>
      <c r="U5357">
        <v>3.035126</v>
      </c>
      <c r="V5357">
        <v>2.1293280000000001E-2</v>
      </c>
      <c r="W5357">
        <v>0.14351549999999999</v>
      </c>
      <c r="X5357">
        <v>0.98941900000000005</v>
      </c>
      <c r="Y5357">
        <v>-1.5518729999999901E-3</v>
      </c>
      <c r="Z5357">
        <v>-1.037298E-2</v>
      </c>
      <c r="AA5357">
        <v>0.99994499999999997</v>
      </c>
      <c r="AB5357">
        <v>25</v>
      </c>
      <c r="AC5357">
        <v>-2.2127999999999801</v>
      </c>
      <c r="AD5357">
        <v>-1.1184815470409999</v>
      </c>
      <c r="AE5357">
        <v>49.134340000000002</v>
      </c>
      <c r="AF5357">
        <v>-8.0135955892874394E-2</v>
      </c>
      <c r="AG5357">
        <v>-1.1184815470409999</v>
      </c>
      <c r="AH5357">
        <v>49.158655055335899</v>
      </c>
      <c r="AI5357">
        <v>91.303394734432601</v>
      </c>
      <c r="AJ5357">
        <v>90.093400602348794</v>
      </c>
      <c r="AK5357">
        <v>49.171442826014399</v>
      </c>
      <c r="AL5357">
        <v>81.748675727057204</v>
      </c>
      <c r="AM5357">
        <v>88.767128206520894</v>
      </c>
      <c r="AN5357">
        <v>1.0000000300372001</v>
      </c>
    </row>
    <row r="5358" spans="1:40" x14ac:dyDescent="0.25">
      <c r="A5358" t="str">
        <f>"20190303162706305"</f>
        <v>20190303162706305</v>
      </c>
      <c r="B5358" t="str">
        <f>"1551601626299558"</f>
        <v>1551601626299558</v>
      </c>
      <c r="C5358" t="s">
        <v>40</v>
      </c>
      <c r="D5358">
        <v>4.961913</v>
      </c>
      <c r="E5358">
        <v>0.53182439999999997</v>
      </c>
      <c r="F5358" t="s">
        <v>41</v>
      </c>
      <c r="G5358">
        <v>-188.4211</v>
      </c>
      <c r="H5358" s="1">
        <v>-2.6405529999999999E-6</v>
      </c>
      <c r="I5358">
        <v>5.1351290000000001</v>
      </c>
      <c r="J5358">
        <v>-187.05090000000001</v>
      </c>
      <c r="K5358">
        <v>1.1185039999999999</v>
      </c>
      <c r="L5358">
        <v>-31.275700000000001</v>
      </c>
      <c r="M5358">
        <v>-3.9582890000000003E-2</v>
      </c>
      <c r="N5358">
        <v>-1.223016E-2</v>
      </c>
      <c r="O5358">
        <v>0.99914150000000002</v>
      </c>
      <c r="P5358">
        <v>-1.8218020000000001E-2</v>
      </c>
      <c r="Q5358">
        <v>0.13023889999999999</v>
      </c>
      <c r="R5358">
        <v>0.99131519999999995</v>
      </c>
      <c r="S5358">
        <v>-0.1140442</v>
      </c>
      <c r="T5358">
        <v>-9.2610600000000001E-2</v>
      </c>
      <c r="U5358">
        <v>3.0367739999999999</v>
      </c>
      <c r="V5358">
        <v>2.1889220000000001E-2</v>
      </c>
      <c r="W5358">
        <v>0.1422243</v>
      </c>
      <c r="X5358">
        <v>0.98959240000000004</v>
      </c>
      <c r="Y5358">
        <v>2.06514E-3</v>
      </c>
      <c r="Z5358">
        <v>-1.8217959999999998E-2</v>
      </c>
      <c r="AA5358">
        <v>0.9998319</v>
      </c>
      <c r="AB5358">
        <v>25</v>
      </c>
      <c r="AC5358">
        <v>-1.3701999999999801</v>
      </c>
      <c r="AD5358">
        <v>-1.118506640553</v>
      </c>
      <c r="AE5358">
        <v>36.410829</v>
      </c>
      <c r="AF5358">
        <v>7.2159555640340906E-2</v>
      </c>
      <c r="AG5358">
        <v>-1.118506640553</v>
      </c>
      <c r="AH5358">
        <v>36.402226958941299</v>
      </c>
      <c r="AI5358">
        <v>91.759931545821402</v>
      </c>
      <c r="AJ5358">
        <v>89.886423636140407</v>
      </c>
      <c r="AK5358">
        <v>36.419478190615301</v>
      </c>
      <c r="AL5358">
        <v>81.823422619793106</v>
      </c>
      <c r="AM5358">
        <v>88.732856636476001</v>
      </c>
      <c r="AN5358">
        <v>1.0000000038002199</v>
      </c>
    </row>
    <row r="5359" spans="1:40" x14ac:dyDescent="0.25">
      <c r="A5359" t="str">
        <f>"20190303162706348"</f>
        <v>20190303162706348</v>
      </c>
      <c r="B5359" t="str">
        <f>"1551601626339574"</f>
        <v>1551601626339574</v>
      </c>
      <c r="C5359" t="s">
        <v>40</v>
      </c>
      <c r="D5359">
        <v>5.0030380000000001</v>
      </c>
      <c r="E5359">
        <v>0.53133540000000001</v>
      </c>
      <c r="F5359" t="s">
        <v>42</v>
      </c>
      <c r="G5359">
        <v>-186.9915</v>
      </c>
      <c r="H5359">
        <v>0.88837909999999998</v>
      </c>
      <c r="I5359">
        <v>-30.418759999999999</v>
      </c>
      <c r="J5359">
        <v>-187.06139999999999</v>
      </c>
      <c r="K5359">
        <v>1.118606</v>
      </c>
      <c r="L5359">
        <v>-30.79327</v>
      </c>
      <c r="M5359">
        <v>-3.2823989999999997E-2</v>
      </c>
      <c r="N5359">
        <v>-1.2222419999999999E-2</v>
      </c>
      <c r="O5359">
        <v>0.99938640000000001</v>
      </c>
      <c r="P5359">
        <v>-1.5217380000000001E-2</v>
      </c>
      <c r="Q5359">
        <v>0.13507549999999999</v>
      </c>
      <c r="R5359">
        <v>0.9907184</v>
      </c>
      <c r="S5359">
        <v>0.2172241</v>
      </c>
      <c r="T5359">
        <v>-0.84336749999999905</v>
      </c>
      <c r="U5359">
        <v>3.1410830000000001</v>
      </c>
      <c r="V5359">
        <v>1.8165830000000001E-2</v>
      </c>
      <c r="W5359">
        <v>0.147070799999999</v>
      </c>
      <c r="X5359">
        <v>0.98895909999999998</v>
      </c>
      <c r="Y5359">
        <v>9.9401169999999997E-2</v>
      </c>
      <c r="Z5359">
        <v>-0.24633269999999999</v>
      </c>
      <c r="AA5359">
        <v>0.96407449999999995</v>
      </c>
      <c r="AB5359">
        <v>25</v>
      </c>
      <c r="AC5359">
        <v>6.9899999999989804E-2</v>
      </c>
      <c r="AD5359">
        <v>-0.23022689999999901</v>
      </c>
      <c r="AE5359">
        <v>0.37451000000000001</v>
      </c>
      <c r="AF5359">
        <v>6.0179474538803103E-2</v>
      </c>
      <c r="AG5359">
        <v>-0.23022689999999901</v>
      </c>
      <c r="AH5359">
        <v>0.27250035606678602</v>
      </c>
      <c r="AI5359">
        <v>129.522287092059</v>
      </c>
      <c r="AJ5359">
        <v>77.546583576447503</v>
      </c>
      <c r="AK5359">
        <v>0.36177678020555898</v>
      </c>
      <c r="AL5359">
        <v>81.542786575580394</v>
      </c>
      <c r="AM5359">
        <v>88.947673009405804</v>
      </c>
      <c r="AN5359">
        <v>0.99999995953251797</v>
      </c>
    </row>
    <row r="5360" spans="1:40" x14ac:dyDescent="0.25">
      <c r="A5360" t="str">
        <f>"20190303162706370"</f>
        <v>20190303162706370</v>
      </c>
      <c r="B5360" t="str">
        <f>"1551601626359095"</f>
        <v>1551601626359095</v>
      </c>
      <c r="C5360" t="s">
        <v>40</v>
      </c>
      <c r="D5360">
        <v>5.0502529999999997</v>
      </c>
      <c r="E5360">
        <v>0.53159519999999905</v>
      </c>
      <c r="F5360" t="s">
        <v>42</v>
      </c>
      <c r="G5360">
        <v>-187.00200000000001</v>
      </c>
      <c r="H5360">
        <v>0.89094449999999903</v>
      </c>
      <c r="I5360">
        <v>-29.968630000000001</v>
      </c>
      <c r="J5360">
        <v>-187.0658</v>
      </c>
      <c r="K5360">
        <v>1.118668</v>
      </c>
      <c r="L5360">
        <v>-30.538180000000001</v>
      </c>
      <c r="M5360">
        <v>-2.9331969999999999E-2</v>
      </c>
      <c r="N5360">
        <v>-1.2218130000000001E-2</v>
      </c>
      <c r="O5360">
        <v>0.99949500000000002</v>
      </c>
      <c r="P5360">
        <v>-1.293531E-2</v>
      </c>
      <c r="Q5360">
        <v>0.13868059999999999</v>
      </c>
      <c r="R5360">
        <v>0.99025269999999999</v>
      </c>
      <c r="S5360">
        <v>0.2265625</v>
      </c>
      <c r="T5360">
        <v>-0.8695273</v>
      </c>
      <c r="U5360">
        <v>3.1501459999999999</v>
      </c>
      <c r="V5360">
        <v>1.6975380000000002E-2</v>
      </c>
      <c r="W5360">
        <v>0.15067459999999999</v>
      </c>
      <c r="X5360">
        <v>0.98843769999999997</v>
      </c>
      <c r="Y5360">
        <v>9.8449780000000001E-2</v>
      </c>
      <c r="Z5360">
        <v>-0.25312849999999998</v>
      </c>
      <c r="AA5360">
        <v>0.96241030000000005</v>
      </c>
      <c r="AB5360">
        <v>25</v>
      </c>
      <c r="AC5360">
        <v>6.3799999999986298E-2</v>
      </c>
      <c r="AD5360">
        <v>-0.2277235</v>
      </c>
      <c r="AE5360">
        <v>0.569550000000003</v>
      </c>
      <c r="AF5360">
        <v>6.9505979075783694E-2</v>
      </c>
      <c r="AG5360">
        <v>-0.2277235</v>
      </c>
      <c r="AH5360">
        <v>0.49006092159918302</v>
      </c>
      <c r="AI5360">
        <v>114.70619413513801</v>
      </c>
      <c r="AJ5360">
        <v>81.927506666654097</v>
      </c>
      <c r="AK5360">
        <v>0.54483830670959099</v>
      </c>
      <c r="AL5360">
        <v>81.333977744448305</v>
      </c>
      <c r="AM5360">
        <v>89.016101850641604</v>
      </c>
      <c r="AN5360">
        <v>1.0000000426962901</v>
      </c>
    </row>
    <row r="5361" spans="1:40" x14ac:dyDescent="0.25">
      <c r="A5361" t="str">
        <f>"20190303162706394"</f>
        <v>20190303162706394</v>
      </c>
      <c r="B5361" t="str">
        <f>"1551601626379591"</f>
        <v>1551601626379591</v>
      </c>
      <c r="C5361" t="s">
        <v>40</v>
      </c>
      <c r="D5361">
        <v>5.0282850000000003</v>
      </c>
      <c r="E5361">
        <v>0.53179160000000003</v>
      </c>
      <c r="F5361" t="s">
        <v>42</v>
      </c>
      <c r="G5361">
        <v>-187.0068</v>
      </c>
      <c r="H5361">
        <v>0.90081319999999998</v>
      </c>
      <c r="I5361">
        <v>-29.73997</v>
      </c>
      <c r="J5361">
        <v>-187.0694</v>
      </c>
      <c r="K5361">
        <v>1.1187370000000001</v>
      </c>
      <c r="L5361">
        <v>-30.27515</v>
      </c>
      <c r="M5361">
        <v>-2.5823459999999999E-2</v>
      </c>
      <c r="N5361">
        <v>-1.2213450000000001E-2</v>
      </c>
      <c r="O5361">
        <v>0.99959189999999998</v>
      </c>
      <c r="P5361">
        <v>-1.0837930000000001E-2</v>
      </c>
      <c r="Q5361">
        <v>0.14030689999999901</v>
      </c>
      <c r="R5361">
        <v>0.99004879999999995</v>
      </c>
      <c r="S5361">
        <v>0.23255919999999999</v>
      </c>
      <c r="T5361">
        <v>-0.86046309999999904</v>
      </c>
      <c r="U5361">
        <v>3.153076</v>
      </c>
      <c r="V5361">
        <v>1.5578409999999999E-2</v>
      </c>
      <c r="W5361">
        <v>0.1523041</v>
      </c>
      <c r="X5361">
        <v>0.9882109</v>
      </c>
      <c r="Y5361">
        <v>9.6772399999999995E-2</v>
      </c>
      <c r="Z5361">
        <v>-0.25037209999999999</v>
      </c>
      <c r="AA5361">
        <v>0.96330110000000002</v>
      </c>
      <c r="AB5361">
        <v>25</v>
      </c>
      <c r="AC5361">
        <v>6.2600000000003306E-2</v>
      </c>
      <c r="AD5361">
        <v>-0.2179238</v>
      </c>
      <c r="AE5361">
        <v>0.53517999999999999</v>
      </c>
      <c r="AF5361">
        <v>6.5660207367351398E-2</v>
      </c>
      <c r="AG5361">
        <v>-0.2179238</v>
      </c>
      <c r="AH5361">
        <v>0.458403110419349</v>
      </c>
      <c r="AI5361">
        <v>115.201426829901</v>
      </c>
      <c r="AJ5361">
        <v>81.848579524925398</v>
      </c>
      <c r="AK5361">
        <v>0.51179630428530598</v>
      </c>
      <c r="AL5361">
        <v>81.239523826374693</v>
      </c>
      <c r="AM5361">
        <v>89.096849450959994</v>
      </c>
      <c r="AN5361">
        <v>1.00000000430687</v>
      </c>
    </row>
    <row r="5362" spans="1:40" x14ac:dyDescent="0.25">
      <c r="A5362" t="str">
        <f>"20190303162706438"</f>
        <v>20190303162706438</v>
      </c>
      <c r="B5362" t="str">
        <f>"1551601626429367"</f>
        <v>1551601626429367</v>
      </c>
      <c r="C5362" t="s">
        <v>40</v>
      </c>
      <c r="D5362">
        <v>5.0682609999999997</v>
      </c>
      <c r="E5362">
        <v>0.53187200000000001</v>
      </c>
      <c r="F5362" t="s">
        <v>42</v>
      </c>
      <c r="G5362">
        <v>-187.01159999999999</v>
      </c>
      <c r="H5362">
        <v>0.91067699999999996</v>
      </c>
      <c r="I5362">
        <v>-29.51125</v>
      </c>
      <c r="J5362">
        <v>-187.07429999999999</v>
      </c>
      <c r="K5362">
        <v>1.1189499999999999</v>
      </c>
      <c r="L5362">
        <v>-29.783480000000001</v>
      </c>
      <c r="M5362">
        <v>-1.9723210000000001E-2</v>
      </c>
      <c r="N5362">
        <v>-1.2201170000000001E-2</v>
      </c>
      <c r="O5362">
        <v>0.99973100000000004</v>
      </c>
      <c r="P5362">
        <v>-9.9026549999999998E-3</v>
      </c>
      <c r="Q5362">
        <v>0.1400045</v>
      </c>
      <c r="R5362">
        <v>0.99010129999999996</v>
      </c>
      <c r="S5362">
        <v>0.2380371</v>
      </c>
      <c r="T5362">
        <v>-0.85896939999999999</v>
      </c>
      <c r="U5362">
        <v>3.15448</v>
      </c>
      <c r="V5362">
        <v>1.039723E-2</v>
      </c>
      <c r="W5362">
        <v>0.1520241</v>
      </c>
      <c r="X5362">
        <v>0.98832209999999998</v>
      </c>
      <c r="Y5362">
        <v>9.2348700000000006E-2</v>
      </c>
      <c r="Z5362">
        <v>-0.24994710000000001</v>
      </c>
      <c r="AA5362">
        <v>0.96384550000000002</v>
      </c>
      <c r="AB5362">
        <v>25</v>
      </c>
      <c r="AC5362">
        <v>6.2700000000006598E-2</v>
      </c>
      <c r="AD5362">
        <v>-0.20827299999999899</v>
      </c>
      <c r="AE5362">
        <v>0.27222999999999598</v>
      </c>
      <c r="AF5362">
        <v>4.3743352448241797E-2</v>
      </c>
      <c r="AG5362">
        <v>-0.20827299999999899</v>
      </c>
      <c r="AH5362">
        <v>0.17414459210980901</v>
      </c>
      <c r="AI5362">
        <v>139.23500380876101</v>
      </c>
      <c r="AJ5362">
        <v>75.899611804111103</v>
      </c>
      <c r="AK5362">
        <v>0.27498629488304099</v>
      </c>
      <c r="AL5362">
        <v>81.255755634419202</v>
      </c>
      <c r="AM5362">
        <v>89.397265908910398</v>
      </c>
      <c r="AN5362">
        <v>1.00000000136044</v>
      </c>
    </row>
    <row r="5363" spans="1:40" x14ac:dyDescent="0.25">
      <c r="A5363" t="str">
        <f>"20190303162706458"</f>
        <v>20190303162706458</v>
      </c>
      <c r="B5363" t="str">
        <f>"1551601626449863"</f>
        <v>1551601626449863</v>
      </c>
      <c r="C5363" t="s">
        <v>40</v>
      </c>
      <c r="D5363">
        <v>5.1124130000000001</v>
      </c>
      <c r="E5363">
        <v>0.53167589999999998</v>
      </c>
      <c r="F5363" t="s">
        <v>42</v>
      </c>
      <c r="G5363">
        <v>-187.01740000000001</v>
      </c>
      <c r="H5363">
        <v>0.92111520000000002</v>
      </c>
      <c r="I5363">
        <v>-29.05743</v>
      </c>
      <c r="J5363">
        <v>-187.07589999999999</v>
      </c>
      <c r="K5363">
        <v>1.1190819999999999</v>
      </c>
      <c r="L5363">
        <v>-29.545839999999998</v>
      </c>
      <c r="M5363">
        <v>-1.702101E-2</v>
      </c>
      <c r="N5363">
        <v>-1.219399E-2</v>
      </c>
      <c r="O5363">
        <v>0.99978080000000003</v>
      </c>
      <c r="P5363">
        <v>-8.2989999999999904E-3</v>
      </c>
      <c r="Q5363">
        <v>0.14108860000000001</v>
      </c>
      <c r="R5363">
        <v>0.98996220000000001</v>
      </c>
      <c r="S5363">
        <v>0.24670410000000001</v>
      </c>
      <c r="T5363">
        <v>-0.85931039999999903</v>
      </c>
      <c r="U5363">
        <v>3.1539609999999998</v>
      </c>
      <c r="V5363">
        <v>9.2790500000000005E-3</v>
      </c>
      <c r="W5363">
        <v>0.15310699999999999</v>
      </c>
      <c r="X5363">
        <v>0.98816599999999999</v>
      </c>
      <c r="Y5363">
        <v>9.2300499999999994E-2</v>
      </c>
      <c r="Z5363">
        <v>-0.2500867</v>
      </c>
      <c r="AA5363">
        <v>0.9638139</v>
      </c>
      <c r="AB5363">
        <v>25</v>
      </c>
      <c r="AC5363">
        <v>5.8499999999980901E-2</v>
      </c>
      <c r="AD5363">
        <v>-0.197966799999999</v>
      </c>
      <c r="AE5363">
        <v>0.48841000000000101</v>
      </c>
      <c r="AF5363">
        <v>5.7493296461531E-2</v>
      </c>
      <c r="AG5363">
        <v>-0.197966799999999</v>
      </c>
      <c r="AH5363">
        <v>0.41941207682434201</v>
      </c>
      <c r="AI5363">
        <v>115.062529706514</v>
      </c>
      <c r="AJ5363">
        <v>82.194503784384395</v>
      </c>
      <c r="AK5363">
        <v>0.46733587838551499</v>
      </c>
      <c r="AL5363">
        <v>81.192974616011</v>
      </c>
      <c r="AM5363">
        <v>89.461998512837695</v>
      </c>
      <c r="AN5363">
        <v>0.99999994888694899</v>
      </c>
    </row>
    <row r="5364" spans="1:40" x14ac:dyDescent="0.25">
      <c r="A5364" t="str">
        <f>"20190303162706483"</f>
        <v>20190303162706483</v>
      </c>
      <c r="B5364" t="str">
        <f>"1551601626469382"</f>
        <v>1551601626469382</v>
      </c>
      <c r="C5364" t="s">
        <v>40</v>
      </c>
      <c r="D5364">
        <v>5.1202959999999997</v>
      </c>
      <c r="E5364">
        <v>0.52604719999999905</v>
      </c>
      <c r="F5364" t="s">
        <v>42</v>
      </c>
      <c r="G5364">
        <v>-187.01949999999999</v>
      </c>
      <c r="H5364">
        <v>0.92424930000000005</v>
      </c>
      <c r="I5364">
        <v>-28.831499999999998</v>
      </c>
      <c r="J5364">
        <v>-187.0771</v>
      </c>
      <c r="K5364">
        <v>1.119259</v>
      </c>
      <c r="L5364">
        <v>-29.281099999999999</v>
      </c>
      <c r="M5364">
        <v>-1.42489E-2</v>
      </c>
      <c r="N5364">
        <v>-1.2185990000000001E-2</v>
      </c>
      <c r="O5364">
        <v>0.99982420000000005</v>
      </c>
      <c r="P5364">
        <v>-5.2135580000000001E-3</v>
      </c>
      <c r="Q5364">
        <v>0.141094</v>
      </c>
      <c r="R5364">
        <v>0.98998249999999999</v>
      </c>
      <c r="S5364">
        <v>0.2492065</v>
      </c>
      <c r="T5364">
        <v>-0.86060329999999996</v>
      </c>
      <c r="U5364">
        <v>3.155151</v>
      </c>
      <c r="V5364">
        <v>9.5556449999999998E-3</v>
      </c>
      <c r="W5364">
        <v>0.1531071</v>
      </c>
      <c r="X5364">
        <v>0.98816340000000003</v>
      </c>
      <c r="Y5364">
        <v>9.0268890000000004E-2</v>
      </c>
      <c r="Z5364">
        <v>-0.25040570000000001</v>
      </c>
      <c r="AA5364">
        <v>0.96392350000000004</v>
      </c>
      <c r="AB5364">
        <v>25</v>
      </c>
      <c r="AC5364">
        <v>5.7600000000007798E-2</v>
      </c>
      <c r="AD5364">
        <v>-0.19500969999999901</v>
      </c>
      <c r="AE5364">
        <v>0.4496</v>
      </c>
      <c r="AF5364">
        <v>5.4004996446044097E-2</v>
      </c>
      <c r="AG5364">
        <v>-0.19500969999999901</v>
      </c>
      <c r="AH5364">
        <v>0.37864844788406998</v>
      </c>
      <c r="AI5364">
        <v>117.015012192361</v>
      </c>
      <c r="AJ5364">
        <v>81.882894068820093</v>
      </c>
      <c r="AK5364">
        <v>0.42932501653204702</v>
      </c>
      <c r="AL5364">
        <v>81.192969269681598</v>
      </c>
      <c r="AM5364">
        <v>89.445960997652804</v>
      </c>
      <c r="AN5364">
        <v>0.999999999760667</v>
      </c>
    </row>
    <row r="5365" spans="1:40" x14ac:dyDescent="0.25">
      <c r="A5365" t="str">
        <f>"20190303162706506"</f>
        <v>20190303162706506</v>
      </c>
      <c r="B5365" t="str">
        <f>"1551601626499639"</f>
        <v>1551601626499639</v>
      </c>
      <c r="C5365" t="s">
        <v>40</v>
      </c>
      <c r="D5365">
        <v>5.1202769999999997</v>
      </c>
      <c r="E5365">
        <v>0.52686480000000002</v>
      </c>
      <c r="F5365" t="s">
        <v>42</v>
      </c>
      <c r="G5365">
        <v>-187.03270000000001</v>
      </c>
      <c r="H5365">
        <v>0.90245660000000005</v>
      </c>
      <c r="I5365">
        <v>-28.616949999999999</v>
      </c>
      <c r="J5365">
        <v>-187.0779</v>
      </c>
      <c r="K5365">
        <v>1.119467</v>
      </c>
      <c r="L5365">
        <v>-29.010960000000001</v>
      </c>
      <c r="M5365">
        <v>-1.1778500000000001E-2</v>
      </c>
      <c r="N5365">
        <v>-1.217738E-2</v>
      </c>
      <c r="O5365">
        <v>0.99985650000000004</v>
      </c>
      <c r="P5365">
        <v>-2.449292E-3</v>
      </c>
      <c r="Q5365">
        <v>0.14151610000000001</v>
      </c>
      <c r="R5365">
        <v>0.9899329</v>
      </c>
      <c r="S5365">
        <v>0.21147160000000001</v>
      </c>
      <c r="T5365">
        <v>-1.0376459999999901</v>
      </c>
      <c r="U5365">
        <v>3.1793520000000002</v>
      </c>
      <c r="V5365">
        <v>9.7982039999999996E-3</v>
      </c>
      <c r="W5365">
        <v>0.15352360000000001</v>
      </c>
      <c r="X5365">
        <v>0.98809639999999999</v>
      </c>
      <c r="Y5365">
        <v>7.4945780000000004E-2</v>
      </c>
      <c r="Z5365">
        <v>-0.29787999999999998</v>
      </c>
      <c r="AA5365">
        <v>0.95165679999999997</v>
      </c>
      <c r="AB5365">
        <v>25</v>
      </c>
      <c r="AC5365">
        <v>4.5199999999994099E-2</v>
      </c>
      <c r="AD5365">
        <v>-0.21701039999999999</v>
      </c>
      <c r="AE5365">
        <v>0.39400999999999797</v>
      </c>
      <c r="AF5365">
        <v>3.83543278055841E-2</v>
      </c>
      <c r="AG5365">
        <v>-0.21701039999999999</v>
      </c>
      <c r="AH5365">
        <v>0.30279109754045602</v>
      </c>
      <c r="AI5365">
        <v>125.413534138255</v>
      </c>
      <c r="AJ5365">
        <v>82.780832274160701</v>
      </c>
      <c r="AK5365">
        <v>0.37449568344552697</v>
      </c>
      <c r="AL5365">
        <v>81.168820054342106</v>
      </c>
      <c r="AM5365">
        <v>89.431859749653995</v>
      </c>
      <c r="AN5365">
        <v>0.999999998125772</v>
      </c>
    </row>
    <row r="5366" spans="1:40" x14ac:dyDescent="0.25">
      <c r="A5366" t="str">
        <f>"20190303162706526"</f>
        <v>20190303162706526</v>
      </c>
      <c r="B5366" t="str">
        <f>"1551601626519159"</f>
        <v>1551601626519159</v>
      </c>
      <c r="C5366" t="s">
        <v>40</v>
      </c>
      <c r="D5366">
        <v>5.1451840000000004</v>
      </c>
      <c r="E5366">
        <v>0.5270068</v>
      </c>
      <c r="F5366" t="s">
        <v>42</v>
      </c>
      <c r="G5366">
        <v>-187.0197</v>
      </c>
      <c r="H5366">
        <v>0.8483368</v>
      </c>
      <c r="I5366">
        <v>-28.190729999999999</v>
      </c>
      <c r="J5366">
        <v>-187.07839999999999</v>
      </c>
      <c r="K5366">
        <v>1.1196539999999999</v>
      </c>
      <c r="L5366">
        <v>-28.773530000000001</v>
      </c>
      <c r="M5366">
        <v>-9.8610529999999998E-3</v>
      </c>
      <c r="N5366">
        <v>-1.2169869999999999E-2</v>
      </c>
      <c r="O5366">
        <v>0.99987729999999997</v>
      </c>
      <c r="P5366">
        <v>-4.3025959999999999E-4</v>
      </c>
      <c r="Q5366">
        <v>0.1430583</v>
      </c>
      <c r="R5366">
        <v>0.98971410000000004</v>
      </c>
      <c r="S5366">
        <v>0.2248993</v>
      </c>
      <c r="T5366">
        <v>-1.0514699999999999</v>
      </c>
      <c r="U5366">
        <v>3.1813660000000001</v>
      </c>
      <c r="V5366">
        <v>9.8528820000000003E-3</v>
      </c>
      <c r="W5366">
        <v>0.1550599</v>
      </c>
      <c r="X5366">
        <v>0.98785590000000001</v>
      </c>
      <c r="Y5366">
        <v>7.6907980000000001E-2</v>
      </c>
      <c r="Z5366">
        <v>-0.3013884</v>
      </c>
      <c r="AA5366">
        <v>0.95039470000000004</v>
      </c>
      <c r="AB5366">
        <v>25</v>
      </c>
      <c r="AC5366">
        <v>5.8699999999987498E-2</v>
      </c>
      <c r="AD5366">
        <v>-0.27131719999999998</v>
      </c>
      <c r="AE5366">
        <v>0.58279999999999799</v>
      </c>
      <c r="AF5366">
        <v>5.3060394161339598E-2</v>
      </c>
      <c r="AG5366">
        <v>-0.27131719999999998</v>
      </c>
      <c r="AH5366">
        <v>0.479347864337069</v>
      </c>
      <c r="AI5366">
        <v>119.361107025625</v>
      </c>
      <c r="AJ5366">
        <v>83.683480159539897</v>
      </c>
      <c r="AK5366">
        <v>0.55335594646566</v>
      </c>
      <c r="AL5366">
        <v>81.079729418034006</v>
      </c>
      <c r="AM5366">
        <v>89.428550423360207</v>
      </c>
      <c r="AN5366">
        <v>0.99999996551826198</v>
      </c>
    </row>
    <row r="5367" spans="1:40" x14ac:dyDescent="0.25">
      <c r="A5367" t="str">
        <f>"20190303162706548"</f>
        <v>20190303162706548</v>
      </c>
      <c r="B5367" t="str">
        <f>"1551601626539655"</f>
        <v>1551601626539655</v>
      </c>
      <c r="C5367" t="s">
        <v>40</v>
      </c>
      <c r="D5367">
        <v>5.1387119999999999</v>
      </c>
      <c r="E5367">
        <v>0.52717669999999905</v>
      </c>
      <c r="F5367" t="s">
        <v>42</v>
      </c>
      <c r="G5367">
        <v>-187.02029999999999</v>
      </c>
      <c r="H5367">
        <v>0.85278069999999895</v>
      </c>
      <c r="I5367">
        <v>-27.964970000000001</v>
      </c>
      <c r="J5367">
        <v>-187.07859999999999</v>
      </c>
      <c r="K5367">
        <v>1.1198140000000001</v>
      </c>
      <c r="L5367">
        <v>-28.535640000000001</v>
      </c>
      <c r="M5367">
        <v>-8.1440169999999999E-3</v>
      </c>
      <c r="N5367">
        <v>-1.2162839999999999E-2</v>
      </c>
      <c r="O5367">
        <v>0.99989289999999997</v>
      </c>
      <c r="P5367">
        <v>1.1675310000000001E-3</v>
      </c>
      <c r="Q5367">
        <v>0.14232600000000001</v>
      </c>
      <c r="R5367">
        <v>0.98981920000000001</v>
      </c>
      <c r="S5367">
        <v>0.22837830000000001</v>
      </c>
      <c r="T5367">
        <v>-1.0506150000000001</v>
      </c>
      <c r="U5367">
        <v>3.1831360000000002</v>
      </c>
      <c r="V5367">
        <v>9.6881910000000005E-3</v>
      </c>
      <c r="W5367">
        <v>0.1543255</v>
      </c>
      <c r="X5367">
        <v>0.98797259999999998</v>
      </c>
      <c r="Y5367">
        <v>7.6202950000000005E-2</v>
      </c>
      <c r="Z5367">
        <v>-0.30101329999999998</v>
      </c>
      <c r="AA5367">
        <v>0.95057040000000004</v>
      </c>
      <c r="AB5367">
        <v>25</v>
      </c>
      <c r="AC5367">
        <v>5.83000000000026E-2</v>
      </c>
      <c r="AD5367">
        <v>-0.26703329999999997</v>
      </c>
      <c r="AE5367">
        <v>0.57066999999999901</v>
      </c>
      <c r="AF5367">
        <v>5.1735139818891399E-2</v>
      </c>
      <c r="AG5367">
        <v>-0.26703329999999997</v>
      </c>
      <c r="AH5367">
        <v>0.46862657032208299</v>
      </c>
      <c r="AI5367">
        <v>119.52635401089999</v>
      </c>
      <c r="AJ5367">
        <v>83.700207181490299</v>
      </c>
      <c r="AK5367">
        <v>0.54184330798932001</v>
      </c>
      <c r="AL5367">
        <v>81.122320784502406</v>
      </c>
      <c r="AM5367">
        <v>89.438167957458106</v>
      </c>
      <c r="AN5367">
        <v>1.0000000396729301</v>
      </c>
    </row>
    <row r="5368" spans="1:40" x14ac:dyDescent="0.25">
      <c r="A5368" t="str">
        <f>"20190303162706571"</f>
        <v>20190303162706571</v>
      </c>
      <c r="B5368" t="str">
        <f>"1551601626560151"</f>
        <v>1551601626560151</v>
      </c>
      <c r="C5368" t="s">
        <v>40</v>
      </c>
      <c r="D5368">
        <v>5.1291270000000004</v>
      </c>
      <c r="E5368">
        <v>0.52731569999999905</v>
      </c>
      <c r="F5368" t="s">
        <v>42</v>
      </c>
      <c r="G5368">
        <v>-187.02010000000001</v>
      </c>
      <c r="H5368">
        <v>0.85619959999999995</v>
      </c>
      <c r="I5368">
        <v>-27.73969</v>
      </c>
      <c r="J5368">
        <v>-187.0787</v>
      </c>
      <c r="K5368">
        <v>1.1199539999999999</v>
      </c>
      <c r="L5368">
        <v>-28.283080000000002</v>
      </c>
      <c r="M5368">
        <v>-6.5423199999999999E-3</v>
      </c>
      <c r="N5368">
        <v>-1.2155829999999999E-2</v>
      </c>
      <c r="O5368">
        <v>0.99990469999999998</v>
      </c>
      <c r="P5368">
        <v>1.7097900000000001E-3</v>
      </c>
      <c r="Q5368">
        <v>0.1399234</v>
      </c>
      <c r="R5368">
        <v>0.99016079999999995</v>
      </c>
      <c r="S5368">
        <v>0.23371890000000001</v>
      </c>
      <c r="T5368">
        <v>-1.0538259999999999</v>
      </c>
      <c r="U5368">
        <v>3.1820979999999999</v>
      </c>
      <c r="V5368">
        <v>8.5848629999999999E-3</v>
      </c>
      <c r="W5368">
        <v>0.15192700000000001</v>
      </c>
      <c r="X5368">
        <v>0.98835439999999997</v>
      </c>
      <c r="Y5368">
        <v>7.6192819999999994E-2</v>
      </c>
      <c r="Z5368">
        <v>-0.30196650000000003</v>
      </c>
      <c r="AA5368">
        <v>0.95026889999999997</v>
      </c>
      <c r="AB5368">
        <v>25</v>
      </c>
      <c r="AC5368">
        <v>5.8599999999984199E-2</v>
      </c>
      <c r="AD5368">
        <v>-0.2637544</v>
      </c>
      <c r="AE5368">
        <v>0.54338999999999504</v>
      </c>
      <c r="AF5368">
        <v>5.0413207908648901E-2</v>
      </c>
      <c r="AG5368">
        <v>-0.2637544</v>
      </c>
      <c r="AH5368">
        <v>0.44042379202073401</v>
      </c>
      <c r="AI5368">
        <v>120.75179496136499</v>
      </c>
      <c r="AJ5368">
        <v>83.470045922526396</v>
      </c>
      <c r="AK5368">
        <v>0.51583039036966705</v>
      </c>
      <c r="AL5368">
        <v>81.261384131222698</v>
      </c>
      <c r="AM5368">
        <v>89.502340407473099</v>
      </c>
      <c r="AN5368">
        <v>0.99999996660054302</v>
      </c>
    </row>
    <row r="5369" spans="1:40" x14ac:dyDescent="0.25">
      <c r="A5369" t="str">
        <f>"20190303162706620"</f>
        <v>20190303162706620</v>
      </c>
      <c r="B5369" t="str">
        <f>"1551601626609928"</f>
        <v>1551601626609928</v>
      </c>
      <c r="C5369" t="s">
        <v>40</v>
      </c>
      <c r="D5369">
        <v>5.2695360000000004</v>
      </c>
      <c r="E5369">
        <v>0.52805590000000002</v>
      </c>
      <c r="F5369" t="s">
        <v>42</v>
      </c>
      <c r="G5369">
        <v>-187.02170000000001</v>
      </c>
      <c r="H5369">
        <v>0.86260740000000002</v>
      </c>
      <c r="I5369">
        <v>-27.513269999999999</v>
      </c>
      <c r="J5369">
        <v>-187.07830000000001</v>
      </c>
      <c r="K5369">
        <v>1.1202080000000001</v>
      </c>
      <c r="L5369">
        <v>-27.740780000000001</v>
      </c>
      <c r="M5369">
        <v>-3.7708170000000001E-3</v>
      </c>
      <c r="N5369">
        <v>-1.214199E-2</v>
      </c>
      <c r="O5369">
        <v>0.99991920000000001</v>
      </c>
      <c r="P5369">
        <v>-1.5579319999999999E-3</v>
      </c>
      <c r="Q5369">
        <v>0.13821140000000001</v>
      </c>
      <c r="R5369">
        <v>0.99040150000000005</v>
      </c>
      <c r="S5369">
        <v>0.23577880000000001</v>
      </c>
      <c r="T5369">
        <v>-1.0629820000000001</v>
      </c>
      <c r="U5369">
        <v>3.1796259999999998</v>
      </c>
      <c r="V5369">
        <v>2.474342E-3</v>
      </c>
      <c r="W5369">
        <v>0.1502221</v>
      </c>
      <c r="X5369">
        <v>0.98864920000000001</v>
      </c>
      <c r="Y5369">
        <v>7.4035190000000001E-2</v>
      </c>
      <c r="Z5369">
        <v>-0.30469039999999997</v>
      </c>
      <c r="AA5369">
        <v>0.94956969999999996</v>
      </c>
      <c r="AB5369">
        <v>25</v>
      </c>
      <c r="AC5369">
        <v>5.6600000000003002E-2</v>
      </c>
      <c r="AD5369">
        <v>-0.25760060000000001</v>
      </c>
      <c r="AE5369">
        <v>0.22750999999999499</v>
      </c>
      <c r="AF5369">
        <v>2.6030784268423899E-2</v>
      </c>
      <c r="AG5369">
        <v>-0.25760060000000001</v>
      </c>
      <c r="AH5369">
        <v>0.102974535851901</v>
      </c>
      <c r="AI5369">
        <v>157.59269474881799</v>
      </c>
      <c r="AJ5369">
        <v>75.813481345189004</v>
      </c>
      <c r="AK5369">
        <v>0.278638521895131</v>
      </c>
      <c r="AL5369">
        <v>81.360202390910501</v>
      </c>
      <c r="AM5369">
        <v>89.856603274781307</v>
      </c>
      <c r="AN5369">
        <v>1.0000000211786899</v>
      </c>
    </row>
    <row r="5370" spans="1:40" x14ac:dyDescent="0.25">
      <c r="A5370" t="str">
        <f>"20190303162706661"</f>
        <v>20190303162706661</v>
      </c>
      <c r="B5370" t="str">
        <f>"1551601626649943"</f>
        <v>1551601626649943</v>
      </c>
      <c r="C5370" t="s">
        <v>40</v>
      </c>
      <c r="D5370">
        <v>5.4250780000000001</v>
      </c>
      <c r="E5370">
        <v>0.4743986</v>
      </c>
      <c r="F5370" t="s">
        <v>42</v>
      </c>
      <c r="G5370">
        <v>-187.02809999999999</v>
      </c>
      <c r="H5370">
        <v>0.889820099999999</v>
      </c>
      <c r="I5370">
        <v>-27.054780000000001</v>
      </c>
      <c r="J5370">
        <v>-187.07740000000001</v>
      </c>
      <c r="K5370">
        <v>1.1203350000000001</v>
      </c>
      <c r="L5370">
        <v>-27.28171</v>
      </c>
      <c r="M5370">
        <v>-1.834228E-3</v>
      </c>
      <c r="N5370">
        <v>-1.2132739999999999E-2</v>
      </c>
      <c r="O5370">
        <v>0.9999247</v>
      </c>
      <c r="P5370">
        <v>-6.4336139999999998E-3</v>
      </c>
      <c r="Q5370">
        <v>0.13802919999999999</v>
      </c>
      <c r="R5370">
        <v>0.99040729999999999</v>
      </c>
      <c r="S5370">
        <v>0.23194890000000001</v>
      </c>
      <c r="T5370">
        <v>-1.0673629999999901</v>
      </c>
      <c r="U5370">
        <v>3.1784059999999998</v>
      </c>
      <c r="V5370">
        <v>-4.3662830000000003E-3</v>
      </c>
      <c r="W5370">
        <v>0.15004300000000001</v>
      </c>
      <c r="X5370">
        <v>0.98866980000000004</v>
      </c>
      <c r="Y5370">
        <v>7.0967299999999997E-2</v>
      </c>
      <c r="Z5370">
        <v>-0.30603740000000001</v>
      </c>
      <c r="AA5370">
        <v>0.94937070000000001</v>
      </c>
      <c r="AB5370">
        <v>25</v>
      </c>
      <c r="AC5370">
        <v>4.9300000000016497E-2</v>
      </c>
      <c r="AD5370">
        <v>-0.23051489999999999</v>
      </c>
      <c r="AE5370">
        <v>0.22692999999999899</v>
      </c>
      <c r="AF5370">
        <v>2.5041653443529599E-2</v>
      </c>
      <c r="AG5370">
        <v>-0.23051489999999999</v>
      </c>
      <c r="AH5370">
        <v>0.114257113087517</v>
      </c>
      <c r="AI5370">
        <v>153.095606831487</v>
      </c>
      <c r="AJ5370">
        <v>77.637986771147297</v>
      </c>
      <c r="AK5370">
        <v>0.25849350363266299</v>
      </c>
      <c r="AL5370">
        <v>81.370581258952797</v>
      </c>
      <c r="AM5370">
        <v>90.2530348976494</v>
      </c>
      <c r="AN5370">
        <v>0.99999996985413697</v>
      </c>
    </row>
    <row r="5371" spans="1:40" x14ac:dyDescent="0.25">
      <c r="A5371" t="str">
        <f>"20190303162706685"</f>
        <v>20190303162706685</v>
      </c>
      <c r="B5371" t="str">
        <f>"1551601626669463"</f>
        <v>1551601626669463</v>
      </c>
      <c r="C5371" t="s">
        <v>40</v>
      </c>
      <c r="D5371">
        <v>5.2833009999999998</v>
      </c>
      <c r="E5371">
        <v>0.47707329999999998</v>
      </c>
      <c r="F5371" t="s">
        <v>41</v>
      </c>
      <c r="G5371">
        <v>-197.3579</v>
      </c>
      <c r="H5371" s="1">
        <v>-3.5562360000000001E-6</v>
      </c>
      <c r="I5371">
        <v>113.6016</v>
      </c>
      <c r="J5371">
        <v>-187.07669999999999</v>
      </c>
      <c r="K5371">
        <v>1.1203559999999999</v>
      </c>
      <c r="L5371">
        <v>-27.031770000000002</v>
      </c>
      <c r="M5371">
        <v>-8.4482049999999999E-4</v>
      </c>
      <c r="N5371">
        <v>-1.2128760000000001E-2</v>
      </c>
      <c r="O5371">
        <v>0.99992610000000004</v>
      </c>
      <c r="P5371">
        <v>-9.8434709999999995E-3</v>
      </c>
      <c r="Q5371">
        <v>0.13716239999999999</v>
      </c>
      <c r="R5371">
        <v>0.99049969999999998</v>
      </c>
      <c r="S5371">
        <v>-0.22117609999999999</v>
      </c>
      <c r="T5371">
        <v>-2.4103050000000001E-2</v>
      </c>
      <c r="U5371">
        <v>3.0309750000000002</v>
      </c>
      <c r="V5371">
        <v>-8.7677540000000009E-3</v>
      </c>
      <c r="W5371">
        <v>0.14918020000000001</v>
      </c>
      <c r="X5371">
        <v>0.98877110000000001</v>
      </c>
      <c r="Y5371">
        <v>-7.1926390000000007E-2</v>
      </c>
      <c r="Z5371">
        <v>4.1974409999999997E-3</v>
      </c>
      <c r="AA5371">
        <v>0.99740110000000004</v>
      </c>
      <c r="AB5371">
        <v>25</v>
      </c>
      <c r="AC5371">
        <v>-10.2812</v>
      </c>
      <c r="AD5371">
        <v>-1.12035955623599</v>
      </c>
      <c r="AE5371">
        <v>140.63336999999899</v>
      </c>
      <c r="AF5371">
        <v>-10.161736146509799</v>
      </c>
      <c r="AG5371">
        <v>-1.12035955623599</v>
      </c>
      <c r="AH5371">
        <v>140.633128302372</v>
      </c>
      <c r="AI5371">
        <v>90.455252651505006</v>
      </c>
      <c r="AJ5371">
        <v>94.132841829852396</v>
      </c>
      <c r="AK5371">
        <v>141.00422994774999</v>
      </c>
      <c r="AL5371">
        <v>81.420578592154598</v>
      </c>
      <c r="AM5371">
        <v>90.508046942301803</v>
      </c>
      <c r="AN5371">
        <v>0.99999994688872496</v>
      </c>
    </row>
    <row r="5372" spans="1:40" x14ac:dyDescent="0.25">
      <c r="A5372" t="str">
        <f>"20190303162706708"</f>
        <v>20190303162706708</v>
      </c>
      <c r="B5372" t="str">
        <f>"1551601626699719"</f>
        <v>1551601626699719</v>
      </c>
      <c r="C5372" t="s">
        <v>40</v>
      </c>
      <c r="D5372">
        <v>5.3292349999999997</v>
      </c>
      <c r="E5372">
        <v>0.47802719999999999</v>
      </c>
      <c r="F5372" t="s">
        <v>41</v>
      </c>
      <c r="G5372">
        <v>-191.5172</v>
      </c>
      <c r="H5372" s="1">
        <v>-3.8303920000000004E-6</v>
      </c>
      <c r="I5372">
        <v>37.576830000000001</v>
      </c>
      <c r="J5372">
        <v>-187.07550000000001</v>
      </c>
      <c r="K5372">
        <v>1.1203730000000001</v>
      </c>
      <c r="L5372">
        <v>-26.75217</v>
      </c>
      <c r="M5372">
        <v>2.3811279999999999E-4</v>
      </c>
      <c r="N5372">
        <v>-1.212502E-2</v>
      </c>
      <c r="O5372">
        <v>0.99992639999999999</v>
      </c>
      <c r="P5372">
        <v>-1.368837E-2</v>
      </c>
      <c r="Q5372">
        <v>0.1364591</v>
      </c>
      <c r="R5372">
        <v>0.99055110000000002</v>
      </c>
      <c r="S5372">
        <v>-0.20852660000000001</v>
      </c>
      <c r="T5372">
        <v>-5.2611709999999999E-2</v>
      </c>
      <c r="U5372">
        <v>3.0339969999999998</v>
      </c>
      <c r="V5372">
        <v>-1.369042E-2</v>
      </c>
      <c r="W5372">
        <v>0.1484809</v>
      </c>
      <c r="X5372">
        <v>0.98882049999999999</v>
      </c>
      <c r="Y5372">
        <v>-6.8792629999999994E-2</v>
      </c>
      <c r="Z5372">
        <v>-5.1726130000000004E-3</v>
      </c>
      <c r="AA5372">
        <v>0.99761750000000005</v>
      </c>
      <c r="AB5372">
        <v>25</v>
      </c>
      <c r="AC5372">
        <v>-4.4416999999999902</v>
      </c>
      <c r="AD5372">
        <v>-1.1203768303919901</v>
      </c>
      <c r="AE5372">
        <v>64.328999999999994</v>
      </c>
      <c r="AF5372">
        <v>-4.4556734350323604</v>
      </c>
      <c r="AG5372">
        <v>-1.1203768303919901</v>
      </c>
      <c r="AH5372">
        <v>64.308526355583297</v>
      </c>
      <c r="AI5372">
        <v>90.995713834236597</v>
      </c>
      <c r="AJ5372">
        <v>93.963454898634893</v>
      </c>
      <c r="AK5372">
        <v>64.472434668069397</v>
      </c>
      <c r="AL5372">
        <v>81.461097195429005</v>
      </c>
      <c r="AM5372">
        <v>90.793220984866807</v>
      </c>
      <c r="AN5372">
        <v>0.99999999324241795</v>
      </c>
    </row>
    <row r="5373" spans="1:40" x14ac:dyDescent="0.25">
      <c r="A5373" t="str">
        <f>"20190303162706729"</f>
        <v>20190303162706729</v>
      </c>
      <c r="B5373" t="str">
        <f>"1551601626719239"</f>
        <v>1551601626719239</v>
      </c>
      <c r="C5373" t="s">
        <v>40</v>
      </c>
      <c r="D5373">
        <v>5.3233280000000001</v>
      </c>
      <c r="E5373">
        <v>0.47918290000000002</v>
      </c>
      <c r="F5373" t="s">
        <v>41</v>
      </c>
      <c r="G5373">
        <v>-189.48519999999999</v>
      </c>
      <c r="H5373" s="1">
        <v>-3.6537209999999998E-6</v>
      </c>
      <c r="I5373">
        <v>7.9368489999999996</v>
      </c>
      <c r="J5373">
        <v>-187.0744</v>
      </c>
      <c r="K5373">
        <v>1.120385</v>
      </c>
      <c r="L5373">
        <v>-26.51538</v>
      </c>
      <c r="M5373">
        <v>1.158432E-3</v>
      </c>
      <c r="N5373">
        <v>-1.212068E-2</v>
      </c>
      <c r="O5373">
        <v>0.99992590000000003</v>
      </c>
      <c r="P5373">
        <v>-1.671272E-2</v>
      </c>
      <c r="Q5373">
        <v>0.1384996</v>
      </c>
      <c r="R5373">
        <v>0.99022140000000003</v>
      </c>
      <c r="S5373">
        <v>-0.21112059999999999</v>
      </c>
      <c r="T5373">
        <v>-9.8159789999999997E-2</v>
      </c>
      <c r="U5373">
        <v>3.039215</v>
      </c>
      <c r="V5373">
        <v>-1.7622820000000001E-2</v>
      </c>
      <c r="W5373">
        <v>0.15051909999999999</v>
      </c>
      <c r="X5373">
        <v>0.9884501</v>
      </c>
      <c r="Y5373">
        <v>-7.0421319999999996E-2</v>
      </c>
      <c r="Z5373">
        <v>-2.008482E-2</v>
      </c>
      <c r="AA5373">
        <v>0.99731510000000001</v>
      </c>
      <c r="AB5373">
        <v>25</v>
      </c>
      <c r="AC5373">
        <v>-2.4107999999999898</v>
      </c>
      <c r="AD5373">
        <v>-1.1203886537209999</v>
      </c>
      <c r="AE5373">
        <v>34.452228999999903</v>
      </c>
      <c r="AF5373">
        <v>-2.4481354563676301</v>
      </c>
      <c r="AG5373">
        <v>-1.1203886537209999</v>
      </c>
      <c r="AH5373">
        <v>34.413196431269299</v>
      </c>
      <c r="AI5373">
        <v>91.860019715427796</v>
      </c>
      <c r="AJ5373">
        <v>94.069134412670707</v>
      </c>
      <c r="AK5373">
        <v>34.518353474133697</v>
      </c>
      <c r="AL5373">
        <v>81.342990360865798</v>
      </c>
      <c r="AM5373">
        <v>91.0214033522779</v>
      </c>
      <c r="AN5373">
        <v>1.0000000817197801</v>
      </c>
    </row>
    <row r="5374" spans="1:40" x14ac:dyDescent="0.25">
      <c r="A5374" t="str">
        <f>"20190303162706750"</f>
        <v>20190303162706750</v>
      </c>
      <c r="B5374" t="str">
        <f>"1551601626739735"</f>
        <v>1551601626739735</v>
      </c>
      <c r="C5374" t="s">
        <v>40</v>
      </c>
      <c r="D5374">
        <v>5.3145280000000001</v>
      </c>
      <c r="E5374">
        <v>0.48002329999999999</v>
      </c>
      <c r="F5374" t="s">
        <v>41</v>
      </c>
      <c r="G5374">
        <v>-189.3083</v>
      </c>
      <c r="H5374" s="1">
        <v>-2.705952E-6</v>
      </c>
      <c r="I5374">
        <v>5.6544339999999904</v>
      </c>
      <c r="J5374">
        <v>-187.07300000000001</v>
      </c>
      <c r="K5374">
        <v>1.1203970000000001</v>
      </c>
      <c r="L5374">
        <v>-26.285250000000001</v>
      </c>
      <c r="M5374">
        <v>2.0660700000000001E-3</v>
      </c>
      <c r="N5374">
        <v>-1.211197E-2</v>
      </c>
      <c r="O5374">
        <v>0.99992449999999999</v>
      </c>
      <c r="P5374">
        <v>-1.939536E-2</v>
      </c>
      <c r="Q5374">
        <v>0.14090939999999999</v>
      </c>
      <c r="R5374">
        <v>0.9898325</v>
      </c>
      <c r="S5374">
        <v>-0.2111664</v>
      </c>
      <c r="T5374">
        <v>-0.1059051</v>
      </c>
      <c r="U5374">
        <v>3.0408629999999999</v>
      </c>
      <c r="V5374">
        <v>-2.119737E-2</v>
      </c>
      <c r="W5374">
        <v>0.15292140000000001</v>
      </c>
      <c r="X5374">
        <v>0.98801099999999997</v>
      </c>
      <c r="Y5374">
        <v>-7.1299269999999998E-2</v>
      </c>
      <c r="Z5374">
        <v>-2.2611989999999998E-2</v>
      </c>
      <c r="AA5374">
        <v>0.99719860000000005</v>
      </c>
      <c r="AB5374">
        <v>25</v>
      </c>
      <c r="AC5374">
        <v>-2.23530000000002</v>
      </c>
      <c r="AD5374">
        <v>-1.1203997059519999</v>
      </c>
      <c r="AE5374">
        <v>31.939684</v>
      </c>
      <c r="AF5374">
        <v>-2.2984751842221098</v>
      </c>
      <c r="AG5374">
        <v>-1.1203997059519999</v>
      </c>
      <c r="AH5374">
        <v>31.8959402555937</v>
      </c>
      <c r="AI5374">
        <v>92.006586564665298</v>
      </c>
      <c r="AJ5374">
        <v>94.121705724076193</v>
      </c>
      <c r="AK5374">
        <v>31.998270085459001</v>
      </c>
      <c r="AL5374">
        <v>81.203735971002999</v>
      </c>
      <c r="AM5374">
        <v>91.229068848064102</v>
      </c>
      <c r="AN5374">
        <v>1.0000000095969299</v>
      </c>
    </row>
    <row r="5375" spans="1:40" x14ac:dyDescent="0.25">
      <c r="A5375" t="str">
        <f>"20190303162706772"</f>
        <v>20190303162706772</v>
      </c>
      <c r="B5375" t="str">
        <f>"1551601626759255"</f>
        <v>1551601626759255</v>
      </c>
      <c r="C5375" t="s">
        <v>40</v>
      </c>
      <c r="D5375">
        <v>5.3058649999999998</v>
      </c>
      <c r="E5375">
        <v>0.48064099999999998</v>
      </c>
      <c r="F5375" t="s">
        <v>41</v>
      </c>
      <c r="G5375">
        <v>-189.27780000000001</v>
      </c>
      <c r="H5375" s="1">
        <v>-2.481129E-6</v>
      </c>
      <c r="I5375">
        <v>5.1177289999999998</v>
      </c>
      <c r="J5375">
        <v>-187.07130000000001</v>
      </c>
      <c r="K5375">
        <v>1.1203879999999999</v>
      </c>
      <c r="L5375">
        <v>-26.028690000000001</v>
      </c>
      <c r="M5375">
        <v>3.097444E-3</v>
      </c>
      <c r="N5375">
        <v>-1.2096890000000001E-2</v>
      </c>
      <c r="O5375">
        <v>0.99992199999999998</v>
      </c>
      <c r="P5375">
        <v>-2.1408030000000002E-2</v>
      </c>
      <c r="Q5375">
        <v>0.141763</v>
      </c>
      <c r="R5375">
        <v>0.98966909999999997</v>
      </c>
      <c r="S5375">
        <v>-0.2135773</v>
      </c>
      <c r="T5375">
        <v>-0.1085359</v>
      </c>
      <c r="U5375">
        <v>3.042084</v>
      </c>
      <c r="V5375">
        <v>-2.4225719999999999E-2</v>
      </c>
      <c r="W5375">
        <v>0.15376289999999901</v>
      </c>
      <c r="X5375">
        <v>0.98781070000000004</v>
      </c>
      <c r="Y5375">
        <v>-7.3084560000000007E-2</v>
      </c>
      <c r="Z5375">
        <v>-2.3470689999999999E-2</v>
      </c>
      <c r="AA5375">
        <v>0.99704950000000003</v>
      </c>
      <c r="AB5375">
        <v>25</v>
      </c>
      <c r="AC5375">
        <v>-2.2065000000000001</v>
      </c>
      <c r="AD5375">
        <v>-1.120390481129</v>
      </c>
      <c r="AE5375">
        <v>31.146419000000002</v>
      </c>
      <c r="AF5375">
        <v>-2.3000094946294101</v>
      </c>
      <c r="AG5375">
        <v>-1.120390481129</v>
      </c>
      <c r="AH5375">
        <v>31.099393975449299</v>
      </c>
      <c r="AI5375">
        <v>92.057637583462494</v>
      </c>
      <c r="AJ5375">
        <v>94.229708130986893</v>
      </c>
      <c r="AK5375">
        <v>31.204448787725799</v>
      </c>
      <c r="AL5375">
        <v>81.154943964285195</v>
      </c>
      <c r="AM5375">
        <v>91.404877807821805</v>
      </c>
      <c r="AN5375">
        <v>0.999999946980207</v>
      </c>
    </row>
    <row r="5376" spans="1:40" x14ac:dyDescent="0.25">
      <c r="A5376" t="str">
        <f>"20190303162706797"</f>
        <v>20190303162706797</v>
      </c>
      <c r="B5376" t="str">
        <f>"1551601626789513"</f>
        <v>1551601626789513</v>
      </c>
      <c r="C5376" t="s">
        <v>40</v>
      </c>
      <c r="D5376">
        <v>5.4164919999999999</v>
      </c>
      <c r="E5376">
        <v>0.48146220000000001</v>
      </c>
      <c r="F5376" t="s">
        <v>41</v>
      </c>
      <c r="G5376">
        <v>-189.22210000000001</v>
      </c>
      <c r="H5376" s="1">
        <v>-2.1910549999999999E-6</v>
      </c>
      <c r="I5376">
        <v>4.4185349999999897</v>
      </c>
      <c r="J5376">
        <v>-187.0692</v>
      </c>
      <c r="K5376">
        <v>1.1203639999999999</v>
      </c>
      <c r="L5376">
        <v>-25.76154</v>
      </c>
      <c r="M5376">
        <v>4.1892270000000002E-3</v>
      </c>
      <c r="N5376">
        <v>-1.2075900000000001E-2</v>
      </c>
      <c r="O5376">
        <v>0.99991830000000004</v>
      </c>
      <c r="P5376">
        <v>-2.2330760000000002E-2</v>
      </c>
      <c r="Q5376">
        <v>0.14062569999999999</v>
      </c>
      <c r="R5376">
        <v>0.98981090000000005</v>
      </c>
      <c r="S5376">
        <v>-0.2149353</v>
      </c>
      <c r="T5376">
        <v>-0.1119643</v>
      </c>
      <c r="U5376">
        <v>3.042694</v>
      </c>
      <c r="V5376">
        <v>-2.6228029999999999E-2</v>
      </c>
      <c r="W5376">
        <v>0.15261040000000001</v>
      </c>
      <c r="X5376">
        <v>0.98793830000000005</v>
      </c>
      <c r="Y5376">
        <v>-7.4599440000000003E-2</v>
      </c>
      <c r="Z5376">
        <v>-2.460333E-2</v>
      </c>
      <c r="AA5376">
        <v>0.99690999999999996</v>
      </c>
      <c r="AB5376">
        <v>25</v>
      </c>
      <c r="AC5376">
        <v>-2.15290000000001</v>
      </c>
      <c r="AD5376">
        <v>-1.120366191055</v>
      </c>
      <c r="AE5376">
        <v>30.180074999999999</v>
      </c>
      <c r="AF5376">
        <v>-2.2762005709724402</v>
      </c>
      <c r="AG5376">
        <v>-1.120366191055</v>
      </c>
      <c r="AH5376">
        <v>30.1294794066668</v>
      </c>
      <c r="AI5376">
        <v>92.123519542522502</v>
      </c>
      <c r="AJ5376">
        <v>94.320334161030104</v>
      </c>
      <c r="AK5376">
        <v>30.236101580033601</v>
      </c>
      <c r="AL5376">
        <v>81.221766192642093</v>
      </c>
      <c r="AM5376">
        <v>91.520745294629506</v>
      </c>
      <c r="AN5376">
        <v>0.99999996417636405</v>
      </c>
    </row>
    <row r="5377" spans="1:40" x14ac:dyDescent="0.25">
      <c r="A5377" t="str">
        <f>"20190303162706839"</f>
        <v>20190303162706839</v>
      </c>
      <c r="B5377" t="str">
        <f>"1551601626829527"</f>
        <v>1551601626829527</v>
      </c>
      <c r="C5377" t="s">
        <v>40</v>
      </c>
      <c r="D5377">
        <v>5.4170970000000001</v>
      </c>
      <c r="E5377">
        <v>0.48215960000000002</v>
      </c>
      <c r="F5377" t="s">
        <v>41</v>
      </c>
      <c r="G5377">
        <v>-189.02719999999999</v>
      </c>
      <c r="H5377" s="1">
        <v>-1.380333E-6</v>
      </c>
      <c r="I5377">
        <v>2.4481329999999999</v>
      </c>
      <c r="J5377">
        <v>-187.06479999999999</v>
      </c>
      <c r="K5377">
        <v>1.1203149999999999</v>
      </c>
      <c r="L5377">
        <v>-25.286349999999999</v>
      </c>
      <c r="M5377">
        <v>6.1536799999999999E-3</v>
      </c>
      <c r="N5377">
        <v>-1.203395E-2</v>
      </c>
      <c r="O5377">
        <v>0.99990860000000004</v>
      </c>
      <c r="P5377">
        <v>-2.1594479999999999E-2</v>
      </c>
      <c r="Q5377">
        <v>0.1379621</v>
      </c>
      <c r="R5377">
        <v>0.99020209999999997</v>
      </c>
      <c r="S5377">
        <v>-0.21122740000000001</v>
      </c>
      <c r="T5377">
        <v>-0.1208656</v>
      </c>
      <c r="U5377">
        <v>3.0432739999999998</v>
      </c>
      <c r="V5377">
        <v>-2.7436970000000001E-2</v>
      </c>
      <c r="W5377">
        <v>0.1499124</v>
      </c>
      <c r="X5377">
        <v>0.98831849999999999</v>
      </c>
      <c r="Y5377">
        <v>-7.5329740000000006E-2</v>
      </c>
      <c r="Z5377">
        <v>-2.7549400000000002E-2</v>
      </c>
      <c r="AA5377">
        <v>0.99677800000000005</v>
      </c>
      <c r="AB5377">
        <v>25</v>
      </c>
      <c r="AC5377">
        <v>-1.9623999999999999</v>
      </c>
      <c r="AD5377">
        <v>-1.1203163803330001</v>
      </c>
      <c r="AE5377">
        <v>27.734483000000001</v>
      </c>
      <c r="AF5377">
        <v>-2.1295867962782098</v>
      </c>
      <c r="AG5377">
        <v>-1.1203163803330001</v>
      </c>
      <c r="AH5377">
        <v>27.676945344689901</v>
      </c>
      <c r="AI5377">
        <v>92.311147749775401</v>
      </c>
      <c r="AJ5377">
        <v>94.399921623393496</v>
      </c>
      <c r="AK5377">
        <v>27.781352600762201</v>
      </c>
      <c r="AL5377">
        <v>81.378149833836105</v>
      </c>
      <c r="AM5377">
        <v>91.590194784468196</v>
      </c>
      <c r="AN5377">
        <v>0.99999998621939501</v>
      </c>
    </row>
    <row r="5378" spans="1:40" x14ac:dyDescent="0.25">
      <c r="A5378" t="str">
        <f>"20190303162706861"</f>
        <v>20190303162706861</v>
      </c>
      <c r="B5378" t="str">
        <f>"1551601626849047"</f>
        <v>1551601626849047</v>
      </c>
      <c r="C5378" t="s">
        <v>40</v>
      </c>
      <c r="D5378">
        <v>5.4133170000000002</v>
      </c>
      <c r="E5378">
        <v>0.48257339999999999</v>
      </c>
      <c r="F5378" t="s">
        <v>41</v>
      </c>
      <c r="G5378">
        <v>-188.74189999999999</v>
      </c>
      <c r="H5378" s="1">
        <v>-3.7430600000000002E-7</v>
      </c>
      <c r="I5378">
        <v>-0.235654</v>
      </c>
      <c r="J5378">
        <v>-187.06200000000001</v>
      </c>
      <c r="K5378">
        <v>1.120296</v>
      </c>
      <c r="L5378">
        <v>-25.033080000000002</v>
      </c>
      <c r="M5378">
        <v>7.1984099999999997E-3</v>
      </c>
      <c r="N5378">
        <v>-1.2006380000000001E-2</v>
      </c>
      <c r="O5378">
        <v>0.99990199999999996</v>
      </c>
      <c r="P5378">
        <v>-2.0176469999999998E-2</v>
      </c>
      <c r="Q5378">
        <v>0.1368307</v>
      </c>
      <c r="R5378">
        <v>0.99038890000000002</v>
      </c>
      <c r="S5378">
        <v>-0.20381160000000001</v>
      </c>
      <c r="T5378">
        <v>-0.13614329999999999</v>
      </c>
      <c r="U5378">
        <v>3.0442200000000001</v>
      </c>
      <c r="V5378">
        <v>-2.705484E-2</v>
      </c>
      <c r="W5378">
        <v>0.14875529999999901</v>
      </c>
      <c r="X5378">
        <v>0.98850389999999999</v>
      </c>
      <c r="Y5378">
        <v>-7.3921390000000003E-2</v>
      </c>
      <c r="Z5378">
        <v>-3.2564099999999999E-2</v>
      </c>
      <c r="AA5378">
        <v>0.99673219999999996</v>
      </c>
      <c r="AB5378">
        <v>25</v>
      </c>
      <c r="AC5378">
        <v>-1.67989999999997</v>
      </c>
      <c r="AD5378">
        <v>-1.1202963743059999</v>
      </c>
      <c r="AE5378">
        <v>24.797426000000002</v>
      </c>
      <c r="AF5378">
        <v>-1.85460334108528</v>
      </c>
      <c r="AG5378">
        <v>-1.1202963743059999</v>
      </c>
      <c r="AH5378">
        <v>24.734436478300999</v>
      </c>
      <c r="AI5378">
        <v>92.586074798739901</v>
      </c>
      <c r="AJ5378">
        <v>94.288049050651793</v>
      </c>
      <c r="AK5378">
        <v>24.829155551853798</v>
      </c>
      <c r="AL5378">
        <v>81.445199008868002</v>
      </c>
      <c r="AM5378">
        <v>91.567764436929707</v>
      </c>
      <c r="AN5378">
        <v>1.0000000319803599</v>
      </c>
    </row>
    <row r="5379" spans="1:40" x14ac:dyDescent="0.25">
      <c r="A5379" t="str">
        <f>"20190303162706885"</f>
        <v>20190303162706885</v>
      </c>
      <c r="B5379" t="str">
        <f>"1551601626869544"</f>
        <v>1551601626869544</v>
      </c>
      <c r="C5379" t="s">
        <v>40</v>
      </c>
      <c r="D5379">
        <v>5.3501440000000002</v>
      </c>
      <c r="E5379">
        <v>0.48296339999999999</v>
      </c>
      <c r="F5379" t="s">
        <v>41</v>
      </c>
      <c r="G5379">
        <v>-188.62459999999999</v>
      </c>
      <c r="H5379" s="1">
        <v>-4.3000079999999997E-6</v>
      </c>
      <c r="I5379">
        <v>-0.91249179999999996</v>
      </c>
      <c r="J5379">
        <v>-187.059</v>
      </c>
      <c r="K5379">
        <v>1.120293</v>
      </c>
      <c r="L5379">
        <v>-24.773409999999998</v>
      </c>
      <c r="M5379">
        <v>8.2377449999999994E-3</v>
      </c>
      <c r="N5379">
        <v>-1.1978020000000001E-2</v>
      </c>
      <c r="O5379">
        <v>0.99989430000000001</v>
      </c>
      <c r="P5379">
        <v>-1.8673240000000001E-2</v>
      </c>
      <c r="Q5379">
        <v>0.13491589999999901</v>
      </c>
      <c r="R5379">
        <v>0.99068109999999998</v>
      </c>
      <c r="S5379">
        <v>-0.1972351</v>
      </c>
      <c r="T5379">
        <v>-0.1414098</v>
      </c>
      <c r="U5379">
        <v>3.0446170000000001</v>
      </c>
      <c r="V5379">
        <v>-2.6589390000000001E-2</v>
      </c>
      <c r="W5379">
        <v>0.14681469999999999</v>
      </c>
      <c r="X5379">
        <v>0.98880659999999998</v>
      </c>
      <c r="Y5379">
        <v>-7.2801519999999995E-2</v>
      </c>
      <c r="Z5379">
        <v>-3.4311849999999998E-2</v>
      </c>
      <c r="AA5379">
        <v>0.99675610000000003</v>
      </c>
      <c r="AB5379">
        <v>25</v>
      </c>
      <c r="AC5379">
        <v>-1.5655999999999599</v>
      </c>
      <c r="AD5379">
        <v>-1.1202973000080001</v>
      </c>
      <c r="AE5379">
        <v>23.8609182</v>
      </c>
      <c r="AF5379">
        <v>-1.7582618232309899</v>
      </c>
      <c r="AG5379">
        <v>-1.1202973000080001</v>
      </c>
      <c r="AH5379">
        <v>23.794981494538501</v>
      </c>
      <c r="AI5379">
        <v>92.688247783476697</v>
      </c>
      <c r="AJ5379">
        <v>94.226026817828796</v>
      </c>
      <c r="AK5379">
        <v>23.886140228275998</v>
      </c>
      <c r="AL5379">
        <v>81.557621584869807</v>
      </c>
      <c r="AM5379">
        <v>91.540334363782705</v>
      </c>
      <c r="AN5379">
        <v>1.00000002200011</v>
      </c>
    </row>
    <row r="5380" spans="1:40" x14ac:dyDescent="0.25">
      <c r="A5380" t="str">
        <f>"20190303162706907"</f>
        <v>20190303162706907</v>
      </c>
      <c r="B5380" t="str">
        <f>"1551601626899799"</f>
        <v>1551601626899799</v>
      </c>
      <c r="C5380" t="s">
        <v>40</v>
      </c>
      <c r="D5380">
        <v>5.1669960000000001</v>
      </c>
      <c r="E5380">
        <v>0.48330129999999999</v>
      </c>
      <c r="F5380" t="s">
        <v>41</v>
      </c>
      <c r="G5380">
        <v>-188.4821</v>
      </c>
      <c r="H5380" s="1">
        <v>-3.9157289999999998E-6</v>
      </c>
      <c r="I5380">
        <v>-1.8671789999999999</v>
      </c>
      <c r="J5380">
        <v>-187.0558</v>
      </c>
      <c r="K5380">
        <v>1.1203129999999999</v>
      </c>
      <c r="L5380">
        <v>-24.52103</v>
      </c>
      <c r="M5380">
        <v>9.1916949999999997E-3</v>
      </c>
      <c r="N5380">
        <v>-1.1952839999999999E-2</v>
      </c>
      <c r="O5380">
        <v>0.99988630000000001</v>
      </c>
      <c r="P5380">
        <v>-1.8148669999999999E-2</v>
      </c>
      <c r="Q5380">
        <v>0.13406870000000001</v>
      </c>
      <c r="R5380">
        <v>0.99080590000000002</v>
      </c>
      <c r="S5380">
        <v>-0.1891785</v>
      </c>
      <c r="T5380">
        <v>-0.14892089999999999</v>
      </c>
      <c r="U5380">
        <v>3.0449220000000001</v>
      </c>
      <c r="V5380">
        <v>-2.7023390000000001E-2</v>
      </c>
      <c r="W5380">
        <v>0.14594299999999999</v>
      </c>
      <c r="X5380">
        <v>0.98892380000000002</v>
      </c>
      <c r="Y5380">
        <v>-7.1113839999999998E-2</v>
      </c>
      <c r="Z5380">
        <v>-3.6792279999999997E-2</v>
      </c>
      <c r="AA5380">
        <v>0.99678940000000005</v>
      </c>
      <c r="AB5380">
        <v>25</v>
      </c>
      <c r="AC5380">
        <v>-1.4262999999999899</v>
      </c>
      <c r="AD5380">
        <v>-1.1203169157289901</v>
      </c>
      <c r="AE5380">
        <v>22.653851</v>
      </c>
      <c r="AF5380">
        <v>-1.6305099634037501</v>
      </c>
      <c r="AG5380">
        <v>-1.1203169157289901</v>
      </c>
      <c r="AH5380">
        <v>22.584766033461101</v>
      </c>
      <c r="AI5380">
        <v>92.832468407782301</v>
      </c>
      <c r="AJ5380">
        <v>94.129311620262001</v>
      </c>
      <c r="AK5380">
        <v>22.671244551603401</v>
      </c>
      <c r="AL5380">
        <v>81.608109561572704</v>
      </c>
      <c r="AM5380">
        <v>91.5652783180592</v>
      </c>
      <c r="AN5380">
        <v>0.99999995253126495</v>
      </c>
    </row>
    <row r="5381" spans="1:40" x14ac:dyDescent="0.25">
      <c r="A5381" t="str">
        <f>"20190303162706930"</f>
        <v>20190303162706930</v>
      </c>
      <c r="B5381" t="str">
        <f>"1551601626919319"</f>
        <v>1551601626919319</v>
      </c>
      <c r="C5381" t="s">
        <v>40</v>
      </c>
      <c r="D5381">
        <v>5.3586580000000001</v>
      </c>
      <c r="E5381">
        <v>0.4834637</v>
      </c>
      <c r="F5381" t="s">
        <v>41</v>
      </c>
      <c r="G5381">
        <v>-188.4025</v>
      </c>
      <c r="H5381" s="1">
        <v>-3.7791540000000002E-6</v>
      </c>
      <c r="I5381">
        <v>-2.2184520000000001</v>
      </c>
      <c r="J5381">
        <v>-187.05240000000001</v>
      </c>
      <c r="K5381">
        <v>1.1203510000000001</v>
      </c>
      <c r="L5381">
        <v>-24.268799999999999</v>
      </c>
      <c r="M5381">
        <v>1.008702E-2</v>
      </c>
      <c r="N5381">
        <v>-1.192991E-2</v>
      </c>
      <c r="O5381">
        <v>0.99987789999999999</v>
      </c>
      <c r="P5381">
        <v>-1.7650240000000001E-2</v>
      </c>
      <c r="Q5381">
        <v>0.1336184</v>
      </c>
      <c r="R5381">
        <v>0.99087570000000003</v>
      </c>
      <c r="S5381">
        <v>-0.18388370000000001</v>
      </c>
      <c r="T5381">
        <v>-0.15296660000000001</v>
      </c>
      <c r="U5381">
        <v>3.045166</v>
      </c>
      <c r="V5381">
        <v>-2.742851E-2</v>
      </c>
      <c r="W5381">
        <v>0.14546789999999901</v>
      </c>
      <c r="X5381">
        <v>0.98898269999999999</v>
      </c>
      <c r="Y5381">
        <v>-7.0272100000000004E-2</v>
      </c>
      <c r="Z5381">
        <v>-3.8135929999999998E-2</v>
      </c>
      <c r="AA5381">
        <v>0.99679859999999998</v>
      </c>
      <c r="AB5381">
        <v>25</v>
      </c>
      <c r="AC5381">
        <v>-1.3500999999999901</v>
      </c>
      <c r="AD5381">
        <v>-1.1203547791540001</v>
      </c>
      <c r="AE5381">
        <v>22.050348</v>
      </c>
      <c r="AF5381">
        <v>-1.5684355774257699</v>
      </c>
      <c r="AG5381">
        <v>-1.1203547791540001</v>
      </c>
      <c r="AH5381">
        <v>21.979078432338898</v>
      </c>
      <c r="AI5381">
        <v>92.910663032202095</v>
      </c>
      <c r="AJ5381">
        <v>94.081730001739203</v>
      </c>
      <c r="AK5381">
        <v>22.063432954248299</v>
      </c>
      <c r="AL5381">
        <v>81.635624885054497</v>
      </c>
      <c r="AM5381">
        <v>91.588637613405794</v>
      </c>
      <c r="AN5381">
        <v>1.0000000069952599</v>
      </c>
    </row>
    <row r="5382" spans="1:40" x14ac:dyDescent="0.25">
      <c r="A5382" t="str">
        <f>"20190303162706950"</f>
        <v>20190303162706950</v>
      </c>
      <c r="B5382" t="str">
        <f>"1551601626939815"</f>
        <v>1551601626939815</v>
      </c>
      <c r="C5382" t="s">
        <v>40</v>
      </c>
      <c r="D5382">
        <v>5.3562379999999896</v>
      </c>
      <c r="E5382">
        <v>0.48362870000000002</v>
      </c>
      <c r="F5382" t="s">
        <v>41</v>
      </c>
      <c r="G5382">
        <v>-188.3492</v>
      </c>
      <c r="H5382" s="1">
        <v>-3.765308E-6</v>
      </c>
      <c r="I5382">
        <v>-2.2727580000000001</v>
      </c>
      <c r="J5382">
        <v>-187.04920000000001</v>
      </c>
      <c r="K5382">
        <v>1.1204069999999999</v>
      </c>
      <c r="L5382">
        <v>-24.041779999999999</v>
      </c>
      <c r="M5382">
        <v>1.0825080000000001E-2</v>
      </c>
      <c r="N5382">
        <v>-1.190895E-2</v>
      </c>
      <c r="O5382">
        <v>0.9998705</v>
      </c>
      <c r="P5382">
        <v>-1.658776E-2</v>
      </c>
      <c r="Q5382">
        <v>0.1343511</v>
      </c>
      <c r="R5382">
        <v>0.99079499999999998</v>
      </c>
      <c r="S5382">
        <v>-0.17955019999999999</v>
      </c>
      <c r="T5382">
        <v>-0.155113</v>
      </c>
      <c r="U5382">
        <v>3.0453489999999999</v>
      </c>
      <c r="V5382">
        <v>-2.7112509999999999E-2</v>
      </c>
      <c r="W5382">
        <v>0.14617550000000001</v>
      </c>
      <c r="X5382">
        <v>0.98888710000000002</v>
      </c>
      <c r="Y5382">
        <v>-6.9589789999999999E-2</v>
      </c>
      <c r="Z5382">
        <v>-3.8857410000000002E-2</v>
      </c>
      <c r="AA5382">
        <v>0.9968186</v>
      </c>
      <c r="AB5382">
        <v>25</v>
      </c>
      <c r="AC5382">
        <v>-1.2999999999999801</v>
      </c>
      <c r="AD5382">
        <v>-1.120410765308</v>
      </c>
      <c r="AE5382">
        <v>21.769022</v>
      </c>
      <c r="AF5382">
        <v>-1.5315493243968401</v>
      </c>
      <c r="AG5382">
        <v>-1.120410765308</v>
      </c>
      <c r="AH5382">
        <v>21.696403861647902</v>
      </c>
      <c r="AI5382">
        <v>92.948825739889102</v>
      </c>
      <c r="AJ5382">
        <v>94.037811691818206</v>
      </c>
      <c r="AK5382">
        <v>21.779231027375801</v>
      </c>
      <c r="AL5382">
        <v>81.594644546536202</v>
      </c>
      <c r="AM5382">
        <v>91.570496096841197</v>
      </c>
      <c r="AN5382">
        <v>1.00000003077257</v>
      </c>
    </row>
    <row r="5383" spans="1:40" x14ac:dyDescent="0.25">
      <c r="A5383" t="str">
        <f>"20190303162706997"</f>
        <v>20190303162706997</v>
      </c>
      <c r="B5383" t="str">
        <f>"1551601626989591"</f>
        <v>1551601626989591</v>
      </c>
      <c r="C5383" t="s">
        <v>40</v>
      </c>
      <c r="D5383">
        <v>5.2528129999999997</v>
      </c>
      <c r="E5383">
        <v>0.48580800000000002</v>
      </c>
      <c r="F5383" t="s">
        <v>41</v>
      </c>
      <c r="G5383">
        <v>-188.32900000000001</v>
      </c>
      <c r="H5383" s="1">
        <v>-4.0140029999999999E-6</v>
      </c>
      <c r="I5383">
        <v>-1.7014229999999999</v>
      </c>
      <c r="J5383">
        <v>-187.04169999999999</v>
      </c>
      <c r="K5383">
        <v>1.1205959999999999</v>
      </c>
      <c r="L5383">
        <v>-23.522860000000001</v>
      </c>
      <c r="M5383">
        <v>1.2147639999999999E-2</v>
      </c>
      <c r="N5383">
        <v>-1.185288E-2</v>
      </c>
      <c r="O5383">
        <v>0.99985590000000002</v>
      </c>
      <c r="P5383">
        <v>-1.5701630000000001E-2</v>
      </c>
      <c r="Q5383">
        <v>0.14101079999999999</v>
      </c>
      <c r="R5383">
        <v>0.98988350000000003</v>
      </c>
      <c r="S5383">
        <v>-0.17446900000000001</v>
      </c>
      <c r="T5383">
        <v>-0.1527452</v>
      </c>
      <c r="U5383">
        <v>3.0456539999999999</v>
      </c>
      <c r="V5383">
        <v>-2.757656E-2</v>
      </c>
      <c r="W5383">
        <v>0.1527579</v>
      </c>
      <c r="X5383">
        <v>0.98787879999999995</v>
      </c>
      <c r="Y5383">
        <v>-6.9248180000000006E-2</v>
      </c>
      <c r="Z5383">
        <v>-3.8136740000000002E-2</v>
      </c>
      <c r="AA5383">
        <v>0.99687020000000004</v>
      </c>
      <c r="AB5383">
        <v>25</v>
      </c>
      <c r="AC5383">
        <v>-1.2873000000000101</v>
      </c>
      <c r="AD5383">
        <v>-1.1206000140029999</v>
      </c>
      <c r="AE5383">
        <v>21.821437</v>
      </c>
      <c r="AF5383">
        <v>-1.5482338401547899</v>
      </c>
      <c r="AG5383">
        <v>-1.1206000140029999</v>
      </c>
      <c r="AH5383">
        <v>21.747036647547699</v>
      </c>
      <c r="AI5383">
        <v>92.942343331643798</v>
      </c>
      <c r="AJ5383">
        <v>94.072180114201302</v>
      </c>
      <c r="AK5383">
        <v>21.830858328635799</v>
      </c>
      <c r="AL5383">
        <v>81.213214967522404</v>
      </c>
      <c r="AM5383">
        <v>91.598991988375104</v>
      </c>
      <c r="AN5383">
        <v>0.99999998308164095</v>
      </c>
    </row>
    <row r="5384" spans="1:40" x14ac:dyDescent="0.25">
      <c r="A5384" t="str">
        <f>"20190303162707040"</f>
        <v>20190303162707040</v>
      </c>
      <c r="B5384" t="str">
        <f>"1551601627029608"</f>
        <v>1551601627029608</v>
      </c>
      <c r="C5384" t="s">
        <v>40</v>
      </c>
      <c r="D5384">
        <v>5.1861660000000001</v>
      </c>
      <c r="E5384">
        <v>0.48547279999999998</v>
      </c>
      <c r="F5384" t="s">
        <v>41</v>
      </c>
      <c r="G5384">
        <v>-190.38</v>
      </c>
      <c r="H5384" s="1">
        <v>-9.8825860000000009E-7</v>
      </c>
      <c r="I5384">
        <v>41.6571</v>
      </c>
      <c r="J5384">
        <v>-187.03469999999999</v>
      </c>
      <c r="K5384">
        <v>1.120806</v>
      </c>
      <c r="L5384">
        <v>-23.04016</v>
      </c>
      <c r="M5384">
        <v>1.286402E-2</v>
      </c>
      <c r="N5384">
        <v>-1.1803950000000001E-2</v>
      </c>
      <c r="O5384">
        <v>0.99984759999999995</v>
      </c>
      <c r="P5384">
        <v>-1.3944099999999999E-2</v>
      </c>
      <c r="Q5384">
        <v>0.144281399999999</v>
      </c>
      <c r="R5384">
        <v>0.9894385</v>
      </c>
      <c r="S5384">
        <v>-0.15547179999999999</v>
      </c>
      <c r="T5384">
        <v>-5.2189350000000002E-2</v>
      </c>
      <c r="U5384">
        <v>3.0356139999999998</v>
      </c>
      <c r="V5384">
        <v>-2.6589870000000002E-2</v>
      </c>
      <c r="W5384">
        <v>0.1559615</v>
      </c>
      <c r="X5384">
        <v>0.98740519999999998</v>
      </c>
      <c r="Y5384">
        <v>-6.3981079999999996E-2</v>
      </c>
      <c r="Z5384">
        <v>-5.3515389999999998E-3</v>
      </c>
      <c r="AA5384">
        <v>0.99793679999999996</v>
      </c>
      <c r="AB5384">
        <v>25</v>
      </c>
      <c r="AC5384">
        <v>-3.3452999999999999</v>
      </c>
      <c r="AD5384">
        <v>-1.1208069882586</v>
      </c>
      <c r="AE5384">
        <v>64.69726</v>
      </c>
      <c r="AF5384">
        <v>-4.1760979982572799</v>
      </c>
      <c r="AG5384">
        <v>-1.1208069882586</v>
      </c>
      <c r="AH5384">
        <v>64.629524213453394</v>
      </c>
      <c r="AI5384">
        <v>90.991458185723403</v>
      </c>
      <c r="AJ5384">
        <v>93.697081468711303</v>
      </c>
      <c r="AK5384">
        <v>64.774002523028798</v>
      </c>
      <c r="AL5384">
        <v>81.027435831916307</v>
      </c>
      <c r="AM5384">
        <v>91.542547299738501</v>
      </c>
      <c r="AN5384">
        <v>1.0000000198279499</v>
      </c>
    </row>
    <row r="5385" spans="1:40" x14ac:dyDescent="0.25">
      <c r="A5385" t="str">
        <f>"20190303162707062"</f>
        <v>20190303162707062</v>
      </c>
      <c r="B5385" t="str">
        <f>"1551601627049127"</f>
        <v>1551601627049127</v>
      </c>
      <c r="C5385" t="s">
        <v>40</v>
      </c>
      <c r="D5385">
        <v>5.244421</v>
      </c>
      <c r="E5385">
        <v>0.48551680000000003</v>
      </c>
      <c r="F5385" t="s">
        <v>41</v>
      </c>
      <c r="G5385">
        <v>-190.65199999999999</v>
      </c>
      <c r="H5385" s="1">
        <v>-4.1523089999999997E-6</v>
      </c>
      <c r="I5385">
        <v>48.863869999999999</v>
      </c>
      <c r="J5385">
        <v>-187.03120000000001</v>
      </c>
      <c r="K5385">
        <v>1.120906</v>
      </c>
      <c r="L5385">
        <v>-22.790310000000002</v>
      </c>
      <c r="M5385">
        <v>1.3021990000000001E-2</v>
      </c>
      <c r="N5385">
        <v>-1.177484E-2</v>
      </c>
      <c r="O5385">
        <v>0.99984589999999995</v>
      </c>
      <c r="P5385">
        <v>-1.2795519999999999E-2</v>
      </c>
      <c r="Q5385">
        <v>0.1450494</v>
      </c>
      <c r="R5385">
        <v>0.98934169999999999</v>
      </c>
      <c r="S5385">
        <v>-0.15277099999999999</v>
      </c>
      <c r="T5385">
        <v>-4.733598E-2</v>
      </c>
      <c r="U5385">
        <v>3.0367739999999999</v>
      </c>
      <c r="V5385">
        <v>-2.5634359999999998E-2</v>
      </c>
      <c r="W5385">
        <v>0.1566929</v>
      </c>
      <c r="X5385">
        <v>0.98731460000000004</v>
      </c>
      <c r="Y5385">
        <v>-6.3235120000000006E-2</v>
      </c>
      <c r="Z5385">
        <v>-3.7799410000000002E-3</v>
      </c>
      <c r="AA5385">
        <v>0.99799150000000003</v>
      </c>
      <c r="AB5385">
        <v>25</v>
      </c>
      <c r="AC5385">
        <v>-3.6208</v>
      </c>
      <c r="AD5385">
        <v>-1.1209101523089999</v>
      </c>
      <c r="AE5385">
        <v>71.654179999999997</v>
      </c>
      <c r="AF5385">
        <v>-4.5525264085437103</v>
      </c>
      <c r="AG5385">
        <v>-1.1209101523089999</v>
      </c>
      <c r="AH5385">
        <v>71.583477479294302</v>
      </c>
      <c r="AI5385">
        <v>90.895300410321198</v>
      </c>
      <c r="AJ5385">
        <v>93.638964481393501</v>
      </c>
      <c r="AK5385">
        <v>71.736853738498198</v>
      </c>
      <c r="AL5385">
        <v>80.985007449517695</v>
      </c>
      <c r="AM5385">
        <v>91.487277448031804</v>
      </c>
      <c r="AN5385">
        <v>0.99999995234808803</v>
      </c>
    </row>
    <row r="5386" spans="1:40" x14ac:dyDescent="0.25">
      <c r="A5386" t="str">
        <f>"20190303162707087"</f>
        <v>20190303162707087</v>
      </c>
      <c r="B5386" t="str">
        <f>"1551601627079383"</f>
        <v>1551601627079383</v>
      </c>
      <c r="C5386" t="s">
        <v>40</v>
      </c>
      <c r="D5386">
        <v>5.1846940000000004</v>
      </c>
      <c r="E5386">
        <v>0.48552580000000001</v>
      </c>
      <c r="F5386" t="s">
        <v>41</v>
      </c>
      <c r="G5386">
        <v>-190.53389999999999</v>
      </c>
      <c r="H5386" s="1">
        <v>-3.9566560000000002E-6</v>
      </c>
      <c r="I5386">
        <v>48.481020000000001</v>
      </c>
      <c r="J5386">
        <v>-187.02760000000001</v>
      </c>
      <c r="K5386">
        <v>1.1210290000000001</v>
      </c>
      <c r="L5386">
        <v>-22.52158</v>
      </c>
      <c r="M5386">
        <v>1.297562E-2</v>
      </c>
      <c r="N5386">
        <v>-1.1730320000000001E-2</v>
      </c>
      <c r="O5386">
        <v>0.99984700000000004</v>
      </c>
      <c r="P5386">
        <v>-1.221946E-2</v>
      </c>
      <c r="Q5386">
        <v>0.14612929999999999</v>
      </c>
      <c r="R5386">
        <v>0.98919000000000001</v>
      </c>
      <c r="S5386">
        <v>-0.14927670000000001</v>
      </c>
      <c r="T5386">
        <v>-4.7770020000000003E-2</v>
      </c>
      <c r="U5386">
        <v>3.0373839999999999</v>
      </c>
      <c r="V5386">
        <v>-2.505773E-2</v>
      </c>
      <c r="W5386">
        <v>0.15771949999999901</v>
      </c>
      <c r="X5386">
        <v>0.98716599999999999</v>
      </c>
      <c r="Y5386">
        <v>-6.2033600000000001E-2</v>
      </c>
      <c r="Z5386">
        <v>-3.9651159999999899E-3</v>
      </c>
      <c r="AA5386">
        <v>0.99806620000000001</v>
      </c>
      <c r="AB5386">
        <v>25</v>
      </c>
      <c r="AC5386">
        <v>-3.50629999999998</v>
      </c>
      <c r="AD5386">
        <v>-1.121032956656</v>
      </c>
      <c r="AE5386">
        <v>71.002600000000001</v>
      </c>
      <c r="AF5386">
        <v>-4.4262702296683196</v>
      </c>
      <c r="AG5386">
        <v>-1.121032956656</v>
      </c>
      <c r="AH5386">
        <v>70.933482825464594</v>
      </c>
      <c r="AI5386">
        <v>90.903669927521904</v>
      </c>
      <c r="AJ5386">
        <v>93.570643872982004</v>
      </c>
      <c r="AK5386">
        <v>71.080289594137398</v>
      </c>
      <c r="AL5386">
        <v>80.925447638734795</v>
      </c>
      <c r="AM5386">
        <v>91.454055286296096</v>
      </c>
      <c r="AN5386">
        <v>1.0000000210344999</v>
      </c>
    </row>
    <row r="5387" spans="1:40" x14ac:dyDescent="0.25">
      <c r="A5387" t="str">
        <f>"20190303162707109"</f>
        <v>20190303162707109</v>
      </c>
      <c r="B5387" t="str">
        <f>"1551601627099879"</f>
        <v>1551601627099879</v>
      </c>
      <c r="C5387" t="s">
        <v>40</v>
      </c>
      <c r="D5387">
        <v>5.1529199999999999</v>
      </c>
      <c r="E5387">
        <v>0.48579499999999998</v>
      </c>
      <c r="F5387" t="s">
        <v>41</v>
      </c>
      <c r="G5387">
        <v>-190.4727</v>
      </c>
      <c r="H5387" s="1">
        <v>-3.8203179999999997E-6</v>
      </c>
      <c r="I5387">
        <v>48.201160000000002</v>
      </c>
      <c r="J5387">
        <v>-187.02440000000001</v>
      </c>
      <c r="K5387">
        <v>1.121157</v>
      </c>
      <c r="L5387">
        <v>-22.26559</v>
      </c>
      <c r="M5387">
        <v>1.2732540000000001E-2</v>
      </c>
      <c r="N5387">
        <v>-1.167139E-2</v>
      </c>
      <c r="O5387">
        <v>0.99985080000000004</v>
      </c>
      <c r="P5387">
        <v>-1.235815E-2</v>
      </c>
      <c r="Q5387">
        <v>0.14778350000000001</v>
      </c>
      <c r="R5387">
        <v>0.98894249999999995</v>
      </c>
      <c r="S5387">
        <v>-0.14799499999999999</v>
      </c>
      <c r="T5387">
        <v>-4.8156499999999998E-2</v>
      </c>
      <c r="U5387">
        <v>3.0380549999999999</v>
      </c>
      <c r="V5387">
        <v>-2.5004220000000001E-2</v>
      </c>
      <c r="W5387">
        <v>0.15930469999999999</v>
      </c>
      <c r="X5387">
        <v>0.98691280000000003</v>
      </c>
      <c r="Y5387">
        <v>-6.1360140000000001E-2</v>
      </c>
      <c r="Z5387">
        <v>-4.1482430000000002E-3</v>
      </c>
      <c r="AA5387">
        <v>0.99810710000000002</v>
      </c>
      <c r="AB5387">
        <v>25</v>
      </c>
      <c r="AC5387">
        <v>-3.4482999999999802</v>
      </c>
      <c r="AD5387">
        <v>-1.1211608203179999</v>
      </c>
      <c r="AE5387">
        <v>70.466749999999905</v>
      </c>
      <c r="AF5387">
        <v>-4.3442052009658596</v>
      </c>
      <c r="AG5387">
        <v>-1.1211608203179999</v>
      </c>
      <c r="AH5387">
        <v>70.399349844014097</v>
      </c>
      <c r="AI5387">
        <v>90.910667888466406</v>
      </c>
      <c r="AJ5387">
        <v>93.531132186706301</v>
      </c>
      <c r="AK5387">
        <v>70.542168799045299</v>
      </c>
      <c r="AL5387">
        <v>80.833459500047596</v>
      </c>
      <c r="AM5387">
        <v>91.451323618890996</v>
      </c>
      <c r="AN5387">
        <v>1.00000003663186</v>
      </c>
    </row>
    <row r="5388" spans="1:40" x14ac:dyDescent="0.25">
      <c r="A5388" t="str">
        <f>"20190303162707129"</f>
        <v>20190303162707129</v>
      </c>
      <c r="B5388" t="str">
        <f>"1551601627119399"</f>
        <v>1551601627119399</v>
      </c>
      <c r="C5388" t="s">
        <v>40</v>
      </c>
      <c r="D5388">
        <v>5.4200689999999998</v>
      </c>
      <c r="E5388">
        <v>0.48579499999999998</v>
      </c>
      <c r="F5388" t="s">
        <v>41</v>
      </c>
      <c r="G5388">
        <v>-190.93979999999999</v>
      </c>
      <c r="H5388" s="1">
        <v>-4.156217E-6</v>
      </c>
      <c r="I5388">
        <v>58.710149999999999</v>
      </c>
      <c r="J5388">
        <v>-187.02170000000001</v>
      </c>
      <c r="K5388">
        <v>1.121264</v>
      </c>
      <c r="L5388">
        <v>-22.03931</v>
      </c>
      <c r="M5388">
        <v>1.2381319999999999E-2</v>
      </c>
      <c r="N5388">
        <v>-1.1607610000000001E-2</v>
      </c>
      <c r="O5388">
        <v>0.99985599999999997</v>
      </c>
      <c r="P5388">
        <v>-1.266919E-2</v>
      </c>
      <c r="Q5388">
        <v>0.14939249999999901</v>
      </c>
      <c r="R5388">
        <v>0.98869680000000004</v>
      </c>
      <c r="S5388">
        <v>-0.14689639999999901</v>
      </c>
      <c r="T5388">
        <v>-4.2063000000000003E-2</v>
      </c>
      <c r="U5388">
        <v>3.0379939999999999</v>
      </c>
      <c r="V5388">
        <v>-2.5010609999999999E-2</v>
      </c>
      <c r="W5388">
        <v>0.1608405</v>
      </c>
      <c r="X5388">
        <v>0.98666350000000003</v>
      </c>
      <c r="Y5388">
        <v>-6.0651579999999997E-2</v>
      </c>
      <c r="Z5388">
        <v>-2.2110110000000001E-3</v>
      </c>
      <c r="AA5388">
        <v>0.9981565</v>
      </c>
      <c r="AB5388">
        <v>25</v>
      </c>
      <c r="AC5388">
        <v>-3.9180999999999799</v>
      </c>
      <c r="AD5388">
        <v>-1.1212681562169999</v>
      </c>
      <c r="AE5388">
        <v>80.749459999999999</v>
      </c>
      <c r="AF5388">
        <v>-4.9167060832902401</v>
      </c>
      <c r="AG5388">
        <v>-1.1212681562169999</v>
      </c>
      <c r="AH5388">
        <v>80.679235494551506</v>
      </c>
      <c r="AI5388">
        <v>90.794762800625193</v>
      </c>
      <c r="AJ5388">
        <v>93.487372456564003</v>
      </c>
      <c r="AK5388">
        <v>80.836688953549498</v>
      </c>
      <c r="AL5388">
        <v>80.744315075583401</v>
      </c>
      <c r="AM5388">
        <v>91.452060998111193</v>
      </c>
      <c r="AN5388">
        <v>1.00000002964253</v>
      </c>
    </row>
    <row r="5389" spans="1:40" x14ac:dyDescent="0.25">
      <c r="A5389" t="str">
        <f>"20190303162707263"</f>
        <v>20190303162707263</v>
      </c>
      <c r="B5389" t="str">
        <f>"1551601627259944"</f>
        <v>1551601627259944</v>
      </c>
      <c r="C5389" t="s">
        <v>40</v>
      </c>
      <c r="D5389">
        <v>5.75183</v>
      </c>
      <c r="E5389">
        <v>0.50276149999999997</v>
      </c>
      <c r="F5389" t="s">
        <v>41</v>
      </c>
      <c r="G5389">
        <v>-191.4975</v>
      </c>
      <c r="H5389" s="1">
        <v>-5.0517449999999998E-7</v>
      </c>
      <c r="I5389">
        <v>69.837890000000002</v>
      </c>
      <c r="J5389">
        <v>-187.012</v>
      </c>
      <c r="K5389">
        <v>1.121823</v>
      </c>
      <c r="L5389">
        <v>-20.527799999999999</v>
      </c>
      <c r="M5389">
        <v>6.379811E-3</v>
      </c>
      <c r="N5389">
        <v>-1.066669E-2</v>
      </c>
      <c r="O5389">
        <v>0.9999228</v>
      </c>
      <c r="P5389">
        <v>-1.100957E-2</v>
      </c>
      <c r="Q5389">
        <v>0.14939959999999999</v>
      </c>
      <c r="R5389">
        <v>0.98871560000000003</v>
      </c>
      <c r="S5389">
        <v>-0.14799499999999999</v>
      </c>
      <c r="T5389">
        <v>-3.7075520000000001E-2</v>
      </c>
      <c r="U5389">
        <v>3.0379939999999999</v>
      </c>
      <c r="V5389">
        <v>-1.7693520000000001E-2</v>
      </c>
      <c r="W5389">
        <v>0.15989500000000001</v>
      </c>
      <c r="X5389">
        <v>0.98697539999999995</v>
      </c>
      <c r="Y5389">
        <v>-5.5021870000000001E-2</v>
      </c>
      <c r="Z5389">
        <v>-1.517951E-3</v>
      </c>
      <c r="AA5389">
        <v>0.99848400000000004</v>
      </c>
      <c r="AB5389">
        <v>25</v>
      </c>
      <c r="AC5389">
        <v>-4.4855</v>
      </c>
      <c r="AD5389">
        <v>-1.1218235051745</v>
      </c>
      <c r="AE5389">
        <v>90.365690000000001</v>
      </c>
      <c r="AF5389">
        <v>-5.0611794215898502</v>
      </c>
      <c r="AG5389">
        <v>-1.1218235051745</v>
      </c>
      <c r="AH5389">
        <v>90.321346904470204</v>
      </c>
      <c r="AI5389">
        <v>90.710483077999697</v>
      </c>
      <c r="AJ5389">
        <v>93.207229395271497</v>
      </c>
      <c r="AK5389">
        <v>90.4699935434503</v>
      </c>
      <c r="AL5389">
        <v>80.799197890366798</v>
      </c>
      <c r="AM5389">
        <v>91.0270321238619</v>
      </c>
      <c r="AN5389">
        <v>0.99999995594007396</v>
      </c>
    </row>
    <row r="5390" spans="1:40" x14ac:dyDescent="0.25">
      <c r="A5390" t="str">
        <f>"20190303162707287"</f>
        <v>20190303162707287</v>
      </c>
      <c r="B5390" t="str">
        <f>"1551601627279464"</f>
        <v>1551601627279464</v>
      </c>
      <c r="C5390" t="s">
        <v>40</v>
      </c>
      <c r="D5390">
        <v>5.1763839999999997</v>
      </c>
      <c r="E5390">
        <v>0.50524690000000005</v>
      </c>
      <c r="F5390" t="s">
        <v>41</v>
      </c>
      <c r="G5390">
        <v>-187.05850000000001</v>
      </c>
      <c r="H5390" s="1">
        <v>-2.5388440000000001E-6</v>
      </c>
      <c r="I5390">
        <v>-5.6653609999999999</v>
      </c>
      <c r="J5390">
        <v>-187.012</v>
      </c>
      <c r="K5390">
        <v>1.121864</v>
      </c>
      <c r="L5390">
        <v>-20.260159999999999</v>
      </c>
      <c r="M5390">
        <v>4.79088E-3</v>
      </c>
      <c r="N5390">
        <v>-1.049014E-2</v>
      </c>
      <c r="O5390">
        <v>0.99993350000000003</v>
      </c>
      <c r="P5390">
        <v>-1.280332E-2</v>
      </c>
      <c r="Q5390">
        <v>0.14914920000000001</v>
      </c>
      <c r="R5390">
        <v>0.98873180000000005</v>
      </c>
      <c r="S5390">
        <v>-9.6130369999999996E-3</v>
      </c>
      <c r="T5390">
        <v>-0.23165910000000001</v>
      </c>
      <c r="U5390">
        <v>3.0691220000000001</v>
      </c>
      <c r="V5390">
        <v>-1.7941849999999999E-2</v>
      </c>
      <c r="W5390">
        <v>0.15946759999999999</v>
      </c>
      <c r="X5390">
        <v>0.98704009999999998</v>
      </c>
      <c r="Y5390">
        <v>-7.9130969999999991E-3</v>
      </c>
      <c r="Z5390">
        <v>-6.4799200000000001E-2</v>
      </c>
      <c r="AA5390">
        <v>0.9978669</v>
      </c>
      <c r="AB5390">
        <v>25</v>
      </c>
      <c r="AC5390">
        <v>-4.6500000000008798E-2</v>
      </c>
      <c r="AD5390">
        <v>-1.1218665388439999</v>
      </c>
      <c r="AE5390">
        <v>14.594798999999901</v>
      </c>
      <c r="AF5390">
        <v>-0.115741379419977</v>
      </c>
      <c r="AG5390">
        <v>-1.1218665388439999</v>
      </c>
      <c r="AH5390">
        <v>14.5086832544413</v>
      </c>
      <c r="AI5390">
        <v>94.421389277727499</v>
      </c>
      <c r="AJ5390">
        <v>90.457060904264793</v>
      </c>
      <c r="AK5390">
        <v>14.552452383553501</v>
      </c>
      <c r="AL5390">
        <v>80.824004745520796</v>
      </c>
      <c r="AM5390">
        <v>91.041375199866096</v>
      </c>
      <c r="AN5390">
        <v>0.99999999221959601</v>
      </c>
    </row>
    <row r="5391" spans="1:40" x14ac:dyDescent="0.25">
      <c r="A5391" t="str">
        <f>"20190303162707307"</f>
        <v>20190303162707307</v>
      </c>
      <c r="B5391" t="str">
        <f>"1551601627299960"</f>
        <v>1551601627299960</v>
      </c>
      <c r="C5391" t="s">
        <v>40</v>
      </c>
      <c r="D5391">
        <v>4.9952730000000001</v>
      </c>
      <c r="E5391">
        <v>0.5043436</v>
      </c>
      <c r="F5391" t="s">
        <v>41</v>
      </c>
      <c r="G5391">
        <v>-186.94239999999999</v>
      </c>
      <c r="H5391" s="1">
        <v>-3.635694E-6</v>
      </c>
      <c r="I5391">
        <v>26.84337</v>
      </c>
      <c r="J5391">
        <v>-187.01240000000001</v>
      </c>
      <c r="K5391">
        <v>1.121883</v>
      </c>
      <c r="L5391">
        <v>-20.022549999999999</v>
      </c>
      <c r="M5391">
        <v>3.3328059999999998E-3</v>
      </c>
      <c r="N5391">
        <v>-1.0345119999999999E-2</v>
      </c>
      <c r="O5391">
        <v>0.99994090000000002</v>
      </c>
      <c r="P5391">
        <v>-1.5974869999999999E-2</v>
      </c>
      <c r="Q5391">
        <v>0.1497039</v>
      </c>
      <c r="R5391">
        <v>0.98860179999999998</v>
      </c>
      <c r="S5391">
        <v>4.5013429999999997E-3</v>
      </c>
      <c r="T5391">
        <v>-7.2527649999999999E-2</v>
      </c>
      <c r="U5391">
        <v>3.0451969999999999</v>
      </c>
      <c r="V5391">
        <v>-1.9686189999999999E-2</v>
      </c>
      <c r="W5391">
        <v>0.15987190000000001</v>
      </c>
      <c r="X5391">
        <v>0.98694150000000003</v>
      </c>
      <c r="Y5391">
        <v>-1.8546190000000001E-3</v>
      </c>
      <c r="Z5391">
        <v>-1.346665E-2</v>
      </c>
      <c r="AA5391">
        <v>0.99990760000000001</v>
      </c>
      <c r="AB5391">
        <v>25</v>
      </c>
      <c r="AC5391">
        <v>7.00000000000216E-2</v>
      </c>
      <c r="AD5391">
        <v>-1.121886635694</v>
      </c>
      <c r="AE5391">
        <v>46.865920000000003</v>
      </c>
      <c r="AF5391">
        <v>-8.61544025662455E-2</v>
      </c>
      <c r="AG5391">
        <v>-1.121886635694</v>
      </c>
      <c r="AH5391">
        <v>46.8390524849804</v>
      </c>
      <c r="AI5391">
        <v>91.372080970726699</v>
      </c>
      <c r="AJ5391">
        <v>90.105388085895996</v>
      </c>
      <c r="AK5391">
        <v>46.8525654569222</v>
      </c>
      <c r="AL5391">
        <v>80.800539520060994</v>
      </c>
      <c r="AM5391">
        <v>91.142708100778904</v>
      </c>
      <c r="AN5391">
        <v>1.0000000474542801</v>
      </c>
    </row>
    <row r="5392" spans="1:40" x14ac:dyDescent="0.25">
      <c r="A5392" t="str">
        <f>"20190303162707330"</f>
        <v>20190303162707330</v>
      </c>
      <c r="B5392" t="str">
        <f>"1551601627319480"</f>
        <v>1551601627319480</v>
      </c>
      <c r="C5392" t="s">
        <v>40</v>
      </c>
      <c r="D5392">
        <v>4.9979690000000003</v>
      </c>
      <c r="E5392">
        <v>0.5033185</v>
      </c>
      <c r="F5392" t="s">
        <v>72</v>
      </c>
      <c r="G5392">
        <v>-188.7149</v>
      </c>
      <c r="H5392">
        <v>4.1883929999999996</v>
      </c>
      <c r="I5392">
        <v>391.87</v>
      </c>
      <c r="J5392">
        <v>-187.01320000000001</v>
      </c>
      <c r="K5392">
        <v>1.1218809999999999</v>
      </c>
      <c r="L5392">
        <v>-19.769780000000001</v>
      </c>
      <c r="M5392">
        <v>1.7571419999999999E-3</v>
      </c>
      <c r="N5392">
        <v>-1.0205519999999999E-2</v>
      </c>
      <c r="O5392">
        <v>0.99994640000000001</v>
      </c>
      <c r="P5392">
        <v>-1.9666759999999998E-2</v>
      </c>
      <c r="Q5392">
        <v>0.15070039999999901</v>
      </c>
      <c r="R5392">
        <v>0.98838380000000003</v>
      </c>
      <c r="S5392">
        <v>-1.2527470000000001E-2</v>
      </c>
      <c r="T5392">
        <v>2.256536E-2</v>
      </c>
      <c r="U5392">
        <v>3.0309750000000002</v>
      </c>
      <c r="V5392">
        <v>-2.182719E-2</v>
      </c>
      <c r="W5392">
        <v>0.160722</v>
      </c>
      <c r="X5392">
        <v>0.98675840000000004</v>
      </c>
      <c r="Y5392">
        <v>-5.8895969999999999E-3</v>
      </c>
      <c r="Z5392">
        <v>1.764949E-2</v>
      </c>
      <c r="AA5392">
        <v>0.99982689999999996</v>
      </c>
      <c r="AB5392">
        <v>25</v>
      </c>
      <c r="AC5392">
        <v>-1.70169999999998</v>
      </c>
      <c r="AD5392">
        <v>3.0665119999999901</v>
      </c>
      <c r="AE5392">
        <v>411.63977999999997</v>
      </c>
      <c r="AF5392">
        <v>-2.4249100053284098</v>
      </c>
      <c r="AG5392">
        <v>3.0665119999999901</v>
      </c>
      <c r="AH5392">
        <v>411.61331203754003</v>
      </c>
      <c r="AI5392">
        <v>89.5731627448599</v>
      </c>
      <c r="AJ5392">
        <v>90.337538893005799</v>
      </c>
      <c r="AK5392">
        <v>411.63187720449099</v>
      </c>
      <c r="AL5392">
        <v>80.751194439304101</v>
      </c>
      <c r="AM5392">
        <v>91.267181462300002</v>
      </c>
      <c r="AN5392">
        <v>1.0000000637389199</v>
      </c>
    </row>
    <row r="5393" spans="1:40" x14ac:dyDescent="0.25">
      <c r="A5393" t="str">
        <f>"20190303162707353"</f>
        <v>20190303162707353</v>
      </c>
      <c r="B5393" t="str">
        <f>"1551601627349737"</f>
        <v>1551601627349737</v>
      </c>
      <c r="C5393" t="s">
        <v>40</v>
      </c>
      <c r="D5393">
        <v>5.2486699999999997</v>
      </c>
      <c r="E5393">
        <v>0.50064640000000005</v>
      </c>
      <c r="F5393" t="s">
        <v>72</v>
      </c>
      <c r="G5393">
        <v>-191.33920000000001</v>
      </c>
      <c r="H5393">
        <v>4.9632639999999997</v>
      </c>
      <c r="I5393">
        <v>391.87</v>
      </c>
      <c r="J5393">
        <v>-187.0146</v>
      </c>
      <c r="K5393">
        <v>1.12188</v>
      </c>
      <c r="L5393">
        <v>-19.506129999999999</v>
      </c>
      <c r="M5393">
        <v>1.137764E-4</v>
      </c>
      <c r="N5393">
        <v>-1.0075799999999999E-2</v>
      </c>
      <c r="O5393">
        <v>0.99994919999999998</v>
      </c>
      <c r="P5393">
        <v>-2.3660819999999999E-2</v>
      </c>
      <c r="Q5393">
        <v>0.15246670000000001</v>
      </c>
      <c r="R5393">
        <v>0.98802540000000005</v>
      </c>
      <c r="S5393">
        <v>-3.184509E-2</v>
      </c>
      <c r="T5393">
        <v>2.827847E-2</v>
      </c>
      <c r="U5393">
        <v>3.0303040000000001</v>
      </c>
      <c r="V5393">
        <v>-2.4200490000000002E-2</v>
      </c>
      <c r="W5393">
        <v>0.1623511</v>
      </c>
      <c r="X5393">
        <v>0.98643619999999999</v>
      </c>
      <c r="Y5393">
        <v>-1.0620050000000001E-2</v>
      </c>
      <c r="Z5393">
        <v>1.940586E-2</v>
      </c>
      <c r="AA5393">
        <v>0.99975530000000001</v>
      </c>
      <c r="AB5393">
        <v>26</v>
      </c>
      <c r="AC5393">
        <v>-4.3246000000000002</v>
      </c>
      <c r="AD5393">
        <v>3.8413840000000001</v>
      </c>
      <c r="AE5393">
        <v>411.37612999999999</v>
      </c>
      <c r="AF5393">
        <v>-4.3710261501290804</v>
      </c>
      <c r="AG5393">
        <v>3.8413840000000001</v>
      </c>
      <c r="AH5393">
        <v>411.33977199687899</v>
      </c>
      <c r="AI5393">
        <v>89.464976927953401</v>
      </c>
      <c r="AJ5393">
        <v>90.608820108672603</v>
      </c>
      <c r="AK5393">
        <v>411.38093067992997</v>
      </c>
      <c r="AL5393">
        <v>80.656610721217604</v>
      </c>
      <c r="AM5393">
        <v>91.405370010947294</v>
      </c>
      <c r="AN5393">
        <v>0.99999996002894398</v>
      </c>
    </row>
    <row r="5394" spans="1:40" x14ac:dyDescent="0.25">
      <c r="A5394" t="str">
        <f>"20190303162707378"</f>
        <v>20190303162707378</v>
      </c>
      <c r="B5394" t="str">
        <f>"1551601627369256"</f>
        <v>1551601627369256</v>
      </c>
      <c r="C5394" t="s">
        <v>40</v>
      </c>
      <c r="D5394">
        <v>5.2399319999999996</v>
      </c>
      <c r="E5394">
        <v>0.49962119999999999</v>
      </c>
      <c r="F5394" t="s">
        <v>72</v>
      </c>
      <c r="G5394">
        <v>-195.9503</v>
      </c>
      <c r="H5394">
        <v>5.5226069999999998</v>
      </c>
      <c r="I5394">
        <v>391.87</v>
      </c>
      <c r="J5394">
        <v>-187.0164</v>
      </c>
      <c r="K5394">
        <v>1.121866</v>
      </c>
      <c r="L5394">
        <v>-19.228210000000001</v>
      </c>
      <c r="M5394">
        <v>-1.5901429999999901E-3</v>
      </c>
      <c r="N5394">
        <v>-9.9553100000000002E-3</v>
      </c>
      <c r="O5394">
        <v>0.99994919999999998</v>
      </c>
      <c r="P5394">
        <v>-2.7320199999999999E-2</v>
      </c>
      <c r="Q5394">
        <v>0.15336129999999901</v>
      </c>
      <c r="R5394">
        <v>0.98779240000000001</v>
      </c>
      <c r="S5394">
        <v>-6.5811159999999994E-2</v>
      </c>
      <c r="T5394">
        <v>3.2411339999999997E-2</v>
      </c>
      <c r="U5394">
        <v>3.029785</v>
      </c>
      <c r="V5394">
        <v>-2.6173559999999998E-2</v>
      </c>
      <c r="W5394">
        <v>0.1631204</v>
      </c>
      <c r="X5394">
        <v>0.98625890000000005</v>
      </c>
      <c r="Y5394">
        <v>-2.0121839999999998E-2</v>
      </c>
      <c r="Z5394">
        <v>2.0648639999999999E-2</v>
      </c>
      <c r="AA5394">
        <v>0.99958429999999998</v>
      </c>
      <c r="AB5394">
        <v>26</v>
      </c>
      <c r="AC5394">
        <v>-8.9338999999999906</v>
      </c>
      <c r="AD5394">
        <v>4.400741</v>
      </c>
      <c r="AE5394">
        <v>411.09820999999999</v>
      </c>
      <c r="AF5394">
        <v>-8.2792030836747301</v>
      </c>
      <c r="AG5394">
        <v>4.400741</v>
      </c>
      <c r="AH5394">
        <v>411.06481391831102</v>
      </c>
      <c r="AI5394">
        <v>89.386755750009996</v>
      </c>
      <c r="AJ5394">
        <v>91.153830859273796</v>
      </c>
      <c r="AK5394">
        <v>411.17173172136398</v>
      </c>
      <c r="AL5394">
        <v>80.611937652839302</v>
      </c>
      <c r="AM5394">
        <v>91.520171446508996</v>
      </c>
      <c r="AN5394">
        <v>0.99999996898422105</v>
      </c>
    </row>
    <row r="5395" spans="1:40" x14ac:dyDescent="0.25">
      <c r="A5395" t="str">
        <f>"20190303162707401"</f>
        <v>20190303162707401</v>
      </c>
      <c r="B5395" t="str">
        <f>"1551601627389752"</f>
        <v>1551601627389752</v>
      </c>
      <c r="C5395" t="s">
        <v>40</v>
      </c>
      <c r="D5395">
        <v>5.0414940000000001</v>
      </c>
      <c r="E5395">
        <v>0.49878689999999998</v>
      </c>
      <c r="F5395" t="s">
        <v>72</v>
      </c>
      <c r="G5395">
        <v>-198.61539999999999</v>
      </c>
      <c r="H5395">
        <v>5.9744809999999999</v>
      </c>
      <c r="I5395">
        <v>390.11860000000001</v>
      </c>
      <c r="J5395">
        <v>-187.01859999999999</v>
      </c>
      <c r="K5395">
        <v>1.1218440000000001</v>
      </c>
      <c r="L5395">
        <v>-18.958680000000001</v>
      </c>
      <c r="M5395">
        <v>-3.1956189999999998E-3</v>
      </c>
      <c r="N5395">
        <v>-9.8534290000000004E-3</v>
      </c>
      <c r="O5395">
        <v>0.99994640000000001</v>
      </c>
      <c r="P5395">
        <v>-2.9771889999999999E-2</v>
      </c>
      <c r="Q5395">
        <v>0.15432560000000001</v>
      </c>
      <c r="R5395">
        <v>0.98757139999999999</v>
      </c>
      <c r="S5395">
        <v>-8.5830690000000001E-2</v>
      </c>
      <c r="T5395">
        <v>3.5908700000000002E-2</v>
      </c>
      <c r="U5395">
        <v>3.0291139999999999</v>
      </c>
      <c r="V5395">
        <v>-2.70345E-2</v>
      </c>
      <c r="W5395">
        <v>0.16398160000000001</v>
      </c>
      <c r="X5395">
        <v>0.98609290000000005</v>
      </c>
      <c r="Y5395">
        <v>-2.5122820000000001E-2</v>
      </c>
      <c r="Z5395">
        <v>2.1701069999999999E-2</v>
      </c>
      <c r="AA5395">
        <v>0.99944880000000003</v>
      </c>
      <c r="AB5395">
        <v>26</v>
      </c>
      <c r="AC5395">
        <v>-11.5968</v>
      </c>
      <c r="AD5395">
        <v>4.8526369999999996</v>
      </c>
      <c r="AE5395">
        <v>409.07727999999997</v>
      </c>
      <c r="AF5395">
        <v>-10.2879757307466</v>
      </c>
      <c r="AG5395">
        <v>4.8526369999999996</v>
      </c>
      <c r="AH5395">
        <v>409.05473728714998</v>
      </c>
      <c r="AI5395">
        <v>89.320543999490695</v>
      </c>
      <c r="AJ5395">
        <v>91.440720018096997</v>
      </c>
      <c r="AK5395">
        <v>409.21286468969902</v>
      </c>
      <c r="AL5395">
        <v>80.561921515107301</v>
      </c>
      <c r="AM5395">
        <v>91.570414761766699</v>
      </c>
      <c r="AN5395">
        <v>1.0000000183796001</v>
      </c>
    </row>
    <row r="5396" spans="1:40" x14ac:dyDescent="0.25">
      <c r="A5396" t="str">
        <f>"20190303162707424"</f>
        <v>20190303162707424</v>
      </c>
      <c r="B5396" t="str">
        <f>"1551601627409272"</f>
        <v>1551601627409272</v>
      </c>
      <c r="C5396" t="s">
        <v>40</v>
      </c>
      <c r="D5396">
        <v>5.280678</v>
      </c>
      <c r="E5396">
        <v>0.49823149999999999</v>
      </c>
      <c r="F5396" t="s">
        <v>72</v>
      </c>
      <c r="G5396">
        <v>-200.66239999999999</v>
      </c>
      <c r="H5396">
        <v>6.3591569999999997</v>
      </c>
      <c r="I5396">
        <v>390.11860000000001</v>
      </c>
      <c r="J5396">
        <v>-187.02109999999999</v>
      </c>
      <c r="K5396">
        <v>1.121815</v>
      </c>
      <c r="L5396">
        <v>-18.693660000000001</v>
      </c>
      <c r="M5396">
        <v>-4.7129320000000004E-3</v>
      </c>
      <c r="N5396">
        <v>-9.7670580000000003E-3</v>
      </c>
      <c r="O5396">
        <v>0.99994119999999997</v>
      </c>
      <c r="P5396">
        <v>-3.1324749999999998E-2</v>
      </c>
      <c r="Q5396">
        <v>0.15649350000000001</v>
      </c>
      <c r="R5396">
        <v>0.98718209999999995</v>
      </c>
      <c r="S5396">
        <v>-0.1010132</v>
      </c>
      <c r="T5396">
        <v>3.8775089999999998E-2</v>
      </c>
      <c r="U5396">
        <v>3.0286559999999998</v>
      </c>
      <c r="V5396">
        <v>-2.708464E-2</v>
      </c>
      <c r="W5396">
        <v>0.16606270000000001</v>
      </c>
      <c r="X5396">
        <v>0.98574320000000004</v>
      </c>
      <c r="Y5396">
        <v>-2.8614980000000002E-2</v>
      </c>
      <c r="Z5396">
        <v>2.2560179999999999E-2</v>
      </c>
      <c r="AA5396">
        <v>0.99933590000000005</v>
      </c>
      <c r="AB5396">
        <v>26</v>
      </c>
      <c r="AC5396">
        <v>-13.641299999999999</v>
      </c>
      <c r="AD5396">
        <v>5.2373419999999999</v>
      </c>
      <c r="AE5396">
        <v>408.81225999999998</v>
      </c>
      <c r="AF5396">
        <v>-11.7124320465221</v>
      </c>
      <c r="AG5396">
        <v>5.2373419999999999</v>
      </c>
      <c r="AH5396">
        <v>408.80499252435197</v>
      </c>
      <c r="AI5396">
        <v>89.266305159059996</v>
      </c>
      <c r="AJ5396">
        <v>91.641098838964297</v>
      </c>
      <c r="AK5396">
        <v>409.00627468109201</v>
      </c>
      <c r="AL5396">
        <v>80.441025833996605</v>
      </c>
      <c r="AM5396">
        <v>91.573883764738795</v>
      </c>
      <c r="AN5396">
        <v>1.0000000272007199</v>
      </c>
    </row>
    <row r="5397" spans="1:40" x14ac:dyDescent="0.25">
      <c r="A5397" t="str">
        <f>"20190303162707465"</f>
        <v>20190303162707465</v>
      </c>
      <c r="B5397" t="str">
        <f>"1551601627460024"</f>
        <v>1551601627460024</v>
      </c>
      <c r="C5397" t="s">
        <v>40</v>
      </c>
      <c r="D5397">
        <v>5.2643750000000002</v>
      </c>
      <c r="E5397">
        <v>0.4974847</v>
      </c>
      <c r="F5397" t="s">
        <v>72</v>
      </c>
      <c r="G5397">
        <v>-202.0377</v>
      </c>
      <c r="H5397">
        <v>7.1750679999999996</v>
      </c>
      <c r="I5397">
        <v>390.11860000000001</v>
      </c>
      <c r="J5397">
        <v>-187.0264</v>
      </c>
      <c r="K5397">
        <v>1.1217549999999901</v>
      </c>
      <c r="L5397">
        <v>-18.226009999999999</v>
      </c>
      <c r="M5397">
        <v>-7.2355359999999999E-3</v>
      </c>
      <c r="N5397">
        <v>-9.6416959999999999E-3</v>
      </c>
      <c r="O5397">
        <v>0.99992729999999996</v>
      </c>
      <c r="P5397">
        <v>-3.3974379999999998E-2</v>
      </c>
      <c r="Q5397">
        <v>0.1592973</v>
      </c>
      <c r="R5397">
        <v>0.98664589999999996</v>
      </c>
      <c r="S5397">
        <v>-0.1112366</v>
      </c>
      <c r="T5397">
        <v>4.4840100000000001E-2</v>
      </c>
      <c r="U5397">
        <v>3.0283199999999999</v>
      </c>
      <c r="V5397">
        <v>-2.7225780000000002E-2</v>
      </c>
      <c r="W5397">
        <v>0.16874239999999999</v>
      </c>
      <c r="X5397">
        <v>0.9852841</v>
      </c>
      <c r="Y5397">
        <v>-2.9465160000000001E-2</v>
      </c>
      <c r="Z5397">
        <v>2.4435189999999999E-2</v>
      </c>
      <c r="AA5397">
        <v>0.99926709999999996</v>
      </c>
      <c r="AB5397">
        <v>26</v>
      </c>
      <c r="AC5397">
        <v>-15.0113</v>
      </c>
      <c r="AD5397">
        <v>6.0533129999999904</v>
      </c>
      <c r="AE5397">
        <v>408.34460999999999</v>
      </c>
      <c r="AF5397">
        <v>-12.0535322176208</v>
      </c>
      <c r="AG5397">
        <v>6.0533129999999904</v>
      </c>
      <c r="AH5397">
        <v>408.35292447275299</v>
      </c>
      <c r="AI5397">
        <v>89.151094789894401</v>
      </c>
      <c r="AJ5397">
        <v>91.690733712052193</v>
      </c>
      <c r="AK5397">
        <v>408.57562477789497</v>
      </c>
      <c r="AL5397">
        <v>80.285292403223806</v>
      </c>
      <c r="AM5397">
        <v>91.582818035234595</v>
      </c>
      <c r="AN5397">
        <v>0.99999999918358895</v>
      </c>
    </row>
    <row r="5398" spans="1:40" x14ac:dyDescent="0.25">
      <c r="A5398" t="str">
        <f>"20190303162707486"</f>
        <v>20190303162707486</v>
      </c>
      <c r="B5398" t="str">
        <f>"1551601627479544"</f>
        <v>1551601627479544</v>
      </c>
      <c r="C5398" t="s">
        <v>40</v>
      </c>
      <c r="D5398">
        <v>5.257301</v>
      </c>
      <c r="E5398">
        <v>0.49742130000000001</v>
      </c>
      <c r="F5398" t="s">
        <v>72</v>
      </c>
      <c r="G5398">
        <v>-204.0548</v>
      </c>
      <c r="H5398">
        <v>7.842047</v>
      </c>
      <c r="I5398">
        <v>391.00349999999997</v>
      </c>
      <c r="J5398">
        <v>-187.02979999999999</v>
      </c>
      <c r="K5398">
        <v>1.1217090000000001</v>
      </c>
      <c r="L5398">
        <v>-17.96631</v>
      </c>
      <c r="M5398">
        <v>-8.5526030000000006E-3</v>
      </c>
      <c r="N5398">
        <v>-9.5796140000000002E-3</v>
      </c>
      <c r="O5398">
        <v>0.99991759999999996</v>
      </c>
      <c r="P5398">
        <v>-3.6029829999999999E-2</v>
      </c>
      <c r="Q5398">
        <v>0.16039719999999999</v>
      </c>
      <c r="R5398">
        <v>0.98639480000000002</v>
      </c>
      <c r="S5398">
        <v>-0.12600710000000001</v>
      </c>
      <c r="T5398">
        <v>4.9728990000000001E-2</v>
      </c>
      <c r="U5398">
        <v>3.0282290000000001</v>
      </c>
      <c r="V5398">
        <v>-2.7968670000000001E-2</v>
      </c>
      <c r="W5398">
        <v>0.16977999999999999</v>
      </c>
      <c r="X5398">
        <v>0.98508499999999999</v>
      </c>
      <c r="Y5398">
        <v>-3.3014769999999999E-2</v>
      </c>
      <c r="Z5398">
        <v>2.5982990000000001E-2</v>
      </c>
      <c r="AA5398">
        <v>0.99911709999999998</v>
      </c>
      <c r="AB5398">
        <v>26</v>
      </c>
      <c r="AC5398">
        <v>-17.024999999999999</v>
      </c>
      <c r="AD5398">
        <v>6.7203379999999999</v>
      </c>
      <c r="AE5398">
        <v>408.96981</v>
      </c>
      <c r="AF5398">
        <v>-13.5228154089551</v>
      </c>
      <c r="AG5398">
        <v>6.7203379999999999</v>
      </c>
      <c r="AH5398">
        <v>408.99022017987602</v>
      </c>
      <c r="AI5398">
        <v>89.059141036904705</v>
      </c>
      <c r="AJ5398">
        <v>91.893732549076304</v>
      </c>
      <c r="AK5398">
        <v>409.268896548714</v>
      </c>
      <c r="AL5398">
        <v>80.224971721087798</v>
      </c>
      <c r="AM5398">
        <v>91.626312817996293</v>
      </c>
      <c r="AN5398">
        <v>0.99999997606328395</v>
      </c>
    </row>
    <row r="5399" spans="1:40" x14ac:dyDescent="0.25">
      <c r="A5399" t="str">
        <f>"20190303162707511"</f>
        <v>20190303162707511</v>
      </c>
      <c r="B5399" t="str">
        <f>"1551601627499571"</f>
        <v>1551601627499571</v>
      </c>
      <c r="C5399" t="s">
        <v>40</v>
      </c>
      <c r="D5399">
        <v>5.3095410000000003</v>
      </c>
      <c r="E5399">
        <v>0.49746570000000001</v>
      </c>
      <c r="F5399" t="s">
        <v>72</v>
      </c>
      <c r="G5399">
        <v>-204.92740000000001</v>
      </c>
      <c r="H5399">
        <v>8.0227970000000006</v>
      </c>
      <c r="I5399">
        <v>391.00349999999997</v>
      </c>
      <c r="J5399">
        <v>-187.03360000000001</v>
      </c>
      <c r="K5399">
        <v>1.1216539999999999</v>
      </c>
      <c r="L5399">
        <v>-17.698270000000001</v>
      </c>
      <c r="M5399">
        <v>-9.8480270000000005E-3</v>
      </c>
      <c r="N5399">
        <v>-9.5145130000000005E-3</v>
      </c>
      <c r="O5399">
        <v>0.99990619999999997</v>
      </c>
      <c r="P5399">
        <v>-3.756785E-2</v>
      </c>
      <c r="Q5399">
        <v>0.16170029999999999</v>
      </c>
      <c r="R5399">
        <v>0.98612460000000002</v>
      </c>
      <c r="S5399">
        <v>-0.13252259999999999</v>
      </c>
      <c r="T5399">
        <v>5.10993E-2</v>
      </c>
      <c r="U5399">
        <v>3.0282290000000001</v>
      </c>
      <c r="V5399">
        <v>-2.821618E-2</v>
      </c>
      <c r="W5399">
        <v>0.17101910000000001</v>
      </c>
      <c r="X5399">
        <v>0.98486359999999995</v>
      </c>
      <c r="Y5399">
        <v>-3.3865359999999997E-2</v>
      </c>
      <c r="Z5399">
        <v>2.636813E-2</v>
      </c>
      <c r="AA5399">
        <v>0.99907849999999998</v>
      </c>
      <c r="AB5399">
        <v>26</v>
      </c>
      <c r="AC5399">
        <v>-17.893799999999999</v>
      </c>
      <c r="AD5399">
        <v>6.9011429999999896</v>
      </c>
      <c r="AE5399">
        <v>408.70177000000001</v>
      </c>
      <c r="AF5399">
        <v>-13.863898451465801</v>
      </c>
      <c r="AG5399">
        <v>6.9011429999999896</v>
      </c>
      <c r="AH5399">
        <v>408.74185777068902</v>
      </c>
      <c r="AI5399">
        <v>89.033273433743204</v>
      </c>
      <c r="AJ5399">
        <v>91.942640430094499</v>
      </c>
      <c r="AK5399">
        <v>409.03513265832498</v>
      </c>
      <c r="AL5399">
        <v>80.152923020245296</v>
      </c>
      <c r="AM5399">
        <v>91.641065745836002</v>
      </c>
      <c r="AN5399">
        <v>0.99999999799178096</v>
      </c>
    </row>
    <row r="5400" spans="1:40" x14ac:dyDescent="0.25">
      <c r="A5400" t="str">
        <f>"20190303162707531"</f>
        <v>20190303162707531</v>
      </c>
      <c r="B5400" t="str">
        <f>"1551601627520068"</f>
        <v>1551601627520068</v>
      </c>
      <c r="C5400" t="s">
        <v>40</v>
      </c>
      <c r="D5400">
        <v>5.3171269999999904</v>
      </c>
      <c r="E5400">
        <v>0.49764130000000001</v>
      </c>
      <c r="F5400" t="s">
        <v>72</v>
      </c>
      <c r="G5400">
        <v>-205.40799999999999</v>
      </c>
      <c r="H5400">
        <v>8.20059</v>
      </c>
      <c r="I5400">
        <v>391.87</v>
      </c>
      <c r="J5400">
        <v>-187.03739999999999</v>
      </c>
      <c r="K5400">
        <v>1.1215930000000001</v>
      </c>
      <c r="L5400">
        <v>-17.447510000000001</v>
      </c>
      <c r="M5400">
        <v>-1.0979640000000001E-2</v>
      </c>
      <c r="N5400">
        <v>-9.4404239999999993E-3</v>
      </c>
      <c r="O5400">
        <v>0.99989519999999998</v>
      </c>
      <c r="P5400">
        <v>-3.886804E-2</v>
      </c>
      <c r="Q5400">
        <v>0.16208719999999999</v>
      </c>
      <c r="R5400">
        <v>0.98601070000000002</v>
      </c>
      <c r="S5400">
        <v>-0.13586429999999999</v>
      </c>
      <c r="T5400">
        <v>5.2343250000000001E-2</v>
      </c>
      <c r="U5400">
        <v>3.0284420000000001</v>
      </c>
      <c r="V5400">
        <v>-2.8380840000000001E-2</v>
      </c>
      <c r="W5400">
        <v>0.17133570000000001</v>
      </c>
      <c r="X5400">
        <v>0.98480389999999995</v>
      </c>
      <c r="Y5400">
        <v>-3.3831149999999997E-2</v>
      </c>
      <c r="Z5400">
        <v>2.670204E-2</v>
      </c>
      <c r="AA5400">
        <v>0.99907080000000004</v>
      </c>
      <c r="AB5400">
        <v>26</v>
      </c>
      <c r="AC5400">
        <v>-18.3706</v>
      </c>
      <c r="AD5400">
        <v>7.0789970000000002</v>
      </c>
      <c r="AE5400">
        <v>409.31751000000003</v>
      </c>
      <c r="AF5400">
        <v>-13.8709930313877</v>
      </c>
      <c r="AG5400">
        <v>7.0789970000000002</v>
      </c>
      <c r="AH5400">
        <v>409.37234756431798</v>
      </c>
      <c r="AI5400">
        <v>89.009889966665099</v>
      </c>
      <c r="AJ5400">
        <v>91.940642603188493</v>
      </c>
      <c r="AK5400">
        <v>409.66844593710601</v>
      </c>
      <c r="AL5400">
        <v>80.134512021381695</v>
      </c>
      <c r="AM5400">
        <v>91.650737171274997</v>
      </c>
      <c r="AN5400">
        <v>1.0000000578143999</v>
      </c>
    </row>
    <row r="5401" spans="1:40" x14ac:dyDescent="0.25">
      <c r="A5401" t="str">
        <f>"20190303162707555"</f>
        <v>20190303162707555</v>
      </c>
      <c r="B5401" t="str">
        <f>"1551601627549347"</f>
        <v>1551601627549347</v>
      </c>
      <c r="C5401" t="s">
        <v>40</v>
      </c>
      <c r="D5401">
        <v>5.3771940000000003</v>
      </c>
      <c r="E5401">
        <v>0.4978437</v>
      </c>
      <c r="F5401" t="s">
        <v>72</v>
      </c>
      <c r="G5401">
        <v>-205.6292</v>
      </c>
      <c r="H5401">
        <v>7.9777069999999997</v>
      </c>
      <c r="I5401">
        <v>391.87</v>
      </c>
      <c r="J5401">
        <v>-187.04150000000001</v>
      </c>
      <c r="K5401">
        <v>1.12151</v>
      </c>
      <c r="L5401">
        <v>-17.186</v>
      </c>
      <c r="M5401">
        <v>-1.2063859999999999E-2</v>
      </c>
      <c r="N5401">
        <v>-9.3484099999999997E-3</v>
      </c>
      <c r="O5401">
        <v>0.99988350000000004</v>
      </c>
      <c r="P5401">
        <v>-4.0976029999999997E-2</v>
      </c>
      <c r="Q5401">
        <v>0.16198879999999999</v>
      </c>
      <c r="R5401">
        <v>0.98594150000000003</v>
      </c>
      <c r="S5401">
        <v>-0.13757320000000001</v>
      </c>
      <c r="T5401">
        <v>5.0732850000000003E-2</v>
      </c>
      <c r="U5401">
        <v>3.0288089999999999</v>
      </c>
      <c r="V5401">
        <v>-2.9392359999999999E-2</v>
      </c>
      <c r="W5401">
        <v>0.1711492</v>
      </c>
      <c r="X5401">
        <v>0.98480659999999998</v>
      </c>
      <c r="Y5401">
        <v>-3.330524E-2</v>
      </c>
      <c r="Z5401">
        <v>2.6076470000000001E-2</v>
      </c>
      <c r="AA5401">
        <v>0.99910500000000002</v>
      </c>
      <c r="AB5401">
        <v>26</v>
      </c>
      <c r="AC5401">
        <v>-18.587699999999899</v>
      </c>
      <c r="AD5401">
        <v>6.8561969999999999</v>
      </c>
      <c r="AE5401">
        <v>409.05599999999998</v>
      </c>
      <c r="AF5401">
        <v>-13.647511011827699</v>
      </c>
      <c r="AG5401">
        <v>6.8561969999999999</v>
      </c>
      <c r="AH5401">
        <v>409.13577675036203</v>
      </c>
      <c r="AI5401">
        <v>89.0404748175728</v>
      </c>
      <c r="AJ5401">
        <v>91.910502577561601</v>
      </c>
      <c r="AK5401">
        <v>409.42074423658897</v>
      </c>
      <c r="AL5401">
        <v>80.145357307878996</v>
      </c>
      <c r="AM5401">
        <v>91.7095320108468</v>
      </c>
      <c r="AN5401">
        <v>0.99999999944528395</v>
      </c>
    </row>
    <row r="5402" spans="1:40" x14ac:dyDescent="0.25">
      <c r="A5402" t="str">
        <f>"20190303162707577"</f>
        <v>20190303162707577</v>
      </c>
      <c r="B5402" t="str">
        <f>"1551601627569843"</f>
        <v>1551601627569843</v>
      </c>
      <c r="C5402" t="s">
        <v>40</v>
      </c>
      <c r="D5402">
        <v>5.257212</v>
      </c>
      <c r="E5402">
        <v>0.49803560000000002</v>
      </c>
      <c r="F5402" t="s">
        <v>72</v>
      </c>
      <c r="G5402">
        <v>-206.011</v>
      </c>
      <c r="H5402">
        <v>7.3864299999999998</v>
      </c>
      <c r="I5402">
        <v>390.11860000000001</v>
      </c>
      <c r="J5402">
        <v>-187.04589999999999</v>
      </c>
      <c r="K5402">
        <v>1.1214139999999999</v>
      </c>
      <c r="L5402">
        <v>-16.91751</v>
      </c>
      <c r="M5402">
        <v>-1.3070119999999999E-2</v>
      </c>
      <c r="N5402">
        <v>-9.2502320000000006E-3</v>
      </c>
      <c r="O5402">
        <v>0.99987179999999998</v>
      </c>
      <c r="P5402">
        <v>-4.2776420000000002E-2</v>
      </c>
      <c r="Q5402">
        <v>0.1610547</v>
      </c>
      <c r="R5402">
        <v>0.98601810000000001</v>
      </c>
      <c r="S5402">
        <v>-0.14108280000000001</v>
      </c>
      <c r="T5402">
        <v>4.6594379999999998E-2</v>
      </c>
      <c r="U5402">
        <v>3.0292659999999998</v>
      </c>
      <c r="V5402">
        <v>-3.0164630000000001E-2</v>
      </c>
      <c r="W5402">
        <v>0.170124</v>
      </c>
      <c r="X5402">
        <v>0.98496090000000003</v>
      </c>
      <c r="Y5402">
        <v>-3.3449159999999999E-2</v>
      </c>
      <c r="Z5402">
        <v>2.4610659999999999E-2</v>
      </c>
      <c r="AA5402">
        <v>0.99913730000000001</v>
      </c>
      <c r="AB5402">
        <v>26</v>
      </c>
      <c r="AC5402">
        <v>-18.9651</v>
      </c>
      <c r="AD5402">
        <v>6.2650160000000001</v>
      </c>
      <c r="AE5402">
        <v>407.03611000000001</v>
      </c>
      <c r="AF5402">
        <v>-13.640017091988501</v>
      </c>
      <c r="AG5402">
        <v>6.2650160000000001</v>
      </c>
      <c r="AH5402">
        <v>407.152977112597</v>
      </c>
      <c r="AI5402">
        <v>89.118932063037605</v>
      </c>
      <c r="AJ5402">
        <v>91.918746229997694</v>
      </c>
      <c r="AK5402">
        <v>407.42956110645798</v>
      </c>
      <c r="AL5402">
        <v>80.204971516651895</v>
      </c>
      <c r="AM5402">
        <v>91.754146753968996</v>
      </c>
      <c r="AN5402">
        <v>1.00000002740392</v>
      </c>
    </row>
    <row r="5403" spans="1:40" x14ac:dyDescent="0.25">
      <c r="A5403" t="str">
        <f>"20190303162707601"</f>
        <v>20190303162707601</v>
      </c>
      <c r="B5403" t="str">
        <f>"1551601627589870"</f>
        <v>1551601627589870</v>
      </c>
      <c r="C5403" t="s">
        <v>40</v>
      </c>
      <c r="D5403">
        <v>5.3184199999999997</v>
      </c>
      <c r="E5403">
        <v>0.49813540000000001</v>
      </c>
      <c r="F5403" t="s">
        <v>72</v>
      </c>
      <c r="G5403">
        <v>-206.47309999999999</v>
      </c>
      <c r="H5403">
        <v>6.7037420000000001</v>
      </c>
      <c r="I5403">
        <v>390.11860000000001</v>
      </c>
      <c r="J5403">
        <v>-187.0506</v>
      </c>
      <c r="K5403">
        <v>1.1213229999999901</v>
      </c>
      <c r="L5403">
        <v>-16.640989999999999</v>
      </c>
      <c r="M5403">
        <v>-1.3991689999999999E-2</v>
      </c>
      <c r="N5403">
        <v>-9.1560689999999993E-3</v>
      </c>
      <c r="O5403">
        <v>0.99986019999999998</v>
      </c>
      <c r="P5403">
        <v>-4.3306369999999997E-2</v>
      </c>
      <c r="Q5403">
        <v>0.16099340000000001</v>
      </c>
      <c r="R5403">
        <v>0.98600489999999996</v>
      </c>
      <c r="S5403">
        <v>-0.14459229999999901</v>
      </c>
      <c r="T5403">
        <v>4.1548010000000003E-2</v>
      </c>
      <c r="U5403">
        <v>3.02948</v>
      </c>
      <c r="V5403">
        <v>-2.975067E-2</v>
      </c>
      <c r="W5403">
        <v>0.16997689999999999</v>
      </c>
      <c r="X5403">
        <v>0.98499890000000001</v>
      </c>
      <c r="Y5403">
        <v>-3.3681370000000002E-2</v>
      </c>
      <c r="Z5403">
        <v>2.2851159999999999E-2</v>
      </c>
      <c r="AA5403">
        <v>0.99917140000000004</v>
      </c>
      <c r="AB5403">
        <v>26</v>
      </c>
      <c r="AC5403">
        <v>-19.4224999999999</v>
      </c>
      <c r="AD5403">
        <v>5.5824189999999998</v>
      </c>
      <c r="AE5403">
        <v>406.75959</v>
      </c>
      <c r="AF5403">
        <v>-13.726526466423399</v>
      </c>
      <c r="AG5403">
        <v>5.5824189999999998</v>
      </c>
      <c r="AH5403">
        <v>406.915065824762</v>
      </c>
      <c r="AI5403">
        <v>89.214462136048397</v>
      </c>
      <c r="AJ5403">
        <v>91.932034441476802</v>
      </c>
      <c r="AK5403">
        <v>407.18478818086402</v>
      </c>
      <c r="AL5403">
        <v>80.213524427600703</v>
      </c>
      <c r="AM5403">
        <v>91.730021998767398</v>
      </c>
      <c r="AN5403">
        <v>1.00000004095013</v>
      </c>
    </row>
    <row r="5404" spans="1:40" x14ac:dyDescent="0.25">
      <c r="A5404" t="str">
        <f>"20190303162707648"</f>
        <v>20190303162707648</v>
      </c>
      <c r="B5404" t="str">
        <f>"1551601627639646"</f>
        <v>1551601627639646</v>
      </c>
      <c r="C5404" t="s">
        <v>40</v>
      </c>
      <c r="D5404">
        <v>5.2706860000000004</v>
      </c>
      <c r="E5404">
        <v>0.49855139999999998</v>
      </c>
      <c r="F5404" t="s">
        <v>72</v>
      </c>
      <c r="G5404">
        <v>-206.56960000000001</v>
      </c>
      <c r="H5404">
        <v>6.4399899999999999</v>
      </c>
      <c r="I5404">
        <v>390.11860000000001</v>
      </c>
      <c r="J5404">
        <v>-187.06</v>
      </c>
      <c r="K5404">
        <v>1.121151</v>
      </c>
      <c r="L5404">
        <v>-16.10519</v>
      </c>
      <c r="M5404">
        <v>-1.543043E-2</v>
      </c>
      <c r="N5404">
        <v>-8.9999369999999995E-3</v>
      </c>
      <c r="O5404">
        <v>0.99984039999999996</v>
      </c>
      <c r="P5404">
        <v>-4.2156819999999998E-2</v>
      </c>
      <c r="Q5404">
        <v>0.16165829999999901</v>
      </c>
      <c r="R5404">
        <v>0.98594590000000004</v>
      </c>
      <c r="S5404">
        <v>-0.14538570000000001</v>
      </c>
      <c r="T5404">
        <v>3.9615749999999998E-2</v>
      </c>
      <c r="U5404">
        <v>3.0297239999999999</v>
      </c>
      <c r="V5404">
        <v>-2.7122549999999999E-2</v>
      </c>
      <c r="W5404">
        <v>0.17050079999999901</v>
      </c>
      <c r="X5404">
        <v>0.98498419999999998</v>
      </c>
      <c r="Y5404">
        <v>-3.2501210000000003E-2</v>
      </c>
      <c r="Z5404">
        <v>2.2056590000000001E-2</v>
      </c>
      <c r="AA5404">
        <v>0.99922829999999996</v>
      </c>
      <c r="AB5404">
        <v>26</v>
      </c>
      <c r="AC5404">
        <v>-19.509599999999999</v>
      </c>
      <c r="AD5404">
        <v>5.3188389999999997</v>
      </c>
      <c r="AE5404">
        <v>406.22379000000001</v>
      </c>
      <c r="AF5404">
        <v>-13.2365511959363</v>
      </c>
      <c r="AG5404">
        <v>5.3188389999999997</v>
      </c>
      <c r="AH5404">
        <v>406.40696374814098</v>
      </c>
      <c r="AI5404">
        <v>89.250583339050806</v>
      </c>
      <c r="AJ5404">
        <v>91.865446685382494</v>
      </c>
      <c r="AK5404">
        <v>406.65724697692701</v>
      </c>
      <c r="AL5404">
        <v>80.183062253358401</v>
      </c>
      <c r="AM5404">
        <v>91.577299470135003</v>
      </c>
      <c r="AN5404">
        <v>1.0000000148843899</v>
      </c>
    </row>
    <row r="5405" spans="1:40" x14ac:dyDescent="0.25">
      <c r="A5405" t="str">
        <f>"20190303162707689"</f>
        <v>20190303162707689</v>
      </c>
      <c r="B5405" t="str">
        <f>"1551601627679661"</f>
        <v>1551601627679661</v>
      </c>
      <c r="C5405" t="s">
        <v>40</v>
      </c>
      <c r="D5405">
        <v>5.0602980000000004</v>
      </c>
      <c r="E5405">
        <v>0.49887239999999999</v>
      </c>
      <c r="F5405" t="s">
        <v>50</v>
      </c>
      <c r="G5405">
        <v>-203.28469999999999</v>
      </c>
      <c r="H5405">
        <v>5.4776379999999998</v>
      </c>
      <c r="I5405">
        <v>336.07929999999999</v>
      </c>
      <c r="J5405">
        <v>-187.06899999999999</v>
      </c>
      <c r="K5405">
        <v>1.1210450000000001</v>
      </c>
      <c r="L5405">
        <v>-15.605219999999999</v>
      </c>
      <c r="M5405">
        <v>-1.6480649999999999E-2</v>
      </c>
      <c r="N5405">
        <v>-8.8822039999999994E-3</v>
      </c>
      <c r="O5405">
        <v>0.99982470000000001</v>
      </c>
      <c r="P5405">
        <v>-3.9596409999999999E-2</v>
      </c>
      <c r="Q5405">
        <v>0.16001789999999999</v>
      </c>
      <c r="R5405">
        <v>0.98631959999999996</v>
      </c>
      <c r="S5405">
        <v>-0.13961789999999999</v>
      </c>
      <c r="T5405">
        <v>3.7488699999999903E-2</v>
      </c>
      <c r="U5405">
        <v>3.03064</v>
      </c>
      <c r="V5405">
        <v>-2.348389E-2</v>
      </c>
      <c r="W5405">
        <v>0.1687565</v>
      </c>
      <c r="X5405">
        <v>0.98537799999999998</v>
      </c>
      <c r="Y5405">
        <v>-2.9539969999999999E-2</v>
      </c>
      <c r="Z5405">
        <v>2.123485E-2</v>
      </c>
      <c r="AA5405">
        <v>0.99933799999999995</v>
      </c>
      <c r="AB5405">
        <v>26</v>
      </c>
      <c r="AC5405">
        <v>-16.215699999999899</v>
      </c>
      <c r="AD5405">
        <v>4.3565930000000002</v>
      </c>
      <c r="AE5405">
        <v>351.68452000000002</v>
      </c>
      <c r="AF5405">
        <v>-10.4156842006849</v>
      </c>
      <c r="AG5405">
        <v>4.3565930000000002</v>
      </c>
      <c r="AH5405">
        <v>351.85012856202201</v>
      </c>
      <c r="AI5405">
        <v>89.290912991959999</v>
      </c>
      <c r="AJ5405">
        <v>91.695609771742198</v>
      </c>
      <c r="AK5405">
        <v>352.03121928182401</v>
      </c>
      <c r="AL5405">
        <v>80.284473042841697</v>
      </c>
      <c r="AM5405">
        <v>91.365235600217602</v>
      </c>
      <c r="AN5405">
        <v>1.0000000261328901</v>
      </c>
    </row>
    <row r="5406" spans="1:40" x14ac:dyDescent="0.25">
      <c r="A5406" t="str">
        <f>"20190303162707710"</f>
        <v>20190303162707710</v>
      </c>
      <c r="B5406" t="str">
        <f>"1551601627699687"</f>
        <v>1551601627699687</v>
      </c>
      <c r="C5406" t="s">
        <v>40</v>
      </c>
      <c r="D5406">
        <v>4.9465440000000003</v>
      </c>
      <c r="E5406">
        <v>0.49905290000000002</v>
      </c>
      <c r="F5406" t="s">
        <v>72</v>
      </c>
      <c r="G5406">
        <v>-204.50579999999999</v>
      </c>
      <c r="H5406">
        <v>5.0977269999999999</v>
      </c>
      <c r="I5406">
        <v>391.00349999999997</v>
      </c>
      <c r="J5406">
        <v>-187.0737</v>
      </c>
      <c r="K5406">
        <v>1.1210059999999999</v>
      </c>
      <c r="L5406">
        <v>-15.3558</v>
      </c>
      <c r="M5406">
        <v>-1.6926190000000001E-2</v>
      </c>
      <c r="N5406">
        <v>-8.8335419999999998E-3</v>
      </c>
      <c r="O5406">
        <v>0.99981770000000003</v>
      </c>
      <c r="P5406">
        <v>-3.9015840000000003E-2</v>
      </c>
      <c r="Q5406">
        <v>0.160381</v>
      </c>
      <c r="R5406">
        <v>0.98628380000000004</v>
      </c>
      <c r="S5406">
        <v>-0.13000490000000001</v>
      </c>
      <c r="T5406">
        <v>2.964926E-2</v>
      </c>
      <c r="U5406">
        <v>3.0315859999999999</v>
      </c>
      <c r="V5406">
        <v>-2.2451749999999999E-2</v>
      </c>
      <c r="W5406">
        <v>0.16907420000000001</v>
      </c>
      <c r="X5406">
        <v>0.98534759999999999</v>
      </c>
      <c r="Y5406">
        <v>-2.5919339999999999E-2</v>
      </c>
      <c r="Z5406">
        <v>1.8600950000000002E-2</v>
      </c>
      <c r="AA5406">
        <v>0.99949100000000002</v>
      </c>
      <c r="AB5406">
        <v>26</v>
      </c>
      <c r="AC5406">
        <v>-17.432099999999899</v>
      </c>
      <c r="AD5406">
        <v>3.976721</v>
      </c>
      <c r="AE5406">
        <v>406.35930000000002</v>
      </c>
      <c r="AF5406">
        <v>-10.5502107489901</v>
      </c>
      <c r="AG5406">
        <v>3.976721</v>
      </c>
      <c r="AH5406">
        <v>406.55728719937701</v>
      </c>
      <c r="AI5406">
        <v>89.439770485622304</v>
      </c>
      <c r="AJ5406">
        <v>91.4864987906153</v>
      </c>
      <c r="AK5406">
        <v>406.713595828412</v>
      </c>
      <c r="AL5406">
        <v>80.266004828901899</v>
      </c>
      <c r="AM5406">
        <v>91.305293647096903</v>
      </c>
      <c r="AN5406">
        <v>1.00000002950473</v>
      </c>
    </row>
    <row r="5407" spans="1:40" x14ac:dyDescent="0.25">
      <c r="A5407" t="str">
        <f>"20190303162707733"</f>
        <v>20190303162707733</v>
      </c>
      <c r="B5407" t="str">
        <f>"1551601627720183"</f>
        <v>1551601627720183</v>
      </c>
      <c r="C5407" t="s">
        <v>40</v>
      </c>
      <c r="D5407">
        <v>4.6989859999999997</v>
      </c>
      <c r="E5407">
        <v>0.4991256</v>
      </c>
      <c r="F5407" t="s">
        <v>72</v>
      </c>
      <c r="G5407">
        <v>-204.0301</v>
      </c>
      <c r="H5407">
        <v>5.1528970000000003</v>
      </c>
      <c r="I5407">
        <v>391.00349999999997</v>
      </c>
      <c r="J5407">
        <v>-187.07900000000001</v>
      </c>
      <c r="K5407">
        <v>1.1209659999999999</v>
      </c>
      <c r="L5407">
        <v>-15.075200000000001</v>
      </c>
      <c r="M5407">
        <v>-1.737172E-2</v>
      </c>
      <c r="N5407">
        <v>-8.7860379999999995E-3</v>
      </c>
      <c r="O5407">
        <v>0.99981050000000005</v>
      </c>
      <c r="P5407">
        <v>-3.9286840000000003E-2</v>
      </c>
      <c r="Q5407">
        <v>0.16029350000000001</v>
      </c>
      <c r="R5407">
        <v>0.98628720000000003</v>
      </c>
      <c r="S5407">
        <v>-0.1265106</v>
      </c>
      <c r="T5407">
        <v>3.0081750000000001E-2</v>
      </c>
      <c r="U5407">
        <v>3.0318299999999998</v>
      </c>
      <c r="V5407">
        <v>-2.2268550000000002E-2</v>
      </c>
      <c r="W5407">
        <v>0.1689416</v>
      </c>
      <c r="X5407">
        <v>0.98537450000000004</v>
      </c>
      <c r="Y5407">
        <v>-2.432047E-2</v>
      </c>
      <c r="Z5407">
        <v>1.8695509999999999E-2</v>
      </c>
      <c r="AA5407">
        <v>0.99952940000000001</v>
      </c>
      <c r="AB5407">
        <v>27</v>
      </c>
      <c r="AC5407">
        <v>-16.951099999999901</v>
      </c>
      <c r="AD5407">
        <v>4.0319310000000002</v>
      </c>
      <c r="AE5407">
        <v>406.07870000000003</v>
      </c>
      <c r="AF5407">
        <v>-9.89301055063682</v>
      </c>
      <c r="AG5407">
        <v>4.0319310000000002</v>
      </c>
      <c r="AH5407">
        <v>406.27191705906699</v>
      </c>
      <c r="AI5407">
        <v>89.431571361270102</v>
      </c>
      <c r="AJ5407">
        <v>91.394917375317107</v>
      </c>
      <c r="AK5407">
        <v>406.41235059504902</v>
      </c>
      <c r="AL5407">
        <v>80.273713129332094</v>
      </c>
      <c r="AM5407">
        <v>91.294611125050295</v>
      </c>
      <c r="AN5407">
        <v>1.00000002888995</v>
      </c>
    </row>
    <row r="5408" spans="1:40" x14ac:dyDescent="0.25">
      <c r="A5408" t="str">
        <f>"20190303162707756"</f>
        <v>20190303162707756</v>
      </c>
      <c r="B5408" t="str">
        <f>"1551601627749463"</f>
        <v>1551601627749463</v>
      </c>
      <c r="C5408" t="s">
        <v>40</v>
      </c>
      <c r="D5408">
        <v>5.0371689999999996</v>
      </c>
      <c r="E5408">
        <v>0.49884669999999998</v>
      </c>
      <c r="F5408" t="s">
        <v>72</v>
      </c>
      <c r="G5408">
        <v>-203.9639</v>
      </c>
      <c r="H5408">
        <v>5.060365</v>
      </c>
      <c r="I5408">
        <v>391.00349999999997</v>
      </c>
      <c r="J5408">
        <v>-187.084</v>
      </c>
      <c r="K5408">
        <v>1.1209209999999901</v>
      </c>
      <c r="L5408">
        <v>-14.81085</v>
      </c>
      <c r="M5408">
        <v>-1.7733720000000001E-2</v>
      </c>
      <c r="N5408">
        <v>-8.7475909999999903E-3</v>
      </c>
      <c r="O5408">
        <v>0.99980449999999998</v>
      </c>
      <c r="P5408">
        <v>-3.9916130000000001E-2</v>
      </c>
      <c r="Q5408">
        <v>0.16057070000000001</v>
      </c>
      <c r="R5408">
        <v>0.98621689999999995</v>
      </c>
      <c r="S5408">
        <v>-0.12606809999999999</v>
      </c>
      <c r="T5408">
        <v>2.9412870000000001E-2</v>
      </c>
      <c r="U5408">
        <v>3.0319210000000001</v>
      </c>
      <c r="V5408">
        <v>-2.252556E-2</v>
      </c>
      <c r="W5408">
        <v>0.16918269999999999</v>
      </c>
      <c r="X5408">
        <v>0.98532719999999896</v>
      </c>
      <c r="Y5408">
        <v>-2.3811789999999999E-2</v>
      </c>
      <c r="Z5408">
        <v>1.8436350000000001E-2</v>
      </c>
      <c r="AA5408">
        <v>0.9995465</v>
      </c>
      <c r="AB5408">
        <v>27</v>
      </c>
      <c r="AC5408">
        <v>-16.8798999999999</v>
      </c>
      <c r="AD5408">
        <v>3.9394439999999999</v>
      </c>
      <c r="AE5408">
        <v>405.81434999999999</v>
      </c>
      <c r="AF5408">
        <v>-9.6794615198744598</v>
      </c>
      <c r="AG5408">
        <v>3.9394439999999999</v>
      </c>
      <c r="AH5408">
        <v>406.01168906303798</v>
      </c>
      <c r="AI5408">
        <v>89.444246734904794</v>
      </c>
      <c r="AJ5408">
        <v>91.365692845804404</v>
      </c>
      <c r="AK5408">
        <v>406.14615946745698</v>
      </c>
      <c r="AL5408">
        <v>80.259696481231003</v>
      </c>
      <c r="AM5408">
        <v>91.309610404477098</v>
      </c>
      <c r="AN5408">
        <v>0.99999993894621897</v>
      </c>
    </row>
    <row r="5409" spans="1:40" x14ac:dyDescent="0.25">
      <c r="A5409" t="str">
        <f>"20190303162707778"</f>
        <v>20190303162707778</v>
      </c>
      <c r="B5409" t="str">
        <f>"1551601627769960"</f>
        <v>1551601627769960</v>
      </c>
      <c r="C5409" t="s">
        <v>40</v>
      </c>
      <c r="D5409">
        <v>4.6614890000000004</v>
      </c>
      <c r="E5409">
        <v>0.49865579999999998</v>
      </c>
      <c r="F5409" t="s">
        <v>72</v>
      </c>
      <c r="G5409">
        <v>-204.5703</v>
      </c>
      <c r="H5409">
        <v>4.960394</v>
      </c>
      <c r="I5409">
        <v>391.00349999999997</v>
      </c>
      <c r="J5409">
        <v>-187.08920000000001</v>
      </c>
      <c r="K5409">
        <v>1.120871</v>
      </c>
      <c r="L5409">
        <v>-14.54285</v>
      </c>
      <c r="M5409">
        <v>-1.8044040000000001E-2</v>
      </c>
      <c r="N5409">
        <v>-8.7142000000000001E-3</v>
      </c>
      <c r="O5409">
        <v>0.9997992</v>
      </c>
      <c r="P5409">
        <v>-4.0618290000000001E-2</v>
      </c>
      <c r="Q5409">
        <v>0.15979009999999999</v>
      </c>
      <c r="R5409">
        <v>0.98631500000000005</v>
      </c>
      <c r="S5409">
        <v>-0.13064580000000001</v>
      </c>
      <c r="T5409">
        <v>2.8686050000000001E-2</v>
      </c>
      <c r="U5409">
        <v>3.0319820000000002</v>
      </c>
      <c r="V5409">
        <v>-2.2899490000000002E-2</v>
      </c>
      <c r="W5409">
        <v>0.16837249999999901</v>
      </c>
      <c r="X5409">
        <v>0.98545740000000004</v>
      </c>
      <c r="Y5409">
        <v>-2.5007250000000002E-2</v>
      </c>
      <c r="Z5409">
        <v>1.8162620000000001E-2</v>
      </c>
      <c r="AA5409">
        <v>0.99952229999999997</v>
      </c>
      <c r="AB5409">
        <v>27</v>
      </c>
      <c r="AC5409">
        <v>-17.481099999999898</v>
      </c>
      <c r="AD5409">
        <v>3.8395229999999998</v>
      </c>
      <c r="AE5409">
        <v>405.54635000000002</v>
      </c>
      <c r="AF5409">
        <v>-10.1593722532117</v>
      </c>
      <c r="AG5409">
        <v>3.8395229999999998</v>
      </c>
      <c r="AH5409">
        <v>405.75945841537401</v>
      </c>
      <c r="AI5409">
        <v>89.458021306492</v>
      </c>
      <c r="AJ5409">
        <v>91.434267395509593</v>
      </c>
      <c r="AK5409">
        <v>405.90478301565298</v>
      </c>
      <c r="AL5409">
        <v>80.306793631198104</v>
      </c>
      <c r="AM5409">
        <v>91.331166672701997</v>
      </c>
      <c r="AN5409">
        <v>0.999999986306635</v>
      </c>
    </row>
    <row r="5410" spans="1:40" x14ac:dyDescent="0.25">
      <c r="A5410" t="str">
        <f>"20190303162707801"</f>
        <v>20190303162707801</v>
      </c>
      <c r="B5410" t="str">
        <f>"1551601627789986"</f>
        <v>1551601627789986</v>
      </c>
      <c r="C5410" t="s">
        <v>40</v>
      </c>
      <c r="D5410">
        <v>4.9759219999999997</v>
      </c>
      <c r="E5410">
        <v>0.49855159999999998</v>
      </c>
      <c r="F5410" t="s">
        <v>72</v>
      </c>
      <c r="G5410">
        <v>-205.0515</v>
      </c>
      <c r="H5410">
        <v>4.4793789999999998</v>
      </c>
      <c r="I5410">
        <v>391.00349999999997</v>
      </c>
      <c r="J5410">
        <v>-187.09440000000001</v>
      </c>
      <c r="K5410">
        <v>1.120808</v>
      </c>
      <c r="L5410">
        <v>-14.268370000000001</v>
      </c>
      <c r="M5410">
        <v>-1.830437E-2</v>
      </c>
      <c r="N5410">
        <v>-8.6851840000000003E-3</v>
      </c>
      <c r="O5410">
        <v>0.99979470000000004</v>
      </c>
      <c r="P5410">
        <v>-4.280229E-2</v>
      </c>
      <c r="Q5410">
        <v>0.15981979999999901</v>
      </c>
      <c r="R5410">
        <v>0.98621780000000003</v>
      </c>
      <c r="S5410">
        <v>-0.13429260000000001</v>
      </c>
      <c r="T5410">
        <v>2.5109409999999999E-2</v>
      </c>
      <c r="U5410">
        <v>3.0320130000000001</v>
      </c>
      <c r="V5410">
        <v>-2.4808179999999999E-2</v>
      </c>
      <c r="W5410">
        <v>0.16837530000000001</v>
      </c>
      <c r="X5410">
        <v>0.98541069999999997</v>
      </c>
      <c r="Y5410">
        <v>-2.5947230000000002E-2</v>
      </c>
      <c r="Z5410">
        <v>1.6954670000000002E-2</v>
      </c>
      <c r="AA5410">
        <v>0.99951950000000001</v>
      </c>
      <c r="AB5410">
        <v>27</v>
      </c>
      <c r="AC5410">
        <v>-17.957099999999901</v>
      </c>
      <c r="AD5410">
        <v>3.3585709999999902</v>
      </c>
      <c r="AE5410">
        <v>405.27186999999998</v>
      </c>
      <c r="AF5410">
        <v>-10.534842823160099</v>
      </c>
      <c r="AG5410">
        <v>3.3585709999999902</v>
      </c>
      <c r="AH5410">
        <v>405.50487723498901</v>
      </c>
      <c r="AI5410">
        <v>89.525621880896097</v>
      </c>
      <c r="AJ5410">
        <v>91.488185031646694</v>
      </c>
      <c r="AK5410">
        <v>405.65560315843499</v>
      </c>
      <c r="AL5410">
        <v>80.306630695964799</v>
      </c>
      <c r="AM5410">
        <v>91.442143695178999</v>
      </c>
      <c r="AN5410">
        <v>0.99999996755974496</v>
      </c>
    </row>
    <row r="5411" spans="1:40" x14ac:dyDescent="0.25">
      <c r="A5411" t="str">
        <f>"20190303162707824"</f>
        <v>20190303162707824</v>
      </c>
      <c r="B5411" t="str">
        <f>"1551601627810482"</f>
        <v>1551601627810482</v>
      </c>
      <c r="C5411" t="s">
        <v>40</v>
      </c>
      <c r="D5411">
        <v>4.7540589999999998</v>
      </c>
      <c r="E5411">
        <v>0.49846649999999998</v>
      </c>
      <c r="F5411" t="s">
        <v>72</v>
      </c>
      <c r="G5411">
        <v>-206.03270000000001</v>
      </c>
      <c r="H5411">
        <v>4.420115</v>
      </c>
      <c r="I5411">
        <v>391.87</v>
      </c>
      <c r="J5411">
        <v>-187.09950000000001</v>
      </c>
      <c r="K5411">
        <v>1.1207659999999999</v>
      </c>
      <c r="L5411">
        <v>-14.005100000000001</v>
      </c>
      <c r="M5411">
        <v>-1.8497909999999999E-2</v>
      </c>
      <c r="N5411">
        <v>-8.6667849999999998E-3</v>
      </c>
      <c r="O5411">
        <v>0.99979130000000005</v>
      </c>
      <c r="P5411">
        <v>-4.4506669999999998E-2</v>
      </c>
      <c r="Q5411">
        <v>0.160242299999999</v>
      </c>
      <c r="R5411">
        <v>0.9860738</v>
      </c>
      <c r="S5411">
        <v>-0.14137269999999999</v>
      </c>
      <c r="T5411">
        <v>2.4629120000000001E-2</v>
      </c>
      <c r="U5411">
        <v>3.0317989999999999</v>
      </c>
      <c r="V5411">
        <v>-2.6306630000000001E-2</v>
      </c>
      <c r="W5411">
        <v>0.1687804</v>
      </c>
      <c r="X5411">
        <v>0.98530260000000003</v>
      </c>
      <c r="Y5411">
        <v>-2.8086219999999999E-2</v>
      </c>
      <c r="Z5411">
        <v>1.6777690000000001E-2</v>
      </c>
      <c r="AA5411">
        <v>0.99946469999999998</v>
      </c>
      <c r="AB5411">
        <v>27</v>
      </c>
      <c r="AC5411">
        <v>-18.933199999999999</v>
      </c>
      <c r="AD5411">
        <v>3.2993489999999999</v>
      </c>
      <c r="AE5411">
        <v>405.87509999999997</v>
      </c>
      <c r="AF5411">
        <v>-11.421083877154301</v>
      </c>
      <c r="AG5411">
        <v>3.2993489999999999</v>
      </c>
      <c r="AH5411">
        <v>406.12910810577</v>
      </c>
      <c r="AI5411">
        <v>89.534729448256201</v>
      </c>
      <c r="AJ5411">
        <v>91.610836234067904</v>
      </c>
      <c r="AK5411">
        <v>406.30306337946899</v>
      </c>
      <c r="AL5411">
        <v>80.283083860599305</v>
      </c>
      <c r="AM5411">
        <v>91.529378772814994</v>
      </c>
      <c r="AN5411">
        <v>1.00000003788643</v>
      </c>
    </row>
    <row r="5412" spans="1:40" x14ac:dyDescent="0.25">
      <c r="A5412" t="str">
        <f>"20190303162707869"</f>
        <v>20190303162707869</v>
      </c>
      <c r="B5412" t="str">
        <f>"1551601627859282"</f>
        <v>1551601627859282</v>
      </c>
      <c r="C5412" t="s">
        <v>40</v>
      </c>
      <c r="D5412">
        <v>4.7255039999999999</v>
      </c>
      <c r="E5412">
        <v>0.4983186</v>
      </c>
      <c r="F5412" t="s">
        <v>72</v>
      </c>
      <c r="G5412">
        <v>-206.79859999999999</v>
      </c>
      <c r="H5412">
        <v>4.4735290000000001</v>
      </c>
      <c r="I5412">
        <v>391.87</v>
      </c>
      <c r="J5412">
        <v>-187.10980000000001</v>
      </c>
      <c r="K5412">
        <v>1.120716</v>
      </c>
      <c r="L5412">
        <v>-13.46527</v>
      </c>
      <c r="M5412">
        <v>-1.8753720000000001E-2</v>
      </c>
      <c r="N5412">
        <v>-8.6497290000000001E-3</v>
      </c>
      <c r="O5412">
        <v>0.99978670000000003</v>
      </c>
      <c r="P5412">
        <v>-4.5584939999999997E-2</v>
      </c>
      <c r="Q5412">
        <v>0.1611129</v>
      </c>
      <c r="R5412">
        <v>0.9858827</v>
      </c>
      <c r="S5412">
        <v>-0.14714050000000001</v>
      </c>
      <c r="T5412">
        <v>2.504313E-2</v>
      </c>
      <c r="U5412">
        <v>3.031647</v>
      </c>
      <c r="V5412">
        <v>-2.7112560000000001E-2</v>
      </c>
      <c r="W5412">
        <v>0.16963619999999999</v>
      </c>
      <c r="X5412">
        <v>0.9851337</v>
      </c>
      <c r="Y5412">
        <v>-2.9729909999999998E-2</v>
      </c>
      <c r="Z5412">
        <v>1.6896620000000001E-2</v>
      </c>
      <c r="AA5412">
        <v>0.99941519999999995</v>
      </c>
      <c r="AB5412">
        <v>27</v>
      </c>
      <c r="AC5412">
        <v>-19.688799999999901</v>
      </c>
      <c r="AD5412">
        <v>3.3528129999999998</v>
      </c>
      <c r="AE5412">
        <v>405.33526999999998</v>
      </c>
      <c r="AF5412">
        <v>-12.082683703878599</v>
      </c>
      <c r="AG5412">
        <v>3.3528129999999998</v>
      </c>
      <c r="AH5412">
        <v>405.60554520086902</v>
      </c>
      <c r="AI5412">
        <v>89.526602906901502</v>
      </c>
      <c r="AJ5412">
        <v>91.706293516752496</v>
      </c>
      <c r="AK5412">
        <v>405.79932343240199</v>
      </c>
      <c r="AL5412">
        <v>80.233332058329793</v>
      </c>
      <c r="AM5412">
        <v>91.576479643714293</v>
      </c>
      <c r="AN5412">
        <v>0.99999996906794097</v>
      </c>
    </row>
    <row r="5413" spans="1:40" x14ac:dyDescent="0.25">
      <c r="A5413" t="str">
        <f>"20190303162707909"</f>
        <v>20190303162707909</v>
      </c>
      <c r="B5413" t="str">
        <f>"1551601627899804"</f>
        <v>1551601627899804</v>
      </c>
      <c r="C5413" t="s">
        <v>40</v>
      </c>
      <c r="D5413">
        <v>4.6865620000000003</v>
      </c>
      <c r="E5413">
        <v>0.49833660000000002</v>
      </c>
      <c r="F5413" t="s">
        <v>72</v>
      </c>
      <c r="G5413">
        <v>-207.47210000000001</v>
      </c>
      <c r="H5413">
        <v>4.5910229999999999</v>
      </c>
      <c r="I5413">
        <v>391.87</v>
      </c>
      <c r="J5413">
        <v>-187.11940000000001</v>
      </c>
      <c r="K5413">
        <v>1.1206910000000001</v>
      </c>
      <c r="L5413">
        <v>-12.96686</v>
      </c>
      <c r="M5413">
        <v>-1.8899220000000001E-2</v>
      </c>
      <c r="N5413">
        <v>-8.6429450000000008E-3</v>
      </c>
      <c r="O5413">
        <v>0.99978409999999995</v>
      </c>
      <c r="P5413">
        <v>-4.4741839999999998E-2</v>
      </c>
      <c r="Q5413">
        <v>0.16025490000000001</v>
      </c>
      <c r="R5413">
        <v>0.98606110000000002</v>
      </c>
      <c r="S5413">
        <v>-0.15229799999999999</v>
      </c>
      <c r="T5413">
        <v>2.595592E-2</v>
      </c>
      <c r="U5413">
        <v>3.0316770000000002</v>
      </c>
      <c r="V5413">
        <v>-2.6113549999999999E-2</v>
      </c>
      <c r="W5413">
        <v>0.168774799999999</v>
      </c>
      <c r="X5413">
        <v>0.98530859999999998</v>
      </c>
      <c r="Y5413">
        <v>-3.1279769999999998E-2</v>
      </c>
      <c r="Z5413">
        <v>1.7189690000000001E-2</v>
      </c>
      <c r="AA5413">
        <v>0.9993628</v>
      </c>
      <c r="AB5413">
        <v>27</v>
      </c>
      <c r="AC5413">
        <v>-20.352699999999999</v>
      </c>
      <c r="AD5413">
        <v>3.470332</v>
      </c>
      <c r="AE5413">
        <v>404.83686</v>
      </c>
      <c r="AF5413">
        <v>-12.696747798407101</v>
      </c>
      <c r="AG5413">
        <v>3.470332</v>
      </c>
      <c r="AH5413">
        <v>405.11951871866501</v>
      </c>
      <c r="AI5413">
        <v>89.509446147561206</v>
      </c>
      <c r="AJ5413">
        <v>91.795104864361903</v>
      </c>
      <c r="AK5413">
        <v>405.33328885706999</v>
      </c>
      <c r="AL5413">
        <v>80.283408465025104</v>
      </c>
      <c r="AM5413">
        <v>91.518149784765598</v>
      </c>
      <c r="AN5413">
        <v>0.99999994392129898</v>
      </c>
    </row>
    <row r="5414" spans="1:40" x14ac:dyDescent="0.25">
      <c r="A5414" t="str">
        <f>"20190303162707932"</f>
        <v>20190303162707932</v>
      </c>
      <c r="B5414" t="str">
        <f>"1551601627919323"</f>
        <v>1551601627919323</v>
      </c>
      <c r="C5414" t="s">
        <v>40</v>
      </c>
      <c r="D5414">
        <v>4.68424</v>
      </c>
      <c r="E5414">
        <v>0.49836079999999999</v>
      </c>
      <c r="F5414" t="s">
        <v>72</v>
      </c>
      <c r="G5414">
        <v>-207.04650000000001</v>
      </c>
      <c r="H5414">
        <v>4.0368079999999997</v>
      </c>
      <c r="I5414">
        <v>391.87</v>
      </c>
      <c r="J5414">
        <v>-187.1249</v>
      </c>
      <c r="K5414">
        <v>1.1206799999999999</v>
      </c>
      <c r="L5414">
        <v>-12.68036</v>
      </c>
      <c r="M5414">
        <v>-1.8970750000000002E-2</v>
      </c>
      <c r="N5414">
        <v>-8.6419959999999903E-3</v>
      </c>
      <c r="O5414">
        <v>0.99978270000000002</v>
      </c>
      <c r="P5414">
        <v>-4.3584589999999999E-2</v>
      </c>
      <c r="Q5414">
        <v>0.15998319999999999</v>
      </c>
      <c r="R5414">
        <v>0.98615710000000001</v>
      </c>
      <c r="S5414">
        <v>-0.1492462</v>
      </c>
      <c r="T5414">
        <v>2.184057E-2</v>
      </c>
      <c r="U5414">
        <v>3.0320740000000002</v>
      </c>
      <c r="V5414">
        <v>-2.4883280000000001E-2</v>
      </c>
      <c r="W5414">
        <v>0.1685026</v>
      </c>
      <c r="X5414">
        <v>0.98538709999999996</v>
      </c>
      <c r="Y5414">
        <v>-3.019925E-2</v>
      </c>
      <c r="Z5414">
        <v>1.5832519999999999E-2</v>
      </c>
      <c r="AA5414">
        <v>0.99941849999999999</v>
      </c>
      <c r="AB5414">
        <v>27</v>
      </c>
      <c r="AC5414">
        <v>-19.921600000000002</v>
      </c>
      <c r="AD5414">
        <v>2.9161280000000001</v>
      </c>
      <c r="AE5414">
        <v>404.55036000000001</v>
      </c>
      <c r="AF5414">
        <v>-12.242469780726699</v>
      </c>
      <c r="AG5414">
        <v>2.9161280000000001</v>
      </c>
      <c r="AH5414">
        <v>404.83450887196301</v>
      </c>
      <c r="AI5414">
        <v>89.587479348142395</v>
      </c>
      <c r="AJ5414">
        <v>91.732135301239794</v>
      </c>
      <c r="AK5414">
        <v>405.03007473821998</v>
      </c>
      <c r="AL5414">
        <v>80.299231736862197</v>
      </c>
      <c r="AM5414">
        <v>91.446542169034302</v>
      </c>
      <c r="AN5414">
        <v>1.0000000203383601</v>
      </c>
    </row>
    <row r="5415" spans="1:40" x14ac:dyDescent="0.25">
      <c r="A5415" t="str">
        <f>"20190303162707955"</f>
        <v>20190303162707955</v>
      </c>
      <c r="B5415" t="str">
        <f>"1551601627949579"</f>
        <v>1551601627949579</v>
      </c>
      <c r="C5415" t="s">
        <v>40</v>
      </c>
      <c r="D5415">
        <v>4.7951079999999999</v>
      </c>
      <c r="E5415">
        <v>0.49838919999999998</v>
      </c>
      <c r="F5415" t="s">
        <v>72</v>
      </c>
      <c r="G5415">
        <v>-206.56139999999999</v>
      </c>
      <c r="H5415">
        <v>3.8038539999999998</v>
      </c>
      <c r="I5415">
        <v>391.87</v>
      </c>
      <c r="J5415">
        <v>-187.1301</v>
      </c>
      <c r="K5415">
        <v>1.120668</v>
      </c>
      <c r="L5415">
        <v>-12.40817</v>
      </c>
      <c r="M5415">
        <v>-1.903995E-2</v>
      </c>
      <c r="N5415">
        <v>-8.642594E-3</v>
      </c>
      <c r="O5415">
        <v>0.99978140000000004</v>
      </c>
      <c r="P5415">
        <v>-4.2216579999999997E-2</v>
      </c>
      <c r="Q5415">
        <v>0.16004640000000001</v>
      </c>
      <c r="R5415">
        <v>0.98620640000000004</v>
      </c>
      <c r="S5415">
        <v>-0.14569089999999901</v>
      </c>
      <c r="T5415">
        <v>2.0112399999999999E-2</v>
      </c>
      <c r="U5415">
        <v>3.03241</v>
      </c>
      <c r="V5415">
        <v>-2.344566E-2</v>
      </c>
      <c r="W5415">
        <v>0.16856750000000001</v>
      </c>
      <c r="X5415">
        <v>0.98541120000000004</v>
      </c>
      <c r="Y5415">
        <v>-2.8955970000000001E-2</v>
      </c>
      <c r="Z5415">
        <v>1.5263530000000001E-2</v>
      </c>
      <c r="AA5415">
        <v>0.99946420000000002</v>
      </c>
      <c r="AB5415">
        <v>27</v>
      </c>
      <c r="AC5415">
        <v>-19.4313</v>
      </c>
      <c r="AD5415">
        <v>2.6831860000000001</v>
      </c>
      <c r="AE5415">
        <v>404.27816999999999</v>
      </c>
      <c r="AF5415">
        <v>-11.729538415397499</v>
      </c>
      <c r="AG5415">
        <v>2.6831860000000001</v>
      </c>
      <c r="AH5415">
        <v>404.55708381108798</v>
      </c>
      <c r="AI5415">
        <v>89.620156432380597</v>
      </c>
      <c r="AJ5415">
        <v>91.660741719322999</v>
      </c>
      <c r="AK5415">
        <v>404.73598261123402</v>
      </c>
      <c r="AL5415">
        <v>80.295458756254007</v>
      </c>
      <c r="AM5415">
        <v>91.362968034135704</v>
      </c>
      <c r="AN5415">
        <v>0.99999996705726202</v>
      </c>
    </row>
    <row r="5416" spans="1:40" x14ac:dyDescent="0.25">
      <c r="A5416" t="str">
        <f>"20190303162707977"</f>
        <v>20190303162707977</v>
      </c>
      <c r="B5416" t="str">
        <f>"1551601627970075"</f>
        <v>1551601627970075</v>
      </c>
      <c r="C5416" t="s">
        <v>40</v>
      </c>
      <c r="D5416">
        <v>4.7262700000000004</v>
      </c>
      <c r="E5416">
        <v>0.52590700000000001</v>
      </c>
      <c r="F5416" t="s">
        <v>72</v>
      </c>
      <c r="G5416">
        <v>-206.0291</v>
      </c>
      <c r="H5416">
        <v>3.7447599999999999</v>
      </c>
      <c r="I5416">
        <v>391.87</v>
      </c>
      <c r="J5416">
        <v>-187.1354</v>
      </c>
      <c r="K5416">
        <v>1.120665</v>
      </c>
      <c r="L5416">
        <v>-12.13739</v>
      </c>
      <c r="M5416">
        <v>-1.911291E-2</v>
      </c>
      <c r="N5416">
        <v>-8.6442080000000004E-3</v>
      </c>
      <c r="O5416">
        <v>0.99977990000000005</v>
      </c>
      <c r="P5416">
        <v>-3.9967250000000003E-2</v>
      </c>
      <c r="Q5416">
        <v>0.1610762</v>
      </c>
      <c r="R5416">
        <v>0.98613240000000002</v>
      </c>
      <c r="S5416">
        <v>-0.14176939999999999</v>
      </c>
      <c r="T5416">
        <v>1.9684549999999999E-2</v>
      </c>
      <c r="U5416">
        <v>3.0326840000000002</v>
      </c>
      <c r="V5416">
        <v>-2.112671E-2</v>
      </c>
      <c r="W5416">
        <v>0.16959769999999999</v>
      </c>
      <c r="X5416">
        <v>0.98528689999999997</v>
      </c>
      <c r="Y5416">
        <v>-2.7589269999999999E-2</v>
      </c>
      <c r="Z5416">
        <v>1.512404E-2</v>
      </c>
      <c r="AA5416">
        <v>0.99950490000000003</v>
      </c>
      <c r="AB5416">
        <v>27</v>
      </c>
      <c r="AC5416">
        <v>-18.8936999999999</v>
      </c>
      <c r="AD5416">
        <v>2.6240950000000001</v>
      </c>
      <c r="AE5416">
        <v>404.00738999999999</v>
      </c>
      <c r="AF5416">
        <v>-11.1677324731361</v>
      </c>
      <c r="AG5416">
        <v>2.6240950000000001</v>
      </c>
      <c r="AH5416">
        <v>404.27769409912798</v>
      </c>
      <c r="AI5416">
        <v>89.628250259313901</v>
      </c>
      <c r="AJ5416">
        <v>91.582331316630203</v>
      </c>
      <c r="AK5416">
        <v>404.44042585932101</v>
      </c>
      <c r="AL5416">
        <v>80.235570649671999</v>
      </c>
      <c r="AM5416">
        <v>91.228358823547694</v>
      </c>
      <c r="AN5416">
        <v>0.999999996516162</v>
      </c>
    </row>
    <row r="5417" spans="1:40" x14ac:dyDescent="0.25">
      <c r="A5417" t="str">
        <f>"20190303162708001"</f>
        <v>20190303162708001</v>
      </c>
      <c r="B5417" t="str">
        <f>"1551601627989127"</f>
        <v>1551601627989127</v>
      </c>
      <c r="C5417" t="s">
        <v>40</v>
      </c>
      <c r="D5417">
        <v>4.6569799999999999</v>
      </c>
      <c r="E5417">
        <v>0.54103239999999997</v>
      </c>
      <c r="F5417" t="s">
        <v>41</v>
      </c>
      <c r="G5417">
        <v>-185.80080000000001</v>
      </c>
      <c r="H5417" s="1">
        <v>-3.71991E-6</v>
      </c>
      <c r="I5417">
        <v>36.56765</v>
      </c>
      <c r="J5417">
        <v>-187.14099999999999</v>
      </c>
      <c r="K5417">
        <v>1.120654</v>
      </c>
      <c r="L5417">
        <v>-11.84735</v>
      </c>
      <c r="M5417">
        <v>-1.919624E-2</v>
      </c>
      <c r="N5417">
        <v>-8.6467100000000002E-3</v>
      </c>
      <c r="O5417">
        <v>0.99977830000000001</v>
      </c>
      <c r="P5417">
        <v>-3.783255E-2</v>
      </c>
      <c r="Q5417">
        <v>0.16161310000000001</v>
      </c>
      <c r="R5417">
        <v>0.98612869999999997</v>
      </c>
      <c r="S5417">
        <v>8.3770750000000005E-2</v>
      </c>
      <c r="T5417">
        <v>-7.0340990000000006E-2</v>
      </c>
      <c r="U5417">
        <v>3.0570680000000001</v>
      </c>
      <c r="V5417">
        <v>-1.8911540000000001E-2</v>
      </c>
      <c r="W5417">
        <v>0.17013719999999999</v>
      </c>
      <c r="X5417">
        <v>0.98523890000000003</v>
      </c>
      <c r="Y5417">
        <v>4.6567570000000003E-2</v>
      </c>
      <c r="Z5417">
        <v>-1.433251E-2</v>
      </c>
      <c r="AA5417">
        <v>0.99881229999999999</v>
      </c>
      <c r="AB5417">
        <v>27</v>
      </c>
      <c r="AC5417">
        <v>1.3401999999999801</v>
      </c>
      <c r="AD5417">
        <v>-1.1206577199100001</v>
      </c>
      <c r="AE5417">
        <v>48.414999999999999</v>
      </c>
      <c r="AF5417">
        <v>2.2681594731887298</v>
      </c>
      <c r="AG5417">
        <v>-1.1206577199100001</v>
      </c>
      <c r="AH5417">
        <v>48.354462894582397</v>
      </c>
      <c r="AI5417">
        <v>91.326185370393503</v>
      </c>
      <c r="AJ5417">
        <v>87.314399320781007</v>
      </c>
      <c r="AK5417">
        <v>48.420599985383802</v>
      </c>
      <c r="AL5417">
        <v>80.204203768449702</v>
      </c>
      <c r="AM5417">
        <v>91.099650429698897</v>
      </c>
      <c r="AN5417">
        <v>1.0000000016211099</v>
      </c>
    </row>
    <row r="5418" spans="1:40" x14ac:dyDescent="0.25">
      <c r="A5418" t="str">
        <f>"20190303162708046"</f>
        <v>20190303162708046</v>
      </c>
      <c r="B5418" t="str">
        <f>"1551601628039878"</f>
        <v>1551601628039878</v>
      </c>
      <c r="C5418" t="s">
        <v>40</v>
      </c>
      <c r="D5418">
        <v>4.6760570000000001</v>
      </c>
      <c r="E5418">
        <v>0.54927269999999995</v>
      </c>
      <c r="F5418" t="s">
        <v>41</v>
      </c>
      <c r="G5418">
        <v>-182.8999</v>
      </c>
      <c r="H5418" s="1">
        <v>-1.9658490000000002E-6</v>
      </c>
      <c r="I5418">
        <v>49.873440000000002</v>
      </c>
      <c r="J5418">
        <v>-187.15170000000001</v>
      </c>
      <c r="K5418">
        <v>1.1206449999999999</v>
      </c>
      <c r="L5418">
        <v>-11.302580000000001</v>
      </c>
      <c r="M5418">
        <v>-1.9364220000000001E-2</v>
      </c>
      <c r="N5418">
        <v>-8.6532139999999994E-3</v>
      </c>
      <c r="O5418">
        <v>0.99977510000000003</v>
      </c>
      <c r="P5418">
        <v>-3.3656270000000002E-2</v>
      </c>
      <c r="Q5418">
        <v>0.16393840000000001</v>
      </c>
      <c r="R5418">
        <v>0.98589629999999995</v>
      </c>
      <c r="S5418">
        <v>0.2102203</v>
      </c>
      <c r="T5418">
        <v>-5.5548309999999997E-2</v>
      </c>
      <c r="U5418">
        <v>3.0593569999999999</v>
      </c>
      <c r="V5418">
        <v>-1.4576189999999999E-2</v>
      </c>
      <c r="W5418">
        <v>0.17246589999999901</v>
      </c>
      <c r="X5418">
        <v>0.98490759999999999</v>
      </c>
      <c r="Y5418">
        <v>8.7845569999999998E-2</v>
      </c>
      <c r="Z5418">
        <v>-9.4341249999999998E-3</v>
      </c>
      <c r="AA5418">
        <v>0.99608949999999996</v>
      </c>
      <c r="AB5418">
        <v>27</v>
      </c>
      <c r="AC5418">
        <v>4.2518000000000002</v>
      </c>
      <c r="AD5418">
        <v>-1.1206469658489999</v>
      </c>
      <c r="AE5418">
        <v>61.176019999999902</v>
      </c>
      <c r="AF5418">
        <v>5.4338582729264404</v>
      </c>
      <c r="AG5418">
        <v>-1.1206469658489999</v>
      </c>
      <c r="AH5418">
        <v>61.061820877876102</v>
      </c>
      <c r="AI5418">
        <v>91.047274403094406</v>
      </c>
      <c r="AJ5418">
        <v>84.914675243116804</v>
      </c>
      <c r="AK5418">
        <v>61.313364238754197</v>
      </c>
      <c r="AL5418">
        <v>80.068776911107193</v>
      </c>
      <c r="AM5418">
        <v>90.847889896173697</v>
      </c>
      <c r="AN5418">
        <v>0.99999996625774201</v>
      </c>
    </row>
    <row r="5419" spans="1:40" x14ac:dyDescent="0.25">
      <c r="A5419" t="str">
        <f>"20190303162708068"</f>
        <v>20190303162708068</v>
      </c>
      <c r="B5419" t="str">
        <f>"1551601628059398"</f>
        <v>1551601628059398</v>
      </c>
      <c r="C5419" t="s">
        <v>40</v>
      </c>
      <c r="D5419">
        <v>4.6122699999999996</v>
      </c>
      <c r="E5419">
        <v>0.54997229999999997</v>
      </c>
      <c r="F5419" t="s">
        <v>41</v>
      </c>
      <c r="G5419">
        <v>-182.7243</v>
      </c>
      <c r="H5419" s="1">
        <v>-4.0745340000000002E-6</v>
      </c>
      <c r="I5419">
        <v>35.932639999999999</v>
      </c>
      <c r="J5419">
        <v>-187.15710000000001</v>
      </c>
      <c r="K5419">
        <v>1.120641</v>
      </c>
      <c r="L5419">
        <v>-11.02646</v>
      </c>
      <c r="M5419">
        <v>-1.945204E-2</v>
      </c>
      <c r="N5419">
        <v>-8.6570699999999993E-3</v>
      </c>
      <c r="O5419">
        <v>0.99977329999999998</v>
      </c>
      <c r="P5419">
        <v>-3.2126670000000003E-2</v>
      </c>
      <c r="Q5419">
        <v>0.16529269999999999</v>
      </c>
      <c r="R5419">
        <v>0.98572119999999996</v>
      </c>
      <c r="S5419">
        <v>0.28726200000000002</v>
      </c>
      <c r="T5419">
        <v>-7.271242E-2</v>
      </c>
      <c r="U5419">
        <v>3.064819</v>
      </c>
      <c r="V5419">
        <v>-1.2964979999999999E-2</v>
      </c>
      <c r="W5419">
        <v>0.17382220000000001</v>
      </c>
      <c r="X5419">
        <v>0.98469169999999995</v>
      </c>
      <c r="Y5419">
        <v>0.11264390000000001</v>
      </c>
      <c r="Z5419">
        <v>-1.4920920000000001E-2</v>
      </c>
      <c r="AA5419">
        <v>0.99352339999999995</v>
      </c>
      <c r="AB5419">
        <v>27</v>
      </c>
      <c r="AC5419">
        <v>4.4328000000000101</v>
      </c>
      <c r="AD5419">
        <v>-1.120645074534</v>
      </c>
      <c r="AE5419">
        <v>46.959099999999999</v>
      </c>
      <c r="AF5419">
        <v>5.3424300825103801</v>
      </c>
      <c r="AG5419">
        <v>-1.120645074534</v>
      </c>
      <c r="AH5419">
        <v>46.8375454499241</v>
      </c>
      <c r="AI5419">
        <v>91.361782845604395</v>
      </c>
      <c r="AJ5419">
        <v>83.492795676673197</v>
      </c>
      <c r="AK5419">
        <v>47.154565721076203</v>
      </c>
      <c r="AL5419">
        <v>79.989875241554003</v>
      </c>
      <c r="AM5419">
        <v>90.754343429862999</v>
      </c>
      <c r="AN5419">
        <v>0.99999999598406497</v>
      </c>
    </row>
    <row r="5420" spans="1:40" x14ac:dyDescent="0.25">
      <c r="A5420" t="str">
        <f>"20190303162708089"</f>
        <v>20190303162708089</v>
      </c>
      <c r="B5420" t="str">
        <f>"1551601628079895"</f>
        <v>1551601628079895</v>
      </c>
      <c r="C5420" t="s">
        <v>40</v>
      </c>
      <c r="D5420">
        <v>4.6728050000000003</v>
      </c>
      <c r="E5420">
        <v>0.55058409999999902</v>
      </c>
      <c r="F5420" t="s">
        <v>41</v>
      </c>
      <c r="G5420">
        <v>-182.733</v>
      </c>
      <c r="H5420" s="1">
        <v>-3.6350389999999999E-6</v>
      </c>
      <c r="I5420">
        <v>34.647930000000002</v>
      </c>
      <c r="J5420">
        <v>-187.16239999999999</v>
      </c>
      <c r="K5420">
        <v>1.120636</v>
      </c>
      <c r="L5420">
        <v>-10.75638</v>
      </c>
      <c r="M5420">
        <v>-1.954036E-2</v>
      </c>
      <c r="N5420">
        <v>-8.6609630000000007E-3</v>
      </c>
      <c r="O5420">
        <v>0.99977150000000004</v>
      </c>
      <c r="P5420">
        <v>-3.0528909999999999E-2</v>
      </c>
      <c r="Q5420">
        <v>0.16476499999999999</v>
      </c>
      <c r="R5420">
        <v>0.98586030000000002</v>
      </c>
      <c r="S5420">
        <v>0.29695129999999997</v>
      </c>
      <c r="T5420">
        <v>-7.5219389999999997E-2</v>
      </c>
      <c r="U5420">
        <v>3.0657350000000001</v>
      </c>
      <c r="V5420">
        <v>-1.127803E-2</v>
      </c>
      <c r="W5420">
        <v>0.1732995</v>
      </c>
      <c r="X5420">
        <v>0.98480460000000003</v>
      </c>
      <c r="Y5420">
        <v>0.11581329999999999</v>
      </c>
      <c r="Z5420">
        <v>-1.5714099999999901E-2</v>
      </c>
      <c r="AA5420">
        <v>0.99314669999999905</v>
      </c>
      <c r="AB5420">
        <v>28</v>
      </c>
      <c r="AC5420">
        <v>4.4293999999999798</v>
      </c>
      <c r="AD5420">
        <v>-1.120639635039</v>
      </c>
      <c r="AE5420">
        <v>45.404309999999903</v>
      </c>
      <c r="AF5420">
        <v>5.3125983547096602</v>
      </c>
      <c r="AG5420">
        <v>-1.120639635039</v>
      </c>
      <c r="AH5420">
        <v>45.2817607305062</v>
      </c>
      <c r="AI5420">
        <v>91.408021484318994</v>
      </c>
      <c r="AJ5420">
        <v>83.308469692204298</v>
      </c>
      <c r="AK5420">
        <v>45.6061113155342</v>
      </c>
      <c r="AL5420">
        <v>80.020285369750297</v>
      </c>
      <c r="AM5420">
        <v>90.656125360890101</v>
      </c>
      <c r="AN5420">
        <v>1.0000000054210401</v>
      </c>
    </row>
    <row r="5421" spans="1:40" x14ac:dyDescent="0.25">
      <c r="A5421" t="str">
        <f>"20190303162708112"</f>
        <v>20190303162708112</v>
      </c>
      <c r="B5421" t="str">
        <f>"1551601628099700"</f>
        <v>1551601628099700</v>
      </c>
      <c r="C5421" t="s">
        <v>40</v>
      </c>
      <c r="D5421">
        <v>4.6471080000000002</v>
      </c>
      <c r="E5421">
        <v>0.55070929999999996</v>
      </c>
      <c r="F5421" t="s">
        <v>41</v>
      </c>
      <c r="G5421">
        <v>-182.96629999999999</v>
      </c>
      <c r="H5421" s="1">
        <v>-2.392585E-6</v>
      </c>
      <c r="I5421">
        <v>31.179320000000001</v>
      </c>
      <c r="J5421">
        <v>-187.1679</v>
      </c>
      <c r="K5421">
        <v>1.120636</v>
      </c>
      <c r="L5421">
        <v>-10.47903</v>
      </c>
      <c r="M5421">
        <v>-1.9638739999999998E-2</v>
      </c>
      <c r="N5421">
        <v>-8.6651760000000001E-3</v>
      </c>
      <c r="O5421">
        <v>0.99976960000000004</v>
      </c>
      <c r="P5421">
        <v>-2.912855E-2</v>
      </c>
      <c r="Q5421">
        <v>0.16282070000000001</v>
      </c>
      <c r="R5421">
        <v>0.98622560000000004</v>
      </c>
      <c r="S5421">
        <v>0.30680849999999998</v>
      </c>
      <c r="T5421">
        <v>-8.1938029999999995E-2</v>
      </c>
      <c r="U5421">
        <v>3.0662229999999999</v>
      </c>
      <c r="V5421">
        <v>-9.7758689999999995E-3</v>
      </c>
      <c r="W5421">
        <v>0.1713624</v>
      </c>
      <c r="X5421">
        <v>0.98515960000000002</v>
      </c>
      <c r="Y5421">
        <v>0.1190522</v>
      </c>
      <c r="Z5421">
        <v>-1.787271E-2</v>
      </c>
      <c r="AA5421">
        <v>0.99272709999999997</v>
      </c>
      <c r="AB5421">
        <v>28</v>
      </c>
      <c r="AC5421">
        <v>4.2016000000000098</v>
      </c>
      <c r="AD5421">
        <v>-1.1206383925850001</v>
      </c>
      <c r="AE5421">
        <v>41.658349999999999</v>
      </c>
      <c r="AF5421">
        <v>5.0153450444486598</v>
      </c>
      <c r="AG5421">
        <v>-1.1206383925850001</v>
      </c>
      <c r="AH5421">
        <v>41.538041803368202</v>
      </c>
      <c r="AI5421">
        <v>91.5342477188332</v>
      </c>
      <c r="AJ5421">
        <v>83.115376319823795</v>
      </c>
      <c r="AK5421">
        <v>41.854730117158503</v>
      </c>
      <c r="AL5421">
        <v>80.132959068025002</v>
      </c>
      <c r="AM5421">
        <v>90.568534937134601</v>
      </c>
      <c r="AN5421">
        <v>1.0000000386103101</v>
      </c>
    </row>
    <row r="5422" spans="1:40" x14ac:dyDescent="0.25">
      <c r="A5422" t="str">
        <f>"20190303162708134"</f>
        <v>20190303162708134</v>
      </c>
      <c r="B5422" t="str">
        <f>"1551601628129957"</f>
        <v>1551601628129957</v>
      </c>
      <c r="C5422" t="s">
        <v>40</v>
      </c>
      <c r="D5422">
        <v>4.6865560000000004</v>
      </c>
      <c r="E5422">
        <v>0.55076219999999998</v>
      </c>
      <c r="F5422" t="s">
        <v>41</v>
      </c>
      <c r="G5422">
        <v>-183.40270000000001</v>
      </c>
      <c r="H5422" s="1">
        <v>-4.1234920000000002E-6</v>
      </c>
      <c r="I5422">
        <v>26.516839999999998</v>
      </c>
      <c r="J5422">
        <v>-187.17349999999999</v>
      </c>
      <c r="K5422">
        <v>1.1206449999999999</v>
      </c>
      <c r="L5422">
        <v>-10.201779999999999</v>
      </c>
      <c r="M5422">
        <v>-1.9749599999999999E-2</v>
      </c>
      <c r="N5422">
        <v>-8.6696159999999998E-3</v>
      </c>
      <c r="O5422">
        <v>0.99976739999999997</v>
      </c>
      <c r="P5422">
        <v>-2.8129339999999999E-2</v>
      </c>
      <c r="Q5422">
        <v>0.16220479999999901</v>
      </c>
      <c r="R5422">
        <v>0.98635609999999996</v>
      </c>
      <c r="S5422">
        <v>0.31208799999999998</v>
      </c>
      <c r="T5422">
        <v>-9.2886209999999997E-2</v>
      </c>
      <c r="U5422">
        <v>3.0664669999999998</v>
      </c>
      <c r="V5422">
        <v>-8.6686290000000006E-3</v>
      </c>
      <c r="W5422">
        <v>0.17075219999999999</v>
      </c>
      <c r="X5422">
        <v>0.98527589999999998</v>
      </c>
      <c r="Y5422">
        <v>0.120837</v>
      </c>
      <c r="Z5422">
        <v>-2.140417E-2</v>
      </c>
      <c r="AA5422">
        <v>0.99244160000000003</v>
      </c>
      <c r="AB5422">
        <v>28</v>
      </c>
      <c r="AC5422">
        <v>3.7707999999999799</v>
      </c>
      <c r="AD5422">
        <v>-1.120649123492</v>
      </c>
      <c r="AE5422">
        <v>36.718620000000001</v>
      </c>
      <c r="AF5422">
        <v>4.4911300947077901</v>
      </c>
      <c r="AG5422">
        <v>-1.120649123492</v>
      </c>
      <c r="AH5422">
        <v>36.603244355764602</v>
      </c>
      <c r="AI5422">
        <v>91.740581467072602</v>
      </c>
      <c r="AJ5422">
        <v>83.004908759505497</v>
      </c>
      <c r="AK5422">
        <v>36.894763874476602</v>
      </c>
      <c r="AL5422">
        <v>80.168443865667598</v>
      </c>
      <c r="AM5422">
        <v>90.504085242438094</v>
      </c>
      <c r="AN5422">
        <v>1.00000002902719</v>
      </c>
    </row>
    <row r="5423" spans="1:40" x14ac:dyDescent="0.25">
      <c r="A5423" t="str">
        <f>"20190303162708178"</f>
        <v>20190303162708178</v>
      </c>
      <c r="B5423" t="str">
        <f>"1551601628169973"</f>
        <v>1551601628169973</v>
      </c>
      <c r="C5423" t="s">
        <v>40</v>
      </c>
      <c r="D5423">
        <v>4.6535289999999998</v>
      </c>
      <c r="E5423">
        <v>0.55087609999999998</v>
      </c>
      <c r="F5423" t="s">
        <v>41</v>
      </c>
      <c r="G5423">
        <v>-183.601</v>
      </c>
      <c r="H5423" s="1">
        <v>-3.3316049999999999E-6</v>
      </c>
      <c r="I5423">
        <v>24.43496</v>
      </c>
      <c r="J5423">
        <v>-187.18450000000001</v>
      </c>
      <c r="K5423">
        <v>1.1206830000000001</v>
      </c>
      <c r="L5423">
        <v>-9.6597600000000003</v>
      </c>
      <c r="M5423">
        <v>-2.0006289999999999E-2</v>
      </c>
      <c r="N5423">
        <v>-8.6788669999999998E-3</v>
      </c>
      <c r="O5423">
        <v>0.99976220000000005</v>
      </c>
      <c r="P5423">
        <v>-2.7043089999999999E-2</v>
      </c>
      <c r="Q5423">
        <v>0.16521910000000001</v>
      </c>
      <c r="R5423">
        <v>0.98588600000000004</v>
      </c>
      <c r="S5423">
        <v>0.3163147</v>
      </c>
      <c r="T5423">
        <v>-9.9225279999999999E-2</v>
      </c>
      <c r="U5423">
        <v>3.0668329999999999</v>
      </c>
      <c r="V5423">
        <v>-7.3496669999999998E-3</v>
      </c>
      <c r="W5423">
        <v>0.17377100000000001</v>
      </c>
      <c r="X5423">
        <v>0.98475869999999999</v>
      </c>
      <c r="Y5423">
        <v>0.1224273</v>
      </c>
      <c r="Z5423">
        <v>-2.3436450000000001E-2</v>
      </c>
      <c r="AA5423">
        <v>0.99220070000000005</v>
      </c>
      <c r="AB5423">
        <v>28</v>
      </c>
      <c r="AC5423">
        <v>3.5835000000000101</v>
      </c>
      <c r="AD5423">
        <v>-1.120686331605</v>
      </c>
      <c r="AE5423">
        <v>34.094720000000002</v>
      </c>
      <c r="AF5423">
        <v>4.2603645558309999</v>
      </c>
      <c r="AG5423">
        <v>-1.120686331605</v>
      </c>
      <c r="AH5423">
        <v>33.979888800543399</v>
      </c>
      <c r="AI5423">
        <v>91.874316021836506</v>
      </c>
      <c r="AJ5423">
        <v>82.853603498086898</v>
      </c>
      <c r="AK5423">
        <v>34.2642596140603</v>
      </c>
      <c r="AL5423">
        <v>79.992854540424702</v>
      </c>
      <c r="AM5423">
        <v>90.427614481907995</v>
      </c>
      <c r="AN5423">
        <v>1.00000003763584</v>
      </c>
    </row>
    <row r="5424" spans="1:40" x14ac:dyDescent="0.25">
      <c r="A5424" t="str">
        <f>"20190303162708201"</f>
        <v>20190303162708201</v>
      </c>
      <c r="B5424" t="str">
        <f>"1551601628190002"</f>
        <v>1551601628190002</v>
      </c>
      <c r="C5424" t="s">
        <v>40</v>
      </c>
      <c r="D5424">
        <v>4.6844150000000004</v>
      </c>
      <c r="E5424">
        <v>0.55073799999999995</v>
      </c>
      <c r="F5424" t="s">
        <v>41</v>
      </c>
      <c r="G5424">
        <v>-183.2681</v>
      </c>
      <c r="H5424" s="1">
        <v>-4.6810599999999997E-6</v>
      </c>
      <c r="I5424">
        <v>27.760909999999999</v>
      </c>
      <c r="J5424">
        <v>-187.1902</v>
      </c>
      <c r="K5424">
        <v>1.1207</v>
      </c>
      <c r="L5424">
        <v>-9.3797610000000002</v>
      </c>
      <c r="M5424">
        <v>-2.0159050000000001E-2</v>
      </c>
      <c r="N5424">
        <v>-8.6837900000000003E-3</v>
      </c>
      <c r="O5424">
        <v>0.99975910000000001</v>
      </c>
      <c r="P5424">
        <v>-2.6930300000000001E-2</v>
      </c>
      <c r="Q5424">
        <v>0.16744000000000001</v>
      </c>
      <c r="R5424">
        <v>0.98551440000000001</v>
      </c>
      <c r="S5424">
        <v>0.32099909999999998</v>
      </c>
      <c r="T5424">
        <v>-9.1855759999999995E-2</v>
      </c>
      <c r="U5424">
        <v>3.0671390000000001</v>
      </c>
      <c r="V5424">
        <v>-7.0988880000000002E-3</v>
      </c>
      <c r="W5424">
        <v>0.17599310000000001</v>
      </c>
      <c r="X5424">
        <v>0.98436579999999996</v>
      </c>
      <c r="Y5424">
        <v>0.1240744</v>
      </c>
      <c r="Z5424">
        <v>-2.103886E-2</v>
      </c>
      <c r="AA5424">
        <v>0.99204990000000004</v>
      </c>
      <c r="AB5424">
        <v>28</v>
      </c>
      <c r="AC5424">
        <v>3.9220999999999999</v>
      </c>
      <c r="AD5424">
        <v>-1.1207046810600001</v>
      </c>
      <c r="AE5424">
        <v>37.140670999999998</v>
      </c>
      <c r="AF5424">
        <v>4.6658503356228103</v>
      </c>
      <c r="AG5424">
        <v>-1.1207046810600001</v>
      </c>
      <c r="AH5424">
        <v>37.020718283766499</v>
      </c>
      <c r="AI5424">
        <v>91.720347908447707</v>
      </c>
      <c r="AJ5424">
        <v>82.816687453123507</v>
      </c>
      <c r="AK5424">
        <v>37.330412810235401</v>
      </c>
      <c r="AL5424">
        <v>79.863544404658896</v>
      </c>
      <c r="AM5424">
        <v>90.413189152565394</v>
      </c>
      <c r="AN5424">
        <v>0.99999999683404295</v>
      </c>
    </row>
    <row r="5425" spans="1:40" x14ac:dyDescent="0.25">
      <c r="A5425" t="str">
        <f>"20190303162708227"</f>
        <v>20190303162708227</v>
      </c>
      <c r="B5425" t="str">
        <f>"1551601628219280"</f>
        <v>1551601628219280</v>
      </c>
      <c r="C5425" t="s">
        <v>40</v>
      </c>
      <c r="D5425">
        <v>4.7154069999999999</v>
      </c>
      <c r="E5425">
        <v>0.53701069999999995</v>
      </c>
      <c r="F5425" t="s">
        <v>41</v>
      </c>
      <c r="G5425">
        <v>-183.13800000000001</v>
      </c>
      <c r="H5425" s="1">
        <v>-5.4469429999999996E-6</v>
      </c>
      <c r="I5425">
        <v>29.4924</v>
      </c>
      <c r="J5425">
        <v>-187.19669999999999</v>
      </c>
      <c r="K5425">
        <v>1.1207100000000001</v>
      </c>
      <c r="L5425">
        <v>-9.065887</v>
      </c>
      <c r="M5425">
        <v>-2.0346699999999999E-2</v>
      </c>
      <c r="N5425">
        <v>-8.6894369999999995E-3</v>
      </c>
      <c r="O5425">
        <v>0.99975519999999996</v>
      </c>
      <c r="P5425">
        <v>-2.7085910000000001E-2</v>
      </c>
      <c r="Q5425">
        <v>0.16813979999999901</v>
      </c>
      <c r="R5425">
        <v>0.98539100000000002</v>
      </c>
      <c r="S5425">
        <v>0.31980900000000001</v>
      </c>
      <c r="T5425">
        <v>-8.8448410000000005E-2</v>
      </c>
      <c r="U5425">
        <v>3.0678709999999998</v>
      </c>
      <c r="V5425">
        <v>-7.0763889999999998E-3</v>
      </c>
      <c r="W5425">
        <v>0.1766971</v>
      </c>
      <c r="X5425">
        <v>0.9842398</v>
      </c>
      <c r="Y5425">
        <v>0.12385839999999899</v>
      </c>
      <c r="Z5425">
        <v>-1.992507E-2</v>
      </c>
      <c r="AA5425">
        <v>0.99209979999999998</v>
      </c>
      <c r="AB5425">
        <v>28</v>
      </c>
      <c r="AC5425">
        <v>4.0586999999999804</v>
      </c>
      <c r="AD5425">
        <v>-1.1207154469429901</v>
      </c>
      <c r="AE5425">
        <v>38.558287</v>
      </c>
      <c r="AF5425">
        <v>4.8383805750779798</v>
      </c>
      <c r="AG5425">
        <v>-1.1207154469429901</v>
      </c>
      <c r="AH5425">
        <v>38.435605291004798</v>
      </c>
      <c r="AI5425">
        <v>91.657101503183</v>
      </c>
      <c r="AJ5425">
        <v>82.825188049045806</v>
      </c>
      <c r="AK5425">
        <v>38.755150416276599</v>
      </c>
      <c r="AL5425">
        <v>79.8225656208446</v>
      </c>
      <c r="AM5425">
        <v>90.411932374622694</v>
      </c>
      <c r="AN5425">
        <v>0.99999996216686404</v>
      </c>
    </row>
    <row r="5426" spans="1:40" x14ac:dyDescent="0.25">
      <c r="A5426" t="str">
        <f>"20190303162708249"</f>
        <v>20190303162708249</v>
      </c>
      <c r="B5426" t="str">
        <f>"1551601628239776"</f>
        <v>1551601628239776</v>
      </c>
      <c r="C5426" t="s">
        <v>40</v>
      </c>
      <c r="D5426">
        <v>4.6830660000000002</v>
      </c>
      <c r="E5426">
        <v>0.53391180000000005</v>
      </c>
      <c r="F5426" t="s">
        <v>42</v>
      </c>
      <c r="G5426">
        <v>-187.1379</v>
      </c>
      <c r="H5426">
        <v>0.96077120000000005</v>
      </c>
      <c r="I5426">
        <v>-8.1717460000000006</v>
      </c>
      <c r="J5426">
        <v>-187.2029</v>
      </c>
      <c r="K5426">
        <v>1.1207149999999999</v>
      </c>
      <c r="L5426">
        <v>-8.7742609999999992</v>
      </c>
      <c r="M5426">
        <v>-2.0532330000000001E-2</v>
      </c>
      <c r="N5426">
        <v>-8.6949090000000007E-3</v>
      </c>
      <c r="O5426">
        <v>0.99975139999999996</v>
      </c>
      <c r="P5426">
        <v>-2.763935E-2</v>
      </c>
      <c r="Q5426">
        <v>0.16935349999999999</v>
      </c>
      <c r="R5426">
        <v>0.98516769999999998</v>
      </c>
      <c r="S5426">
        <v>0.20645140000000001</v>
      </c>
      <c r="T5426">
        <v>-0.56276199999999998</v>
      </c>
      <c r="U5426">
        <v>3.1461790000000001</v>
      </c>
      <c r="V5426">
        <v>-7.4548779999999999E-3</v>
      </c>
      <c r="W5426">
        <v>0.1779145</v>
      </c>
      <c r="X5426">
        <v>0.9840177</v>
      </c>
      <c r="Y5426">
        <v>8.4965070000000004E-2</v>
      </c>
      <c r="Z5426">
        <v>-0.16694790000000001</v>
      </c>
      <c r="AA5426">
        <v>0.982298</v>
      </c>
      <c r="AB5426">
        <v>28</v>
      </c>
      <c r="AC5426">
        <v>6.4999999999997699E-2</v>
      </c>
      <c r="AD5426">
        <v>-0.159943799999999</v>
      </c>
      <c r="AE5426">
        <v>0.60251499999999802</v>
      </c>
      <c r="AF5426">
        <v>7.2320094724551406E-2</v>
      </c>
      <c r="AG5426">
        <v>-0.159943799999999</v>
      </c>
      <c r="AH5426">
        <v>0.56191144137700499</v>
      </c>
      <c r="AI5426">
        <v>105.765102921313</v>
      </c>
      <c r="AJ5426">
        <v>82.666136792838998</v>
      </c>
      <c r="AK5426">
        <v>0.58869065153932199</v>
      </c>
      <c r="AL5426">
        <v>79.751691056769005</v>
      </c>
      <c r="AM5426">
        <v>90.434062186764194</v>
      </c>
      <c r="AN5426">
        <v>0.99999998921476696</v>
      </c>
    </row>
    <row r="5427" spans="1:40" x14ac:dyDescent="0.25">
      <c r="A5427" t="str">
        <f>"20190303162708269"</f>
        <v>20190303162708269</v>
      </c>
      <c r="B5427" t="str">
        <f>"1551601628259296"</f>
        <v>1551601628259296</v>
      </c>
      <c r="C5427" t="s">
        <v>40</v>
      </c>
      <c r="D5427">
        <v>4.7549199999999896</v>
      </c>
      <c r="E5427">
        <v>0.53354219999999997</v>
      </c>
      <c r="F5427" t="s">
        <v>42</v>
      </c>
      <c r="G5427">
        <v>-187.15559999999999</v>
      </c>
      <c r="H5427">
        <v>0.93650290000000003</v>
      </c>
      <c r="I5427">
        <v>-7.9330119999999997</v>
      </c>
      <c r="J5427">
        <v>-187.2081</v>
      </c>
      <c r="K5427">
        <v>1.1207210000000001</v>
      </c>
      <c r="L5427">
        <v>-8.5258479999999999</v>
      </c>
      <c r="M5427">
        <v>-2.0695419999999999E-2</v>
      </c>
      <c r="N5427">
        <v>-8.6995939999999997E-3</v>
      </c>
      <c r="O5427">
        <v>0.99974799999999997</v>
      </c>
      <c r="P5427">
        <v>-2.8179869999999999E-2</v>
      </c>
      <c r="Q5427">
        <v>0.170489</v>
      </c>
      <c r="R5427">
        <v>0.98495659999999896</v>
      </c>
      <c r="S5427">
        <v>0.17807010000000001</v>
      </c>
      <c r="T5427">
        <v>-0.69402989999999998</v>
      </c>
      <c r="U5427">
        <v>3.1694640000000001</v>
      </c>
      <c r="V5427">
        <v>-7.8408060000000005E-3</v>
      </c>
      <c r="W5427">
        <v>0.17905270000000001</v>
      </c>
      <c r="X5427">
        <v>0.98380820000000002</v>
      </c>
      <c r="Y5427">
        <v>7.5480560000000002E-2</v>
      </c>
      <c r="Z5427">
        <v>-0.20485909999999999</v>
      </c>
      <c r="AA5427">
        <v>0.97587670000000004</v>
      </c>
      <c r="AB5427">
        <v>28</v>
      </c>
      <c r="AC5427">
        <v>5.2500000000008998E-2</v>
      </c>
      <c r="AD5427">
        <v>-0.184218099999999</v>
      </c>
      <c r="AE5427">
        <v>0.59283600000000003</v>
      </c>
      <c r="AF5427">
        <v>5.90962972518356E-2</v>
      </c>
      <c r="AG5427">
        <v>-0.184218099999999</v>
      </c>
      <c r="AH5427">
        <v>0.53989598930353899</v>
      </c>
      <c r="AI5427">
        <v>108.73613888012601</v>
      </c>
      <c r="AJ5427">
        <v>83.753348394951999</v>
      </c>
      <c r="AK5427">
        <v>0.57351230150933497</v>
      </c>
      <c r="AL5427">
        <v>79.685412463463805</v>
      </c>
      <c r="AM5427">
        <v>90.456629229503406</v>
      </c>
      <c r="AN5427">
        <v>0.99999996100162902</v>
      </c>
    </row>
    <row r="5428" spans="1:40" x14ac:dyDescent="0.25">
      <c r="A5428" t="str">
        <f>"20190303162708313"</f>
        <v>20190303162708313</v>
      </c>
      <c r="B5428" t="str">
        <f>"1551601628310047"</f>
        <v>1551601628310047</v>
      </c>
      <c r="C5428" t="s">
        <v>40</v>
      </c>
      <c r="D5428">
        <v>4.7762060000000002</v>
      </c>
      <c r="E5428">
        <v>0.53293009999999996</v>
      </c>
      <c r="F5428" t="s">
        <v>42</v>
      </c>
      <c r="G5428">
        <v>-187.16239999999999</v>
      </c>
      <c r="H5428">
        <v>0.92627680000000001</v>
      </c>
      <c r="I5428">
        <v>-7.6866399999999997</v>
      </c>
      <c r="J5428">
        <v>-187.22</v>
      </c>
      <c r="K5428">
        <v>1.1207180000000001</v>
      </c>
      <c r="L5428">
        <v>-7.9729000000000001</v>
      </c>
      <c r="M5428">
        <v>-2.106444E-2</v>
      </c>
      <c r="N5428">
        <v>-8.7100839999999999E-3</v>
      </c>
      <c r="O5428">
        <v>0.99974019999999997</v>
      </c>
      <c r="P5428">
        <v>-2.9733039999999999E-2</v>
      </c>
      <c r="Q5428">
        <v>0.16887149999999901</v>
      </c>
      <c r="R5428">
        <v>0.98518950000000005</v>
      </c>
      <c r="S5428">
        <v>0.17279050000000001</v>
      </c>
      <c r="T5428">
        <v>-0.73639069999999995</v>
      </c>
      <c r="U5428">
        <v>3.178223</v>
      </c>
      <c r="V5428">
        <v>-9.0270469999999998E-3</v>
      </c>
      <c r="W5428">
        <v>0.1774471</v>
      </c>
      <c r="X5428">
        <v>0.98408899999999999</v>
      </c>
      <c r="Y5428">
        <v>7.3940580000000006E-2</v>
      </c>
      <c r="Z5428">
        <v>-0.2166778</v>
      </c>
      <c r="AA5428">
        <v>0.97343900000000005</v>
      </c>
      <c r="AB5428">
        <v>28</v>
      </c>
      <c r="AC5428">
        <v>5.7600000000007798E-2</v>
      </c>
      <c r="AD5428">
        <v>-0.19444120000000001</v>
      </c>
      <c r="AE5428">
        <v>0.28626000000000001</v>
      </c>
      <c r="AF5428">
        <v>4.4073948559823599E-2</v>
      </c>
      <c r="AG5428">
        <v>-0.19444120000000001</v>
      </c>
      <c r="AH5428">
        <v>0.19743561595737499</v>
      </c>
      <c r="AI5428">
        <v>133.86589549421299</v>
      </c>
      <c r="AJ5428">
        <v>77.416070410717197</v>
      </c>
      <c r="AK5428">
        <v>0.28058994217106598</v>
      </c>
      <c r="AL5428">
        <v>79.778904849527095</v>
      </c>
      <c r="AM5428">
        <v>90.525559363595804</v>
      </c>
      <c r="AN5428">
        <v>1.00000006039847</v>
      </c>
    </row>
    <row r="5429" spans="1:40" x14ac:dyDescent="0.25">
      <c r="A5429" t="str">
        <f>"20190303162708334"</f>
        <v>20190303162708334</v>
      </c>
      <c r="B5429" t="str">
        <f>"1551601628329568"</f>
        <v>1551601628329568</v>
      </c>
      <c r="C5429" t="s">
        <v>40</v>
      </c>
      <c r="D5429">
        <v>4.7602699999999896</v>
      </c>
      <c r="E5429">
        <v>0.53305429999999998</v>
      </c>
      <c r="F5429" t="s">
        <v>42</v>
      </c>
      <c r="G5429">
        <v>-187.18020000000001</v>
      </c>
      <c r="H5429">
        <v>0.92877600000000005</v>
      </c>
      <c r="I5429">
        <v>-7.1812589999999998</v>
      </c>
      <c r="J5429">
        <v>-187.22579999999999</v>
      </c>
      <c r="K5429">
        <v>1.120714</v>
      </c>
      <c r="L5429">
        <v>-7.7030029999999998</v>
      </c>
      <c r="M5429">
        <v>-2.1244430000000002E-2</v>
      </c>
      <c r="N5429">
        <v>-8.7153089999999992E-3</v>
      </c>
      <c r="O5429">
        <v>0.99973630000000002</v>
      </c>
      <c r="P5429">
        <v>-2.95307E-2</v>
      </c>
      <c r="Q5429">
        <v>0.1686329</v>
      </c>
      <c r="R5429">
        <v>0.98523649999999996</v>
      </c>
      <c r="S5429">
        <v>0.15925599999999901</v>
      </c>
      <c r="T5429">
        <v>-0.77154209999999901</v>
      </c>
      <c r="U5429">
        <v>3.182159</v>
      </c>
      <c r="V5429">
        <v>-8.6468529999999995E-3</v>
      </c>
      <c r="W5429">
        <v>0.17721389999999901</v>
      </c>
      <c r="X5429">
        <v>0.98413439999999996</v>
      </c>
      <c r="Y5429">
        <v>6.9812949999999999E-2</v>
      </c>
      <c r="Z5429">
        <v>-0.22664110000000001</v>
      </c>
      <c r="AA5429">
        <v>0.97147309999999998</v>
      </c>
      <c r="AB5429">
        <v>28</v>
      </c>
      <c r="AC5429">
        <v>4.55999999999789E-2</v>
      </c>
      <c r="AD5429">
        <v>-0.191937999999999</v>
      </c>
      <c r="AE5429">
        <v>0.52174399999999999</v>
      </c>
      <c r="AF5429">
        <v>4.9963747101289598E-2</v>
      </c>
      <c r="AG5429">
        <v>-0.191937999999999</v>
      </c>
      <c r="AH5429">
        <v>0.45900885078963599</v>
      </c>
      <c r="AI5429">
        <v>112.572754606299</v>
      </c>
      <c r="AJ5429">
        <v>83.787733853240198</v>
      </c>
      <c r="AK5429">
        <v>0.50002569631132399</v>
      </c>
      <c r="AL5429">
        <v>79.792481037801295</v>
      </c>
      <c r="AM5429">
        <v>90.503402212984994</v>
      </c>
      <c r="AN5429">
        <v>1.0000000258416799</v>
      </c>
    </row>
    <row r="5430" spans="1:40" x14ac:dyDescent="0.25">
      <c r="A5430" t="str">
        <f>"20190303162708357"</f>
        <v>20190303162708357</v>
      </c>
      <c r="B5430" t="str">
        <f>"1551601628350064"</f>
        <v>1551601628350064</v>
      </c>
      <c r="C5430" t="s">
        <v>40</v>
      </c>
      <c r="D5430">
        <v>4.8214329999999999</v>
      </c>
      <c r="E5430">
        <v>0.53321759999999996</v>
      </c>
      <c r="F5430" t="s">
        <v>42</v>
      </c>
      <c r="G5430">
        <v>-187.18690000000001</v>
      </c>
      <c r="H5430">
        <v>0.93249439999999995</v>
      </c>
      <c r="I5430">
        <v>-6.9266809999999897</v>
      </c>
      <c r="J5430">
        <v>-187.23220000000001</v>
      </c>
      <c r="K5430">
        <v>1.120716</v>
      </c>
      <c r="L5430">
        <v>-7.4112850000000003</v>
      </c>
      <c r="M5430">
        <v>-2.1437950000000001E-2</v>
      </c>
      <c r="N5430">
        <v>-8.7210629999999994E-3</v>
      </c>
      <c r="O5430">
        <v>0.99973210000000001</v>
      </c>
      <c r="P5430">
        <v>-2.9020770000000001E-2</v>
      </c>
      <c r="Q5430">
        <v>0.1678608</v>
      </c>
      <c r="R5430">
        <v>0.98538349999999997</v>
      </c>
      <c r="S5430">
        <v>0.15937809999999999</v>
      </c>
      <c r="T5430">
        <v>-0.77141759999999904</v>
      </c>
      <c r="U5430">
        <v>3.1817630000000001</v>
      </c>
      <c r="V5430">
        <v>-7.9426459999999994E-3</v>
      </c>
      <c r="W5430">
        <v>0.17644889999999999</v>
      </c>
      <c r="X5430">
        <v>0.98427779999999998</v>
      </c>
      <c r="Y5430">
        <v>7.0049139999999996E-2</v>
      </c>
      <c r="Z5430">
        <v>-0.22662360000000001</v>
      </c>
      <c r="AA5430">
        <v>0.9714602</v>
      </c>
      <c r="AB5430">
        <v>28</v>
      </c>
      <c r="AC5430">
        <v>4.5299999999997398E-2</v>
      </c>
      <c r="AD5430">
        <v>-0.18822159999999999</v>
      </c>
      <c r="AE5430">
        <v>0.48460399999999998</v>
      </c>
      <c r="AF5430">
        <v>4.8435387346382502E-2</v>
      </c>
      <c r="AG5430">
        <v>-0.18822159999999999</v>
      </c>
      <c r="AH5430">
        <v>0.420618013744743</v>
      </c>
      <c r="AI5430">
        <v>113.967562953916</v>
      </c>
      <c r="AJ5430">
        <v>83.431157130769904</v>
      </c>
      <c r="AK5430">
        <v>0.46334962063276502</v>
      </c>
      <c r="AL5430">
        <v>79.837014282649093</v>
      </c>
      <c r="AM5430">
        <v>90.462339205985103</v>
      </c>
      <c r="AN5430">
        <v>1.00000004375476</v>
      </c>
    </row>
    <row r="5431" spans="1:40" x14ac:dyDescent="0.25">
      <c r="A5431" t="str">
        <f>"20190303162708380"</f>
        <v>20190303162708380</v>
      </c>
      <c r="B5431" t="str">
        <f>"1551601628369584"</f>
        <v>1551601628369584</v>
      </c>
      <c r="C5431" t="s">
        <v>40</v>
      </c>
      <c r="D5431">
        <v>4.8269500000000001</v>
      </c>
      <c r="E5431">
        <v>0.53873760000000004</v>
      </c>
      <c r="F5431" t="s">
        <v>42</v>
      </c>
      <c r="G5431">
        <v>-187.19450000000001</v>
      </c>
      <c r="H5431">
        <v>0.93845299999999998</v>
      </c>
      <c r="I5431">
        <v>-6.6705220000000001</v>
      </c>
      <c r="J5431">
        <v>-187.23859999999999</v>
      </c>
      <c r="K5431">
        <v>1.1207180000000001</v>
      </c>
      <c r="L5431">
        <v>-7.1201780000000001</v>
      </c>
      <c r="M5431">
        <v>-2.1630280000000002E-2</v>
      </c>
      <c r="N5431">
        <v>-8.7268480000000006E-3</v>
      </c>
      <c r="O5431">
        <v>0.99972799999999995</v>
      </c>
      <c r="P5431">
        <v>-2.7542270000000001E-2</v>
      </c>
      <c r="Q5431">
        <v>0.16800000000000001</v>
      </c>
      <c r="R5431">
        <v>0.98540220000000001</v>
      </c>
      <c r="S5431">
        <v>0.16105649999999999</v>
      </c>
      <c r="T5431">
        <v>-0.78307839999999995</v>
      </c>
      <c r="U5431">
        <v>3.1826479999999999</v>
      </c>
      <c r="V5431">
        <v>-6.2749019999999997E-3</v>
      </c>
      <c r="W5431">
        <v>0.17659439999999901</v>
      </c>
      <c r="X5431">
        <v>0.98426369999999996</v>
      </c>
      <c r="Y5431">
        <v>7.0697709999999997E-2</v>
      </c>
      <c r="Z5431">
        <v>-0.2299051</v>
      </c>
      <c r="AA5431">
        <v>0.9706418</v>
      </c>
      <c r="AB5431">
        <v>28</v>
      </c>
      <c r="AC5431">
        <v>4.4099999999985998E-2</v>
      </c>
      <c r="AD5431">
        <v>-0.18226500000000001</v>
      </c>
      <c r="AE5431">
        <v>0.449656</v>
      </c>
      <c r="AF5431">
        <v>4.6284069790083197E-2</v>
      </c>
      <c r="AG5431">
        <v>-0.18226500000000001</v>
      </c>
      <c r="AH5431">
        <v>0.38581085571552398</v>
      </c>
      <c r="AI5431">
        <v>115.129272375109</v>
      </c>
      <c r="AJ5431">
        <v>83.159163881677202</v>
      </c>
      <c r="AK5431">
        <v>0.42920014180948002</v>
      </c>
      <c r="AL5431">
        <v>79.828544234650295</v>
      </c>
      <c r="AM5431">
        <v>90.365268505572502</v>
      </c>
      <c r="AN5431">
        <v>0.99999999382207905</v>
      </c>
    </row>
    <row r="5432" spans="1:40" x14ac:dyDescent="0.25">
      <c r="A5432" t="str">
        <f>"20190303162708401"</f>
        <v>20190303162708401</v>
      </c>
      <c r="B5432" t="str">
        <f>"1551601628390080"</f>
        <v>1551601628390080</v>
      </c>
      <c r="C5432" t="s">
        <v>40</v>
      </c>
      <c r="D5432">
        <v>4.8066149999999999</v>
      </c>
      <c r="E5432">
        <v>0.53825990000000001</v>
      </c>
      <c r="F5432" t="s">
        <v>42</v>
      </c>
      <c r="G5432">
        <v>-187.1943</v>
      </c>
      <c r="H5432">
        <v>0.91005309999999995</v>
      </c>
      <c r="I5432">
        <v>-6.4299339999999896</v>
      </c>
      <c r="J5432">
        <v>-187.24459999999999</v>
      </c>
      <c r="K5432">
        <v>1.1207129999999901</v>
      </c>
      <c r="L5432">
        <v>-6.8559270000000003</v>
      </c>
      <c r="M5432">
        <v>-2.1804380000000002E-2</v>
      </c>
      <c r="N5432">
        <v>-8.7321450000000002E-3</v>
      </c>
      <c r="O5432">
        <v>0.9997241</v>
      </c>
      <c r="P5432">
        <v>-2.5320519999999999E-2</v>
      </c>
      <c r="Q5432">
        <v>0.16815929999999901</v>
      </c>
      <c r="R5432">
        <v>0.98543460000000005</v>
      </c>
      <c r="S5432">
        <v>0.20637510000000001</v>
      </c>
      <c r="T5432">
        <v>-0.9820352</v>
      </c>
      <c r="U5432">
        <v>3.217651</v>
      </c>
      <c r="V5432">
        <v>-3.8816369999999998E-3</v>
      </c>
      <c r="W5432">
        <v>0.17675959999999999</v>
      </c>
      <c r="X5432">
        <v>0.98424639999999997</v>
      </c>
      <c r="Y5432">
        <v>8.3025070000000006E-2</v>
      </c>
      <c r="Z5432">
        <v>-0.28265649999999998</v>
      </c>
      <c r="AA5432">
        <v>0.95562139999999995</v>
      </c>
      <c r="AB5432">
        <v>28</v>
      </c>
      <c r="AC5432">
        <v>5.0299999999992899E-2</v>
      </c>
      <c r="AD5432">
        <v>-0.21065989999999901</v>
      </c>
      <c r="AE5432">
        <v>0.42599300000000001</v>
      </c>
      <c r="AF5432">
        <v>4.8000122936999998E-2</v>
      </c>
      <c r="AG5432">
        <v>-0.21065989999999901</v>
      </c>
      <c r="AH5432">
        <v>0.34225018837964699</v>
      </c>
      <c r="AI5432">
        <v>121.36434292067401</v>
      </c>
      <c r="AJ5432">
        <v>82.016418000696603</v>
      </c>
      <c r="AK5432">
        <v>0.40474287728863201</v>
      </c>
      <c r="AL5432">
        <v>79.818927752384795</v>
      </c>
      <c r="AM5432">
        <v>90.225959947314294</v>
      </c>
      <c r="AN5432">
        <v>0.99999999960545904</v>
      </c>
    </row>
    <row r="5433" spans="1:40" x14ac:dyDescent="0.25">
      <c r="A5433" t="str">
        <f>"20190303162708449"</f>
        <v>20190303162708449</v>
      </c>
      <c r="B5433" t="str">
        <f>"1551601628439856"</f>
        <v>1551601628439856</v>
      </c>
      <c r="C5433" t="s">
        <v>40</v>
      </c>
      <c r="D5433">
        <v>4.8667429999999996</v>
      </c>
      <c r="E5433">
        <v>0.538278699999999</v>
      </c>
      <c r="F5433" t="s">
        <v>42</v>
      </c>
      <c r="G5433">
        <v>-187.20089999999999</v>
      </c>
      <c r="H5433">
        <v>0.90933810000000004</v>
      </c>
      <c r="I5433">
        <v>-6.1759829999999996</v>
      </c>
      <c r="J5433">
        <v>-187.25819999999999</v>
      </c>
      <c r="K5433">
        <v>1.1207100000000001</v>
      </c>
      <c r="L5433">
        <v>-6.2507630000000001</v>
      </c>
      <c r="M5433">
        <v>-2.220221E-2</v>
      </c>
      <c r="N5433">
        <v>-8.7443759999999999E-3</v>
      </c>
      <c r="O5433">
        <v>0.99971529999999997</v>
      </c>
      <c r="P5433">
        <v>-2.1851099999999998E-2</v>
      </c>
      <c r="Q5433">
        <v>0.1680188</v>
      </c>
      <c r="R5433">
        <v>0.98554160000000002</v>
      </c>
      <c r="S5433">
        <v>0.20594789999999999</v>
      </c>
      <c r="T5433">
        <v>-1.0011559999999999</v>
      </c>
      <c r="U5433">
        <v>3.2204899999999999</v>
      </c>
      <c r="V5433" s="1">
        <v>-1.8929359999999999E-5</v>
      </c>
      <c r="W5433">
        <v>0.17663239999999999</v>
      </c>
      <c r="X5433">
        <v>0.98427690000000001</v>
      </c>
      <c r="Y5433">
        <v>8.3145299999999894E-2</v>
      </c>
      <c r="Z5433">
        <v>-0.2875875</v>
      </c>
      <c r="AA5433">
        <v>0.9541385</v>
      </c>
      <c r="AB5433">
        <v>28</v>
      </c>
      <c r="AC5433">
        <v>5.7299999999997901E-2</v>
      </c>
      <c r="AD5433">
        <v>-0.2113719</v>
      </c>
      <c r="AE5433">
        <v>7.4779999999999597E-2</v>
      </c>
      <c r="AF5433">
        <v>9.7690802409251196E-3</v>
      </c>
      <c r="AG5433">
        <v>-0.2113719</v>
      </c>
      <c r="AH5433">
        <v>1.21792911069476E-2</v>
      </c>
      <c r="AI5433">
        <v>175.77547808610601</v>
      </c>
      <c r="AJ5433">
        <v>51.266697517594501</v>
      </c>
      <c r="AK5433">
        <v>0.211947753397462</v>
      </c>
      <c r="AL5433">
        <v>79.826332394135207</v>
      </c>
      <c r="AM5433">
        <v>90.001101897684194</v>
      </c>
      <c r="AN5433">
        <v>1.00000001048084</v>
      </c>
    </row>
    <row r="5434" spans="1:40" x14ac:dyDescent="0.25">
      <c r="A5434" t="str">
        <f>"20190303162708472"</f>
        <v>20190303162708472</v>
      </c>
      <c r="B5434" t="str">
        <f>"1551601628459375"</f>
        <v>1551601628459375</v>
      </c>
      <c r="C5434" t="s">
        <v>40</v>
      </c>
      <c r="D5434">
        <v>4.8511819999999997</v>
      </c>
      <c r="E5434">
        <v>0.53846859999999996</v>
      </c>
      <c r="F5434" t="s">
        <v>42</v>
      </c>
      <c r="G5434">
        <v>-187.20359999999999</v>
      </c>
      <c r="H5434">
        <v>0.86708249999999998</v>
      </c>
      <c r="I5434">
        <v>-5.4273889999999998</v>
      </c>
      <c r="J5434">
        <v>-187.26490000000001</v>
      </c>
      <c r="K5434">
        <v>1.120706</v>
      </c>
      <c r="L5434">
        <v>-5.9573359999999997</v>
      </c>
      <c r="M5434">
        <v>-2.2395120000000001E-2</v>
      </c>
      <c r="N5434">
        <v>-8.7503340000000002E-3</v>
      </c>
      <c r="O5434">
        <v>0.99971089999999996</v>
      </c>
      <c r="P5434">
        <v>-2.0328539999999999E-2</v>
      </c>
      <c r="Q5434">
        <v>0.16729160000000001</v>
      </c>
      <c r="R5434">
        <v>0.98569790000000002</v>
      </c>
      <c r="S5434">
        <v>0.2133179</v>
      </c>
      <c r="T5434">
        <v>-0.9911683</v>
      </c>
      <c r="U5434">
        <v>3.2177120000000001</v>
      </c>
      <c r="V5434">
        <v>1.6970139999999999E-3</v>
      </c>
      <c r="W5434">
        <v>0.17591279999999901</v>
      </c>
      <c r="X5434">
        <v>0.98440430000000001</v>
      </c>
      <c r="Y5434">
        <v>8.5613350000000005E-2</v>
      </c>
      <c r="Z5434">
        <v>-0.28505659999999999</v>
      </c>
      <c r="AA5434">
        <v>0.95467950000000001</v>
      </c>
      <c r="AB5434">
        <v>29</v>
      </c>
      <c r="AC5434">
        <v>6.1300000000017001E-2</v>
      </c>
      <c r="AD5434">
        <v>-0.253623499999999</v>
      </c>
      <c r="AE5434">
        <v>0.52994699999999995</v>
      </c>
      <c r="AF5434">
        <v>5.9667431081473203E-2</v>
      </c>
      <c r="AG5434">
        <v>-0.253623499999999</v>
      </c>
      <c r="AH5434">
        <v>0.43102261523448399</v>
      </c>
      <c r="AI5434">
        <v>120.236385127467</v>
      </c>
      <c r="AJ5434">
        <v>82.118507143023507</v>
      </c>
      <c r="AK5434">
        <v>0.50365223808465998</v>
      </c>
      <c r="AL5434">
        <v>79.868218302475796</v>
      </c>
      <c r="AM5434">
        <v>89.901227936879096</v>
      </c>
      <c r="AN5434">
        <v>1.0000000094594199</v>
      </c>
    </row>
    <row r="5435" spans="1:40" x14ac:dyDescent="0.25">
      <c r="A5435" t="str">
        <f>"20190303162708491"</f>
        <v>20190303162708491</v>
      </c>
      <c r="B5435" t="str">
        <f>"1551601628479872"</f>
        <v>1551601628479872</v>
      </c>
      <c r="C5435" t="s">
        <v>40</v>
      </c>
      <c r="D5435">
        <v>4.8756830000000004</v>
      </c>
      <c r="E5435">
        <v>0.53860249999999998</v>
      </c>
      <c r="F5435" t="s">
        <v>42</v>
      </c>
      <c r="G5435">
        <v>-187.21119999999999</v>
      </c>
      <c r="H5435">
        <v>0.87778440000000002</v>
      </c>
      <c r="I5435">
        <v>-5.1670179999999997</v>
      </c>
      <c r="J5435">
        <v>-187.27080000000001</v>
      </c>
      <c r="K5435">
        <v>1.120708</v>
      </c>
      <c r="L5435">
        <v>-5.7034000000000002</v>
      </c>
      <c r="M5435">
        <v>-2.2562189999999999E-2</v>
      </c>
      <c r="N5435">
        <v>-8.7555040000000008E-3</v>
      </c>
      <c r="O5435">
        <v>0.99970709999999996</v>
      </c>
      <c r="P5435">
        <v>-1.9087150000000001E-2</v>
      </c>
      <c r="Q5435">
        <v>0.1666908</v>
      </c>
      <c r="R5435">
        <v>0.98582449999999999</v>
      </c>
      <c r="S5435">
        <v>0.21783449999999999</v>
      </c>
      <c r="T5435">
        <v>-0.98844149999999997</v>
      </c>
      <c r="U5435">
        <v>3.2157900000000001</v>
      </c>
      <c r="V5435">
        <v>3.1057569999999998E-3</v>
      </c>
      <c r="W5435">
        <v>0.17531859999999999</v>
      </c>
      <c r="X5435">
        <v>0.98450680000000002</v>
      </c>
      <c r="Y5435">
        <v>8.716256E-2</v>
      </c>
      <c r="Z5435">
        <v>-0.28443770000000002</v>
      </c>
      <c r="AA5435">
        <v>0.95472400000000002</v>
      </c>
      <c r="AB5435">
        <v>29</v>
      </c>
      <c r="AC5435">
        <v>5.9600000000017403E-2</v>
      </c>
      <c r="AD5435">
        <v>-0.24292359999999899</v>
      </c>
      <c r="AE5435">
        <v>0.53638200000000003</v>
      </c>
      <c r="AF5435">
        <v>5.96096963463238E-2</v>
      </c>
      <c r="AG5435">
        <v>-0.24292359999999899</v>
      </c>
      <c r="AH5435">
        <v>0.44478300647066998</v>
      </c>
      <c r="AI5435">
        <v>118.427670012997</v>
      </c>
      <c r="AJ5435">
        <v>82.366719689437005</v>
      </c>
      <c r="AK5435">
        <v>0.51029120527454697</v>
      </c>
      <c r="AL5435">
        <v>79.902800285540593</v>
      </c>
      <c r="AM5435">
        <v>89.819253480011</v>
      </c>
      <c r="AN5435">
        <v>0.99999994823937</v>
      </c>
    </row>
    <row r="5436" spans="1:40" x14ac:dyDescent="0.25">
      <c r="A5436" t="str">
        <f>"20190303162708515"</f>
        <v>20190303162708515</v>
      </c>
      <c r="B5436" t="str">
        <f>"1551601628509152"</f>
        <v>1551601628509152</v>
      </c>
      <c r="C5436" t="s">
        <v>40</v>
      </c>
      <c r="D5436">
        <v>4.8964919999999896</v>
      </c>
      <c r="E5436">
        <v>0.53873079999999995</v>
      </c>
      <c r="F5436" t="s">
        <v>42</v>
      </c>
      <c r="G5436">
        <v>-187.21600000000001</v>
      </c>
      <c r="H5436">
        <v>0.87759140000000002</v>
      </c>
      <c r="I5436">
        <v>-4.9103969999999997</v>
      </c>
      <c r="J5436">
        <v>-187.2782</v>
      </c>
      <c r="K5436">
        <v>1.120711</v>
      </c>
      <c r="L5436">
        <v>-5.3848880000000001</v>
      </c>
      <c r="M5436">
        <v>-2.2771840000000002E-2</v>
      </c>
      <c r="N5436">
        <v>-8.7619410000000005E-3</v>
      </c>
      <c r="O5436">
        <v>0.99970230000000004</v>
      </c>
      <c r="P5436">
        <v>-1.7968000000000001E-2</v>
      </c>
      <c r="Q5436">
        <v>0.16693259999999999</v>
      </c>
      <c r="R5436">
        <v>0.98580460000000003</v>
      </c>
      <c r="S5436">
        <v>0.22174070000000001</v>
      </c>
      <c r="T5436">
        <v>-0.98535479999999998</v>
      </c>
      <c r="U5436">
        <v>3.2140499999999999</v>
      </c>
      <c r="V5436">
        <v>4.4307080000000002E-3</v>
      </c>
      <c r="W5436">
        <v>0.1755669</v>
      </c>
      <c r="X5436">
        <v>0.98445760000000004</v>
      </c>
      <c r="Y5436">
        <v>8.857421E-2</v>
      </c>
      <c r="Z5436">
        <v>-0.28370630000000002</v>
      </c>
      <c r="AA5436">
        <v>0.95481170000000004</v>
      </c>
      <c r="AB5436">
        <v>29</v>
      </c>
      <c r="AC5436">
        <v>6.22000000000184E-2</v>
      </c>
      <c r="AD5436">
        <v>-0.24311959999999999</v>
      </c>
      <c r="AE5436">
        <v>0.474491</v>
      </c>
      <c r="AF5436">
        <v>5.80156105992643E-2</v>
      </c>
      <c r="AG5436">
        <v>-0.24311959999999999</v>
      </c>
      <c r="AH5436">
        <v>0.37592582393945001</v>
      </c>
      <c r="AI5436">
        <v>122.58491159917</v>
      </c>
      <c r="AJ5436">
        <v>81.226910458588804</v>
      </c>
      <c r="AK5436">
        <v>0.45143457563850797</v>
      </c>
      <c r="AL5436">
        <v>79.888350819590798</v>
      </c>
      <c r="AM5436">
        <v>89.742132972905196</v>
      </c>
      <c r="AN5436">
        <v>1.00000006687337</v>
      </c>
    </row>
    <row r="5437" spans="1:40" x14ac:dyDescent="0.25">
      <c r="A5437" t="str">
        <f>"20190303162708536"</f>
        <v>20190303162708536</v>
      </c>
      <c r="B5437" t="str">
        <f>"1551601628529648"</f>
        <v>1551601628529648</v>
      </c>
      <c r="C5437" t="s">
        <v>40</v>
      </c>
      <c r="D5437">
        <v>4.9296309999999997</v>
      </c>
      <c r="E5437">
        <v>0.53998000000000002</v>
      </c>
      <c r="F5437" t="s">
        <v>42</v>
      </c>
      <c r="G5437">
        <v>-187.22620000000001</v>
      </c>
      <c r="H5437">
        <v>0.89618779999999998</v>
      </c>
      <c r="I5437">
        <v>-4.6460059999999999</v>
      </c>
      <c r="J5437">
        <v>-187.2843</v>
      </c>
      <c r="K5437">
        <v>1.120711</v>
      </c>
      <c r="L5437">
        <v>-5.1223450000000001</v>
      </c>
      <c r="M5437">
        <v>-2.2944630000000001E-2</v>
      </c>
      <c r="N5437">
        <v>-8.7672500000000007E-3</v>
      </c>
      <c r="O5437">
        <v>0.99969830000000004</v>
      </c>
      <c r="P5437">
        <v>-1.741651E-2</v>
      </c>
      <c r="Q5437">
        <v>0.16778850000000001</v>
      </c>
      <c r="R5437">
        <v>0.98566909999999996</v>
      </c>
      <c r="S5437">
        <v>0.22549440000000001</v>
      </c>
      <c r="T5437">
        <v>-0.97621369999999996</v>
      </c>
      <c r="U5437">
        <v>3.2126160000000001</v>
      </c>
      <c r="V5437">
        <v>5.1489379999999996E-3</v>
      </c>
      <c r="W5437">
        <v>0.17642629999999901</v>
      </c>
      <c r="X5437">
        <v>0.98430039999999996</v>
      </c>
      <c r="Y5437">
        <v>8.9934390000000003E-2</v>
      </c>
      <c r="Z5437">
        <v>-0.2813022</v>
      </c>
      <c r="AA5437">
        <v>0.95539560000000001</v>
      </c>
      <c r="AB5437">
        <v>29</v>
      </c>
      <c r="AC5437">
        <v>5.8099999999996002E-2</v>
      </c>
      <c r="AD5437">
        <v>-0.22452319999999901</v>
      </c>
      <c r="AE5437">
        <v>0.47633900000000001</v>
      </c>
      <c r="AF5437">
        <v>5.6619626524108402E-2</v>
      </c>
      <c r="AG5437">
        <v>-0.22452319999999901</v>
      </c>
      <c r="AH5437">
        <v>0.38959256768545703</v>
      </c>
      <c r="AI5437">
        <v>119.696600555746</v>
      </c>
      <c r="AJ5437">
        <v>81.731075408036304</v>
      </c>
      <c r="AK5437">
        <v>0.45320946398074802</v>
      </c>
      <c r="AL5437">
        <v>79.838329501503395</v>
      </c>
      <c r="AM5437">
        <v>89.700284866784997</v>
      </c>
      <c r="AN5437">
        <v>1.0000000141671801</v>
      </c>
    </row>
    <row r="5438" spans="1:40" x14ac:dyDescent="0.25">
      <c r="A5438" t="str">
        <f>"20190303162708557"</f>
        <v>20190303162708557</v>
      </c>
      <c r="B5438" t="str">
        <f>"1551601628549168"</f>
        <v>1551601628549168</v>
      </c>
      <c r="C5438" t="s">
        <v>40</v>
      </c>
      <c r="D5438">
        <v>4.936153</v>
      </c>
      <c r="E5438">
        <v>0.540099</v>
      </c>
      <c r="F5438" t="s">
        <v>42</v>
      </c>
      <c r="G5438">
        <v>-187.2294</v>
      </c>
      <c r="H5438">
        <v>0.90845390000000004</v>
      </c>
      <c r="I5438">
        <v>-4.383146</v>
      </c>
      <c r="J5438">
        <v>-187.291</v>
      </c>
      <c r="K5438">
        <v>1.1207119999999999</v>
      </c>
      <c r="L5438">
        <v>-4.8414919999999997</v>
      </c>
      <c r="M5438">
        <v>-2.312941E-2</v>
      </c>
      <c r="N5438">
        <v>-8.7729709999999992E-3</v>
      </c>
      <c r="O5438">
        <v>0.99969399999999997</v>
      </c>
      <c r="P5438">
        <v>-1.7169230000000001E-2</v>
      </c>
      <c r="Q5438">
        <v>0.16855590000000001</v>
      </c>
      <c r="R5438">
        <v>0.98554249999999999</v>
      </c>
      <c r="S5438">
        <v>0.2385101</v>
      </c>
      <c r="T5438">
        <v>-0.92014589999999996</v>
      </c>
      <c r="U5438">
        <v>3.2044679999999999</v>
      </c>
      <c r="V5438">
        <v>5.5750239999999996E-3</v>
      </c>
      <c r="W5438">
        <v>0.17719879999999999</v>
      </c>
      <c r="X5438">
        <v>0.98415929999999996</v>
      </c>
      <c r="Y5438">
        <v>9.446214E-2</v>
      </c>
      <c r="Z5438">
        <v>-0.26645970000000002</v>
      </c>
      <c r="AA5438">
        <v>0.959206</v>
      </c>
      <c r="AB5438">
        <v>29</v>
      </c>
      <c r="AC5438">
        <v>6.1599999999998503E-2</v>
      </c>
      <c r="AD5438">
        <v>-0.21225810000000001</v>
      </c>
      <c r="AE5438">
        <v>0.45834599999999898</v>
      </c>
      <c r="AF5438">
        <v>5.9625021163501803E-2</v>
      </c>
      <c r="AG5438">
        <v>-0.21225810000000001</v>
      </c>
      <c r="AH5438">
        <v>0.37731589152105299</v>
      </c>
      <c r="AI5438">
        <v>119.058847304829</v>
      </c>
      <c r="AJ5438">
        <v>81.020139340157797</v>
      </c>
      <c r="AK5438">
        <v>0.43700792459483501</v>
      </c>
      <c r="AL5438">
        <v>79.793359970662394</v>
      </c>
      <c r="AM5438">
        <v>89.675436761895298</v>
      </c>
      <c r="AN5438">
        <v>1.0000000116952601</v>
      </c>
    </row>
    <row r="5439" spans="1:40" x14ac:dyDescent="0.25">
      <c r="A5439" t="str">
        <f>"20190303162708581"</f>
        <v>20190303162708581</v>
      </c>
      <c r="B5439" t="str">
        <f>"1551601628569665"</f>
        <v>1551601628569665</v>
      </c>
      <c r="C5439" t="s">
        <v>40</v>
      </c>
      <c r="D5439">
        <v>4.9456410000000002</v>
      </c>
      <c r="E5439">
        <v>0.53955730000000002</v>
      </c>
      <c r="F5439" t="s">
        <v>42</v>
      </c>
      <c r="G5439">
        <v>-187.23670000000001</v>
      </c>
      <c r="H5439">
        <v>0.91470560000000001</v>
      </c>
      <c r="I5439">
        <v>-4.1224290000000003</v>
      </c>
      <c r="J5439">
        <v>-187.2979</v>
      </c>
      <c r="K5439">
        <v>1.1207180000000001</v>
      </c>
      <c r="L5439">
        <v>-4.5503539999999996</v>
      </c>
      <c r="M5439">
        <v>-2.3320859999999999E-2</v>
      </c>
      <c r="N5439">
        <v>-8.7789140000000005E-3</v>
      </c>
      <c r="O5439">
        <v>0.99968950000000001</v>
      </c>
      <c r="P5439">
        <v>-1.769633E-2</v>
      </c>
      <c r="Q5439">
        <v>0.1696529</v>
      </c>
      <c r="R5439">
        <v>0.98534500000000003</v>
      </c>
      <c r="S5439">
        <v>0.2414703</v>
      </c>
      <c r="T5439">
        <v>-0.91828480000000001</v>
      </c>
      <c r="U5439">
        <v>3.2052610000000001</v>
      </c>
      <c r="V5439">
        <v>5.2316430000000002E-3</v>
      </c>
      <c r="W5439">
        <v>0.17829970000000001</v>
      </c>
      <c r="X5439">
        <v>0.98396229999999996</v>
      </c>
      <c r="Y5439">
        <v>9.5527349999999997E-2</v>
      </c>
      <c r="Z5439">
        <v>-0.26585120000000001</v>
      </c>
      <c r="AA5439">
        <v>0.95926929999999999</v>
      </c>
      <c r="AB5439">
        <v>29</v>
      </c>
      <c r="AC5439">
        <v>6.1199999999985197E-2</v>
      </c>
      <c r="AD5439">
        <v>-0.20601240000000001</v>
      </c>
      <c r="AE5439">
        <v>0.427925</v>
      </c>
      <c r="AF5439">
        <v>5.7992072959466498E-2</v>
      </c>
      <c r="AG5439">
        <v>-0.20601240000000001</v>
      </c>
      <c r="AH5439">
        <v>0.34746463853618098</v>
      </c>
      <c r="AI5439">
        <v>120.31962966781199</v>
      </c>
      <c r="AJ5439">
        <v>80.524634531649795</v>
      </c>
      <c r="AK5439">
        <v>0.40808805975300799</v>
      </c>
      <c r="AL5439">
        <v>79.729262017221998</v>
      </c>
      <c r="AM5439">
        <v>89.695366134194998</v>
      </c>
      <c r="AN5439">
        <v>0.99999998046492899</v>
      </c>
    </row>
    <row r="5440" spans="1:40" x14ac:dyDescent="0.25">
      <c r="A5440" t="str">
        <f>"20190303162708606"</f>
        <v>20190303162708606</v>
      </c>
      <c r="B5440" t="str">
        <f>"1551601628599921"</f>
        <v>1551601628599921</v>
      </c>
      <c r="C5440" t="s">
        <v>40</v>
      </c>
      <c r="D5440">
        <v>5.0717800000000004</v>
      </c>
      <c r="E5440">
        <v>0.53591699999999998</v>
      </c>
      <c r="F5440" t="s">
        <v>42</v>
      </c>
      <c r="G5440">
        <v>-187.2473</v>
      </c>
      <c r="H5440">
        <v>0.92245290000000002</v>
      </c>
      <c r="I5440">
        <v>-3.860357</v>
      </c>
      <c r="J5440">
        <v>-187.30600000000001</v>
      </c>
      <c r="K5440">
        <v>1.1207260000000001</v>
      </c>
      <c r="L5440">
        <v>-4.2157589999999896</v>
      </c>
      <c r="M5440">
        <v>-2.3540769999999999E-2</v>
      </c>
      <c r="N5440">
        <v>-8.7856879999999998E-3</v>
      </c>
      <c r="O5440">
        <v>0.99968429999999997</v>
      </c>
      <c r="P5440">
        <v>-1.9162780000000001E-2</v>
      </c>
      <c r="Q5440">
        <v>0.17061319999999999</v>
      </c>
      <c r="R5440">
        <v>0.98515169999999996</v>
      </c>
      <c r="S5440">
        <v>0.23498540000000001</v>
      </c>
      <c r="T5440">
        <v>-0.92165569999999997</v>
      </c>
      <c r="U5440">
        <v>3.2075200000000001</v>
      </c>
      <c r="V5440">
        <v>3.9772679999999999E-3</v>
      </c>
      <c r="W5440">
        <v>0.1792648</v>
      </c>
      <c r="X5440">
        <v>0.98379280000000002</v>
      </c>
      <c r="Y5440">
        <v>9.3752740000000001E-2</v>
      </c>
      <c r="Z5440">
        <v>-0.26663880000000001</v>
      </c>
      <c r="AA5440">
        <v>0.95922580000000002</v>
      </c>
      <c r="AB5440">
        <v>29</v>
      </c>
      <c r="AC5440">
        <v>5.8699999999987498E-2</v>
      </c>
      <c r="AD5440">
        <v>-0.19827310000000001</v>
      </c>
      <c r="AE5440">
        <v>0.355401999999999</v>
      </c>
      <c r="AF5440">
        <v>5.1459745914021901E-2</v>
      </c>
      <c r="AG5440">
        <v>-0.19827310000000001</v>
      </c>
      <c r="AH5440">
        <v>0.27162688337754698</v>
      </c>
      <c r="AI5440">
        <v>125.647694857039</v>
      </c>
      <c r="AJ5440">
        <v>79.272443993629096</v>
      </c>
      <c r="AK5440">
        <v>0.34020801196701</v>
      </c>
      <c r="AL5440">
        <v>79.673060371223499</v>
      </c>
      <c r="AM5440">
        <v>89.768366439661804</v>
      </c>
      <c r="AN5440">
        <v>0.99999998025581105</v>
      </c>
    </row>
    <row r="5441" spans="1:40" x14ac:dyDescent="0.25">
      <c r="A5441" t="str">
        <f>"20190303162708631"</f>
        <v>20190303162708631</v>
      </c>
      <c r="B5441" t="str">
        <f>"1551601628619441"</f>
        <v>1551601628619441</v>
      </c>
      <c r="C5441" t="s">
        <v>40</v>
      </c>
      <c r="D5441">
        <v>4.6471799999999996</v>
      </c>
      <c r="E5441">
        <v>0.52057829999999905</v>
      </c>
      <c r="F5441" t="s">
        <v>42</v>
      </c>
      <c r="G5441">
        <v>-187.25299999999999</v>
      </c>
      <c r="H5441">
        <v>0.86386640000000003</v>
      </c>
      <c r="I5441">
        <v>-3.3658610000000002</v>
      </c>
      <c r="J5441">
        <v>-187.3134</v>
      </c>
      <c r="K5441">
        <v>1.120733</v>
      </c>
      <c r="L5441">
        <v>-3.9073180000000001</v>
      </c>
      <c r="M5441">
        <v>-2.374341E-2</v>
      </c>
      <c r="N5441">
        <v>-8.7918630000000005E-3</v>
      </c>
      <c r="O5441">
        <v>0.9996794</v>
      </c>
      <c r="P5441">
        <v>-2.1274850000000001E-2</v>
      </c>
      <c r="Q5441">
        <v>0.17214949999999901</v>
      </c>
      <c r="R5441">
        <v>0.98484099999999997</v>
      </c>
      <c r="S5441">
        <v>0.20022580000000001</v>
      </c>
      <c r="T5441">
        <v>-0.97241080000000002</v>
      </c>
      <c r="U5441">
        <v>3.2175289999999999</v>
      </c>
      <c r="V5441">
        <v>2.0574059999999999E-3</v>
      </c>
      <c r="W5441">
        <v>0.1808041</v>
      </c>
      <c r="X5441">
        <v>0.98351699999999997</v>
      </c>
      <c r="Y5441">
        <v>8.3189379999999993E-2</v>
      </c>
      <c r="Z5441">
        <v>-0.27998410000000001</v>
      </c>
      <c r="AA5441">
        <v>0.95639350000000001</v>
      </c>
      <c r="AB5441">
        <v>29</v>
      </c>
      <c r="AC5441">
        <v>6.0400000000015497E-2</v>
      </c>
      <c r="AD5441">
        <v>-0.256866599999999</v>
      </c>
      <c r="AE5441">
        <v>0.54145699999999897</v>
      </c>
      <c r="AF5441">
        <v>5.9919993748639003E-2</v>
      </c>
      <c r="AG5441">
        <v>-0.256866599999999</v>
      </c>
      <c r="AH5441">
        <v>0.44168811222660698</v>
      </c>
      <c r="AI5441">
        <v>119.95389205839901</v>
      </c>
      <c r="AJ5441">
        <v>82.274342673071004</v>
      </c>
      <c r="AK5441">
        <v>0.51445042941832697</v>
      </c>
      <c r="AL5441">
        <v>79.583400385927504</v>
      </c>
      <c r="AM5441">
        <v>89.880143903361898</v>
      </c>
      <c r="AN5441">
        <v>1.00000002239262</v>
      </c>
    </row>
    <row r="5442" spans="1:40" x14ac:dyDescent="0.25">
      <c r="A5442" t="str">
        <f>"20190303162708782"</f>
        <v>20190303162708782</v>
      </c>
      <c r="B5442" t="str">
        <f>"1551601628779504"</f>
        <v>1551601628779504</v>
      </c>
      <c r="C5442" t="s">
        <v>40</v>
      </c>
      <c r="D5442">
        <v>5.4012890000000002</v>
      </c>
      <c r="E5442">
        <v>0.51226050000000001</v>
      </c>
      <c r="F5442" t="s">
        <v>42</v>
      </c>
      <c r="G5442">
        <v>-187.3432</v>
      </c>
      <c r="H5442">
        <v>0.93593780000000004</v>
      </c>
      <c r="I5442">
        <v>-1.50528</v>
      </c>
      <c r="J5442">
        <v>-187.36320000000001</v>
      </c>
      <c r="K5442">
        <v>1.1207590000000001</v>
      </c>
      <c r="L5442">
        <v>-1.9206240000000001</v>
      </c>
      <c r="M5442">
        <v>-2.5047400000000001E-2</v>
      </c>
      <c r="N5442">
        <v>-8.831584E-3</v>
      </c>
      <c r="O5442">
        <v>0.99964730000000002</v>
      </c>
      <c r="P5442">
        <v>-3.0035280000000001E-2</v>
      </c>
      <c r="Q5442">
        <v>0.17758699999999999</v>
      </c>
      <c r="R5442">
        <v>0.98364669999999998</v>
      </c>
      <c r="S5442">
        <v>5.1544189999999997E-2</v>
      </c>
      <c r="T5442">
        <v>-0.80698230000000004</v>
      </c>
      <c r="U5442">
        <v>3.1956479999999998</v>
      </c>
      <c r="V5442">
        <v>-5.44883E-3</v>
      </c>
      <c r="W5442">
        <v>0.18626909999999999</v>
      </c>
      <c r="X5442">
        <v>0.98248360000000001</v>
      </c>
      <c r="Y5442">
        <v>4.0664529999999997E-2</v>
      </c>
      <c r="Z5442">
        <v>-0.23603440000000001</v>
      </c>
      <c r="AA5442">
        <v>0.97089349999999996</v>
      </c>
      <c r="AB5442">
        <v>29</v>
      </c>
      <c r="AC5442">
        <v>2.0000000000010201E-2</v>
      </c>
      <c r="AD5442">
        <v>-0.18482119999999999</v>
      </c>
      <c r="AE5442">
        <v>0.41534399999999999</v>
      </c>
      <c r="AF5442">
        <v>2.53829582638221E-2</v>
      </c>
      <c r="AG5442">
        <v>-0.18482119999999999</v>
      </c>
      <c r="AH5442">
        <v>0.34630032521277399</v>
      </c>
      <c r="AI5442">
        <v>118.025218935838</v>
      </c>
      <c r="AJ5442">
        <v>85.807857658939398</v>
      </c>
      <c r="AK5442">
        <v>0.39335363959436798</v>
      </c>
      <c r="AL5442">
        <v>79.264866724579406</v>
      </c>
      <c r="AM5442">
        <v>90.317757733084406</v>
      </c>
      <c r="AN5442">
        <v>0.99999994581606799</v>
      </c>
    </row>
    <row r="5443" spans="1:40" x14ac:dyDescent="0.25">
      <c r="A5443" t="str">
        <f>"20190303162708804"</f>
        <v>20190303162708804</v>
      </c>
      <c r="B5443" t="str">
        <f>"1551601628800000"</f>
        <v>1551601628800000</v>
      </c>
      <c r="C5443" t="s">
        <v>40</v>
      </c>
      <c r="D5443">
        <v>5.2739690000000001</v>
      </c>
      <c r="E5443">
        <v>0.49449369999999998</v>
      </c>
      <c r="F5443" t="s">
        <v>42</v>
      </c>
      <c r="G5443">
        <v>-187.3664</v>
      </c>
      <c r="H5443">
        <v>0.96165219999999996</v>
      </c>
      <c r="I5443">
        <v>-1.229754</v>
      </c>
      <c r="J5443">
        <v>-187.3707</v>
      </c>
      <c r="K5443">
        <v>1.1207590000000001</v>
      </c>
      <c r="L5443">
        <v>-1.6293329999999999</v>
      </c>
      <c r="M5443">
        <v>-2.5238099999999999E-2</v>
      </c>
      <c r="N5443">
        <v>-8.8374479999999995E-3</v>
      </c>
      <c r="O5443">
        <v>0.99964240000000004</v>
      </c>
      <c r="P5443">
        <v>-3.11957E-2</v>
      </c>
      <c r="Q5443">
        <v>0.17822789999999999</v>
      </c>
      <c r="R5443">
        <v>0.9834946</v>
      </c>
      <c r="S5443">
        <v>-1.46637E-2</v>
      </c>
      <c r="T5443">
        <v>-0.73275299999999999</v>
      </c>
      <c r="U5443">
        <v>3.1817319999999998</v>
      </c>
      <c r="V5443">
        <v>-6.4252859999999997E-3</v>
      </c>
      <c r="W5443">
        <v>0.1869142</v>
      </c>
      <c r="X5443">
        <v>0.98235519999999998</v>
      </c>
      <c r="Y5443">
        <v>2.0718520000000001E-2</v>
      </c>
      <c r="Z5443">
        <v>-0.2156737</v>
      </c>
      <c r="AA5443">
        <v>0.97624560000000005</v>
      </c>
      <c r="AB5443">
        <v>29</v>
      </c>
      <c r="AC5443">
        <v>4.3000000000006297E-3</v>
      </c>
      <c r="AD5443">
        <v>-0.15910679999999999</v>
      </c>
      <c r="AE5443">
        <v>0.39957899999999902</v>
      </c>
      <c r="AF5443">
        <v>1.24153812346445E-2</v>
      </c>
      <c r="AG5443">
        <v>-0.15910679999999999</v>
      </c>
      <c r="AH5443">
        <v>0.34469704911493598</v>
      </c>
      <c r="AI5443">
        <v>114.763183330552</v>
      </c>
      <c r="AJ5443">
        <v>87.937198555643903</v>
      </c>
      <c r="AK5443">
        <v>0.379848879379664</v>
      </c>
      <c r="AL5443">
        <v>79.227244747288594</v>
      </c>
      <c r="AM5443">
        <v>90.374748889518102</v>
      </c>
      <c r="AN5443">
        <v>0.99999997071443003</v>
      </c>
    </row>
    <row r="5444" spans="1:40" x14ac:dyDescent="0.25">
      <c r="A5444" t="str">
        <f>"20190303162708851"</f>
        <v>20190303162708851</v>
      </c>
      <c r="B5444" t="str">
        <f>"1551601628840016"</f>
        <v>1551601628840016</v>
      </c>
      <c r="C5444" t="s">
        <v>40</v>
      </c>
      <c r="D5444">
        <v>5.1058620000000001</v>
      </c>
      <c r="E5444">
        <v>0.49328739999999999</v>
      </c>
      <c r="F5444" t="s">
        <v>72</v>
      </c>
      <c r="G5444">
        <v>-206.24420000000001</v>
      </c>
      <c r="H5444">
        <v>3.0915810000000001</v>
      </c>
      <c r="I5444">
        <v>391.87</v>
      </c>
      <c r="J5444">
        <v>-187.38669999999999</v>
      </c>
      <c r="K5444">
        <v>1.120765</v>
      </c>
      <c r="L5444">
        <v>-1.0166930000000001</v>
      </c>
      <c r="M5444">
        <v>-2.563934E-2</v>
      </c>
      <c r="N5444">
        <v>-8.8500450000000008E-3</v>
      </c>
      <c r="O5444">
        <v>0.99963210000000002</v>
      </c>
      <c r="P5444">
        <v>-3.3254060000000002E-2</v>
      </c>
      <c r="Q5444">
        <v>0.1805388</v>
      </c>
      <c r="R5444">
        <v>0.98300549999999998</v>
      </c>
      <c r="S5444">
        <v>-0.14595030000000001</v>
      </c>
      <c r="T5444">
        <v>1.524055E-2</v>
      </c>
      <c r="U5444">
        <v>3.0429689999999998</v>
      </c>
      <c r="V5444">
        <v>-8.1018449999999999E-3</v>
      </c>
      <c r="W5444">
        <v>0.1892334</v>
      </c>
      <c r="X5444">
        <v>0.98189870000000001</v>
      </c>
      <c r="Y5444">
        <v>-2.2276440000000002E-2</v>
      </c>
      <c r="Z5444">
        <v>1.384672E-2</v>
      </c>
      <c r="AA5444">
        <v>0.99965599999999999</v>
      </c>
      <c r="AB5444">
        <v>30</v>
      </c>
      <c r="AC5444">
        <v>-18.857500000000002</v>
      </c>
      <c r="AD5444">
        <v>1.9708159999999999</v>
      </c>
      <c r="AE5444">
        <v>392.88669299999998</v>
      </c>
      <c r="AF5444">
        <v>-8.7773300677020405</v>
      </c>
      <c r="AG5444">
        <v>1.9708159999999999</v>
      </c>
      <c r="AH5444">
        <v>393.23116532227999</v>
      </c>
      <c r="AI5444">
        <v>89.712916002471502</v>
      </c>
      <c r="AJ5444">
        <v>91.278689272688993</v>
      </c>
      <c r="AK5444">
        <v>393.33405016543003</v>
      </c>
      <c r="AL5444">
        <v>79.0919501828525</v>
      </c>
      <c r="AM5444">
        <v>90.472748350269796</v>
      </c>
      <c r="AN5444">
        <v>0.99999998831482695</v>
      </c>
    </row>
    <row r="5445" spans="1:40" x14ac:dyDescent="0.25">
      <c r="A5445" t="str">
        <f>"20190303162708873"</f>
        <v>20190303162708873</v>
      </c>
      <c r="B5445" t="str">
        <f>"1551601628859537"</f>
        <v>1551601628859537</v>
      </c>
      <c r="C5445" t="s">
        <v>40</v>
      </c>
      <c r="D5445">
        <v>5.3259489999999996</v>
      </c>
      <c r="E5445">
        <v>0.49301420000000001</v>
      </c>
      <c r="F5445" t="s">
        <v>72</v>
      </c>
      <c r="G5445">
        <v>-208.1121</v>
      </c>
      <c r="H5445">
        <v>16.68599</v>
      </c>
      <c r="I5445">
        <v>391.87</v>
      </c>
      <c r="J5445">
        <v>-187.39439999999999</v>
      </c>
      <c r="K5445">
        <v>1.1207659999999999</v>
      </c>
      <c r="L5445">
        <v>-0.72415160000000001</v>
      </c>
      <c r="M5445">
        <v>-2.5831030000000001E-2</v>
      </c>
      <c r="N5445">
        <v>-8.8558690000000006E-3</v>
      </c>
      <c r="O5445">
        <v>0.99962709999999999</v>
      </c>
      <c r="P5445">
        <v>-3.400864E-2</v>
      </c>
      <c r="Q5445">
        <v>0.18113879999999999</v>
      </c>
      <c r="R5445">
        <v>0.98286929999999995</v>
      </c>
      <c r="S5445">
        <v>-0.15954589999999999</v>
      </c>
      <c r="T5445">
        <v>0.1198224</v>
      </c>
      <c r="U5445">
        <v>3.0244749999999998</v>
      </c>
      <c r="V5445">
        <v>-8.6715569999999999E-3</v>
      </c>
      <c r="W5445">
        <v>0.1898378</v>
      </c>
      <c r="X5445">
        <v>0.98177720000000002</v>
      </c>
      <c r="Y5445">
        <v>-2.6806569999999998E-2</v>
      </c>
      <c r="Z5445">
        <v>4.8373550000000001E-2</v>
      </c>
      <c r="AA5445">
        <v>0.99846950000000001</v>
      </c>
      <c r="AB5445">
        <v>30</v>
      </c>
      <c r="AC5445">
        <v>-20.717700000000001</v>
      </c>
      <c r="AD5445">
        <v>15.565223999999899</v>
      </c>
      <c r="AE5445">
        <v>392.59415159999998</v>
      </c>
      <c r="AF5445">
        <v>-10.5527357746808</v>
      </c>
      <c r="AG5445">
        <v>15.565223999999899</v>
      </c>
      <c r="AH5445">
        <v>392.38325051263399</v>
      </c>
      <c r="AI5445">
        <v>87.729178149807495</v>
      </c>
      <c r="AJ5445">
        <v>91.540538522296103</v>
      </c>
      <c r="AK5445">
        <v>392.83361835942901</v>
      </c>
      <c r="AL5445">
        <v>79.056681767288694</v>
      </c>
      <c r="AM5445">
        <v>90.506052389876203</v>
      </c>
      <c r="AN5445">
        <v>1.0000000283247401</v>
      </c>
    </row>
    <row r="5446" spans="1:40" x14ac:dyDescent="0.25">
      <c r="A5446" t="str">
        <f>"20190303162708893"</f>
        <v>20190303162708893</v>
      </c>
      <c r="B5446" t="str">
        <f>"1551601628889793"</f>
        <v>1551601628889793</v>
      </c>
      <c r="C5446" t="s">
        <v>40</v>
      </c>
      <c r="D5446">
        <v>5.2369199999999996</v>
      </c>
      <c r="E5446">
        <v>0.49264170000000002</v>
      </c>
      <c r="F5446" t="s">
        <v>72</v>
      </c>
      <c r="G5446">
        <v>-208.70650000000001</v>
      </c>
      <c r="H5446">
        <v>13.7289799999999</v>
      </c>
      <c r="I5446">
        <v>391.87</v>
      </c>
      <c r="J5446">
        <v>-187.40170000000001</v>
      </c>
      <c r="K5446">
        <v>1.1207720000000001</v>
      </c>
      <c r="L5446">
        <v>-0.44607540000000001</v>
      </c>
      <c r="M5446">
        <v>-2.6013089999999999E-2</v>
      </c>
      <c r="N5446">
        <v>-8.8613749999999995E-3</v>
      </c>
      <c r="O5446">
        <v>0.99962229999999996</v>
      </c>
      <c r="P5446">
        <v>-3.5242410000000002E-2</v>
      </c>
      <c r="Q5446">
        <v>0.18164710000000001</v>
      </c>
      <c r="R5446">
        <v>0.9827321</v>
      </c>
      <c r="S5446">
        <v>-0.16441349999999999</v>
      </c>
      <c r="T5446">
        <v>9.726667E-2</v>
      </c>
      <c r="U5446">
        <v>3.0286870000000001</v>
      </c>
      <c r="V5446">
        <v>-9.7299870000000007E-3</v>
      </c>
      <c r="W5446">
        <v>0.1903504</v>
      </c>
      <c r="X5446">
        <v>0.98166799999999999</v>
      </c>
      <c r="Y5446">
        <v>-2.8168909999999998E-2</v>
      </c>
      <c r="Z5446">
        <v>4.0901680000000003E-2</v>
      </c>
      <c r="AA5446">
        <v>0.99876600000000004</v>
      </c>
      <c r="AB5446">
        <v>30</v>
      </c>
      <c r="AC5446">
        <v>-21.3048</v>
      </c>
      <c r="AD5446">
        <v>12.6082079999999</v>
      </c>
      <c r="AE5446">
        <v>392.31607539999999</v>
      </c>
      <c r="AF5446">
        <v>-11.0804248924339</v>
      </c>
      <c r="AG5446">
        <v>12.6082079999999</v>
      </c>
      <c r="AH5446">
        <v>392.333503958785</v>
      </c>
      <c r="AI5446">
        <v>88.160083366056298</v>
      </c>
      <c r="AJ5446">
        <v>91.6177381253015</v>
      </c>
      <c r="AK5446">
        <v>392.69240004531099</v>
      </c>
      <c r="AL5446">
        <v>79.026766210904</v>
      </c>
      <c r="AM5446">
        <v>90.567879298047799</v>
      </c>
      <c r="AN5446">
        <v>1.0000000048255899</v>
      </c>
    </row>
    <row r="5447" spans="1:40" x14ac:dyDescent="0.25">
      <c r="A5447" t="str">
        <f>"20190303162708915"</f>
        <v>20190303162708915</v>
      </c>
      <c r="B5447" t="str">
        <f>"1551601628909312"</f>
        <v>1551601628909312</v>
      </c>
      <c r="C5447" t="s">
        <v>40</v>
      </c>
      <c r="D5447">
        <v>5.4146609999999997</v>
      </c>
      <c r="E5447">
        <v>0.49274190000000001</v>
      </c>
      <c r="F5447" t="s">
        <v>72</v>
      </c>
      <c r="G5447">
        <v>-209.52959999999999</v>
      </c>
      <c r="H5447">
        <v>10.67475</v>
      </c>
      <c r="I5447">
        <v>391.87</v>
      </c>
      <c r="J5447">
        <v>-187.40950000000001</v>
      </c>
      <c r="K5447">
        <v>1.120781</v>
      </c>
      <c r="L5447">
        <v>-0.15756229999999999</v>
      </c>
      <c r="M5447">
        <v>-2.6201680000000001E-2</v>
      </c>
      <c r="N5447">
        <v>-8.8671050000000001E-3</v>
      </c>
      <c r="O5447">
        <v>0.99961730000000004</v>
      </c>
      <c r="P5447">
        <v>-3.7081389999999999E-2</v>
      </c>
      <c r="Q5447">
        <v>0.18325939999999999</v>
      </c>
      <c r="R5447">
        <v>0.98236500000000004</v>
      </c>
      <c r="S5447">
        <v>-0.17106629999999901</v>
      </c>
      <c r="T5447">
        <v>7.3860170000000003E-2</v>
      </c>
      <c r="U5447">
        <v>3.0329280000000001</v>
      </c>
      <c r="V5447">
        <v>-1.1393210000000001E-2</v>
      </c>
      <c r="W5447">
        <v>0.19196469999999999</v>
      </c>
      <c r="X5447">
        <v>0.98133570000000003</v>
      </c>
      <c r="Y5447">
        <v>-3.010411E-2</v>
      </c>
      <c r="Z5447">
        <v>3.3165170000000001E-2</v>
      </c>
      <c r="AA5447">
        <v>0.99899640000000001</v>
      </c>
      <c r="AB5447">
        <v>30</v>
      </c>
      <c r="AC5447">
        <v>-22.120099999999901</v>
      </c>
      <c r="AD5447">
        <v>9.5539690000000004</v>
      </c>
      <c r="AE5447">
        <v>392.0275623</v>
      </c>
      <c r="AF5447">
        <v>-11.8333141337431</v>
      </c>
      <c r="AG5447">
        <v>9.5539690000000004</v>
      </c>
      <c r="AH5447">
        <v>392.24034271177902</v>
      </c>
      <c r="AI5447">
        <v>88.605331894017496</v>
      </c>
      <c r="AJ5447">
        <v>91.728005267705697</v>
      </c>
      <c r="AK5447">
        <v>392.53508390677001</v>
      </c>
      <c r="AL5447">
        <v>78.932535944616205</v>
      </c>
      <c r="AM5447">
        <v>90.665168424005699</v>
      </c>
      <c r="AN5447">
        <v>1.00000000368734</v>
      </c>
    </row>
    <row r="5448" spans="1:40" x14ac:dyDescent="0.25">
      <c r="A5448" t="str">
        <f>"20190303162708937"</f>
        <v>20190303162708937</v>
      </c>
      <c r="B5448" t="str">
        <f>"1551601628929808"</f>
        <v>1551601628929808</v>
      </c>
      <c r="C5448" t="s">
        <v>40</v>
      </c>
      <c r="D5448">
        <v>5.3581269999999996</v>
      </c>
      <c r="E5448">
        <v>0.4927918</v>
      </c>
      <c r="F5448" t="s">
        <v>72</v>
      </c>
      <c r="G5448">
        <v>-210.1507</v>
      </c>
      <c r="H5448">
        <v>10.14174</v>
      </c>
      <c r="I5448">
        <v>391.87</v>
      </c>
      <c r="J5448">
        <v>-187.41759999999999</v>
      </c>
      <c r="K5448">
        <v>1.120792</v>
      </c>
      <c r="L5448">
        <v>0.14385990000000001</v>
      </c>
      <c r="M5448">
        <v>-2.6398729999999999E-2</v>
      </c>
      <c r="N5448">
        <v>-8.8731319999999902E-3</v>
      </c>
      <c r="O5448">
        <v>0.9996121</v>
      </c>
      <c r="P5448">
        <v>-3.859137E-2</v>
      </c>
      <c r="Q5448">
        <v>0.1861573</v>
      </c>
      <c r="R5448">
        <v>0.98176180000000002</v>
      </c>
      <c r="S5448">
        <v>-0.1760101</v>
      </c>
      <c r="T5448">
        <v>6.9819569999999997E-2</v>
      </c>
      <c r="U5448">
        <v>3.0341800000000001</v>
      </c>
      <c r="V5448">
        <v>-1.272596E-2</v>
      </c>
      <c r="W5448">
        <v>0.19486290000000001</v>
      </c>
      <c r="X5448">
        <v>0.98074790000000001</v>
      </c>
      <c r="Y5448">
        <v>-3.150874E-2</v>
      </c>
      <c r="Z5448">
        <v>3.1830999999999998E-2</v>
      </c>
      <c r="AA5448">
        <v>0.99899649999999995</v>
      </c>
      <c r="AB5448">
        <v>30</v>
      </c>
      <c r="AC5448">
        <v>-22.7331</v>
      </c>
      <c r="AD5448">
        <v>9.0209480000000006</v>
      </c>
      <c r="AE5448">
        <v>391.72614010000001</v>
      </c>
      <c r="AF5448">
        <v>-12.3771550427356</v>
      </c>
      <c r="AG5448">
        <v>9.0209480000000006</v>
      </c>
      <c r="AH5448">
        <v>391.98257951591199</v>
      </c>
      <c r="AI5448">
        <v>88.682304468157795</v>
      </c>
      <c r="AJ5448">
        <v>91.808557931233494</v>
      </c>
      <c r="AK5448">
        <v>392.28167700482601</v>
      </c>
      <c r="AL5448">
        <v>78.763284971303307</v>
      </c>
      <c r="AM5448">
        <v>90.743415183710894</v>
      </c>
      <c r="AN5448">
        <v>0.99999997160437004</v>
      </c>
    </row>
    <row r="5449" spans="1:40" x14ac:dyDescent="0.25">
      <c r="A5449" t="str">
        <f>"20190303162708985"</f>
        <v>20190303162708985</v>
      </c>
      <c r="B5449" t="str">
        <f>"1551601628979585"</f>
        <v>1551601628979585</v>
      </c>
      <c r="C5449" t="s">
        <v>40</v>
      </c>
      <c r="D5449">
        <v>5.4774459999999996</v>
      </c>
      <c r="E5449">
        <v>0.49218909999999899</v>
      </c>
      <c r="F5449" t="s">
        <v>72</v>
      </c>
      <c r="G5449">
        <v>-210.78120000000001</v>
      </c>
      <c r="H5449">
        <v>10.21241</v>
      </c>
      <c r="I5449">
        <v>391.87</v>
      </c>
      <c r="J5449">
        <v>-187.43469999999999</v>
      </c>
      <c r="K5449">
        <v>1.120803</v>
      </c>
      <c r="L5449">
        <v>0.77066040000000002</v>
      </c>
      <c r="M5449">
        <v>-2.6808760000000001E-2</v>
      </c>
      <c r="N5449">
        <v>-8.8856560000000005E-3</v>
      </c>
      <c r="O5449">
        <v>0.99960110000000002</v>
      </c>
      <c r="P5449">
        <v>-4.3055540000000003E-2</v>
      </c>
      <c r="Q5449">
        <v>0.18998480000000001</v>
      </c>
      <c r="R5449">
        <v>0.98084249999999995</v>
      </c>
      <c r="S5449">
        <v>-0.18103030000000001</v>
      </c>
      <c r="T5449">
        <v>7.0445419999999995E-2</v>
      </c>
      <c r="U5449">
        <v>3.0352480000000002</v>
      </c>
      <c r="V5449">
        <v>-1.6812130000000002E-2</v>
      </c>
      <c r="W5449">
        <v>0.19869419999999999</v>
      </c>
      <c r="X5449">
        <v>0.97991729999999999</v>
      </c>
      <c r="Y5449">
        <v>-3.2724709999999997E-2</v>
      </c>
      <c r="Z5449">
        <v>3.2038839999999999E-2</v>
      </c>
      <c r="AA5449">
        <v>0.99895080000000003</v>
      </c>
      <c r="AB5449">
        <v>30</v>
      </c>
      <c r="AC5449">
        <v>-23.346499999999999</v>
      </c>
      <c r="AD5449">
        <v>9.0916069999999998</v>
      </c>
      <c r="AE5449">
        <v>391.09933960000001</v>
      </c>
      <c r="AF5449">
        <v>-12.845888865272901</v>
      </c>
      <c r="AG5449">
        <v>9.0916069999999998</v>
      </c>
      <c r="AH5449">
        <v>391.37393172167702</v>
      </c>
      <c r="AI5449">
        <v>88.6699757386925</v>
      </c>
      <c r="AJ5449">
        <v>91.879918459818199</v>
      </c>
      <c r="AK5449">
        <v>391.69022021217899</v>
      </c>
      <c r="AL5449">
        <v>78.539389908388898</v>
      </c>
      <c r="AM5449">
        <v>90.982909065375594</v>
      </c>
      <c r="AN5449">
        <v>0.99999997383403305</v>
      </c>
    </row>
    <row r="5450" spans="1:40" x14ac:dyDescent="0.25">
      <c r="A5450" t="str">
        <f>"20190303162709005"</f>
        <v>20190303162709005</v>
      </c>
      <c r="B5450" t="str">
        <f>"1551601628999442"</f>
        <v>1551601628999442</v>
      </c>
      <c r="C5450" t="s">
        <v>40</v>
      </c>
      <c r="D5450">
        <v>5.4165260000000002</v>
      </c>
      <c r="E5450">
        <v>0.49214819999999998</v>
      </c>
      <c r="F5450" t="s">
        <v>72</v>
      </c>
      <c r="G5450">
        <v>-213.3509</v>
      </c>
      <c r="H5450">
        <v>9.1146770000000004</v>
      </c>
      <c r="I5450">
        <v>391.87</v>
      </c>
      <c r="J5450">
        <v>-187.4425</v>
      </c>
      <c r="K5450">
        <v>1.1208100000000001</v>
      </c>
      <c r="L5450">
        <v>1.0527340000000001</v>
      </c>
      <c r="M5450">
        <v>-2.6993059999999999E-2</v>
      </c>
      <c r="N5450">
        <v>-8.8913310000000006E-3</v>
      </c>
      <c r="O5450">
        <v>0.99959609999999999</v>
      </c>
      <c r="P5450">
        <v>-4.6070350000000003E-2</v>
      </c>
      <c r="Q5450">
        <v>0.19140940000000001</v>
      </c>
      <c r="R5450">
        <v>0.98042850000000004</v>
      </c>
      <c r="S5450">
        <v>-0.2012939</v>
      </c>
      <c r="T5450">
        <v>6.2089440000000003E-2</v>
      </c>
      <c r="U5450">
        <v>3.0377200000000002</v>
      </c>
      <c r="V5450">
        <v>-1.965652E-2</v>
      </c>
      <c r="W5450">
        <v>0.20012079999999999</v>
      </c>
      <c r="X5450">
        <v>0.97957399999999994</v>
      </c>
      <c r="Y5450">
        <v>-3.913432E-2</v>
      </c>
      <c r="Z5450">
        <v>2.927461E-2</v>
      </c>
      <c r="AA5450">
        <v>0.99880500000000005</v>
      </c>
      <c r="AB5450">
        <v>30</v>
      </c>
      <c r="AC5450">
        <v>-25.9084</v>
      </c>
      <c r="AD5450">
        <v>7.9938669999999998</v>
      </c>
      <c r="AE5450">
        <v>390.81726600000002</v>
      </c>
      <c r="AF5450">
        <v>-15.3427971154775</v>
      </c>
      <c r="AG5450">
        <v>7.9938669999999998</v>
      </c>
      <c r="AH5450">
        <v>391.21126665965897</v>
      </c>
      <c r="AI5450">
        <v>88.830301002726699</v>
      </c>
      <c r="AJ5450">
        <v>92.245914946952993</v>
      </c>
      <c r="AK5450">
        <v>391.59361396018102</v>
      </c>
      <c r="AL5450">
        <v>78.455976444020095</v>
      </c>
      <c r="AM5450">
        <v>91.149565534590593</v>
      </c>
      <c r="AN5450">
        <v>0.999999967423574</v>
      </c>
    </row>
    <row r="5451" spans="1:40" x14ac:dyDescent="0.25">
      <c r="A5451" t="str">
        <f>"20190303162709028"</f>
        <v>20190303162709028</v>
      </c>
      <c r="B5451" t="str">
        <f>"1551601629019939"</f>
        <v>1551601629019939</v>
      </c>
      <c r="C5451" t="s">
        <v>40</v>
      </c>
      <c r="D5451">
        <v>5.1406599999999996</v>
      </c>
      <c r="E5451">
        <v>0.49210189999999998</v>
      </c>
      <c r="F5451" t="s">
        <v>72</v>
      </c>
      <c r="G5451">
        <v>-214.37200000000001</v>
      </c>
      <c r="H5451">
        <v>8.6209399999999992</v>
      </c>
      <c r="I5451">
        <v>391.87</v>
      </c>
      <c r="J5451">
        <v>-187.4512</v>
      </c>
      <c r="K5451">
        <v>1.1208119999999999</v>
      </c>
      <c r="L5451">
        <v>1.3675839999999999</v>
      </c>
      <c r="M5451">
        <v>-2.7198960000000001E-2</v>
      </c>
      <c r="N5451">
        <v>-8.8977339999999992E-3</v>
      </c>
      <c r="O5451">
        <v>0.99959050000000005</v>
      </c>
      <c r="P5451">
        <v>-4.889988E-2</v>
      </c>
      <c r="Q5451">
        <v>0.1917468</v>
      </c>
      <c r="R5451">
        <v>0.98022540000000002</v>
      </c>
      <c r="S5451">
        <v>-0.20938109999999999</v>
      </c>
      <c r="T5451">
        <v>5.8314680000000001E-2</v>
      </c>
      <c r="U5451">
        <v>3.0386660000000001</v>
      </c>
      <c r="V5451">
        <v>-2.2288820000000001E-2</v>
      </c>
      <c r="W5451">
        <v>0.2004618</v>
      </c>
      <c r="X5451">
        <v>0.97944799999999999</v>
      </c>
      <c r="Y5451">
        <v>-4.1556349999999999E-2</v>
      </c>
      <c r="Z5451">
        <v>2.8032749999999999E-2</v>
      </c>
      <c r="AA5451">
        <v>0.99874280000000004</v>
      </c>
      <c r="AB5451">
        <v>30</v>
      </c>
      <c r="AC5451">
        <v>-26.9208</v>
      </c>
      <c r="AD5451">
        <v>7.5001279999999904</v>
      </c>
      <c r="AE5451">
        <v>390.50241599999998</v>
      </c>
      <c r="AF5451">
        <v>-16.2831819777624</v>
      </c>
      <c r="AG5451">
        <v>7.5001279999999904</v>
      </c>
      <c r="AH5451">
        <v>390.946649104024</v>
      </c>
      <c r="AI5451">
        <v>88.901894017350102</v>
      </c>
      <c r="AJ5451">
        <v>92.385027922180399</v>
      </c>
      <c r="AK5451">
        <v>391.35747901503402</v>
      </c>
      <c r="AL5451">
        <v>78.436035509938506</v>
      </c>
      <c r="AM5451">
        <v>91.303627083832893</v>
      </c>
      <c r="AN5451">
        <v>1.00000005473011</v>
      </c>
    </row>
    <row r="5452" spans="1:40" x14ac:dyDescent="0.25">
      <c r="A5452" t="str">
        <f>"20190303162709075"</f>
        <v>20190303162709075</v>
      </c>
      <c r="B5452" t="str">
        <f>"1551601629069713"</f>
        <v>1551601629069713</v>
      </c>
      <c r="C5452" t="s">
        <v>40</v>
      </c>
      <c r="D5452">
        <v>5.476108</v>
      </c>
      <c r="E5452">
        <v>0.49235250000000003</v>
      </c>
      <c r="F5452" t="s">
        <v>72</v>
      </c>
      <c r="G5452">
        <v>-215.19720000000001</v>
      </c>
      <c r="H5452">
        <v>7.6533069999999999</v>
      </c>
      <c r="I5452">
        <v>390.11860000000001</v>
      </c>
      <c r="J5452">
        <v>-187.46850000000001</v>
      </c>
      <c r="K5452">
        <v>1.1208209999999901</v>
      </c>
      <c r="L5452">
        <v>1.9824520000000001</v>
      </c>
      <c r="M5452">
        <v>-2.7600969999999999E-2</v>
      </c>
      <c r="N5452">
        <v>-8.9101259999999904E-3</v>
      </c>
      <c r="O5452">
        <v>0.99957929999999995</v>
      </c>
      <c r="P5452">
        <v>-5.0625959999999998E-2</v>
      </c>
      <c r="Q5452">
        <v>0.19310749999999999</v>
      </c>
      <c r="R5452">
        <v>0.97987069999999998</v>
      </c>
      <c r="S5452">
        <v>-0.21694949999999999</v>
      </c>
      <c r="T5452">
        <v>5.1078560000000002E-2</v>
      </c>
      <c r="U5452">
        <v>3.0397029999999998</v>
      </c>
      <c r="V5452">
        <v>-2.3630350000000001E-2</v>
      </c>
      <c r="W5452">
        <v>0.20183129999999999</v>
      </c>
      <c r="X5452">
        <v>0.97913519999999998</v>
      </c>
      <c r="Y5452">
        <v>-4.3609740000000001E-2</v>
      </c>
      <c r="Z5452">
        <v>2.5661969999999999E-2</v>
      </c>
      <c r="AA5452">
        <v>0.99871900000000002</v>
      </c>
      <c r="AB5452">
        <v>30</v>
      </c>
      <c r="AC5452">
        <v>-27.7287</v>
      </c>
      <c r="AD5452">
        <v>6.5324859999999996</v>
      </c>
      <c r="AE5452">
        <v>388.13614799999999</v>
      </c>
      <c r="AF5452">
        <v>-16.9999845398</v>
      </c>
      <c r="AG5452">
        <v>6.5324859999999996</v>
      </c>
      <c r="AH5452">
        <v>388.64410458994001</v>
      </c>
      <c r="AI5452">
        <v>89.0379599783614</v>
      </c>
      <c r="AJ5452">
        <v>92.504622739380594</v>
      </c>
      <c r="AK5452">
        <v>389.07057570601597</v>
      </c>
      <c r="AL5452">
        <v>78.355931103360902</v>
      </c>
      <c r="AM5452">
        <v>91.382502185626606</v>
      </c>
      <c r="AN5452">
        <v>1.0000000034899199</v>
      </c>
    </row>
    <row r="5453" spans="1:40" x14ac:dyDescent="0.25">
      <c r="A5453" t="str">
        <f>"20190303162709117"</f>
        <v>20190303162709117</v>
      </c>
      <c r="B5453" t="str">
        <f>"1551601629110025"</f>
        <v>1551601629110025</v>
      </c>
      <c r="C5453" t="s">
        <v>40</v>
      </c>
      <c r="D5453">
        <v>5.4176310000000001</v>
      </c>
      <c r="E5453">
        <v>0.4926779</v>
      </c>
      <c r="F5453" t="s">
        <v>72</v>
      </c>
      <c r="G5453">
        <v>-215.45089999999999</v>
      </c>
      <c r="H5453">
        <v>6.4671329999999996</v>
      </c>
      <c r="I5453">
        <v>390.11860000000001</v>
      </c>
      <c r="J5453">
        <v>-187.48490000000001</v>
      </c>
      <c r="K5453">
        <v>1.12083</v>
      </c>
      <c r="L5453">
        <v>2.5633849999999998</v>
      </c>
      <c r="M5453">
        <v>-2.7979710000000001E-2</v>
      </c>
      <c r="N5453">
        <v>-8.9218240000000001E-3</v>
      </c>
      <c r="O5453">
        <v>0.99956869999999998</v>
      </c>
      <c r="P5453">
        <v>-4.9356240000000003E-2</v>
      </c>
      <c r="Q5453">
        <v>0.19442000000000001</v>
      </c>
      <c r="R5453">
        <v>0.97967590000000004</v>
      </c>
      <c r="S5453">
        <v>-0.2193146</v>
      </c>
      <c r="T5453">
        <v>4.1902179999999997E-2</v>
      </c>
      <c r="U5453">
        <v>3.0420530000000001</v>
      </c>
      <c r="V5453">
        <v>-2.1996140000000001E-2</v>
      </c>
      <c r="W5453">
        <v>0.20315369999999999</v>
      </c>
      <c r="X5453">
        <v>0.97889979999999999</v>
      </c>
      <c r="Y5453">
        <v>-4.3953579999999999E-2</v>
      </c>
      <c r="Z5453">
        <v>2.2651879999999999E-2</v>
      </c>
      <c r="AA5453">
        <v>0.99877669999999996</v>
      </c>
      <c r="AB5453">
        <v>30</v>
      </c>
      <c r="AC5453">
        <v>-27.965999999999902</v>
      </c>
      <c r="AD5453">
        <v>5.3463029999999998</v>
      </c>
      <c r="AE5453">
        <v>387.55521499999998</v>
      </c>
      <c r="AF5453">
        <v>-17.107697599562599</v>
      </c>
      <c r="AG5453">
        <v>5.3463029999999998</v>
      </c>
      <c r="AH5453">
        <v>388.11250795411098</v>
      </c>
      <c r="AI5453">
        <v>89.211558193025397</v>
      </c>
      <c r="AJ5453">
        <v>92.523919620527707</v>
      </c>
      <c r="AK5453">
        <v>388.52615755358801</v>
      </c>
      <c r="AL5453">
        <v>78.278560731931407</v>
      </c>
      <c r="AM5453">
        <v>91.287234853108998</v>
      </c>
      <c r="AN5453">
        <v>1.0000000372193101</v>
      </c>
    </row>
    <row r="5454" spans="1:40" x14ac:dyDescent="0.25">
      <c r="A5454" t="str">
        <f>"20190303162709139"</f>
        <v>20190303162709139</v>
      </c>
      <c r="B5454" t="str">
        <f>"1551601629129545"</f>
        <v>1551601629129545</v>
      </c>
      <c r="C5454" t="s">
        <v>40</v>
      </c>
      <c r="D5454">
        <v>5.4140119999999996</v>
      </c>
      <c r="E5454">
        <v>0.49281599999999998</v>
      </c>
      <c r="F5454" t="s">
        <v>72</v>
      </c>
      <c r="G5454">
        <v>-214.57509999999999</v>
      </c>
      <c r="H5454">
        <v>5.8102369999999999</v>
      </c>
      <c r="I5454">
        <v>391.87</v>
      </c>
      <c r="J5454">
        <v>-187.4933</v>
      </c>
      <c r="K5454">
        <v>1.1208320000000001</v>
      </c>
      <c r="L5454">
        <v>2.8564449999999999</v>
      </c>
      <c r="M5454">
        <v>-2.8170549999999999E-2</v>
      </c>
      <c r="N5454">
        <v>-8.927707E-3</v>
      </c>
      <c r="O5454">
        <v>0.99956330000000004</v>
      </c>
      <c r="P5454">
        <v>-4.8567550000000001E-2</v>
      </c>
      <c r="Q5454">
        <v>0.19373000000000001</v>
      </c>
      <c r="R5454">
        <v>0.97985199999999995</v>
      </c>
      <c r="S5454">
        <v>-0.21183779999999999</v>
      </c>
      <c r="T5454">
        <v>3.6669970000000003E-2</v>
      </c>
      <c r="U5454">
        <v>3.0442809999999998</v>
      </c>
      <c r="V5454">
        <v>-2.1015659999999999E-2</v>
      </c>
      <c r="W5454">
        <v>0.2024716</v>
      </c>
      <c r="X5454">
        <v>0.97906260000000001</v>
      </c>
      <c r="Y5454">
        <v>-4.1271710000000003E-2</v>
      </c>
      <c r="Z5454">
        <v>2.0935680000000002E-2</v>
      </c>
      <c r="AA5454">
        <v>0.99892860000000006</v>
      </c>
      <c r="AB5454">
        <v>30</v>
      </c>
      <c r="AC5454">
        <v>-27.081799999999902</v>
      </c>
      <c r="AD5454">
        <v>4.6894049999999998</v>
      </c>
      <c r="AE5454">
        <v>389.013555</v>
      </c>
      <c r="AF5454">
        <v>-16.109559432797699</v>
      </c>
      <c r="AG5454">
        <v>4.6894049999999998</v>
      </c>
      <c r="AH5454">
        <v>389.56575883903599</v>
      </c>
      <c r="AI5454">
        <v>89.310923173666893</v>
      </c>
      <c r="AJ5454">
        <v>92.367980645816104</v>
      </c>
      <c r="AK5454">
        <v>389.92690197549399</v>
      </c>
      <c r="AL5454">
        <v>78.318471077801405</v>
      </c>
      <c r="AM5454">
        <v>91.229669830977002</v>
      </c>
      <c r="AN5454">
        <v>0.99999999074527701</v>
      </c>
    </row>
    <row r="5455" spans="1:40" x14ac:dyDescent="0.25">
      <c r="A5455" t="str">
        <f>"20190303162709165"</f>
        <v>20190303162709165</v>
      </c>
      <c r="B5455" t="str">
        <f>"1551601629159802"</f>
        <v>1551601629159802</v>
      </c>
      <c r="C5455" t="s">
        <v>40</v>
      </c>
      <c r="D5455">
        <v>5.3541439999999998</v>
      </c>
      <c r="E5455">
        <v>0.49310579999999998</v>
      </c>
      <c r="F5455" t="s">
        <v>72</v>
      </c>
      <c r="G5455">
        <v>-213.98220000000001</v>
      </c>
      <c r="H5455">
        <v>5.0214470000000002</v>
      </c>
      <c r="I5455">
        <v>391.87</v>
      </c>
      <c r="J5455">
        <v>-187.5033</v>
      </c>
      <c r="K5455">
        <v>1.120827</v>
      </c>
      <c r="L5455">
        <v>3.2007140000000001</v>
      </c>
      <c r="M5455">
        <v>-2.839467E-2</v>
      </c>
      <c r="N5455">
        <v>-8.9346779999999997E-3</v>
      </c>
      <c r="O5455">
        <v>0.99955680000000002</v>
      </c>
      <c r="P5455">
        <v>-4.7437510000000002E-2</v>
      </c>
      <c r="Q5455">
        <v>0.19375310000000001</v>
      </c>
      <c r="R5455">
        <v>0.97990270000000002</v>
      </c>
      <c r="S5455">
        <v>-0.20736689999999999</v>
      </c>
      <c r="T5455">
        <v>3.0535820000000002E-2</v>
      </c>
      <c r="U5455">
        <v>3.0453800000000002</v>
      </c>
      <c r="V5455">
        <v>-1.9664910000000001E-2</v>
      </c>
      <c r="W5455">
        <v>0.2025024</v>
      </c>
      <c r="X5455">
        <v>0.97908430000000002</v>
      </c>
      <c r="Y5455">
        <v>-3.9565429999999999E-2</v>
      </c>
      <c r="Z5455">
        <v>1.893007E-2</v>
      </c>
      <c r="AA5455">
        <v>0.99903759999999997</v>
      </c>
      <c r="AB5455">
        <v>30</v>
      </c>
      <c r="AC5455">
        <v>-26.478899999999999</v>
      </c>
      <c r="AD5455">
        <v>3.9006199999999902</v>
      </c>
      <c r="AE5455">
        <v>388.669286</v>
      </c>
      <c r="AF5455">
        <v>-15.4300983920461</v>
      </c>
      <c r="AG5455">
        <v>3.9006199999999902</v>
      </c>
      <c r="AH5455">
        <v>389.22542695868799</v>
      </c>
      <c r="AI5455">
        <v>89.426280565866506</v>
      </c>
      <c r="AJ5455">
        <v>92.270192947500902</v>
      </c>
      <c r="AK5455">
        <v>389.550684460887</v>
      </c>
      <c r="AL5455">
        <v>78.316669131489604</v>
      </c>
      <c r="AM5455">
        <v>91.150631131183005</v>
      </c>
      <c r="AN5455">
        <v>0.99999999859877897</v>
      </c>
    </row>
    <row r="5456" spans="1:40" x14ac:dyDescent="0.25">
      <c r="A5456" t="str">
        <f>"20190303162709186"</f>
        <v>20190303162709186</v>
      </c>
      <c r="B5456" t="str">
        <f>"1551601629179322"</f>
        <v>1551601629179322</v>
      </c>
      <c r="C5456" t="s">
        <v>40</v>
      </c>
      <c r="D5456">
        <v>4.9832580000000002</v>
      </c>
      <c r="E5456">
        <v>0.49323529999999999</v>
      </c>
      <c r="F5456" t="s">
        <v>72</v>
      </c>
      <c r="G5456">
        <v>-213.21119999999999</v>
      </c>
      <c r="H5456">
        <v>4.3530870000000004</v>
      </c>
      <c r="I5456">
        <v>391.87</v>
      </c>
      <c r="J5456">
        <v>-187.51179999999999</v>
      </c>
      <c r="K5456">
        <v>1.1208199999999999</v>
      </c>
      <c r="L5456">
        <v>3.4952999999999999</v>
      </c>
      <c r="M5456">
        <v>-2.8586589999999999E-2</v>
      </c>
      <c r="N5456">
        <v>-8.9406590000000001E-3</v>
      </c>
      <c r="O5456">
        <v>0.99955139999999998</v>
      </c>
      <c r="P5456">
        <v>-4.6404309999999997E-2</v>
      </c>
      <c r="Q5456">
        <v>0.19348029999999999</v>
      </c>
      <c r="R5456">
        <v>0.98000620000000005</v>
      </c>
      <c r="S5456">
        <v>-0.2015228</v>
      </c>
      <c r="T5456">
        <v>2.5337459999999999E-2</v>
      </c>
      <c r="U5456">
        <v>3.0467529999999998</v>
      </c>
      <c r="V5456">
        <v>-1.844088E-2</v>
      </c>
      <c r="W5456">
        <v>0.2022362</v>
      </c>
      <c r="X5456">
        <v>0.97916309999999995</v>
      </c>
      <c r="Y5456">
        <v>-3.7436980000000002E-2</v>
      </c>
      <c r="Z5456">
        <v>1.7230430000000001E-2</v>
      </c>
      <c r="AA5456">
        <v>0.99915050000000005</v>
      </c>
      <c r="AB5456">
        <v>30</v>
      </c>
      <c r="AC5456">
        <v>-25.699400000000001</v>
      </c>
      <c r="AD5456">
        <v>3.2322669999999998</v>
      </c>
      <c r="AE5456">
        <v>388.37470000000002</v>
      </c>
      <c r="AF5456">
        <v>-14.585139141203801</v>
      </c>
      <c r="AG5456">
        <v>3.2322669999999998</v>
      </c>
      <c r="AH5456">
        <v>388.92383256627801</v>
      </c>
      <c r="AI5456">
        <v>89.524171829599993</v>
      </c>
      <c r="AJ5456">
        <v>92.147658310463399</v>
      </c>
      <c r="AK5456">
        <v>389.21063882140999</v>
      </c>
      <c r="AL5456">
        <v>78.332243074574393</v>
      </c>
      <c r="AM5456">
        <v>91.078941495919494</v>
      </c>
      <c r="AN5456">
        <v>0.99999996152361104</v>
      </c>
    </row>
    <row r="5457" spans="1:40" x14ac:dyDescent="0.25">
      <c r="A5457" t="str">
        <f>"20190303162709228"</f>
        <v>20190303162709228</v>
      </c>
      <c r="B5457" t="str">
        <f>"1551601629219337"</f>
        <v>1551601629219337</v>
      </c>
      <c r="C5457" t="s">
        <v>40</v>
      </c>
      <c r="D5457">
        <v>5.018421</v>
      </c>
      <c r="E5457">
        <v>0.49336540000000001</v>
      </c>
      <c r="F5457" t="s">
        <v>72</v>
      </c>
      <c r="G5457">
        <v>-212.56479999999999</v>
      </c>
      <c r="H5457">
        <v>3.8630209999999998</v>
      </c>
      <c r="I5457">
        <v>391.87</v>
      </c>
      <c r="J5457">
        <v>-187.52869999999999</v>
      </c>
      <c r="K5457">
        <v>1.120824</v>
      </c>
      <c r="L5457">
        <v>4.0689390000000003</v>
      </c>
      <c r="M5457">
        <v>-2.8960320000000001E-2</v>
      </c>
      <c r="N5457">
        <v>-8.9522779999999993E-3</v>
      </c>
      <c r="O5457">
        <v>0.9995404</v>
      </c>
      <c r="P5457">
        <v>-4.5208819999999997E-2</v>
      </c>
      <c r="Q5457">
        <v>0.19351099999999999</v>
      </c>
      <c r="R5457">
        <v>0.98005589999999998</v>
      </c>
      <c r="S5457">
        <v>-0.1965942</v>
      </c>
      <c r="T5457">
        <v>2.1518470000000001E-2</v>
      </c>
      <c r="U5457">
        <v>3.0476380000000001</v>
      </c>
      <c r="V5457">
        <v>-1.687845E-2</v>
      </c>
      <c r="W5457">
        <v>0.20227919999999999</v>
      </c>
      <c r="X5457">
        <v>0.97918240000000001</v>
      </c>
      <c r="Y5457">
        <v>-3.5436349999999998E-2</v>
      </c>
      <c r="Z5457">
        <v>1.5989969999999999E-2</v>
      </c>
      <c r="AA5457">
        <v>0.99924400000000002</v>
      </c>
      <c r="AB5457">
        <v>31</v>
      </c>
      <c r="AC5457">
        <v>-25.036100000000001</v>
      </c>
      <c r="AD5457">
        <v>2.742197</v>
      </c>
      <c r="AE5457">
        <v>387.801061</v>
      </c>
      <c r="AF5457">
        <v>-13.793617526552</v>
      </c>
      <c r="AG5457">
        <v>2.742197</v>
      </c>
      <c r="AH5457">
        <v>388.34413497039901</v>
      </c>
      <c r="AI5457">
        <v>89.595681565234401</v>
      </c>
      <c r="AJ5457">
        <v>92.034236888246298</v>
      </c>
      <c r="AK5457">
        <v>388.59870135496197</v>
      </c>
      <c r="AL5457">
        <v>78.329727399033203</v>
      </c>
      <c r="AM5457">
        <v>90.987526111017203</v>
      </c>
      <c r="AN5457">
        <v>0.99999996464840002</v>
      </c>
    </row>
    <row r="5458" spans="1:40" x14ac:dyDescent="0.25">
      <c r="A5458" t="str">
        <f>"20190303162709251"</f>
        <v>20190303162709251</v>
      </c>
      <c r="B5458" t="str">
        <f>"1551601629239833"</f>
        <v>1551601629239833</v>
      </c>
      <c r="C5458" t="s">
        <v>40</v>
      </c>
      <c r="D5458">
        <v>5.1119000000000003</v>
      </c>
      <c r="E5458">
        <v>0.49339549999999999</v>
      </c>
      <c r="F5458" t="s">
        <v>72</v>
      </c>
      <c r="G5458">
        <v>-211.96039999999999</v>
      </c>
      <c r="H5458">
        <v>3.2875640000000002</v>
      </c>
      <c r="I5458">
        <v>391.87</v>
      </c>
      <c r="J5458">
        <v>-187.53819999999999</v>
      </c>
      <c r="K5458">
        <v>1.120819</v>
      </c>
      <c r="L5458">
        <v>4.388458</v>
      </c>
      <c r="M5458">
        <v>-2.9168679999999999E-2</v>
      </c>
      <c r="N5458">
        <v>-8.9587509999999992E-3</v>
      </c>
      <c r="O5458">
        <v>0.99953440000000005</v>
      </c>
      <c r="P5458">
        <v>-4.418267E-2</v>
      </c>
      <c r="Q5458">
        <v>0.19309979999999999</v>
      </c>
      <c r="R5458">
        <v>0.98018380000000005</v>
      </c>
      <c r="S5458">
        <v>-0.19207759999999999</v>
      </c>
      <c r="T5458">
        <v>1.7034529999999999E-2</v>
      </c>
      <c r="U5458">
        <v>3.0488279999999999</v>
      </c>
      <c r="V5458">
        <v>-1.5644789999999999E-2</v>
      </c>
      <c r="W5458">
        <v>0.20187569999999999</v>
      </c>
      <c r="X5458">
        <v>0.9792862</v>
      </c>
      <c r="Y5458">
        <v>-3.3729799999999997E-2</v>
      </c>
      <c r="Z5458">
        <v>1.452664E-2</v>
      </c>
      <c r="AA5458">
        <v>0.99932540000000003</v>
      </c>
      <c r="AB5458">
        <v>31</v>
      </c>
      <c r="AC5458">
        <v>-24.4222</v>
      </c>
      <c r="AD5458">
        <v>2.1667450000000001</v>
      </c>
      <c r="AE5458">
        <v>387.48154199999999</v>
      </c>
      <c r="AF5458">
        <v>-13.1086211426258</v>
      </c>
      <c r="AG5458">
        <v>2.1667450000000001</v>
      </c>
      <c r="AH5458">
        <v>388.01696376077302</v>
      </c>
      <c r="AI5458">
        <v>89.680237509791993</v>
      </c>
      <c r="AJ5458">
        <v>91.934923450206298</v>
      </c>
      <c r="AK5458">
        <v>388.24437523070998</v>
      </c>
      <c r="AL5458">
        <v>78.353333777451994</v>
      </c>
      <c r="AM5458">
        <v>90.915262760780394</v>
      </c>
      <c r="AN5458">
        <v>1.0000000096075301</v>
      </c>
    </row>
    <row r="5459" spans="1:40" x14ac:dyDescent="0.25">
      <c r="A5459" t="str">
        <f>"20190303162709276"</f>
        <v>20190303162709276</v>
      </c>
      <c r="B5459" t="str">
        <f>"1551601629270090"</f>
        <v>1551601629270090</v>
      </c>
      <c r="C5459" t="s">
        <v>40</v>
      </c>
      <c r="D5459">
        <v>4.92781</v>
      </c>
      <c r="E5459">
        <v>0.52044699999999999</v>
      </c>
      <c r="F5459" t="s">
        <v>72</v>
      </c>
      <c r="G5459">
        <v>-211.6087</v>
      </c>
      <c r="H5459">
        <v>2.9373559999999999</v>
      </c>
      <c r="I5459">
        <v>391.87</v>
      </c>
      <c r="J5459">
        <v>-187.54839999999999</v>
      </c>
      <c r="K5459">
        <v>1.1208180000000001</v>
      </c>
      <c r="L5459">
        <v>4.7306819999999998</v>
      </c>
      <c r="M5459">
        <v>-2.9391609999999999E-2</v>
      </c>
      <c r="N5459">
        <v>-8.9656430000000006E-3</v>
      </c>
      <c r="O5459">
        <v>0.99952779999999997</v>
      </c>
      <c r="P5459">
        <v>-4.347496E-2</v>
      </c>
      <c r="Q5459">
        <v>0.19199649999999999</v>
      </c>
      <c r="R5459">
        <v>0.98043219999999998</v>
      </c>
      <c r="S5459">
        <v>-0.1894226</v>
      </c>
      <c r="T5459">
        <v>1.4295220000000001E-2</v>
      </c>
      <c r="U5459">
        <v>3.0492859999999999</v>
      </c>
      <c r="V5459">
        <v>-1.4711439999999999E-2</v>
      </c>
      <c r="W5459">
        <v>0.2007813</v>
      </c>
      <c r="X5459">
        <v>0.9795256</v>
      </c>
      <c r="Y5459">
        <v>-3.2631380000000001E-2</v>
      </c>
      <c r="Z5459">
        <v>1.363639E-2</v>
      </c>
      <c r="AA5459">
        <v>0.9993744</v>
      </c>
      <c r="AB5459">
        <v>31</v>
      </c>
      <c r="AC5459">
        <v>-24.060300000000002</v>
      </c>
      <c r="AD5459">
        <v>1.816538</v>
      </c>
      <c r="AE5459">
        <v>387.139318</v>
      </c>
      <c r="AF5459">
        <v>-12.670521792893799</v>
      </c>
      <c r="AG5459">
        <v>1.816538</v>
      </c>
      <c r="AH5459">
        <v>387.67074696395201</v>
      </c>
      <c r="AI5459">
        <v>89.731670096108004</v>
      </c>
      <c r="AJ5459">
        <v>91.871972789357898</v>
      </c>
      <c r="AK5459">
        <v>387.88200523406402</v>
      </c>
      <c r="AL5459">
        <v>78.417348713178697</v>
      </c>
      <c r="AM5459">
        <v>90.860457402644798</v>
      </c>
      <c r="AN5459">
        <v>0.99999997897596105</v>
      </c>
    </row>
    <row r="5460" spans="1:40" x14ac:dyDescent="0.25">
      <c r="A5460" t="str">
        <f>"20190303162709318"</f>
        <v>20190303162709318</v>
      </c>
      <c r="B5460" t="str">
        <f>"1551601629310106"</f>
        <v>1551601629310106</v>
      </c>
      <c r="C5460" t="s">
        <v>40</v>
      </c>
      <c r="D5460">
        <v>4.7546280000000003</v>
      </c>
      <c r="E5460">
        <v>0.53745569999999998</v>
      </c>
      <c r="F5460" t="s">
        <v>41</v>
      </c>
      <c r="G5460">
        <v>-186.87520000000001</v>
      </c>
      <c r="H5460" s="1">
        <v>-4.7975939999999999E-6</v>
      </c>
      <c r="I5460">
        <v>79.524010000000004</v>
      </c>
      <c r="J5460">
        <v>-187.5659</v>
      </c>
      <c r="K5460">
        <v>1.1208100000000001</v>
      </c>
      <c r="L5460">
        <v>5.3116459999999996</v>
      </c>
      <c r="M5460">
        <v>-2.9769810000000001E-2</v>
      </c>
      <c r="N5460">
        <v>-8.9773500000000003E-3</v>
      </c>
      <c r="O5460">
        <v>0.99951650000000003</v>
      </c>
      <c r="P5460">
        <v>-4.1895429999999997E-2</v>
      </c>
      <c r="Q5460">
        <v>0.19133410000000001</v>
      </c>
      <c r="R5460">
        <v>0.98063049999999996</v>
      </c>
      <c r="S5460">
        <v>2.7633669999999999E-2</v>
      </c>
      <c r="T5460">
        <v>-4.6007279999999998E-2</v>
      </c>
      <c r="U5460">
        <v>3.0700989999999999</v>
      </c>
      <c r="V5460">
        <v>-1.275563E-2</v>
      </c>
      <c r="W5460">
        <v>0.20013249999999999</v>
      </c>
      <c r="X5460">
        <v>0.97968580000000005</v>
      </c>
      <c r="Y5460">
        <v>3.8762030000000003E-2</v>
      </c>
      <c r="Z5460">
        <v>-5.9898740000000001E-3</v>
      </c>
      <c r="AA5460">
        <v>0.99923050000000002</v>
      </c>
      <c r="AB5460">
        <v>31</v>
      </c>
      <c r="AC5460">
        <v>0.69069999999999199</v>
      </c>
      <c r="AD5460">
        <v>-1.1208147975939999</v>
      </c>
      <c r="AE5460">
        <v>74.212363999999994</v>
      </c>
      <c r="AF5460">
        <v>2.89910956210166</v>
      </c>
      <c r="AG5460">
        <v>-1.1208147975939999</v>
      </c>
      <c r="AH5460">
        <v>74.141996252892795</v>
      </c>
      <c r="AI5460">
        <v>90.865420991154707</v>
      </c>
      <c r="AJ5460">
        <v>87.760754087075796</v>
      </c>
      <c r="AK5460">
        <v>74.207120079056693</v>
      </c>
      <c r="AL5460">
        <v>78.455292566928193</v>
      </c>
      <c r="AM5460">
        <v>90.745955968541494</v>
      </c>
      <c r="AN5460">
        <v>0.99999999518729299</v>
      </c>
    </row>
    <row r="5461" spans="1:40" x14ac:dyDescent="0.25">
      <c r="A5461" t="str">
        <f>"20190303162709340"</f>
        <v>20190303162709340</v>
      </c>
      <c r="B5461" t="str">
        <f>"1551601629329626"</f>
        <v>1551601629329626</v>
      </c>
      <c r="C5461" t="s">
        <v>40</v>
      </c>
      <c r="D5461">
        <v>4.7010329999999998</v>
      </c>
      <c r="E5461">
        <v>0.5392363</v>
      </c>
      <c r="F5461" t="s">
        <v>41</v>
      </c>
      <c r="G5461">
        <v>-184.98220000000001</v>
      </c>
      <c r="H5461" s="1">
        <v>-2.3625799999999999E-6</v>
      </c>
      <c r="I5461">
        <v>52.667369999999998</v>
      </c>
      <c r="J5461">
        <v>-187.57490000000001</v>
      </c>
      <c r="K5461">
        <v>1.1208089999999999</v>
      </c>
      <c r="L5461">
        <v>5.6077579999999996</v>
      </c>
      <c r="M5461">
        <v>-2.9962409999999998E-2</v>
      </c>
      <c r="N5461">
        <v>-8.9833309999999902E-3</v>
      </c>
      <c r="O5461">
        <v>0.99951060000000003</v>
      </c>
      <c r="P5461">
        <v>-4.0352760000000001E-2</v>
      </c>
      <c r="Q5461">
        <v>0.19136300000000001</v>
      </c>
      <c r="R5461">
        <v>0.98068949999999999</v>
      </c>
      <c r="S5461">
        <v>0.16807559999999999</v>
      </c>
      <c r="T5461">
        <v>-7.2912809999999995E-2</v>
      </c>
      <c r="U5461">
        <v>3.0806580000000001</v>
      </c>
      <c r="V5461">
        <v>-1.1022870000000001E-2</v>
      </c>
      <c r="W5461">
        <v>0.20016800000000001</v>
      </c>
      <c r="X5461">
        <v>0.9796996</v>
      </c>
      <c r="Y5461">
        <v>8.4353800000000007E-2</v>
      </c>
      <c r="Z5461">
        <v>-1.459657E-2</v>
      </c>
      <c r="AA5461">
        <v>0.99632889999999996</v>
      </c>
      <c r="AB5461">
        <v>31</v>
      </c>
      <c r="AC5461">
        <v>2.5926999999999998</v>
      </c>
      <c r="AD5461">
        <v>-1.12081136257999</v>
      </c>
      <c r="AE5461">
        <v>47.059612000000001</v>
      </c>
      <c r="AF5461">
        <v>3.9993504848111701</v>
      </c>
      <c r="AG5461">
        <v>-1.12081136257999</v>
      </c>
      <c r="AH5461">
        <v>46.9342525670017</v>
      </c>
      <c r="AI5461">
        <v>91.363051583412201</v>
      </c>
      <c r="AJ5461">
        <v>85.129491108150901</v>
      </c>
      <c r="AK5461">
        <v>47.117672761225698</v>
      </c>
      <c r="AL5461">
        <v>78.453216838664105</v>
      </c>
      <c r="AM5461">
        <v>90.644623393742904</v>
      </c>
      <c r="AN5461">
        <v>1.00000001906359</v>
      </c>
    </row>
    <row r="5462" spans="1:40" x14ac:dyDescent="0.25">
      <c r="A5462" t="str">
        <f>"20190303162709364"</f>
        <v>20190303162709364</v>
      </c>
      <c r="B5462" t="str">
        <f>"1551601629359881"</f>
        <v>1551601629359881</v>
      </c>
      <c r="C5462" t="s">
        <v>40</v>
      </c>
      <c r="D5462">
        <v>4.6799470000000003</v>
      </c>
      <c r="E5462">
        <v>0.54052929999999999</v>
      </c>
      <c r="F5462" t="s">
        <v>41</v>
      </c>
      <c r="G5462">
        <v>-184.72649999999999</v>
      </c>
      <c r="H5462" s="1">
        <v>-2.4391699999999999E-6</v>
      </c>
      <c r="I5462">
        <v>52.692500000000003</v>
      </c>
      <c r="J5462">
        <v>-187.5849</v>
      </c>
      <c r="K5462">
        <v>1.1208039999999999</v>
      </c>
      <c r="L5462">
        <v>5.9341739999999996</v>
      </c>
      <c r="M5462">
        <v>-3.0174599999999999E-2</v>
      </c>
      <c r="N5462">
        <v>-8.9898970000000002E-3</v>
      </c>
      <c r="O5462">
        <v>0.99950419999999995</v>
      </c>
      <c r="P5462">
        <v>-3.9427429999999999E-2</v>
      </c>
      <c r="Q5462">
        <v>0.19077169999999999</v>
      </c>
      <c r="R5462">
        <v>0.98084229999999994</v>
      </c>
      <c r="S5462">
        <v>0.1863861</v>
      </c>
      <c r="T5462">
        <v>-7.334185E-2</v>
      </c>
      <c r="U5462">
        <v>3.0810550000000001</v>
      </c>
      <c r="V5462">
        <v>-9.8851300000000007E-3</v>
      </c>
      <c r="W5462">
        <v>0.1995844</v>
      </c>
      <c r="X5462">
        <v>0.9798308</v>
      </c>
      <c r="Y5462">
        <v>9.0457250000000003E-2</v>
      </c>
      <c r="Z5462">
        <v>-1.471418E-2</v>
      </c>
      <c r="AA5462">
        <v>0.9957916</v>
      </c>
      <c r="AB5462">
        <v>31</v>
      </c>
      <c r="AC5462">
        <v>2.8584000000000098</v>
      </c>
      <c r="AD5462">
        <v>-1.1208064391699999</v>
      </c>
      <c r="AE5462">
        <v>46.758325999999997</v>
      </c>
      <c r="AF5462">
        <v>4.2656273456548703</v>
      </c>
      <c r="AG5462">
        <v>-1.1208064391699999</v>
      </c>
      <c r="AH5462">
        <v>46.624088899553897</v>
      </c>
      <c r="AI5462">
        <v>91.371355048174195</v>
      </c>
      <c r="AJ5462">
        <v>84.772574856785596</v>
      </c>
      <c r="AK5462">
        <v>46.832226612019902</v>
      </c>
      <c r="AL5462">
        <v>78.487343328611402</v>
      </c>
      <c r="AM5462">
        <v>90.578015117352194</v>
      </c>
      <c r="AN5462">
        <v>1.0000000225735499</v>
      </c>
    </row>
    <row r="5463" spans="1:40" x14ac:dyDescent="0.25">
      <c r="A5463" t="str">
        <f>"20190303162709387"</f>
        <v>20190303162709387</v>
      </c>
      <c r="B5463" t="str">
        <f>"1551601629379401"</f>
        <v>1551601629379401</v>
      </c>
      <c r="C5463" t="s">
        <v>40</v>
      </c>
      <c r="D5463">
        <v>4.6362360000000002</v>
      </c>
      <c r="E5463">
        <v>0.5410604</v>
      </c>
      <c r="F5463" t="s">
        <v>41</v>
      </c>
      <c r="G5463">
        <v>-184.74350000000001</v>
      </c>
      <c r="H5463" s="1">
        <v>-1.4799269999999999E-6</v>
      </c>
      <c r="I5463">
        <v>49.886960000000002</v>
      </c>
      <c r="J5463">
        <v>-187.5951</v>
      </c>
      <c r="K5463">
        <v>1.120798</v>
      </c>
      <c r="L5463">
        <v>6.2657470000000002</v>
      </c>
      <c r="M5463">
        <v>-3.0390190000000001E-2</v>
      </c>
      <c r="N5463">
        <v>-8.9964789999999999E-3</v>
      </c>
      <c r="O5463">
        <v>0.99949770000000004</v>
      </c>
      <c r="P5463">
        <v>-3.8482269999999999E-2</v>
      </c>
      <c r="Q5463">
        <v>0.1904014</v>
      </c>
      <c r="R5463">
        <v>0.98095180000000004</v>
      </c>
      <c r="S5463">
        <v>0.19923399999999999</v>
      </c>
      <c r="T5463">
        <v>-7.8588599999999995E-2</v>
      </c>
      <c r="U5463">
        <v>3.0818789999999998</v>
      </c>
      <c r="V5463">
        <v>-8.7247409999999994E-3</v>
      </c>
      <c r="W5463">
        <v>0.1992218</v>
      </c>
      <c r="X5463">
        <v>0.9799156</v>
      </c>
      <c r="Y5463">
        <v>9.478723E-2</v>
      </c>
      <c r="Z5463">
        <v>-1.6386979999999999E-2</v>
      </c>
      <c r="AA5463">
        <v>0.99536270000000004</v>
      </c>
      <c r="AB5463">
        <v>31</v>
      </c>
      <c r="AC5463">
        <v>2.8515999999999901</v>
      </c>
      <c r="AD5463">
        <v>-1.120799479927</v>
      </c>
      <c r="AE5463">
        <v>43.621212999999997</v>
      </c>
      <c r="AF5463">
        <v>4.1732499128866598</v>
      </c>
      <c r="AG5463">
        <v>-1.120799479927</v>
      </c>
      <c r="AH5463">
        <v>43.4858128995782</v>
      </c>
      <c r="AI5463">
        <v>91.469660268584903</v>
      </c>
      <c r="AJ5463">
        <v>84.518221817412694</v>
      </c>
      <c r="AK5463">
        <v>43.699978602360197</v>
      </c>
      <c r="AL5463">
        <v>78.508544461154301</v>
      </c>
      <c r="AM5463">
        <v>90.510123145214095</v>
      </c>
      <c r="AN5463">
        <v>1.00000001491205</v>
      </c>
    </row>
    <row r="5464" spans="1:40" x14ac:dyDescent="0.25">
      <c r="A5464" t="str">
        <f>"20190303162709407"</f>
        <v>20190303162709407</v>
      </c>
      <c r="B5464" t="str">
        <f>"1551601629399897"</f>
        <v>1551601629399897</v>
      </c>
      <c r="C5464" t="s">
        <v>40</v>
      </c>
      <c r="D5464">
        <v>4.6043469999999997</v>
      </c>
      <c r="E5464">
        <v>0.54136640000000003</v>
      </c>
      <c r="F5464" t="s">
        <v>41</v>
      </c>
      <c r="G5464">
        <v>-184.84469999999999</v>
      </c>
      <c r="H5464" s="1">
        <v>-4.2509040000000004E-6</v>
      </c>
      <c r="I5464">
        <v>47.410089999999997</v>
      </c>
      <c r="J5464">
        <v>-187.60390000000001</v>
      </c>
      <c r="K5464">
        <v>1.120797</v>
      </c>
      <c r="L5464">
        <v>6.5484920000000004</v>
      </c>
      <c r="M5464">
        <v>-3.057414E-2</v>
      </c>
      <c r="N5464">
        <v>-9.0021370000000003E-3</v>
      </c>
      <c r="O5464">
        <v>0.99949200000000005</v>
      </c>
      <c r="P5464">
        <v>-3.7245960000000002E-2</v>
      </c>
      <c r="Q5464">
        <v>0.1911918</v>
      </c>
      <c r="R5464">
        <v>0.98084570000000004</v>
      </c>
      <c r="S5464">
        <v>0.2060699</v>
      </c>
      <c r="T5464">
        <v>-8.3973409999999998E-2</v>
      </c>
      <c r="U5464">
        <v>3.0826419999999999</v>
      </c>
      <c r="V5464">
        <v>-7.3123969999999896E-3</v>
      </c>
      <c r="W5464">
        <v>0.200017</v>
      </c>
      <c r="X5464">
        <v>0.97976510000000006</v>
      </c>
      <c r="Y5464">
        <v>9.7148979999999996E-2</v>
      </c>
      <c r="Z5464">
        <v>-1.8107789999999999E-2</v>
      </c>
      <c r="AA5464">
        <v>0.99510509999999996</v>
      </c>
      <c r="AB5464">
        <v>31</v>
      </c>
      <c r="AC5464">
        <v>2.7592000000000199</v>
      </c>
      <c r="AD5464">
        <v>-1.120801250904</v>
      </c>
      <c r="AE5464">
        <v>40.861598000000001</v>
      </c>
      <c r="AF5464">
        <v>4.0042697859371703</v>
      </c>
      <c r="AG5464">
        <v>-1.120801250904</v>
      </c>
      <c r="AH5464">
        <v>40.727627330848698</v>
      </c>
      <c r="AI5464">
        <v>91.568789274232699</v>
      </c>
      <c r="AJ5464">
        <v>84.3848247770093</v>
      </c>
      <c r="AK5464">
        <v>40.939345377803598</v>
      </c>
      <c r="AL5464">
        <v>78.462046399447104</v>
      </c>
      <c r="AM5464">
        <v>90.427614442739298</v>
      </c>
      <c r="AN5464">
        <v>0.99999996130844704</v>
      </c>
    </row>
    <row r="5465" spans="1:40" x14ac:dyDescent="0.25">
      <c r="A5465" t="str">
        <f>"20190303162709428"</f>
        <v>20190303162709428</v>
      </c>
      <c r="B5465" t="str">
        <f>"1551601629419418"</f>
        <v>1551601629419418</v>
      </c>
      <c r="C5465" t="s">
        <v>40</v>
      </c>
      <c r="D5465">
        <v>4.6051310000000001</v>
      </c>
      <c r="E5465">
        <v>0.5414639</v>
      </c>
      <c r="F5465" t="s">
        <v>41</v>
      </c>
      <c r="G5465">
        <v>-184.8288</v>
      </c>
      <c r="H5465" s="1">
        <v>-4.0804339999999996E-6</v>
      </c>
      <c r="I5465">
        <v>47.006169999999997</v>
      </c>
      <c r="J5465">
        <v>-187.6129</v>
      </c>
      <c r="K5465">
        <v>1.1207929999999999</v>
      </c>
      <c r="L5465">
        <v>6.837555</v>
      </c>
      <c r="M5465">
        <v>-3.0761320000000002E-2</v>
      </c>
      <c r="N5465">
        <v>-9.0079219999999998E-3</v>
      </c>
      <c r="O5465">
        <v>0.99948610000000004</v>
      </c>
      <c r="P5465">
        <v>-3.5969790000000001E-2</v>
      </c>
      <c r="Q5465">
        <v>0.19089449999999999</v>
      </c>
      <c r="R5465">
        <v>0.98095129999999997</v>
      </c>
      <c r="S5465">
        <v>0.2114868</v>
      </c>
      <c r="T5465">
        <v>-8.5415480000000002E-2</v>
      </c>
      <c r="U5465">
        <v>3.0832519999999999</v>
      </c>
      <c r="V5465">
        <v>-5.8499769999999897E-3</v>
      </c>
      <c r="W5465">
        <v>0.19972690000000001</v>
      </c>
      <c r="X5465">
        <v>0.97983410000000004</v>
      </c>
      <c r="Y5465">
        <v>9.9061270000000007E-2</v>
      </c>
      <c r="Z5465">
        <v>-1.8557199999999999E-2</v>
      </c>
      <c r="AA5465">
        <v>0.99490829999999997</v>
      </c>
      <c r="AB5465">
        <v>31</v>
      </c>
      <c r="AC5465">
        <v>2.7840999999999898</v>
      </c>
      <c r="AD5465">
        <v>-1.1207970804339999</v>
      </c>
      <c r="AE5465">
        <v>40.168615000000003</v>
      </c>
      <c r="AF5465">
        <v>4.0153610106103104</v>
      </c>
      <c r="AG5465">
        <v>-1.1207970804339999</v>
      </c>
      <c r="AH5465">
        <v>40.032939743662901</v>
      </c>
      <c r="AI5465">
        <v>91.595681356644306</v>
      </c>
      <c r="AJ5465">
        <v>84.272307834677093</v>
      </c>
      <c r="AK5465">
        <v>40.249417072310301</v>
      </c>
      <c r="AL5465">
        <v>78.4790101876482</v>
      </c>
      <c r="AM5465">
        <v>90.342073224341206</v>
      </c>
      <c r="AN5465">
        <v>0.999999960168659</v>
      </c>
    </row>
    <row r="5466" spans="1:40" x14ac:dyDescent="0.25">
      <c r="A5466" t="str">
        <f>"20190303162709453"</f>
        <v>20190303162709453</v>
      </c>
      <c r="B5466" t="str">
        <f>"1551601629439913"</f>
        <v>1551601629439913</v>
      </c>
      <c r="C5466" t="s">
        <v>40</v>
      </c>
      <c r="D5466">
        <v>4.5683490000000004</v>
      </c>
      <c r="E5466">
        <v>0.54158219999999901</v>
      </c>
      <c r="F5466" t="s">
        <v>41</v>
      </c>
      <c r="G5466">
        <v>-184.93119999999999</v>
      </c>
      <c r="H5466" s="1">
        <v>-3.3667939999999999E-6</v>
      </c>
      <c r="I5466">
        <v>45.384979999999999</v>
      </c>
      <c r="J5466">
        <v>-187.62379999999999</v>
      </c>
      <c r="K5466">
        <v>1.1207849999999999</v>
      </c>
      <c r="L5466">
        <v>7.1825259999999904</v>
      </c>
      <c r="M5466">
        <v>-3.097751E-2</v>
      </c>
      <c r="N5466">
        <v>-9.0148309999999992E-3</v>
      </c>
      <c r="O5466">
        <v>0.99947940000000002</v>
      </c>
      <c r="P5466">
        <v>-3.5501749999999999E-2</v>
      </c>
      <c r="Q5466">
        <v>0.18741540000000001</v>
      </c>
      <c r="R5466">
        <v>0.98163900000000004</v>
      </c>
      <c r="S5466">
        <v>0.2145233</v>
      </c>
      <c r="T5466">
        <v>-8.9656830000000007E-2</v>
      </c>
      <c r="U5466">
        <v>3.0835569999999999</v>
      </c>
      <c r="V5466">
        <v>-5.1458090000000003E-3</v>
      </c>
      <c r="W5466">
        <v>0.1962612</v>
      </c>
      <c r="X5466">
        <v>0.98053809999999997</v>
      </c>
      <c r="Y5466">
        <v>0.1002421</v>
      </c>
      <c r="Z5466">
        <v>-1.991252E-2</v>
      </c>
      <c r="AA5466">
        <v>0.99476379999999998</v>
      </c>
      <c r="AB5466">
        <v>31</v>
      </c>
      <c r="AC5466">
        <v>2.6925999999999899</v>
      </c>
      <c r="AD5466">
        <v>-1.120788366794</v>
      </c>
      <c r="AE5466">
        <v>38.202453999999904</v>
      </c>
      <c r="AF5466">
        <v>3.87145690034437</v>
      </c>
      <c r="AG5466">
        <v>-1.120788366794</v>
      </c>
      <c r="AH5466">
        <v>38.068100801757701</v>
      </c>
      <c r="AI5466">
        <v>91.6777473732717</v>
      </c>
      <c r="AJ5466">
        <v>84.193087457392593</v>
      </c>
      <c r="AK5466">
        <v>38.280865242927099</v>
      </c>
      <c r="AL5466">
        <v>78.681590640835594</v>
      </c>
      <c r="AM5466">
        <v>90.300682279726701</v>
      </c>
      <c r="AN5466">
        <v>0.99999995176365597</v>
      </c>
    </row>
    <row r="5467" spans="1:40" x14ac:dyDescent="0.25">
      <c r="A5467" t="str">
        <f>"20190303162709498"</f>
        <v>20190303162709498</v>
      </c>
      <c r="B5467" t="str">
        <f>"1551601629489690"</f>
        <v>1551601629489690</v>
      </c>
      <c r="C5467" t="s">
        <v>40</v>
      </c>
      <c r="D5467">
        <v>4.5772599999999999</v>
      </c>
      <c r="E5467">
        <v>0.54239359999999903</v>
      </c>
      <c r="F5467" t="s">
        <v>41</v>
      </c>
      <c r="G5467">
        <v>-185.23410000000001</v>
      </c>
      <c r="H5467" s="1">
        <v>-1.801975E-6</v>
      </c>
      <c r="I5467">
        <v>41.216949999999997</v>
      </c>
      <c r="J5467">
        <v>-187.64349999999999</v>
      </c>
      <c r="K5467">
        <v>1.1207339999999999</v>
      </c>
      <c r="L5467">
        <v>7.8059690000000002</v>
      </c>
      <c r="M5467">
        <v>-3.1289200000000003E-2</v>
      </c>
      <c r="N5467">
        <v>-9.0237089999999995E-3</v>
      </c>
      <c r="O5467">
        <v>0.99946959999999996</v>
      </c>
      <c r="P5467">
        <v>-3.8241150000000002E-2</v>
      </c>
      <c r="Q5467">
        <v>0.18351880000000001</v>
      </c>
      <c r="R5467">
        <v>0.98227209999999998</v>
      </c>
      <c r="S5467">
        <v>0.21649170000000001</v>
      </c>
      <c r="T5467">
        <v>-0.1015375</v>
      </c>
      <c r="U5467">
        <v>3.0833439999999999</v>
      </c>
      <c r="V5467">
        <v>-7.5409169999999899E-3</v>
      </c>
      <c r="W5467">
        <v>0.1923793</v>
      </c>
      <c r="X5467">
        <v>0.98129169999999999</v>
      </c>
      <c r="Y5467">
        <v>0.1011813</v>
      </c>
      <c r="Z5467">
        <v>-2.3734129999999999E-2</v>
      </c>
      <c r="AA5467">
        <v>0.99458489999999999</v>
      </c>
      <c r="AB5467">
        <v>31</v>
      </c>
      <c r="AC5467">
        <v>2.40939999999997</v>
      </c>
      <c r="AD5467">
        <v>-1.120735801975</v>
      </c>
      <c r="AE5467">
        <v>33.410981</v>
      </c>
      <c r="AF5467">
        <v>3.4498040463658399</v>
      </c>
      <c r="AG5467">
        <v>-1.120735801975</v>
      </c>
      <c r="AH5467">
        <v>33.281974490529699</v>
      </c>
      <c r="AI5467">
        <v>91.918376535419497</v>
      </c>
      <c r="AJ5467">
        <v>84.082206584174997</v>
      </c>
      <c r="AK5467">
        <v>33.479053491465699</v>
      </c>
      <c r="AL5467">
        <v>78.908330246081306</v>
      </c>
      <c r="AM5467">
        <v>90.440291315003805</v>
      </c>
      <c r="AN5467">
        <v>1.0000000304932899</v>
      </c>
    </row>
    <row r="5468" spans="1:40" x14ac:dyDescent="0.25">
      <c r="A5468" t="str">
        <f>"20190303162709518"</f>
        <v>20190303162709518</v>
      </c>
      <c r="B5468" t="str">
        <f>"1551601629510185"</f>
        <v>1551601629510185</v>
      </c>
      <c r="C5468" t="s">
        <v>40</v>
      </c>
      <c r="D5468">
        <v>4.5342279999999997</v>
      </c>
      <c r="E5468">
        <v>0.54246219999999901</v>
      </c>
      <c r="F5468" t="s">
        <v>41</v>
      </c>
      <c r="G5468">
        <v>-185.5668</v>
      </c>
      <c r="H5468" s="1">
        <v>-4.3017870000000003E-6</v>
      </c>
      <c r="I5468">
        <v>37.827269999999999</v>
      </c>
      <c r="J5468">
        <v>-187.65280000000001</v>
      </c>
      <c r="K5468">
        <v>1.1207129999999901</v>
      </c>
      <c r="L5468">
        <v>8.0982970000000005</v>
      </c>
      <c r="M5468">
        <v>-3.1378999999999997E-2</v>
      </c>
      <c r="N5468">
        <v>-9.0221820000000001E-3</v>
      </c>
      <c r="O5468">
        <v>0.99946679999999999</v>
      </c>
      <c r="P5468">
        <v>-4.0106610000000001E-2</v>
      </c>
      <c r="Q5468">
        <v>0.18565309999999999</v>
      </c>
      <c r="R5468">
        <v>0.98179649999999996</v>
      </c>
      <c r="S5468">
        <v>0.2133331</v>
      </c>
      <c r="T5468">
        <v>-0.11512840000000001</v>
      </c>
      <c r="U5468">
        <v>3.0839539999999999</v>
      </c>
      <c r="V5468">
        <v>-9.3178040000000007E-3</v>
      </c>
      <c r="W5468">
        <v>0.19450890000000001</v>
      </c>
      <c r="X5468">
        <v>0.98085650000000002</v>
      </c>
      <c r="Y5468">
        <v>0.1002335</v>
      </c>
      <c r="Z5468">
        <v>-2.8112419999999999E-2</v>
      </c>
      <c r="AA5468">
        <v>0.99456670000000003</v>
      </c>
      <c r="AB5468">
        <v>31</v>
      </c>
      <c r="AC5468">
        <v>2.0860000000000101</v>
      </c>
      <c r="AD5468">
        <v>-1.12071730178699</v>
      </c>
      <c r="AE5468">
        <v>29.728973</v>
      </c>
      <c r="AF5468">
        <v>3.0136143894614702</v>
      </c>
      <c r="AG5468">
        <v>-1.12071730178699</v>
      </c>
      <c r="AH5468">
        <v>29.6070036304152</v>
      </c>
      <c r="AI5468">
        <v>92.156655954447601</v>
      </c>
      <c r="AJ5468">
        <v>84.188038993655994</v>
      </c>
      <c r="AK5468">
        <v>29.781076926973501</v>
      </c>
      <c r="AL5468">
        <v>78.783963709226697</v>
      </c>
      <c r="AM5468">
        <v>90.544274096090604</v>
      </c>
      <c r="AN5468">
        <v>1.0000000036214201</v>
      </c>
    </row>
    <row r="5469" spans="1:40" x14ac:dyDescent="0.25">
      <c r="A5469" t="str">
        <f>"20190303162709541"</f>
        <v>20190303162709541</v>
      </c>
      <c r="B5469" t="str">
        <f>"1551601629529706"</f>
        <v>1551601629529706</v>
      </c>
      <c r="C5469" t="s">
        <v>40</v>
      </c>
      <c r="D5469">
        <v>4.5468769999999896</v>
      </c>
      <c r="E5469">
        <v>0.54265249999999998</v>
      </c>
      <c r="F5469" t="s">
        <v>41</v>
      </c>
      <c r="G5469">
        <v>-185.4914</v>
      </c>
      <c r="H5469" s="1">
        <v>-1.3695059999999999E-6</v>
      </c>
      <c r="I5469">
        <v>40.14725</v>
      </c>
      <c r="J5469">
        <v>-187.6628</v>
      </c>
      <c r="K5469">
        <v>1.1206830000000001</v>
      </c>
      <c r="L5469">
        <v>8.4142759999999992</v>
      </c>
      <c r="M5469">
        <v>-3.1406719999999999E-2</v>
      </c>
      <c r="N5469">
        <v>-9.0191620000000007E-3</v>
      </c>
      <c r="O5469">
        <v>0.99946599999999997</v>
      </c>
      <c r="P5469">
        <v>-4.266093E-2</v>
      </c>
      <c r="Q5469">
        <v>0.18918789999999999</v>
      </c>
      <c r="R5469">
        <v>0.98101380000000005</v>
      </c>
      <c r="S5469">
        <v>0.20802309999999999</v>
      </c>
      <c r="T5469">
        <v>-0.1078615</v>
      </c>
      <c r="U5469">
        <v>3.0845030000000002</v>
      </c>
      <c r="V5469">
        <v>-1.184516E-2</v>
      </c>
      <c r="W5469">
        <v>0.19803480000000001</v>
      </c>
      <c r="X5469">
        <v>0.98012339999999998</v>
      </c>
      <c r="Y5469">
        <v>9.8550219999999994E-2</v>
      </c>
      <c r="Z5469">
        <v>-2.5772460000000001E-2</v>
      </c>
      <c r="AA5469">
        <v>0.99479830000000002</v>
      </c>
      <c r="AB5469">
        <v>31</v>
      </c>
      <c r="AC5469">
        <v>2.1714000000000002</v>
      </c>
      <c r="AD5469">
        <v>-1.120684369506</v>
      </c>
      <c r="AE5469">
        <v>31.732973999999999</v>
      </c>
      <c r="AF5469">
        <v>3.1630712164648598</v>
      </c>
      <c r="AG5469">
        <v>-1.120684369506</v>
      </c>
      <c r="AH5469">
        <v>31.6098782041127</v>
      </c>
      <c r="AI5469">
        <v>92.020410144594393</v>
      </c>
      <c r="AJ5469">
        <v>84.285667931602802</v>
      </c>
      <c r="AK5469">
        <v>31.787503095640002</v>
      </c>
      <c r="AL5469">
        <v>78.577936861232104</v>
      </c>
      <c r="AM5469">
        <v>90.692407340577404</v>
      </c>
      <c r="AN5469">
        <v>0.999999984527012</v>
      </c>
    </row>
    <row r="5470" spans="1:40" x14ac:dyDescent="0.25">
      <c r="A5470" t="str">
        <f>"20190303162709564"</f>
        <v>20190303162709564</v>
      </c>
      <c r="B5470" t="str">
        <f>"1551601629549226"</f>
        <v>1551601629549226</v>
      </c>
      <c r="C5470" t="s">
        <v>40</v>
      </c>
      <c r="D5470">
        <v>4.5481239999999996</v>
      </c>
      <c r="E5470">
        <v>0.54282519999999901</v>
      </c>
      <c r="F5470" t="s">
        <v>41</v>
      </c>
      <c r="G5470">
        <v>-185.27269999999999</v>
      </c>
      <c r="H5470" s="1">
        <v>-3.0463649999999998E-6</v>
      </c>
      <c r="I5470">
        <v>44.779249999999998</v>
      </c>
      <c r="J5470">
        <v>-187.67269999999999</v>
      </c>
      <c r="K5470">
        <v>1.1206179999999999</v>
      </c>
      <c r="L5470">
        <v>8.7323000000000004</v>
      </c>
      <c r="M5470">
        <v>-3.1323230000000001E-2</v>
      </c>
      <c r="N5470">
        <v>-9.0167000000000008E-3</v>
      </c>
      <c r="O5470">
        <v>0.99946860000000004</v>
      </c>
      <c r="P5470">
        <v>-4.5196140000000003E-2</v>
      </c>
      <c r="Q5470">
        <v>0.19260279999999999</v>
      </c>
      <c r="R5470">
        <v>0.98023539999999998</v>
      </c>
      <c r="S5470">
        <v>0.20277400000000001</v>
      </c>
      <c r="T5470">
        <v>-9.5079060000000007E-2</v>
      </c>
      <c r="U5470">
        <v>3.0852050000000002</v>
      </c>
      <c r="V5470">
        <v>-1.4450670000000001E-2</v>
      </c>
      <c r="W5470">
        <v>0.20144319999999999</v>
      </c>
      <c r="X5470">
        <v>0.97939359999999998</v>
      </c>
      <c r="Y5470">
        <v>9.6775280000000005E-2</v>
      </c>
      <c r="Z5470">
        <v>-2.165214E-2</v>
      </c>
      <c r="AA5470">
        <v>0.99507069999999997</v>
      </c>
      <c r="AB5470">
        <v>31</v>
      </c>
      <c r="AC5470">
        <v>2.4</v>
      </c>
      <c r="AD5470">
        <v>-1.1206210463649999</v>
      </c>
      <c r="AE5470">
        <v>36.046950000000002</v>
      </c>
      <c r="AF5470">
        <v>3.5245837798527302</v>
      </c>
      <c r="AG5470">
        <v>-1.1206210463649999</v>
      </c>
      <c r="AH5470">
        <v>35.9195204686389</v>
      </c>
      <c r="AI5470">
        <v>91.778404688450095</v>
      </c>
      <c r="AJ5470">
        <v>84.395822698007805</v>
      </c>
      <c r="AK5470">
        <v>36.109423050607298</v>
      </c>
      <c r="AL5470">
        <v>78.378633913329296</v>
      </c>
      <c r="AM5470">
        <v>90.845321357107593</v>
      </c>
      <c r="AN5470">
        <v>1.0000000042053201</v>
      </c>
    </row>
    <row r="5471" spans="1:40" x14ac:dyDescent="0.25">
      <c r="A5471" t="str">
        <f>"20190303162709588"</f>
        <v>20190303162709588</v>
      </c>
      <c r="B5471" t="str">
        <f>"1551601629579482"</f>
        <v>1551601629579482</v>
      </c>
      <c r="C5471" t="s">
        <v>40</v>
      </c>
      <c r="D5471">
        <v>4.573817</v>
      </c>
      <c r="E5471">
        <v>0.54307499999999997</v>
      </c>
      <c r="F5471" t="s">
        <v>41</v>
      </c>
      <c r="G5471">
        <v>-185.0138</v>
      </c>
      <c r="H5471" s="1">
        <v>-1.6024990000000001E-6</v>
      </c>
      <c r="I5471">
        <v>50.458509999999997</v>
      </c>
      <c r="J5471">
        <v>-187.68299999999999</v>
      </c>
      <c r="K5471">
        <v>1.120528</v>
      </c>
      <c r="L5471">
        <v>9.0675050000000006</v>
      </c>
      <c r="M5471">
        <v>-3.1098339999999999E-2</v>
      </c>
      <c r="N5471">
        <v>-9.0146089999999998E-3</v>
      </c>
      <c r="O5471">
        <v>0.99947569999999997</v>
      </c>
      <c r="P5471">
        <v>-4.6754799999999999E-2</v>
      </c>
      <c r="Q5471">
        <v>0.19370129999999999</v>
      </c>
      <c r="R5471">
        <v>0.97994579999999998</v>
      </c>
      <c r="S5471">
        <v>0.19664000000000001</v>
      </c>
      <c r="T5471">
        <v>-8.2875009999999999E-2</v>
      </c>
      <c r="U5471">
        <v>3.0858460000000001</v>
      </c>
      <c r="V5471">
        <v>-1.6191190000000001E-2</v>
      </c>
      <c r="W5471">
        <v>0.20254159999999999</v>
      </c>
      <c r="X5471">
        <v>0.9791398</v>
      </c>
      <c r="Y5471">
        <v>9.4574850000000002E-2</v>
      </c>
      <c r="Z5471">
        <v>-1.7718689999999999E-2</v>
      </c>
      <c r="AA5471">
        <v>0.99536009999999997</v>
      </c>
      <c r="AB5471">
        <v>31</v>
      </c>
      <c r="AC5471">
        <v>2.66919999999998</v>
      </c>
      <c r="AD5471">
        <v>-1.1205296024989999</v>
      </c>
      <c r="AE5471">
        <v>41.3910049999999</v>
      </c>
      <c r="AF5471">
        <v>3.9522681487782698</v>
      </c>
      <c r="AG5471">
        <v>-1.1205296024989999</v>
      </c>
      <c r="AH5471">
        <v>41.2578607460337</v>
      </c>
      <c r="AI5471">
        <v>91.548637990483599</v>
      </c>
      <c r="AJ5471">
        <v>84.528087543641803</v>
      </c>
      <c r="AK5471">
        <v>41.461875059493302</v>
      </c>
      <c r="AL5471">
        <v>78.314375640199003</v>
      </c>
      <c r="AM5471">
        <v>90.947364522834803</v>
      </c>
      <c r="AN5471">
        <v>1.0000000011540999</v>
      </c>
    </row>
    <row r="5472" spans="1:40" x14ac:dyDescent="0.25">
      <c r="A5472" t="str">
        <f>"20190303162709633"</f>
        <v>20190303162709633</v>
      </c>
      <c r="B5472" t="str">
        <f>"1551601629620006"</f>
        <v>1551601629620006</v>
      </c>
      <c r="C5472" t="s">
        <v>40</v>
      </c>
      <c r="D5472">
        <v>4.5663689999999999</v>
      </c>
      <c r="E5472">
        <v>0.54352180000000005</v>
      </c>
      <c r="F5472" t="s">
        <v>41</v>
      </c>
      <c r="G5472">
        <v>-184.91139999999999</v>
      </c>
      <c r="H5472" s="1">
        <v>-2.512383E-6</v>
      </c>
      <c r="I5472">
        <v>53.052190000000003</v>
      </c>
      <c r="J5472">
        <v>-187.7022</v>
      </c>
      <c r="K5472">
        <v>1.12035</v>
      </c>
      <c r="L5472">
        <v>9.7084960000000002</v>
      </c>
      <c r="M5472">
        <v>-3.0348449999999999E-2</v>
      </c>
      <c r="N5472">
        <v>-9.0121720000000006E-3</v>
      </c>
      <c r="O5472">
        <v>0.99949869999999996</v>
      </c>
      <c r="P5472">
        <v>-4.8066009999999999E-2</v>
      </c>
      <c r="Q5472">
        <v>0.19277259999999999</v>
      </c>
      <c r="R5472">
        <v>0.98006550000000003</v>
      </c>
      <c r="S5472">
        <v>0.19447329999999999</v>
      </c>
      <c r="T5472">
        <v>-7.8622700000000004E-2</v>
      </c>
      <c r="U5472">
        <v>3.0862120000000002</v>
      </c>
      <c r="V5472">
        <v>-1.814909E-2</v>
      </c>
      <c r="W5472">
        <v>0.2016202</v>
      </c>
      <c r="X5472">
        <v>0.97929560000000004</v>
      </c>
      <c r="Y5472">
        <v>9.3126630000000002E-2</v>
      </c>
      <c r="Z5472">
        <v>-1.635023E-2</v>
      </c>
      <c r="AA5472">
        <v>0.99551999999999996</v>
      </c>
      <c r="AB5472">
        <v>32</v>
      </c>
      <c r="AC5472">
        <v>2.7908000000000102</v>
      </c>
      <c r="AD5472">
        <v>-1.120352512383</v>
      </c>
      <c r="AE5472">
        <v>43.343693999999999</v>
      </c>
      <c r="AF5472">
        <v>4.10225231437028</v>
      </c>
      <c r="AG5472">
        <v>-1.120352512383</v>
      </c>
      <c r="AH5472">
        <v>43.210276832169399</v>
      </c>
      <c r="AI5472">
        <v>91.478582179537696</v>
      </c>
      <c r="AJ5472">
        <v>84.576767154149096</v>
      </c>
      <c r="AK5472">
        <v>43.4190244906017</v>
      </c>
      <c r="AL5472">
        <v>78.368279875201395</v>
      </c>
      <c r="AM5472">
        <v>91.061729707641007</v>
      </c>
      <c r="AN5472">
        <v>0.99999998334761397</v>
      </c>
    </row>
    <row r="5473" spans="1:40" x14ac:dyDescent="0.25">
      <c r="A5473" t="str">
        <f>"20190303162709656"</f>
        <v>20190303162709656</v>
      </c>
      <c r="B5473" t="str">
        <f>"1551601629649286"</f>
        <v>1551601629649286</v>
      </c>
      <c r="C5473" t="s">
        <v>40</v>
      </c>
      <c r="D5473">
        <v>4.5545530000000003</v>
      </c>
      <c r="E5473">
        <v>0.54384519999999903</v>
      </c>
      <c r="F5473" t="s">
        <v>41</v>
      </c>
      <c r="G5473">
        <v>-184.9117</v>
      </c>
      <c r="H5473" s="1">
        <v>-2.6937090000000002E-6</v>
      </c>
      <c r="I5473">
        <v>53.585230000000003</v>
      </c>
      <c r="J5473">
        <v>-187.7115</v>
      </c>
      <c r="K5473">
        <v>1.1202840000000001</v>
      </c>
      <c r="L5473">
        <v>10.031280000000001</v>
      </c>
      <c r="M5473">
        <v>-2.9820610000000001E-2</v>
      </c>
      <c r="N5473">
        <v>-9.0119229999999998E-3</v>
      </c>
      <c r="O5473">
        <v>0.99951460000000003</v>
      </c>
      <c r="P5473">
        <v>-4.689952E-2</v>
      </c>
      <c r="Q5473">
        <v>0.19381419999999999</v>
      </c>
      <c r="R5473">
        <v>0.97991660000000003</v>
      </c>
      <c r="S5473">
        <v>0.1962738</v>
      </c>
      <c r="T5473">
        <v>-7.8802109999999995E-2</v>
      </c>
      <c r="U5473">
        <v>3.0861510000000001</v>
      </c>
      <c r="V5473">
        <v>-1.7468609999999999E-2</v>
      </c>
      <c r="W5473">
        <v>0.2026625</v>
      </c>
      <c r="X5473">
        <v>0.97909279999999999</v>
      </c>
      <c r="Y5473">
        <v>9.3180460000000007E-2</v>
      </c>
      <c r="Z5473">
        <v>-1.6408989999999998E-2</v>
      </c>
      <c r="AA5473">
        <v>0.99551400000000001</v>
      </c>
      <c r="AB5473">
        <v>32</v>
      </c>
      <c r="AC5473">
        <v>2.7997999999999998</v>
      </c>
      <c r="AD5473">
        <v>-1.1202866937089999</v>
      </c>
      <c r="AE5473">
        <v>43.55395</v>
      </c>
      <c r="AF5473">
        <v>4.0947149253651096</v>
      </c>
      <c r="AG5473">
        <v>-1.1202866937089999</v>
      </c>
      <c r="AH5473">
        <v>43.422472803762602</v>
      </c>
      <c r="AI5473">
        <v>91.471361384365906</v>
      </c>
      <c r="AJ5473">
        <v>84.612970160805702</v>
      </c>
      <c r="AK5473">
        <v>43.629495493182297</v>
      </c>
      <c r="AL5473">
        <v>78.307301582047998</v>
      </c>
      <c r="AM5473">
        <v>91.022141564327299</v>
      </c>
      <c r="AN5473">
        <v>0.99999997612670999</v>
      </c>
    </row>
    <row r="5474" spans="1:40" x14ac:dyDescent="0.25">
      <c r="A5474" t="str">
        <f>"20190303162709698"</f>
        <v>20190303162709698</v>
      </c>
      <c r="B5474" t="str">
        <f>"1551601629689302"</f>
        <v>1551601629689302</v>
      </c>
      <c r="C5474" t="s">
        <v>40</v>
      </c>
      <c r="D5474">
        <v>4.7769139999999997</v>
      </c>
      <c r="E5474">
        <v>0.54425440000000003</v>
      </c>
      <c r="F5474" t="s">
        <v>41</v>
      </c>
      <c r="G5474">
        <v>-184.75319999999999</v>
      </c>
      <c r="H5474" s="1">
        <v>-3.3579859999999999E-6</v>
      </c>
      <c r="I5474">
        <v>55.290860000000002</v>
      </c>
      <c r="J5474">
        <v>-187.72800000000001</v>
      </c>
      <c r="K5474">
        <v>1.120155</v>
      </c>
      <c r="L5474">
        <v>10.6286</v>
      </c>
      <c r="M5474">
        <v>-2.8638230000000001E-2</v>
      </c>
      <c r="N5474">
        <v>-9.0133539999999995E-3</v>
      </c>
      <c r="O5474">
        <v>0.99954920000000003</v>
      </c>
      <c r="P5474">
        <v>-4.4493119999999997E-2</v>
      </c>
      <c r="Q5474">
        <v>0.19200390000000001</v>
      </c>
      <c r="R5474">
        <v>0.98038510000000001</v>
      </c>
      <c r="S5474">
        <v>0.20172119999999999</v>
      </c>
      <c r="T5474">
        <v>-7.6392169999999995E-2</v>
      </c>
      <c r="U5474">
        <v>3.0862430000000001</v>
      </c>
      <c r="V5474">
        <v>-1.6156279999999999E-2</v>
      </c>
      <c r="W5474">
        <v>0.20085980000000001</v>
      </c>
      <c r="X5474">
        <v>0.97948679999999999</v>
      </c>
      <c r="Y5474">
        <v>9.3751699999999993E-2</v>
      </c>
      <c r="Z5474">
        <v>-1.562887E-2</v>
      </c>
      <c r="AA5474">
        <v>0.99547289999999999</v>
      </c>
      <c r="AB5474">
        <v>32</v>
      </c>
      <c r="AC5474">
        <v>2.9747999999999801</v>
      </c>
      <c r="AD5474">
        <v>-1.1201583579859999</v>
      </c>
      <c r="AE5474">
        <v>44.662260000000003</v>
      </c>
      <c r="AF5474">
        <v>4.2500181815516704</v>
      </c>
      <c r="AG5474">
        <v>-1.1201583579859999</v>
      </c>
      <c r="AH5474">
        <v>44.530855535831599</v>
      </c>
      <c r="AI5474">
        <v>91.434436337982405</v>
      </c>
      <c r="AJ5474">
        <v>84.548212387041801</v>
      </c>
      <c r="AK5474">
        <v>44.747229009667002</v>
      </c>
      <c r="AL5474">
        <v>78.412758155102694</v>
      </c>
      <c r="AM5474">
        <v>90.944987435115394</v>
      </c>
      <c r="AN5474">
        <v>1.0000000380068499</v>
      </c>
    </row>
    <row r="5475" spans="1:40" x14ac:dyDescent="0.25">
      <c r="A5475" t="str">
        <f>"20190303162709720"</f>
        <v>20190303162709720</v>
      </c>
      <c r="B5475" t="str">
        <f>"1551601629710303"</f>
        <v>1551601629710303</v>
      </c>
      <c r="C5475" t="s">
        <v>40</v>
      </c>
      <c r="D5475">
        <v>4.6470539999999998</v>
      </c>
      <c r="E5475">
        <v>0.52358629999999995</v>
      </c>
      <c r="F5475" t="s">
        <v>41</v>
      </c>
      <c r="G5475">
        <v>-184.9008</v>
      </c>
      <c r="H5475" s="1">
        <v>-2.1436250000000002E-6</v>
      </c>
      <c r="I5475">
        <v>51.960270000000001</v>
      </c>
      <c r="J5475">
        <v>-187.7364</v>
      </c>
      <c r="K5475">
        <v>1.1200950000000001</v>
      </c>
      <c r="L5475">
        <v>10.945399999999999</v>
      </c>
      <c r="M5475">
        <v>-2.7938810000000001E-2</v>
      </c>
      <c r="N5475">
        <v>-9.0150509999999996E-3</v>
      </c>
      <c r="O5475">
        <v>0.99956900000000004</v>
      </c>
      <c r="P5475">
        <v>-4.3798629999999998E-2</v>
      </c>
      <c r="Q5475">
        <v>0.19003890000000001</v>
      </c>
      <c r="R5475">
        <v>0.98079910000000003</v>
      </c>
      <c r="S5475">
        <v>0.2110901</v>
      </c>
      <c r="T5475">
        <v>-8.3634849999999997E-2</v>
      </c>
      <c r="U5475">
        <v>3.0859679999999998</v>
      </c>
      <c r="V5475">
        <v>-1.611661E-2</v>
      </c>
      <c r="W5475">
        <v>0.1989022</v>
      </c>
      <c r="X5475">
        <v>0.97988679999999995</v>
      </c>
      <c r="Y5475">
        <v>9.6065289999999998E-2</v>
      </c>
      <c r="Z5475">
        <v>-1.7960239999999999E-2</v>
      </c>
      <c r="AA5475">
        <v>0.99521300000000001</v>
      </c>
      <c r="AB5475">
        <v>32</v>
      </c>
      <c r="AC5475">
        <v>2.8355999999999901</v>
      </c>
      <c r="AD5475">
        <v>-1.120097143625</v>
      </c>
      <c r="AE5475">
        <v>41.014870000000002</v>
      </c>
      <c r="AF5475">
        <v>3.9774938532603401</v>
      </c>
      <c r="AG5475">
        <v>-1.120097143625</v>
      </c>
      <c r="AH5475">
        <v>40.889280831389001</v>
      </c>
      <c r="AI5475">
        <v>91.561766861851396</v>
      </c>
      <c r="AJ5475">
        <v>84.444048538793794</v>
      </c>
      <c r="AK5475">
        <v>41.097546908204599</v>
      </c>
      <c r="AL5475">
        <v>78.527229809247999</v>
      </c>
      <c r="AM5475">
        <v>90.942282802467503</v>
      </c>
      <c r="AN5475">
        <v>0.99999998554848601</v>
      </c>
    </row>
    <row r="5476" spans="1:40" x14ac:dyDescent="0.25">
      <c r="A5476" t="str">
        <f>"20190303162709743"</f>
        <v>20190303162709743</v>
      </c>
      <c r="B5476" t="str">
        <f>"1551601629729823"</f>
        <v>1551601629729823</v>
      </c>
      <c r="C5476" t="s">
        <v>40</v>
      </c>
      <c r="D5476">
        <v>4.6689170000000004</v>
      </c>
      <c r="E5476">
        <v>0.51943850000000003</v>
      </c>
      <c r="F5476" t="s">
        <v>41</v>
      </c>
      <c r="G5476">
        <v>-187.24690000000001</v>
      </c>
      <c r="H5476" s="1">
        <v>-1.5897809999999999E-6</v>
      </c>
      <c r="I5476">
        <v>42.167160000000003</v>
      </c>
      <c r="J5476">
        <v>-187.74469999999999</v>
      </c>
      <c r="K5476">
        <v>1.1200589999999999</v>
      </c>
      <c r="L5476">
        <v>11.264250000000001</v>
      </c>
      <c r="M5476">
        <v>-2.720827E-2</v>
      </c>
      <c r="N5476">
        <v>-9.0174109999999995E-3</v>
      </c>
      <c r="O5476">
        <v>0.99958910000000001</v>
      </c>
      <c r="P5476">
        <v>-4.1752190000000002E-2</v>
      </c>
      <c r="Q5476">
        <v>0.18938369999999999</v>
      </c>
      <c r="R5476">
        <v>0.98101510000000003</v>
      </c>
      <c r="S5476">
        <v>4.8324579999999999E-2</v>
      </c>
      <c r="T5476">
        <v>-0.11057930000000001</v>
      </c>
      <c r="U5476">
        <v>3.082306</v>
      </c>
      <c r="V5476">
        <v>-1.476591E-2</v>
      </c>
      <c r="W5476">
        <v>0.19825019999999999</v>
      </c>
      <c r="X5476">
        <v>0.98004020000000003</v>
      </c>
      <c r="Y5476">
        <v>4.286206E-2</v>
      </c>
      <c r="Z5476">
        <v>-2.6798860000000001E-2</v>
      </c>
      <c r="AA5476">
        <v>0.99872150000000004</v>
      </c>
      <c r="AB5476">
        <v>32</v>
      </c>
      <c r="AC5476">
        <v>0.49779999999998298</v>
      </c>
      <c r="AD5476">
        <v>-1.1200605897810001</v>
      </c>
      <c r="AE5476">
        <v>30.902909999999899</v>
      </c>
      <c r="AF5476">
        <v>1.3367090793309999</v>
      </c>
      <c r="AG5476">
        <v>-1.1200605897810001</v>
      </c>
      <c r="AH5476">
        <v>30.837424063741398</v>
      </c>
      <c r="AI5476">
        <v>92.078202742535197</v>
      </c>
      <c r="AJ5476">
        <v>87.517954999800494</v>
      </c>
      <c r="AK5476">
        <v>30.8866969709382</v>
      </c>
      <c r="AL5476">
        <v>78.565345699207995</v>
      </c>
      <c r="AM5476">
        <v>90.863189403399502</v>
      </c>
      <c r="AN5476">
        <v>0.99999998375710297</v>
      </c>
    </row>
    <row r="5477" spans="1:40" x14ac:dyDescent="0.25">
      <c r="A5477" t="str">
        <f>"20190303162709768"</f>
        <v>20190303162709768</v>
      </c>
      <c r="B5477" t="str">
        <f>"1551601629760080"</f>
        <v>1551601629760080</v>
      </c>
      <c r="C5477" t="s">
        <v>40</v>
      </c>
      <c r="D5477">
        <v>6.3301619999999996</v>
      </c>
      <c r="E5477">
        <v>0.51742339999999998</v>
      </c>
      <c r="F5477" t="s">
        <v>41</v>
      </c>
      <c r="G5477">
        <v>-187.52539999999999</v>
      </c>
      <c r="H5477" s="1">
        <v>-2.154235E-6</v>
      </c>
      <c r="I5477">
        <v>43.631149999999998</v>
      </c>
      <c r="J5477">
        <v>-187.7534</v>
      </c>
      <c r="K5477">
        <v>1.120028</v>
      </c>
      <c r="L5477">
        <v>11.61707</v>
      </c>
      <c r="M5477">
        <v>-2.6382490000000001E-2</v>
      </c>
      <c r="N5477">
        <v>-9.0205649999999995E-3</v>
      </c>
      <c r="O5477">
        <v>0.99961120000000003</v>
      </c>
      <c r="P5477">
        <v>-3.9478279999999998E-2</v>
      </c>
      <c r="Q5477">
        <v>0.1894718</v>
      </c>
      <c r="R5477">
        <v>0.98109219999999997</v>
      </c>
      <c r="S5477">
        <v>2.085876E-2</v>
      </c>
      <c r="T5477">
        <v>-0.1065675</v>
      </c>
      <c r="U5477">
        <v>3.079529</v>
      </c>
      <c r="V5477">
        <v>-1.3288919999999999E-2</v>
      </c>
      <c r="W5477">
        <v>0.19833999999999999</v>
      </c>
      <c r="X5477">
        <v>0.9800432</v>
      </c>
      <c r="Y5477">
        <v>3.3145069999999999E-2</v>
      </c>
      <c r="Z5477">
        <v>-2.5539099999999999E-2</v>
      </c>
      <c r="AA5477">
        <v>0.99912420000000002</v>
      </c>
      <c r="AB5477">
        <v>32</v>
      </c>
      <c r="AC5477">
        <v>0.228000000000008</v>
      </c>
      <c r="AD5477">
        <v>-1.120030154235</v>
      </c>
      <c r="AE5477">
        <v>32.01408</v>
      </c>
      <c r="AF5477">
        <v>1.0712550229411999</v>
      </c>
      <c r="AG5477">
        <v>-1.120030154235</v>
      </c>
      <c r="AH5477">
        <v>31.957806220898899</v>
      </c>
      <c r="AI5477">
        <v>92.006106598927602</v>
      </c>
      <c r="AJ5477">
        <v>88.080111715361696</v>
      </c>
      <c r="AK5477">
        <v>31.995365810115299</v>
      </c>
      <c r="AL5477">
        <v>78.560096629857995</v>
      </c>
      <c r="AM5477">
        <v>90.776855930070298</v>
      </c>
      <c r="AN5477">
        <v>1.0000000124305</v>
      </c>
    </row>
    <row r="5478" spans="1:40" x14ac:dyDescent="0.25">
      <c r="A5478" t="str">
        <f>"20190303162709789"</f>
        <v>20190303162709789</v>
      </c>
      <c r="B5478" t="str">
        <f>"1551601629779599"</f>
        <v>1551601629779599</v>
      </c>
      <c r="C5478" t="s">
        <v>40</v>
      </c>
      <c r="D5478">
        <v>4.6900570000000004</v>
      </c>
      <c r="E5478">
        <v>0.51660459999999997</v>
      </c>
      <c r="F5478" t="s">
        <v>41</v>
      </c>
      <c r="G5478">
        <v>-187.62129999999999</v>
      </c>
      <c r="H5478" s="1">
        <v>-3.2529140000000002E-6</v>
      </c>
      <c r="I5478">
        <v>46.231819999999999</v>
      </c>
      <c r="J5478">
        <v>-187.7611</v>
      </c>
      <c r="K5478">
        <v>1.1200030000000001</v>
      </c>
      <c r="L5478">
        <v>11.9361</v>
      </c>
      <c r="M5478">
        <v>-2.563E-2</v>
      </c>
      <c r="N5478">
        <v>-9.0238839999999994E-3</v>
      </c>
      <c r="O5478">
        <v>0.99963069999999998</v>
      </c>
      <c r="P5478">
        <v>-3.7278930000000002E-2</v>
      </c>
      <c r="Q5478">
        <v>0.1893418</v>
      </c>
      <c r="R5478">
        <v>0.9812033</v>
      </c>
      <c r="S5478">
        <v>1.1749269999999999E-2</v>
      </c>
      <c r="T5478">
        <v>-9.9579329999999994E-2</v>
      </c>
      <c r="U5478">
        <v>3.077515</v>
      </c>
      <c r="V5478">
        <v>-1.181809E-2</v>
      </c>
      <c r="W5478">
        <v>0.19821240000000001</v>
      </c>
      <c r="X5478">
        <v>0.98008779999999995</v>
      </c>
      <c r="Y5478">
        <v>2.9440819999999999E-2</v>
      </c>
      <c r="Z5478">
        <v>-2.329616E-2</v>
      </c>
      <c r="AA5478">
        <v>0.99929500000000004</v>
      </c>
      <c r="AB5478">
        <v>32</v>
      </c>
      <c r="AC5478">
        <v>0.139800000000008</v>
      </c>
      <c r="AD5478">
        <v>-1.120006252914</v>
      </c>
      <c r="AE5478">
        <v>34.295720000000003</v>
      </c>
      <c r="AF5478">
        <v>1.01770386235646</v>
      </c>
      <c r="AG5478">
        <v>-1.120006252914</v>
      </c>
      <c r="AH5478">
        <v>34.244348627576997</v>
      </c>
      <c r="AI5478">
        <v>91.872439613176297</v>
      </c>
      <c r="AJ5478">
        <v>88.297734347565793</v>
      </c>
      <c r="AK5478">
        <v>34.277770465493496</v>
      </c>
      <c r="AL5478">
        <v>78.567555045117103</v>
      </c>
      <c r="AM5478">
        <v>90.690850211255906</v>
      </c>
      <c r="AN5478">
        <v>0.99999995923692298</v>
      </c>
    </row>
    <row r="5479" spans="1:40" x14ac:dyDescent="0.25">
      <c r="A5479" t="str">
        <f>"20190303162709810"</f>
        <v>20190303162709810</v>
      </c>
      <c r="B5479" t="str">
        <f>"1551601629800602"</f>
        <v>1551601629800602</v>
      </c>
      <c r="C5479" t="s">
        <v>40</v>
      </c>
      <c r="D5479">
        <v>4.668094</v>
      </c>
      <c r="E5479">
        <v>0.5162871</v>
      </c>
      <c r="F5479" t="s">
        <v>41</v>
      </c>
      <c r="G5479">
        <v>-187.5958</v>
      </c>
      <c r="H5479" s="1">
        <v>-1.0482519999999999E-6</v>
      </c>
      <c r="I5479">
        <v>50.84863</v>
      </c>
      <c r="J5479">
        <v>-187.768</v>
      </c>
      <c r="K5479">
        <v>1.120007</v>
      </c>
      <c r="L5479">
        <v>12.22925</v>
      </c>
      <c r="M5479">
        <v>-2.493913E-2</v>
      </c>
      <c r="N5479">
        <v>-9.0273220000000008E-3</v>
      </c>
      <c r="O5479">
        <v>0.99964819999999999</v>
      </c>
      <c r="P5479">
        <v>-3.6659110000000002E-2</v>
      </c>
      <c r="Q5479">
        <v>0.1869461</v>
      </c>
      <c r="R5479">
        <v>0.9816859</v>
      </c>
      <c r="S5479">
        <v>1.306152E-2</v>
      </c>
      <c r="T5479">
        <v>-8.8507769999999999E-2</v>
      </c>
      <c r="U5479">
        <v>3.075043</v>
      </c>
      <c r="V5479">
        <v>-1.186362E-2</v>
      </c>
      <c r="W5479">
        <v>0.19582450000000001</v>
      </c>
      <c r="X5479">
        <v>0.98056719999999997</v>
      </c>
      <c r="Y5479">
        <v>2.9180339999999999E-2</v>
      </c>
      <c r="Z5479">
        <v>-1.972579E-2</v>
      </c>
      <c r="AA5479">
        <v>0.99937949999999998</v>
      </c>
      <c r="AB5479">
        <v>32</v>
      </c>
      <c r="AC5479">
        <v>0.17220000000000299</v>
      </c>
      <c r="AD5479">
        <v>-1.1200080482520001</v>
      </c>
      <c r="AE5479">
        <v>38.61938</v>
      </c>
      <c r="AF5479">
        <v>1.1343653719636499</v>
      </c>
      <c r="AG5479">
        <v>-1.1200080482520001</v>
      </c>
      <c r="AH5479">
        <v>38.570632677197203</v>
      </c>
      <c r="AI5479">
        <v>91.662560113272903</v>
      </c>
      <c r="AJ5479">
        <v>88.3154121559743</v>
      </c>
      <c r="AK5479">
        <v>38.603560819496103</v>
      </c>
      <c r="AL5479">
        <v>78.707107474674004</v>
      </c>
      <c r="AM5479">
        <v>90.693172474318402</v>
      </c>
      <c r="AN5479">
        <v>1.0000000069977899</v>
      </c>
    </row>
    <row r="5480" spans="1:40" x14ac:dyDescent="0.25">
      <c r="A5480" t="str">
        <f>"20190303162709835"</f>
        <v>20190303162709835</v>
      </c>
      <c r="B5480" t="str">
        <f>"1551601629821097"</f>
        <v>1551601629821097</v>
      </c>
      <c r="C5480" t="s">
        <v>40</v>
      </c>
      <c r="D5480">
        <v>4.6857290000000003</v>
      </c>
      <c r="E5480">
        <v>0.51678279999999999</v>
      </c>
      <c r="F5480" t="s">
        <v>41</v>
      </c>
      <c r="G5480">
        <v>-187.58709999999999</v>
      </c>
      <c r="H5480" s="1">
        <v>-8.6770069999999901E-7</v>
      </c>
      <c r="I5480">
        <v>50.311230000000002</v>
      </c>
      <c r="J5480">
        <v>-187.77619999999999</v>
      </c>
      <c r="K5480">
        <v>1.1200139999999901</v>
      </c>
      <c r="L5480">
        <v>12.59418</v>
      </c>
      <c r="M5480">
        <v>-2.4090790000000001E-2</v>
      </c>
      <c r="N5480">
        <v>-9.0320260000000003E-3</v>
      </c>
      <c r="O5480">
        <v>0.99966900000000003</v>
      </c>
      <c r="P5480">
        <v>-3.5633310000000001E-2</v>
      </c>
      <c r="Q5480">
        <v>0.1872288</v>
      </c>
      <c r="R5480">
        <v>0.98166980000000004</v>
      </c>
      <c r="S5480">
        <v>1.460266E-2</v>
      </c>
      <c r="T5480">
        <v>-9.0399740000000006E-2</v>
      </c>
      <c r="U5480">
        <v>3.0737299999999999</v>
      </c>
      <c r="V5480">
        <v>-1.1668889999999999E-2</v>
      </c>
      <c r="W5480">
        <v>0.19611110000000001</v>
      </c>
      <c r="X5480">
        <v>0.9805123</v>
      </c>
      <c r="Y5480">
        <v>2.8834869999999999E-2</v>
      </c>
      <c r="Z5480">
        <v>-2.0348809999999998E-2</v>
      </c>
      <c r="AA5480">
        <v>0.99937710000000002</v>
      </c>
      <c r="AB5480">
        <v>32</v>
      </c>
      <c r="AC5480">
        <v>0.18909999999999599</v>
      </c>
      <c r="AD5480">
        <v>-1.12001486770069</v>
      </c>
      <c r="AE5480">
        <v>37.71705</v>
      </c>
      <c r="AF5480">
        <v>1.09674859186471</v>
      </c>
      <c r="AG5480">
        <v>-1.12001486770069</v>
      </c>
      <c r="AH5480">
        <v>37.668331658621298</v>
      </c>
      <c r="AI5480">
        <v>91.702386636163197</v>
      </c>
      <c r="AJ5480">
        <v>88.332251131118895</v>
      </c>
      <c r="AK5480">
        <v>37.700935011237</v>
      </c>
      <c r="AL5480">
        <v>78.690362286953999</v>
      </c>
      <c r="AM5480">
        <v>90.681833963606394</v>
      </c>
      <c r="AN5480">
        <v>1.00000004849416</v>
      </c>
    </row>
    <row r="5481" spans="1:40" x14ac:dyDescent="0.25">
      <c r="A5481" t="str">
        <f>"20190303162709881"</f>
        <v>20190303162709881</v>
      </c>
      <c r="B5481" t="str">
        <f>"1551601629869897"</f>
        <v>1551601629869897</v>
      </c>
      <c r="C5481" t="s">
        <v>40</v>
      </c>
      <c r="D5481">
        <v>4.6984170000000001</v>
      </c>
      <c r="E5481">
        <v>0.51699980000000001</v>
      </c>
      <c r="F5481" t="s">
        <v>41</v>
      </c>
      <c r="G5481">
        <v>-187.49789999999999</v>
      </c>
      <c r="H5481" s="1">
        <v>-4.4874579999999999E-6</v>
      </c>
      <c r="I5481">
        <v>49.058570000000003</v>
      </c>
      <c r="J5481">
        <v>-187.7903</v>
      </c>
      <c r="K5481">
        <v>1.120028</v>
      </c>
      <c r="L5481">
        <v>13.2507</v>
      </c>
      <c r="M5481">
        <v>-2.2640319999999999E-2</v>
      </c>
      <c r="N5481">
        <v>-9.0412170000000007E-3</v>
      </c>
      <c r="O5481">
        <v>0.9997028</v>
      </c>
      <c r="P5481">
        <v>-3.2995570000000002E-2</v>
      </c>
      <c r="Q5481">
        <v>0.191608</v>
      </c>
      <c r="R5481">
        <v>0.98091669999999997</v>
      </c>
      <c r="S5481">
        <v>2.3468019999999999E-2</v>
      </c>
      <c r="T5481">
        <v>-9.4446539999999995E-2</v>
      </c>
      <c r="U5481">
        <v>3.0748899999999999</v>
      </c>
      <c r="V5481">
        <v>-1.0476060000000001E-2</v>
      </c>
      <c r="W5481">
        <v>0.20048940000000001</v>
      </c>
      <c r="X5481">
        <v>0.97963990000000001</v>
      </c>
      <c r="Y5481">
        <v>3.0263330000000001E-2</v>
      </c>
      <c r="Z5481">
        <v>-2.1642669999999999E-2</v>
      </c>
      <c r="AA5481">
        <v>0.99930759999999996</v>
      </c>
      <c r="AB5481">
        <v>32</v>
      </c>
      <c r="AC5481">
        <v>0.29240000000001398</v>
      </c>
      <c r="AD5481">
        <v>-1.1200324874580001</v>
      </c>
      <c r="AE5481">
        <v>35.807870000000001</v>
      </c>
      <c r="AF5481">
        <v>1.10198173336266</v>
      </c>
      <c r="AG5481">
        <v>-1.1200324874580001</v>
      </c>
      <c r="AH5481">
        <v>35.757089078857298</v>
      </c>
      <c r="AI5481">
        <v>91.793259373065396</v>
      </c>
      <c r="AJ5481">
        <v>88.2347857163669</v>
      </c>
      <c r="AK5481">
        <v>35.791594766187202</v>
      </c>
      <c r="AL5481">
        <v>78.434421210770907</v>
      </c>
      <c r="AM5481">
        <v>90.612685482860201</v>
      </c>
      <c r="AN5481">
        <v>1.0000000405087399</v>
      </c>
    </row>
    <row r="5482" spans="1:40" x14ac:dyDescent="0.25">
      <c r="A5482" t="str">
        <f>"20190303162709923"</f>
        <v>20190303162709923</v>
      </c>
      <c r="B5482" t="str">
        <f>"1551601629910420"</f>
        <v>1551601629910420</v>
      </c>
      <c r="C5482" t="s">
        <v>40</v>
      </c>
      <c r="D5482">
        <v>4.8580189999999996</v>
      </c>
      <c r="E5482">
        <v>0.51671920000000005</v>
      </c>
      <c r="F5482" t="s">
        <v>41</v>
      </c>
      <c r="G5482">
        <v>-187.3819</v>
      </c>
      <c r="H5482" s="1">
        <v>-2.7029879999999999E-6</v>
      </c>
      <c r="I5482">
        <v>54.850940000000001</v>
      </c>
      <c r="J5482">
        <v>-187.80260000000001</v>
      </c>
      <c r="K5482">
        <v>1.1200380000000001</v>
      </c>
      <c r="L5482">
        <v>13.85272</v>
      </c>
      <c r="M5482">
        <v>-2.1453730000000001E-2</v>
      </c>
      <c r="N5482">
        <v>-9.0503519999999994E-3</v>
      </c>
      <c r="O5482">
        <v>0.99972890000000003</v>
      </c>
      <c r="P5482">
        <v>-3.2815230000000001E-2</v>
      </c>
      <c r="Q5482">
        <v>0.19319040000000001</v>
      </c>
      <c r="R5482">
        <v>0.98061240000000005</v>
      </c>
      <c r="S5482">
        <v>3.0197140000000001E-2</v>
      </c>
      <c r="T5482">
        <v>-8.2805400000000001E-2</v>
      </c>
      <c r="U5482">
        <v>3.0755620000000001</v>
      </c>
      <c r="V5482">
        <v>-1.1489630000000001E-2</v>
      </c>
      <c r="W5482">
        <v>0.20207739999999999</v>
      </c>
      <c r="X5482">
        <v>0.97930220000000001</v>
      </c>
      <c r="Y5482">
        <v>3.1262599999999897E-2</v>
      </c>
      <c r="Z5482">
        <v>-1.7848269999999999E-2</v>
      </c>
      <c r="AA5482">
        <v>0.99935189999999996</v>
      </c>
      <c r="AB5482">
        <v>32</v>
      </c>
      <c r="AC5482">
        <v>0.42070000000001001</v>
      </c>
      <c r="AD5482">
        <v>-1.120040702988</v>
      </c>
      <c r="AE5482">
        <v>40.998220000000003</v>
      </c>
      <c r="AF5482">
        <v>1.29923434115749</v>
      </c>
      <c r="AG5482">
        <v>-1.120040702988</v>
      </c>
      <c r="AH5482">
        <v>40.949198346016097</v>
      </c>
      <c r="AI5482">
        <v>91.565973435990699</v>
      </c>
      <c r="AJ5482">
        <v>88.182731688429101</v>
      </c>
      <c r="AK5482">
        <v>40.985111275083298</v>
      </c>
      <c r="AL5482">
        <v>78.341534425687897</v>
      </c>
      <c r="AM5482">
        <v>90.672189957461597</v>
      </c>
      <c r="AN5482">
        <v>1.0000000430565601</v>
      </c>
    </row>
    <row r="5483" spans="1:40" x14ac:dyDescent="0.25">
      <c r="A5483" t="str">
        <f>"20190303162709944"</f>
        <v>20190303162709944</v>
      </c>
      <c r="B5483" t="str">
        <f>"1551601629939700"</f>
        <v>1551601629939700</v>
      </c>
      <c r="C5483" t="s">
        <v>40</v>
      </c>
      <c r="D5483">
        <v>4.9937310000000004</v>
      </c>
      <c r="E5483">
        <v>0.49618810000000002</v>
      </c>
      <c r="F5483" t="s">
        <v>41</v>
      </c>
      <c r="G5483">
        <v>-187.45330000000001</v>
      </c>
      <c r="H5483" s="1">
        <v>-3.2011940000000002E-6</v>
      </c>
      <c r="I5483">
        <v>56.041820000000001</v>
      </c>
      <c r="J5483">
        <v>-187.80879999999999</v>
      </c>
      <c r="K5483">
        <v>1.120069</v>
      </c>
      <c r="L5483">
        <v>14.16934</v>
      </c>
      <c r="M5483">
        <v>-2.091865E-2</v>
      </c>
      <c r="N5483">
        <v>-9.0554160000000002E-3</v>
      </c>
      <c r="O5483">
        <v>0.99974019999999997</v>
      </c>
      <c r="P5483">
        <v>-3.2944639999999997E-2</v>
      </c>
      <c r="Q5483">
        <v>0.1946859</v>
      </c>
      <c r="R5483">
        <v>0.98031219999999997</v>
      </c>
      <c r="S5483">
        <v>2.5466920000000001E-2</v>
      </c>
      <c r="T5483">
        <v>-8.1668969999999994E-2</v>
      </c>
      <c r="U5483">
        <v>3.076263</v>
      </c>
      <c r="V5483">
        <v>-1.216941E-2</v>
      </c>
      <c r="W5483">
        <v>0.2035749</v>
      </c>
      <c r="X5483">
        <v>0.97898379999999996</v>
      </c>
      <c r="Y5483">
        <v>2.918925E-2</v>
      </c>
      <c r="Z5483">
        <v>-1.746984E-2</v>
      </c>
      <c r="AA5483">
        <v>0.99942120000000001</v>
      </c>
      <c r="AB5483">
        <v>32</v>
      </c>
      <c r="AC5483">
        <v>0.355499999999977</v>
      </c>
      <c r="AD5483">
        <v>-1.1200722011939901</v>
      </c>
      <c r="AE5483">
        <v>41.872480000000003</v>
      </c>
      <c r="AF5483">
        <v>1.23049344152083</v>
      </c>
      <c r="AG5483">
        <v>-1.1200722011939901</v>
      </c>
      <c r="AH5483">
        <v>41.825953836466198</v>
      </c>
      <c r="AI5483">
        <v>91.533314504524895</v>
      </c>
      <c r="AJ5483">
        <v>88.314879992767999</v>
      </c>
      <c r="AK5483">
        <v>41.8590383331452</v>
      </c>
      <c r="AL5483">
        <v>78.253912925826597</v>
      </c>
      <c r="AM5483">
        <v>90.712187394616706</v>
      </c>
      <c r="AN5483">
        <v>1.0000000575560899</v>
      </c>
    </row>
    <row r="5484" spans="1:40" x14ac:dyDescent="0.25">
      <c r="A5484" t="str">
        <f>"20190303162709968"</f>
        <v>20190303162709968</v>
      </c>
      <c r="B5484" t="str">
        <f>"1551601629960196"</f>
        <v>1551601629960196</v>
      </c>
      <c r="C5484" t="s">
        <v>40</v>
      </c>
      <c r="D5484">
        <v>4.8870589999999998</v>
      </c>
      <c r="E5484">
        <v>0.49414570000000002</v>
      </c>
      <c r="F5484" t="s">
        <v>41</v>
      </c>
      <c r="G5484">
        <v>-191.44370000000001</v>
      </c>
      <c r="H5484" s="1">
        <v>-2.2887639999999999E-6</v>
      </c>
      <c r="I5484">
        <v>94.028819999999996</v>
      </c>
      <c r="J5484">
        <v>-187.81559999999999</v>
      </c>
      <c r="K5484">
        <v>1.120136</v>
      </c>
      <c r="L5484">
        <v>14.515409999999999</v>
      </c>
      <c r="M5484">
        <v>-2.0428430000000001E-2</v>
      </c>
      <c r="N5484">
        <v>-9.0611449999999996E-3</v>
      </c>
      <c r="O5484">
        <v>0.99975029999999998</v>
      </c>
      <c r="P5484">
        <v>-3.3049830000000002E-2</v>
      </c>
      <c r="Q5484">
        <v>0.19624169999999999</v>
      </c>
      <c r="R5484">
        <v>0.97999840000000005</v>
      </c>
      <c r="S5484">
        <v>-0.13946529999999999</v>
      </c>
      <c r="T5484">
        <v>-4.2975430000000002E-2</v>
      </c>
      <c r="U5484">
        <v>3.0640869999999998</v>
      </c>
      <c r="V5484">
        <v>-1.2791159999999999E-2</v>
      </c>
      <c r="W5484">
        <v>0.2051325</v>
      </c>
      <c r="X5484">
        <v>0.97865060000000004</v>
      </c>
      <c r="Y5484">
        <v>-2.5048239999999999E-2</v>
      </c>
      <c r="Z5484">
        <v>-4.9536850000000002E-3</v>
      </c>
      <c r="AA5484">
        <v>0.99967399999999995</v>
      </c>
      <c r="AB5484">
        <v>32</v>
      </c>
      <c r="AC5484">
        <v>-3.6281000000000101</v>
      </c>
      <c r="AD5484">
        <v>-1.1201382887639999</v>
      </c>
      <c r="AE5484">
        <v>79.513409999999993</v>
      </c>
      <c r="AF5484">
        <v>-2.0025454825050701</v>
      </c>
      <c r="AG5484">
        <v>-1.1201382887639999</v>
      </c>
      <c r="AH5484">
        <v>79.555179697609702</v>
      </c>
      <c r="AI5484">
        <v>90.806416843977303</v>
      </c>
      <c r="AJ5484">
        <v>91.441932264215197</v>
      </c>
      <c r="AK5484">
        <v>79.588262419243904</v>
      </c>
      <c r="AL5484">
        <v>78.162744138511997</v>
      </c>
      <c r="AM5484">
        <v>90.748824713044101</v>
      </c>
      <c r="AN5484">
        <v>0.99999997660537698</v>
      </c>
    </row>
    <row r="5485" spans="1:40" x14ac:dyDescent="0.25">
      <c r="A5485" t="str">
        <f>"20190303162709988"</f>
        <v>20190303162709988</v>
      </c>
      <c r="B5485" t="str">
        <f>"1551601629979715"</f>
        <v>1551601629979715</v>
      </c>
      <c r="C5485" t="s">
        <v>40</v>
      </c>
      <c r="D5485">
        <v>4.992966</v>
      </c>
      <c r="E5485">
        <v>0.49339110000000003</v>
      </c>
      <c r="F5485" t="s">
        <v>41</v>
      </c>
      <c r="G5485">
        <v>-192.91489999999999</v>
      </c>
      <c r="H5485" s="1">
        <v>-2.9339380000000002E-6</v>
      </c>
      <c r="I5485">
        <v>114.6203</v>
      </c>
      <c r="J5485">
        <v>-187.82140000000001</v>
      </c>
      <c r="K5485">
        <v>1.1201950000000001</v>
      </c>
      <c r="L5485">
        <v>14.817410000000001</v>
      </c>
      <c r="M5485">
        <v>-2.0070520000000001E-2</v>
      </c>
      <c r="N5485">
        <v>-9.066246E-3</v>
      </c>
      <c r="O5485">
        <v>0.99975749999999997</v>
      </c>
      <c r="P5485">
        <v>-3.2857839999999999E-2</v>
      </c>
      <c r="Q5485">
        <v>0.19699220000000001</v>
      </c>
      <c r="R5485">
        <v>0.97985429999999996</v>
      </c>
      <c r="S5485">
        <v>-0.1560211</v>
      </c>
      <c r="T5485">
        <v>-3.4272070000000002E-2</v>
      </c>
      <c r="U5485">
        <v>3.0628359999999999</v>
      </c>
      <c r="V5485">
        <v>-1.298086E-2</v>
      </c>
      <c r="W5485">
        <v>0.20588480000000001</v>
      </c>
      <c r="X5485">
        <v>0.97849019999999998</v>
      </c>
      <c r="Y5485">
        <v>-3.081559E-2</v>
      </c>
      <c r="Z5485">
        <v>-2.1141649999999999E-3</v>
      </c>
      <c r="AA5485">
        <v>0.99952289999999999</v>
      </c>
      <c r="AB5485">
        <v>32</v>
      </c>
      <c r="AC5485">
        <v>-5.0934999999999704</v>
      </c>
      <c r="AD5485">
        <v>-1.1201979339379999</v>
      </c>
      <c r="AE5485">
        <v>99.802890000000005</v>
      </c>
      <c r="AF5485">
        <v>-3.08890763729711</v>
      </c>
      <c r="AG5485">
        <v>-1.1201979339379999</v>
      </c>
      <c r="AH5485">
        <v>99.872468830674407</v>
      </c>
      <c r="AI5485">
        <v>90.642311654691994</v>
      </c>
      <c r="AJ5485">
        <v>91.771508940089404</v>
      </c>
      <c r="AK5485">
        <v>99.926504112457494</v>
      </c>
      <c r="AL5485">
        <v>78.118701457355002</v>
      </c>
      <c r="AM5485">
        <v>90.760053463683505</v>
      </c>
      <c r="AN5485">
        <v>1.0000000625467</v>
      </c>
    </row>
    <row r="5486" spans="1:40" x14ac:dyDescent="0.25">
      <c r="A5486" t="str">
        <f>"20190303162710011"</f>
        <v>20190303162710011</v>
      </c>
      <c r="B5486" t="str">
        <f>"1551601629999743"</f>
        <v>1551601629999743</v>
      </c>
      <c r="C5486" t="s">
        <v>40</v>
      </c>
      <c r="D5486">
        <v>5.0624229999999999</v>
      </c>
      <c r="E5486">
        <v>0.49306299999999997</v>
      </c>
      <c r="F5486" t="s">
        <v>47</v>
      </c>
      <c r="G5486">
        <v>-194.8612</v>
      </c>
      <c r="H5486" s="1">
        <v>-1.1418889999999999E-5</v>
      </c>
      <c r="I5486">
        <v>149.09139999999999</v>
      </c>
      <c r="J5486">
        <v>-187.82749999999999</v>
      </c>
      <c r="K5486">
        <v>1.1202559999999999</v>
      </c>
      <c r="L5486">
        <v>15.14209</v>
      </c>
      <c r="M5486">
        <v>-1.976588E-2</v>
      </c>
      <c r="N5486">
        <v>-9.0718729999999994E-3</v>
      </c>
      <c r="O5486">
        <v>0.99976350000000003</v>
      </c>
      <c r="P5486">
        <v>-3.308092E-2</v>
      </c>
      <c r="Q5486">
        <v>0.19598470000000001</v>
      </c>
      <c r="R5486">
        <v>0.98004880000000005</v>
      </c>
      <c r="S5486">
        <v>-0.16050719999999999</v>
      </c>
      <c r="T5486">
        <v>-2.5540589999999998E-2</v>
      </c>
      <c r="U5486">
        <v>3.0614319999999999</v>
      </c>
      <c r="V5486">
        <v>-1.353059E-2</v>
      </c>
      <c r="W5486">
        <v>0.20488329999999999</v>
      </c>
      <c r="X5486">
        <v>0.97869289999999998</v>
      </c>
      <c r="Y5486">
        <v>-3.260449E-2</v>
      </c>
      <c r="Z5486">
        <v>7.351832E-4</v>
      </c>
      <c r="AA5486">
        <v>0.99946809999999997</v>
      </c>
      <c r="AB5486">
        <v>33</v>
      </c>
      <c r="AC5486">
        <v>-7.0336999999999996</v>
      </c>
      <c r="AD5486">
        <v>-1.1202674188899999</v>
      </c>
      <c r="AE5486">
        <v>133.94931</v>
      </c>
      <c r="AF5486">
        <v>-4.3842850516523102</v>
      </c>
      <c r="AG5486">
        <v>-1.1202674188899999</v>
      </c>
      <c r="AH5486">
        <v>134.052821283887</v>
      </c>
      <c r="AI5486">
        <v>90.4785486889282</v>
      </c>
      <c r="AJ5486">
        <v>91.873228165839294</v>
      </c>
      <c r="AK5486">
        <v>134.12917597850901</v>
      </c>
      <c r="AL5486">
        <v>78.1773325870478</v>
      </c>
      <c r="AM5486">
        <v>90.792073095398393</v>
      </c>
      <c r="AN5486">
        <v>1.0000000179975199</v>
      </c>
    </row>
    <row r="5487" spans="1:40" x14ac:dyDescent="0.25">
      <c r="A5487" t="str">
        <f>"20190303162710056"</f>
        <v>20190303162710056</v>
      </c>
      <c r="B5487" t="str">
        <f>"1551601630049518"</f>
        <v>1551601630049518</v>
      </c>
      <c r="C5487" t="s">
        <v>40</v>
      </c>
      <c r="D5487">
        <v>4.9408180000000002</v>
      </c>
      <c r="E5487">
        <v>0.4951739</v>
      </c>
      <c r="F5487" t="s">
        <v>47</v>
      </c>
      <c r="G5487">
        <v>-195.3152</v>
      </c>
      <c r="H5487" s="1">
        <v>-1.3814979999999899E-5</v>
      </c>
      <c r="I5487">
        <v>155.7988</v>
      </c>
      <c r="J5487">
        <v>-187.8399</v>
      </c>
      <c r="K5487">
        <v>1.1203860000000001</v>
      </c>
      <c r="L5487">
        <v>15.78946</v>
      </c>
      <c r="M5487">
        <v>-1.9411319999999999E-2</v>
      </c>
      <c r="N5487">
        <v>-9.0835789999999996E-3</v>
      </c>
      <c r="O5487">
        <v>0.9997703</v>
      </c>
      <c r="P5487">
        <v>-3.4782269999999997E-2</v>
      </c>
      <c r="Q5487">
        <v>0.1950334</v>
      </c>
      <c r="R5487">
        <v>0.98017969999999999</v>
      </c>
      <c r="S5487">
        <v>-0.16291810000000001</v>
      </c>
      <c r="T5487">
        <v>-2.43752E-2</v>
      </c>
      <c r="U5487">
        <v>3.0604550000000001</v>
      </c>
      <c r="V5487">
        <v>-1.564215E-2</v>
      </c>
      <c r="W5487">
        <v>0.20394180000000001</v>
      </c>
      <c r="X5487">
        <v>0.97885809999999995</v>
      </c>
      <c r="Y5487">
        <v>-3.3760690000000003E-2</v>
      </c>
      <c r="Z5487">
        <v>1.1247679999999999E-3</v>
      </c>
      <c r="AA5487">
        <v>0.99942929999999996</v>
      </c>
      <c r="AB5487">
        <v>33</v>
      </c>
      <c r="AC5487">
        <v>-7.4752999999999998</v>
      </c>
      <c r="AD5487">
        <v>-1.1203998149799901</v>
      </c>
      <c r="AE5487">
        <v>140.00933999999901</v>
      </c>
      <c r="AF5487">
        <v>-4.7557094489085801</v>
      </c>
      <c r="AG5487">
        <v>-1.1203998149799901</v>
      </c>
      <c r="AH5487">
        <v>140.11912172834599</v>
      </c>
      <c r="AI5487">
        <v>90.457866647659301</v>
      </c>
      <c r="AJ5487">
        <v>91.943899731934494</v>
      </c>
      <c r="AK5487">
        <v>140.204280755014</v>
      </c>
      <c r="AL5487">
        <v>78.232440639811699</v>
      </c>
      <c r="AM5487">
        <v>90.9155084910402</v>
      </c>
      <c r="AN5487">
        <v>1.0000000572897301</v>
      </c>
    </row>
    <row r="5488" spans="1:40" x14ac:dyDescent="0.25">
      <c r="A5488" t="str">
        <f>"20190303162710166"</f>
        <v>20190303162710166</v>
      </c>
      <c r="B5488" t="str">
        <f>"1551601630160121"</f>
        <v>1551601630160121</v>
      </c>
      <c r="C5488" t="s">
        <v>40</v>
      </c>
      <c r="D5488">
        <v>5.1599430000000002</v>
      </c>
      <c r="E5488">
        <v>0.49368580000000001</v>
      </c>
      <c r="F5488" t="s">
        <v>41</v>
      </c>
      <c r="G5488">
        <v>-192.84829999999999</v>
      </c>
      <c r="H5488" s="1">
        <v>-4.0220580000000001E-6</v>
      </c>
      <c r="I5488">
        <v>117.3211</v>
      </c>
      <c r="J5488">
        <v>-187.8717</v>
      </c>
      <c r="K5488">
        <v>1.120544</v>
      </c>
      <c r="L5488">
        <v>17.438289999999999</v>
      </c>
      <c r="M5488">
        <v>-1.9426639999999998E-2</v>
      </c>
      <c r="N5488">
        <v>-9.1146609999999996E-3</v>
      </c>
      <c r="O5488">
        <v>0.99976969999999998</v>
      </c>
      <c r="P5488">
        <v>-4.0717830000000003E-2</v>
      </c>
      <c r="Q5488">
        <v>0.1877827</v>
      </c>
      <c r="R5488">
        <v>0.98136630000000002</v>
      </c>
      <c r="S5488">
        <v>-0.15104679999999901</v>
      </c>
      <c r="T5488">
        <v>-3.3789279999999998E-2</v>
      </c>
      <c r="U5488">
        <v>3.0620419999999999</v>
      </c>
      <c r="V5488">
        <v>-2.1637190000000001E-2</v>
      </c>
      <c r="W5488">
        <v>0.1967264</v>
      </c>
      <c r="X5488">
        <v>0.98021970000000003</v>
      </c>
      <c r="Y5488">
        <v>-2.985287E-2</v>
      </c>
      <c r="Z5488">
        <v>-1.9117279999999999E-3</v>
      </c>
      <c r="AA5488">
        <v>0.99955249999999995</v>
      </c>
      <c r="AB5488">
        <v>33</v>
      </c>
      <c r="AC5488">
        <v>-4.9765999999999897</v>
      </c>
      <c r="AD5488">
        <v>-1.120548022058</v>
      </c>
      <c r="AE5488">
        <v>99.882809999999907</v>
      </c>
      <c r="AF5488">
        <v>-3.0348116834267</v>
      </c>
      <c r="AG5488">
        <v>-1.120548022058</v>
      </c>
      <c r="AH5488">
        <v>99.948093609635805</v>
      </c>
      <c r="AI5488">
        <v>90.642037363574104</v>
      </c>
      <c r="AJ5488">
        <v>91.739187678936901</v>
      </c>
      <c r="AK5488">
        <v>100.00043562917099</v>
      </c>
      <c r="AL5488">
        <v>78.654407849814206</v>
      </c>
      <c r="AM5488">
        <v>91.264531179931794</v>
      </c>
      <c r="AN5488">
        <v>1.0000000523580701</v>
      </c>
    </row>
    <row r="5489" spans="1:40" x14ac:dyDescent="0.25">
      <c r="A5489" t="str">
        <f>"20190303162710212"</f>
        <v>20190303162710212</v>
      </c>
      <c r="B5489" t="str">
        <f>"1551601630199632"</f>
        <v>1551601630199632</v>
      </c>
      <c r="C5489" t="s">
        <v>40</v>
      </c>
      <c r="D5489">
        <v>4.8014479999999997</v>
      </c>
      <c r="E5489">
        <v>0.50000349999999905</v>
      </c>
      <c r="F5489" t="s">
        <v>42</v>
      </c>
      <c r="G5489">
        <v>-187.92310000000001</v>
      </c>
      <c r="H5489">
        <v>0.80672559999999904</v>
      </c>
      <c r="I5489">
        <v>18.28651</v>
      </c>
      <c r="J5489">
        <v>-187.88460000000001</v>
      </c>
      <c r="K5489">
        <v>1.120574</v>
      </c>
      <c r="L5489">
        <v>18.095120000000001</v>
      </c>
      <c r="M5489">
        <v>-1.9592769999999999E-2</v>
      </c>
      <c r="N5489">
        <v>-9.1272999999999996E-3</v>
      </c>
      <c r="O5489">
        <v>0.99976640000000006</v>
      </c>
      <c r="P5489">
        <v>-4.6069760000000001E-2</v>
      </c>
      <c r="Q5489">
        <v>0.18557580000000001</v>
      </c>
      <c r="R5489">
        <v>0.98154940000000002</v>
      </c>
      <c r="S5489">
        <v>-0.19909669999999999</v>
      </c>
      <c r="T5489">
        <v>-1.213876</v>
      </c>
      <c r="U5489">
        <v>3.2809750000000002</v>
      </c>
      <c r="V5489">
        <v>-2.683984E-2</v>
      </c>
      <c r="W5489">
        <v>0.1945318</v>
      </c>
      <c r="X5489">
        <v>0.98052899999999998</v>
      </c>
      <c r="Y5489">
        <v>-3.7369649999999997E-2</v>
      </c>
      <c r="Z5489">
        <v>-0.3379238</v>
      </c>
      <c r="AA5489">
        <v>0.94043129999999997</v>
      </c>
      <c r="AB5489">
        <v>33</v>
      </c>
      <c r="AC5489">
        <v>-3.8499999999999E-2</v>
      </c>
      <c r="AD5489">
        <v>-0.31384840000000003</v>
      </c>
      <c r="AE5489">
        <v>0.19138999999999801</v>
      </c>
      <c r="AF5489">
        <v>-9.69249650926861E-3</v>
      </c>
      <c r="AG5489">
        <v>-0.31384840000000003</v>
      </c>
      <c r="AH5489">
        <v>5.3594225701117298E-2</v>
      </c>
      <c r="AI5489">
        <v>170.15523042805501</v>
      </c>
      <c r="AJ5489">
        <v>100.251119843222</v>
      </c>
      <c r="AK5489">
        <v>0.31853901440741</v>
      </c>
      <c r="AL5489">
        <v>78.782626714856093</v>
      </c>
      <c r="AM5489">
        <v>91.567955306420302</v>
      </c>
      <c r="AN5489">
        <v>1.0000000590317299</v>
      </c>
    </row>
    <row r="5490" spans="1:40" x14ac:dyDescent="0.25">
      <c r="A5490" t="str">
        <f>"20190303162710234"</f>
        <v>20190303162710234</v>
      </c>
      <c r="B5490" t="str">
        <f>"1551601630229889"</f>
        <v>1551601630229889</v>
      </c>
      <c r="C5490" t="s">
        <v>40</v>
      </c>
      <c r="D5490">
        <v>4.8292570000000001</v>
      </c>
      <c r="E5490">
        <v>0.49953429999999999</v>
      </c>
      <c r="F5490" t="s">
        <v>41</v>
      </c>
      <c r="G5490">
        <v>-188.68950000000001</v>
      </c>
      <c r="H5490" s="1">
        <v>-2.4092140000000001E-6</v>
      </c>
      <c r="I5490">
        <v>34.70684</v>
      </c>
      <c r="J5490">
        <v>-187.8912</v>
      </c>
      <c r="K5490">
        <v>1.120579</v>
      </c>
      <c r="L5490">
        <v>18.42474</v>
      </c>
      <c r="M5490">
        <v>-1.9683840000000001E-2</v>
      </c>
      <c r="N5490">
        <v>-9.1338770000000003E-3</v>
      </c>
      <c r="O5490">
        <v>0.99976449999999994</v>
      </c>
      <c r="P5490">
        <v>-4.8088390000000002E-2</v>
      </c>
      <c r="Q5490">
        <v>0.18495200000000001</v>
      </c>
      <c r="R5490">
        <v>0.98157030000000001</v>
      </c>
      <c r="S5490">
        <v>-0.14965819999999999</v>
      </c>
      <c r="T5490">
        <v>-0.2083595</v>
      </c>
      <c r="U5490">
        <v>3.0887760000000002</v>
      </c>
      <c r="V5490">
        <v>-2.8773900000000002E-2</v>
      </c>
      <c r="W5490">
        <v>0.19391439999999999</v>
      </c>
      <c r="X5490">
        <v>0.98059640000000003</v>
      </c>
      <c r="Y5490">
        <v>-2.8632689999999999E-2</v>
      </c>
      <c r="Z5490">
        <v>-5.8119799999999999E-2</v>
      </c>
      <c r="AA5490">
        <v>0.99789890000000003</v>
      </c>
      <c r="AB5490">
        <v>33</v>
      </c>
      <c r="AC5490">
        <v>-0.798300000000011</v>
      </c>
      <c r="AD5490">
        <v>-1.1205814092139901</v>
      </c>
      <c r="AE5490">
        <v>16.2821</v>
      </c>
      <c r="AF5490">
        <v>-0.47539135367177698</v>
      </c>
      <c r="AG5490">
        <v>-1.1205814092139901</v>
      </c>
      <c r="AH5490">
        <v>16.218025463854701</v>
      </c>
      <c r="AI5490">
        <v>93.950867501606496</v>
      </c>
      <c r="AJ5490">
        <v>91.679003470619506</v>
      </c>
      <c r="AK5490">
        <v>16.2636419531439</v>
      </c>
      <c r="AL5490">
        <v>78.818687335576101</v>
      </c>
      <c r="AM5490">
        <v>91.680762956779702</v>
      </c>
      <c r="AN5490">
        <v>1.00000001577076</v>
      </c>
    </row>
    <row r="5491" spans="1:40" x14ac:dyDescent="0.25">
      <c r="A5491" t="str">
        <f>"20190303162710256"</f>
        <v>20190303162710256</v>
      </c>
      <c r="B5491" t="str">
        <f>"1551601630249408"</f>
        <v>1551601630249408</v>
      </c>
      <c r="C5491" t="s">
        <v>40</v>
      </c>
      <c r="D5491">
        <v>4.7874429999999997</v>
      </c>
      <c r="E5491">
        <v>0.49931170000000002</v>
      </c>
      <c r="F5491" t="s">
        <v>41</v>
      </c>
      <c r="G5491">
        <v>-188.9135</v>
      </c>
      <c r="H5491" s="1">
        <v>-3.8270629999999998E-6</v>
      </c>
      <c r="I5491">
        <v>38.104500000000002</v>
      </c>
      <c r="J5491">
        <v>-187.89789999999999</v>
      </c>
      <c r="K5491">
        <v>1.1205860000000001</v>
      </c>
      <c r="L5491">
        <v>18.760069999999999</v>
      </c>
      <c r="M5491">
        <v>-1.9778859999999999E-2</v>
      </c>
      <c r="N5491">
        <v>-9.1405900000000005E-3</v>
      </c>
      <c r="O5491">
        <v>0.99976259999999995</v>
      </c>
      <c r="P5491">
        <v>-4.9696579999999997E-2</v>
      </c>
      <c r="Q5491">
        <v>0.18497759999999999</v>
      </c>
      <c r="R5491">
        <v>0.98148539999999995</v>
      </c>
      <c r="S5491">
        <v>-0.16008</v>
      </c>
      <c r="T5491">
        <v>-0.1754657</v>
      </c>
      <c r="U5491">
        <v>3.0815429999999999</v>
      </c>
      <c r="V5491">
        <v>-3.0294729999999999E-2</v>
      </c>
      <c r="W5491">
        <v>0.19394520000000001</v>
      </c>
      <c r="X5491">
        <v>0.98054450000000004</v>
      </c>
      <c r="Y5491">
        <v>-3.2046209999999999E-2</v>
      </c>
      <c r="Z5491">
        <v>-4.765585E-2</v>
      </c>
      <c r="AA5491">
        <v>0.99834959999999995</v>
      </c>
      <c r="AB5491">
        <v>33</v>
      </c>
      <c r="AC5491">
        <v>-1.0156000000000001</v>
      </c>
      <c r="AD5491">
        <v>-1.1205898270629999</v>
      </c>
      <c r="AE5491">
        <v>19.344429999999999</v>
      </c>
      <c r="AF5491">
        <v>-0.63066406136902597</v>
      </c>
      <c r="AG5491">
        <v>-1.1205898270629999</v>
      </c>
      <c r="AH5491">
        <v>19.2961598710116</v>
      </c>
      <c r="AI5491">
        <v>93.321846789069198</v>
      </c>
      <c r="AJ5491">
        <v>91.871954377620796</v>
      </c>
      <c r="AK5491">
        <v>19.3389566545473</v>
      </c>
      <c r="AL5491">
        <v>78.816888453483699</v>
      </c>
      <c r="AM5491">
        <v>91.769637375476805</v>
      </c>
      <c r="AN5491">
        <v>1.00000001387453</v>
      </c>
    </row>
    <row r="5492" spans="1:40" x14ac:dyDescent="0.25">
      <c r="A5492" t="str">
        <f>"20190303162710281"</f>
        <v>20190303162710281</v>
      </c>
      <c r="B5492" t="str">
        <f>"1551601630269904"</f>
        <v>1551601630269904</v>
      </c>
      <c r="C5492" t="s">
        <v>40</v>
      </c>
      <c r="D5492">
        <v>4.753984</v>
      </c>
      <c r="E5492">
        <v>0.4987915</v>
      </c>
      <c r="F5492" t="s">
        <v>41</v>
      </c>
      <c r="G5492">
        <v>-189.05359999999999</v>
      </c>
      <c r="H5492" s="1">
        <v>-3.7258680000000002E-7</v>
      </c>
      <c r="I5492">
        <v>40.002949999999998</v>
      </c>
      <c r="J5492">
        <v>-187.90520000000001</v>
      </c>
      <c r="K5492">
        <v>1.1206039999999999</v>
      </c>
      <c r="L5492">
        <v>19.1279</v>
      </c>
      <c r="M5492">
        <v>-1.9883729999999999E-2</v>
      </c>
      <c r="N5492">
        <v>-9.1477329999999999E-3</v>
      </c>
      <c r="O5492">
        <v>0.99976039999999999</v>
      </c>
      <c r="P5492">
        <v>-5.1096030000000001E-2</v>
      </c>
      <c r="Q5492">
        <v>0.1855918</v>
      </c>
      <c r="R5492">
        <v>0.98129759999999999</v>
      </c>
      <c r="S5492">
        <v>-0.1674957</v>
      </c>
      <c r="T5492">
        <v>-0.162405299999999</v>
      </c>
      <c r="U5492">
        <v>3.0787049999999998</v>
      </c>
      <c r="V5492">
        <v>-3.1597590000000002E-2</v>
      </c>
      <c r="W5492">
        <v>0.19456409999999999</v>
      </c>
      <c r="X5492">
        <v>0.98038080000000005</v>
      </c>
      <c r="Y5492">
        <v>-3.4397240000000003E-2</v>
      </c>
      <c r="Z5492">
        <v>-4.3475640000000003E-2</v>
      </c>
      <c r="AA5492">
        <v>0.99846210000000002</v>
      </c>
      <c r="AB5492">
        <v>33</v>
      </c>
      <c r="AC5492">
        <v>-1.1483999999999801</v>
      </c>
      <c r="AD5492">
        <v>-1.1206043725868</v>
      </c>
      <c r="AE5492">
        <v>20.875050000000002</v>
      </c>
      <c r="AF5492">
        <v>-0.73098157714085399</v>
      </c>
      <c r="AG5492">
        <v>-1.1206043725868</v>
      </c>
      <c r="AH5492">
        <v>20.833902052865401</v>
      </c>
      <c r="AI5492">
        <v>93.076942592929001</v>
      </c>
      <c r="AJ5492">
        <v>92.009464461603898</v>
      </c>
      <c r="AK5492">
        <v>20.8768187944038</v>
      </c>
      <c r="AL5492">
        <v>78.780739964617396</v>
      </c>
      <c r="AM5492">
        <v>91.845999101283596</v>
      </c>
      <c r="AN5492">
        <v>1.00000005485562</v>
      </c>
    </row>
    <row r="5493" spans="1:40" x14ac:dyDescent="0.25">
      <c r="A5493" t="str">
        <f>"20190303162710304"</f>
        <v>20190303162710304</v>
      </c>
      <c r="B5493" t="str">
        <f>"1551601630289424"</f>
        <v>1551601630289424</v>
      </c>
      <c r="C5493" t="s">
        <v>40</v>
      </c>
      <c r="D5493">
        <v>4.7142970000000002</v>
      </c>
      <c r="E5493">
        <v>0.49848140000000002</v>
      </c>
      <c r="F5493" t="s">
        <v>41</v>
      </c>
      <c r="G5493">
        <v>-189.20320000000001</v>
      </c>
      <c r="H5493" s="1">
        <v>-1.0817369999999999E-6</v>
      </c>
      <c r="I5493">
        <v>41.824849999999998</v>
      </c>
      <c r="J5493">
        <v>-187.91200000000001</v>
      </c>
      <c r="K5493">
        <v>1.120609</v>
      </c>
      <c r="L5493">
        <v>19.464970000000001</v>
      </c>
      <c r="M5493">
        <v>-1.997939E-2</v>
      </c>
      <c r="N5493">
        <v>-9.1541350000000007E-3</v>
      </c>
      <c r="O5493">
        <v>0.99975849999999999</v>
      </c>
      <c r="P5493">
        <v>-5.2079189999999997E-2</v>
      </c>
      <c r="Q5493">
        <v>0.18762190000000001</v>
      </c>
      <c r="R5493">
        <v>0.9808597</v>
      </c>
      <c r="S5493">
        <v>-0.1759491</v>
      </c>
      <c r="T5493">
        <v>-0.15190680000000001</v>
      </c>
      <c r="U5493">
        <v>3.0767519999999999</v>
      </c>
      <c r="V5493">
        <v>-3.2498069999999997E-2</v>
      </c>
      <c r="W5493">
        <v>0.1965964</v>
      </c>
      <c r="X5493">
        <v>0.97994579999999998</v>
      </c>
      <c r="Y5493">
        <v>-3.7078479999999997E-2</v>
      </c>
      <c r="Z5493">
        <v>-4.0100730000000001E-2</v>
      </c>
      <c r="AA5493">
        <v>0.99850740000000004</v>
      </c>
      <c r="AB5493">
        <v>33</v>
      </c>
      <c r="AC5493">
        <v>-1.2911999999999999</v>
      </c>
      <c r="AD5493">
        <v>-1.1206100817369999</v>
      </c>
      <c r="AE5493">
        <v>22.35988</v>
      </c>
      <c r="AF5493">
        <v>-0.84207873890191698</v>
      </c>
      <c r="AG5493">
        <v>-1.1206100817369999</v>
      </c>
      <c r="AH5493">
        <v>22.325326427463398</v>
      </c>
      <c r="AI5493">
        <v>92.871486688268206</v>
      </c>
      <c r="AJ5493">
        <v>92.160089215814395</v>
      </c>
      <c r="AK5493">
        <v>22.369288402866101</v>
      </c>
      <c r="AL5493">
        <v>78.662004283400805</v>
      </c>
      <c r="AM5493">
        <v>91.899411271113493</v>
      </c>
      <c r="AN5493">
        <v>1.0000000199921599</v>
      </c>
    </row>
    <row r="5494" spans="1:40" x14ac:dyDescent="0.25">
      <c r="A5494" t="str">
        <f>"20190303162710347"</f>
        <v>20190303162710347</v>
      </c>
      <c r="B5494" t="str">
        <f>"1551601630339706"</f>
        <v>1551601630339706</v>
      </c>
      <c r="C5494" t="s">
        <v>40</v>
      </c>
      <c r="D5494">
        <v>4.7279970000000002</v>
      </c>
      <c r="E5494">
        <v>0.49827090000000002</v>
      </c>
      <c r="F5494" t="s">
        <v>41</v>
      </c>
      <c r="G5494">
        <v>-189.43119999999999</v>
      </c>
      <c r="H5494" s="1">
        <v>-2.5045060000000001E-6</v>
      </c>
      <c r="I5494">
        <v>45.23565</v>
      </c>
      <c r="J5494">
        <v>-187.92519999999999</v>
      </c>
      <c r="K5494">
        <v>1.120611</v>
      </c>
      <c r="L5494">
        <v>20.113309999999998</v>
      </c>
      <c r="M5494">
        <v>-2.0160270000000001E-2</v>
      </c>
      <c r="N5494">
        <v>-9.166558E-3</v>
      </c>
      <c r="O5494">
        <v>0.9997547</v>
      </c>
      <c r="P5494">
        <v>-5.1769120000000002E-2</v>
      </c>
      <c r="Q5494">
        <v>0.18898329999999999</v>
      </c>
      <c r="R5494">
        <v>0.98061469999999995</v>
      </c>
      <c r="S5494">
        <v>-0.18124390000000001</v>
      </c>
      <c r="T5494">
        <v>-0.13369120000000001</v>
      </c>
      <c r="U5494">
        <v>3.0744929999999999</v>
      </c>
      <c r="V5494">
        <v>-3.2018970000000001E-2</v>
      </c>
      <c r="W5494">
        <v>0.197967</v>
      </c>
      <c r="X5494">
        <v>0.97968560000000005</v>
      </c>
      <c r="Y5494">
        <v>-3.8666730000000003E-2</v>
      </c>
      <c r="Z5494">
        <v>-3.4221559999999998E-2</v>
      </c>
      <c r="AA5494">
        <v>0.99866600000000005</v>
      </c>
      <c r="AB5494">
        <v>33</v>
      </c>
      <c r="AC5494">
        <v>-1.506</v>
      </c>
      <c r="AD5494">
        <v>-1.1206135045059999</v>
      </c>
      <c r="AE5494">
        <v>25.122340000000001</v>
      </c>
      <c r="AF5494">
        <v>-0.99722235326328601</v>
      </c>
      <c r="AG5494">
        <v>-1.1206135045059999</v>
      </c>
      <c r="AH5494">
        <v>25.097837571724298</v>
      </c>
      <c r="AI5494">
        <v>92.554534250120994</v>
      </c>
      <c r="AJ5494">
        <v>92.275359076169295</v>
      </c>
      <c r="AK5494">
        <v>25.142626708937598</v>
      </c>
      <c r="AL5494">
        <v>78.581900286079005</v>
      </c>
      <c r="AM5494">
        <v>91.871926113772403</v>
      </c>
      <c r="AN5494">
        <v>1.00000001118811</v>
      </c>
    </row>
    <row r="5495" spans="1:40" x14ac:dyDescent="0.25">
      <c r="A5495" t="str">
        <f>"20190303162710368"</f>
        <v>20190303162710368</v>
      </c>
      <c r="B5495" t="str">
        <f>"1551601630360203"</f>
        <v>1551601630360203</v>
      </c>
      <c r="C5495" t="s">
        <v>40</v>
      </c>
      <c r="D5495">
        <v>4.7148180000000002</v>
      </c>
      <c r="E5495">
        <v>0.49823420000000002</v>
      </c>
      <c r="F5495" t="s">
        <v>41</v>
      </c>
      <c r="G5495">
        <v>-189.7954</v>
      </c>
      <c r="H5495" s="1">
        <v>-9.0192129999999997E-7</v>
      </c>
      <c r="I5495">
        <v>51.650570000000002</v>
      </c>
      <c r="J5495">
        <v>-187.9315</v>
      </c>
      <c r="K5495">
        <v>1.120611</v>
      </c>
      <c r="L5495">
        <v>20.422940000000001</v>
      </c>
      <c r="M5495">
        <v>-2.024604E-2</v>
      </c>
      <c r="N5495">
        <v>-9.1724890000000007E-3</v>
      </c>
      <c r="O5495">
        <v>0.99975290000000006</v>
      </c>
      <c r="P5495">
        <v>-5.0841209999999998E-2</v>
      </c>
      <c r="Q5495">
        <v>0.18867990000000001</v>
      </c>
      <c r="R5495">
        <v>0.98072170000000003</v>
      </c>
      <c r="S5495">
        <v>-0.18209839999999999</v>
      </c>
      <c r="T5495">
        <v>-0.1091114</v>
      </c>
      <c r="U5495">
        <v>3.0707089999999999</v>
      </c>
      <c r="V5495">
        <v>-3.1005270000000001E-2</v>
      </c>
      <c r="W5495">
        <v>0.19767019999999999</v>
      </c>
      <c r="X5495">
        <v>0.97977809999999999</v>
      </c>
      <c r="Y5495">
        <v>-3.8945790000000001E-2</v>
      </c>
      <c r="Z5495">
        <v>-2.6292369999999999E-2</v>
      </c>
      <c r="AA5495">
        <v>0.99889530000000004</v>
      </c>
      <c r="AB5495">
        <v>33</v>
      </c>
      <c r="AC5495">
        <v>-1.8638999999999999</v>
      </c>
      <c r="AD5495">
        <v>-1.1206119019212999</v>
      </c>
      <c r="AE5495">
        <v>31.227629999999898</v>
      </c>
      <c r="AF5495">
        <v>-1.22967754488542</v>
      </c>
      <c r="AG5495">
        <v>-1.1206119019212999</v>
      </c>
      <c r="AH5495">
        <v>31.218907341230999</v>
      </c>
      <c r="AI5495">
        <v>92.054174777845503</v>
      </c>
      <c r="AJ5495">
        <v>92.255650072535801</v>
      </c>
      <c r="AK5495">
        <v>31.263206065269198</v>
      </c>
      <c r="AL5495">
        <v>78.599248136996195</v>
      </c>
      <c r="AM5495">
        <v>91.812531299424904</v>
      </c>
      <c r="AN5495">
        <v>0.99999997998771095</v>
      </c>
    </row>
    <row r="5496" spans="1:40" x14ac:dyDescent="0.25">
      <c r="A5496" t="str">
        <f>"20190303162710389"</f>
        <v>20190303162710389</v>
      </c>
      <c r="B5496" t="str">
        <f>"1551601630379722"</f>
        <v>1551601630379722</v>
      </c>
      <c r="C5496" t="s">
        <v>40</v>
      </c>
      <c r="D5496">
        <v>4.7663549999999999</v>
      </c>
      <c r="E5496">
        <v>0.49810470000000001</v>
      </c>
      <c r="F5496" t="s">
        <v>41</v>
      </c>
      <c r="G5496">
        <v>-189.8338</v>
      </c>
      <c r="H5496" s="1">
        <v>-1.49485099999999E-6</v>
      </c>
      <c r="I5496">
        <v>53.048580000000001</v>
      </c>
      <c r="J5496">
        <v>-187.93819999999999</v>
      </c>
      <c r="K5496">
        <v>1.1206119999999999</v>
      </c>
      <c r="L5496">
        <v>20.75281</v>
      </c>
      <c r="M5496">
        <v>-2.0337049999999999E-2</v>
      </c>
      <c r="N5496">
        <v>-9.1788400000000006E-3</v>
      </c>
      <c r="O5496">
        <v>0.99975099999999995</v>
      </c>
      <c r="P5496">
        <v>-4.9613329999999997E-2</v>
      </c>
      <c r="Q5496">
        <v>0.18836990000000001</v>
      </c>
      <c r="R5496">
        <v>0.98084420000000005</v>
      </c>
      <c r="S5496">
        <v>-0.17900089999999999</v>
      </c>
      <c r="T5496">
        <v>-0.10544630000000001</v>
      </c>
      <c r="U5496">
        <v>3.0699770000000002</v>
      </c>
      <c r="V5496">
        <v>-2.9686799999999999E-2</v>
      </c>
      <c r="W5496">
        <v>0.1973673</v>
      </c>
      <c r="X5496">
        <v>0.97987999999999997</v>
      </c>
      <c r="Y5496">
        <v>-3.7866690000000001E-2</v>
      </c>
      <c r="Z5496">
        <v>-2.5105889999999999E-2</v>
      </c>
      <c r="AA5496">
        <v>0.9989673</v>
      </c>
      <c r="AB5496">
        <v>33</v>
      </c>
      <c r="AC5496">
        <v>-1.8956</v>
      </c>
      <c r="AD5496">
        <v>-1.120613494851</v>
      </c>
      <c r="AE5496">
        <v>32.295769999999997</v>
      </c>
      <c r="AF5496">
        <v>-1.2368954429351799</v>
      </c>
      <c r="AG5496">
        <v>-1.120613494851</v>
      </c>
      <c r="AH5496">
        <v>32.288900766480303</v>
      </c>
      <c r="AI5496">
        <v>91.986244837853604</v>
      </c>
      <c r="AJ5496">
        <v>92.193764797745303</v>
      </c>
      <c r="AK5496">
        <v>32.332008871228602</v>
      </c>
      <c r="AL5496">
        <v>78.6169518741887</v>
      </c>
      <c r="AM5496">
        <v>91.735322920685903</v>
      </c>
      <c r="AN5496">
        <v>0.99999998580176397</v>
      </c>
    </row>
    <row r="5497" spans="1:40" x14ac:dyDescent="0.25">
      <c r="A5497" t="str">
        <f>"20190303162710412"</f>
        <v>20190303162710412</v>
      </c>
      <c r="B5497" t="str">
        <f>"1551601630400725"</f>
        <v>1551601630400725</v>
      </c>
      <c r="C5497" t="s">
        <v>40</v>
      </c>
      <c r="D5497">
        <v>4.7290640000000002</v>
      </c>
      <c r="E5497">
        <v>0.49811549999999999</v>
      </c>
      <c r="F5497" t="s">
        <v>41</v>
      </c>
      <c r="G5497">
        <v>-189.86349999999999</v>
      </c>
      <c r="H5497" s="1">
        <v>-2.021744E-6</v>
      </c>
      <c r="I5497">
        <v>54.289070000000002</v>
      </c>
      <c r="J5497">
        <v>-187.9452</v>
      </c>
      <c r="K5497">
        <v>1.120614</v>
      </c>
      <c r="L5497">
        <v>21.09207</v>
      </c>
      <c r="M5497">
        <v>-2.04306E-2</v>
      </c>
      <c r="N5497">
        <v>-9.1854429999999997E-3</v>
      </c>
      <c r="O5497">
        <v>0.99974909999999995</v>
      </c>
      <c r="P5497">
        <v>-4.7430060000000003E-2</v>
      </c>
      <c r="Q5497">
        <v>0.18857840000000001</v>
      </c>
      <c r="R5497">
        <v>0.98091209999999995</v>
      </c>
      <c r="S5497">
        <v>-0.17620849999999999</v>
      </c>
      <c r="T5497">
        <v>-0.102562899999999</v>
      </c>
      <c r="U5497">
        <v>3.069366</v>
      </c>
      <c r="V5497">
        <v>-2.7411430000000001E-2</v>
      </c>
      <c r="W5497">
        <v>0.19758329999999999</v>
      </c>
      <c r="X5497">
        <v>0.97990279999999996</v>
      </c>
      <c r="Y5497">
        <v>-3.6880589999999998E-2</v>
      </c>
      <c r="Z5497">
        <v>-2.4170779999999999E-2</v>
      </c>
      <c r="AA5497">
        <v>0.99902729999999995</v>
      </c>
      <c r="AB5497">
        <v>34</v>
      </c>
      <c r="AC5497">
        <v>-1.9182999999999799</v>
      </c>
      <c r="AD5497">
        <v>-1.120616021744</v>
      </c>
      <c r="AE5497">
        <v>33.197000000000003</v>
      </c>
      <c r="AF5497">
        <v>-1.23823006646461</v>
      </c>
      <c r="AG5497">
        <v>-1.120616021744</v>
      </c>
      <c r="AH5497">
        <v>33.191567932239998</v>
      </c>
      <c r="AI5497">
        <v>91.932346447034902</v>
      </c>
      <c r="AJ5497">
        <v>92.136460465121004</v>
      </c>
      <c r="AK5497">
        <v>33.233554967324601</v>
      </c>
      <c r="AL5497">
        <v>78.604327802610399</v>
      </c>
      <c r="AM5497">
        <v>91.602352575325995</v>
      </c>
      <c r="AN5497">
        <v>1.00000002219068</v>
      </c>
    </row>
    <row r="5498" spans="1:40" x14ac:dyDescent="0.25">
      <c r="A5498" t="str">
        <f>"20190303162710436"</f>
        <v>20190303162710436</v>
      </c>
      <c r="B5498" t="str">
        <f>"1551601630430005"</f>
        <v>1551601630430005</v>
      </c>
      <c r="C5498" t="s">
        <v>40</v>
      </c>
      <c r="D5498">
        <v>4.69278</v>
      </c>
      <c r="E5498">
        <v>0.49799549999999998</v>
      </c>
      <c r="F5498" t="s">
        <v>41</v>
      </c>
      <c r="G5498">
        <v>-189.86660000000001</v>
      </c>
      <c r="H5498" s="1">
        <v>-2.705878E-6</v>
      </c>
      <c r="I5498">
        <v>55.885089999999998</v>
      </c>
      <c r="J5498">
        <v>-187.9529</v>
      </c>
      <c r="K5498">
        <v>1.120609</v>
      </c>
      <c r="L5498">
        <v>21.465479999999999</v>
      </c>
      <c r="M5498">
        <v>-2.0533590000000001E-2</v>
      </c>
      <c r="N5498">
        <v>-9.1928070000000008E-3</v>
      </c>
      <c r="O5498">
        <v>0.99974689999999999</v>
      </c>
      <c r="P5498">
        <v>-4.6126060000000003E-2</v>
      </c>
      <c r="Q5498">
        <v>0.1885106</v>
      </c>
      <c r="R5498">
        <v>0.98098730000000001</v>
      </c>
      <c r="S5498">
        <v>-0.1694946</v>
      </c>
      <c r="T5498">
        <v>-9.8852519999999999E-2</v>
      </c>
      <c r="U5498">
        <v>3.0691830000000002</v>
      </c>
      <c r="V5498">
        <v>-2.6005750000000001E-2</v>
      </c>
      <c r="W5498">
        <v>0.197523</v>
      </c>
      <c r="X5498">
        <v>0.97995319999999997</v>
      </c>
      <c r="Y5498">
        <v>-3.460469E-2</v>
      </c>
      <c r="Z5498">
        <v>-2.296291E-2</v>
      </c>
      <c r="AA5498">
        <v>0.99913719999999995</v>
      </c>
      <c r="AB5498">
        <v>34</v>
      </c>
      <c r="AC5498">
        <v>-1.9137</v>
      </c>
      <c r="AD5498">
        <v>-1.1206117058779901</v>
      </c>
      <c r="AE5498">
        <v>34.419609999999999</v>
      </c>
      <c r="AF5498">
        <v>-1.2052348734260101</v>
      </c>
      <c r="AG5498">
        <v>-1.1206117058779901</v>
      </c>
      <c r="AH5498">
        <v>34.415282118928701</v>
      </c>
      <c r="AI5498">
        <v>91.863833328262103</v>
      </c>
      <c r="AJ5498">
        <v>92.005697988974404</v>
      </c>
      <c r="AK5498">
        <v>34.454607892427497</v>
      </c>
      <c r="AL5498">
        <v>78.6078514132615</v>
      </c>
      <c r="AM5498">
        <v>91.520144107567305</v>
      </c>
      <c r="AN5498">
        <v>0.99999995437614997</v>
      </c>
    </row>
    <row r="5499" spans="1:40" x14ac:dyDescent="0.25">
      <c r="A5499" t="str">
        <f>"20190303162710457"</f>
        <v>20190303162710457</v>
      </c>
      <c r="B5499" t="str">
        <f>"1551601630449526"</f>
        <v>1551601630449526</v>
      </c>
      <c r="C5499" t="s">
        <v>40</v>
      </c>
      <c r="D5499">
        <v>4.6208869999999997</v>
      </c>
      <c r="E5499">
        <v>0.49771860000000001</v>
      </c>
      <c r="F5499" t="s">
        <v>41</v>
      </c>
      <c r="G5499">
        <v>-189.88409999999999</v>
      </c>
      <c r="H5499" s="1">
        <v>-3.1777009999999999E-6</v>
      </c>
      <c r="I5499">
        <v>56.992150000000002</v>
      </c>
      <c r="J5499">
        <v>-187.95930000000001</v>
      </c>
      <c r="K5499">
        <v>1.1206020000000001</v>
      </c>
      <c r="L5499">
        <v>21.772919999999999</v>
      </c>
      <c r="M5499">
        <v>-2.061841E-2</v>
      </c>
      <c r="N5499">
        <v>-9.1988299999999999E-3</v>
      </c>
      <c r="O5499">
        <v>0.99974510000000005</v>
      </c>
      <c r="P5499">
        <v>-4.4864800000000003E-2</v>
      </c>
      <c r="Q5499">
        <v>0.18790119999999999</v>
      </c>
      <c r="R5499">
        <v>0.98116270000000005</v>
      </c>
      <c r="S5499">
        <v>-0.16682429999999901</v>
      </c>
      <c r="T5499">
        <v>-9.6802120000000005E-2</v>
      </c>
      <c r="U5499">
        <v>3.0689090000000001</v>
      </c>
      <c r="V5499">
        <v>-2.465788E-2</v>
      </c>
      <c r="W5499">
        <v>0.19692080000000001</v>
      </c>
      <c r="X5499">
        <v>0.98010929999999996</v>
      </c>
      <c r="Y5499">
        <v>-3.3659149999999999E-2</v>
      </c>
      <c r="Z5499">
        <v>-2.2294520000000002E-2</v>
      </c>
      <c r="AA5499">
        <v>0.99918470000000004</v>
      </c>
      <c r="AB5499">
        <v>34</v>
      </c>
      <c r="AC5499">
        <v>-1.9247999999999701</v>
      </c>
      <c r="AD5499">
        <v>-1.120605177701</v>
      </c>
      <c r="AE5499">
        <v>35.219230000000003</v>
      </c>
      <c r="AF5499">
        <v>-1.1969873360448999</v>
      </c>
      <c r="AG5499">
        <v>-1.120605177701</v>
      </c>
      <c r="AH5499">
        <v>35.215884536341299</v>
      </c>
      <c r="AI5499">
        <v>91.821543613763396</v>
      </c>
      <c r="AJ5499">
        <v>91.946733134646294</v>
      </c>
      <c r="AK5499">
        <v>35.254036057221398</v>
      </c>
      <c r="AL5499">
        <v>78.643047026077596</v>
      </c>
      <c r="AM5499">
        <v>91.441160182846204</v>
      </c>
      <c r="AN5499">
        <v>1.0000000262326101</v>
      </c>
    </row>
    <row r="5500" spans="1:40" x14ac:dyDescent="0.25">
      <c r="A5500" t="str">
        <f>"20190303162710481"</f>
        <v>20190303162710481</v>
      </c>
      <c r="B5500" t="str">
        <f>"1551601630470021"</f>
        <v>1551601630470021</v>
      </c>
      <c r="C5500" t="s">
        <v>40</v>
      </c>
      <c r="D5500">
        <v>4.709714</v>
      </c>
      <c r="E5500">
        <v>0.49755549999999998</v>
      </c>
      <c r="F5500" t="s">
        <v>41</v>
      </c>
      <c r="G5500">
        <v>-189.84899999999999</v>
      </c>
      <c r="H5500" s="1">
        <v>-3.0939370000000001E-6</v>
      </c>
      <c r="I5500">
        <v>56.782389999999999</v>
      </c>
      <c r="J5500">
        <v>-187.96680000000001</v>
      </c>
      <c r="K5500">
        <v>1.1206020000000001</v>
      </c>
      <c r="L5500">
        <v>22.13242</v>
      </c>
      <c r="M5500">
        <v>-2.0717820000000001E-2</v>
      </c>
      <c r="N5500">
        <v>-9.2058929999999997E-3</v>
      </c>
      <c r="O5500">
        <v>0.99974300000000005</v>
      </c>
      <c r="P5500">
        <v>-4.4395280000000002E-2</v>
      </c>
      <c r="Q5500">
        <v>0.1872838</v>
      </c>
      <c r="R5500">
        <v>0.98130209999999995</v>
      </c>
      <c r="S5500">
        <v>-0.1656494</v>
      </c>
      <c r="T5500">
        <v>-9.8229650000000002E-2</v>
      </c>
      <c r="U5500">
        <v>3.068848</v>
      </c>
      <c r="V5500">
        <v>-2.408836E-2</v>
      </c>
      <c r="W5500">
        <v>0.19631209999999999</v>
      </c>
      <c r="X5500">
        <v>0.98024549999999999</v>
      </c>
      <c r="Y5500">
        <v>-3.3178869999999999E-2</v>
      </c>
      <c r="Z5500">
        <v>-2.2752519999999998E-2</v>
      </c>
      <c r="AA5500">
        <v>0.99919040000000003</v>
      </c>
      <c r="AB5500">
        <v>34</v>
      </c>
      <c r="AC5500">
        <v>-1.8822000000000101</v>
      </c>
      <c r="AD5500">
        <v>-1.120605093937</v>
      </c>
      <c r="AE5500">
        <v>34.649970000000003</v>
      </c>
      <c r="AF5500">
        <v>-1.16268123189359</v>
      </c>
      <c r="AG5500">
        <v>-1.120605093937</v>
      </c>
      <c r="AH5500">
        <v>34.645399144216803</v>
      </c>
      <c r="AI5500">
        <v>91.851543926535896</v>
      </c>
      <c r="AJ5500">
        <v>91.922094629403205</v>
      </c>
      <c r="AK5500">
        <v>34.683011191153099</v>
      </c>
      <c r="AL5500">
        <v>78.678616578438906</v>
      </c>
      <c r="AM5500">
        <v>91.407691900137294</v>
      </c>
      <c r="AN5500">
        <v>0.999999964982074</v>
      </c>
    </row>
    <row r="5501" spans="1:40" x14ac:dyDescent="0.25">
      <c r="A5501" t="str">
        <f>"20190303162710528"</f>
        <v>20190303162710528</v>
      </c>
      <c r="B5501" t="str">
        <f>"1551601630519328"</f>
        <v>1551601630519328</v>
      </c>
      <c r="C5501" t="s">
        <v>40</v>
      </c>
      <c r="D5501">
        <v>4.7681519999999997</v>
      </c>
      <c r="E5501">
        <v>0.49725910000000001</v>
      </c>
      <c r="F5501" t="s">
        <v>41</v>
      </c>
      <c r="G5501">
        <v>-189.8656</v>
      </c>
      <c r="H5501" s="1">
        <v>-3.2679690000000001E-6</v>
      </c>
      <c r="I5501">
        <v>57.194920000000003</v>
      </c>
      <c r="J5501">
        <v>-187.9812</v>
      </c>
      <c r="K5501">
        <v>1.1206</v>
      </c>
      <c r="L5501">
        <v>22.817139999999998</v>
      </c>
      <c r="M5501">
        <v>-2.0906640000000001E-2</v>
      </c>
      <c r="N5501">
        <v>-9.2194900000000003E-3</v>
      </c>
      <c r="O5501">
        <v>0.99973889999999999</v>
      </c>
      <c r="P5501">
        <v>-4.2671319999999999E-2</v>
      </c>
      <c r="Q5501">
        <v>0.18782499999999999</v>
      </c>
      <c r="R5501">
        <v>0.98127509999999996</v>
      </c>
      <c r="S5501">
        <v>-0.16616819999999999</v>
      </c>
      <c r="T5501">
        <v>-9.80655E-2</v>
      </c>
      <c r="U5501">
        <v>3.0683590000000001</v>
      </c>
      <c r="V5501">
        <v>-2.2180140000000001E-2</v>
      </c>
      <c r="W5501">
        <v>0.19686609999999999</v>
      </c>
      <c r="X5501">
        <v>0.98017940000000003</v>
      </c>
      <c r="Y5501">
        <v>-3.3167189999999999E-2</v>
      </c>
      <c r="Z5501">
        <v>-2.2690390000000001E-2</v>
      </c>
      <c r="AA5501">
        <v>0.99919219999999997</v>
      </c>
      <c r="AB5501">
        <v>34</v>
      </c>
      <c r="AC5501">
        <v>-1.8844000000000001</v>
      </c>
      <c r="AD5501">
        <v>-1.1206032679689999</v>
      </c>
      <c r="AE5501">
        <v>34.377780000000001</v>
      </c>
      <c r="AF5501">
        <v>-1.16400056175838</v>
      </c>
      <c r="AG5501">
        <v>-1.1206032679689999</v>
      </c>
      <c r="AH5501">
        <v>34.373249856199301</v>
      </c>
      <c r="AI5501">
        <v>91.866171016710098</v>
      </c>
      <c r="AJ5501">
        <v>91.939497848303006</v>
      </c>
      <c r="AK5501">
        <v>34.411203911933498</v>
      </c>
      <c r="AL5501">
        <v>78.646242665596304</v>
      </c>
      <c r="AM5501">
        <v>91.296305110956197</v>
      </c>
      <c r="AN5501">
        <v>0.99999993806199206</v>
      </c>
    </row>
    <row r="5502" spans="1:40" x14ac:dyDescent="0.25">
      <c r="A5502" t="str">
        <f>"20190303162710547"</f>
        <v>20190303162710547</v>
      </c>
      <c r="B5502" t="str">
        <f>"1551601630539823"</f>
        <v>1551601630539823</v>
      </c>
      <c r="C5502" t="s">
        <v>40</v>
      </c>
      <c r="D5502">
        <v>4.735773</v>
      </c>
      <c r="E5502">
        <v>0.49709189999999998</v>
      </c>
      <c r="F5502" t="s">
        <v>41</v>
      </c>
      <c r="G5502">
        <v>-190.0943</v>
      </c>
      <c r="H5502" s="1">
        <v>-1.22208E-6</v>
      </c>
      <c r="I5502">
        <v>62.3793199999999</v>
      </c>
      <c r="J5502">
        <v>-187.98769999999999</v>
      </c>
      <c r="K5502">
        <v>1.1205989999999999</v>
      </c>
      <c r="L5502">
        <v>23.12772</v>
      </c>
      <c r="M5502">
        <v>-2.099237E-2</v>
      </c>
      <c r="N5502">
        <v>-9.2257099999999998E-3</v>
      </c>
      <c r="O5502">
        <v>0.99973710000000005</v>
      </c>
      <c r="P5502">
        <v>-4.1171949999999999E-2</v>
      </c>
      <c r="Q5502">
        <v>0.1879284</v>
      </c>
      <c r="R5502">
        <v>0.98131939999999995</v>
      </c>
      <c r="S5502">
        <v>-0.16380310000000001</v>
      </c>
      <c r="T5502">
        <v>-8.6865659999999997E-2</v>
      </c>
      <c r="U5502">
        <v>3.0667420000000001</v>
      </c>
      <c r="V5502">
        <v>-2.0596150000000001E-2</v>
      </c>
      <c r="W5502">
        <v>0.1969765</v>
      </c>
      <c r="X5502">
        <v>0.98019179999999995</v>
      </c>
      <c r="Y5502">
        <v>-3.2346299999999897E-2</v>
      </c>
      <c r="Z5502">
        <v>-1.9058749999999999E-2</v>
      </c>
      <c r="AA5502">
        <v>0.99929500000000004</v>
      </c>
      <c r="AB5502">
        <v>34</v>
      </c>
      <c r="AC5502">
        <v>-2.10660000000001</v>
      </c>
      <c r="AD5502">
        <v>-1.12060022208</v>
      </c>
      <c r="AE5502">
        <v>39.251600000000003</v>
      </c>
      <c r="AF5502">
        <v>-1.2810754410820799</v>
      </c>
      <c r="AG5502">
        <v>-1.12060022208</v>
      </c>
      <c r="AH5502">
        <v>39.255270735117499</v>
      </c>
      <c r="AI5502">
        <v>91.634279814957694</v>
      </c>
      <c r="AJ5502">
        <v>91.869154739434293</v>
      </c>
      <c r="AK5502">
        <v>39.292151628930199</v>
      </c>
      <c r="AL5502">
        <v>78.639791062594497</v>
      </c>
      <c r="AM5502">
        <v>91.203742818682102</v>
      </c>
      <c r="AN5502">
        <v>0.99999995386715501</v>
      </c>
    </row>
    <row r="5503" spans="1:40" x14ac:dyDescent="0.25">
      <c r="A5503" t="str">
        <f>"20190303162710569"</f>
        <v>20190303162710569</v>
      </c>
      <c r="B5503" t="str">
        <f>"1551601630559343"</f>
        <v>1551601630559343</v>
      </c>
      <c r="C5503" t="s">
        <v>40</v>
      </c>
      <c r="D5503">
        <v>4.6497400000000004</v>
      </c>
      <c r="E5503">
        <v>0.49696309999999999</v>
      </c>
      <c r="F5503" t="s">
        <v>41</v>
      </c>
      <c r="G5503">
        <v>-190.14869999999999</v>
      </c>
      <c r="H5503" s="1">
        <v>-2.0815049999999998E-6</v>
      </c>
      <c r="I5503">
        <v>64.348889999999997</v>
      </c>
      <c r="J5503">
        <v>-187.99459999999999</v>
      </c>
      <c r="K5503">
        <v>1.1206039999999999</v>
      </c>
      <c r="L5503">
        <v>23.454249999999998</v>
      </c>
      <c r="M5503">
        <v>-2.108258E-2</v>
      </c>
      <c r="N5503">
        <v>-9.2322519999999998E-3</v>
      </c>
      <c r="O5503">
        <v>0.99973509999999999</v>
      </c>
      <c r="P5503">
        <v>-3.9845129999999999E-2</v>
      </c>
      <c r="Q5503">
        <v>0.1872645</v>
      </c>
      <c r="R5503">
        <v>0.98150110000000002</v>
      </c>
      <c r="S5503">
        <v>-0.16075130000000001</v>
      </c>
      <c r="T5503">
        <v>-8.3358050000000003E-2</v>
      </c>
      <c r="U5503">
        <v>3.0663149999999999</v>
      </c>
      <c r="V5503">
        <v>-1.9177360000000001E-2</v>
      </c>
      <c r="W5503">
        <v>0.19632050000000001</v>
      </c>
      <c r="X5503">
        <v>0.98035220000000001</v>
      </c>
      <c r="Y5503">
        <v>-3.1273189999999999E-2</v>
      </c>
      <c r="Z5503">
        <v>-1.7915819999999999E-2</v>
      </c>
      <c r="AA5503">
        <v>0.99935030000000002</v>
      </c>
      <c r="AB5503">
        <v>34</v>
      </c>
      <c r="AC5503">
        <v>-2.1541000000000001</v>
      </c>
      <c r="AD5503">
        <v>-1.1206060815050001</v>
      </c>
      <c r="AE5503">
        <v>40.894640000000003</v>
      </c>
      <c r="AF5503">
        <v>-1.2904536098918</v>
      </c>
      <c r="AG5503">
        <v>-1.1206060815050001</v>
      </c>
      <c r="AH5503">
        <v>40.900339352962398</v>
      </c>
      <c r="AI5503">
        <v>91.568642981094996</v>
      </c>
      <c r="AJ5503">
        <v>91.807149450504696</v>
      </c>
      <c r="AK5503">
        <v>40.936032876875998</v>
      </c>
      <c r="AL5503">
        <v>78.678125833925506</v>
      </c>
      <c r="AM5503">
        <v>91.120660175995795</v>
      </c>
      <c r="AN5503">
        <v>0.99999997295082899</v>
      </c>
    </row>
    <row r="5504" spans="1:40" x14ac:dyDescent="0.25">
      <c r="A5504" t="str">
        <f>"20190303162710592"</f>
        <v>20190303162710592</v>
      </c>
      <c r="B5504" t="str">
        <f>"1551601630579839"</f>
        <v>1551601630579839</v>
      </c>
      <c r="C5504" t="s">
        <v>40</v>
      </c>
      <c r="D5504">
        <v>4.7813339999999904</v>
      </c>
      <c r="E5504">
        <v>0.49687779999999998</v>
      </c>
      <c r="F5504" t="s">
        <v>41</v>
      </c>
      <c r="G5504">
        <v>-190.13759999999999</v>
      </c>
      <c r="H5504" s="1">
        <v>-2.3836360000000001E-6</v>
      </c>
      <c r="I5504">
        <v>65.060069999999996</v>
      </c>
      <c r="J5504">
        <v>-188.00219999999999</v>
      </c>
      <c r="K5504">
        <v>1.120603</v>
      </c>
      <c r="L5504">
        <v>23.806239999999999</v>
      </c>
      <c r="M5504">
        <v>-2.117956E-2</v>
      </c>
      <c r="N5504">
        <v>-9.2392580000000002E-3</v>
      </c>
      <c r="O5504">
        <v>0.99973299999999998</v>
      </c>
      <c r="P5504">
        <v>-3.8976909999999997E-2</v>
      </c>
      <c r="Q5504">
        <v>0.18698960000000001</v>
      </c>
      <c r="R5504">
        <v>0.98158840000000003</v>
      </c>
      <c r="S5504">
        <v>-0.1579132</v>
      </c>
      <c r="T5504">
        <v>-8.2576269999999993E-2</v>
      </c>
      <c r="U5504">
        <v>3.065887</v>
      </c>
      <c r="V5504">
        <v>-1.8212550000000001E-2</v>
      </c>
      <c r="W5504">
        <v>0.19605310000000001</v>
      </c>
      <c r="X5504">
        <v>0.98042419999999997</v>
      </c>
      <c r="Y5504">
        <v>-3.026131E-2</v>
      </c>
      <c r="Z5504">
        <v>-1.7659069999999999E-2</v>
      </c>
      <c r="AA5504">
        <v>0.999386</v>
      </c>
      <c r="AB5504">
        <v>34</v>
      </c>
      <c r="AC5504">
        <v>-2.1354000000000002</v>
      </c>
      <c r="AD5504">
        <v>-1.1206053836359999</v>
      </c>
      <c r="AE5504">
        <v>41.253830000000001</v>
      </c>
      <c r="AF5504">
        <v>-1.2602183180609801</v>
      </c>
      <c r="AG5504">
        <v>-1.1206053836359999</v>
      </c>
      <c r="AH5504">
        <v>41.259441699545803</v>
      </c>
      <c r="AI5504">
        <v>91.555044598006205</v>
      </c>
      <c r="AJ5504">
        <v>91.749484398316497</v>
      </c>
      <c r="AK5504">
        <v>41.293891025104799</v>
      </c>
      <c r="AL5504">
        <v>78.693751401483397</v>
      </c>
      <c r="AM5504">
        <v>91.064215107274606</v>
      </c>
      <c r="AN5504">
        <v>1.0000000634713699</v>
      </c>
    </row>
    <row r="5505" spans="1:40" x14ac:dyDescent="0.25">
      <c r="A5505" t="str">
        <f>"20190303162710616"</f>
        <v>20190303162710616</v>
      </c>
      <c r="B5505" t="str">
        <f>"1551601630609629"</f>
        <v>1551601630609629</v>
      </c>
      <c r="C5505" t="s">
        <v>40</v>
      </c>
      <c r="D5505">
        <v>4.7945549999999999</v>
      </c>
      <c r="E5505">
        <v>0.49695820000000002</v>
      </c>
      <c r="F5505" t="s">
        <v>41</v>
      </c>
      <c r="G5505">
        <v>-190.16149999999999</v>
      </c>
      <c r="H5505" s="1">
        <v>-2.884376E-6</v>
      </c>
      <c r="I5505">
        <v>66.212490000000003</v>
      </c>
      <c r="J5505">
        <v>-188.0102</v>
      </c>
      <c r="K5505">
        <v>1.1206039999999999</v>
      </c>
      <c r="L5505">
        <v>24.18167</v>
      </c>
      <c r="M5505">
        <v>-2.1283090000000001E-2</v>
      </c>
      <c r="N5505">
        <v>-9.2467030000000002E-3</v>
      </c>
      <c r="O5505">
        <v>0.99973069999999997</v>
      </c>
      <c r="P5505">
        <v>-3.7667329999999999E-2</v>
      </c>
      <c r="Q5505">
        <v>0.1867016</v>
      </c>
      <c r="R5505">
        <v>0.98169430000000002</v>
      </c>
      <c r="S5505">
        <v>-0.1560974</v>
      </c>
      <c r="T5505">
        <v>-8.1007120000000002E-2</v>
      </c>
      <c r="U5505">
        <v>3.0654910000000002</v>
      </c>
      <c r="V5505">
        <v>-1.67993E-2</v>
      </c>
      <c r="W5505">
        <v>0.19577349999999999</v>
      </c>
      <c r="X5505">
        <v>0.98050519999999997</v>
      </c>
      <c r="Y5505">
        <v>-2.9574639999999999E-2</v>
      </c>
      <c r="Z5505">
        <v>-1.714485E-2</v>
      </c>
      <c r="AA5505">
        <v>0.99941550000000001</v>
      </c>
      <c r="AB5505">
        <v>34</v>
      </c>
      <c r="AC5505">
        <v>-2.1512999999999902</v>
      </c>
      <c r="AD5505">
        <v>-1.120606884376</v>
      </c>
      <c r="AE5505">
        <v>42.030819999999999</v>
      </c>
      <c r="AF5505">
        <v>-1.2553386599409699</v>
      </c>
      <c r="AG5505">
        <v>-1.120606884376</v>
      </c>
      <c r="AH5505">
        <v>42.037283395093198</v>
      </c>
      <c r="AI5505">
        <v>91.526317795115602</v>
      </c>
      <c r="AJ5505">
        <v>91.710487271055698</v>
      </c>
      <c r="AK5505">
        <v>42.0709499557572</v>
      </c>
      <c r="AL5505">
        <v>78.710086738025296</v>
      </c>
      <c r="AM5505">
        <v>90.981570339242097</v>
      </c>
      <c r="AN5505">
        <v>0.99999996350488896</v>
      </c>
    </row>
    <row r="5506" spans="1:40" x14ac:dyDescent="0.25">
      <c r="A5506" t="str">
        <f>"20190303162710642"</f>
        <v>20190303162710642</v>
      </c>
      <c r="B5506" t="str">
        <f>"1551601630630126"</f>
        <v>1551601630630126</v>
      </c>
      <c r="C5506" t="s">
        <v>40</v>
      </c>
      <c r="D5506">
        <v>4.8024339999999999</v>
      </c>
      <c r="E5506">
        <v>0.49700800000000001</v>
      </c>
      <c r="F5506" t="s">
        <v>41</v>
      </c>
      <c r="G5506">
        <v>-190.1455</v>
      </c>
      <c r="H5506" s="1">
        <v>-3.3602430000000002E-6</v>
      </c>
      <c r="I5506">
        <v>67.331659999999999</v>
      </c>
      <c r="J5506">
        <v>-188.01859999999999</v>
      </c>
      <c r="K5506">
        <v>1.1205989999999999</v>
      </c>
      <c r="L5506">
        <v>24.572019999999998</v>
      </c>
      <c r="M5506">
        <v>-2.1390920000000001E-2</v>
      </c>
      <c r="N5506">
        <v>-9.2544270000000008E-3</v>
      </c>
      <c r="O5506">
        <v>0.99972839999999996</v>
      </c>
      <c r="P5506">
        <v>-3.6535140000000001E-2</v>
      </c>
      <c r="Q5506">
        <v>0.18657389999999999</v>
      </c>
      <c r="R5506">
        <v>0.98176129999999995</v>
      </c>
      <c r="S5506">
        <v>-0.15168760000000001</v>
      </c>
      <c r="T5506">
        <v>-7.9604629999999996E-2</v>
      </c>
      <c r="U5506">
        <v>3.0652469999999998</v>
      </c>
      <c r="V5506">
        <v>-1.5559740000000001E-2</v>
      </c>
      <c r="W5506">
        <v>0.1956542</v>
      </c>
      <c r="X5506">
        <v>0.98054949999999996</v>
      </c>
      <c r="Y5506">
        <v>-2.8037340000000001E-2</v>
      </c>
      <c r="Z5506">
        <v>-1.668391E-2</v>
      </c>
      <c r="AA5506">
        <v>0.99946760000000001</v>
      </c>
      <c r="AB5506">
        <v>34</v>
      </c>
      <c r="AC5506">
        <v>-2.1269</v>
      </c>
      <c r="AD5506">
        <v>-1.120602360243</v>
      </c>
      <c r="AE5506">
        <v>42.759639999999997</v>
      </c>
      <c r="AF5506">
        <v>-1.2108765437359399</v>
      </c>
      <c r="AG5506">
        <v>-1.120602360243</v>
      </c>
      <c r="AH5506">
        <v>42.766053989923002</v>
      </c>
      <c r="AI5506">
        <v>91.500381448882095</v>
      </c>
      <c r="AJ5506">
        <v>91.621837373634705</v>
      </c>
      <c r="AK5506">
        <v>42.797866132822101</v>
      </c>
      <c r="AL5506">
        <v>78.717057300489898</v>
      </c>
      <c r="AM5506">
        <v>90.909115363097797</v>
      </c>
      <c r="AN5506">
        <v>0.99999999671837803</v>
      </c>
    </row>
    <row r="5507" spans="1:40" x14ac:dyDescent="0.25">
      <c r="A5507" t="str">
        <f>"20190303162710682"</f>
        <v>20190303162710682</v>
      </c>
      <c r="B5507" t="str">
        <f>"1551601630670141"</f>
        <v>1551601630670141</v>
      </c>
      <c r="C5507" t="s">
        <v>40</v>
      </c>
      <c r="D5507">
        <v>4.7061510000000002</v>
      </c>
      <c r="E5507">
        <v>0.49701129999999999</v>
      </c>
      <c r="F5507" t="s">
        <v>41</v>
      </c>
      <c r="G5507">
        <v>-190.1422</v>
      </c>
      <c r="H5507" s="1">
        <v>-3.9028769999999999E-6</v>
      </c>
      <c r="I5507">
        <v>68.598619999999997</v>
      </c>
      <c r="J5507">
        <v>-188.03190000000001</v>
      </c>
      <c r="K5507">
        <v>1.120587</v>
      </c>
      <c r="L5507">
        <v>25.18777</v>
      </c>
      <c r="M5507">
        <v>-2.1561980000000001E-2</v>
      </c>
      <c r="N5507">
        <v>-9.2747330000000003E-3</v>
      </c>
      <c r="O5507">
        <v>0.99972450000000002</v>
      </c>
      <c r="P5507">
        <v>-3.5232399999999997E-2</v>
      </c>
      <c r="Q5507">
        <v>0.18600179999999999</v>
      </c>
      <c r="R5507">
        <v>0.9819175</v>
      </c>
      <c r="S5507">
        <v>-0.14784239999999901</v>
      </c>
      <c r="T5507">
        <v>-7.8014609999999998E-2</v>
      </c>
      <c r="U5507">
        <v>3.0650629999999999</v>
      </c>
      <c r="V5507">
        <v>-1.4086609999999999E-2</v>
      </c>
      <c r="W5507">
        <v>0.19510330000000001</v>
      </c>
      <c r="X5507">
        <v>0.98068149999999998</v>
      </c>
      <c r="Y5507">
        <v>-2.6619049999999998E-2</v>
      </c>
      <c r="Z5507">
        <v>-1.614846E-2</v>
      </c>
      <c r="AA5507">
        <v>0.99951520000000005</v>
      </c>
      <c r="AB5507">
        <v>34</v>
      </c>
      <c r="AC5507">
        <v>-2.1102999999999899</v>
      </c>
      <c r="AD5507">
        <v>-1.120590902877</v>
      </c>
      <c r="AE5507">
        <v>43.410850000000003</v>
      </c>
      <c r="AF5507">
        <v>-1.17296545378007</v>
      </c>
      <c r="AG5507">
        <v>-1.120590902877</v>
      </c>
      <c r="AH5507">
        <v>43.417398240853302</v>
      </c>
      <c r="AI5507">
        <v>91.477920807479293</v>
      </c>
      <c r="AJ5507">
        <v>91.547527706742699</v>
      </c>
      <c r="AK5507">
        <v>43.4476931715853</v>
      </c>
      <c r="AL5507">
        <v>78.749241475469503</v>
      </c>
      <c r="AM5507">
        <v>90.822945878277693</v>
      </c>
      <c r="AN5507">
        <v>0.99999996734721497</v>
      </c>
    </row>
    <row r="5508" spans="1:40" x14ac:dyDescent="0.25">
      <c r="A5508" t="str">
        <f>"20190303162710727"</f>
        <v>20190303162710727</v>
      </c>
      <c r="B5508" t="str">
        <f>"1551601630719447"</f>
        <v>1551601630719447</v>
      </c>
      <c r="C5508" t="s">
        <v>40</v>
      </c>
      <c r="D5508">
        <v>4.6562449999999904</v>
      </c>
      <c r="E5508">
        <v>0.49718400000000001</v>
      </c>
      <c r="F5508" t="s">
        <v>41</v>
      </c>
      <c r="G5508">
        <v>-190.1532</v>
      </c>
      <c r="H5508" s="1">
        <v>-3.4915160000000001E-7</v>
      </c>
      <c r="I5508">
        <v>70.307969999999997</v>
      </c>
      <c r="J5508">
        <v>-188.04689999999999</v>
      </c>
      <c r="K5508">
        <v>1.1205769999999999</v>
      </c>
      <c r="L5508">
        <v>25.872250000000001</v>
      </c>
      <c r="M5508">
        <v>-2.1762739999999999E-2</v>
      </c>
      <c r="N5508">
        <v>-9.3456570000000003E-3</v>
      </c>
      <c r="O5508">
        <v>0.99971949999999998</v>
      </c>
      <c r="P5508">
        <v>-3.5249250000000003E-2</v>
      </c>
      <c r="Q5508">
        <v>0.1853023</v>
      </c>
      <c r="R5508">
        <v>0.98204919999999996</v>
      </c>
      <c r="S5508">
        <v>-0.14407349999999999</v>
      </c>
      <c r="T5508">
        <v>-7.6108339999999997E-2</v>
      </c>
      <c r="U5508">
        <v>3.0644840000000002</v>
      </c>
      <c r="V5508">
        <v>-1.3905539999999999E-2</v>
      </c>
      <c r="W5508">
        <v>0.19447429999999999</v>
      </c>
      <c r="X5508">
        <v>0.98080900000000004</v>
      </c>
      <c r="Y5508">
        <v>-2.5201640000000001E-2</v>
      </c>
      <c r="Z5508">
        <v>-1.5462419999999999E-2</v>
      </c>
      <c r="AA5508">
        <v>0.99956279999999997</v>
      </c>
      <c r="AB5508">
        <v>34</v>
      </c>
      <c r="AC5508">
        <v>-2.1063000000000001</v>
      </c>
      <c r="AD5508">
        <v>-1.1205773491516</v>
      </c>
      <c r="AE5508">
        <v>44.435720000000003</v>
      </c>
      <c r="AF5508">
        <v>-1.1379937918357199</v>
      </c>
      <c r="AG5508">
        <v>-1.1205773491516</v>
      </c>
      <c r="AH5508">
        <v>44.442836124739202</v>
      </c>
      <c r="AI5508">
        <v>91.443871126168304</v>
      </c>
      <c r="AJ5508">
        <v>91.466783009016098</v>
      </c>
      <c r="AK5508">
        <v>44.471523543455497</v>
      </c>
      <c r="AL5508">
        <v>78.785984194742994</v>
      </c>
      <c r="AM5508">
        <v>90.812263527492604</v>
      </c>
      <c r="AN5508">
        <v>0.99999995594208901</v>
      </c>
    </row>
    <row r="5509" spans="1:40" x14ac:dyDescent="0.25">
      <c r="A5509" t="str">
        <f>"20190303162710748"</f>
        <v>20190303162710748</v>
      </c>
      <c r="B5509" t="str">
        <f>"1551601630739944"</f>
        <v>1551601630739944</v>
      </c>
      <c r="C5509" t="s">
        <v>40</v>
      </c>
      <c r="D5509">
        <v>4.6377980000000001</v>
      </c>
      <c r="E5509">
        <v>0.49708020000000003</v>
      </c>
      <c r="F5509" t="s">
        <v>41</v>
      </c>
      <c r="G5509">
        <v>-190.1035</v>
      </c>
      <c r="H5509" s="1">
        <v>-2.4763850000000002E-7</v>
      </c>
      <c r="I5509">
        <v>70.102159999999998</v>
      </c>
      <c r="J5509">
        <v>-188.05420000000001</v>
      </c>
      <c r="K5509">
        <v>1.120592</v>
      </c>
      <c r="L5509">
        <v>26.201840000000001</v>
      </c>
      <c r="M5509">
        <v>-2.1865809999999999E-2</v>
      </c>
      <c r="N5509">
        <v>-9.4017000000000007E-3</v>
      </c>
      <c r="O5509">
        <v>0.99971670000000001</v>
      </c>
      <c r="P5509">
        <v>-3.5432159999999997E-2</v>
      </c>
      <c r="Q5509">
        <v>0.1863995</v>
      </c>
      <c r="R5509">
        <v>0.98183489999999995</v>
      </c>
      <c r="S5509">
        <v>-0.14248659999999999</v>
      </c>
      <c r="T5509">
        <v>-7.7636479999999994E-2</v>
      </c>
      <c r="U5509">
        <v>3.064362</v>
      </c>
      <c r="V5509">
        <v>-1.3993469999999999E-2</v>
      </c>
      <c r="W5509">
        <v>0.19562479999999999</v>
      </c>
      <c r="X5509">
        <v>0.98057899999999998</v>
      </c>
      <c r="Y5509">
        <v>-2.4583609999999999E-2</v>
      </c>
      <c r="Z5509">
        <v>-1.5905559999999999E-2</v>
      </c>
      <c r="AA5509">
        <v>0.99957130000000005</v>
      </c>
      <c r="AB5509">
        <v>34</v>
      </c>
      <c r="AC5509">
        <v>-2.0492999999999801</v>
      </c>
      <c r="AD5509">
        <v>-1.1205922476385</v>
      </c>
      <c r="AE5509">
        <v>43.900320000000001</v>
      </c>
      <c r="AF5509">
        <v>-1.0881440504667701</v>
      </c>
      <c r="AG5509">
        <v>-1.1205922476385</v>
      </c>
      <c r="AH5509">
        <v>43.906089125126002</v>
      </c>
      <c r="AI5509">
        <v>91.461564350622297</v>
      </c>
      <c r="AJ5509">
        <v>91.419696056413102</v>
      </c>
      <c r="AK5509">
        <v>43.9338644637999</v>
      </c>
      <c r="AL5509">
        <v>78.718775340009202</v>
      </c>
      <c r="AM5509">
        <v>90.817590782215902</v>
      </c>
      <c r="AN5509">
        <v>1.0000000274093399</v>
      </c>
    </row>
    <row r="5510" spans="1:40" x14ac:dyDescent="0.25">
      <c r="A5510" t="str">
        <f>"20190303162710771"</f>
        <v>20190303162710771</v>
      </c>
      <c r="B5510" t="str">
        <f>"1551601630760439"</f>
        <v>1551601630760439</v>
      </c>
      <c r="C5510" t="s">
        <v>40</v>
      </c>
      <c r="D5510">
        <v>4.7975899999999996</v>
      </c>
      <c r="E5510">
        <v>0.49717869999999997</v>
      </c>
      <c r="F5510" t="s">
        <v>41</v>
      </c>
      <c r="G5510">
        <v>-190.23670000000001</v>
      </c>
      <c r="H5510" s="1">
        <v>-1.2906660000000001E-6</v>
      </c>
      <c r="I5510">
        <v>72.450890000000001</v>
      </c>
      <c r="J5510">
        <v>-188.06180000000001</v>
      </c>
      <c r="K5510">
        <v>1.1206039999999999</v>
      </c>
      <c r="L5510">
        <v>26.54373</v>
      </c>
      <c r="M5510">
        <v>-2.197812E-2</v>
      </c>
      <c r="N5510">
        <v>-9.4715770000000001E-3</v>
      </c>
      <c r="O5510">
        <v>0.99971359999999998</v>
      </c>
      <c r="P5510">
        <v>-3.5454550000000001E-2</v>
      </c>
      <c r="Q5510">
        <v>0.1871206</v>
      </c>
      <c r="R5510">
        <v>0.98169700000000004</v>
      </c>
      <c r="S5510">
        <v>-0.1446075</v>
      </c>
      <c r="T5510">
        <v>-7.4248789999999995E-2</v>
      </c>
      <c r="U5510">
        <v>3.0643919999999998</v>
      </c>
      <c r="V5510">
        <v>-1.3910820000000001E-2</v>
      </c>
      <c r="W5510">
        <v>0.19641220000000001</v>
      </c>
      <c r="X5510">
        <v>0.98042269999999998</v>
      </c>
      <c r="Y5510">
        <v>-2.5161989999999999E-2</v>
      </c>
      <c r="Z5510">
        <v>-1.4731380000000001E-2</v>
      </c>
      <c r="AA5510">
        <v>0.99957479999999999</v>
      </c>
      <c r="AB5510">
        <v>34</v>
      </c>
      <c r="AC5510">
        <v>-2.1749000000000001</v>
      </c>
      <c r="AD5510">
        <v>-1.120605290666</v>
      </c>
      <c r="AE5510">
        <v>45.907159999999998</v>
      </c>
      <c r="AF5510">
        <v>-1.16468385930749</v>
      </c>
      <c r="AG5510">
        <v>-1.120605290666</v>
      </c>
      <c r="AH5510">
        <v>45.916573982749803</v>
      </c>
      <c r="AI5510">
        <v>91.397590731492897</v>
      </c>
      <c r="AJ5510">
        <v>91.453008310357504</v>
      </c>
      <c r="AK5510">
        <v>45.9450107304692</v>
      </c>
      <c r="AL5510">
        <v>78.672767418103305</v>
      </c>
      <c r="AM5510">
        <v>90.812892028020599</v>
      </c>
      <c r="AN5510">
        <v>0.99999996694860005</v>
      </c>
    </row>
    <row r="5511" spans="1:40" x14ac:dyDescent="0.25">
      <c r="A5511" t="str">
        <f>"20190303162710793"</f>
        <v>20190303162710793</v>
      </c>
      <c r="B5511" t="str">
        <f>"1551601630780936"</f>
        <v>1551601630780936</v>
      </c>
      <c r="C5511" t="s">
        <v>40</v>
      </c>
      <c r="D5511">
        <v>4.865443</v>
      </c>
      <c r="E5511">
        <v>0.49725589999999997</v>
      </c>
      <c r="F5511" t="s">
        <v>41</v>
      </c>
      <c r="G5511">
        <v>-190.28720000000001</v>
      </c>
      <c r="H5511" s="1">
        <v>-1.9428409999999999E-6</v>
      </c>
      <c r="I5511">
        <v>73.939809999999994</v>
      </c>
      <c r="J5511">
        <v>-188.06960000000001</v>
      </c>
      <c r="K5511">
        <v>1.1206240000000001</v>
      </c>
      <c r="L5511">
        <v>26.894130000000001</v>
      </c>
      <c r="M5511">
        <v>-2.2103890000000001E-2</v>
      </c>
      <c r="N5511">
        <v>-9.5734289999999996E-3</v>
      </c>
      <c r="O5511">
        <v>0.99970979999999998</v>
      </c>
      <c r="P5511">
        <v>-3.5807449999999998E-2</v>
      </c>
      <c r="Q5511">
        <v>0.18623439999999999</v>
      </c>
      <c r="R5511">
        <v>0.98185270000000002</v>
      </c>
      <c r="S5511">
        <v>-0.1438904</v>
      </c>
      <c r="T5511">
        <v>-7.2456359999999997E-2</v>
      </c>
      <c r="U5511">
        <v>3.0645449999999999</v>
      </c>
      <c r="V5511">
        <v>-1.4139820000000001E-2</v>
      </c>
      <c r="W5511">
        <v>0.19562760000000001</v>
      </c>
      <c r="X5511">
        <v>0.98057629999999996</v>
      </c>
      <c r="Y5511">
        <v>-2.4800989999999998E-2</v>
      </c>
      <c r="Z5511">
        <v>-1.404466E-2</v>
      </c>
      <c r="AA5511">
        <v>0.99959370000000003</v>
      </c>
      <c r="AB5511">
        <v>34</v>
      </c>
      <c r="AC5511">
        <v>-2.2176</v>
      </c>
      <c r="AD5511">
        <v>-1.1206259428409999</v>
      </c>
      <c r="AE5511">
        <v>47.045679999999898</v>
      </c>
      <c r="AF5511">
        <v>-1.1764518813557401</v>
      </c>
      <c r="AG5511">
        <v>-1.1206259428409999</v>
      </c>
      <c r="AH5511">
        <v>47.056564299022597</v>
      </c>
      <c r="AI5511">
        <v>91.363783329407894</v>
      </c>
      <c r="AJ5511">
        <v>91.432142148677002</v>
      </c>
      <c r="AK5511">
        <v>47.084605606938602</v>
      </c>
      <c r="AL5511">
        <v>78.718611280698099</v>
      </c>
      <c r="AM5511">
        <v>90.826142609638794</v>
      </c>
      <c r="AN5511">
        <v>0.99999998625654096</v>
      </c>
    </row>
    <row r="5512" spans="1:40" x14ac:dyDescent="0.25">
      <c r="A5512" t="str">
        <f>"20190303162710838"</f>
        <v>20190303162710838</v>
      </c>
      <c r="B5512" t="str">
        <f>"1551601630829268"</f>
        <v>1551601630829268</v>
      </c>
      <c r="C5512" t="s">
        <v>40</v>
      </c>
      <c r="D5512">
        <v>4.85039</v>
      </c>
      <c r="E5512">
        <v>0.497199</v>
      </c>
      <c r="F5512" t="s">
        <v>41</v>
      </c>
      <c r="G5512">
        <v>-190.1962</v>
      </c>
      <c r="H5512" s="1">
        <v>-1.173082E-6</v>
      </c>
      <c r="I5512">
        <v>72.201890000000006</v>
      </c>
      <c r="J5512">
        <v>-188.0848</v>
      </c>
      <c r="K5512">
        <v>1.120695</v>
      </c>
      <c r="L5512">
        <v>27.567720000000001</v>
      </c>
      <c r="M5512">
        <v>-2.2379309999999999E-2</v>
      </c>
      <c r="N5512">
        <v>-9.825706E-3</v>
      </c>
      <c r="O5512">
        <v>0.99970130000000001</v>
      </c>
      <c r="P5512">
        <v>-3.5915719999999998E-2</v>
      </c>
      <c r="Q5512">
        <v>0.1859237</v>
      </c>
      <c r="R5512">
        <v>0.98190750000000004</v>
      </c>
      <c r="S5512">
        <v>-0.14384459999999999</v>
      </c>
      <c r="T5512">
        <v>-7.5798030000000002E-2</v>
      </c>
      <c r="U5512">
        <v>3.064575</v>
      </c>
      <c r="V5512">
        <v>-1.398523E-2</v>
      </c>
      <c r="W5512">
        <v>0.19556399999999999</v>
      </c>
      <c r="X5512">
        <v>0.9805912</v>
      </c>
      <c r="Y5512">
        <v>-2.4509369999999999E-2</v>
      </c>
      <c r="Z5512">
        <v>-1.488073E-2</v>
      </c>
      <c r="AA5512">
        <v>0.99958880000000006</v>
      </c>
      <c r="AB5512">
        <v>34</v>
      </c>
      <c r="AC5512">
        <v>-2.1114000000000002</v>
      </c>
      <c r="AD5512">
        <v>-1.120696173082</v>
      </c>
      <c r="AE5512">
        <v>44.634169999999997</v>
      </c>
      <c r="AF5512">
        <v>-1.1112420350418499</v>
      </c>
      <c r="AG5512">
        <v>-1.120696173082</v>
      </c>
      <c r="AH5512">
        <v>44.642163153010799</v>
      </c>
      <c r="AI5512">
        <v>91.437605191908403</v>
      </c>
      <c r="AJ5512">
        <v>91.425924029632796</v>
      </c>
      <c r="AK5512">
        <v>44.670052045557803</v>
      </c>
      <c r="AL5512">
        <v>78.722327028518805</v>
      </c>
      <c r="AM5512">
        <v>90.817099247712704</v>
      </c>
      <c r="AN5512">
        <v>0.99999998313579597</v>
      </c>
    </row>
    <row r="5513" spans="1:40" x14ac:dyDescent="0.25">
      <c r="A5513" t="str">
        <f>"20190303162710883"</f>
        <v>20190303162710883</v>
      </c>
      <c r="B5513" t="str">
        <f>"1551601630869283"</f>
        <v>1551601630869283</v>
      </c>
      <c r="C5513" t="s">
        <v>40</v>
      </c>
      <c r="D5513">
        <v>4.8559299999999999</v>
      </c>
      <c r="E5513">
        <v>0.4971988</v>
      </c>
      <c r="F5513" t="s">
        <v>41</v>
      </c>
      <c r="G5513">
        <v>-190.17869999999999</v>
      </c>
      <c r="H5513" s="1">
        <v>-1.1301880000000001E-6</v>
      </c>
      <c r="I5513">
        <v>72.112750000000005</v>
      </c>
      <c r="J5513">
        <v>-188.1009</v>
      </c>
      <c r="K5513">
        <v>1.1207549999999999</v>
      </c>
      <c r="L5513">
        <v>28.271149999999999</v>
      </c>
      <c r="M5513">
        <v>-2.2706980000000002E-2</v>
      </c>
      <c r="N5513">
        <v>-1.009293E-2</v>
      </c>
      <c r="O5513">
        <v>0.9996912</v>
      </c>
      <c r="P5513">
        <v>-3.6689600000000003E-2</v>
      </c>
      <c r="Q5513">
        <v>0.1858148</v>
      </c>
      <c r="R5513">
        <v>0.98189959999999998</v>
      </c>
      <c r="S5513">
        <v>-0.1440582</v>
      </c>
      <c r="T5513">
        <v>-7.7101589999999998E-2</v>
      </c>
      <c r="U5513">
        <v>3.0646059999999999</v>
      </c>
      <c r="V5513">
        <v>-1.444582E-2</v>
      </c>
      <c r="W5513">
        <v>0.1957169</v>
      </c>
      <c r="X5513">
        <v>0.98055400000000004</v>
      </c>
      <c r="Y5513">
        <v>-2.425043E-2</v>
      </c>
      <c r="Z5513">
        <v>-1.503785E-2</v>
      </c>
      <c r="AA5513">
        <v>0.99959279999999995</v>
      </c>
      <c r="AB5513">
        <v>34</v>
      </c>
      <c r="AC5513">
        <v>-2.0777999999999901</v>
      </c>
      <c r="AD5513">
        <v>-1.120756130188</v>
      </c>
      <c r="AE5513">
        <v>43.8416</v>
      </c>
      <c r="AF5513">
        <v>-1.08099829845272</v>
      </c>
      <c r="AG5513">
        <v>-1.120756130188</v>
      </c>
      <c r="AH5513">
        <v>43.848886558423501</v>
      </c>
      <c r="AI5513">
        <v>91.463688844530694</v>
      </c>
      <c r="AJ5513">
        <v>91.412215954299597</v>
      </c>
      <c r="AK5513">
        <v>43.876525660518197</v>
      </c>
      <c r="AL5513">
        <v>78.713393689767898</v>
      </c>
      <c r="AM5513">
        <v>90.844037804106406</v>
      </c>
      <c r="AN5513">
        <v>0.99999996678853997</v>
      </c>
    </row>
    <row r="5514" spans="1:40" x14ac:dyDescent="0.25">
      <c r="A5514" t="str">
        <f>"20190303162710905"</f>
        <v>20190303162710905</v>
      </c>
      <c r="B5514" t="str">
        <f>"1551601630900046"</f>
        <v>1551601630900046</v>
      </c>
      <c r="C5514" t="s">
        <v>40</v>
      </c>
      <c r="D5514">
        <v>4.8616190000000001</v>
      </c>
      <c r="E5514">
        <v>0.4971467</v>
      </c>
      <c r="F5514" t="s">
        <v>41</v>
      </c>
      <c r="G5514">
        <v>-190.268</v>
      </c>
      <c r="H5514" s="1">
        <v>-1.880375E-6</v>
      </c>
      <c r="I5514">
        <v>73.806079999999994</v>
      </c>
      <c r="J5514">
        <v>-188.10929999999999</v>
      </c>
      <c r="K5514">
        <v>1.1207750000000001</v>
      </c>
      <c r="L5514">
        <v>28.632750000000001</v>
      </c>
      <c r="M5514">
        <v>-2.2887299999999999E-2</v>
      </c>
      <c r="N5514">
        <v>-1.021562E-2</v>
      </c>
      <c r="O5514">
        <v>0.99968590000000002</v>
      </c>
      <c r="P5514">
        <v>-3.7186230000000001E-2</v>
      </c>
      <c r="Q5514">
        <v>0.1854809</v>
      </c>
      <c r="R5514">
        <v>0.98194400000000004</v>
      </c>
      <c r="S5514">
        <v>-0.14582819999999999</v>
      </c>
      <c r="T5514">
        <v>-7.5417520000000002E-2</v>
      </c>
      <c r="U5514">
        <v>3.064117</v>
      </c>
      <c r="V5514">
        <v>-1.476627E-2</v>
      </c>
      <c r="W5514">
        <v>0.1955037</v>
      </c>
      <c r="X5514">
        <v>0.98059180000000001</v>
      </c>
      <c r="Y5514">
        <v>-2.465409E-2</v>
      </c>
      <c r="Z5514">
        <v>-1.437011E-2</v>
      </c>
      <c r="AA5514">
        <v>0.99959279999999995</v>
      </c>
      <c r="AB5514">
        <v>35</v>
      </c>
      <c r="AC5514">
        <v>-2.1587000000000098</v>
      </c>
      <c r="AD5514">
        <v>-1.120776880375</v>
      </c>
      <c r="AE5514">
        <v>45.17333</v>
      </c>
      <c r="AF5514">
        <v>-1.1234950003236299</v>
      </c>
      <c r="AG5514">
        <v>-1.120776880375</v>
      </c>
      <c r="AH5514">
        <v>45.183155255725303</v>
      </c>
      <c r="AI5514">
        <v>91.420502584675503</v>
      </c>
      <c r="AJ5514">
        <v>91.424386139362596</v>
      </c>
      <c r="AK5514">
        <v>45.211015258389303</v>
      </c>
      <c r="AL5514">
        <v>78.725850261081106</v>
      </c>
      <c r="AM5514">
        <v>90.862724947660595</v>
      </c>
      <c r="AN5514">
        <v>1.00000000883532</v>
      </c>
    </row>
    <row r="5515" spans="1:40" x14ac:dyDescent="0.25">
      <c r="A5515" t="str">
        <f>"20190303162710948"</f>
        <v>20190303162710948</v>
      </c>
      <c r="B5515" t="str">
        <f>"1551601630940062"</f>
        <v>1551601630940062</v>
      </c>
      <c r="C5515" t="s">
        <v>40</v>
      </c>
      <c r="D5515">
        <v>5.0441449999999897</v>
      </c>
      <c r="E5515">
        <v>0.49708010000000002</v>
      </c>
      <c r="F5515" t="s">
        <v>41</v>
      </c>
      <c r="G5515">
        <v>-190.33699999999999</v>
      </c>
      <c r="H5515" s="1">
        <v>-2.2218340000000001E-6</v>
      </c>
      <c r="I5515">
        <v>74.559229999999999</v>
      </c>
      <c r="J5515">
        <v>-188.12479999999999</v>
      </c>
      <c r="K5515">
        <v>1.1208</v>
      </c>
      <c r="L5515">
        <v>29.29025</v>
      </c>
      <c r="M5515">
        <v>-2.3225079999999999E-2</v>
      </c>
      <c r="N5515">
        <v>-1.042E-2</v>
      </c>
      <c r="O5515">
        <v>0.99967589999999995</v>
      </c>
      <c r="P5515">
        <v>-3.752378E-2</v>
      </c>
      <c r="Q5515">
        <v>0.18495339999999999</v>
      </c>
      <c r="R5515">
        <v>0.98203059999999998</v>
      </c>
      <c r="S5515">
        <v>-0.1486053</v>
      </c>
      <c r="T5515">
        <v>-7.4764730000000001E-2</v>
      </c>
      <c r="U5515">
        <v>3.06366</v>
      </c>
      <c r="V5515">
        <v>-1.4772860000000001E-2</v>
      </c>
      <c r="W5515">
        <v>0.19517770000000001</v>
      </c>
      <c r="X5515">
        <v>0.98065659999999999</v>
      </c>
      <c r="Y5515">
        <v>-2.522744E-2</v>
      </c>
      <c r="Z5515">
        <v>-1.3956039999999999E-2</v>
      </c>
      <c r="AA5515">
        <v>0.99958429999999998</v>
      </c>
      <c r="AB5515">
        <v>35</v>
      </c>
      <c r="AC5515">
        <v>-2.2122000000000202</v>
      </c>
      <c r="AD5515">
        <v>-1.1208022218339999</v>
      </c>
      <c r="AE5515">
        <v>45.268979999999999</v>
      </c>
      <c r="AF5515">
        <v>-1.1594613453770399</v>
      </c>
      <c r="AG5515">
        <v>-1.1208022218339999</v>
      </c>
      <c r="AH5515">
        <v>45.280458654625697</v>
      </c>
      <c r="AI5515">
        <v>91.417456868871696</v>
      </c>
      <c r="AJ5515">
        <v>91.466807755152601</v>
      </c>
      <c r="AK5515">
        <v>45.309165565094602</v>
      </c>
      <c r="AL5515">
        <v>78.744895136860407</v>
      </c>
      <c r="AM5515">
        <v>90.863052888585102</v>
      </c>
      <c r="AN5515">
        <v>0.999999969546714</v>
      </c>
    </row>
    <row r="5516" spans="1:40" x14ac:dyDescent="0.25">
      <c r="A5516" t="str">
        <f>"20190303162710971"</f>
        <v>20190303162710971</v>
      </c>
      <c r="B5516" t="str">
        <f>"1551601630959583"</f>
        <v>1551601630959583</v>
      </c>
      <c r="C5516" t="s">
        <v>40</v>
      </c>
      <c r="D5516">
        <v>5.101915</v>
      </c>
      <c r="E5516">
        <v>0.49706640000000002</v>
      </c>
      <c r="F5516" t="s">
        <v>41</v>
      </c>
      <c r="G5516">
        <v>-190.36060000000001</v>
      </c>
      <c r="H5516" s="1">
        <v>-2.5246689999999999E-6</v>
      </c>
      <c r="I5516">
        <v>75.250529999999998</v>
      </c>
      <c r="J5516">
        <v>-188.1328</v>
      </c>
      <c r="K5516">
        <v>1.120816</v>
      </c>
      <c r="L5516">
        <v>29.629270000000002</v>
      </c>
      <c r="M5516">
        <v>-2.3401459999999999E-2</v>
      </c>
      <c r="N5516">
        <v>-1.053159E-2</v>
      </c>
      <c r="O5516">
        <v>0.99967070000000002</v>
      </c>
      <c r="P5516">
        <v>-3.7529E-2</v>
      </c>
      <c r="Q5516">
        <v>0.18473120000000001</v>
      </c>
      <c r="R5516">
        <v>0.98207230000000001</v>
      </c>
      <c r="S5516">
        <v>-0.14901729999999899</v>
      </c>
      <c r="T5516">
        <v>-7.4701790000000004E-2</v>
      </c>
      <c r="U5516">
        <v>3.0632630000000001</v>
      </c>
      <c r="V5516">
        <v>-1.460438E-2</v>
      </c>
      <c r="W5516">
        <v>0.1950655</v>
      </c>
      <c r="X5516">
        <v>0.98068149999999998</v>
      </c>
      <c r="Y5516">
        <v>-2.5191450000000001E-2</v>
      </c>
      <c r="Z5516">
        <v>-1.3827000000000001E-2</v>
      </c>
      <c r="AA5516">
        <v>0.999587</v>
      </c>
      <c r="AB5516">
        <v>35</v>
      </c>
      <c r="AC5516">
        <v>-2.2277999999999998</v>
      </c>
      <c r="AD5516">
        <v>-1.1208185246689999</v>
      </c>
      <c r="AE5516">
        <v>45.6212599999999</v>
      </c>
      <c r="AF5516">
        <v>-1.1588287867523199</v>
      </c>
      <c r="AG5516">
        <v>-1.1208185246689999</v>
      </c>
      <c r="AH5516">
        <v>45.633423845114898</v>
      </c>
      <c r="AI5516">
        <v>91.406525594504799</v>
      </c>
      <c r="AJ5516">
        <v>91.454673489608695</v>
      </c>
      <c r="AK5516">
        <v>45.661893194984202</v>
      </c>
      <c r="AL5516">
        <v>78.7514502928898</v>
      </c>
      <c r="AM5516">
        <v>90.853189834609907</v>
      </c>
      <c r="AN5516">
        <v>1.00000002082384</v>
      </c>
    </row>
    <row r="5517" spans="1:40" x14ac:dyDescent="0.25">
      <c r="A5517" t="str">
        <f>"20190303162711016"</f>
        <v>20190303162711016</v>
      </c>
      <c r="B5517" t="str">
        <f>"1551601631009358"</f>
        <v>1551601631009358</v>
      </c>
      <c r="C5517" t="s">
        <v>40</v>
      </c>
      <c r="D5517">
        <v>4.988747</v>
      </c>
      <c r="E5517">
        <v>0.52487869999999903</v>
      </c>
      <c r="F5517" t="s">
        <v>41</v>
      </c>
      <c r="G5517">
        <v>-190.34540000000001</v>
      </c>
      <c r="H5517" s="1">
        <v>-2.4731099999999999E-6</v>
      </c>
      <c r="I5517">
        <v>75.139759999999995</v>
      </c>
      <c r="J5517">
        <v>-188.1498</v>
      </c>
      <c r="K5517">
        <v>1.1208640000000001</v>
      </c>
      <c r="L5517">
        <v>30.335360000000001</v>
      </c>
      <c r="M5517">
        <v>-2.377423E-2</v>
      </c>
      <c r="N5517">
        <v>-1.085908E-2</v>
      </c>
      <c r="O5517">
        <v>0.9996583</v>
      </c>
      <c r="P5517">
        <v>-3.6901879999999998E-2</v>
      </c>
      <c r="Q5517">
        <v>0.18350359999999999</v>
      </c>
      <c r="R5517">
        <v>0.98232609999999998</v>
      </c>
      <c r="S5517">
        <v>-0.148925799999999</v>
      </c>
      <c r="T5517">
        <v>-7.544112E-2</v>
      </c>
      <c r="U5517">
        <v>3.0632630000000001</v>
      </c>
      <c r="V5517">
        <v>-1.3608479999999999E-2</v>
      </c>
      <c r="W5517">
        <v>0.19416130000000001</v>
      </c>
      <c r="X5517">
        <v>0.98087519999999995</v>
      </c>
      <c r="Y5517">
        <v>-2.47887E-2</v>
      </c>
      <c r="Z5517">
        <v>-1.3740540000000001E-2</v>
      </c>
      <c r="AA5517">
        <v>0.99959830000000005</v>
      </c>
      <c r="AB5517">
        <v>35</v>
      </c>
      <c r="AC5517">
        <v>-2.19560000000001</v>
      </c>
      <c r="AD5517">
        <v>-1.12086647310999</v>
      </c>
      <c r="AE5517">
        <v>44.804400000000001</v>
      </c>
      <c r="AF5517">
        <v>-1.12902144870154</v>
      </c>
      <c r="AG5517">
        <v>-1.12086647310999</v>
      </c>
      <c r="AH5517">
        <v>44.815955832743697</v>
      </c>
      <c r="AI5517">
        <v>91.432239364482399</v>
      </c>
      <c r="AJ5517">
        <v>91.443112906237602</v>
      </c>
      <c r="AK5517">
        <v>44.8441849996698</v>
      </c>
      <c r="AL5517">
        <v>78.804266523637907</v>
      </c>
      <c r="AM5517">
        <v>90.794859986840805</v>
      </c>
      <c r="AN5517">
        <v>0.99999997956031905</v>
      </c>
    </row>
    <row r="5518" spans="1:40" x14ac:dyDescent="0.25">
      <c r="A5518" t="str">
        <f>"20190303162711062"</f>
        <v>20190303162711062</v>
      </c>
      <c r="B5518" t="str">
        <f>"1551601631049374"</f>
        <v>1551601631049374</v>
      </c>
      <c r="C5518" t="s">
        <v>40</v>
      </c>
      <c r="D5518">
        <v>5.0262570000000002</v>
      </c>
      <c r="E5518">
        <v>0.52529090000000001</v>
      </c>
      <c r="F5518" t="s">
        <v>42</v>
      </c>
      <c r="G5518">
        <v>-188.13560000000001</v>
      </c>
      <c r="H5518">
        <v>0.90973340000000003</v>
      </c>
      <c r="I5518">
        <v>31.09516</v>
      </c>
      <c r="J5518">
        <v>-188.16659999999999</v>
      </c>
      <c r="K5518">
        <v>1.1209450000000001</v>
      </c>
      <c r="L5518">
        <v>31.0228</v>
      </c>
      <c r="M5518">
        <v>-2.411785E-2</v>
      </c>
      <c r="N5518">
        <v>-1.132358E-2</v>
      </c>
      <c r="O5518">
        <v>0.99964500000000001</v>
      </c>
      <c r="P5518">
        <v>-3.5976279999999999E-2</v>
      </c>
      <c r="Q5518">
        <v>0.1836209</v>
      </c>
      <c r="R5518">
        <v>0.9823385</v>
      </c>
      <c r="S5518">
        <v>5.9906010000000003E-2</v>
      </c>
      <c r="T5518">
        <v>-0.89575839999999995</v>
      </c>
      <c r="U5518">
        <v>3.2235719999999999</v>
      </c>
      <c r="V5518">
        <v>-1.234654E-2</v>
      </c>
      <c r="W5518">
        <v>0.19473480000000001</v>
      </c>
      <c r="X5518">
        <v>0.98077820000000004</v>
      </c>
      <c r="Y5518">
        <v>4.1999309999999998E-2</v>
      </c>
      <c r="Z5518">
        <v>-0.25654739999999998</v>
      </c>
      <c r="AA5518">
        <v>0.96561870000000005</v>
      </c>
      <c r="AB5518">
        <v>35</v>
      </c>
      <c r="AC5518">
        <v>3.09999999999774E-2</v>
      </c>
      <c r="AD5518">
        <v>-0.2112116</v>
      </c>
      <c r="AE5518">
        <v>7.2359999999996205E-2</v>
      </c>
      <c r="AF5518">
        <v>3.9928430930389397E-3</v>
      </c>
      <c r="AG5518">
        <v>-0.2112116</v>
      </c>
      <c r="AH5518">
        <v>8.7319874227089703E-3</v>
      </c>
      <c r="AI5518">
        <v>177.397151939526</v>
      </c>
      <c r="AJ5518">
        <v>65.426981412103402</v>
      </c>
      <c r="AK5518">
        <v>0.21142972916521399</v>
      </c>
      <c r="AL5518">
        <v>78.770767988249204</v>
      </c>
      <c r="AM5518">
        <v>90.7212306202467</v>
      </c>
      <c r="AN5518">
        <v>0.99999997848812505</v>
      </c>
    </row>
    <row r="5519" spans="1:40" x14ac:dyDescent="0.25">
      <c r="A5519" t="str">
        <f>"20190303162711085"</f>
        <v>20190303162711085</v>
      </c>
      <c r="B5519" t="str">
        <f>"1551601631079630"</f>
        <v>1551601631079630</v>
      </c>
      <c r="C5519" t="s">
        <v>40</v>
      </c>
      <c r="D5519">
        <v>5.047688</v>
      </c>
      <c r="E5519">
        <v>0.52522170000000001</v>
      </c>
      <c r="F5519" t="s">
        <v>42</v>
      </c>
      <c r="G5519">
        <v>-188.1525</v>
      </c>
      <c r="H5519">
        <v>0.91723969999999999</v>
      </c>
      <c r="I5519">
        <v>31.716049999999999</v>
      </c>
      <c r="J5519">
        <v>-188.17570000000001</v>
      </c>
      <c r="K5519">
        <v>1.1209929999999999</v>
      </c>
      <c r="L5519">
        <v>31.391110000000001</v>
      </c>
      <c r="M5519">
        <v>-2.4307039999999999E-2</v>
      </c>
      <c r="N5519">
        <v>-1.1618389999999999E-2</v>
      </c>
      <c r="O5519">
        <v>0.999637</v>
      </c>
      <c r="P5519">
        <v>-3.528303E-2</v>
      </c>
      <c r="Q5519">
        <v>0.18319070000000001</v>
      </c>
      <c r="R5519">
        <v>0.98244399999999998</v>
      </c>
      <c r="S5519">
        <v>6.5383910000000003E-2</v>
      </c>
      <c r="T5519">
        <v>-0.95027640000000002</v>
      </c>
      <c r="U5519">
        <v>3.233978</v>
      </c>
      <c r="V5519">
        <v>-1.1462490000000001E-2</v>
      </c>
      <c r="W5519">
        <v>0.19459489999999999</v>
      </c>
      <c r="X5519">
        <v>0.98081669999999999</v>
      </c>
      <c r="Y5519">
        <v>4.3679959999999997E-2</v>
      </c>
      <c r="Z5519">
        <v>-0.27046789999999998</v>
      </c>
      <c r="AA5519">
        <v>0.96173759999999997</v>
      </c>
      <c r="AB5519">
        <v>35</v>
      </c>
      <c r="AC5519">
        <v>2.3200000000002701E-2</v>
      </c>
      <c r="AD5519">
        <v>-0.2037533</v>
      </c>
      <c r="AE5519">
        <v>0.32494000000000101</v>
      </c>
      <c r="AF5519">
        <v>2.2349116511158101E-2</v>
      </c>
      <c r="AG5519">
        <v>-0.2037533</v>
      </c>
      <c r="AH5519">
        <v>0.23309437216536399</v>
      </c>
      <c r="AI5519">
        <v>131.02761326364299</v>
      </c>
      <c r="AJ5519">
        <v>84.523215494759498</v>
      </c>
      <c r="AK5519">
        <v>0.31039954349979998</v>
      </c>
      <c r="AL5519">
        <v>78.778940033074605</v>
      </c>
      <c r="AM5519">
        <v>90.669566905572907</v>
      </c>
      <c r="AN5519">
        <v>0.99999998139094903</v>
      </c>
    </row>
    <row r="5520" spans="1:40" x14ac:dyDescent="0.25">
      <c r="A5520" t="str">
        <f>"20190303162711128"</f>
        <v>20190303162711128</v>
      </c>
      <c r="B5520" t="str">
        <f>"1551601631119646"</f>
        <v>1551601631119646</v>
      </c>
      <c r="C5520" t="s">
        <v>40</v>
      </c>
      <c r="D5520">
        <v>5.068295</v>
      </c>
      <c r="E5520">
        <v>0.52502360000000003</v>
      </c>
      <c r="F5520" t="s">
        <v>42</v>
      </c>
      <c r="G5520">
        <v>-188.15729999999999</v>
      </c>
      <c r="H5520">
        <v>0.85093569999999996</v>
      </c>
      <c r="I5520">
        <v>32.303919999999998</v>
      </c>
      <c r="J5520">
        <v>-188.19200000000001</v>
      </c>
      <c r="K5520">
        <v>1.1210629999999999</v>
      </c>
      <c r="L5520">
        <v>32.044559999999997</v>
      </c>
      <c r="M5520">
        <v>-2.4648860000000002E-2</v>
      </c>
      <c r="N5520">
        <v>-1.2138039999999999E-2</v>
      </c>
      <c r="O5520">
        <v>0.99962249999999997</v>
      </c>
      <c r="P5520">
        <v>-3.4669199999999997E-2</v>
      </c>
      <c r="Q5520">
        <v>0.18493860000000001</v>
      </c>
      <c r="R5520">
        <v>0.98213839999999997</v>
      </c>
      <c r="S5520">
        <v>6.5170290000000006E-2</v>
      </c>
      <c r="T5520">
        <v>-0.95690419999999998</v>
      </c>
      <c r="U5520">
        <v>3.234375</v>
      </c>
      <c r="V5520">
        <v>-1.05176E-2</v>
      </c>
      <c r="W5520">
        <v>0.1968493</v>
      </c>
      <c r="X5520">
        <v>0.98037730000000001</v>
      </c>
      <c r="Y5520">
        <v>4.3943969999999999E-2</v>
      </c>
      <c r="Z5520">
        <v>-0.27174340000000002</v>
      </c>
      <c r="AA5520">
        <v>0.9613659</v>
      </c>
      <c r="AB5520">
        <v>34</v>
      </c>
      <c r="AC5520">
        <v>3.4700000000014997E-2</v>
      </c>
      <c r="AD5520">
        <v>-0.27012730000000001</v>
      </c>
      <c r="AE5520">
        <v>0.25935999999999998</v>
      </c>
      <c r="AF5520">
        <v>1.98883186158412E-2</v>
      </c>
      <c r="AG5520">
        <v>-0.27012730000000001</v>
      </c>
      <c r="AH5520">
        <v>0.12510461732356401</v>
      </c>
      <c r="AI5520">
        <v>154.87587287719501</v>
      </c>
      <c r="AJ5520">
        <v>80.967078422412897</v>
      </c>
      <c r="AK5520">
        <v>0.29835460227442501</v>
      </c>
      <c r="AL5520">
        <v>78.647224682289405</v>
      </c>
      <c r="AM5520">
        <v>90.614652107333896</v>
      </c>
      <c r="AN5520">
        <v>0.99999995858776902</v>
      </c>
    </row>
    <row r="5521" spans="1:40" x14ac:dyDescent="0.25">
      <c r="A5521" t="str">
        <f>"20190303162711148"</f>
        <v>20190303162711148</v>
      </c>
      <c r="B5521" t="str">
        <f>"1551601631140143"</f>
        <v>1551601631140143</v>
      </c>
      <c r="C5521" t="s">
        <v>40</v>
      </c>
      <c r="D5521">
        <v>5.1107550000000002</v>
      </c>
      <c r="E5521">
        <v>0.52609499999999998</v>
      </c>
      <c r="F5521" t="s">
        <v>42</v>
      </c>
      <c r="G5521">
        <v>-188.1746</v>
      </c>
      <c r="H5521">
        <v>0.86339129999999997</v>
      </c>
      <c r="I5521">
        <v>32.924100000000003</v>
      </c>
      <c r="J5521">
        <v>-188.20050000000001</v>
      </c>
      <c r="K5521">
        <v>1.1211</v>
      </c>
      <c r="L5521">
        <v>32.382869999999997</v>
      </c>
      <c r="M5521">
        <v>-2.482235E-2</v>
      </c>
      <c r="N5521">
        <v>-1.2376689999999999E-2</v>
      </c>
      <c r="O5521">
        <v>0.99961529999999998</v>
      </c>
      <c r="P5521">
        <v>-3.4726750000000001E-2</v>
      </c>
      <c r="Q5521">
        <v>0.18651709999999999</v>
      </c>
      <c r="R5521">
        <v>0.98183770000000004</v>
      </c>
      <c r="S5521">
        <v>6.3964839999999995E-2</v>
      </c>
      <c r="T5521">
        <v>-0.94780399999999998</v>
      </c>
      <c r="U5521">
        <v>3.2352910000000001</v>
      </c>
      <c r="V5521">
        <v>-1.0412289999999999E-2</v>
      </c>
      <c r="W5521">
        <v>0.19865820000000001</v>
      </c>
      <c r="X5521">
        <v>0.98001349999999998</v>
      </c>
      <c r="Y5521">
        <v>4.376886E-2</v>
      </c>
      <c r="Z5521">
        <v>-0.26895059999999998</v>
      </c>
      <c r="AA5521">
        <v>0.96215899999999999</v>
      </c>
      <c r="AB5521">
        <v>34</v>
      </c>
      <c r="AC5521">
        <v>2.5900000000007101E-2</v>
      </c>
      <c r="AD5521">
        <v>-0.25770869999999901</v>
      </c>
      <c r="AE5521">
        <v>0.54122999999999799</v>
      </c>
      <c r="AF5521">
        <v>3.2072668804585897E-2</v>
      </c>
      <c r="AG5521">
        <v>-0.25770869999999901</v>
      </c>
      <c r="AH5521">
        <v>0.44072608405857999</v>
      </c>
      <c r="AI5521">
        <v>120.250500008285</v>
      </c>
      <c r="AJ5521">
        <v>85.837789088345104</v>
      </c>
      <c r="AK5521">
        <v>0.51154854247622406</v>
      </c>
      <c r="AL5521">
        <v>78.5414945620401</v>
      </c>
      <c r="AM5521">
        <v>90.608724089689105</v>
      </c>
      <c r="AN5521">
        <v>0.99999997819626596</v>
      </c>
    </row>
    <row r="5522" spans="1:40" x14ac:dyDescent="0.25">
      <c r="A5522" t="str">
        <f>"20190303162711172"</f>
        <v>20190303162711172</v>
      </c>
      <c r="B5522" t="str">
        <f>"1551601631169422"</f>
        <v>1551601631169422</v>
      </c>
      <c r="C5522" t="s">
        <v>40</v>
      </c>
      <c r="D5522">
        <v>5.0639669999999999</v>
      </c>
      <c r="E5522">
        <v>0.53453169999999905</v>
      </c>
      <c r="F5522" t="s">
        <v>42</v>
      </c>
      <c r="G5522">
        <v>-188.18190000000001</v>
      </c>
      <c r="H5522">
        <v>0.87183949999999999</v>
      </c>
      <c r="I5522">
        <v>33.234650000000002</v>
      </c>
      <c r="J5522">
        <v>-188.20949999999999</v>
      </c>
      <c r="K5522">
        <v>1.1211279999999999</v>
      </c>
      <c r="L5522">
        <v>32.737180000000002</v>
      </c>
      <c r="M5522">
        <v>-2.5000910000000001E-2</v>
      </c>
      <c r="N5522">
        <v>-1.259794E-2</v>
      </c>
      <c r="O5522">
        <v>0.99960800000000005</v>
      </c>
      <c r="P5522">
        <v>-3.4613570000000003E-2</v>
      </c>
      <c r="Q5522">
        <v>0.18706420000000001</v>
      </c>
      <c r="R5522">
        <v>0.98173770000000005</v>
      </c>
      <c r="S5522">
        <v>7.0251460000000002E-2</v>
      </c>
      <c r="T5522">
        <v>-0.94754680000000002</v>
      </c>
      <c r="U5522">
        <v>3.2379760000000002</v>
      </c>
      <c r="V5522">
        <v>-1.0127499999999999E-2</v>
      </c>
      <c r="W5522">
        <v>0.19942090000000001</v>
      </c>
      <c r="X5522">
        <v>0.9798616</v>
      </c>
      <c r="Y5522">
        <v>4.5796440000000001E-2</v>
      </c>
      <c r="Z5522">
        <v>-0.26843139999999999</v>
      </c>
      <c r="AA5522">
        <v>0.9622096</v>
      </c>
      <c r="AB5522">
        <v>34</v>
      </c>
      <c r="AC5522">
        <v>2.7599999999978302E-2</v>
      </c>
      <c r="AD5522">
        <v>-0.2492885</v>
      </c>
      <c r="AE5522">
        <v>0.49746999999999902</v>
      </c>
      <c r="AF5522">
        <v>3.2014857458317898E-2</v>
      </c>
      <c r="AG5522">
        <v>-0.2492885</v>
      </c>
      <c r="AH5522">
        <v>0.39719044124916802</v>
      </c>
      <c r="AI5522">
        <v>122.030126915191</v>
      </c>
      <c r="AJ5522">
        <v>85.391734072851193</v>
      </c>
      <c r="AK5522">
        <v>0.47003186482411502</v>
      </c>
      <c r="AL5522">
        <v>78.496903205692107</v>
      </c>
      <c r="AM5522">
        <v>90.592167655149694</v>
      </c>
      <c r="AN5522">
        <v>1.0000000083838101</v>
      </c>
    </row>
    <row r="5523" spans="1:40" x14ac:dyDescent="0.25">
      <c r="A5523" t="str">
        <f>"20190303162711194"</f>
        <v>20190303162711194</v>
      </c>
      <c r="B5523" t="str">
        <f>"1551601631189919"</f>
        <v>1551601631189919</v>
      </c>
      <c r="C5523" t="s">
        <v>40</v>
      </c>
      <c r="D5523">
        <v>5.055167</v>
      </c>
      <c r="E5523">
        <v>0.53420230000000002</v>
      </c>
      <c r="F5523" t="s">
        <v>42</v>
      </c>
      <c r="G5523">
        <v>-188.1771</v>
      </c>
      <c r="H5523">
        <v>0.8543153</v>
      </c>
      <c r="I5523">
        <v>33.534550000000003</v>
      </c>
      <c r="J5523">
        <v>-188.2182</v>
      </c>
      <c r="K5523">
        <v>1.1211469999999999</v>
      </c>
      <c r="L5523">
        <v>33.08081</v>
      </c>
      <c r="M5523">
        <v>-2.5173009999999999E-2</v>
      </c>
      <c r="N5523">
        <v>-1.278454E-2</v>
      </c>
      <c r="O5523">
        <v>0.99960139999999997</v>
      </c>
      <c r="P5523">
        <v>-3.436902E-2</v>
      </c>
      <c r="Q5523">
        <v>0.18741369999999999</v>
      </c>
      <c r="R5523">
        <v>0.98167959999999999</v>
      </c>
      <c r="S5523">
        <v>0.13275149999999999</v>
      </c>
      <c r="T5523">
        <v>-1.0938369999999999</v>
      </c>
      <c r="U5523">
        <v>3.2689210000000002</v>
      </c>
      <c r="V5523">
        <v>-9.7161890000000001E-3</v>
      </c>
      <c r="W5523">
        <v>0.19995260000000001</v>
      </c>
      <c r="X5523">
        <v>0.9797574</v>
      </c>
      <c r="Y5523">
        <v>6.3646350000000004E-2</v>
      </c>
      <c r="Z5523">
        <v>-0.30457630000000002</v>
      </c>
      <c r="AA5523">
        <v>0.95035910000000001</v>
      </c>
      <c r="AB5523">
        <v>34</v>
      </c>
      <c r="AC5523">
        <v>4.1100000000000102E-2</v>
      </c>
      <c r="AD5523">
        <v>-0.26683169999999901</v>
      </c>
      <c r="AE5523">
        <v>0.45374000000000297</v>
      </c>
      <c r="AF5523">
        <v>3.9098554000910599E-2</v>
      </c>
      <c r="AG5523">
        <v>-0.26683169999999901</v>
      </c>
      <c r="AH5523">
        <v>0.33697449948071401</v>
      </c>
      <c r="AI5523">
        <v>128.18747419587399</v>
      </c>
      <c r="AJ5523">
        <v>83.381666245256199</v>
      </c>
      <c r="AK5523">
        <v>0.43160128168267697</v>
      </c>
      <c r="AL5523">
        <v>78.465812830759802</v>
      </c>
      <c r="AM5523">
        <v>90.568179810817696</v>
      </c>
      <c r="AN5523">
        <v>1.0000000047151001</v>
      </c>
    </row>
    <row r="5524" spans="1:40" x14ac:dyDescent="0.25">
      <c r="A5524" t="str">
        <f>"20190303162711217"</f>
        <v>20190303162711217</v>
      </c>
      <c r="B5524" t="str">
        <f>"1551601631209439"</f>
        <v>1551601631209439</v>
      </c>
      <c r="C5524" t="s">
        <v>40</v>
      </c>
      <c r="D5524">
        <v>5.0393119999999998</v>
      </c>
      <c r="E5524">
        <v>0.53406350000000002</v>
      </c>
      <c r="F5524" t="s">
        <v>42</v>
      </c>
      <c r="G5524">
        <v>-188.18729999999999</v>
      </c>
      <c r="H5524">
        <v>0.8634676</v>
      </c>
      <c r="I5524">
        <v>33.844679999999997</v>
      </c>
      <c r="J5524">
        <v>-188.2269</v>
      </c>
      <c r="K5524">
        <v>1.1211610000000001</v>
      </c>
      <c r="L5524">
        <v>33.418819999999997</v>
      </c>
      <c r="M5524">
        <v>-2.5342940000000001E-2</v>
      </c>
      <c r="N5524">
        <v>-1.2944779999999999E-2</v>
      </c>
      <c r="O5524">
        <v>0.99959500000000001</v>
      </c>
      <c r="P5524">
        <v>-3.4701820000000001E-2</v>
      </c>
      <c r="Q5524">
        <v>0.18907370000000001</v>
      </c>
      <c r="R5524">
        <v>0.98134949999999999</v>
      </c>
      <c r="S5524">
        <v>0.13204959999999999</v>
      </c>
      <c r="T5524">
        <v>-1.1035159999999999</v>
      </c>
      <c r="U5524">
        <v>3.271271</v>
      </c>
      <c r="V5524">
        <v>-9.8908999999999993E-3</v>
      </c>
      <c r="W5524">
        <v>0.201765</v>
      </c>
      <c r="X5524">
        <v>0.97938400000000003</v>
      </c>
      <c r="Y5524">
        <v>6.3553879999999993E-2</v>
      </c>
      <c r="Z5524">
        <v>-0.30674499999999999</v>
      </c>
      <c r="AA5524">
        <v>0.9496675</v>
      </c>
      <c r="AB5524">
        <v>34</v>
      </c>
      <c r="AC5524">
        <v>3.9600000000007102E-2</v>
      </c>
      <c r="AD5524">
        <v>-0.25769340000000002</v>
      </c>
      <c r="AE5524">
        <v>0.42585999999999302</v>
      </c>
      <c r="AF5524">
        <v>3.6962501287413102E-2</v>
      </c>
      <c r="AG5524">
        <v>-0.25769340000000002</v>
      </c>
      <c r="AH5524">
        <v>0.31160122096355602</v>
      </c>
      <c r="AI5524">
        <v>129.39420050335301</v>
      </c>
      <c r="AJ5524">
        <v>83.235118938017493</v>
      </c>
      <c r="AK5524">
        <v>0.40603871220729798</v>
      </c>
      <c r="AL5524">
        <v>78.3598093552406</v>
      </c>
      <c r="AM5524">
        <v>90.578616314199493</v>
      </c>
      <c r="AN5524">
        <v>0.99999998229190401</v>
      </c>
    </row>
    <row r="5525" spans="1:40" x14ac:dyDescent="0.25">
      <c r="A5525" t="str">
        <f>"20190303162711238"</f>
        <v>20190303162711238</v>
      </c>
      <c r="B5525" t="str">
        <f>"1551601631229935"</f>
        <v>1551601631229935</v>
      </c>
      <c r="C5525" t="s">
        <v>40</v>
      </c>
      <c r="D5525">
        <v>5.0542980000000002</v>
      </c>
      <c r="E5525">
        <v>0.53394430000000004</v>
      </c>
      <c r="F5525" t="s">
        <v>42</v>
      </c>
      <c r="G5525">
        <v>-188.19759999999999</v>
      </c>
      <c r="H5525">
        <v>0.87352779999999997</v>
      </c>
      <c r="I5525">
        <v>34.155000000000001</v>
      </c>
      <c r="J5525">
        <v>-188.23570000000001</v>
      </c>
      <c r="K5525">
        <v>1.1211709999999999</v>
      </c>
      <c r="L5525">
        <v>33.759159999999902</v>
      </c>
      <c r="M5525">
        <v>-2.551517E-2</v>
      </c>
      <c r="N5525">
        <v>-1.3086159999999999E-2</v>
      </c>
      <c r="O5525">
        <v>0.99958880000000006</v>
      </c>
      <c r="P5525">
        <v>-3.4907010000000002E-2</v>
      </c>
      <c r="Q5525">
        <v>0.18919069999999999</v>
      </c>
      <c r="R5525">
        <v>0.98131970000000002</v>
      </c>
      <c r="S5525">
        <v>0.13012699999999999</v>
      </c>
      <c r="T5525">
        <v>-1.101245</v>
      </c>
      <c r="U5525">
        <v>3.2738040000000002</v>
      </c>
      <c r="V5525">
        <v>-9.9272600000000003E-3</v>
      </c>
      <c r="W5525">
        <v>0.20202049999999999</v>
      </c>
      <c r="X5525">
        <v>0.97933099999999995</v>
      </c>
      <c r="Y5525">
        <v>6.3151230000000003E-2</v>
      </c>
      <c r="Z5525">
        <v>-0.3058015</v>
      </c>
      <c r="AA5525">
        <v>0.94999860000000003</v>
      </c>
      <c r="AB5525">
        <v>34</v>
      </c>
      <c r="AC5525">
        <v>3.8100000000014199E-2</v>
      </c>
      <c r="AD5525">
        <v>-0.24764319999999901</v>
      </c>
      <c r="AE5525">
        <v>0.39584000000000602</v>
      </c>
      <c r="AF5525">
        <v>3.4722841803057902E-2</v>
      </c>
      <c r="AG5525">
        <v>-0.24764319999999901</v>
      </c>
      <c r="AH5525">
        <v>0.28443486226987602</v>
      </c>
      <c r="AI5525">
        <v>130.83469326511499</v>
      </c>
      <c r="AJ5525">
        <v>83.039963960116197</v>
      </c>
      <c r="AK5525">
        <v>0.37872948277577101</v>
      </c>
      <c r="AL5525">
        <v>78.344862940458398</v>
      </c>
      <c r="AM5525">
        <v>90.580774650719206</v>
      </c>
      <c r="AN5525">
        <v>1.0000000202361701</v>
      </c>
    </row>
    <row r="5526" spans="1:40" x14ac:dyDescent="0.25">
      <c r="A5526" t="str">
        <f>"20190303162711264"</f>
        <v>20190303162711264</v>
      </c>
      <c r="B5526" t="str">
        <f>"1551601631260191"</f>
        <v>1551601631260191</v>
      </c>
      <c r="C5526" t="s">
        <v>40</v>
      </c>
      <c r="D5526">
        <v>4.9894280000000002</v>
      </c>
      <c r="E5526">
        <v>0.53398409999999996</v>
      </c>
      <c r="F5526" t="s">
        <v>42</v>
      </c>
      <c r="G5526">
        <v>-188.208</v>
      </c>
      <c r="H5526">
        <v>0.88345910000000005</v>
      </c>
      <c r="I5526">
        <v>34.465179999999997</v>
      </c>
      <c r="J5526">
        <v>-188.24539999999999</v>
      </c>
      <c r="K5526">
        <v>1.1211679999999999</v>
      </c>
      <c r="L5526">
        <v>34.130099999999999</v>
      </c>
      <c r="M5526">
        <v>-2.5704379999999999E-2</v>
      </c>
      <c r="N5526">
        <v>-1.321514E-2</v>
      </c>
      <c r="O5526">
        <v>0.99958219999999998</v>
      </c>
      <c r="P5526">
        <v>-3.5115430000000003E-2</v>
      </c>
      <c r="Q5526">
        <v>0.18934809999999999</v>
      </c>
      <c r="R5526">
        <v>0.98128190000000004</v>
      </c>
      <c r="S5526">
        <v>0.1276398</v>
      </c>
      <c r="T5526">
        <v>-1.1023719999999999</v>
      </c>
      <c r="U5526">
        <v>3.2741699999999998</v>
      </c>
      <c r="V5526">
        <v>-9.9509479999999994E-3</v>
      </c>
      <c r="W5526">
        <v>0.20230339999999999</v>
      </c>
      <c r="X5526">
        <v>0.97927229999999998</v>
      </c>
      <c r="Y5526">
        <v>6.2613249999999995E-2</v>
      </c>
      <c r="Z5526">
        <v>-0.305948</v>
      </c>
      <c r="AA5526">
        <v>0.94998709999999997</v>
      </c>
      <c r="AB5526">
        <v>34</v>
      </c>
      <c r="AC5526">
        <v>3.7399999999991003E-2</v>
      </c>
      <c r="AD5526">
        <v>-0.237708899999999</v>
      </c>
      <c r="AE5526">
        <v>0.33507999999999699</v>
      </c>
      <c r="AF5526">
        <v>3.0727648129315301E-2</v>
      </c>
      <c r="AG5526">
        <v>-0.237708899999999</v>
      </c>
      <c r="AH5526">
        <v>0.22310781047786099</v>
      </c>
      <c r="AI5526">
        <v>136.546130891952</v>
      </c>
      <c r="AJ5526">
        <v>82.158240046195999</v>
      </c>
      <c r="AK5526">
        <v>0.32745504209737603</v>
      </c>
      <c r="AL5526">
        <v>78.328311541397099</v>
      </c>
      <c r="AM5526">
        <v>90.582195268627004</v>
      </c>
      <c r="AN5526">
        <v>0.99999996228247301</v>
      </c>
    </row>
    <row r="5527" spans="1:40" x14ac:dyDescent="0.25">
      <c r="A5527" t="str">
        <f>"20190303162711287"</f>
        <v>20190303162711287</v>
      </c>
      <c r="B5527" t="str">
        <f>"1551601631279710"</f>
        <v>1551601631279710</v>
      </c>
      <c r="C5527" t="s">
        <v>40</v>
      </c>
      <c r="D5527">
        <v>4.9611539999999996</v>
      </c>
      <c r="E5527">
        <v>0.53395719999999902</v>
      </c>
      <c r="F5527" t="s">
        <v>42</v>
      </c>
      <c r="G5527">
        <v>-188.2099</v>
      </c>
      <c r="H5527">
        <v>0.81271610000000005</v>
      </c>
      <c r="I5527">
        <v>35.048349999999999</v>
      </c>
      <c r="J5527">
        <v>-188.2551</v>
      </c>
      <c r="K5527">
        <v>1.1211739999999999</v>
      </c>
      <c r="L5527">
        <v>34.498869999999997</v>
      </c>
      <c r="M5527">
        <v>-2.5893240000000001E-2</v>
      </c>
      <c r="N5527">
        <v>-1.3312010000000001E-2</v>
      </c>
      <c r="O5527">
        <v>0.99957609999999997</v>
      </c>
      <c r="P5527">
        <v>-3.5708789999999997E-2</v>
      </c>
      <c r="Q5527">
        <v>0.1893215</v>
      </c>
      <c r="R5527">
        <v>0.98126570000000002</v>
      </c>
      <c r="S5527">
        <v>0.12615970000000001</v>
      </c>
      <c r="T5527">
        <v>-1.099753</v>
      </c>
      <c r="U5527">
        <v>3.2739560000000001</v>
      </c>
      <c r="V5527">
        <v>-1.035845E-2</v>
      </c>
      <c r="W5527">
        <v>0.20237160000000001</v>
      </c>
      <c r="X5527">
        <v>0.97925399999999996</v>
      </c>
      <c r="Y5527">
        <v>6.2384500000000002E-2</v>
      </c>
      <c r="Z5527">
        <v>-0.30519410000000002</v>
      </c>
      <c r="AA5527">
        <v>0.95024450000000005</v>
      </c>
      <c r="AB5527">
        <v>34</v>
      </c>
      <c r="AC5527">
        <v>4.5199999999994099E-2</v>
      </c>
      <c r="AD5527">
        <v>-0.30845789999999901</v>
      </c>
      <c r="AE5527">
        <v>0.54947999999999497</v>
      </c>
      <c r="AF5527">
        <v>4.5250141416551697E-2</v>
      </c>
      <c r="AG5527">
        <v>-0.30845789999999901</v>
      </c>
      <c r="AH5527">
        <v>0.41745680479325697</v>
      </c>
      <c r="AI5527">
        <v>126.300811415824</v>
      </c>
      <c r="AJ5527">
        <v>83.813589667948605</v>
      </c>
      <c r="AK5527">
        <v>0.521022106286118</v>
      </c>
      <c r="AL5527">
        <v>78.3243216380001</v>
      </c>
      <c r="AM5527">
        <v>90.606046371007906</v>
      </c>
      <c r="AN5527">
        <v>0.99999997924448103</v>
      </c>
    </row>
    <row r="5528" spans="1:40" x14ac:dyDescent="0.25">
      <c r="A5528" t="str">
        <f>"20190303162711329"</f>
        <v>20190303162711329</v>
      </c>
      <c r="B5528" t="str">
        <f>"1551601631319727"</f>
        <v>1551601631319727</v>
      </c>
      <c r="C5528" t="s">
        <v>40</v>
      </c>
      <c r="D5528">
        <v>4.9515500000000001</v>
      </c>
      <c r="E5528">
        <v>0.533923699999999</v>
      </c>
      <c r="F5528" t="s">
        <v>42</v>
      </c>
      <c r="G5528">
        <v>-188.2225</v>
      </c>
      <c r="H5528">
        <v>0.831597699999999</v>
      </c>
      <c r="I5528">
        <v>35.360990000000001</v>
      </c>
      <c r="J5528">
        <v>-188.27189999999999</v>
      </c>
      <c r="K5528">
        <v>1.121173</v>
      </c>
      <c r="L5528">
        <v>35.132719999999999</v>
      </c>
      <c r="M5528">
        <v>-2.6216039999999999E-2</v>
      </c>
      <c r="N5528">
        <v>-1.343188E-2</v>
      </c>
      <c r="O5528">
        <v>0.99956610000000001</v>
      </c>
      <c r="P5528">
        <v>-3.692492E-2</v>
      </c>
      <c r="Q5528">
        <v>0.19023950000000001</v>
      </c>
      <c r="R5528">
        <v>0.981043</v>
      </c>
      <c r="S5528">
        <v>0.12330629999999999</v>
      </c>
      <c r="T5528">
        <v>-1.099666</v>
      </c>
      <c r="U5528">
        <v>3.2739259999999999</v>
      </c>
      <c r="V5528">
        <v>-1.1263260000000001E-2</v>
      </c>
      <c r="W5528">
        <v>0.203404</v>
      </c>
      <c r="X5528">
        <v>0.97903010000000001</v>
      </c>
      <c r="Y5528">
        <v>6.1881609999999997E-2</v>
      </c>
      <c r="Z5528">
        <v>-0.3050657</v>
      </c>
      <c r="AA5528">
        <v>0.95031869999999996</v>
      </c>
      <c r="AB5528">
        <v>34</v>
      </c>
      <c r="AC5528">
        <v>4.9399999999991402E-2</v>
      </c>
      <c r="AD5528">
        <v>-0.28957529999999998</v>
      </c>
      <c r="AE5528">
        <v>0.228270000000002</v>
      </c>
      <c r="AF5528">
        <v>2.18219102516162E-2</v>
      </c>
      <c r="AG5528">
        <v>-0.28957529999999998</v>
      </c>
      <c r="AH5528">
        <v>8.9425681252880307E-2</v>
      </c>
      <c r="AI5528">
        <v>162.365668534268</v>
      </c>
      <c r="AJ5528">
        <v>76.286527112159007</v>
      </c>
      <c r="AK5528">
        <v>0.30385358744740998</v>
      </c>
      <c r="AL5528">
        <v>78.263913250919003</v>
      </c>
      <c r="AM5528">
        <v>90.6591306977095</v>
      </c>
      <c r="AN5528">
        <v>0.99999999247391802</v>
      </c>
    </row>
    <row r="5529" spans="1:40" x14ac:dyDescent="0.25">
      <c r="A5529" t="str">
        <f>"20190303162711349"</f>
        <v>20190303162711349</v>
      </c>
      <c r="B5529" t="str">
        <f>"1551601631339248"</f>
        <v>1551601631339248</v>
      </c>
      <c r="C5529" t="s">
        <v>40</v>
      </c>
      <c r="D5529">
        <v>4.9438630000000003</v>
      </c>
      <c r="E5529">
        <v>0.53394489999999994</v>
      </c>
      <c r="F5529" t="s">
        <v>42</v>
      </c>
      <c r="G5529">
        <v>-188.2413</v>
      </c>
      <c r="H5529">
        <v>0.83997710000000003</v>
      </c>
      <c r="I5529">
        <v>35.974119999999999</v>
      </c>
      <c r="J5529">
        <v>-188.28030000000001</v>
      </c>
      <c r="K5529">
        <v>1.1211819999999999</v>
      </c>
      <c r="L5529">
        <v>35.445189999999997</v>
      </c>
      <c r="M5529">
        <v>-2.6374849999999998E-2</v>
      </c>
      <c r="N5529">
        <v>-1.346732E-2</v>
      </c>
      <c r="O5529">
        <v>0.99956140000000004</v>
      </c>
      <c r="P5529">
        <v>-3.7525019999999999E-2</v>
      </c>
      <c r="Q5529">
        <v>0.1908098</v>
      </c>
      <c r="R5529">
        <v>0.98090949999999999</v>
      </c>
      <c r="S5529">
        <v>0.1186371</v>
      </c>
      <c r="T5529">
        <v>-1.0943940000000001</v>
      </c>
      <c r="U5529">
        <v>3.2746580000000001</v>
      </c>
      <c r="V5529">
        <v>-1.1710389999999999E-2</v>
      </c>
      <c r="W5529">
        <v>0.2040071</v>
      </c>
      <c r="X5529">
        <v>0.97889939999999998</v>
      </c>
      <c r="Y5529">
        <v>6.0699019999999999E-2</v>
      </c>
      <c r="Z5529">
        <v>-0.30360890000000001</v>
      </c>
      <c r="AA5529">
        <v>0.95086130000000002</v>
      </c>
      <c r="AB5529">
        <v>34</v>
      </c>
      <c r="AC5529">
        <v>3.9000000000015599E-2</v>
      </c>
      <c r="AD5529">
        <v>-0.28120489999999898</v>
      </c>
      <c r="AE5529">
        <v>0.52892999999999502</v>
      </c>
      <c r="AF5529">
        <v>4.13217086495139E-2</v>
      </c>
      <c r="AG5529">
        <v>-0.28120489999999898</v>
      </c>
      <c r="AH5529">
        <v>0.41191806966586703</v>
      </c>
      <c r="AI5529">
        <v>124.18680566611501</v>
      </c>
      <c r="AJ5529">
        <v>84.271517633708996</v>
      </c>
      <c r="AK5529">
        <v>0.50045996394015302</v>
      </c>
      <c r="AL5529">
        <v>78.228618584146901</v>
      </c>
      <c r="AM5529">
        <v>90.685385974918105</v>
      </c>
      <c r="AN5529">
        <v>1.0000000327023599</v>
      </c>
    </row>
    <row r="5530" spans="1:40" x14ac:dyDescent="0.25">
      <c r="A5530" t="str">
        <f>"20190303162711374"</f>
        <v>20190303162711374</v>
      </c>
      <c r="B5530" t="str">
        <f>"1551601631369503"</f>
        <v>1551601631369503</v>
      </c>
      <c r="C5530" t="s">
        <v>40</v>
      </c>
      <c r="D5530">
        <v>4.9244789999999998</v>
      </c>
      <c r="E5530">
        <v>0.52902349999999998</v>
      </c>
      <c r="F5530" t="s">
        <v>42</v>
      </c>
      <c r="G5530">
        <v>-188.2501</v>
      </c>
      <c r="H5530">
        <v>0.84343140000000005</v>
      </c>
      <c r="I5530">
        <v>36.280110000000001</v>
      </c>
      <c r="J5530">
        <v>-188.2902</v>
      </c>
      <c r="K5530">
        <v>1.1211850000000001</v>
      </c>
      <c r="L5530">
        <v>35.815159999999999</v>
      </c>
      <c r="M5530">
        <v>-2.6562659999999998E-2</v>
      </c>
      <c r="N5530">
        <v>-1.3491090000000001E-2</v>
      </c>
      <c r="O5530">
        <v>0.99955609999999995</v>
      </c>
      <c r="P5530">
        <v>-3.8599000000000001E-2</v>
      </c>
      <c r="Q5530">
        <v>0.19193360000000001</v>
      </c>
      <c r="R5530">
        <v>0.98064859999999998</v>
      </c>
      <c r="S5530">
        <v>0.11752319999999999</v>
      </c>
      <c r="T5530">
        <v>-1.0894159999999999</v>
      </c>
      <c r="U5530">
        <v>3.2747799999999998</v>
      </c>
      <c r="V5530">
        <v>-1.260725E-2</v>
      </c>
      <c r="W5530">
        <v>0.20515069999999999</v>
      </c>
      <c r="X5530">
        <v>0.9786492</v>
      </c>
      <c r="Y5530">
        <v>6.0578159999999999E-2</v>
      </c>
      <c r="Z5530">
        <v>-0.30227480000000001</v>
      </c>
      <c r="AA5530">
        <v>0.95129390000000003</v>
      </c>
      <c r="AB5530">
        <v>34</v>
      </c>
      <c r="AC5530">
        <v>4.0099999999995299E-2</v>
      </c>
      <c r="AD5530">
        <v>-0.27775359999999999</v>
      </c>
      <c r="AE5530">
        <v>0.46495000000000097</v>
      </c>
      <c r="AF5530">
        <v>3.8721032652221703E-2</v>
      </c>
      <c r="AG5530">
        <v>-0.27775359999999999</v>
      </c>
      <c r="AH5530">
        <v>0.34242321804878001</v>
      </c>
      <c r="AI5530">
        <v>128.86896894042499</v>
      </c>
      <c r="AJ5530">
        <v>83.548429704447102</v>
      </c>
      <c r="AK5530">
        <v>0.44260596577712003</v>
      </c>
      <c r="AL5530">
        <v>78.161679031537105</v>
      </c>
      <c r="AM5530">
        <v>90.738060442718094</v>
      </c>
      <c r="AN5530">
        <v>1.00000000456184</v>
      </c>
    </row>
    <row r="5531" spans="1:40" x14ac:dyDescent="0.25">
      <c r="A5531" t="str">
        <f>"20190303162711396"</f>
        <v>20190303162711396</v>
      </c>
      <c r="B5531" t="str">
        <f>"1551601631389998"</f>
        <v>1551601631389998</v>
      </c>
      <c r="C5531" t="s">
        <v>40</v>
      </c>
      <c r="D5531">
        <v>5.1074679999999999</v>
      </c>
      <c r="E5531">
        <v>0.49906830000000002</v>
      </c>
      <c r="F5531" t="s">
        <v>42</v>
      </c>
      <c r="G5531">
        <v>-188.2705</v>
      </c>
      <c r="H5531">
        <v>0.90881089999999998</v>
      </c>
      <c r="I5531">
        <v>36.611910000000002</v>
      </c>
      <c r="J5531">
        <v>-188.2996</v>
      </c>
      <c r="K5531">
        <v>1.1211869999999999</v>
      </c>
      <c r="L5531">
        <v>36.16028</v>
      </c>
      <c r="M5531">
        <v>-2.6737589999999999E-2</v>
      </c>
      <c r="N5531">
        <v>-1.349709E-2</v>
      </c>
      <c r="O5531">
        <v>0.99955139999999998</v>
      </c>
      <c r="P5531">
        <v>-3.9442459999999999E-2</v>
      </c>
      <c r="Q5531">
        <v>0.1928502</v>
      </c>
      <c r="R5531">
        <v>0.9804351</v>
      </c>
      <c r="S5531">
        <v>7.9574580000000006E-2</v>
      </c>
      <c r="T5531">
        <v>-0.86119869999999898</v>
      </c>
      <c r="U5531">
        <v>3.230896</v>
      </c>
      <c r="V5531">
        <v>-1.328501E-2</v>
      </c>
      <c r="W5531">
        <v>0.2060709</v>
      </c>
      <c r="X5531">
        <v>0.97844690000000001</v>
      </c>
      <c r="Y5531">
        <v>5.0503579999999999E-2</v>
      </c>
      <c r="Z5531">
        <v>-0.24415029999999999</v>
      </c>
      <c r="AA5531">
        <v>0.96842139999999999</v>
      </c>
      <c r="AB5531">
        <v>34</v>
      </c>
      <c r="AC5531">
        <v>2.9099999999999598E-2</v>
      </c>
      <c r="AD5531">
        <v>-0.21237610000000001</v>
      </c>
      <c r="AE5531">
        <v>0.45162999999999398</v>
      </c>
      <c r="AF5531">
        <v>3.3736841595836398E-2</v>
      </c>
      <c r="AG5531">
        <v>-0.21237610000000001</v>
      </c>
      <c r="AH5531">
        <v>0.36935332138159999</v>
      </c>
      <c r="AI5531">
        <v>119.79591510782799</v>
      </c>
      <c r="AJ5531">
        <v>84.781068341264003</v>
      </c>
      <c r="AK5531">
        <v>0.427391691949776</v>
      </c>
      <c r="AL5531">
        <v>78.107804565579201</v>
      </c>
      <c r="AM5531">
        <v>90.777894267027307</v>
      </c>
      <c r="AN5531">
        <v>1.0000000217185501</v>
      </c>
    </row>
    <row r="5532" spans="1:40" x14ac:dyDescent="0.25">
      <c r="A5532" t="str">
        <f>"20190303162711417"</f>
        <v>20190303162711417</v>
      </c>
      <c r="B5532" t="str">
        <f>"1551601631410495"</f>
        <v>1551601631410495</v>
      </c>
      <c r="C5532" t="s">
        <v>40</v>
      </c>
      <c r="D5532">
        <v>5.0946189999999998</v>
      </c>
      <c r="E5532">
        <v>0.49418990000000002</v>
      </c>
      <c r="F5532" t="s">
        <v>41</v>
      </c>
      <c r="G5532">
        <v>-190.0187</v>
      </c>
      <c r="H5532" s="1">
        <v>-1.4994049999999999E-6</v>
      </c>
      <c r="I5532">
        <v>73.072630000000004</v>
      </c>
      <c r="J5532">
        <v>-188.3083</v>
      </c>
      <c r="K5532">
        <v>1.121186</v>
      </c>
      <c r="L5532">
        <v>36.481409999999997</v>
      </c>
      <c r="M5532">
        <v>-2.69E-2</v>
      </c>
      <c r="N5532">
        <v>-1.348853E-2</v>
      </c>
      <c r="O5532">
        <v>0.99954710000000002</v>
      </c>
      <c r="P5532">
        <v>-4.0420900000000003E-2</v>
      </c>
      <c r="Q5532">
        <v>0.19367400000000001</v>
      </c>
      <c r="R5532">
        <v>0.98023289999999996</v>
      </c>
      <c r="S5532">
        <v>-0.1430969</v>
      </c>
      <c r="T5532">
        <v>-9.3324539999999997E-2</v>
      </c>
      <c r="U5532">
        <v>3.072479</v>
      </c>
      <c r="V5532">
        <v>-1.4109740000000001E-2</v>
      </c>
      <c r="W5532">
        <v>0.20688319999999999</v>
      </c>
      <c r="X5532">
        <v>0.97826389999999996</v>
      </c>
      <c r="Y5532">
        <v>-1.9620780000000001E-2</v>
      </c>
      <c r="Z5532">
        <v>-1.6847879999999999E-2</v>
      </c>
      <c r="AA5532">
        <v>0.99966560000000004</v>
      </c>
      <c r="AB5532">
        <v>34</v>
      </c>
      <c r="AC5532">
        <v>-1.7103999999999899</v>
      </c>
      <c r="AD5532">
        <v>-1.121187499405</v>
      </c>
      <c r="AE5532">
        <v>36.59122</v>
      </c>
      <c r="AF5532">
        <v>-0.72470863014529996</v>
      </c>
      <c r="AG5532">
        <v>-1.121187499405</v>
      </c>
      <c r="AH5532">
        <v>36.589712383872197</v>
      </c>
      <c r="AI5532">
        <v>91.754772817196795</v>
      </c>
      <c r="AJ5532">
        <v>91.134671873147894</v>
      </c>
      <c r="AK5532">
        <v>36.614058998449202</v>
      </c>
      <c r="AL5532">
        <v>78.060237961718499</v>
      </c>
      <c r="AM5532">
        <v>90.826333773425205</v>
      </c>
      <c r="AN5532">
        <v>1.0000000006241501</v>
      </c>
    </row>
    <row r="5533" spans="1:40" x14ac:dyDescent="0.25">
      <c r="A5533" t="str">
        <f>"20190303162711439"</f>
        <v>20190303162711439</v>
      </c>
      <c r="B5533" t="str">
        <f>"1551601631430015"</f>
        <v>1551601631430015</v>
      </c>
      <c r="C5533" t="s">
        <v>40</v>
      </c>
      <c r="D5533">
        <v>5.0699319999999997</v>
      </c>
      <c r="E5533">
        <v>0.49309219999999998</v>
      </c>
      <c r="F5533" t="s">
        <v>72</v>
      </c>
      <c r="G5533">
        <v>-209.56720000000001</v>
      </c>
      <c r="H5533">
        <v>1.6338349999999999</v>
      </c>
      <c r="I5533">
        <v>391.87</v>
      </c>
      <c r="J5533">
        <v>-188.31739999999999</v>
      </c>
      <c r="K5533">
        <v>1.121184</v>
      </c>
      <c r="L5533">
        <v>36.80997</v>
      </c>
      <c r="M5533">
        <v>-2.706538E-2</v>
      </c>
      <c r="N5533">
        <v>-1.3466789999999999E-2</v>
      </c>
      <c r="O5533">
        <v>0.99954299999999996</v>
      </c>
      <c r="P5533">
        <v>-4.0900230000000003E-2</v>
      </c>
      <c r="Q5533">
        <v>0.19443589999999999</v>
      </c>
      <c r="R5533">
        <v>0.98006219999999999</v>
      </c>
      <c r="S5533">
        <v>-0.18257139999999999</v>
      </c>
      <c r="T5533">
        <v>4.402637E-3</v>
      </c>
      <c r="U5533">
        <v>3.0520939999999999</v>
      </c>
      <c r="V5533">
        <v>-1.4431630000000001E-2</v>
      </c>
      <c r="W5533">
        <v>0.20762169999999999</v>
      </c>
      <c r="X5533">
        <v>0.97810269999999999</v>
      </c>
      <c r="Y5533">
        <v>-3.2660990000000001E-2</v>
      </c>
      <c r="Z5533">
        <v>1.4895790000000001E-2</v>
      </c>
      <c r="AA5533">
        <v>0.99935549999999995</v>
      </c>
      <c r="AB5533">
        <v>34</v>
      </c>
      <c r="AC5533">
        <v>-21.2498</v>
      </c>
      <c r="AD5533">
        <v>0.51265099999999997</v>
      </c>
      <c r="AE5533">
        <v>355.06002999999998</v>
      </c>
      <c r="AF5533">
        <v>-11.6312842176975</v>
      </c>
      <c r="AG5533">
        <v>0.51265099999999997</v>
      </c>
      <c r="AH5533">
        <v>355.50438325093802</v>
      </c>
      <c r="AI5533">
        <v>89.917421524627599</v>
      </c>
      <c r="AJ5533">
        <v>91.873917424107304</v>
      </c>
      <c r="AK5533">
        <v>355.69497620043802</v>
      </c>
      <c r="AL5533">
        <v>78.016985508300493</v>
      </c>
      <c r="AM5533">
        <v>90.845321758696301</v>
      </c>
      <c r="AN5533">
        <v>0.99999996700131699</v>
      </c>
    </row>
    <row r="5534" spans="1:40" x14ac:dyDescent="0.25">
      <c r="A5534" t="str">
        <f>"20190303162711463"</f>
        <v>20190303162711463</v>
      </c>
      <c r="B5534" t="str">
        <f>"1551601631450510"</f>
        <v>1551601631450510</v>
      </c>
      <c r="C5534" t="s">
        <v>40</v>
      </c>
      <c r="D5534">
        <v>4.9115890000000002</v>
      </c>
      <c r="E5534">
        <v>0.49289630000000001</v>
      </c>
      <c r="F5534" t="s">
        <v>72</v>
      </c>
      <c r="G5534">
        <v>-210.72210000000001</v>
      </c>
      <c r="H5534">
        <v>3.7359810000000002</v>
      </c>
      <c r="I5534">
        <v>391.87</v>
      </c>
      <c r="J5534">
        <v>-188.32730000000001</v>
      </c>
      <c r="K5534">
        <v>1.1211899999999999</v>
      </c>
      <c r="L5534">
        <v>37.169739999999997</v>
      </c>
      <c r="M5534">
        <v>-2.7244689999999998E-2</v>
      </c>
      <c r="N5534">
        <v>-1.3429740000000001E-2</v>
      </c>
      <c r="O5534">
        <v>0.99953860000000005</v>
      </c>
      <c r="P5534">
        <v>-4.1240890000000002E-2</v>
      </c>
      <c r="Q5534">
        <v>0.1948155</v>
      </c>
      <c r="R5534">
        <v>0.97997250000000002</v>
      </c>
      <c r="S5534">
        <v>-0.1923676</v>
      </c>
      <c r="T5534">
        <v>2.2450689999999999E-2</v>
      </c>
      <c r="U5534">
        <v>3.0485530000000001</v>
      </c>
      <c r="V5534">
        <v>-1.459891E-2</v>
      </c>
      <c r="W5534">
        <v>0.20796400000000001</v>
      </c>
      <c r="X5534">
        <v>0.97802750000000005</v>
      </c>
      <c r="Y5534">
        <v>-3.5744520000000002E-2</v>
      </c>
      <c r="Z5534">
        <v>2.0767589999999999E-2</v>
      </c>
      <c r="AA5534">
        <v>0.99914519999999996</v>
      </c>
      <c r="AB5534">
        <v>34</v>
      </c>
      <c r="AC5534">
        <v>-22.3948</v>
      </c>
      <c r="AD5534">
        <v>2.6147909999999999</v>
      </c>
      <c r="AE5534">
        <v>354.70026000000001</v>
      </c>
      <c r="AF5534">
        <v>-12.7212268575183</v>
      </c>
      <c r="AG5534">
        <v>2.6147909999999999</v>
      </c>
      <c r="AH5534">
        <v>355.15953984732403</v>
      </c>
      <c r="AI5534">
        <v>89.578449235349794</v>
      </c>
      <c r="AJ5534">
        <v>92.051363018146503</v>
      </c>
      <c r="AK5534">
        <v>355.39691260518498</v>
      </c>
      <c r="AL5534">
        <v>77.996935590600799</v>
      </c>
      <c r="AM5534">
        <v>90.8551843507814</v>
      </c>
      <c r="AN5534">
        <v>0.99999997211271796</v>
      </c>
    </row>
    <row r="5535" spans="1:40" x14ac:dyDescent="0.25">
      <c r="A5535" t="str">
        <f>"20190303162711486"</f>
        <v>20190303162711486</v>
      </c>
      <c r="B5535" t="str">
        <f>"1551601631479790"</f>
        <v>1551601631479790</v>
      </c>
      <c r="C5535" t="s">
        <v>40</v>
      </c>
      <c r="D5535">
        <v>5.0588870000000004</v>
      </c>
      <c r="E5535">
        <v>0.49309809999999998</v>
      </c>
      <c r="F5535" t="s">
        <v>72</v>
      </c>
      <c r="G5535">
        <v>-210.9692</v>
      </c>
      <c r="H5535">
        <v>4.4060169999999896</v>
      </c>
      <c r="I5535">
        <v>391.87</v>
      </c>
      <c r="J5535">
        <v>-188.33709999999999</v>
      </c>
      <c r="K5535">
        <v>1.121191</v>
      </c>
      <c r="L5535">
        <v>37.520690000000002</v>
      </c>
      <c r="M5535">
        <v>-2.7415499999999999E-2</v>
      </c>
      <c r="N5535">
        <v>-1.338657E-2</v>
      </c>
      <c r="O5535">
        <v>0.99953449999999999</v>
      </c>
      <c r="P5535">
        <v>-4.1369410000000002E-2</v>
      </c>
      <c r="Q5535">
        <v>0.19575190000000001</v>
      </c>
      <c r="R5535">
        <v>0.97978050000000005</v>
      </c>
      <c r="S5535">
        <v>-0.19453429999999999</v>
      </c>
      <c r="T5535">
        <v>2.8222560000000001E-2</v>
      </c>
      <c r="U5535">
        <v>3.0475159999999999</v>
      </c>
      <c r="V5535">
        <v>-1.45667E-2</v>
      </c>
      <c r="W5535">
        <v>0.20885519999999999</v>
      </c>
      <c r="X5535">
        <v>0.97783810000000004</v>
      </c>
      <c r="Y5535">
        <v>-3.6300550000000001E-2</v>
      </c>
      <c r="Z5535">
        <v>2.2616239999999999E-2</v>
      </c>
      <c r="AA5535">
        <v>0.99908490000000005</v>
      </c>
      <c r="AB5535">
        <v>34</v>
      </c>
      <c r="AC5535">
        <v>-22.632100000000001</v>
      </c>
      <c r="AD5535">
        <v>3.2848259999999998</v>
      </c>
      <c r="AE5535">
        <v>354.34931</v>
      </c>
      <c r="AF5535">
        <v>-12.9069530618714</v>
      </c>
      <c r="AG5535">
        <v>3.2848259999999998</v>
      </c>
      <c r="AH5535">
        <v>354.80625504197201</v>
      </c>
      <c r="AI5535">
        <v>89.469916632198107</v>
      </c>
      <c r="AJ5535">
        <v>92.083356706677606</v>
      </c>
      <c r="AK5535">
        <v>355.05613378183</v>
      </c>
      <c r="AL5535">
        <v>77.944727720889006</v>
      </c>
      <c r="AM5535">
        <v>90.853463064973695</v>
      </c>
      <c r="AN5535">
        <v>1.0000000165637699</v>
      </c>
    </row>
    <row r="5536" spans="1:40" x14ac:dyDescent="0.25">
      <c r="A5536" t="str">
        <f>"20190303162711510"</f>
        <v>20190303162711510</v>
      </c>
      <c r="B5536" t="str">
        <f>"1551601631499311"</f>
        <v>1551601631499311</v>
      </c>
      <c r="C5536" t="s">
        <v>40</v>
      </c>
      <c r="D5536">
        <v>4.9647420000000002</v>
      </c>
      <c r="E5536">
        <v>0.49326049999999999</v>
      </c>
      <c r="F5536" t="s">
        <v>72</v>
      </c>
      <c r="G5536">
        <v>-210.81620000000001</v>
      </c>
      <c r="H5536">
        <v>4.8796559999999998</v>
      </c>
      <c r="I5536">
        <v>391.87</v>
      </c>
      <c r="J5536">
        <v>-188.34700000000001</v>
      </c>
      <c r="K5536">
        <v>1.121189</v>
      </c>
      <c r="L5536">
        <v>37.873750000000001</v>
      </c>
      <c r="M5536">
        <v>-2.7584580000000001E-2</v>
      </c>
      <c r="N5536">
        <v>-1.334319E-2</v>
      </c>
      <c r="O5536">
        <v>0.99953040000000004</v>
      </c>
      <c r="P5536">
        <v>-4.1321400000000001E-2</v>
      </c>
      <c r="Q5536">
        <v>0.1956968</v>
      </c>
      <c r="R5536">
        <v>0.97979349999999998</v>
      </c>
      <c r="S5536">
        <v>-0.1933136</v>
      </c>
      <c r="T5536">
        <v>3.232169E-2</v>
      </c>
      <c r="U5536">
        <v>3.0473020000000002</v>
      </c>
      <c r="V5536">
        <v>-1.4352520000000001E-2</v>
      </c>
      <c r="W5536">
        <v>0.20875779999999999</v>
      </c>
      <c r="X5536">
        <v>0.97786209999999996</v>
      </c>
      <c r="Y5536">
        <v>-3.5735790000000003E-2</v>
      </c>
      <c r="Z5536">
        <v>2.3915820000000001E-2</v>
      </c>
      <c r="AA5536">
        <v>0.99907509999999999</v>
      </c>
      <c r="AB5536">
        <v>34</v>
      </c>
      <c r="AC5536">
        <v>-22.469200000000001</v>
      </c>
      <c r="AD5536">
        <v>3.758467</v>
      </c>
      <c r="AE5536">
        <v>353.99624999999997</v>
      </c>
      <c r="AF5536">
        <v>-12.693515785117899</v>
      </c>
      <c r="AG5536">
        <v>3.758467</v>
      </c>
      <c r="AH5536">
        <v>354.44158507232498</v>
      </c>
      <c r="AI5536">
        <v>89.392852622133105</v>
      </c>
      <c r="AJ5536">
        <v>92.051040918383194</v>
      </c>
      <c r="AK5536">
        <v>354.68872077606198</v>
      </c>
      <c r="AL5536">
        <v>77.950434527969094</v>
      </c>
      <c r="AM5536">
        <v>90.840895436636501</v>
      </c>
      <c r="AN5536">
        <v>1.00000005025379</v>
      </c>
    </row>
    <row r="5537" spans="1:40" x14ac:dyDescent="0.25">
      <c r="A5537" t="str">
        <f>"20190303162711552"</f>
        <v>20190303162711552</v>
      </c>
      <c r="B5537" t="str">
        <f>"1551601631539327"</f>
        <v>1551601631539327</v>
      </c>
      <c r="C5537" t="s">
        <v>40</v>
      </c>
      <c r="D5537">
        <v>5.113283</v>
      </c>
      <c r="E5537">
        <v>0.49321490000000001</v>
      </c>
      <c r="F5537" t="s">
        <v>72</v>
      </c>
      <c r="G5537">
        <v>-210.62620000000001</v>
      </c>
      <c r="H5537">
        <v>4.7246519999999999</v>
      </c>
      <c r="I5537">
        <v>391.87</v>
      </c>
      <c r="J5537">
        <v>-188.36519999999999</v>
      </c>
      <c r="K5537">
        <v>1.1211599999999999</v>
      </c>
      <c r="L5537">
        <v>38.515560000000001</v>
      </c>
      <c r="M5537">
        <v>-2.7876370000000001E-2</v>
      </c>
      <c r="N5537">
        <v>-1.327017E-2</v>
      </c>
      <c r="O5537">
        <v>0.9995233</v>
      </c>
      <c r="P5537">
        <v>-4.1829459999999999E-2</v>
      </c>
      <c r="Q5537">
        <v>0.19539619999999999</v>
      </c>
      <c r="R5537">
        <v>0.97983189999999998</v>
      </c>
      <c r="S5537">
        <v>-0.191803</v>
      </c>
      <c r="T5537">
        <v>3.102243E-2</v>
      </c>
      <c r="U5537">
        <v>3.047577</v>
      </c>
      <c r="V5537">
        <v>-1.456446E-2</v>
      </c>
      <c r="W5537">
        <v>0.2083875</v>
      </c>
      <c r="X5537">
        <v>0.97793790000000003</v>
      </c>
      <c r="Y5537">
        <v>-3.4945810000000001E-2</v>
      </c>
      <c r="Z5537">
        <v>2.3416719999999999E-2</v>
      </c>
      <c r="AA5537">
        <v>0.99911479999999997</v>
      </c>
      <c r="AB5537">
        <v>34</v>
      </c>
      <c r="AC5537">
        <v>-22.260999999999999</v>
      </c>
      <c r="AD5537">
        <v>3.6034919999999899</v>
      </c>
      <c r="AE5537">
        <v>353.35444000000001</v>
      </c>
      <c r="AF5537">
        <v>-12.3999564529009</v>
      </c>
      <c r="AG5537">
        <v>3.6034919999999899</v>
      </c>
      <c r="AH5537">
        <v>353.80105595407503</v>
      </c>
      <c r="AI5537">
        <v>89.416816131287902</v>
      </c>
      <c r="AJ5537">
        <v>92.007270677206193</v>
      </c>
      <c r="AK5537">
        <v>354.036624191405</v>
      </c>
      <c r="AL5537">
        <v>77.972127714239093</v>
      </c>
      <c r="AM5537">
        <v>90.853244771871005</v>
      </c>
      <c r="AN5537">
        <v>1.00000000495387</v>
      </c>
    </row>
    <row r="5538" spans="1:40" x14ac:dyDescent="0.25">
      <c r="A5538" t="str">
        <f>"20190303162711574"</f>
        <v>20190303162711574</v>
      </c>
      <c r="B5538" t="str">
        <f>"1551601631559824"</f>
        <v>1551601631559824</v>
      </c>
      <c r="C5538" t="s">
        <v>40</v>
      </c>
      <c r="D5538">
        <v>5.1095959999999998</v>
      </c>
      <c r="E5538">
        <v>0.49318590000000001</v>
      </c>
      <c r="F5538" t="s">
        <v>72</v>
      </c>
      <c r="G5538">
        <v>-210.74170000000001</v>
      </c>
      <c r="H5538">
        <v>4.4156890000000004</v>
      </c>
      <c r="I5538">
        <v>391.87</v>
      </c>
      <c r="J5538">
        <v>-188.37479999999999</v>
      </c>
      <c r="K5538">
        <v>1.121143</v>
      </c>
      <c r="L5538">
        <v>38.8566</v>
      </c>
      <c r="M5538">
        <v>-2.8009260000000001E-2</v>
      </c>
      <c r="N5538">
        <v>-1.323538E-2</v>
      </c>
      <c r="O5538">
        <v>0.99952010000000002</v>
      </c>
      <c r="P5538">
        <v>-4.1898640000000001E-2</v>
      </c>
      <c r="Q5538">
        <v>0.19429440000000001</v>
      </c>
      <c r="R5538">
        <v>0.98004809999999998</v>
      </c>
      <c r="S5538">
        <v>-0.1930084</v>
      </c>
      <c r="T5538">
        <v>2.841687E-2</v>
      </c>
      <c r="U5538">
        <v>3.0478519999999998</v>
      </c>
      <c r="V5538">
        <v>-1.4488279999999999E-2</v>
      </c>
      <c r="W5538">
        <v>0.20725550000000001</v>
      </c>
      <c r="X5538">
        <v>0.97817960000000004</v>
      </c>
      <c r="Y5538">
        <v>-3.5201990000000002E-2</v>
      </c>
      <c r="Z5538">
        <v>2.2527740000000001E-2</v>
      </c>
      <c r="AA5538">
        <v>0.99912630000000002</v>
      </c>
      <c r="AB5538">
        <v>34</v>
      </c>
      <c r="AC5538">
        <v>-22.366900000000001</v>
      </c>
      <c r="AD5538">
        <v>3.2945459999999902</v>
      </c>
      <c r="AE5538">
        <v>353.01339999999999</v>
      </c>
      <c r="AF5538">
        <v>-12.4685318344228</v>
      </c>
      <c r="AG5538">
        <v>3.2945459999999902</v>
      </c>
      <c r="AH5538">
        <v>353.47074739899199</v>
      </c>
      <c r="AI5538">
        <v>89.466318507173895</v>
      </c>
      <c r="AJ5538">
        <v>92.020246855383903</v>
      </c>
      <c r="AK5538">
        <v>353.70593377303499</v>
      </c>
      <c r="AL5538">
        <v>78.038434665871506</v>
      </c>
      <c r="AM5538">
        <v>90.848572798657997</v>
      </c>
      <c r="AN5538">
        <v>1.0000000411968799</v>
      </c>
    </row>
    <row r="5539" spans="1:40" x14ac:dyDescent="0.25">
      <c r="A5539" t="str">
        <f>"20190303162711598"</f>
        <v>20190303162711598</v>
      </c>
      <c r="B5539" t="str">
        <f>"1551601631590079"</f>
        <v>1551601631590079</v>
      </c>
      <c r="C5539" t="s">
        <v>40</v>
      </c>
      <c r="D5539">
        <v>5.1702979999999998</v>
      </c>
      <c r="E5539">
        <v>0.4931238</v>
      </c>
      <c r="F5539" t="s">
        <v>72</v>
      </c>
      <c r="G5539">
        <v>-210.6549</v>
      </c>
      <c r="H5539">
        <v>3.8513679999999999</v>
      </c>
      <c r="I5539">
        <v>391.87</v>
      </c>
      <c r="J5539">
        <v>-188.38550000000001</v>
      </c>
      <c r="K5539">
        <v>1.121113</v>
      </c>
      <c r="L5539">
        <v>39.230710000000002</v>
      </c>
      <c r="M5539">
        <v>-2.8120699999999998E-2</v>
      </c>
      <c r="N5539">
        <v>-1.3200440000000001E-2</v>
      </c>
      <c r="O5539">
        <v>0.9995174</v>
      </c>
      <c r="P5539">
        <v>-4.1832759999999997E-2</v>
      </c>
      <c r="Q5539">
        <v>0.19281100000000001</v>
      </c>
      <c r="R5539">
        <v>0.98034379999999999</v>
      </c>
      <c r="S5539">
        <v>-0.19238279999999999</v>
      </c>
      <c r="T5539">
        <v>2.3574830000000001E-2</v>
      </c>
      <c r="U5539">
        <v>3.048187</v>
      </c>
      <c r="V5539">
        <v>-1.429191E-2</v>
      </c>
      <c r="W5539">
        <v>0.20574239999999999</v>
      </c>
      <c r="X5539">
        <v>0.97850179999999998</v>
      </c>
      <c r="Y5539">
        <v>-3.4881259999999997E-2</v>
      </c>
      <c r="Z5539">
        <v>2.0906870000000001E-2</v>
      </c>
      <c r="AA5539">
        <v>0.99917270000000002</v>
      </c>
      <c r="AB5539">
        <v>34</v>
      </c>
      <c r="AC5539">
        <v>-22.269399999999901</v>
      </c>
      <c r="AD5539">
        <v>2.7302550000000001</v>
      </c>
      <c r="AE5539">
        <v>352.63929000000002</v>
      </c>
      <c r="AF5539">
        <v>-12.342527288786901</v>
      </c>
      <c r="AG5539">
        <v>2.7302550000000001</v>
      </c>
      <c r="AH5539">
        <v>353.105012423424</v>
      </c>
      <c r="AI5539">
        <v>89.557260604113196</v>
      </c>
      <c r="AJ5539">
        <v>92.001916991706395</v>
      </c>
      <c r="AK5539">
        <v>353.331207326477</v>
      </c>
      <c r="AL5539">
        <v>78.127037914233895</v>
      </c>
      <c r="AM5539">
        <v>90.8367975422683</v>
      </c>
      <c r="AN5539">
        <v>0.99999998322622297</v>
      </c>
    </row>
    <row r="5540" spans="1:40" x14ac:dyDescent="0.25">
      <c r="A5540" t="str">
        <f>"20190303162711620"</f>
        <v>20190303162711620</v>
      </c>
      <c r="B5540" t="str">
        <f>"1551601631609599"</f>
        <v>1551601631609599</v>
      </c>
      <c r="C5540" t="s">
        <v>40</v>
      </c>
      <c r="D5540">
        <v>5.1138000000000003</v>
      </c>
      <c r="E5540">
        <v>0.4931237</v>
      </c>
      <c r="F5540" t="s">
        <v>72</v>
      </c>
      <c r="G5540">
        <v>-210.60310000000001</v>
      </c>
      <c r="H5540">
        <v>3.0588410000000001</v>
      </c>
      <c r="I5540">
        <v>391.87</v>
      </c>
      <c r="J5540">
        <v>-188.39449999999999</v>
      </c>
      <c r="K5540">
        <v>1.121078</v>
      </c>
      <c r="L5540">
        <v>39.547910000000002</v>
      </c>
      <c r="M5540">
        <v>-2.817791E-2</v>
      </c>
      <c r="N5540">
        <v>-1.317376E-2</v>
      </c>
      <c r="O5540">
        <v>0.99951610000000002</v>
      </c>
      <c r="P5540">
        <v>-4.1395130000000002E-2</v>
      </c>
      <c r="Q5540">
        <v>0.19117890000000001</v>
      </c>
      <c r="R5540">
        <v>0.98068200000000005</v>
      </c>
      <c r="S5540">
        <v>-0.19207759999999999</v>
      </c>
      <c r="T5540">
        <v>1.6752240000000002E-2</v>
      </c>
      <c r="U5540">
        <v>3.0486759999999999</v>
      </c>
      <c r="V5540">
        <v>-1.3775600000000001E-2</v>
      </c>
      <c r="W5540">
        <v>0.20408979999999999</v>
      </c>
      <c r="X5540">
        <v>0.97885529999999998</v>
      </c>
      <c r="Y5540">
        <v>-3.4716700000000003E-2</v>
      </c>
      <c r="Z5540">
        <v>1.864588E-2</v>
      </c>
      <c r="AA5540">
        <v>0.99922319999999998</v>
      </c>
      <c r="AB5540">
        <v>34</v>
      </c>
      <c r="AC5540">
        <v>-22.208600000000001</v>
      </c>
      <c r="AD5540">
        <v>1.9377629999999999</v>
      </c>
      <c r="AE5540">
        <v>352.32209</v>
      </c>
      <c r="AF5540">
        <v>-12.2708484059889</v>
      </c>
      <c r="AG5540">
        <v>1.9377629999999999</v>
      </c>
      <c r="AH5540">
        <v>352.79738347078302</v>
      </c>
      <c r="AI5540">
        <v>89.685492477690303</v>
      </c>
      <c r="AJ5540">
        <v>91.992034378067402</v>
      </c>
      <c r="AK5540">
        <v>353.01603707179902</v>
      </c>
      <c r="AL5540">
        <v>78.223778667507304</v>
      </c>
      <c r="AM5540">
        <v>90.806280192246206</v>
      </c>
      <c r="AN5540">
        <v>1.0000000559787401</v>
      </c>
    </row>
    <row r="5541" spans="1:40" x14ac:dyDescent="0.25">
      <c r="A5541" t="str">
        <f>"20190303162711645"</f>
        <v>20190303162711645</v>
      </c>
      <c r="B5541" t="str">
        <f>"1551601631630095"</f>
        <v>1551601631630095</v>
      </c>
      <c r="C5541" t="s">
        <v>40</v>
      </c>
      <c r="D5541">
        <v>4.9567100000000002</v>
      </c>
      <c r="E5541">
        <v>0.49309819999999999</v>
      </c>
      <c r="F5541" t="s">
        <v>72</v>
      </c>
      <c r="G5541">
        <v>-210.4308</v>
      </c>
      <c r="H5541">
        <v>2.4603769999999998</v>
      </c>
      <c r="I5541">
        <v>391.87</v>
      </c>
      <c r="J5541">
        <v>-188.40459999999999</v>
      </c>
      <c r="K5541">
        <v>1.1210370000000001</v>
      </c>
      <c r="L5541">
        <v>39.903590000000001</v>
      </c>
      <c r="M5541">
        <v>-2.8196220000000001E-2</v>
      </c>
      <c r="N5541">
        <v>-1.3142539999999999E-2</v>
      </c>
      <c r="O5541">
        <v>0.99951599999999996</v>
      </c>
      <c r="P5541">
        <v>-4.1326149999999999E-2</v>
      </c>
      <c r="Q5541">
        <v>0.18975739999999999</v>
      </c>
      <c r="R5541">
        <v>0.98096090000000002</v>
      </c>
      <c r="S5541">
        <v>-0.1906891</v>
      </c>
      <c r="T5541">
        <v>1.1589530000000001E-2</v>
      </c>
      <c r="U5541">
        <v>3.0487980000000001</v>
      </c>
      <c r="V5541">
        <v>-1.366357E-2</v>
      </c>
      <c r="W5541">
        <v>0.2026424</v>
      </c>
      <c r="X5541">
        <v>0.97915739999999996</v>
      </c>
      <c r="Y5541">
        <v>-3.4244150000000001E-2</v>
      </c>
      <c r="Z5541">
        <v>1.6924769999999999E-2</v>
      </c>
      <c r="AA5541">
        <v>0.9992702</v>
      </c>
      <c r="AB5541">
        <v>34</v>
      </c>
      <c r="AC5541">
        <v>-22.026199999999999</v>
      </c>
      <c r="AD5541">
        <v>1.33934</v>
      </c>
      <c r="AE5541">
        <v>351.96641</v>
      </c>
      <c r="AF5541">
        <v>-12.092287037163301</v>
      </c>
      <c r="AG5541">
        <v>1.33934</v>
      </c>
      <c r="AH5541">
        <v>352.442472274963</v>
      </c>
      <c r="AI5541">
        <v>89.782395598762804</v>
      </c>
      <c r="AJ5541">
        <v>91.965045064490994</v>
      </c>
      <c r="AK5541">
        <v>352.65239755418202</v>
      </c>
      <c r="AL5541">
        <v>78.308477019616006</v>
      </c>
      <c r="AM5541">
        <v>90.7994772703249</v>
      </c>
      <c r="AN5541">
        <v>0.99999992469882903</v>
      </c>
    </row>
    <row r="5542" spans="1:40" x14ac:dyDescent="0.25">
      <c r="A5542" t="str">
        <f>"20190303162711669"</f>
        <v>20190303162711669</v>
      </c>
      <c r="B5542" t="str">
        <f>"1551601631659375"</f>
        <v>1551601631659375</v>
      </c>
      <c r="C5542" t="s">
        <v>40</v>
      </c>
      <c r="D5542">
        <v>4.8751540000000002</v>
      </c>
      <c r="E5542">
        <v>0.4927609</v>
      </c>
      <c r="F5542" t="s">
        <v>72</v>
      </c>
      <c r="G5542">
        <v>-210.364</v>
      </c>
      <c r="H5542">
        <v>1.5252709999999901</v>
      </c>
      <c r="I5542">
        <v>391.87</v>
      </c>
      <c r="J5542">
        <v>-188.41560000000001</v>
      </c>
      <c r="K5542">
        <v>1.1209800000000001</v>
      </c>
      <c r="L5542">
        <v>40.292999999999999</v>
      </c>
      <c r="M5542">
        <v>-2.813993E-2</v>
      </c>
      <c r="N5542">
        <v>-1.310714E-2</v>
      </c>
      <c r="O5542">
        <v>0.99951800000000002</v>
      </c>
      <c r="P5542">
        <v>-4.1940579999999998E-2</v>
      </c>
      <c r="Q5542">
        <v>0.19028030000000001</v>
      </c>
      <c r="R5542">
        <v>0.98083350000000002</v>
      </c>
      <c r="S5542">
        <v>-0.19026180000000001</v>
      </c>
      <c r="T5542">
        <v>3.502369E-3</v>
      </c>
      <c r="U5542">
        <v>3.0495299999999999</v>
      </c>
      <c r="V5542">
        <v>-1.430968E-2</v>
      </c>
      <c r="W5542">
        <v>0.20313129999999999</v>
      </c>
      <c r="X5542">
        <v>0.97904690000000005</v>
      </c>
      <c r="Y5542">
        <v>-3.4148079999999997E-2</v>
      </c>
      <c r="Z5542">
        <v>1.424191E-2</v>
      </c>
      <c r="AA5542">
        <v>0.99931530000000002</v>
      </c>
      <c r="AB5542">
        <v>34</v>
      </c>
      <c r="AC5542">
        <v>-21.9483999999999</v>
      </c>
      <c r="AD5542">
        <v>0.40429100000000001</v>
      </c>
      <c r="AE5542">
        <v>351.577</v>
      </c>
      <c r="AF5542">
        <v>-12.045488262994899</v>
      </c>
      <c r="AG5542">
        <v>0.40429100000000001</v>
      </c>
      <c r="AH5542">
        <v>352.05496517204</v>
      </c>
      <c r="AI5542">
        <v>89.934241486638101</v>
      </c>
      <c r="AJ5542">
        <v>91.959598887010799</v>
      </c>
      <c r="AK5542">
        <v>352.26120385445898</v>
      </c>
      <c r="AL5542">
        <v>78.279870595848394</v>
      </c>
      <c r="AM5542">
        <v>90.837371422112895</v>
      </c>
      <c r="AN5542">
        <v>0.99999996219050002</v>
      </c>
    </row>
    <row r="5543" spans="1:40" x14ac:dyDescent="0.25">
      <c r="A5543" t="str">
        <f>"20190303162711692"</f>
        <v>20190303162711692</v>
      </c>
      <c r="B5543" t="str">
        <f>"1551601631679871"</f>
        <v>1551601631679871</v>
      </c>
      <c r="C5543" t="s">
        <v>40</v>
      </c>
      <c r="D5543">
        <v>5.068899</v>
      </c>
      <c r="E5543">
        <v>0.49268650000000003</v>
      </c>
      <c r="F5543" t="s">
        <v>72</v>
      </c>
      <c r="G5543">
        <v>-210.886</v>
      </c>
      <c r="H5543">
        <v>0.76111890000000004</v>
      </c>
      <c r="I5543">
        <v>391.87</v>
      </c>
      <c r="J5543">
        <v>-188.4248</v>
      </c>
      <c r="K5543">
        <v>1.120938</v>
      </c>
      <c r="L5543">
        <v>40.622280000000003</v>
      </c>
      <c r="M5543">
        <v>-2.8039709999999999E-2</v>
      </c>
      <c r="N5543">
        <v>-1.307904E-2</v>
      </c>
      <c r="O5543">
        <v>0.99952129999999995</v>
      </c>
      <c r="P5543">
        <v>-4.3375169999999998E-2</v>
      </c>
      <c r="Q5543">
        <v>0.19126299999999999</v>
      </c>
      <c r="R5543">
        <v>0.98058000000000001</v>
      </c>
      <c r="S5543">
        <v>-0.1949921</v>
      </c>
      <c r="T5543">
        <v>-3.122807E-3</v>
      </c>
      <c r="U5543">
        <v>3.0509029999999999</v>
      </c>
      <c r="V5543">
        <v>-1.5825100000000002E-2</v>
      </c>
      <c r="W5543">
        <v>0.20408560000000001</v>
      </c>
      <c r="X5543">
        <v>0.97882519999999995</v>
      </c>
      <c r="Y5543">
        <v>-3.5764749999999998E-2</v>
      </c>
      <c r="Z5543">
        <v>1.204582E-2</v>
      </c>
      <c r="AA5543">
        <v>0.9992877</v>
      </c>
      <c r="AB5543">
        <v>34</v>
      </c>
      <c r="AC5543">
        <v>-22.461199999999899</v>
      </c>
      <c r="AD5543">
        <v>-0.359819099999999</v>
      </c>
      <c r="AE5543">
        <v>351.24772000000002</v>
      </c>
      <c r="AF5543">
        <v>-12.6026276737198</v>
      </c>
      <c r="AG5543">
        <v>-0.359819099999999</v>
      </c>
      <c r="AH5543">
        <v>351.73908106321102</v>
      </c>
      <c r="AI5543">
        <v>90.058574350967405</v>
      </c>
      <c r="AJ5543">
        <v>92.052000087037698</v>
      </c>
      <c r="AK5543">
        <v>351.96496536055901</v>
      </c>
      <c r="AL5543">
        <v>78.224024639520294</v>
      </c>
      <c r="AM5543">
        <v>90.926245515688507</v>
      </c>
      <c r="AN5543">
        <v>1.0000000690362001</v>
      </c>
    </row>
    <row r="5544" spans="1:40" x14ac:dyDescent="0.25">
      <c r="A5544" t="str">
        <f>"20190303162711717"</f>
        <v>20190303162711717</v>
      </c>
      <c r="B5544" t="str">
        <f>"1551601631711104"</f>
        <v>1551601631711104</v>
      </c>
      <c r="C5544" t="s">
        <v>40</v>
      </c>
      <c r="D5544">
        <v>4.8337629999999896</v>
      </c>
      <c r="E5544">
        <v>0.49260159999999997</v>
      </c>
      <c r="F5544" t="s">
        <v>72</v>
      </c>
      <c r="G5544">
        <v>-211.37090000000001</v>
      </c>
      <c r="H5544">
        <v>0.63775630000000005</v>
      </c>
      <c r="I5544">
        <v>391.87</v>
      </c>
      <c r="J5544">
        <v>-188.4359</v>
      </c>
      <c r="K5544">
        <v>1.120873</v>
      </c>
      <c r="L5544">
        <v>41.022489999999998</v>
      </c>
      <c r="M5544">
        <v>-2.782975E-2</v>
      </c>
      <c r="N5544">
        <v>-1.304846E-2</v>
      </c>
      <c r="O5544">
        <v>0.99952750000000001</v>
      </c>
      <c r="P5544">
        <v>-4.4508590000000001E-2</v>
      </c>
      <c r="Q5544">
        <v>0.19089010000000001</v>
      </c>
      <c r="R5544">
        <v>0.98060179999999997</v>
      </c>
      <c r="S5544">
        <v>-0.19934080000000001</v>
      </c>
      <c r="T5544">
        <v>-4.1975980000000003E-3</v>
      </c>
      <c r="U5544">
        <v>3.0514220000000001</v>
      </c>
      <c r="V5544">
        <v>-1.713108E-2</v>
      </c>
      <c r="W5544">
        <v>0.20368600000000001</v>
      </c>
      <c r="X5544">
        <v>0.97888640000000005</v>
      </c>
      <c r="Y5544">
        <v>-3.7382110000000003E-2</v>
      </c>
      <c r="Z5544">
        <v>1.166384E-2</v>
      </c>
      <c r="AA5544">
        <v>0.99923289999999998</v>
      </c>
      <c r="AB5544">
        <v>34</v>
      </c>
      <c r="AC5544">
        <v>-22.934999999999999</v>
      </c>
      <c r="AD5544">
        <v>-0.48311670000000001</v>
      </c>
      <c r="AE5544">
        <v>350.84751</v>
      </c>
      <c r="AF5544">
        <v>-13.1612604829639</v>
      </c>
      <c r="AG5544">
        <v>-0.48311670000000001</v>
      </c>
      <c r="AH5544">
        <v>351.349262015063</v>
      </c>
      <c r="AI5544">
        <v>90.078728300772298</v>
      </c>
      <c r="AJ5544">
        <v>92.145250747723907</v>
      </c>
      <c r="AK5544">
        <v>351.59601263065503</v>
      </c>
      <c r="AL5544">
        <v>78.247410718258905</v>
      </c>
      <c r="AM5544">
        <v>91.0026070395256</v>
      </c>
      <c r="AN5544">
        <v>1.00000002230146</v>
      </c>
    </row>
    <row r="5545" spans="1:40" x14ac:dyDescent="0.25">
      <c r="A5545" t="str">
        <f>"20190303162711753"</f>
        <v>20190303162711753</v>
      </c>
      <c r="B5545" t="str">
        <f>"1551601631739407"</f>
        <v>1551601631739407</v>
      </c>
      <c r="C5545" t="s">
        <v>40</v>
      </c>
      <c r="D5545">
        <v>4.8069280000000001</v>
      </c>
      <c r="E5545">
        <v>0.49253590000000003</v>
      </c>
      <c r="F5545" t="s">
        <v>44</v>
      </c>
      <c r="G5545">
        <v>-210.4819</v>
      </c>
      <c r="H5545">
        <v>-0.05</v>
      </c>
      <c r="I5545">
        <v>371.84550000000002</v>
      </c>
      <c r="J5545">
        <v>-188.45050000000001</v>
      </c>
      <c r="K5545">
        <v>1.1207750000000001</v>
      </c>
      <c r="L5545">
        <v>41.567259999999997</v>
      </c>
      <c r="M5545">
        <v>-2.7360570000000001E-2</v>
      </c>
      <c r="N5545">
        <v>-1.3012889999999999E-2</v>
      </c>
      <c r="O5545">
        <v>0.99954089999999995</v>
      </c>
      <c r="P5545">
        <v>-4.4625489999999997E-2</v>
      </c>
      <c r="Q5545">
        <v>0.19010260000000001</v>
      </c>
      <c r="R5545">
        <v>0.98074950000000005</v>
      </c>
      <c r="S5545">
        <v>-0.20339969999999999</v>
      </c>
      <c r="T5545">
        <v>-1.0802630000000001E-2</v>
      </c>
      <c r="U5545">
        <v>3.052216</v>
      </c>
      <c r="V5545">
        <v>-1.7654110000000001E-2</v>
      </c>
      <c r="W5545">
        <v>0.2028703</v>
      </c>
      <c r="X5545">
        <v>0.97904650000000004</v>
      </c>
      <c r="Y5545">
        <v>-3.915809E-2</v>
      </c>
      <c r="Z5545">
        <v>9.469267E-3</v>
      </c>
      <c r="AA5545">
        <v>0.99918819999999997</v>
      </c>
      <c r="AB5545">
        <v>34</v>
      </c>
      <c r="AC5545">
        <v>-22.031399999999898</v>
      </c>
      <c r="AD5545">
        <v>-1.1707749999999999</v>
      </c>
      <c r="AE5545">
        <v>330.27823999999998</v>
      </c>
      <c r="AF5545">
        <v>-12.985621896010199</v>
      </c>
      <c r="AG5545">
        <v>-1.1707749999999999</v>
      </c>
      <c r="AH5545">
        <v>330.75327761138198</v>
      </c>
      <c r="AI5545">
        <v>90.202654219433697</v>
      </c>
      <c r="AJ5545">
        <v>92.248320584295499</v>
      </c>
      <c r="AK5545">
        <v>331.01016259444202</v>
      </c>
      <c r="AL5545">
        <v>78.295143679944204</v>
      </c>
      <c r="AM5545">
        <v>91.033042235208697</v>
      </c>
      <c r="AN5545">
        <v>1.0000000376921101</v>
      </c>
    </row>
    <row r="5546" spans="1:40" x14ac:dyDescent="0.25">
      <c r="A5546" t="str">
        <f>"20190303162711776"</f>
        <v>20190303162711776</v>
      </c>
      <c r="B5546" t="str">
        <f>"1551601631769663"</f>
        <v>1551601631769663</v>
      </c>
      <c r="C5546" t="s">
        <v>40</v>
      </c>
      <c r="D5546">
        <v>4.7497579999999999</v>
      </c>
      <c r="E5546">
        <v>0.49260090000000001</v>
      </c>
      <c r="F5546" t="s">
        <v>46</v>
      </c>
      <c r="G5546">
        <v>-200.91849999999999</v>
      </c>
      <c r="H5546">
        <v>7.9999420000000002E-2</v>
      </c>
      <c r="I5546">
        <v>226.52199999999999</v>
      </c>
      <c r="J5546">
        <v>-188.4599</v>
      </c>
      <c r="K5546">
        <v>1.1207119999999999</v>
      </c>
      <c r="L5546">
        <v>41.923549999999999</v>
      </c>
      <c r="M5546">
        <v>-2.6959899999999998E-2</v>
      </c>
      <c r="N5546">
        <v>-1.2992729999999999E-2</v>
      </c>
      <c r="O5546">
        <v>0.99955210000000005</v>
      </c>
      <c r="P5546">
        <v>-4.3414019999999998E-2</v>
      </c>
      <c r="Q5546">
        <v>0.19069040000000001</v>
      </c>
      <c r="R5546">
        <v>0.98068979999999994</v>
      </c>
      <c r="S5546">
        <v>-0.20579529999999999</v>
      </c>
      <c r="T5546">
        <v>-1.7179010000000002E-2</v>
      </c>
      <c r="U5546">
        <v>3.0528559999999998</v>
      </c>
      <c r="V5546">
        <v>-1.680709E-2</v>
      </c>
      <c r="W5546">
        <v>0.20343900000000001</v>
      </c>
      <c r="X5546">
        <v>0.97894329999999996</v>
      </c>
      <c r="Y5546">
        <v>-4.0325809999999997E-2</v>
      </c>
      <c r="Z5546">
        <v>7.3658369999999897E-3</v>
      </c>
      <c r="AA5546">
        <v>0.99915949999999998</v>
      </c>
      <c r="AB5546">
        <v>34</v>
      </c>
      <c r="AC5546">
        <v>-12.458599999999899</v>
      </c>
      <c r="AD5546">
        <v>-1.0407125800000001</v>
      </c>
      <c r="AE5546">
        <v>184.59845000000001</v>
      </c>
      <c r="AF5546">
        <v>-7.4766584208687998</v>
      </c>
      <c r="AG5546">
        <v>-1.0407125800000001</v>
      </c>
      <c r="AH5546">
        <v>184.86140206293001</v>
      </c>
      <c r="AI5546">
        <v>90.322290645701798</v>
      </c>
      <c r="AJ5546">
        <v>92.3160466100923</v>
      </c>
      <c r="AK5546">
        <v>185.015462803758</v>
      </c>
      <c r="AL5546">
        <v>78.261864506310204</v>
      </c>
      <c r="AM5546">
        <v>90.983591923842994</v>
      </c>
      <c r="AN5546">
        <v>0.99999994480507703</v>
      </c>
    </row>
    <row r="5547" spans="1:40" x14ac:dyDescent="0.25">
      <c r="A5547" t="str">
        <f>"20190303162711820"</f>
        <v>20190303162711820</v>
      </c>
      <c r="B5547" t="str">
        <f>"1551601631810689"</f>
        <v>1551601631810689</v>
      </c>
      <c r="C5547" t="s">
        <v>40</v>
      </c>
      <c r="D5547">
        <v>4.7140389999999996</v>
      </c>
      <c r="E5547">
        <v>0.49269859999999999</v>
      </c>
      <c r="F5547" t="s">
        <v>46</v>
      </c>
      <c r="G5547">
        <v>-200.38220000000001</v>
      </c>
      <c r="H5547">
        <v>2.2715929999999999E-2</v>
      </c>
      <c r="I5547">
        <v>221.3349</v>
      </c>
      <c r="J5547">
        <v>-188.47649999999999</v>
      </c>
      <c r="K5547">
        <v>1.1206339999999999</v>
      </c>
      <c r="L5547">
        <v>42.576599999999999</v>
      </c>
      <c r="M5547">
        <v>-2.6099489999999999E-2</v>
      </c>
      <c r="N5547">
        <v>-1.296168E-2</v>
      </c>
      <c r="O5547">
        <v>0.99957530000000006</v>
      </c>
      <c r="P5547">
        <v>-4.0537730000000001E-2</v>
      </c>
      <c r="Q5547">
        <v>0.19018750000000001</v>
      </c>
      <c r="R5547">
        <v>0.98091050000000002</v>
      </c>
      <c r="S5547">
        <v>-0.20292660000000001</v>
      </c>
      <c r="T5547">
        <v>-1.8688679999999999E-2</v>
      </c>
      <c r="U5547">
        <v>3.0537109999999998</v>
      </c>
      <c r="V5547">
        <v>-1.4728659999999999E-2</v>
      </c>
      <c r="W5547">
        <v>0.20290910000000001</v>
      </c>
      <c r="X5547">
        <v>0.97908680000000003</v>
      </c>
      <c r="Y5547">
        <v>-4.023289E-2</v>
      </c>
      <c r="Z5547">
        <v>6.8431849999999999E-3</v>
      </c>
      <c r="AA5547">
        <v>0.99916689999999997</v>
      </c>
      <c r="AB5547">
        <v>34</v>
      </c>
      <c r="AC5547">
        <v>-11.9057</v>
      </c>
      <c r="AD5547">
        <v>-1.09791807</v>
      </c>
      <c r="AE5547">
        <v>178.75829999999999</v>
      </c>
      <c r="AF5547">
        <v>-7.2354794063802803</v>
      </c>
      <c r="AG5547">
        <v>-1.09791807</v>
      </c>
      <c r="AH5547">
        <v>179.001431940559</v>
      </c>
      <c r="AI5547">
        <v>90.351136615510697</v>
      </c>
      <c r="AJ5547">
        <v>92.314712607704607</v>
      </c>
      <c r="AK5547">
        <v>179.15097047769299</v>
      </c>
      <c r="AL5547">
        <v>78.292872927221595</v>
      </c>
      <c r="AM5547">
        <v>90.8618504581558</v>
      </c>
      <c r="AN5547">
        <v>0.99999999911122195</v>
      </c>
    </row>
    <row r="5548" spans="1:40" x14ac:dyDescent="0.25">
      <c r="A5548" t="str">
        <f>"20190303162711843"</f>
        <v>20190303162711843</v>
      </c>
      <c r="B5548" t="str">
        <f>"1551601631830209"</f>
        <v>1551601631830209</v>
      </c>
      <c r="C5548" t="s">
        <v>40</v>
      </c>
      <c r="D5548">
        <v>4.7312240000000001</v>
      </c>
      <c r="E5548">
        <v>0.49273899999999998</v>
      </c>
      <c r="F5548" t="s">
        <v>41</v>
      </c>
      <c r="G5548">
        <v>-197.62960000000001</v>
      </c>
      <c r="H5548" s="1">
        <v>-4.91939E-6</v>
      </c>
      <c r="I5548">
        <v>187.4657</v>
      </c>
      <c r="J5548">
        <v>-188.48480000000001</v>
      </c>
      <c r="K5548">
        <v>1.1206039999999999</v>
      </c>
      <c r="L5548">
        <v>42.91281</v>
      </c>
      <c r="M5548">
        <v>-2.5619860000000001E-2</v>
      </c>
      <c r="N5548">
        <v>-1.2948289999999999E-2</v>
      </c>
      <c r="O5548">
        <v>0.99958789999999997</v>
      </c>
      <c r="P5548">
        <v>-3.924035E-2</v>
      </c>
      <c r="Q5548">
        <v>0.18937129999999999</v>
      </c>
      <c r="R5548">
        <v>0.98112109999999997</v>
      </c>
      <c r="S5548">
        <v>-0.1929932</v>
      </c>
      <c r="T5548">
        <v>-2.3628710000000001E-2</v>
      </c>
      <c r="U5548">
        <v>3.0549930000000001</v>
      </c>
      <c r="V5548">
        <v>-1.3885120000000001E-2</v>
      </c>
      <c r="W5548">
        <v>0.2020826</v>
      </c>
      <c r="X5548">
        <v>0.97926999999999997</v>
      </c>
      <c r="Y5548">
        <v>-3.744977E-2</v>
      </c>
      <c r="Z5548">
        <v>5.2180769999999998E-3</v>
      </c>
      <c r="AA5548">
        <v>0.99928490000000003</v>
      </c>
      <c r="AB5548">
        <v>34</v>
      </c>
      <c r="AC5548">
        <v>-9.1448</v>
      </c>
      <c r="AD5548">
        <v>-1.12060891939</v>
      </c>
      <c r="AE5548">
        <v>144.55288999999999</v>
      </c>
      <c r="AF5548">
        <v>-5.4377370058657499</v>
      </c>
      <c r="AG5548">
        <v>-1.12060891939</v>
      </c>
      <c r="AH5548">
        <v>144.73107851263299</v>
      </c>
      <c r="AI5548">
        <v>90.443302247418004</v>
      </c>
      <c r="AJ5548">
        <v>92.151665753582094</v>
      </c>
      <c r="AK5548">
        <v>144.837529099074</v>
      </c>
      <c r="AL5548">
        <v>78.341229150744894</v>
      </c>
      <c r="AM5548">
        <v>90.812345385804605</v>
      </c>
      <c r="AN5548">
        <v>0.99999995334008596</v>
      </c>
    </row>
    <row r="5549" spans="1:40" x14ac:dyDescent="0.25">
      <c r="A5549" t="str">
        <f>"20190303162711867"</f>
        <v>20190303162711867</v>
      </c>
      <c r="B5549" t="str">
        <f>"1551601631859490"</f>
        <v>1551601631859490</v>
      </c>
      <c r="C5549" t="s">
        <v>40</v>
      </c>
      <c r="D5549">
        <v>4.813707</v>
      </c>
      <c r="E5549">
        <v>0.49280160000000001</v>
      </c>
      <c r="F5549" t="s">
        <v>41</v>
      </c>
      <c r="G5549">
        <v>-196.16</v>
      </c>
      <c r="H5549" s="1">
        <v>-4.9964010000000004E-6</v>
      </c>
      <c r="I5549">
        <v>167.45160000000001</v>
      </c>
      <c r="J5549">
        <v>-188.494</v>
      </c>
      <c r="K5549">
        <v>1.1205780000000001</v>
      </c>
      <c r="L5549">
        <v>43.294339999999998</v>
      </c>
      <c r="M5549">
        <v>-2.506249E-2</v>
      </c>
      <c r="N5549">
        <v>-1.293509E-2</v>
      </c>
      <c r="O5549">
        <v>0.9996022</v>
      </c>
      <c r="P5549">
        <v>-3.8403060000000003E-2</v>
      </c>
      <c r="Q5549">
        <v>0.1882384</v>
      </c>
      <c r="R5549">
        <v>0.98137220000000003</v>
      </c>
      <c r="S5549">
        <v>-0.1883087</v>
      </c>
      <c r="T5549">
        <v>-2.7493719999999999E-2</v>
      </c>
      <c r="U5549">
        <v>3.0555110000000001</v>
      </c>
      <c r="V5549">
        <v>-1.3581589999999999E-2</v>
      </c>
      <c r="W5549">
        <v>0.2009397</v>
      </c>
      <c r="X5549">
        <v>0.97950950000000003</v>
      </c>
      <c r="Y5549">
        <v>-3.6470410000000002E-2</v>
      </c>
      <c r="Z5549">
        <v>3.9433860000000001E-3</v>
      </c>
      <c r="AA5549">
        <v>0.99932690000000002</v>
      </c>
      <c r="AB5549">
        <v>34</v>
      </c>
      <c r="AC5549">
        <v>-7.6659999999999604</v>
      </c>
      <c r="AD5549">
        <v>-1.1205829964009999</v>
      </c>
      <c r="AE5549">
        <v>124.15725999999999</v>
      </c>
      <c r="AF5549">
        <v>-4.5512718310645104</v>
      </c>
      <c r="AG5549">
        <v>-1.1205829964009999</v>
      </c>
      <c r="AH5549">
        <v>124.300312085667</v>
      </c>
      <c r="AI5549">
        <v>90.516168818020105</v>
      </c>
      <c r="AJ5549">
        <v>92.0969555258024</v>
      </c>
      <c r="AK5549">
        <v>124.38865449118001</v>
      </c>
      <c r="AL5549">
        <v>78.408084986475401</v>
      </c>
      <c r="AM5549">
        <v>90.794395482866506</v>
      </c>
      <c r="AN5549">
        <v>1.0000000416066299</v>
      </c>
    </row>
    <row r="5550" spans="1:40" x14ac:dyDescent="0.25">
      <c r="A5550" t="str">
        <f>"20190303162711886"</f>
        <v>20190303162711886</v>
      </c>
      <c r="B5550" t="str">
        <f>"1551601631879984"</f>
        <v>1551601631879984</v>
      </c>
      <c r="C5550" t="s">
        <v>40</v>
      </c>
      <c r="D5550">
        <v>4.9024739999999998</v>
      </c>
      <c r="E5550">
        <v>0.50926349999999998</v>
      </c>
      <c r="F5550" t="s">
        <v>47</v>
      </c>
      <c r="G5550">
        <v>-194.69239999999999</v>
      </c>
      <c r="H5550" s="1">
        <v>-1.0581530000000001E-5</v>
      </c>
      <c r="I5550">
        <v>146.02969999999999</v>
      </c>
      <c r="J5550">
        <v>-188.5008</v>
      </c>
      <c r="K5550">
        <v>1.1205620000000001</v>
      </c>
      <c r="L5550">
        <v>43.584560000000003</v>
      </c>
      <c r="M5550">
        <v>-2.4636069999999999E-2</v>
      </c>
      <c r="N5550">
        <v>-1.2926160000000001E-2</v>
      </c>
      <c r="O5550">
        <v>0.99961290000000003</v>
      </c>
      <c r="P5550">
        <v>-3.8429409999999997E-2</v>
      </c>
      <c r="Q5550">
        <v>0.1869391</v>
      </c>
      <c r="R5550">
        <v>0.98161949999999998</v>
      </c>
      <c r="S5550">
        <v>-0.1843872</v>
      </c>
      <c r="T5550">
        <v>-3.333473E-2</v>
      </c>
      <c r="U5550">
        <v>3.0561219999999998</v>
      </c>
      <c r="V5550">
        <v>-1.401791E-2</v>
      </c>
      <c r="W5550">
        <v>0.1996358</v>
      </c>
      <c r="X5550">
        <v>0.97976989999999997</v>
      </c>
      <c r="Y5550">
        <v>-3.560692E-2</v>
      </c>
      <c r="Z5550">
        <v>2.0281520000000001E-3</v>
      </c>
      <c r="AA5550">
        <v>0.99936380000000002</v>
      </c>
      <c r="AB5550">
        <v>34</v>
      </c>
      <c r="AC5550">
        <v>-6.1915999999999896</v>
      </c>
      <c r="AD5550">
        <v>-1.1205725815300001</v>
      </c>
      <c r="AE5550">
        <v>102.44513999999999</v>
      </c>
      <c r="AF5550">
        <v>-3.6652269637003201</v>
      </c>
      <c r="AG5550">
        <v>-1.1205725815300001</v>
      </c>
      <c r="AH5550">
        <v>102.5543651663</v>
      </c>
      <c r="AI5550">
        <v>90.625624902937602</v>
      </c>
      <c r="AJ5550">
        <v>92.046843078028999</v>
      </c>
      <c r="AK5550">
        <v>102.625958637514</v>
      </c>
      <c r="AL5550">
        <v>78.484337644361105</v>
      </c>
      <c r="AM5550">
        <v>90.819694792107001</v>
      </c>
      <c r="AN5550">
        <v>1.0000000056942</v>
      </c>
    </row>
    <row r="5551" spans="1:40" x14ac:dyDescent="0.25">
      <c r="A5551" t="str">
        <f>"20190303162711911"</f>
        <v>20190303162711911</v>
      </c>
      <c r="B5551" t="str">
        <f>"1551601631900480"</f>
        <v>1551601631900480</v>
      </c>
      <c r="C5551" t="s">
        <v>40</v>
      </c>
      <c r="D5551">
        <v>4.6803339999999896</v>
      </c>
      <c r="E5551">
        <v>0.55230579999999996</v>
      </c>
      <c r="F5551" t="s">
        <v>41</v>
      </c>
      <c r="G5551">
        <v>-189.2578</v>
      </c>
      <c r="H5551" s="1">
        <v>-3.60582E-6</v>
      </c>
      <c r="I5551">
        <v>87.73115</v>
      </c>
      <c r="J5551">
        <v>-188.50880000000001</v>
      </c>
      <c r="K5551">
        <v>1.1205499999999999</v>
      </c>
      <c r="L5551">
        <v>43.931669999999997</v>
      </c>
      <c r="M5551">
        <v>-2.412678E-2</v>
      </c>
      <c r="N5551">
        <v>-1.2916779999999999E-2</v>
      </c>
      <c r="O5551">
        <v>0.9996254</v>
      </c>
      <c r="P5551">
        <v>-3.9430529999999998E-2</v>
      </c>
      <c r="Q5551">
        <v>0.1860348</v>
      </c>
      <c r="R5551">
        <v>0.98175159999999995</v>
      </c>
      <c r="S5551">
        <v>-5.2627559999999997E-2</v>
      </c>
      <c r="T5551">
        <v>-7.7898380000000003E-2</v>
      </c>
      <c r="U5551">
        <v>3.0689389999999999</v>
      </c>
      <c r="V5551">
        <v>-1.5514429999999999E-2</v>
      </c>
      <c r="W5551">
        <v>0.19872600000000001</v>
      </c>
      <c r="X5551">
        <v>0.97993229999999998</v>
      </c>
      <c r="Y5551">
        <v>6.9839119999999897E-3</v>
      </c>
      <c r="Z5551">
        <v>-1.244935E-2</v>
      </c>
      <c r="AA5551">
        <v>0.99989810000000001</v>
      </c>
      <c r="AB5551">
        <v>34</v>
      </c>
      <c r="AC5551">
        <v>-0.748999999999995</v>
      </c>
      <c r="AD5551">
        <v>-1.1205536058200001</v>
      </c>
      <c r="AE5551">
        <v>43.799480000000003</v>
      </c>
      <c r="AF5551">
        <v>0.307845275957985</v>
      </c>
      <c r="AG5551">
        <v>-1.1205536058200001</v>
      </c>
      <c r="AH5551">
        <v>43.776156323624697</v>
      </c>
      <c r="AI5551">
        <v>91.466263700871593</v>
      </c>
      <c r="AJ5551">
        <v>89.597087871738495</v>
      </c>
      <c r="AK5551">
        <v>43.7915776327808</v>
      </c>
      <c r="AL5551">
        <v>78.537531326213596</v>
      </c>
      <c r="AM5551">
        <v>90.907039293589904</v>
      </c>
      <c r="AN5551">
        <v>1.0000000165987499</v>
      </c>
    </row>
    <row r="5552" spans="1:40" x14ac:dyDescent="0.25">
      <c r="A5552" t="str">
        <f>"20190303162711953"</f>
        <v>20190303162711953</v>
      </c>
      <c r="B5552" t="str">
        <f>"1551601631939521"</f>
        <v>1551601631939521</v>
      </c>
      <c r="C5552" t="s">
        <v>40</v>
      </c>
      <c r="D5552">
        <v>4.6039700000000003</v>
      </c>
      <c r="E5552">
        <v>0.55615729999999997</v>
      </c>
      <c r="F5552" t="s">
        <v>41</v>
      </c>
      <c r="G5552">
        <v>-185.84030000000001</v>
      </c>
      <c r="H5552" s="1">
        <v>-2.1172319999999999E-6</v>
      </c>
      <c r="I5552">
        <v>72.617310000000003</v>
      </c>
      <c r="J5552">
        <v>-188.52340000000001</v>
      </c>
      <c r="K5552">
        <v>1.120552</v>
      </c>
      <c r="L5552">
        <v>44.585450000000002</v>
      </c>
      <c r="M5552">
        <v>-2.3175709999999999E-2</v>
      </c>
      <c r="N5552">
        <v>-1.290207E-2</v>
      </c>
      <c r="O5552">
        <v>0.99964819999999999</v>
      </c>
      <c r="P5552">
        <v>-4.0206220000000001E-2</v>
      </c>
      <c r="Q5552">
        <v>0.1869141</v>
      </c>
      <c r="R5552">
        <v>0.98155309999999996</v>
      </c>
      <c r="S5552">
        <v>0.2874603</v>
      </c>
      <c r="T5552">
        <v>-0.12071229999999999</v>
      </c>
      <c r="U5552">
        <v>3.090179</v>
      </c>
      <c r="V5552">
        <v>-1.7226189999999999E-2</v>
      </c>
      <c r="W5552">
        <v>0.1995905</v>
      </c>
      <c r="X5552">
        <v>0.97972800000000004</v>
      </c>
      <c r="Y5552">
        <v>0.1156074</v>
      </c>
      <c r="Z5552">
        <v>-2.589381E-2</v>
      </c>
      <c r="AA5552">
        <v>0.99295739999999999</v>
      </c>
      <c r="AB5552">
        <v>34</v>
      </c>
      <c r="AC5552">
        <v>2.6830999999999898</v>
      </c>
      <c r="AD5552">
        <v>-1.1205541172319999</v>
      </c>
      <c r="AE5552">
        <v>28.031859999999899</v>
      </c>
      <c r="AF5552">
        <v>3.3268237029811298</v>
      </c>
      <c r="AG5552">
        <v>-1.1205541172319999</v>
      </c>
      <c r="AH5552">
        <v>27.9179353424291</v>
      </c>
      <c r="AI5552">
        <v>92.282341046602596</v>
      </c>
      <c r="AJ5552">
        <v>83.2044285930765</v>
      </c>
      <c r="AK5552">
        <v>28.137777297867999</v>
      </c>
      <c r="AL5552">
        <v>78.486986753860506</v>
      </c>
      <c r="AM5552">
        <v>91.007306409807398</v>
      </c>
      <c r="AN5552">
        <v>1.0000000316480799</v>
      </c>
    </row>
    <row r="5553" spans="1:40" x14ac:dyDescent="0.25">
      <c r="A5553" t="str">
        <f>"20190303162711975"</f>
        <v>20190303162711975</v>
      </c>
      <c r="B5553" t="str">
        <f>"1551601631969777"</f>
        <v>1551601631969777</v>
      </c>
      <c r="C5553" t="s">
        <v>40</v>
      </c>
      <c r="D5553">
        <v>4.606833</v>
      </c>
      <c r="E5553">
        <v>0.55565609999999999</v>
      </c>
      <c r="F5553" t="s">
        <v>41</v>
      </c>
      <c r="G5553">
        <v>-185.30879999999999</v>
      </c>
      <c r="H5553" s="1">
        <v>-3.5471400000000001E-6</v>
      </c>
      <c r="I5553">
        <v>75.961489999999998</v>
      </c>
      <c r="J5553">
        <v>-188.53059999999999</v>
      </c>
      <c r="K5553">
        <v>1.120557</v>
      </c>
      <c r="L5553">
        <v>44.91919</v>
      </c>
      <c r="M5553">
        <v>-2.2694470000000001E-2</v>
      </c>
      <c r="N5553">
        <v>-1.2895729999999999E-2</v>
      </c>
      <c r="O5553">
        <v>0.99965930000000003</v>
      </c>
      <c r="P5553">
        <v>-3.9878049999999998E-2</v>
      </c>
      <c r="Q5553">
        <v>0.1871855</v>
      </c>
      <c r="R5553">
        <v>0.98151480000000002</v>
      </c>
      <c r="S5553">
        <v>0.31661990000000001</v>
      </c>
      <c r="T5553">
        <v>-0.11036840000000001</v>
      </c>
      <c r="U5553">
        <v>3.090363</v>
      </c>
      <c r="V5553">
        <v>-1.737052E-2</v>
      </c>
      <c r="W5553">
        <v>0.1998549</v>
      </c>
      <c r="X5553">
        <v>0.97967150000000003</v>
      </c>
      <c r="Y5553">
        <v>0.12440759999999999</v>
      </c>
      <c r="Z5553">
        <v>-2.254043E-2</v>
      </c>
      <c r="AA5553">
        <v>0.9919751</v>
      </c>
      <c r="AB5553">
        <v>34</v>
      </c>
      <c r="AC5553">
        <v>3.2218</v>
      </c>
      <c r="AD5553">
        <v>-1.12056054714</v>
      </c>
      <c r="AE5553">
        <v>31.042300000000001</v>
      </c>
      <c r="AF5553">
        <v>3.9204630529466198</v>
      </c>
      <c r="AG5553">
        <v>-1.12056054714</v>
      </c>
      <c r="AH5553">
        <v>30.921317727804201</v>
      </c>
      <c r="AI5553">
        <v>92.058970002561296</v>
      </c>
      <c r="AJ5553">
        <v>82.774117070506307</v>
      </c>
      <c r="AK5553">
        <v>31.1889976836888</v>
      </c>
      <c r="AL5553">
        <v>78.471525678650494</v>
      </c>
      <c r="AM5553">
        <v>91.015802955295598</v>
      </c>
      <c r="AN5553">
        <v>0.99999998196566497</v>
      </c>
    </row>
    <row r="5554" spans="1:40" x14ac:dyDescent="0.25">
      <c r="A5554" t="str">
        <f>"20190303162711997"</f>
        <v>20190303162711997</v>
      </c>
      <c r="B5554" t="str">
        <f>"1551601631990272"</f>
        <v>1551601631990272</v>
      </c>
      <c r="C5554" t="s">
        <v>40</v>
      </c>
      <c r="D5554">
        <v>4.6276039999999998</v>
      </c>
      <c r="E5554">
        <v>0.55551159999999999</v>
      </c>
      <c r="F5554" t="s">
        <v>41</v>
      </c>
      <c r="G5554">
        <v>-185.0462</v>
      </c>
      <c r="H5554" s="1">
        <v>-4.9618380000000003E-6</v>
      </c>
      <c r="I5554">
        <v>79.150630000000007</v>
      </c>
      <c r="J5554">
        <v>-188.53749999999999</v>
      </c>
      <c r="K5554">
        <v>1.1205540000000001</v>
      </c>
      <c r="L5554">
        <v>45.247990000000001</v>
      </c>
      <c r="M5554">
        <v>-2.2221270000000001E-2</v>
      </c>
      <c r="N5554">
        <v>-1.2887050000000001E-2</v>
      </c>
      <c r="O5554">
        <v>0.99966999999999995</v>
      </c>
      <c r="P5554">
        <v>-3.8815280000000001E-2</v>
      </c>
      <c r="Q5554">
        <v>0.1877288</v>
      </c>
      <c r="R5554">
        <v>0.98145369999999998</v>
      </c>
      <c r="S5554">
        <v>0.31437680000000001</v>
      </c>
      <c r="T5554">
        <v>-0.1011037</v>
      </c>
      <c r="U5554">
        <v>3.088562</v>
      </c>
      <c r="V5554">
        <v>-1.6773050000000001E-2</v>
      </c>
      <c r="W5554">
        <v>0.2003875</v>
      </c>
      <c r="X5554">
        <v>0.97957309999999997</v>
      </c>
      <c r="Y5554">
        <v>0.1232926</v>
      </c>
      <c r="Z5554">
        <v>-1.9599129999999999E-2</v>
      </c>
      <c r="AA5554">
        <v>0.99217679999999997</v>
      </c>
      <c r="AB5554">
        <v>34</v>
      </c>
      <c r="AC5554">
        <v>3.4912999999999901</v>
      </c>
      <c r="AD5554">
        <v>-1.1205589618380001</v>
      </c>
      <c r="AE5554">
        <v>33.902639999999998</v>
      </c>
      <c r="AF5554">
        <v>4.2392774594249696</v>
      </c>
      <c r="AG5554">
        <v>-1.1205589618380001</v>
      </c>
      <c r="AH5554">
        <v>33.780163745651699</v>
      </c>
      <c r="AI5554">
        <v>91.885148573178199</v>
      </c>
      <c r="AJ5554">
        <v>82.847000475841199</v>
      </c>
      <c r="AK5554">
        <v>34.063566877941398</v>
      </c>
      <c r="AL5554">
        <v>78.440379783133594</v>
      </c>
      <c r="AM5554">
        <v>90.980969230212693</v>
      </c>
      <c r="AN5554">
        <v>0.99999997180307998</v>
      </c>
    </row>
    <row r="5555" spans="1:40" x14ac:dyDescent="0.25">
      <c r="A5555" t="str">
        <f>"20190303162712021"</f>
        <v>20190303162712021</v>
      </c>
      <c r="B5555" t="str">
        <f>"1551601632009792"</f>
        <v>1551601632009792</v>
      </c>
      <c r="C5555" t="s">
        <v>40</v>
      </c>
      <c r="D5555">
        <v>4.6059640000000002</v>
      </c>
      <c r="E5555">
        <v>0.55520909999999901</v>
      </c>
      <c r="F5555" t="s">
        <v>41</v>
      </c>
      <c r="G5555">
        <v>-184.93299999999999</v>
      </c>
      <c r="H5555" s="1">
        <v>-1.623422E-6</v>
      </c>
      <c r="I5555">
        <v>80.456850000000003</v>
      </c>
      <c r="J5555">
        <v>-188.54490000000001</v>
      </c>
      <c r="K5555">
        <v>1.120557</v>
      </c>
      <c r="L5555">
        <v>45.608699999999999</v>
      </c>
      <c r="M5555">
        <v>-2.1701649999999999E-2</v>
      </c>
      <c r="N5555">
        <v>-1.287334E-2</v>
      </c>
      <c r="O5555">
        <v>0.99968159999999895</v>
      </c>
      <c r="P5555">
        <v>-3.6836239999999999E-2</v>
      </c>
      <c r="Q5555">
        <v>0.1883108</v>
      </c>
      <c r="R5555">
        <v>0.98141840000000002</v>
      </c>
      <c r="S5555">
        <v>0.31613160000000001</v>
      </c>
      <c r="T5555">
        <v>-9.8279000000000005E-2</v>
      </c>
      <c r="U5555">
        <v>3.0880130000000001</v>
      </c>
      <c r="V5555">
        <v>-1.530454E-2</v>
      </c>
      <c r="W5555">
        <v>0.20095370000000001</v>
      </c>
      <c r="X5555">
        <v>0.97948120000000005</v>
      </c>
      <c r="Y5555">
        <v>0.12335500000000001</v>
      </c>
      <c r="Z5555">
        <v>-1.8710930000000001E-2</v>
      </c>
      <c r="AA5555">
        <v>0.99218620000000002</v>
      </c>
      <c r="AB5555">
        <v>34</v>
      </c>
      <c r="AC5555">
        <v>3.6119000000000199</v>
      </c>
      <c r="AD5555">
        <v>-1.120558623422</v>
      </c>
      <c r="AE5555">
        <v>34.848149999999997</v>
      </c>
      <c r="AF5555">
        <v>4.3629110672632399</v>
      </c>
      <c r="AG5555">
        <v>-1.120558623422</v>
      </c>
      <c r="AH5555">
        <v>34.726026724664898</v>
      </c>
      <c r="AI5555">
        <v>91.833803968415495</v>
      </c>
      <c r="AJ5555">
        <v>82.838990058742297</v>
      </c>
      <c r="AK5555">
        <v>35.016961271525503</v>
      </c>
      <c r="AL5555">
        <v>78.407265886911205</v>
      </c>
      <c r="AM5555">
        <v>90.89518226317</v>
      </c>
      <c r="AN5555">
        <v>1.0000000198208701</v>
      </c>
    </row>
    <row r="5556" spans="1:40" x14ac:dyDescent="0.25">
      <c r="A5556" t="str">
        <f>"20190303162712042"</f>
        <v>20190303162712042</v>
      </c>
      <c r="B5556" t="str">
        <f>"1551601632030288"</f>
        <v>1551601632030288</v>
      </c>
      <c r="C5556" t="s">
        <v>40</v>
      </c>
      <c r="D5556">
        <v>4.6182740000000004</v>
      </c>
      <c r="E5556">
        <v>0.55502220000000002</v>
      </c>
      <c r="F5556" t="s">
        <v>41</v>
      </c>
      <c r="G5556">
        <v>-184.89670000000001</v>
      </c>
      <c r="H5556" s="1">
        <v>-1.83214E-6</v>
      </c>
      <c r="I5556">
        <v>81.041790000000006</v>
      </c>
      <c r="J5556">
        <v>-188.5515</v>
      </c>
      <c r="K5556">
        <v>1.12056</v>
      </c>
      <c r="L5556">
        <v>45.935459999999999</v>
      </c>
      <c r="M5556">
        <v>-2.1230679999999998E-2</v>
      </c>
      <c r="N5556">
        <v>-1.285977E-2</v>
      </c>
      <c r="O5556">
        <v>0.99969189999999997</v>
      </c>
      <c r="P5556">
        <v>-3.4337359999999997E-2</v>
      </c>
      <c r="Q5556">
        <v>0.1894488</v>
      </c>
      <c r="R5556">
        <v>0.98129</v>
      </c>
      <c r="S5556">
        <v>0.31788640000000001</v>
      </c>
      <c r="T5556">
        <v>-9.7639920000000005E-2</v>
      </c>
      <c r="U5556">
        <v>3.0874630000000001</v>
      </c>
      <c r="V5556">
        <v>-1.3269700000000001E-2</v>
      </c>
      <c r="W5556">
        <v>0.20207410000000001</v>
      </c>
      <c r="X5556">
        <v>0.97928040000000005</v>
      </c>
      <c r="Y5556">
        <v>0.1234639</v>
      </c>
      <c r="Z5556">
        <v>-1.852434E-2</v>
      </c>
      <c r="AA5556">
        <v>0.99217619999999895</v>
      </c>
      <c r="AB5556">
        <v>34</v>
      </c>
      <c r="AC5556">
        <v>3.6547999999999901</v>
      </c>
      <c r="AD5556">
        <v>-1.1205618321399999</v>
      </c>
      <c r="AE5556">
        <v>35.10633</v>
      </c>
      <c r="AF5556">
        <v>4.3949392997184402</v>
      </c>
      <c r="AG5556">
        <v>-1.1205618321399999</v>
      </c>
      <c r="AH5556">
        <v>34.985553471053798</v>
      </c>
      <c r="AI5556">
        <v>91.820218717409503</v>
      </c>
      <c r="AJ5556">
        <v>82.839922275528096</v>
      </c>
      <c r="AK5556">
        <v>35.278323400408702</v>
      </c>
      <c r="AL5556">
        <v>78.341727736027707</v>
      </c>
      <c r="AM5556">
        <v>90.776336661605001</v>
      </c>
      <c r="AN5556">
        <v>1.0000000643265201</v>
      </c>
    </row>
    <row r="5557" spans="1:40" x14ac:dyDescent="0.25">
      <c r="A5557" t="str">
        <f>"20190303162712064"</f>
        <v>20190303162712064</v>
      </c>
      <c r="B5557" t="str">
        <f>"1551601632049808"</f>
        <v>1551601632049808</v>
      </c>
      <c r="C5557" t="s">
        <v>40</v>
      </c>
      <c r="D5557">
        <v>4.6137750000000004</v>
      </c>
      <c r="E5557">
        <v>0.55490899999999999</v>
      </c>
      <c r="F5557" t="s">
        <v>41</v>
      </c>
      <c r="G5557">
        <v>-184.62129999999999</v>
      </c>
      <c r="H5557" s="1">
        <v>-2.7202600000000002E-6</v>
      </c>
      <c r="I5557">
        <v>83.436239999999998</v>
      </c>
      <c r="J5557">
        <v>-188.55789999999999</v>
      </c>
      <c r="K5557">
        <v>1.120557</v>
      </c>
      <c r="L5557">
        <v>46.260159999999999</v>
      </c>
      <c r="M5557">
        <v>-2.0764169999999998E-2</v>
      </c>
      <c r="N5557">
        <v>-1.2846969999999999E-2</v>
      </c>
      <c r="O5557">
        <v>0.99970190000000003</v>
      </c>
      <c r="P5557">
        <v>-3.1888319999999998E-2</v>
      </c>
      <c r="Q5557">
        <v>0.19110949999999999</v>
      </c>
      <c r="R5557">
        <v>0.98105059999999999</v>
      </c>
      <c r="S5557">
        <v>0.32345580000000002</v>
      </c>
      <c r="T5557">
        <v>-9.2222929999999995E-2</v>
      </c>
      <c r="U5557">
        <v>3.0863339999999999</v>
      </c>
      <c r="V5557">
        <v>-1.128259E-2</v>
      </c>
      <c r="W5557">
        <v>0.20371590000000001</v>
      </c>
      <c r="X5557">
        <v>0.97896499999999997</v>
      </c>
      <c r="Y5557">
        <v>0.1248132</v>
      </c>
      <c r="Z5557">
        <v>-1.6802480000000002E-2</v>
      </c>
      <c r="AA5557">
        <v>0.99203799999999998</v>
      </c>
      <c r="AB5557">
        <v>34</v>
      </c>
      <c r="AC5557">
        <v>3.9365999999999901</v>
      </c>
      <c r="AD5557">
        <v>-1.1205597202599999</v>
      </c>
      <c r="AE5557">
        <v>37.176079999999999</v>
      </c>
      <c r="AF5557">
        <v>4.70351931770566</v>
      </c>
      <c r="AG5557">
        <v>-1.1205597202599999</v>
      </c>
      <c r="AH5557">
        <v>37.053025814470203</v>
      </c>
      <c r="AI5557">
        <v>91.718432717386506</v>
      </c>
      <c r="AJ5557">
        <v>82.765553645657803</v>
      </c>
      <c r="AK5557">
        <v>37.367171020382202</v>
      </c>
      <c r="AL5557">
        <v>78.245660238498999</v>
      </c>
      <c r="AM5557">
        <v>90.660305700087704</v>
      </c>
      <c r="AN5557">
        <v>0.99999996798745805</v>
      </c>
    </row>
    <row r="5558" spans="1:40" x14ac:dyDescent="0.25">
      <c r="A5558" t="str">
        <f>"20190303162712087"</f>
        <v>20190303162712087</v>
      </c>
      <c r="B5558" t="str">
        <f>"1551601632080065"</f>
        <v>1551601632080065</v>
      </c>
      <c r="C5558" t="s">
        <v>40</v>
      </c>
      <c r="D5558">
        <v>4.6784739999999996</v>
      </c>
      <c r="E5558">
        <v>0.55479969999999901</v>
      </c>
      <c r="F5558" t="s">
        <v>41</v>
      </c>
      <c r="G5558">
        <v>-184.30609999999999</v>
      </c>
      <c r="H5558" s="1">
        <v>-3.7709370000000001E-6</v>
      </c>
      <c r="I5558">
        <v>86.068559999999906</v>
      </c>
      <c r="J5558">
        <v>-188.56460000000001</v>
      </c>
      <c r="K5558">
        <v>1.1205639999999999</v>
      </c>
      <c r="L5558">
        <v>46.610500000000002</v>
      </c>
      <c r="M5558">
        <v>-2.0262570000000001E-2</v>
      </c>
      <c r="N5558">
        <v>-1.2834109999999999E-2</v>
      </c>
      <c r="O5558">
        <v>0.9997123</v>
      </c>
      <c r="P5558">
        <v>-2.9150990000000002E-2</v>
      </c>
      <c r="Q5558">
        <v>0.19179270000000001</v>
      </c>
      <c r="R5558">
        <v>0.98100240000000005</v>
      </c>
      <c r="S5558">
        <v>0.3295593</v>
      </c>
      <c r="T5558">
        <v>-8.6855290000000002E-2</v>
      </c>
      <c r="U5558">
        <v>3.0855709999999998</v>
      </c>
      <c r="V5558">
        <v>-9.0396669999999995E-3</v>
      </c>
      <c r="W5558">
        <v>0.20438239999999999</v>
      </c>
      <c r="X5558">
        <v>0.97884939999999998</v>
      </c>
      <c r="Y5558">
        <v>0.12628529999999999</v>
      </c>
      <c r="Z5558">
        <v>-1.5091810000000001E-2</v>
      </c>
      <c r="AA5558">
        <v>0.99187919999999996</v>
      </c>
      <c r="AB5558">
        <v>34</v>
      </c>
      <c r="AC5558">
        <v>4.2585000000000202</v>
      </c>
      <c r="AD5558">
        <v>-1.1205677709370001</v>
      </c>
      <c r="AE5558">
        <v>39.458059999999897</v>
      </c>
      <c r="AF5558">
        <v>5.0531846512723302</v>
      </c>
      <c r="AG5558">
        <v>-1.1205677709370001</v>
      </c>
      <c r="AH5558">
        <v>39.332306082510698</v>
      </c>
      <c r="AI5558">
        <v>91.618605111146294</v>
      </c>
      <c r="AJ5558">
        <v>82.679076335607306</v>
      </c>
      <c r="AK5558">
        <v>39.671408457696899</v>
      </c>
      <c r="AL5558">
        <v>78.206652444584506</v>
      </c>
      <c r="AM5558">
        <v>90.529111060413896</v>
      </c>
      <c r="AN5558">
        <v>1.00000001444479</v>
      </c>
    </row>
    <row r="5559" spans="1:40" x14ac:dyDescent="0.25">
      <c r="A5559" t="str">
        <f>"20190303162712111"</f>
        <v>20190303162712111</v>
      </c>
      <c r="B5559" t="str">
        <f>"1551601632099584"</f>
        <v>1551601632099584</v>
      </c>
      <c r="C5559" t="s">
        <v>40</v>
      </c>
      <c r="D5559">
        <v>4.6690100000000001</v>
      </c>
      <c r="E5559">
        <v>0.55450869999999997</v>
      </c>
      <c r="F5559" t="s">
        <v>41</v>
      </c>
      <c r="G5559">
        <v>-183.96080000000001</v>
      </c>
      <c r="H5559" s="1">
        <v>-4.9865090000000001E-6</v>
      </c>
      <c r="I5559">
        <v>88.759339999999995</v>
      </c>
      <c r="J5559">
        <v>-188.5712</v>
      </c>
      <c r="K5559">
        <v>1.120566</v>
      </c>
      <c r="L5559">
        <v>46.965820000000001</v>
      </c>
      <c r="M5559">
        <v>-1.976031E-2</v>
      </c>
      <c r="N5559">
        <v>-1.282201E-2</v>
      </c>
      <c r="O5559">
        <v>0.99972249999999996</v>
      </c>
      <c r="P5559">
        <v>-2.6787200000000001E-2</v>
      </c>
      <c r="Q5559">
        <v>0.19178149999999999</v>
      </c>
      <c r="R5559">
        <v>0.98107200000000006</v>
      </c>
      <c r="S5559">
        <v>0.33686830000000001</v>
      </c>
      <c r="T5559">
        <v>-8.1994890000000001E-2</v>
      </c>
      <c r="U5559">
        <v>3.0841370000000001</v>
      </c>
      <c r="V5559">
        <v>-7.1703499999999998E-3</v>
      </c>
      <c r="W5559">
        <v>0.20435729999999999</v>
      </c>
      <c r="X5559">
        <v>0.97887009999999997</v>
      </c>
      <c r="Y5559">
        <v>0.1281621</v>
      </c>
      <c r="Z5559">
        <v>-1.3547379999999999E-2</v>
      </c>
      <c r="AA5559">
        <v>0.99166069999999995</v>
      </c>
      <c r="AB5559">
        <v>34</v>
      </c>
      <c r="AC5559">
        <v>4.6103999999999896</v>
      </c>
      <c r="AD5559">
        <v>-1.1205709865090001</v>
      </c>
      <c r="AE5559">
        <v>41.793520000000001</v>
      </c>
      <c r="AF5559">
        <v>5.4315627430414404</v>
      </c>
      <c r="AG5559">
        <v>-1.1205709865090001</v>
      </c>
      <c r="AH5559">
        <v>41.664655796406599</v>
      </c>
      <c r="AI5559">
        <v>91.527678357053802</v>
      </c>
      <c r="AJ5559">
        <v>82.572591185552696</v>
      </c>
      <c r="AK5559">
        <v>42.032143602253299</v>
      </c>
      <c r="AL5559">
        <v>78.208121359804395</v>
      </c>
      <c r="AM5559">
        <v>90.419691483900195</v>
      </c>
      <c r="AN5559">
        <v>0.99999999632821102</v>
      </c>
    </row>
    <row r="5560" spans="1:40" x14ac:dyDescent="0.25">
      <c r="A5560" t="str">
        <f>"20190303162712135"</f>
        <v>20190303162712135</v>
      </c>
      <c r="B5560" t="str">
        <f>"1551601632121056"</f>
        <v>1551601632121056</v>
      </c>
      <c r="C5560" t="s">
        <v>40</v>
      </c>
      <c r="D5560">
        <v>4.637238</v>
      </c>
      <c r="E5560">
        <v>0.55441149999999995</v>
      </c>
      <c r="F5560" t="s">
        <v>41</v>
      </c>
      <c r="G5560">
        <v>-183.89959999999999</v>
      </c>
      <c r="H5560" s="1">
        <v>-5.1609900000000004E-6</v>
      </c>
      <c r="I5560">
        <v>89.140720000000002</v>
      </c>
      <c r="J5560">
        <v>-188.57769999999999</v>
      </c>
      <c r="K5560">
        <v>1.120579</v>
      </c>
      <c r="L5560">
        <v>47.323909999999998</v>
      </c>
      <c r="M5560">
        <v>-1.9264900000000001E-2</v>
      </c>
      <c r="N5560">
        <v>-1.281092E-2</v>
      </c>
      <c r="O5560">
        <v>0.99973230000000002</v>
      </c>
      <c r="P5560">
        <v>-2.5639240000000001E-2</v>
      </c>
      <c r="Q5560">
        <v>0.19206110000000001</v>
      </c>
      <c r="R5560">
        <v>0.98104800000000003</v>
      </c>
      <c r="S5560">
        <v>0.3415222</v>
      </c>
      <c r="T5560">
        <v>-8.1920030000000005E-2</v>
      </c>
      <c r="U5560">
        <v>3.083221</v>
      </c>
      <c r="V5560">
        <v>-6.5123100000000003E-3</v>
      </c>
      <c r="W5560">
        <v>0.20462469999999999</v>
      </c>
      <c r="X5560">
        <v>0.97881879999999999</v>
      </c>
      <c r="Y5560">
        <v>0.12918109999999999</v>
      </c>
      <c r="Z5560">
        <v>-1.35388E-2</v>
      </c>
      <c r="AA5560">
        <v>0.99152859999999998</v>
      </c>
      <c r="AB5560">
        <v>34</v>
      </c>
      <c r="AC5560">
        <v>4.6780999999999997</v>
      </c>
      <c r="AD5560">
        <v>-1.12058416099</v>
      </c>
      <c r="AE5560">
        <v>41.816809999999997</v>
      </c>
      <c r="AF5560">
        <v>5.47900861366589</v>
      </c>
      <c r="AG5560">
        <v>-1.12058416099</v>
      </c>
      <c r="AH5560">
        <v>41.689350370322998</v>
      </c>
      <c r="AI5560">
        <v>91.526583484083005</v>
      </c>
      <c r="AJ5560">
        <v>82.5128322199118</v>
      </c>
      <c r="AK5560">
        <v>42.062776638615297</v>
      </c>
      <c r="AL5560">
        <v>78.1924692973041</v>
      </c>
      <c r="AM5560">
        <v>90.381196573319897</v>
      </c>
      <c r="AN5560">
        <v>0.99999996063253205</v>
      </c>
    </row>
    <row r="5561" spans="1:40" x14ac:dyDescent="0.25">
      <c r="A5561" t="str">
        <f>"20190303162712175"</f>
        <v>20190303162712175</v>
      </c>
      <c r="B5561" t="str">
        <f>"1551601632169857"</f>
        <v>1551601632169857</v>
      </c>
      <c r="C5561" t="s">
        <v>40</v>
      </c>
      <c r="D5561">
        <v>4.6379890000000001</v>
      </c>
      <c r="E5561">
        <v>0.55416619999999905</v>
      </c>
      <c r="F5561" t="s">
        <v>41</v>
      </c>
      <c r="G5561">
        <v>-183.78139999999999</v>
      </c>
      <c r="H5561" s="1">
        <v>-1.8823669999999999E-6</v>
      </c>
      <c r="I5561">
        <v>90.317310000000006</v>
      </c>
      <c r="J5561">
        <v>-188.58850000000001</v>
      </c>
      <c r="K5561">
        <v>1.1206050000000001</v>
      </c>
      <c r="L5561">
        <v>47.937010000000001</v>
      </c>
      <c r="M5561">
        <v>-1.8455900000000001E-2</v>
      </c>
      <c r="N5561">
        <v>-1.279451E-2</v>
      </c>
      <c r="O5561">
        <v>0.99974779999999996</v>
      </c>
      <c r="P5561">
        <v>-2.5533219999999999E-2</v>
      </c>
      <c r="Q5561">
        <v>0.1926554</v>
      </c>
      <c r="R5561">
        <v>0.98093419999999998</v>
      </c>
      <c r="S5561">
        <v>0.3439026</v>
      </c>
      <c r="T5561">
        <v>-8.0346819999999999E-2</v>
      </c>
      <c r="U5561">
        <v>3.0826720000000001</v>
      </c>
      <c r="V5561">
        <v>-7.2124579999999997E-3</v>
      </c>
      <c r="W5561">
        <v>0.20520150000000001</v>
      </c>
      <c r="X5561">
        <v>0.97869320000000004</v>
      </c>
      <c r="Y5561">
        <v>0.12915550000000001</v>
      </c>
      <c r="Z5561">
        <v>-1.3053800000000001E-2</v>
      </c>
      <c r="AA5561">
        <v>0.99153840000000004</v>
      </c>
      <c r="AB5561">
        <v>34</v>
      </c>
      <c r="AC5561">
        <v>4.8071000000000197</v>
      </c>
      <c r="AD5561">
        <v>-1.1206068823669999</v>
      </c>
      <c r="AE5561">
        <v>42.380299999999899</v>
      </c>
      <c r="AF5561">
        <v>5.5846567232928104</v>
      </c>
      <c r="AG5561">
        <v>-1.1206068823669999</v>
      </c>
      <c r="AH5561">
        <v>42.255185791892899</v>
      </c>
      <c r="AI5561">
        <v>91.506036765244403</v>
      </c>
      <c r="AJ5561">
        <v>82.471137848190907</v>
      </c>
      <c r="AK5561">
        <v>42.637364796727397</v>
      </c>
      <c r="AL5561">
        <v>78.158705411376204</v>
      </c>
      <c r="AM5561">
        <v>90.422232342664103</v>
      </c>
      <c r="AN5561">
        <v>1.0000000274394401</v>
      </c>
    </row>
    <row r="5562" spans="1:40" x14ac:dyDescent="0.25">
      <c r="A5562" t="str">
        <f>"20190303162712198"</f>
        <v>20190303162712198</v>
      </c>
      <c r="B5562" t="str">
        <f>"1551601632189376"</f>
        <v>1551601632189376</v>
      </c>
      <c r="C5562" t="s">
        <v>40</v>
      </c>
      <c r="D5562">
        <v>4.6532039999999997</v>
      </c>
      <c r="E5562">
        <v>0.55385949999999995</v>
      </c>
      <c r="F5562" t="s">
        <v>41</v>
      </c>
      <c r="G5562">
        <v>-183.47800000000001</v>
      </c>
      <c r="H5562" s="1">
        <v>-3.2241889999999999E-6</v>
      </c>
      <c r="I5562">
        <v>94.023110000000003</v>
      </c>
      <c r="J5562">
        <v>-188.5943</v>
      </c>
      <c r="K5562">
        <v>1.1206210000000001</v>
      </c>
      <c r="L5562">
        <v>48.279049999999998</v>
      </c>
      <c r="M5562">
        <v>-1.8027290000000001E-2</v>
      </c>
      <c r="N5562">
        <v>-1.278664E-2</v>
      </c>
      <c r="O5562">
        <v>0.99975570000000002</v>
      </c>
      <c r="P5562">
        <v>-2.6229260000000001E-2</v>
      </c>
      <c r="Q5562">
        <v>0.19300709999999999</v>
      </c>
      <c r="R5562">
        <v>0.98084669999999896</v>
      </c>
      <c r="S5562">
        <v>0.34175109999999997</v>
      </c>
      <c r="T5562">
        <v>-7.4938299999999999E-2</v>
      </c>
      <c r="U5562">
        <v>3.081909</v>
      </c>
      <c r="V5562">
        <v>-8.3374629999999998E-3</v>
      </c>
      <c r="W5562">
        <v>0.20554549999999999</v>
      </c>
      <c r="X5562">
        <v>0.97861209999999998</v>
      </c>
      <c r="Y5562">
        <v>0.12807769999999999</v>
      </c>
      <c r="Z5562">
        <v>-1.133083E-2</v>
      </c>
      <c r="AA5562">
        <v>0.99169940000000001</v>
      </c>
      <c r="AB5562">
        <v>34</v>
      </c>
      <c r="AC5562">
        <v>5.1163000000000203</v>
      </c>
      <c r="AD5562">
        <v>-1.1206242241890001</v>
      </c>
      <c r="AE5562">
        <v>45.744059999999998</v>
      </c>
      <c r="AF5562">
        <v>5.9366585309125801</v>
      </c>
      <c r="AG5562">
        <v>-1.1206242241890001</v>
      </c>
      <c r="AH5562">
        <v>45.617346157074898</v>
      </c>
      <c r="AI5562">
        <v>91.395467788601195</v>
      </c>
      <c r="AJ5562">
        <v>82.585178789935298</v>
      </c>
      <c r="AK5562">
        <v>46.015671065180499</v>
      </c>
      <c r="AL5562">
        <v>78.138566693670498</v>
      </c>
      <c r="AM5562">
        <v>90.488129959019304</v>
      </c>
      <c r="AN5562">
        <v>1.0000000540629601</v>
      </c>
    </row>
    <row r="5563" spans="1:40" x14ac:dyDescent="0.25">
      <c r="A5563" t="str">
        <f>"20190303162712220"</f>
        <v>20190303162712220</v>
      </c>
      <c r="B5563" t="str">
        <f>"1551601632209872"</f>
        <v>1551601632209872</v>
      </c>
      <c r="C5563" t="s">
        <v>40</v>
      </c>
      <c r="D5563">
        <v>4.6252579999999996</v>
      </c>
      <c r="E5563">
        <v>0.55357599999999996</v>
      </c>
      <c r="F5563" t="s">
        <v>41</v>
      </c>
      <c r="G5563">
        <v>-183.524</v>
      </c>
      <c r="H5563" s="1">
        <v>-3.3869970000000001E-6</v>
      </c>
      <c r="I5563">
        <v>94.537509999999997</v>
      </c>
      <c r="J5563">
        <v>-188.59989999999999</v>
      </c>
      <c r="K5563">
        <v>1.1206259999999999</v>
      </c>
      <c r="L5563">
        <v>48.611510000000003</v>
      </c>
      <c r="M5563">
        <v>-1.7623489999999999E-2</v>
      </c>
      <c r="N5563">
        <v>-1.278002E-2</v>
      </c>
      <c r="O5563">
        <v>0.99976299999999996</v>
      </c>
      <c r="P5563">
        <v>-2.6974789999999998E-2</v>
      </c>
      <c r="Q5563">
        <v>0.1933696</v>
      </c>
      <c r="R5563">
        <v>0.98075509999999999</v>
      </c>
      <c r="S5563">
        <v>0.3378448</v>
      </c>
      <c r="T5563">
        <v>-7.4669719999999995E-2</v>
      </c>
      <c r="U5563">
        <v>3.082306</v>
      </c>
      <c r="V5563">
        <v>-9.486062E-3</v>
      </c>
      <c r="W5563">
        <v>0.20590149999999999</v>
      </c>
      <c r="X5563">
        <v>0.97852669999999997</v>
      </c>
      <c r="Y5563">
        <v>0.1264218</v>
      </c>
      <c r="Z5563">
        <v>-1.125285E-2</v>
      </c>
      <c r="AA5563">
        <v>0.99191280000000004</v>
      </c>
      <c r="AB5563">
        <v>34</v>
      </c>
      <c r="AC5563">
        <v>5.0758999999999901</v>
      </c>
      <c r="AD5563">
        <v>-1.1206293869969901</v>
      </c>
      <c r="AE5563">
        <v>45.926000000000002</v>
      </c>
      <c r="AF5563">
        <v>5.8810947429534002</v>
      </c>
      <c r="AG5563">
        <v>-1.1206293869969901</v>
      </c>
      <c r="AH5563">
        <v>45.802462327906298</v>
      </c>
      <c r="AI5563">
        <v>91.390143687310697</v>
      </c>
      <c r="AJ5563">
        <v>82.683183866226202</v>
      </c>
      <c r="AK5563">
        <v>46.1920841800613</v>
      </c>
      <c r="AL5563">
        <v>78.117722406000595</v>
      </c>
      <c r="AM5563">
        <v>90.5554210137647</v>
      </c>
      <c r="AN5563">
        <v>0.99999995784370299</v>
      </c>
    </row>
    <row r="5564" spans="1:40" x14ac:dyDescent="0.25">
      <c r="A5564" t="str">
        <f>"20190303162712244"</f>
        <v>20190303162712244</v>
      </c>
      <c r="B5564" t="str">
        <f>"1551601632240128"</f>
        <v>1551601632240128</v>
      </c>
      <c r="C5564" t="s">
        <v>40</v>
      </c>
      <c r="D5564">
        <v>4.5892400000000002</v>
      </c>
      <c r="E5564">
        <v>0.55351779999999995</v>
      </c>
      <c r="F5564" t="s">
        <v>41</v>
      </c>
      <c r="G5564">
        <v>-183.6131</v>
      </c>
      <c r="H5564" s="1">
        <v>-3.4349529999999999E-6</v>
      </c>
      <c r="I5564">
        <v>94.74812</v>
      </c>
      <c r="J5564">
        <v>-188.60560000000001</v>
      </c>
      <c r="K5564">
        <v>1.1206339999999999</v>
      </c>
      <c r="L5564">
        <v>48.961550000000003</v>
      </c>
      <c r="M5564">
        <v>-1.7208999999999999E-2</v>
      </c>
      <c r="N5564">
        <v>-1.2773649999999999E-2</v>
      </c>
      <c r="O5564">
        <v>0.9997703</v>
      </c>
      <c r="P5564">
        <v>-2.7064749999999999E-2</v>
      </c>
      <c r="Q5564">
        <v>0.19409689999999999</v>
      </c>
      <c r="R5564">
        <v>0.98060890000000001</v>
      </c>
      <c r="S5564">
        <v>0.33320620000000001</v>
      </c>
      <c r="T5564">
        <v>-7.4879169999999995E-2</v>
      </c>
      <c r="U5564">
        <v>3.0827939999999998</v>
      </c>
      <c r="V5564">
        <v>-9.9889079999999995E-3</v>
      </c>
      <c r="W5564">
        <v>0.20662059999999999</v>
      </c>
      <c r="X5564">
        <v>0.97837010000000002</v>
      </c>
      <c r="Y5564">
        <v>0.1245185</v>
      </c>
      <c r="Z5564">
        <v>-1.132843E-2</v>
      </c>
      <c r="AA5564">
        <v>0.99215260000000005</v>
      </c>
      <c r="AB5564">
        <v>34</v>
      </c>
      <c r="AC5564">
        <v>4.9924999999999997</v>
      </c>
      <c r="AD5564">
        <v>-1.1206374349529999</v>
      </c>
      <c r="AE5564">
        <v>45.786569999999998</v>
      </c>
      <c r="AF5564">
        <v>5.7763463556079797</v>
      </c>
      <c r="AG5564">
        <v>-1.1206374349529999</v>
      </c>
      <c r="AH5564">
        <v>45.666830889189299</v>
      </c>
      <c r="AI5564">
        <v>91.394615123360495</v>
      </c>
      <c r="AJ5564">
        <v>82.791004890027693</v>
      </c>
      <c r="AK5564">
        <v>46.044342203384502</v>
      </c>
      <c r="AL5564">
        <v>78.0756155095861</v>
      </c>
      <c r="AM5564">
        <v>90.584954901537799</v>
      </c>
      <c r="AN5564">
        <v>0.99999995160069999</v>
      </c>
    </row>
    <row r="5565" spans="1:40" x14ac:dyDescent="0.25">
      <c r="A5565" t="str">
        <f>"20190303162712265"</f>
        <v>20190303162712265</v>
      </c>
      <c r="B5565" t="str">
        <f>"1551601632260624"</f>
        <v>1551601632260624</v>
      </c>
      <c r="C5565" t="s">
        <v>40</v>
      </c>
      <c r="D5565">
        <v>4.5853919999999997</v>
      </c>
      <c r="E5565">
        <v>0.55347259999999998</v>
      </c>
      <c r="F5565" t="s">
        <v>41</v>
      </c>
      <c r="G5565">
        <v>-183.4341</v>
      </c>
      <c r="H5565" s="1">
        <v>-4.2876070000000002E-6</v>
      </c>
      <c r="I5565">
        <v>96.912390000000002</v>
      </c>
      <c r="J5565">
        <v>-188.61060000000001</v>
      </c>
      <c r="K5565">
        <v>1.1206370000000001</v>
      </c>
      <c r="L5565">
        <v>49.278260000000003</v>
      </c>
      <c r="M5565">
        <v>-1.6840750000000002E-2</v>
      </c>
      <c r="N5565">
        <v>-1.276828E-2</v>
      </c>
      <c r="O5565">
        <v>0.99977669999999996</v>
      </c>
      <c r="P5565">
        <v>-2.6457230000000002E-2</v>
      </c>
      <c r="Q5565">
        <v>0.19432250000000001</v>
      </c>
      <c r="R5565">
        <v>0.98058080000000003</v>
      </c>
      <c r="S5565">
        <v>0.33247379999999999</v>
      </c>
      <c r="T5565">
        <v>-7.2045919999999999E-2</v>
      </c>
      <c r="U5565">
        <v>3.0827640000000001</v>
      </c>
      <c r="V5565">
        <v>-9.7458489999999991E-3</v>
      </c>
      <c r="W5565">
        <v>0.20683979999999999</v>
      </c>
      <c r="X5565">
        <v>0.97832629999999998</v>
      </c>
      <c r="Y5565">
        <v>0.12392300000000001</v>
      </c>
      <c r="Z5565">
        <v>-1.042366E-2</v>
      </c>
      <c r="AA5565">
        <v>0.99223709999999998</v>
      </c>
      <c r="AB5565">
        <v>34</v>
      </c>
      <c r="AC5565">
        <v>5.1764999999999999</v>
      </c>
      <c r="AD5565">
        <v>-1.120641287607</v>
      </c>
      <c r="AE5565">
        <v>47.634129999999999</v>
      </c>
      <c r="AF5565">
        <v>5.9747573374989296</v>
      </c>
      <c r="AG5565">
        <v>-1.120641287607</v>
      </c>
      <c r="AH5565">
        <v>47.514199492895202</v>
      </c>
      <c r="AI5565">
        <v>91.340540240905</v>
      </c>
      <c r="AJ5565">
        <v>82.832858755400395</v>
      </c>
      <c r="AK5565">
        <v>47.901489701136903</v>
      </c>
      <c r="AL5565">
        <v>78.062779769593504</v>
      </c>
      <c r="AM5565">
        <v>90.570747761215401</v>
      </c>
      <c r="AN5565">
        <v>1.00000001685423</v>
      </c>
    </row>
    <row r="5566" spans="1:40" x14ac:dyDescent="0.25">
      <c r="A5566" t="str">
        <f>"20190303162712287"</f>
        <v>20190303162712287</v>
      </c>
      <c r="B5566" t="str">
        <f>"1551601632280145"</f>
        <v>1551601632280145</v>
      </c>
      <c r="C5566" t="s">
        <v>40</v>
      </c>
      <c r="D5566">
        <v>4.556235</v>
      </c>
      <c r="E5566">
        <v>0.55349649999999995</v>
      </c>
      <c r="F5566" t="s">
        <v>41</v>
      </c>
      <c r="G5566">
        <v>-183.39680000000001</v>
      </c>
      <c r="H5566" s="1">
        <v>-4.4842820000000003E-6</v>
      </c>
      <c r="I5566">
        <v>97.355419999999995</v>
      </c>
      <c r="J5566">
        <v>-188.61600000000001</v>
      </c>
      <c r="K5566">
        <v>1.1206400000000001</v>
      </c>
      <c r="L5566">
        <v>49.630400000000002</v>
      </c>
      <c r="M5566">
        <v>-1.6435330000000001E-2</v>
      </c>
      <c r="N5566">
        <v>-1.2762799999999901E-2</v>
      </c>
      <c r="O5566">
        <v>0.99978350000000005</v>
      </c>
      <c r="P5566">
        <v>-2.5485000000000001E-2</v>
      </c>
      <c r="Q5566">
        <v>0.19414329999999999</v>
      </c>
      <c r="R5566">
        <v>0.98064209999999996</v>
      </c>
      <c r="S5566">
        <v>0.33430480000000001</v>
      </c>
      <c r="T5566">
        <v>-7.1854710000000002E-2</v>
      </c>
      <c r="U5566">
        <v>3.0826720000000001</v>
      </c>
      <c r="V5566">
        <v>-9.1724170000000004E-3</v>
      </c>
      <c r="W5566">
        <v>0.20665559999999999</v>
      </c>
      <c r="X5566">
        <v>0.97837079999999998</v>
      </c>
      <c r="Y5566">
        <v>0.12410640000000001</v>
      </c>
      <c r="Z5566">
        <v>-1.036771E-2</v>
      </c>
      <c r="AA5566">
        <v>0.9922147</v>
      </c>
      <c r="AB5566">
        <v>34</v>
      </c>
      <c r="AC5566">
        <v>5.2191999999999696</v>
      </c>
      <c r="AD5566">
        <v>-1.12064448428199</v>
      </c>
      <c r="AE5566">
        <v>47.725020000000001</v>
      </c>
      <c r="AF5566">
        <v>5.9996663107206496</v>
      </c>
      <c r="AG5566">
        <v>-1.12064448428199</v>
      </c>
      <c r="AH5566">
        <v>47.606847721159099</v>
      </c>
      <c r="AI5566">
        <v>91.337890006008706</v>
      </c>
      <c r="AJ5566">
        <v>82.817150512827794</v>
      </c>
      <c r="AK5566">
        <v>47.996497683120303</v>
      </c>
      <c r="AL5566">
        <v>78.073567067508094</v>
      </c>
      <c r="AM5566">
        <v>90.537143366812401</v>
      </c>
      <c r="AN5566">
        <v>1.0000000462688099</v>
      </c>
    </row>
    <row r="5567" spans="1:40" x14ac:dyDescent="0.25">
      <c r="A5567" t="str">
        <f>"20190303162712312"</f>
        <v>20190303162712312</v>
      </c>
      <c r="B5567" t="str">
        <f>"1551601632299666"</f>
        <v>1551601632299666</v>
      </c>
      <c r="C5567" t="s">
        <v>40</v>
      </c>
      <c r="D5567">
        <v>4.5359299999999996</v>
      </c>
      <c r="E5567">
        <v>0.55354049999999999</v>
      </c>
      <c r="F5567" t="s">
        <v>41</v>
      </c>
      <c r="G5567">
        <v>-183.43090000000001</v>
      </c>
      <c r="H5567" s="1">
        <v>-4.3261529999999999E-6</v>
      </c>
      <c r="I5567">
        <v>97.000900000000001</v>
      </c>
      <c r="J5567">
        <v>-188.62129999999999</v>
      </c>
      <c r="K5567">
        <v>1.120644</v>
      </c>
      <c r="L5567">
        <v>49.979100000000003</v>
      </c>
      <c r="M5567">
        <v>-1.6035049999999999E-2</v>
      </c>
      <c r="N5567">
        <v>-1.2757950000000001E-2</v>
      </c>
      <c r="O5567">
        <v>0.99978999999999996</v>
      </c>
      <c r="P5567">
        <v>-2.5113469999999999E-2</v>
      </c>
      <c r="Q5567">
        <v>0.19412969999999999</v>
      </c>
      <c r="R5567">
        <v>0.98065440000000004</v>
      </c>
      <c r="S5567">
        <v>0.33740229999999999</v>
      </c>
      <c r="T5567">
        <v>-7.2921040000000006E-2</v>
      </c>
      <c r="U5567">
        <v>3.0824280000000002</v>
      </c>
      <c r="V5567">
        <v>-9.1943790000000008E-3</v>
      </c>
      <c r="W5567">
        <v>0.2066373</v>
      </c>
      <c r="X5567">
        <v>0.97837439999999998</v>
      </c>
      <c r="Y5567">
        <v>0.1247021</v>
      </c>
      <c r="Z5567">
        <v>-1.071596E-2</v>
      </c>
      <c r="AA5567">
        <v>0.99213640000000003</v>
      </c>
      <c r="AB5567">
        <v>34</v>
      </c>
      <c r="AC5567">
        <v>5.1903999999999799</v>
      </c>
      <c r="AD5567">
        <v>-1.120648326153</v>
      </c>
      <c r="AE5567">
        <v>47.021799999999999</v>
      </c>
      <c r="AF5567">
        <v>5.9404573727270504</v>
      </c>
      <c r="AG5567">
        <v>-1.120648326153</v>
      </c>
      <c r="AH5567">
        <v>46.906196827852398</v>
      </c>
      <c r="AI5567">
        <v>91.357766989735495</v>
      </c>
      <c r="AJ5567">
        <v>82.782174444351696</v>
      </c>
      <c r="AK5567">
        <v>47.294145381022901</v>
      </c>
      <c r="AL5567">
        <v>78.074638011465893</v>
      </c>
      <c r="AM5567">
        <v>90.5384274207006</v>
      </c>
      <c r="AN5567">
        <v>0.99999998846592197</v>
      </c>
    </row>
    <row r="5568" spans="1:40" x14ac:dyDescent="0.25">
      <c r="A5568" t="str">
        <f>"20190303162712334"</f>
        <v>20190303162712334</v>
      </c>
      <c r="B5568" t="str">
        <f>"1551601632329921"</f>
        <v>1551601632329921</v>
      </c>
      <c r="C5568" t="s">
        <v>40</v>
      </c>
      <c r="D5568">
        <v>4.531199</v>
      </c>
      <c r="E5568">
        <v>0.55362670000000003</v>
      </c>
      <c r="F5568" t="s">
        <v>41</v>
      </c>
      <c r="G5568">
        <v>-183.41059999999999</v>
      </c>
      <c r="H5568" s="1">
        <v>-4.4801359999999998E-6</v>
      </c>
      <c r="I5568">
        <v>97.351470000000006</v>
      </c>
      <c r="J5568">
        <v>-188.62639999999999</v>
      </c>
      <c r="K5568">
        <v>1.120652</v>
      </c>
      <c r="L5568">
        <v>50.327210000000001</v>
      </c>
      <c r="M5568">
        <v>-1.5634640000000002E-2</v>
      </c>
      <c r="N5568">
        <v>-1.275364E-2</v>
      </c>
      <c r="O5568">
        <v>0.99979649999999998</v>
      </c>
      <c r="P5568">
        <v>-2.4258350000000001E-2</v>
      </c>
      <c r="Q5568">
        <v>0.19444929999999999</v>
      </c>
      <c r="R5568">
        <v>0.98061259999999995</v>
      </c>
      <c r="S5568">
        <v>0.33903499999999998</v>
      </c>
      <c r="T5568">
        <v>-7.2915549999999996E-2</v>
      </c>
      <c r="U5568">
        <v>3.082306</v>
      </c>
      <c r="V5568">
        <v>-8.7337919999999902E-3</v>
      </c>
      <c r="W5568">
        <v>0.2069513</v>
      </c>
      <c r="X5568">
        <v>0.97831230000000002</v>
      </c>
      <c r="Y5568">
        <v>0.1248283</v>
      </c>
      <c r="Z5568">
        <v>-1.0719019999999999E-2</v>
      </c>
      <c r="AA5568">
        <v>0.99212040000000001</v>
      </c>
      <c r="AB5568">
        <v>34</v>
      </c>
      <c r="AC5568">
        <v>5.2157999999999998</v>
      </c>
      <c r="AD5568">
        <v>-1.1206564801359999</v>
      </c>
      <c r="AE5568">
        <v>47.024259999999899</v>
      </c>
      <c r="AF5568">
        <v>5.9470929694647996</v>
      </c>
      <c r="AG5568">
        <v>-1.1206564801359999</v>
      </c>
      <c r="AH5568">
        <v>46.910639024569299</v>
      </c>
      <c r="AI5568">
        <v>91.357626428657298</v>
      </c>
      <c r="AJ5568">
        <v>82.774874189058806</v>
      </c>
      <c r="AK5568">
        <v>47.299385190796798</v>
      </c>
      <c r="AL5568">
        <v>78.056250262469504</v>
      </c>
      <c r="AM5568">
        <v>90.511489150657695</v>
      </c>
      <c r="AN5568">
        <v>1.00000003801283</v>
      </c>
    </row>
    <row r="5569" spans="1:40" x14ac:dyDescent="0.25">
      <c r="A5569" t="str">
        <f>"20190303162712357"</f>
        <v>20190303162712357</v>
      </c>
      <c r="B5569" t="str">
        <f>"1551601632349440"</f>
        <v>1551601632349440</v>
      </c>
      <c r="C5569" t="s">
        <v>40</v>
      </c>
      <c r="D5569">
        <v>4.5236619999999998</v>
      </c>
      <c r="E5569">
        <v>0.55367429999999995</v>
      </c>
      <c r="F5569" t="s">
        <v>41</v>
      </c>
      <c r="G5569">
        <v>-183.3526</v>
      </c>
      <c r="H5569" s="1">
        <v>-4.7195490000000002E-6</v>
      </c>
      <c r="I5569">
        <v>97.885570000000001</v>
      </c>
      <c r="J5569">
        <v>-188.63120000000001</v>
      </c>
      <c r="K5569">
        <v>1.1206510000000001</v>
      </c>
      <c r="L5569">
        <v>50.662379999999999</v>
      </c>
      <c r="M5569">
        <v>-1.5247709999999999E-2</v>
      </c>
      <c r="N5569">
        <v>-1.27499E-2</v>
      </c>
      <c r="O5569">
        <v>0.99980250000000004</v>
      </c>
      <c r="P5569">
        <v>-2.3992429999999999E-2</v>
      </c>
      <c r="Q5569">
        <v>0.1945325</v>
      </c>
      <c r="R5569">
        <v>0.98060259999999999</v>
      </c>
      <c r="S5569">
        <v>0.34178160000000002</v>
      </c>
      <c r="T5569">
        <v>-7.262731E-2</v>
      </c>
      <c r="U5569">
        <v>3.0821529999999999</v>
      </c>
      <c r="V5569">
        <v>-8.8479309999999999E-3</v>
      </c>
      <c r="W5569">
        <v>0.20703060000000001</v>
      </c>
      <c r="X5569">
        <v>0.97829440000000001</v>
      </c>
      <c r="Y5569">
        <v>0.1253232</v>
      </c>
      <c r="Z5569">
        <v>-1.0629629999999999E-2</v>
      </c>
      <c r="AA5569">
        <v>0.99205909999999997</v>
      </c>
      <c r="AB5569">
        <v>34</v>
      </c>
      <c r="AC5569">
        <v>5.2786000000000097</v>
      </c>
      <c r="AD5569">
        <v>-1.1206557195489999</v>
      </c>
      <c r="AE5569">
        <v>47.223190000000002</v>
      </c>
      <c r="AF5569">
        <v>5.9947558923468698</v>
      </c>
      <c r="AG5569">
        <v>-1.1206557195489999</v>
      </c>
      <c r="AH5569">
        <v>47.1110024206926</v>
      </c>
      <c r="AI5569">
        <v>91.351773849362502</v>
      </c>
      <c r="AJ5569">
        <v>82.748229429267795</v>
      </c>
      <c r="AK5569">
        <v>47.504099997085397</v>
      </c>
      <c r="AL5569">
        <v>78.051604990553002</v>
      </c>
      <c r="AM5569">
        <v>90.518182749359497</v>
      </c>
      <c r="AN5569">
        <v>0.99999994414534799</v>
      </c>
    </row>
    <row r="5570" spans="1:40" x14ac:dyDescent="0.25">
      <c r="A5570" t="str">
        <f>"20190303162712378"</f>
        <v>20190303162712378</v>
      </c>
      <c r="B5570" t="str">
        <f>"1551601632369937"</f>
        <v>1551601632369937</v>
      </c>
      <c r="C5570" t="s">
        <v>40</v>
      </c>
      <c r="D5570">
        <v>4.622001</v>
      </c>
      <c r="E5570">
        <v>0.5368851</v>
      </c>
      <c r="F5570" t="s">
        <v>41</v>
      </c>
      <c r="G5570">
        <v>-183.29519999999999</v>
      </c>
      <c r="H5570" s="1">
        <v>-5.0619109999999999E-6</v>
      </c>
      <c r="I5570">
        <v>98.659869999999998</v>
      </c>
      <c r="J5570">
        <v>-188.63570000000001</v>
      </c>
      <c r="K5570">
        <v>1.1206510000000001</v>
      </c>
      <c r="L5570">
        <v>50.987670000000001</v>
      </c>
      <c r="M5570">
        <v>-1.4871000000000001E-2</v>
      </c>
      <c r="N5570">
        <v>-1.274659E-2</v>
      </c>
      <c r="O5570">
        <v>0.99980820000000004</v>
      </c>
      <c r="P5570">
        <v>-2.3601029999999999E-2</v>
      </c>
      <c r="Q5570">
        <v>0.1938935</v>
      </c>
      <c r="R5570">
        <v>0.98073860000000002</v>
      </c>
      <c r="S5570">
        <v>0.3426361</v>
      </c>
      <c r="T5570">
        <v>-7.1959259999999997E-2</v>
      </c>
      <c r="U5570">
        <v>3.082001</v>
      </c>
      <c r="V5570">
        <v>-8.8258269999999996E-3</v>
      </c>
      <c r="W5570">
        <v>0.20639009999999999</v>
      </c>
      <c r="X5570">
        <v>0.97843000000000002</v>
      </c>
      <c r="Y5570">
        <v>0.1252269</v>
      </c>
      <c r="Z5570">
        <v>-1.041925E-2</v>
      </c>
      <c r="AA5570">
        <v>0.99207339999999999</v>
      </c>
      <c r="AB5570">
        <v>34</v>
      </c>
      <c r="AC5570">
        <v>5.34050000000002</v>
      </c>
      <c r="AD5570">
        <v>-1.120656061911</v>
      </c>
      <c r="AE5570">
        <v>47.672199999999997</v>
      </c>
      <c r="AF5570">
        <v>6.0456008004788302</v>
      </c>
      <c r="AG5570">
        <v>-1.120656061911</v>
      </c>
      <c r="AH5570">
        <v>47.561545588121</v>
      </c>
      <c r="AI5570">
        <v>91.338996640837806</v>
      </c>
      <c r="AJ5570">
        <v>82.755918016036304</v>
      </c>
      <c r="AK5570">
        <v>47.9573328885037</v>
      </c>
      <c r="AL5570">
        <v>78.089113909504903</v>
      </c>
      <c r="AM5570">
        <v>90.516816658416502</v>
      </c>
      <c r="AN5570">
        <v>1.00000001675012</v>
      </c>
    </row>
    <row r="5571" spans="1:40" x14ac:dyDescent="0.25">
      <c r="A5571" t="str">
        <f>"20190303162712400"</f>
        <v>20190303162712400</v>
      </c>
      <c r="B5571" t="str">
        <f>"1551601632389457"</f>
        <v>1551601632389457</v>
      </c>
      <c r="C5571" t="s">
        <v>40</v>
      </c>
      <c r="D5571">
        <v>4.6021619999999999</v>
      </c>
      <c r="E5571">
        <v>0.51914490000000002</v>
      </c>
      <c r="F5571" t="s">
        <v>41</v>
      </c>
      <c r="G5571">
        <v>-185.54400000000001</v>
      </c>
      <c r="H5571" s="1">
        <v>-3.6283789999999999E-6</v>
      </c>
      <c r="I5571">
        <v>96.248140000000006</v>
      </c>
      <c r="J5571">
        <v>-188.64</v>
      </c>
      <c r="K5571">
        <v>1.1206499999999999</v>
      </c>
      <c r="L5571">
        <v>51.299840000000003</v>
      </c>
      <c r="M5571">
        <v>-1.450859E-2</v>
      </c>
      <c r="N5571">
        <v>-1.274381E-2</v>
      </c>
      <c r="O5571">
        <v>0.99981359999999997</v>
      </c>
      <c r="P5571">
        <v>-2.3782609999999999E-2</v>
      </c>
      <c r="Q5571">
        <v>0.1937692</v>
      </c>
      <c r="R5571">
        <v>0.98075880000000004</v>
      </c>
      <c r="S5571">
        <v>0.21032709999999999</v>
      </c>
      <c r="T5571">
        <v>-7.6237440000000004E-2</v>
      </c>
      <c r="U5571">
        <v>3.0790410000000001</v>
      </c>
      <c r="V5571">
        <v>-9.3635509999999995E-3</v>
      </c>
      <c r="W5571">
        <v>0.20626359999999999</v>
      </c>
      <c r="X5571">
        <v>0.97845170000000004</v>
      </c>
      <c r="Y5571">
        <v>8.2594829999999994E-2</v>
      </c>
      <c r="Z5571">
        <v>-1.192938E-2</v>
      </c>
      <c r="AA5571">
        <v>0.99651179999999995</v>
      </c>
      <c r="AB5571">
        <v>34</v>
      </c>
      <c r="AC5571">
        <v>3.0959999999999699</v>
      </c>
      <c r="AD5571">
        <v>-1.1206536283789901</v>
      </c>
      <c r="AE5571">
        <v>44.948300000000003</v>
      </c>
      <c r="AF5571">
        <v>3.7455461835739601</v>
      </c>
      <c r="AG5571">
        <v>-1.1206536283789901</v>
      </c>
      <c r="AH5571">
        <v>44.870885577975898</v>
      </c>
      <c r="AI5571">
        <v>91.425712423955005</v>
      </c>
      <c r="AJ5571">
        <v>85.2283621391867</v>
      </c>
      <c r="AK5571">
        <v>45.040885352309502</v>
      </c>
      <c r="AL5571">
        <v>78.096521476135194</v>
      </c>
      <c r="AM5571">
        <v>90.548290300971203</v>
      </c>
      <c r="AN5571">
        <v>1.0000000390025801</v>
      </c>
    </row>
    <row r="5572" spans="1:40" x14ac:dyDescent="0.25">
      <c r="A5572" t="str">
        <f>"20190303162712423"</f>
        <v>20190303162712423</v>
      </c>
      <c r="B5572" t="str">
        <f>"1551601632411435"</f>
        <v>1551601632411435</v>
      </c>
      <c r="C5572" t="s">
        <v>40</v>
      </c>
      <c r="D5572">
        <v>4.6183370000000004</v>
      </c>
      <c r="E5572">
        <v>0.5097604</v>
      </c>
      <c r="F5572" t="s">
        <v>41</v>
      </c>
      <c r="G5572">
        <v>-187.3407</v>
      </c>
      <c r="H5572" s="1">
        <v>-4.6093260000000004E-6</v>
      </c>
      <c r="I5572">
        <v>109.2777</v>
      </c>
      <c r="J5572">
        <v>-188.64449999999999</v>
      </c>
      <c r="K5572">
        <v>1.120652</v>
      </c>
      <c r="L5572">
        <v>51.647219999999997</v>
      </c>
      <c r="M5572">
        <v>-1.4104999999999999E-2</v>
      </c>
      <c r="N5572">
        <v>-1.274104E-2</v>
      </c>
      <c r="O5572">
        <v>0.99981929999999997</v>
      </c>
      <c r="P5572">
        <v>-2.3585080000000001E-2</v>
      </c>
      <c r="Q5572">
        <v>0.193213</v>
      </c>
      <c r="R5572">
        <v>0.98087329999999995</v>
      </c>
      <c r="S5572">
        <v>6.8847660000000005E-2</v>
      </c>
      <c r="T5572">
        <v>-5.9383869999999998E-2</v>
      </c>
      <c r="U5572">
        <v>3.0722659999999999</v>
      </c>
      <c r="V5572">
        <v>-9.5615849999999992E-3</v>
      </c>
      <c r="W5572">
        <v>0.20570649999999999</v>
      </c>
      <c r="X5572">
        <v>0.97856699999999996</v>
      </c>
      <c r="Y5572">
        <v>3.6496220000000003E-2</v>
      </c>
      <c r="Z5572">
        <v>-6.5714170000000004E-3</v>
      </c>
      <c r="AA5572">
        <v>0.99931219999999998</v>
      </c>
      <c r="AB5572">
        <v>34</v>
      </c>
      <c r="AC5572">
        <v>1.3037999999999901</v>
      </c>
      <c r="AD5572">
        <v>-1.120656609326</v>
      </c>
      <c r="AE5572">
        <v>57.630479999999899</v>
      </c>
      <c r="AF5572">
        <v>2.11581457428816</v>
      </c>
      <c r="AG5572">
        <v>-1.120656609326</v>
      </c>
      <c r="AH5572">
        <v>57.584591071620302</v>
      </c>
      <c r="AI5572">
        <v>91.114143679339307</v>
      </c>
      <c r="AJ5572">
        <v>87.895743742266703</v>
      </c>
      <c r="AK5572">
        <v>57.634344547626597</v>
      </c>
      <c r="AL5572">
        <v>78.129139762419399</v>
      </c>
      <c r="AM5572">
        <v>90.559819646929995</v>
      </c>
      <c r="AN5572">
        <v>0.99999998076948005</v>
      </c>
    </row>
    <row r="5573" spans="1:40" x14ac:dyDescent="0.25">
      <c r="A5573" t="str">
        <f>"20190303162712446"</f>
        <v>20190303162712446</v>
      </c>
      <c r="B5573" t="str">
        <f>"1551601632439740"</f>
        <v>1551601632439740</v>
      </c>
      <c r="C5573" t="s">
        <v>40</v>
      </c>
      <c r="D5573">
        <v>4.6248620000000003</v>
      </c>
      <c r="E5573">
        <v>0.50578310000000004</v>
      </c>
      <c r="F5573" t="s">
        <v>41</v>
      </c>
      <c r="G5573">
        <v>-188.74340000000001</v>
      </c>
      <c r="H5573" s="1">
        <v>-1.040545E-6</v>
      </c>
      <c r="I5573">
        <v>111.53870000000001</v>
      </c>
      <c r="J5573">
        <v>-188.649</v>
      </c>
      <c r="K5573">
        <v>1.120649</v>
      </c>
      <c r="L5573">
        <v>51.99579</v>
      </c>
      <c r="M5573">
        <v>-1.370038E-2</v>
      </c>
      <c r="N5573">
        <v>-1.273846E-2</v>
      </c>
      <c r="O5573">
        <v>0.99982499999999996</v>
      </c>
      <c r="P5573">
        <v>-2.3320239999999999E-2</v>
      </c>
      <c r="Q5573">
        <v>0.19278120000000001</v>
      </c>
      <c r="R5573">
        <v>0.98096459999999996</v>
      </c>
      <c r="S5573">
        <v>-5.065918E-3</v>
      </c>
      <c r="T5573">
        <v>-5.7438370000000002E-2</v>
      </c>
      <c r="U5573">
        <v>3.0697019999999999</v>
      </c>
      <c r="V5573">
        <v>-9.6931380000000004E-3</v>
      </c>
      <c r="W5573">
        <v>0.20527339999999999</v>
      </c>
      <c r="X5573">
        <v>0.97865659999999999</v>
      </c>
      <c r="Y5573">
        <v>1.2048949999999999E-2</v>
      </c>
      <c r="Z5573">
        <v>-5.9671739999999996E-3</v>
      </c>
      <c r="AA5573">
        <v>0.99990959999999995</v>
      </c>
      <c r="AB5573">
        <v>33</v>
      </c>
      <c r="AC5573">
        <v>-9.4400000000007298E-2</v>
      </c>
      <c r="AD5573">
        <v>-1.1206500405449999</v>
      </c>
      <c r="AE5573">
        <v>59.542909999999999</v>
      </c>
      <c r="AF5573">
        <v>0.72118008919188503</v>
      </c>
      <c r="AG5573">
        <v>-1.1206500405449999</v>
      </c>
      <c r="AH5573">
        <v>59.517531558494497</v>
      </c>
      <c r="AI5573">
        <v>91.078610254397702</v>
      </c>
      <c r="AJ5573">
        <v>89.305775085273396</v>
      </c>
      <c r="AK5573">
        <v>59.532449303306898</v>
      </c>
      <c r="AL5573">
        <v>78.1544951084865</v>
      </c>
      <c r="AM5573">
        <v>90.567469465746598</v>
      </c>
      <c r="AN5573">
        <v>0.99999993319770097</v>
      </c>
    </row>
    <row r="5574" spans="1:40" x14ac:dyDescent="0.25">
      <c r="A5574" t="str">
        <f>"20190303162712467"</f>
        <v>20190303162712467</v>
      </c>
      <c r="B5574" t="str">
        <f>"1551601632460235"</f>
        <v>1551601632460235</v>
      </c>
      <c r="C5574" t="s">
        <v>40</v>
      </c>
      <c r="D5574">
        <v>4.5618509999999999</v>
      </c>
      <c r="E5574">
        <v>0.50467489999999904</v>
      </c>
      <c r="F5574" t="s">
        <v>41</v>
      </c>
      <c r="G5574">
        <v>-189.27420000000001</v>
      </c>
      <c r="H5574" s="1">
        <v>-2.9114319999999998E-6</v>
      </c>
      <c r="I5574">
        <v>106.1193</v>
      </c>
      <c r="J5574">
        <v>-188.65289999999999</v>
      </c>
      <c r="K5574">
        <v>1.120641</v>
      </c>
      <c r="L5574">
        <v>52.31418</v>
      </c>
      <c r="M5574">
        <v>-1.333106E-2</v>
      </c>
      <c r="N5574">
        <v>-1.2736280000000001E-2</v>
      </c>
      <c r="O5574">
        <v>0.99983</v>
      </c>
      <c r="P5574">
        <v>-2.3230500000000001E-2</v>
      </c>
      <c r="Q5574">
        <v>0.19168830000000001</v>
      </c>
      <c r="R5574">
        <v>0.98118090000000002</v>
      </c>
      <c r="S5574">
        <v>-3.5461430000000002E-2</v>
      </c>
      <c r="T5574">
        <v>-6.3562750000000001E-2</v>
      </c>
      <c r="U5574">
        <v>3.069855</v>
      </c>
      <c r="V5574">
        <v>-9.9647269999999996E-3</v>
      </c>
      <c r="W5574">
        <v>0.2041808</v>
      </c>
      <c r="X5574">
        <v>0.97888249999999999</v>
      </c>
      <c r="Y5574">
        <v>1.7815350000000001E-3</v>
      </c>
      <c r="Z5574">
        <v>-7.9633059999999999E-3</v>
      </c>
      <c r="AA5574">
        <v>0.99996669999999999</v>
      </c>
      <c r="AB5574">
        <v>33</v>
      </c>
      <c r="AC5574">
        <v>-0.62130000000001895</v>
      </c>
      <c r="AD5574">
        <v>-1.1206439114319999</v>
      </c>
      <c r="AE5574">
        <v>53.805120000000002</v>
      </c>
      <c r="AF5574">
        <v>9.6051038809825295E-2</v>
      </c>
      <c r="AG5574">
        <v>-1.1206439114319999</v>
      </c>
      <c r="AH5574">
        <v>53.785292355212199</v>
      </c>
      <c r="AI5574">
        <v>91.193612090107706</v>
      </c>
      <c r="AJ5574">
        <v>89.897679959514093</v>
      </c>
      <c r="AK5574">
        <v>53.797051427693802</v>
      </c>
      <c r="AL5574">
        <v>78.218452191192995</v>
      </c>
      <c r="AM5574">
        <v>90.583233514731504</v>
      </c>
      <c r="AN5574">
        <v>1.00000002183953</v>
      </c>
    </row>
    <row r="5575" spans="1:40" x14ac:dyDescent="0.25">
      <c r="A5575" t="str">
        <f>"20190303162712489"</f>
        <v>20190303162712489</v>
      </c>
      <c r="B5575" t="str">
        <f>"1551601632479755"</f>
        <v>1551601632479755</v>
      </c>
      <c r="C5575" t="s">
        <v>40</v>
      </c>
      <c r="D5575">
        <v>4.628908</v>
      </c>
      <c r="E5575">
        <v>0.5037507</v>
      </c>
      <c r="F5575" t="s">
        <v>41</v>
      </c>
      <c r="G5575">
        <v>-189.38339999999999</v>
      </c>
      <c r="H5575" s="1">
        <v>-1.997902E-6</v>
      </c>
      <c r="I5575">
        <v>104.035</v>
      </c>
      <c r="J5575">
        <v>-188.65690000000001</v>
      </c>
      <c r="K5575">
        <v>1.1206320000000001</v>
      </c>
      <c r="L5575">
        <v>52.644959999999998</v>
      </c>
      <c r="M5575">
        <v>-1.294766E-2</v>
      </c>
      <c r="N5575">
        <v>-1.2734219999999999E-2</v>
      </c>
      <c r="O5575">
        <v>0.99983509999999998</v>
      </c>
      <c r="P5575">
        <v>-2.3124599999999999E-2</v>
      </c>
      <c r="Q5575">
        <v>0.1911861</v>
      </c>
      <c r="R5575">
        <v>0.98128130000000002</v>
      </c>
      <c r="S5575">
        <v>-4.3350220000000002E-2</v>
      </c>
      <c r="T5575">
        <v>-6.6507819999999995E-2</v>
      </c>
      <c r="U5575">
        <v>3.0695190000000001</v>
      </c>
      <c r="V5575">
        <v>-1.0234210000000001E-2</v>
      </c>
      <c r="W5575">
        <v>0.20367850000000001</v>
      </c>
      <c r="X5575">
        <v>0.97898439999999998</v>
      </c>
      <c r="Y5575">
        <v>-1.17198E-3</v>
      </c>
      <c r="Z5575">
        <v>-8.9264549999999998E-3</v>
      </c>
      <c r="AA5575">
        <v>0.9999595</v>
      </c>
      <c r="AB5575">
        <v>33</v>
      </c>
      <c r="AC5575">
        <v>-0.72649999999998705</v>
      </c>
      <c r="AD5575">
        <v>-1.1206339979019999</v>
      </c>
      <c r="AE5575">
        <v>51.390039999999999</v>
      </c>
      <c r="AF5575">
        <v>-6.0975391108170997E-2</v>
      </c>
      <c r="AG5575">
        <v>-1.1206339979019999</v>
      </c>
      <c r="AH5575">
        <v>51.370715824807299</v>
      </c>
      <c r="AI5575">
        <v>91.249688078397099</v>
      </c>
      <c r="AJ5575">
        <v>90.068008219621703</v>
      </c>
      <c r="AK5575">
        <v>51.382973667438499</v>
      </c>
      <c r="AL5575">
        <v>78.247850121924202</v>
      </c>
      <c r="AM5575">
        <v>90.598942823279401</v>
      </c>
      <c r="AN5575">
        <v>1.0000000629299599</v>
      </c>
    </row>
    <row r="5576" spans="1:40" x14ac:dyDescent="0.25">
      <c r="A5576" t="str">
        <f>"20190303162712514"</f>
        <v>20190303162712514</v>
      </c>
      <c r="B5576" t="str">
        <f>"1551601632500251"</f>
        <v>1551601632500251</v>
      </c>
      <c r="C5576" t="s">
        <v>40</v>
      </c>
      <c r="D5576">
        <v>4.6636519999999999</v>
      </c>
      <c r="E5576">
        <v>0.50322309999999904</v>
      </c>
      <c r="F5576" t="s">
        <v>41</v>
      </c>
      <c r="G5576">
        <v>-189.47630000000001</v>
      </c>
      <c r="H5576" s="1">
        <v>-1.3571289999999901E-6</v>
      </c>
      <c r="I5576">
        <v>102.5797</v>
      </c>
      <c r="J5576">
        <v>-188.6609</v>
      </c>
      <c r="K5576">
        <v>1.120633</v>
      </c>
      <c r="L5576">
        <v>52.989170000000001</v>
      </c>
      <c r="M5576">
        <v>-1.254861E-2</v>
      </c>
      <c r="N5576">
        <v>-1.273228E-2</v>
      </c>
      <c r="O5576">
        <v>0.99984019999999996</v>
      </c>
      <c r="P5576">
        <v>-2.305347E-2</v>
      </c>
      <c r="Q5576">
        <v>0.19067819999999999</v>
      </c>
      <c r="R5576">
        <v>0.98138179999999997</v>
      </c>
      <c r="S5576">
        <v>-5.0369259999999999E-2</v>
      </c>
      <c r="T5576">
        <v>-6.8884609999999999E-2</v>
      </c>
      <c r="U5576">
        <v>3.069458</v>
      </c>
      <c r="V5576">
        <v>-1.0553720000000001E-2</v>
      </c>
      <c r="W5576">
        <v>0.2031705</v>
      </c>
      <c r="X5576">
        <v>0.97908649999999997</v>
      </c>
      <c r="Y5576">
        <v>-3.8567520000000002E-3</v>
      </c>
      <c r="Z5576">
        <v>-9.7024710000000007E-3</v>
      </c>
      <c r="AA5576">
        <v>0.99994550000000004</v>
      </c>
      <c r="AB5576">
        <v>33</v>
      </c>
      <c r="AC5576">
        <v>-0.815400000000011</v>
      </c>
      <c r="AD5576">
        <v>-1.1206343571290001</v>
      </c>
      <c r="AE5576">
        <v>49.590530000000001</v>
      </c>
      <c r="AF5576">
        <v>-0.19289464518341401</v>
      </c>
      <c r="AG5576">
        <v>-1.1206343571290001</v>
      </c>
      <c r="AH5576">
        <v>49.571550448117797</v>
      </c>
      <c r="AI5576">
        <v>91.295020999048702</v>
      </c>
      <c r="AJ5576">
        <v>90.222950324892395</v>
      </c>
      <c r="AK5576">
        <v>49.584590787227498</v>
      </c>
      <c r="AL5576">
        <v>78.277577263482897</v>
      </c>
      <c r="AM5576">
        <v>90.617575869328107</v>
      </c>
      <c r="AN5576">
        <v>1.0000000037791601</v>
      </c>
    </row>
    <row r="5577" spans="1:40" x14ac:dyDescent="0.25">
      <c r="A5577" t="str">
        <f>"20190303162712537"</f>
        <v>20190303162712537</v>
      </c>
      <c r="B5577" t="str">
        <f>"1551601632530038"</f>
        <v>1551601632530038</v>
      </c>
      <c r="C5577" t="s">
        <v>40</v>
      </c>
      <c r="D5577">
        <v>4.7795319999999997</v>
      </c>
      <c r="E5577">
        <v>0.50268630000000003</v>
      </c>
      <c r="F5577" t="s">
        <v>41</v>
      </c>
      <c r="G5577">
        <v>-189.5197</v>
      </c>
      <c r="H5577" s="1">
        <v>-9.3346200000000005E-7</v>
      </c>
      <c r="I5577">
        <v>101.6101</v>
      </c>
      <c r="J5577">
        <v>-188.66499999999999</v>
      </c>
      <c r="K5577">
        <v>1.1206370000000001</v>
      </c>
      <c r="L5577">
        <v>53.356960000000001</v>
      </c>
      <c r="M5577">
        <v>-1.212214E-2</v>
      </c>
      <c r="N5577">
        <v>-1.273033E-2</v>
      </c>
      <c r="O5577">
        <v>0.99984550000000005</v>
      </c>
      <c r="P5577">
        <v>-2.2966489999999999E-2</v>
      </c>
      <c r="Q5577">
        <v>0.190277</v>
      </c>
      <c r="R5577">
        <v>0.98146180000000005</v>
      </c>
      <c r="S5577">
        <v>-5.4214480000000002E-2</v>
      </c>
      <c r="T5577">
        <v>-7.0744630000000003E-2</v>
      </c>
      <c r="U5577">
        <v>3.0693969999999999</v>
      </c>
      <c r="V5577">
        <v>-1.088565E-2</v>
      </c>
      <c r="W5577">
        <v>0.20276810000000001</v>
      </c>
      <c r="X5577">
        <v>0.97916630000000004</v>
      </c>
      <c r="Y5577">
        <v>-5.5354230000000003E-3</v>
      </c>
      <c r="Z5577">
        <v>-1.03103E-2</v>
      </c>
      <c r="AA5577">
        <v>0.99993149999999997</v>
      </c>
      <c r="AB5577">
        <v>33</v>
      </c>
      <c r="AC5577">
        <v>-0.85470000000000801</v>
      </c>
      <c r="AD5577">
        <v>-1.120637933462</v>
      </c>
      <c r="AE5577">
        <v>48.253140000000002</v>
      </c>
      <c r="AF5577">
        <v>-0.26951315830404499</v>
      </c>
      <c r="AG5577">
        <v>-1.120637933462</v>
      </c>
      <c r="AH5577">
        <v>48.233948270801697</v>
      </c>
      <c r="AI5577">
        <v>91.330914745805799</v>
      </c>
      <c r="AJ5577">
        <v>90.320143930640995</v>
      </c>
      <c r="AK5577">
        <v>48.247717381351698</v>
      </c>
      <c r="AL5577">
        <v>78.301123400458707</v>
      </c>
      <c r="AM5577">
        <v>90.636946051950403</v>
      </c>
      <c r="AN5577">
        <v>1.0000000214046101</v>
      </c>
    </row>
    <row r="5578" spans="1:40" x14ac:dyDescent="0.25">
      <c r="A5578" t="str">
        <f>"20190303162712578"</f>
        <v>20190303162712578</v>
      </c>
      <c r="B5578" t="str">
        <f>"1551601632570054"</f>
        <v>1551601632570054</v>
      </c>
      <c r="C5578" t="s">
        <v>40</v>
      </c>
      <c r="D5578">
        <v>4.8932830000000003</v>
      </c>
      <c r="E5578">
        <v>0.50165099999999996</v>
      </c>
      <c r="F5578" t="s">
        <v>41</v>
      </c>
      <c r="G5578">
        <v>-189.5341</v>
      </c>
      <c r="H5578" s="1">
        <v>-4.1826410000000001E-6</v>
      </c>
      <c r="I5578">
        <v>99.189989999999995</v>
      </c>
      <c r="J5578">
        <v>-188.67160000000001</v>
      </c>
      <c r="K5578">
        <v>1.1206449999999999</v>
      </c>
      <c r="L5578">
        <v>53.978149999999999</v>
      </c>
      <c r="M5578">
        <v>-1.1405200000000001E-2</v>
      </c>
      <c r="N5578">
        <v>-1.27274E-2</v>
      </c>
      <c r="O5578">
        <v>0.99985400000000002</v>
      </c>
      <c r="P5578">
        <v>-2.233481E-2</v>
      </c>
      <c r="Q5578">
        <v>0.19097620000000001</v>
      </c>
      <c r="R5578">
        <v>0.98134049999999995</v>
      </c>
      <c r="S5578">
        <v>-5.8212279999999998E-2</v>
      </c>
      <c r="T5578">
        <v>-7.5059529999999999E-2</v>
      </c>
      <c r="U5578">
        <v>3.069855</v>
      </c>
      <c r="V5578">
        <v>-1.0959679999999999E-2</v>
      </c>
      <c r="W5578">
        <v>0.2034628</v>
      </c>
      <c r="X5578">
        <v>0.97902129999999998</v>
      </c>
      <c r="Y5578">
        <v>-7.5507459999999997E-3</v>
      </c>
      <c r="Z5578">
        <v>-1.171409E-2</v>
      </c>
      <c r="AA5578">
        <v>0.99990290000000004</v>
      </c>
      <c r="AB5578">
        <v>33</v>
      </c>
      <c r="AC5578">
        <v>-0.86249999999998195</v>
      </c>
      <c r="AD5578">
        <v>-1.1206491826410001</v>
      </c>
      <c r="AE5578">
        <v>45.211840000000002</v>
      </c>
      <c r="AF5578">
        <v>-0.34653923985845397</v>
      </c>
      <c r="AG5578">
        <v>-1.1206491826410001</v>
      </c>
      <c r="AH5578">
        <v>45.190982460874999</v>
      </c>
      <c r="AI5578">
        <v>91.420491914638205</v>
      </c>
      <c r="AJ5578">
        <v>90.439354172625002</v>
      </c>
      <c r="AK5578">
        <v>45.206203554539201</v>
      </c>
      <c r="AL5578">
        <v>78.260471986046895</v>
      </c>
      <c r="AM5578">
        <v>90.641372337900506</v>
      </c>
      <c r="AN5578">
        <v>0.99999996571161498</v>
      </c>
    </row>
    <row r="5579" spans="1:40" x14ac:dyDescent="0.25">
      <c r="A5579" t="str">
        <f>"20190303162712601"</f>
        <v>20190303162712601</v>
      </c>
      <c r="B5579" t="str">
        <f>"1551601632589574"</f>
        <v>1551601632589574</v>
      </c>
      <c r="C5579" t="s">
        <v>40</v>
      </c>
      <c r="D5579">
        <v>4.6325510000000003</v>
      </c>
      <c r="E5579">
        <v>0.50108549999999996</v>
      </c>
      <c r="F5579" t="s">
        <v>41</v>
      </c>
      <c r="G5579">
        <v>-189.6927</v>
      </c>
      <c r="H5579" s="1">
        <v>-1.9094849999999999E-6</v>
      </c>
      <c r="I5579">
        <v>103.9568</v>
      </c>
      <c r="J5579">
        <v>-188.67500000000001</v>
      </c>
      <c r="K5579">
        <v>1.120652</v>
      </c>
      <c r="L5579">
        <v>54.310580000000002</v>
      </c>
      <c r="M5579">
        <v>-1.102387E-2</v>
      </c>
      <c r="N5579">
        <v>-1.272594E-2</v>
      </c>
      <c r="O5579">
        <v>0.99985829999999998</v>
      </c>
      <c r="P5579">
        <v>-2.1563519999999999E-2</v>
      </c>
      <c r="Q5579">
        <v>0.19320960000000001</v>
      </c>
      <c r="R5579">
        <v>0.98092049999999997</v>
      </c>
      <c r="S5579">
        <v>-6.2698359999999995E-2</v>
      </c>
      <c r="T5579">
        <v>-6.8814749999999994E-2</v>
      </c>
      <c r="U5579">
        <v>3.069</v>
      </c>
      <c r="V5579">
        <v>-1.056578E-2</v>
      </c>
      <c r="W5579">
        <v>0.2056887</v>
      </c>
      <c r="X5579">
        <v>0.9785604</v>
      </c>
      <c r="Y5579">
        <v>-9.3985479999999996E-3</v>
      </c>
      <c r="Z5579">
        <v>-9.6889009999999998E-3</v>
      </c>
      <c r="AA5579">
        <v>0.99990889999999999</v>
      </c>
      <c r="AB5579">
        <v>33</v>
      </c>
      <c r="AC5579">
        <v>-1.0176999999999901</v>
      </c>
      <c r="AD5579">
        <v>-1.1206539094850001</v>
      </c>
      <c r="AE5579">
        <v>49.64622</v>
      </c>
      <c r="AF5579">
        <v>-0.47006096817568999</v>
      </c>
      <c r="AG5579">
        <v>-1.1206539094850001</v>
      </c>
      <c r="AH5579">
        <v>49.6291457058568</v>
      </c>
      <c r="AI5579">
        <v>91.293492974695496</v>
      </c>
      <c r="AJ5579">
        <v>90.542659034123105</v>
      </c>
      <c r="AK5579">
        <v>49.644022056958804</v>
      </c>
      <c r="AL5579">
        <v>78.130181744024696</v>
      </c>
      <c r="AM5579">
        <v>90.618613912688602</v>
      </c>
      <c r="AN5579">
        <v>0.99999996673142799</v>
      </c>
    </row>
    <row r="5580" spans="1:40" x14ac:dyDescent="0.25">
      <c r="A5580" t="str">
        <f>"20190303162712626"</f>
        <v>20190303162712626</v>
      </c>
      <c r="B5580" t="str">
        <f>"1551601632620336"</f>
        <v>1551601632620336</v>
      </c>
      <c r="C5580" t="s">
        <v>40</v>
      </c>
      <c r="D5580">
        <v>4.7899139999999996</v>
      </c>
      <c r="E5580">
        <v>0.50040169999999995</v>
      </c>
      <c r="F5580" t="s">
        <v>41</v>
      </c>
      <c r="G5580">
        <v>-189.9383</v>
      </c>
      <c r="H5580" s="1">
        <v>-1.693195E-6</v>
      </c>
      <c r="I5580">
        <v>113.55410000000001</v>
      </c>
      <c r="J5580">
        <v>-188.67859999999999</v>
      </c>
      <c r="K5580">
        <v>1.120662</v>
      </c>
      <c r="L5580">
        <v>54.681179999999998</v>
      </c>
      <c r="M5580">
        <v>-1.060151E-2</v>
      </c>
      <c r="N5580">
        <v>-1.272446E-2</v>
      </c>
      <c r="O5580">
        <v>0.99986280000000005</v>
      </c>
      <c r="P5580">
        <v>-2.0758970000000002E-2</v>
      </c>
      <c r="Q5580">
        <v>0.19424469999999999</v>
      </c>
      <c r="R5580">
        <v>0.98073350000000004</v>
      </c>
      <c r="S5580">
        <v>-6.5429689999999999E-2</v>
      </c>
      <c r="T5580">
        <v>-5.8040620000000001E-2</v>
      </c>
      <c r="U5580">
        <v>3.0683289999999999</v>
      </c>
      <c r="V5580">
        <v>-1.017856E-2</v>
      </c>
      <c r="W5580">
        <v>0.2067194</v>
      </c>
      <c r="X5580">
        <v>0.97834730000000003</v>
      </c>
      <c r="Y5580">
        <v>-1.071564E-2</v>
      </c>
      <c r="Z5580">
        <v>-6.186085E-3</v>
      </c>
      <c r="AA5580">
        <v>0.99992349999999997</v>
      </c>
      <c r="AB5580">
        <v>33</v>
      </c>
      <c r="AC5580">
        <v>-1.2597</v>
      </c>
      <c r="AD5580">
        <v>-1.120663693195</v>
      </c>
      <c r="AE5580">
        <v>58.872919999999901</v>
      </c>
      <c r="AF5580">
        <v>-0.63520673091107505</v>
      </c>
      <c r="AG5580">
        <v>-1.120663693195</v>
      </c>
      <c r="AH5580">
        <v>58.861648426627497</v>
      </c>
      <c r="AI5580">
        <v>91.090655935100202</v>
      </c>
      <c r="AJ5580">
        <v>90.618284622795102</v>
      </c>
      <c r="AK5580">
        <v>58.875742290047903</v>
      </c>
      <c r="AL5580">
        <v>78.069830076827699</v>
      </c>
      <c r="AM5580">
        <v>90.596074103238394</v>
      </c>
      <c r="AN5580">
        <v>0.99999997641866101</v>
      </c>
    </row>
    <row r="5581" spans="1:40" x14ac:dyDescent="0.25">
      <c r="A5581" t="str">
        <f>"20190303162712649"</f>
        <v>20190303162712649</v>
      </c>
      <c r="B5581" t="str">
        <f>"1551601632639857"</f>
        <v>1551601632639857</v>
      </c>
      <c r="C5581" t="s">
        <v>40</v>
      </c>
      <c r="D5581">
        <v>4.9643739999999896</v>
      </c>
      <c r="E5581">
        <v>0.50027489999999997</v>
      </c>
      <c r="F5581" t="s">
        <v>47</v>
      </c>
      <c r="G5581">
        <v>-190.2381</v>
      </c>
      <c r="H5581" s="1">
        <v>-1.7421569999999999E-6</v>
      </c>
      <c r="I5581">
        <v>122.65819999999999</v>
      </c>
      <c r="J5581">
        <v>-188.68180000000001</v>
      </c>
      <c r="K5581">
        <v>1.1206659999999999</v>
      </c>
      <c r="L5581">
        <v>55.030819999999999</v>
      </c>
      <c r="M5581">
        <v>-1.0207819999999999E-2</v>
      </c>
      <c r="N5581">
        <v>-1.27232E-2</v>
      </c>
      <c r="O5581">
        <v>0.99986699999999995</v>
      </c>
      <c r="P5581">
        <v>-2.0645230000000001E-2</v>
      </c>
      <c r="Q5581">
        <v>0.1934487</v>
      </c>
      <c r="R5581">
        <v>0.98089309999999996</v>
      </c>
      <c r="S5581">
        <v>-7.0373539999999998E-2</v>
      </c>
      <c r="T5581">
        <v>-5.0570129999999998E-2</v>
      </c>
      <c r="U5581">
        <v>3.0674739999999998</v>
      </c>
      <c r="V5581">
        <v>-1.04514E-2</v>
      </c>
      <c r="W5581">
        <v>0.20592440000000001</v>
      </c>
      <c r="X5581">
        <v>0.9785121</v>
      </c>
      <c r="Y5581">
        <v>-1.272613E-2</v>
      </c>
      <c r="Z5581">
        <v>-3.7582420000000002E-3</v>
      </c>
      <c r="AA5581">
        <v>0.99991200000000002</v>
      </c>
      <c r="AB5581">
        <v>33</v>
      </c>
      <c r="AC5581">
        <v>-1.55629999999999</v>
      </c>
      <c r="AD5581">
        <v>-1.1206677421569999</v>
      </c>
      <c r="AE5581">
        <v>67.627379999999903</v>
      </c>
      <c r="AF5581">
        <v>-0.86559735974361196</v>
      </c>
      <c r="AG5581">
        <v>-1.1206677421569999</v>
      </c>
      <c r="AH5581">
        <v>67.621184386915203</v>
      </c>
      <c r="AI5581">
        <v>90.9493828952847</v>
      </c>
      <c r="AJ5581">
        <v>90.733385067791204</v>
      </c>
      <c r="AK5581">
        <v>67.6360091435523</v>
      </c>
      <c r="AL5581">
        <v>78.116382229123303</v>
      </c>
      <c r="AM5581">
        <v>90.611947813442896</v>
      </c>
      <c r="AN5581">
        <v>1.00000001006186</v>
      </c>
    </row>
    <row r="5582" spans="1:40" x14ac:dyDescent="0.25">
      <c r="A5582" t="str">
        <f>"20190303162712691"</f>
        <v>20190303162712691</v>
      </c>
      <c r="B5582" t="str">
        <f>"1551601632679873"</f>
        <v>1551601632679873</v>
      </c>
      <c r="C5582" t="s">
        <v>40</v>
      </c>
      <c r="D5582">
        <v>4.7642470000000001</v>
      </c>
      <c r="E5582">
        <v>0.47628870000000001</v>
      </c>
      <c r="F5582" t="s">
        <v>47</v>
      </c>
      <c r="G5582">
        <v>-190.19659999999999</v>
      </c>
      <c r="H5582" s="1">
        <v>-4.4842539999999999E-7</v>
      </c>
      <c r="I5582">
        <v>120.3184</v>
      </c>
      <c r="J5582">
        <v>-188.68729999999999</v>
      </c>
      <c r="K5582">
        <v>1.1206670000000001</v>
      </c>
      <c r="L5582">
        <v>55.651580000000003</v>
      </c>
      <c r="M5582">
        <v>-9.5248669999999994E-3</v>
      </c>
      <c r="N5582">
        <v>-1.272091E-2</v>
      </c>
      <c r="O5582">
        <v>0.99987369999999998</v>
      </c>
      <c r="P5582">
        <v>-2.1289880000000001E-2</v>
      </c>
      <c r="Q5582">
        <v>0.19316710000000001</v>
      </c>
      <c r="R5582">
        <v>0.98093490000000005</v>
      </c>
      <c r="S5582">
        <v>-7.1166989999999999E-2</v>
      </c>
      <c r="T5582">
        <v>-5.2650809999999999E-2</v>
      </c>
      <c r="U5582">
        <v>3.0673219999999999</v>
      </c>
      <c r="V5582">
        <v>-1.177022E-2</v>
      </c>
      <c r="W5582">
        <v>0.20564209999999999</v>
      </c>
      <c r="X5582">
        <v>0.97855650000000005</v>
      </c>
      <c r="Y5582">
        <v>-1.366848E-2</v>
      </c>
      <c r="Z5582">
        <v>-4.439251E-3</v>
      </c>
      <c r="AA5582">
        <v>0.99989669999999997</v>
      </c>
      <c r="AB5582">
        <v>33</v>
      </c>
      <c r="AC5582">
        <v>-1.5092999999999901</v>
      </c>
      <c r="AD5582">
        <v>-1.1206674484254</v>
      </c>
      <c r="AE5582">
        <v>64.666820000000001</v>
      </c>
      <c r="AF5582">
        <v>-0.89297077393374102</v>
      </c>
      <c r="AG5582">
        <v>-1.1206674484254</v>
      </c>
      <c r="AH5582">
        <v>64.658855062541903</v>
      </c>
      <c r="AI5582">
        <v>90.992856524193996</v>
      </c>
      <c r="AJ5582">
        <v>90.791232756900001</v>
      </c>
      <c r="AK5582">
        <v>64.674731003165803</v>
      </c>
      <c r="AL5582">
        <v>78.132910663828596</v>
      </c>
      <c r="AM5582">
        <v>90.689128742499193</v>
      </c>
      <c r="AN5582">
        <v>1.0000000175317501</v>
      </c>
    </row>
    <row r="5583" spans="1:40" x14ac:dyDescent="0.25">
      <c r="A5583" t="str">
        <f>"20190303162712714"</f>
        <v>20190303162712714</v>
      </c>
      <c r="B5583" t="str">
        <f>"1551601632699391"</f>
        <v>1551601632699391</v>
      </c>
      <c r="C5583" t="s">
        <v>40</v>
      </c>
      <c r="D5583">
        <v>4.7066080000000001</v>
      </c>
      <c r="E5583">
        <v>0.47530499999999998</v>
      </c>
      <c r="F5583" t="s">
        <v>41</v>
      </c>
      <c r="G5583">
        <v>-193.51820000000001</v>
      </c>
      <c r="H5583" s="1">
        <v>-1.795093E-6</v>
      </c>
      <c r="I5583">
        <v>111.59139999999999</v>
      </c>
      <c r="J5583">
        <v>-188.6902</v>
      </c>
      <c r="K5583">
        <v>1.1206719999999999</v>
      </c>
      <c r="L5583">
        <v>56.004820000000002</v>
      </c>
      <c r="M5583">
        <v>-9.1482339999999999E-3</v>
      </c>
      <c r="N5583">
        <v>-1.2719660000000001E-2</v>
      </c>
      <c r="O5583">
        <v>0.99987729999999997</v>
      </c>
      <c r="P5583">
        <v>-2.0654840000000001E-2</v>
      </c>
      <c r="Q5583">
        <v>0.19264220000000001</v>
      </c>
      <c r="R5583">
        <v>0.98105169999999997</v>
      </c>
      <c r="S5583">
        <v>-0.2646637</v>
      </c>
      <c r="T5583">
        <v>-6.139588E-2</v>
      </c>
      <c r="U5583">
        <v>3.064667</v>
      </c>
      <c r="V5583">
        <v>-1.1507420000000001E-2</v>
      </c>
      <c r="W5583">
        <v>0.20511660000000001</v>
      </c>
      <c r="X5583">
        <v>0.97866989999999998</v>
      </c>
      <c r="Y5583">
        <v>-7.6902609999999996E-2</v>
      </c>
      <c r="Z5583">
        <v>-7.2476729999999996E-3</v>
      </c>
      <c r="AA5583">
        <v>0.99701229999999996</v>
      </c>
      <c r="AB5583">
        <v>33</v>
      </c>
      <c r="AC5583">
        <v>-4.8280000000000003</v>
      </c>
      <c r="AD5583">
        <v>-1.1206737950929999</v>
      </c>
      <c r="AE5583">
        <v>55.586579999999998</v>
      </c>
      <c r="AF5583">
        <v>-4.3174960237331401</v>
      </c>
      <c r="AG5583">
        <v>-1.1206737950929999</v>
      </c>
      <c r="AH5583">
        <v>55.6059923733186</v>
      </c>
      <c r="AI5583">
        <v>91.151109503940603</v>
      </c>
      <c r="AJ5583">
        <v>94.4397908999495</v>
      </c>
      <c r="AK5583">
        <v>55.7846131965753</v>
      </c>
      <c r="AL5583">
        <v>78.163675295801895</v>
      </c>
      <c r="AM5583">
        <v>90.673665570336993</v>
      </c>
      <c r="AN5583">
        <v>1.0000000067383099</v>
      </c>
    </row>
    <row r="5584" spans="1:40" x14ac:dyDescent="0.25">
      <c r="A5584" t="str">
        <f>"20190303162712737"</f>
        <v>20190303162712737</v>
      </c>
      <c r="B5584" t="str">
        <f>"1551601632730156"</f>
        <v>1551601632730156</v>
      </c>
      <c r="C5584" t="s">
        <v>40</v>
      </c>
      <c r="D5584">
        <v>4.65829</v>
      </c>
      <c r="E5584">
        <v>0.47500710000000002</v>
      </c>
      <c r="F5584" t="s">
        <v>41</v>
      </c>
      <c r="G5584">
        <v>-192.6437</v>
      </c>
      <c r="H5584" s="1">
        <v>-1.2331600000000001E-6</v>
      </c>
      <c r="I5584">
        <v>100.82389999999999</v>
      </c>
      <c r="J5584">
        <v>-188.69290000000001</v>
      </c>
      <c r="K5584">
        <v>1.120681</v>
      </c>
      <c r="L5584">
        <v>56.352080000000001</v>
      </c>
      <c r="M5584">
        <v>-8.785401E-3</v>
      </c>
      <c r="N5584">
        <v>-1.2718510000000001E-2</v>
      </c>
      <c r="O5584">
        <v>0.99988049999999995</v>
      </c>
      <c r="P5584">
        <v>-1.975764E-2</v>
      </c>
      <c r="Q5584">
        <v>0.19205710000000001</v>
      </c>
      <c r="R5584">
        <v>0.98118479999999997</v>
      </c>
      <c r="S5584">
        <v>-0.2705688</v>
      </c>
      <c r="T5584">
        <v>-7.6696399999999998E-2</v>
      </c>
      <c r="U5584">
        <v>3.0673219999999999</v>
      </c>
      <c r="V5584">
        <v>-1.0969319999999999E-2</v>
      </c>
      <c r="W5584">
        <v>0.2045313</v>
      </c>
      <c r="X5584">
        <v>0.97879859999999996</v>
      </c>
      <c r="Y5584">
        <v>-7.9087989999999997E-2</v>
      </c>
      <c r="Z5584">
        <v>-1.219597E-2</v>
      </c>
      <c r="AA5584">
        <v>0.99679300000000004</v>
      </c>
      <c r="AB5584">
        <v>33</v>
      </c>
      <c r="AC5584">
        <v>-3.9507999999999801</v>
      </c>
      <c r="AD5584">
        <v>-1.1206822331599999</v>
      </c>
      <c r="AE5584">
        <v>44.471820000000001</v>
      </c>
      <c r="AF5584">
        <v>-3.5576715782783102</v>
      </c>
      <c r="AG5584">
        <v>-1.1206822331599999</v>
      </c>
      <c r="AH5584">
        <v>44.476792625952598</v>
      </c>
      <c r="AI5584">
        <v>91.438783371280806</v>
      </c>
      <c r="AJ5584">
        <v>94.573317302767606</v>
      </c>
      <c r="AK5584">
        <v>44.632925492494898</v>
      </c>
      <c r="AL5584">
        <v>78.197937288389696</v>
      </c>
      <c r="AM5584">
        <v>90.642082477553302</v>
      </c>
      <c r="AN5584">
        <v>1.0000000390114501</v>
      </c>
    </row>
    <row r="5585" spans="1:40" x14ac:dyDescent="0.25">
      <c r="A5585" t="str">
        <f>"20190303162712759"</f>
        <v>20190303162712759</v>
      </c>
      <c r="B5585" t="str">
        <f>"1551601632749677"</f>
        <v>1551601632749677</v>
      </c>
      <c r="C5585" t="s">
        <v>40</v>
      </c>
      <c r="D5585">
        <v>4.6222989999999999</v>
      </c>
      <c r="E5585">
        <v>0.47487689999999999</v>
      </c>
      <c r="F5585" t="s">
        <v>41</v>
      </c>
      <c r="G5585">
        <v>-192.721</v>
      </c>
      <c r="H5585" s="1">
        <v>-1.8582470000000001E-6</v>
      </c>
      <c r="I5585">
        <v>102.23309999999999</v>
      </c>
      <c r="J5585">
        <v>-188.69540000000001</v>
      </c>
      <c r="K5585">
        <v>1.120681</v>
      </c>
      <c r="L5585">
        <v>56.673740000000002</v>
      </c>
      <c r="M5585">
        <v>-8.4570050000000001E-3</v>
      </c>
      <c r="N5585">
        <v>-1.271746E-2</v>
      </c>
      <c r="O5585">
        <v>0.99988339999999998</v>
      </c>
      <c r="P5585">
        <v>-1.9660170000000001E-2</v>
      </c>
      <c r="Q5585">
        <v>0.1918125</v>
      </c>
      <c r="R5585">
        <v>0.98123470000000002</v>
      </c>
      <c r="S5585">
        <v>-0.26924130000000002</v>
      </c>
      <c r="T5585">
        <v>-7.4908489999999994E-2</v>
      </c>
      <c r="U5585">
        <v>3.0667719999999998</v>
      </c>
      <c r="V5585">
        <v>-1.1197199999999999E-2</v>
      </c>
      <c r="W5585">
        <v>0.2042863</v>
      </c>
      <c r="X5585">
        <v>0.97884709999999997</v>
      </c>
      <c r="Y5585">
        <v>-7.9003779999999996E-2</v>
      </c>
      <c r="Z5585">
        <v>-1.1621380000000001E-2</v>
      </c>
      <c r="AA5585">
        <v>0.99680659999999999</v>
      </c>
      <c r="AB5585">
        <v>33</v>
      </c>
      <c r="AC5585">
        <v>-4.0255999999999599</v>
      </c>
      <c r="AD5585">
        <v>-1.1206828582469901</v>
      </c>
      <c r="AE5585">
        <v>45.559359999999899</v>
      </c>
      <c r="AF5585">
        <v>-3.6379449512687199</v>
      </c>
      <c r="AG5585">
        <v>-1.1206828582469901</v>
      </c>
      <c r="AH5585">
        <v>45.564421379994101</v>
      </c>
      <c r="AI5585">
        <v>91.404470583741798</v>
      </c>
      <c r="AJ5585">
        <v>94.564914011962301</v>
      </c>
      <c r="AK5585">
        <v>45.723156816113402</v>
      </c>
      <c r="AL5585">
        <v>78.212276563840206</v>
      </c>
      <c r="AM5585">
        <v>90.655387671060893</v>
      </c>
      <c r="AN5585">
        <v>0.99999995741696901</v>
      </c>
    </row>
    <row r="5586" spans="1:40" x14ac:dyDescent="0.25">
      <c r="A5586" t="str">
        <f>"20190303162712778"</f>
        <v>20190303162712778</v>
      </c>
      <c r="B5586" t="str">
        <f>"1551601632770172"</f>
        <v>1551601632770172</v>
      </c>
      <c r="C5586" t="s">
        <v>40</v>
      </c>
      <c r="D5586">
        <v>4.6242749999999999</v>
      </c>
      <c r="E5586">
        <v>0.4748136</v>
      </c>
      <c r="F5586" t="s">
        <v>41</v>
      </c>
      <c r="G5586">
        <v>-192.54599999999999</v>
      </c>
      <c r="H5586" s="1">
        <v>-1.0645290000000001E-6</v>
      </c>
      <c r="I5586">
        <v>100.4915</v>
      </c>
      <c r="J5586">
        <v>-188.69749999999999</v>
      </c>
      <c r="K5586">
        <v>1.120687</v>
      </c>
      <c r="L5586">
        <v>56.968110000000003</v>
      </c>
      <c r="M5586">
        <v>-8.16335199999999E-3</v>
      </c>
      <c r="N5586">
        <v>-1.2716460000000001E-2</v>
      </c>
      <c r="O5586">
        <v>0.99988580000000005</v>
      </c>
      <c r="P5586">
        <v>-1.9914029999999999E-2</v>
      </c>
      <c r="Q5586">
        <v>0.1912355</v>
      </c>
      <c r="R5586">
        <v>0.98134209999999999</v>
      </c>
      <c r="S5586">
        <v>-0.26954650000000002</v>
      </c>
      <c r="T5586">
        <v>-7.844901E-2</v>
      </c>
      <c r="U5586">
        <v>3.067291</v>
      </c>
      <c r="V5586">
        <v>-1.174147E-2</v>
      </c>
      <c r="W5586">
        <v>0.20371030000000001</v>
      </c>
      <c r="X5586">
        <v>0.97896079999999996</v>
      </c>
      <c r="Y5586">
        <v>-7.9378379999999998E-2</v>
      </c>
      <c r="Z5586">
        <v>-1.276713E-2</v>
      </c>
      <c r="AA5586">
        <v>0.99676279999999995</v>
      </c>
      <c r="AB5586">
        <v>33</v>
      </c>
      <c r="AC5586">
        <v>-3.8485</v>
      </c>
      <c r="AD5586">
        <v>-1.120688064529</v>
      </c>
      <c r="AE5586">
        <v>43.523389999999999</v>
      </c>
      <c r="AF5586">
        <v>-3.4907497864372599</v>
      </c>
      <c r="AG5586">
        <v>-1.120688064529</v>
      </c>
      <c r="AH5586">
        <v>43.524725023486901</v>
      </c>
      <c r="AI5586">
        <v>91.470224744619202</v>
      </c>
      <c r="AJ5586">
        <v>94.585394787416604</v>
      </c>
      <c r="AK5586">
        <v>43.678861754624897</v>
      </c>
      <c r="AL5586">
        <v>78.245988327207598</v>
      </c>
      <c r="AM5586">
        <v>90.687161754594598</v>
      </c>
      <c r="AN5586">
        <v>0.99999999819024499</v>
      </c>
    </row>
    <row r="5587" spans="1:40" x14ac:dyDescent="0.25">
      <c r="A5587" t="str">
        <f>"20190303162712804"</f>
        <v>20190303162712804</v>
      </c>
      <c r="B5587" t="str">
        <f>"1551601632789692"</f>
        <v>1551601632789692</v>
      </c>
      <c r="C5587" t="s">
        <v>40</v>
      </c>
      <c r="D5587">
        <v>4.5627050000000002</v>
      </c>
      <c r="E5587">
        <v>0.47469840000000002</v>
      </c>
      <c r="F5587" t="s">
        <v>41</v>
      </c>
      <c r="G5587">
        <v>-192.3365</v>
      </c>
      <c r="H5587" s="1">
        <v>-4.230378E-6</v>
      </c>
      <c r="I5587">
        <v>98.200040000000001</v>
      </c>
      <c r="J5587">
        <v>-188.7</v>
      </c>
      <c r="K5587">
        <v>1.1206860000000001</v>
      </c>
      <c r="L5587">
        <v>57.324159999999999</v>
      </c>
      <c r="M5587">
        <v>-7.8159349999999995E-3</v>
      </c>
      <c r="N5587">
        <v>-1.2715219999999999E-2</v>
      </c>
      <c r="O5587">
        <v>0.99988860000000002</v>
      </c>
      <c r="P5587">
        <v>-1.9524260000000002E-2</v>
      </c>
      <c r="Q5587">
        <v>0.1915587</v>
      </c>
      <c r="R5587">
        <v>0.98128689999999996</v>
      </c>
      <c r="S5587">
        <v>-0.27075199999999999</v>
      </c>
      <c r="T5587">
        <v>-8.338284E-2</v>
      </c>
      <c r="U5587">
        <v>3.06778</v>
      </c>
      <c r="V5587">
        <v>-1.169632E-2</v>
      </c>
      <c r="W5587">
        <v>0.2040314</v>
      </c>
      <c r="X5587">
        <v>0.9788945</v>
      </c>
      <c r="Y5587">
        <v>-8.0096650000000005E-2</v>
      </c>
      <c r="Z5587">
        <v>-1.436433E-2</v>
      </c>
      <c r="AA5587">
        <v>0.9966836</v>
      </c>
      <c r="AB5587">
        <v>33</v>
      </c>
      <c r="AC5587">
        <v>-3.6365000000000101</v>
      </c>
      <c r="AD5587">
        <v>-1.120690230378</v>
      </c>
      <c r="AE5587">
        <v>40.875880000000002</v>
      </c>
      <c r="AF5587">
        <v>-3.3144080181515601</v>
      </c>
      <c r="AG5587">
        <v>-1.120690230378</v>
      </c>
      <c r="AH5587">
        <v>40.872574075196503</v>
      </c>
      <c r="AI5587">
        <v>91.565470539163698</v>
      </c>
      <c r="AJ5587">
        <v>94.6360421119617</v>
      </c>
      <c r="AK5587">
        <v>41.022049663999901</v>
      </c>
      <c r="AL5587">
        <v>78.227196340518205</v>
      </c>
      <c r="AM5587">
        <v>90.684565990401694</v>
      </c>
      <c r="AN5587">
        <v>1.00000002910887</v>
      </c>
    </row>
    <row r="5588" spans="1:40" x14ac:dyDescent="0.25">
      <c r="A5588" t="str">
        <f>"20190303162712828"</f>
        <v>20190303162712828</v>
      </c>
      <c r="B5588" t="str">
        <f>"1551601632819478"</f>
        <v>1551601632819478</v>
      </c>
      <c r="C5588" t="s">
        <v>40</v>
      </c>
      <c r="D5588">
        <v>4.55321</v>
      </c>
      <c r="E5588">
        <v>0.47454879999999999</v>
      </c>
      <c r="F5588" t="s">
        <v>41</v>
      </c>
      <c r="G5588">
        <v>-192.27760000000001</v>
      </c>
      <c r="H5588" s="1">
        <v>-4.0904709999999999E-6</v>
      </c>
      <c r="I5588">
        <v>97.819640000000007</v>
      </c>
      <c r="J5588">
        <v>-188.70249999999999</v>
      </c>
      <c r="K5588">
        <v>1.1207049999999901</v>
      </c>
      <c r="L5588">
        <v>57.69406</v>
      </c>
      <c r="M5588">
        <v>-7.4641789999999996E-3</v>
      </c>
      <c r="N5588">
        <v>-1.271394E-2</v>
      </c>
      <c r="O5588">
        <v>0.99989130000000004</v>
      </c>
      <c r="P5588">
        <v>-1.9098589999999999E-2</v>
      </c>
      <c r="Q5588">
        <v>0.19239809999999999</v>
      </c>
      <c r="R5588">
        <v>0.98113110000000003</v>
      </c>
      <c r="S5588">
        <v>-0.27107239999999999</v>
      </c>
      <c r="T5588">
        <v>-8.4915999999999894E-2</v>
      </c>
      <c r="U5588">
        <v>3.06839</v>
      </c>
      <c r="V5588">
        <v>-1.162003E-2</v>
      </c>
      <c r="W5588">
        <v>0.20486689999999999</v>
      </c>
      <c r="X5588">
        <v>0.97872079999999995</v>
      </c>
      <c r="Y5588">
        <v>-8.0532220000000002E-2</v>
      </c>
      <c r="Z5588">
        <v>-1.4857E-2</v>
      </c>
      <c r="AA5588">
        <v>0.99664129999999995</v>
      </c>
      <c r="AB5588">
        <v>33</v>
      </c>
      <c r="AC5588">
        <v>-3.5751000000000199</v>
      </c>
      <c r="AD5588">
        <v>-1.12070909047099</v>
      </c>
      <c r="AE5588">
        <v>40.125579999999999</v>
      </c>
      <c r="AF5588">
        <v>-3.2729385964856199</v>
      </c>
      <c r="AG5588">
        <v>-1.12070909047099</v>
      </c>
      <c r="AH5588">
        <v>40.120098688129303</v>
      </c>
      <c r="AI5588">
        <v>91.5947808763501</v>
      </c>
      <c r="AJ5588">
        <v>94.663777752437994</v>
      </c>
      <c r="AK5588">
        <v>40.268976081681799</v>
      </c>
      <c r="AL5588">
        <v>78.1782916431535</v>
      </c>
      <c r="AM5588">
        <v>90.680221976144907</v>
      </c>
      <c r="AN5588">
        <v>0.99999993808272303</v>
      </c>
    </row>
    <row r="5589" spans="1:40" x14ac:dyDescent="0.25">
      <c r="A5589" t="str">
        <f>"20190303162712847"</f>
        <v>20190303162712847</v>
      </c>
      <c r="B5589" t="str">
        <f>"1551601632839974"</f>
        <v>1551601632839974</v>
      </c>
      <c r="C5589" t="s">
        <v>40</v>
      </c>
      <c r="D5589">
        <v>4.5691750000000004</v>
      </c>
      <c r="E5589">
        <v>0.47449479999999999</v>
      </c>
      <c r="F5589" t="s">
        <v>41</v>
      </c>
      <c r="G5589">
        <v>-192.32560000000001</v>
      </c>
      <c r="H5589" s="1">
        <v>-4.3871680000000001E-6</v>
      </c>
      <c r="I5589">
        <v>98.666449999999998</v>
      </c>
      <c r="J5589">
        <v>-188.70439999999999</v>
      </c>
      <c r="K5589">
        <v>1.1207180000000001</v>
      </c>
      <c r="L5589">
        <v>57.996279999999999</v>
      </c>
      <c r="M5589">
        <v>-7.1808030000000004E-3</v>
      </c>
      <c r="N5589">
        <v>-1.2712899999999999E-2</v>
      </c>
      <c r="O5589">
        <v>0.99989340000000004</v>
      </c>
      <c r="P5589">
        <v>-1.9039319999999998E-2</v>
      </c>
      <c r="Q5589">
        <v>0.19353680000000001</v>
      </c>
      <c r="R5589">
        <v>0.98090829999999996</v>
      </c>
      <c r="S5589">
        <v>-0.2713776</v>
      </c>
      <c r="T5589">
        <v>-8.3942409999999995E-2</v>
      </c>
      <c r="U5589">
        <v>3.0688780000000002</v>
      </c>
      <c r="V5589">
        <v>-1.1841630000000001E-2</v>
      </c>
      <c r="W5589">
        <v>0.20600189999999999</v>
      </c>
      <c r="X5589">
        <v>0.97847989999999996</v>
      </c>
      <c r="Y5589">
        <v>-8.089963E-2</v>
      </c>
      <c r="Z5589">
        <v>-1.453725E-2</v>
      </c>
      <c r="AA5589">
        <v>0.99661619999999995</v>
      </c>
      <c r="AB5589">
        <v>33</v>
      </c>
      <c r="AC5589">
        <v>-3.6212000000000102</v>
      </c>
      <c r="AD5589">
        <v>-1.1207223871680001</v>
      </c>
      <c r="AE5589">
        <v>40.670169999999899</v>
      </c>
      <c r="AF5589">
        <v>-3.3265323931703099</v>
      </c>
      <c r="AG5589">
        <v>-1.1207223871680001</v>
      </c>
      <c r="AH5589">
        <v>40.664490628815003</v>
      </c>
      <c r="AI5589">
        <v>91.573431545225105</v>
      </c>
      <c r="AJ5589">
        <v>94.676630859926107</v>
      </c>
      <c r="AK5589">
        <v>40.815715533760901</v>
      </c>
      <c r="AL5589">
        <v>78.111843923027806</v>
      </c>
      <c r="AM5589">
        <v>90.693363554311304</v>
      </c>
      <c r="AN5589">
        <v>0.99999996085433696</v>
      </c>
    </row>
    <row r="5590" spans="1:40" x14ac:dyDescent="0.25">
      <c r="A5590" t="str">
        <f>"20190303162712869"</f>
        <v>20190303162712869</v>
      </c>
      <c r="B5590" t="str">
        <f>"1551601632860471"</f>
        <v>1551601632860471</v>
      </c>
      <c r="C5590" t="s">
        <v>40</v>
      </c>
      <c r="D5590">
        <v>4.6187690000000003</v>
      </c>
      <c r="E5590">
        <v>0.47461530000000002</v>
      </c>
      <c r="F5590" t="s">
        <v>41</v>
      </c>
      <c r="G5590">
        <v>-192.5127</v>
      </c>
      <c r="H5590" s="1">
        <v>-1.315157E-6</v>
      </c>
      <c r="I5590">
        <v>101.0963</v>
      </c>
      <c r="J5590">
        <v>-188.7063</v>
      </c>
      <c r="K5590">
        <v>1.120719</v>
      </c>
      <c r="L5590">
        <v>58.31326</v>
      </c>
      <c r="M5590">
        <v>-6.8864590000000002E-3</v>
      </c>
      <c r="N5590">
        <v>-1.271048E-2</v>
      </c>
      <c r="O5590">
        <v>0.99989550000000005</v>
      </c>
      <c r="P5590">
        <v>-1.9226119999999999E-2</v>
      </c>
      <c r="Q5590">
        <v>0.1943802</v>
      </c>
      <c r="R5590">
        <v>0.98073779999999999</v>
      </c>
      <c r="S5590">
        <v>-0.27116390000000001</v>
      </c>
      <c r="T5590">
        <v>-7.9799179999999997E-2</v>
      </c>
      <c r="U5590">
        <v>3.0688780000000002</v>
      </c>
      <c r="V5590">
        <v>-1.231997E-2</v>
      </c>
      <c r="W5590">
        <v>0.2068403</v>
      </c>
      <c r="X5590">
        <v>0.97829719999999998</v>
      </c>
      <c r="Y5590">
        <v>-8.1126489999999996E-2</v>
      </c>
      <c r="Z5590">
        <v>-1.319532E-2</v>
      </c>
      <c r="AA5590">
        <v>0.99661650000000002</v>
      </c>
      <c r="AB5590">
        <v>33</v>
      </c>
      <c r="AC5590">
        <v>-3.8063999999999898</v>
      </c>
      <c r="AD5590">
        <v>-1.120720315157</v>
      </c>
      <c r="AE5590">
        <v>42.78304</v>
      </c>
      <c r="AF5590">
        <v>-3.5092731197119802</v>
      </c>
      <c r="AG5590">
        <v>-1.120720315157</v>
      </c>
      <c r="AH5590">
        <v>42.779115579027398</v>
      </c>
      <c r="AI5590">
        <v>91.495660607242201</v>
      </c>
      <c r="AJ5590">
        <v>94.689609293431204</v>
      </c>
      <c r="AK5590">
        <v>42.937439858209103</v>
      </c>
      <c r="AL5590">
        <v>78.062750907509098</v>
      </c>
      <c r="AM5590">
        <v>90.721503621625402</v>
      </c>
      <c r="AN5590">
        <v>1.0000000514463601</v>
      </c>
    </row>
    <row r="5591" spans="1:40" x14ac:dyDescent="0.25">
      <c r="A5591" t="str">
        <f>"20190303162712890"</f>
        <v>20190303162712890</v>
      </c>
      <c r="B5591" t="str">
        <f>"1551601632879991"</f>
        <v>1551601632879991</v>
      </c>
      <c r="C5591" t="s">
        <v>40</v>
      </c>
      <c r="D5591">
        <v>4.5655070000000002</v>
      </c>
      <c r="E5591">
        <v>0.49493559999999998</v>
      </c>
      <c r="F5591" t="s">
        <v>41</v>
      </c>
      <c r="G5591">
        <v>-192.74690000000001</v>
      </c>
      <c r="H5591" s="1">
        <v>-2.6337179999999999E-6</v>
      </c>
      <c r="I5591">
        <v>104.02460000000001</v>
      </c>
      <c r="J5591">
        <v>-188.70820000000001</v>
      </c>
      <c r="K5591">
        <v>1.1207290000000001</v>
      </c>
      <c r="L5591">
        <v>58.631990000000002</v>
      </c>
      <c r="M5591">
        <v>-6.5924319999999996E-3</v>
      </c>
      <c r="N5591">
        <v>-1.270364E-2</v>
      </c>
      <c r="O5591">
        <v>0.99989760000000005</v>
      </c>
      <c r="P5591">
        <v>-1.9302440000000001E-2</v>
      </c>
      <c r="Q5591">
        <v>0.19466410000000001</v>
      </c>
      <c r="R5591">
        <v>0.98068</v>
      </c>
      <c r="S5591">
        <v>-0.27124019999999999</v>
      </c>
      <c r="T5591">
        <v>-7.5231790000000007E-2</v>
      </c>
      <c r="U5591">
        <v>3.0685120000000001</v>
      </c>
      <c r="V5591">
        <v>-1.2686340000000001E-2</v>
      </c>
      <c r="W5591">
        <v>0.20711740000000001</v>
      </c>
      <c r="X5591">
        <v>0.97823380000000004</v>
      </c>
      <c r="Y5591">
        <v>-8.1456890000000004E-2</v>
      </c>
      <c r="Z5591">
        <v>-1.172277E-2</v>
      </c>
      <c r="AA5591">
        <v>0.99660789999999999</v>
      </c>
      <c r="AB5591">
        <v>33</v>
      </c>
      <c r="AC5591">
        <v>-4.0387000000000004</v>
      </c>
      <c r="AD5591">
        <v>-1.120731633718</v>
      </c>
      <c r="AE5591">
        <v>45.392609999999998</v>
      </c>
      <c r="AF5591">
        <v>-3.7370802179176601</v>
      </c>
      <c r="AG5591">
        <v>-1.120731633718</v>
      </c>
      <c r="AH5591">
        <v>45.390798297253198</v>
      </c>
      <c r="AI5591">
        <v>91.409619355973206</v>
      </c>
      <c r="AJ5591">
        <v>94.706616617244293</v>
      </c>
      <c r="AK5591">
        <v>45.5581647787956</v>
      </c>
      <c r="AL5591">
        <v>78.046521775365093</v>
      </c>
      <c r="AM5591">
        <v>90.743005397908405</v>
      </c>
      <c r="AN5591">
        <v>0.99999996403389702</v>
      </c>
    </row>
    <row r="5592" spans="1:40" x14ac:dyDescent="0.25">
      <c r="A5592" t="str">
        <f>"20190303162712916"</f>
        <v>20190303162712916</v>
      </c>
      <c r="B5592" t="str">
        <f>"1551601632909776"</f>
        <v>1551601632909776</v>
      </c>
      <c r="C5592" t="s">
        <v>40</v>
      </c>
      <c r="D5592">
        <v>4.518364</v>
      </c>
      <c r="E5592">
        <v>0.49995260000000002</v>
      </c>
      <c r="F5592" t="s">
        <v>41</v>
      </c>
      <c r="G5592">
        <v>-190.26910000000001</v>
      </c>
      <c r="H5592" s="1">
        <v>-1.2578869999999999E-6</v>
      </c>
      <c r="I5592">
        <v>102.35429999999999</v>
      </c>
      <c r="J5592">
        <v>-188.71029999999999</v>
      </c>
      <c r="K5592">
        <v>1.1207290000000001</v>
      </c>
      <c r="L5592">
        <v>59.010590000000001</v>
      </c>
      <c r="M5592">
        <v>-6.2431780000000003E-3</v>
      </c>
      <c r="N5592">
        <v>-1.269209E-2</v>
      </c>
      <c r="O5592">
        <v>0.99990000000000001</v>
      </c>
      <c r="P5592">
        <v>-1.8740090000000001E-2</v>
      </c>
      <c r="Q5592">
        <v>0.19499620000000001</v>
      </c>
      <c r="R5592">
        <v>0.98062499999999997</v>
      </c>
      <c r="S5592">
        <v>-0.1096954</v>
      </c>
      <c r="T5592">
        <v>-7.8758839999999997E-2</v>
      </c>
      <c r="U5592">
        <v>3.0725709999999999</v>
      </c>
      <c r="V5592">
        <v>-1.246857E-2</v>
      </c>
      <c r="W5592">
        <v>0.20743690000000001</v>
      </c>
      <c r="X5592">
        <v>0.97816890000000001</v>
      </c>
      <c r="Y5592">
        <v>-2.942825E-2</v>
      </c>
      <c r="Z5592">
        <v>-1.2921429999999999E-2</v>
      </c>
      <c r="AA5592">
        <v>0.99948329999999996</v>
      </c>
      <c r="AB5592">
        <v>33</v>
      </c>
      <c r="AC5592">
        <v>-1.55880000000001</v>
      </c>
      <c r="AD5592">
        <v>-1.120730257887</v>
      </c>
      <c r="AE5592">
        <v>43.343710000000002</v>
      </c>
      <c r="AF5592">
        <v>-1.2872857961750701</v>
      </c>
      <c r="AG5592">
        <v>-1.120730257887</v>
      </c>
      <c r="AH5592">
        <v>43.323670094207699</v>
      </c>
      <c r="AI5592">
        <v>91.481187703868002</v>
      </c>
      <c r="AJ5592">
        <v>91.701941425481195</v>
      </c>
      <c r="AK5592">
        <v>43.357277722012597</v>
      </c>
      <c r="AL5592">
        <v>78.027809391758794</v>
      </c>
      <c r="AM5592">
        <v>90.730301023798205</v>
      </c>
      <c r="AN5592">
        <v>0.99999996482333098</v>
      </c>
    </row>
    <row r="5593" spans="1:40" x14ac:dyDescent="0.25">
      <c r="A5593" t="str">
        <f>"20190303162712939"</f>
        <v>20190303162712939</v>
      </c>
      <c r="B5593" t="str">
        <f>"1551601632930272"</f>
        <v>1551601632930272</v>
      </c>
      <c r="C5593" t="s">
        <v>40</v>
      </c>
      <c r="D5593">
        <v>4.5445460000000004</v>
      </c>
      <c r="E5593">
        <v>0.5007585</v>
      </c>
      <c r="F5593" t="s">
        <v>41</v>
      </c>
      <c r="G5593">
        <v>-189.80609999999999</v>
      </c>
      <c r="H5593" s="1">
        <v>-4.047954E-6</v>
      </c>
      <c r="I5593">
        <v>108.9885</v>
      </c>
      <c r="J5593">
        <v>-188.71199999999999</v>
      </c>
      <c r="K5593">
        <v>1.120727</v>
      </c>
      <c r="L5593">
        <v>59.348179999999999</v>
      </c>
      <c r="M5593">
        <v>-5.9320629999999996E-3</v>
      </c>
      <c r="N5593">
        <v>-1.268144E-2</v>
      </c>
      <c r="O5593">
        <v>0.99990199999999996</v>
      </c>
      <c r="P5593">
        <v>-1.7954370000000001E-2</v>
      </c>
      <c r="Q5593">
        <v>0.19502120000000001</v>
      </c>
      <c r="R5593">
        <v>0.98063469999999997</v>
      </c>
      <c r="S5593">
        <v>-6.7352289999999995E-2</v>
      </c>
      <c r="T5593">
        <v>-6.8881269999999994E-2</v>
      </c>
      <c r="U5593">
        <v>3.0716860000000001</v>
      </c>
      <c r="V5593">
        <v>-1.198951E-2</v>
      </c>
      <c r="W5593">
        <v>0.20745140000000001</v>
      </c>
      <c r="X5593">
        <v>0.97817180000000004</v>
      </c>
      <c r="Y5593">
        <v>-1.5985449999999998E-2</v>
      </c>
      <c r="Z5593">
        <v>-9.7350030000000008E-3</v>
      </c>
      <c r="AA5593">
        <v>0.99982479999999996</v>
      </c>
      <c r="AB5593">
        <v>33</v>
      </c>
      <c r="AC5593">
        <v>-1.0940999999999601</v>
      </c>
      <c r="AD5593">
        <v>-1.120731047954</v>
      </c>
      <c r="AE5593">
        <v>49.640320000000003</v>
      </c>
      <c r="AF5593">
        <v>-0.79918040014979497</v>
      </c>
      <c r="AG5593">
        <v>-1.120731047954</v>
      </c>
      <c r="AH5593">
        <v>49.620656762006298</v>
      </c>
      <c r="AI5593">
        <v>91.293693496318596</v>
      </c>
      <c r="AJ5593">
        <v>90.922714618690193</v>
      </c>
      <c r="AK5593">
        <v>49.639745213756697</v>
      </c>
      <c r="AL5593">
        <v>78.026959960997601</v>
      </c>
      <c r="AM5593">
        <v>90.702242615445499</v>
      </c>
      <c r="AN5593">
        <v>0.99999995101361805</v>
      </c>
    </row>
    <row r="5594" spans="1:40" x14ac:dyDescent="0.25">
      <c r="A5594" t="str">
        <f>"20190303162712959"</f>
        <v>20190303162712959</v>
      </c>
      <c r="B5594" t="str">
        <f>"1551601632949792"</f>
        <v>1551601632949792</v>
      </c>
      <c r="C5594" t="s">
        <v>40</v>
      </c>
      <c r="D5594">
        <v>4.5792979999999996</v>
      </c>
      <c r="E5594">
        <v>0.50092769999999998</v>
      </c>
      <c r="F5594" t="s">
        <v>41</v>
      </c>
      <c r="G5594">
        <v>-189.7013</v>
      </c>
      <c r="H5594" s="1">
        <v>-8.6635069999999997E-7</v>
      </c>
      <c r="I5594">
        <v>111.5287</v>
      </c>
      <c r="J5594">
        <v>-188.71350000000001</v>
      </c>
      <c r="K5594">
        <v>1.1207210000000001</v>
      </c>
      <c r="L5594">
        <v>59.653260000000003</v>
      </c>
      <c r="M5594">
        <v>-5.6539529999999998E-3</v>
      </c>
      <c r="N5594">
        <v>-1.2672249999999999E-2</v>
      </c>
      <c r="O5594">
        <v>0.99990369999999995</v>
      </c>
      <c r="P5594">
        <v>-1.7079509999999999E-2</v>
      </c>
      <c r="Q5594">
        <v>0.1938732</v>
      </c>
      <c r="R5594">
        <v>0.98087789999999997</v>
      </c>
      <c r="S5594">
        <v>-5.8227540000000001E-2</v>
      </c>
      <c r="T5594">
        <v>-6.5964819999999993E-2</v>
      </c>
      <c r="U5594">
        <v>3.0712890000000002</v>
      </c>
      <c r="V5594">
        <v>-1.138833E-2</v>
      </c>
      <c r="W5594">
        <v>0.20629629999999999</v>
      </c>
      <c r="X5594">
        <v>0.9784233</v>
      </c>
      <c r="Y5594">
        <v>-1.3297949999999999E-2</v>
      </c>
      <c r="Z5594">
        <v>-8.7991739999999999E-3</v>
      </c>
      <c r="AA5594">
        <v>0.99987289999999995</v>
      </c>
      <c r="AB5594">
        <v>33</v>
      </c>
      <c r="AC5594">
        <v>-0.98779999999999202</v>
      </c>
      <c r="AD5594">
        <v>-1.1207218663506999</v>
      </c>
      <c r="AE5594">
        <v>51.875439999999998</v>
      </c>
      <c r="AF5594">
        <v>-0.69413548955228799</v>
      </c>
      <c r="AG5594">
        <v>-1.1207218663506999</v>
      </c>
      <c r="AH5594">
        <v>51.8560017925682</v>
      </c>
      <c r="AI5594">
        <v>91.237983773193207</v>
      </c>
      <c r="AJ5594">
        <v>90.766905612579905</v>
      </c>
      <c r="AK5594">
        <v>51.872755503157997</v>
      </c>
      <c r="AL5594">
        <v>78.094606321605795</v>
      </c>
      <c r="AM5594">
        <v>90.666862472141901</v>
      </c>
      <c r="AN5594">
        <v>1.00000000571838</v>
      </c>
    </row>
    <row r="5595" spans="1:40" x14ac:dyDescent="0.25">
      <c r="A5595" t="str">
        <f>"20190303162712982"</f>
        <v>20190303162712982</v>
      </c>
      <c r="B5595" t="str">
        <f>"1551601632970288"</f>
        <v>1551601632970288</v>
      </c>
      <c r="C5595" t="s">
        <v>40</v>
      </c>
      <c r="D5595">
        <v>4.5563469999999997</v>
      </c>
      <c r="E5595">
        <v>0.50068489999999999</v>
      </c>
      <c r="F5595" t="s">
        <v>41</v>
      </c>
      <c r="G5595">
        <v>-189.61279999999999</v>
      </c>
      <c r="H5595" s="1">
        <v>-3.4100419999999999E-7</v>
      </c>
      <c r="I5595">
        <v>110.2676</v>
      </c>
      <c r="J5595">
        <v>-188.715</v>
      </c>
      <c r="K5595">
        <v>1.120725</v>
      </c>
      <c r="L5595">
        <v>59.991549999999997</v>
      </c>
      <c r="M5595">
        <v>-5.3506079999999998E-3</v>
      </c>
      <c r="N5595">
        <v>-1.26625E-2</v>
      </c>
      <c r="O5595">
        <v>0.9999055</v>
      </c>
      <c r="P5595">
        <v>-1.6428669999999999E-2</v>
      </c>
      <c r="Q5595">
        <v>0.1932238</v>
      </c>
      <c r="R5595">
        <v>0.98101719999999903</v>
      </c>
      <c r="S5595">
        <v>-5.4565429999999998E-2</v>
      </c>
      <c r="T5595">
        <v>-6.7998890000000006E-2</v>
      </c>
      <c r="U5595">
        <v>3.0709840000000002</v>
      </c>
      <c r="V5595">
        <v>-1.103671E-2</v>
      </c>
      <c r="W5595">
        <v>0.2056393</v>
      </c>
      <c r="X5595">
        <v>0.97856560000000004</v>
      </c>
      <c r="Y5595">
        <v>-1.241128E-2</v>
      </c>
      <c r="Z5595">
        <v>-9.4733100000000004E-3</v>
      </c>
      <c r="AA5595">
        <v>0.99987809999999999</v>
      </c>
      <c r="AB5595">
        <v>33</v>
      </c>
      <c r="AC5595">
        <v>-0.89779999999998905</v>
      </c>
      <c r="AD5595">
        <v>-1.1207253410042</v>
      </c>
      <c r="AE5595">
        <v>50.276049999999998</v>
      </c>
      <c r="AF5595">
        <v>-0.62844595871588305</v>
      </c>
      <c r="AG5595">
        <v>-1.1207253410042</v>
      </c>
      <c r="AH5595">
        <v>50.2551701229945</v>
      </c>
      <c r="AI5595">
        <v>91.277424245380203</v>
      </c>
      <c r="AJ5595">
        <v>90.716452143398698</v>
      </c>
      <c r="AK5595">
        <v>50.271593307792799</v>
      </c>
      <c r="AL5595">
        <v>78.133074168899896</v>
      </c>
      <c r="AM5595">
        <v>90.646180585201805</v>
      </c>
      <c r="AN5595">
        <v>0.99999998208773599</v>
      </c>
    </row>
    <row r="5596" spans="1:40" x14ac:dyDescent="0.25">
      <c r="A5596" t="str">
        <f>"20190303162713006"</f>
        <v>20190303162713006</v>
      </c>
      <c r="B5596" t="str">
        <f>"1551601632999569"</f>
        <v>1551601632999569</v>
      </c>
      <c r="C5596" t="s">
        <v>40</v>
      </c>
      <c r="D5596">
        <v>4.6305509999999996</v>
      </c>
      <c r="E5596">
        <v>0.50041069999999999</v>
      </c>
      <c r="F5596" t="s">
        <v>41</v>
      </c>
      <c r="G5596">
        <v>-189.58590000000001</v>
      </c>
      <c r="H5596" s="1">
        <v>-3.9192209999999996E-6</v>
      </c>
      <c r="I5596">
        <v>108.5973</v>
      </c>
      <c r="J5596">
        <v>-188.7166</v>
      </c>
      <c r="K5596">
        <v>1.1207260000000001</v>
      </c>
      <c r="L5596">
        <v>60.349269999999997</v>
      </c>
      <c r="M5596">
        <v>-5.0380420000000004E-3</v>
      </c>
      <c r="N5596">
        <v>-1.2653029999999999E-2</v>
      </c>
      <c r="O5596">
        <v>0.99990730000000005</v>
      </c>
      <c r="P5596">
        <v>-1.554065E-2</v>
      </c>
      <c r="Q5596">
        <v>0.1926621</v>
      </c>
      <c r="R5596">
        <v>0.98114210000000002</v>
      </c>
      <c r="S5596">
        <v>-5.502319E-2</v>
      </c>
      <c r="T5596">
        <v>-7.0811390000000002E-2</v>
      </c>
      <c r="U5596">
        <v>3.071075</v>
      </c>
      <c r="V5596">
        <v>-1.045751E-2</v>
      </c>
      <c r="W5596">
        <v>0.20506949999999999</v>
      </c>
      <c r="X5596">
        <v>0.97869150000000005</v>
      </c>
      <c r="Y5596">
        <v>-1.287197E-2</v>
      </c>
      <c r="Z5596">
        <v>-1.039721E-2</v>
      </c>
      <c r="AA5596">
        <v>0.9998631</v>
      </c>
      <c r="AB5596">
        <v>33</v>
      </c>
      <c r="AC5596">
        <v>-0.86930000000000895</v>
      </c>
      <c r="AD5596">
        <v>-1.1207299192209901</v>
      </c>
      <c r="AE5596">
        <v>48.24803</v>
      </c>
      <c r="AF5596">
        <v>-0.62585633503473204</v>
      </c>
      <c r="AG5596">
        <v>-1.1207299192209901</v>
      </c>
      <c r="AH5596">
        <v>48.225785064924899</v>
      </c>
      <c r="AI5596">
        <v>91.3311578978049</v>
      </c>
      <c r="AJ5596">
        <v>90.743521616657404</v>
      </c>
      <c r="AK5596">
        <v>48.242865553698998</v>
      </c>
      <c r="AL5596">
        <v>78.166431927161298</v>
      </c>
      <c r="AM5596">
        <v>90.612193306716193</v>
      </c>
      <c r="AN5596">
        <v>0.99999995575894896</v>
      </c>
    </row>
    <row r="5597" spans="1:40" x14ac:dyDescent="0.25">
      <c r="A5597" t="str">
        <f>"20190303162713048"</f>
        <v>20190303162713048</v>
      </c>
      <c r="B5597" t="str">
        <f>"1551601633040091"</f>
        <v>1551601633040091</v>
      </c>
      <c r="C5597" t="s">
        <v>40</v>
      </c>
      <c r="D5597">
        <v>4.8140929999999997</v>
      </c>
      <c r="E5597">
        <v>0.50046939999999995</v>
      </c>
      <c r="F5597" t="s">
        <v>41</v>
      </c>
      <c r="G5597">
        <v>-189.57140000000001</v>
      </c>
      <c r="H5597" s="1">
        <v>-3.850837E-6</v>
      </c>
      <c r="I5597">
        <v>108.432</v>
      </c>
      <c r="J5597">
        <v>-188.71899999999999</v>
      </c>
      <c r="K5597">
        <v>1.120733</v>
      </c>
      <c r="L5597">
        <v>60.975070000000002</v>
      </c>
      <c r="M5597">
        <v>-4.5096240000000003E-3</v>
      </c>
      <c r="N5597">
        <v>-1.2638389999999999E-2</v>
      </c>
      <c r="O5597">
        <v>0.99990990000000002</v>
      </c>
      <c r="P5597">
        <v>-1.2742079999999999E-2</v>
      </c>
      <c r="Q5597">
        <v>0.1921447</v>
      </c>
      <c r="R5597">
        <v>0.98128389999999999</v>
      </c>
      <c r="S5597">
        <v>-5.4595949999999997E-2</v>
      </c>
      <c r="T5597">
        <v>-7.1576829999999994E-2</v>
      </c>
      <c r="U5597">
        <v>3.070862</v>
      </c>
      <c r="V5597">
        <v>-8.1819709999999997E-3</v>
      </c>
      <c r="W5597">
        <v>0.204537</v>
      </c>
      <c r="X5597">
        <v>0.97882469999999999</v>
      </c>
      <c r="Y5597">
        <v>-1.326242E-2</v>
      </c>
      <c r="Z5597">
        <v>-1.066252E-2</v>
      </c>
      <c r="AA5597">
        <v>0.99985520000000006</v>
      </c>
      <c r="AB5597">
        <v>33</v>
      </c>
      <c r="AC5597">
        <v>-0.85239999999998795</v>
      </c>
      <c r="AD5597">
        <v>-1.1207368508369999</v>
      </c>
      <c r="AE5597">
        <v>47.45693</v>
      </c>
      <c r="AF5597">
        <v>-0.63800560596881795</v>
      </c>
      <c r="AG5597">
        <v>-1.1207368508369999</v>
      </c>
      <c r="AH5597">
        <v>47.433845898792399</v>
      </c>
      <c r="AI5597">
        <v>91.353374170613804</v>
      </c>
      <c r="AJ5597">
        <v>90.770606381052104</v>
      </c>
      <c r="AK5597">
        <v>47.451373415238997</v>
      </c>
      <c r="AL5597">
        <v>78.197603914473206</v>
      </c>
      <c r="AM5597">
        <v>90.478922822745105</v>
      </c>
      <c r="AN5597">
        <v>1.0000000611742601</v>
      </c>
    </row>
    <row r="5598" spans="1:40" x14ac:dyDescent="0.25">
      <c r="A5598" t="str">
        <f>"20190303162713070"</f>
        <v>20190303162713070</v>
      </c>
      <c r="B5598" t="str">
        <f>"1551601633059611"</f>
        <v>1551601633059611</v>
      </c>
      <c r="C5598" t="s">
        <v>40</v>
      </c>
      <c r="D5598">
        <v>4.7073769999999904</v>
      </c>
      <c r="E5598">
        <v>0.53580699999999903</v>
      </c>
      <c r="F5598" t="s">
        <v>41</v>
      </c>
      <c r="G5598">
        <v>-189.41059999999999</v>
      </c>
      <c r="H5598" s="1">
        <v>-3.4134560000000001E-6</v>
      </c>
      <c r="I5598">
        <v>107.3459</v>
      </c>
      <c r="J5598">
        <v>-188.72020000000001</v>
      </c>
      <c r="K5598">
        <v>1.120738</v>
      </c>
      <c r="L5598">
        <v>61.298310000000001</v>
      </c>
      <c r="M5598">
        <v>-4.2448989999999999E-3</v>
      </c>
      <c r="N5598">
        <v>-1.2632030000000001E-2</v>
      </c>
      <c r="O5598">
        <v>0.9999112</v>
      </c>
      <c r="P5598">
        <v>-1.145767E-2</v>
      </c>
      <c r="Q5598">
        <v>0.19171849999999999</v>
      </c>
      <c r="R5598">
        <v>0.98138309999999995</v>
      </c>
      <c r="S5598">
        <v>-4.5806880000000001E-2</v>
      </c>
      <c r="T5598">
        <v>-7.4226260000000002E-2</v>
      </c>
      <c r="U5598">
        <v>3.0711360000000001</v>
      </c>
      <c r="V5598">
        <v>-7.1595319999999997E-3</v>
      </c>
      <c r="W5598">
        <v>0.20410519999999999</v>
      </c>
      <c r="X5598">
        <v>0.97892279999999998</v>
      </c>
      <c r="Y5598">
        <v>-1.0665259999999999E-2</v>
      </c>
      <c r="Z5598">
        <v>-1.152971E-2</v>
      </c>
      <c r="AA5598">
        <v>0.99987669999999995</v>
      </c>
      <c r="AB5598">
        <v>33</v>
      </c>
      <c r="AC5598">
        <v>-0.69039999999998203</v>
      </c>
      <c r="AD5598">
        <v>-1.1207414134559901</v>
      </c>
      <c r="AE5598">
        <v>46.04759</v>
      </c>
      <c r="AF5598">
        <v>-0.494617878876838</v>
      </c>
      <c r="AG5598">
        <v>-1.1207414134559901</v>
      </c>
      <c r="AH5598">
        <v>46.022849296922601</v>
      </c>
      <c r="AI5598">
        <v>91.394901865263506</v>
      </c>
      <c r="AJ5598">
        <v>90.615746880990002</v>
      </c>
      <c r="AK5598">
        <v>46.0391503567256</v>
      </c>
      <c r="AL5598">
        <v>78.222876909880796</v>
      </c>
      <c r="AM5598">
        <v>90.419035753448199</v>
      </c>
      <c r="AN5598">
        <v>1.00000001996266</v>
      </c>
    </row>
    <row r="5599" spans="1:40" x14ac:dyDescent="0.25">
      <c r="A5599" t="str">
        <f>"20190303162713114"</f>
        <v>20190303162713114</v>
      </c>
      <c r="B5599" t="str">
        <f>"1551601633109894"</f>
        <v>1551601633109894</v>
      </c>
      <c r="C5599" t="s">
        <v>40</v>
      </c>
      <c r="D5599">
        <v>4.6853280000000002</v>
      </c>
      <c r="E5599">
        <v>0.54571759999999903</v>
      </c>
      <c r="F5599" t="s">
        <v>41</v>
      </c>
      <c r="G5599">
        <v>-184.16569999999999</v>
      </c>
      <c r="H5599" s="1">
        <v>-5.2721720000000002E-6</v>
      </c>
      <c r="I5599">
        <v>119.5099</v>
      </c>
      <c r="J5599">
        <v>-188.72219999999999</v>
      </c>
      <c r="K5599">
        <v>1.1207510000000001</v>
      </c>
      <c r="L5599">
        <v>61.954799999999999</v>
      </c>
      <c r="M5599">
        <v>-3.7337410000000001E-3</v>
      </c>
      <c r="N5599">
        <v>-1.262076E-2</v>
      </c>
      <c r="O5599">
        <v>0.99991339999999995</v>
      </c>
      <c r="P5599">
        <v>-9.4765409999999998E-3</v>
      </c>
      <c r="Q5599">
        <v>0.19180929999999999</v>
      </c>
      <c r="R5599">
        <v>0.98138650000000005</v>
      </c>
      <c r="S5599">
        <v>0.24029539999999999</v>
      </c>
      <c r="T5599">
        <v>-5.9130670000000003E-2</v>
      </c>
      <c r="U5599">
        <v>3.071259</v>
      </c>
      <c r="V5599">
        <v>-5.6871839999999996E-3</v>
      </c>
      <c r="W5599">
        <v>0.20418359999999999</v>
      </c>
      <c r="X5599">
        <v>0.97891609999999996</v>
      </c>
      <c r="Y5599">
        <v>8.1705719999999996E-2</v>
      </c>
      <c r="Z5599">
        <v>-6.5658549999999998E-3</v>
      </c>
      <c r="AA5599">
        <v>0.99663480000000004</v>
      </c>
      <c r="AB5599">
        <v>33</v>
      </c>
      <c r="AC5599">
        <v>4.5564999999999998</v>
      </c>
      <c r="AD5599">
        <v>-1.1207562721719999</v>
      </c>
      <c r="AE5599">
        <v>57.555100000000003</v>
      </c>
      <c r="AF5599">
        <v>4.7695838791390104</v>
      </c>
      <c r="AG5599">
        <v>-1.1207562721719999</v>
      </c>
      <c r="AH5599">
        <v>57.5160110570284</v>
      </c>
      <c r="AI5599">
        <v>91.112505870665402</v>
      </c>
      <c r="AJ5599">
        <v>85.259525587463003</v>
      </c>
      <c r="AK5599">
        <v>57.724315092636402</v>
      </c>
      <c r="AL5599">
        <v>78.218288153558305</v>
      </c>
      <c r="AM5599">
        <v>90.332866089857603</v>
      </c>
      <c r="AN5599">
        <v>1.0000000087050001</v>
      </c>
    </row>
    <row r="5600" spans="1:40" x14ac:dyDescent="0.25">
      <c r="A5600" t="str">
        <f>"20190303162713137"</f>
        <v>20190303162713137</v>
      </c>
      <c r="B5600" t="str">
        <f>"1551601633130388"</f>
        <v>1551601633130388</v>
      </c>
      <c r="C5600" t="s">
        <v>40</v>
      </c>
      <c r="D5600">
        <v>4.7249499999999998</v>
      </c>
      <c r="E5600">
        <v>0.54640669999999902</v>
      </c>
      <c r="F5600" t="s">
        <v>41</v>
      </c>
      <c r="G5600">
        <v>-183.47620000000001</v>
      </c>
      <c r="H5600" s="1">
        <v>-2.383041E-6</v>
      </c>
      <c r="I5600">
        <v>111.54989999999999</v>
      </c>
      <c r="J5600">
        <v>-188.72319999999999</v>
      </c>
      <c r="K5600">
        <v>1.12076</v>
      </c>
      <c r="L5600">
        <v>62.298609999999996</v>
      </c>
      <c r="M5600">
        <v>-3.484263E-3</v>
      </c>
      <c r="N5600">
        <v>-1.2615680000000001E-2</v>
      </c>
      <c r="O5600">
        <v>0.99991430000000003</v>
      </c>
      <c r="P5600">
        <v>-9.0267219999999992E-3</v>
      </c>
      <c r="Q5600">
        <v>0.19250490000000001</v>
      </c>
      <c r="R5600">
        <v>0.98125450000000003</v>
      </c>
      <c r="S5600">
        <v>0.32511899999999999</v>
      </c>
      <c r="T5600">
        <v>-6.9457530000000003E-2</v>
      </c>
      <c r="U5600">
        <v>3.0736080000000001</v>
      </c>
      <c r="V5600">
        <v>-5.4870619999999896E-3</v>
      </c>
      <c r="W5600">
        <v>0.20487250000000001</v>
      </c>
      <c r="X5600">
        <v>0.97877329999999996</v>
      </c>
      <c r="Y5600">
        <v>0.1086263</v>
      </c>
      <c r="Z5600">
        <v>-9.8460200000000005E-3</v>
      </c>
      <c r="AA5600">
        <v>0.99403390000000003</v>
      </c>
      <c r="AB5600">
        <v>33</v>
      </c>
      <c r="AC5600">
        <v>5.2469999999999803</v>
      </c>
      <c r="AD5600">
        <v>-1.1207623830410001</v>
      </c>
      <c r="AE5600">
        <v>49.251289999999997</v>
      </c>
      <c r="AF5600">
        <v>5.4158132311400999</v>
      </c>
      <c r="AG5600">
        <v>-1.1207623830410001</v>
      </c>
      <c r="AH5600">
        <v>49.207512172718197</v>
      </c>
      <c r="AI5600">
        <v>91.296928425256596</v>
      </c>
      <c r="AJ5600">
        <v>83.719265262612495</v>
      </c>
      <c r="AK5600">
        <v>49.517334293174997</v>
      </c>
      <c r="AL5600">
        <v>78.177964707551894</v>
      </c>
      <c r="AM5600">
        <v>90.321200221844606</v>
      </c>
      <c r="AN5600">
        <v>1.0000000109492599</v>
      </c>
    </row>
    <row r="5601" spans="1:40" x14ac:dyDescent="0.25">
      <c r="A5601" t="str">
        <f>"20190303162713160"</f>
        <v>20190303162713160</v>
      </c>
      <c r="B5601" t="str">
        <f>"1551601633149909"</f>
        <v>1551601633149909</v>
      </c>
      <c r="C5601" t="s">
        <v>40</v>
      </c>
      <c r="D5601">
        <v>4.7468719999999998</v>
      </c>
      <c r="E5601">
        <v>0.54666840000000005</v>
      </c>
      <c r="F5601" t="s">
        <v>41</v>
      </c>
      <c r="G5601">
        <v>-183.01840000000001</v>
      </c>
      <c r="H5601" s="1">
        <v>-3.7296120000000002E-6</v>
      </c>
      <c r="I5601">
        <v>115.1489</v>
      </c>
      <c r="J5601">
        <v>-188.72409999999999</v>
      </c>
      <c r="K5601">
        <v>1.1207750000000001</v>
      </c>
      <c r="L5601">
        <v>62.644170000000003</v>
      </c>
      <c r="M5601">
        <v>-3.2483479999999999E-3</v>
      </c>
      <c r="N5601">
        <v>-1.261111E-2</v>
      </c>
      <c r="O5601">
        <v>0.9999152</v>
      </c>
      <c r="P5601">
        <v>-8.960941E-3</v>
      </c>
      <c r="Q5601">
        <v>0.19318350000000001</v>
      </c>
      <c r="R5601">
        <v>0.98112169999999999</v>
      </c>
      <c r="S5601">
        <v>0.33172610000000002</v>
      </c>
      <c r="T5601">
        <v>-6.5170409999999998E-2</v>
      </c>
      <c r="U5601">
        <v>3.0731510000000002</v>
      </c>
      <c r="V5601">
        <v>-5.6589300000000004E-3</v>
      </c>
      <c r="W5601">
        <v>0.20554449999999999</v>
      </c>
      <c r="X5601">
        <v>0.97863140000000004</v>
      </c>
      <c r="Y5601">
        <v>0.11052190000000001</v>
      </c>
      <c r="Z5601">
        <v>-8.4631489999999997E-3</v>
      </c>
      <c r="AA5601">
        <v>0.99383770000000005</v>
      </c>
      <c r="AB5601">
        <v>33</v>
      </c>
      <c r="AC5601">
        <v>5.70569999999997</v>
      </c>
      <c r="AD5601">
        <v>-1.120778729612</v>
      </c>
      <c r="AE5601">
        <v>52.504730000000002</v>
      </c>
      <c r="AF5601">
        <v>5.8735919551208502</v>
      </c>
      <c r="AG5601">
        <v>-1.120778729612</v>
      </c>
      <c r="AH5601">
        <v>52.462291301079098</v>
      </c>
      <c r="AI5601">
        <v>91.216256196621202</v>
      </c>
      <c r="AJ5601">
        <v>83.611861087651903</v>
      </c>
      <c r="AK5601">
        <v>52.801962425418402</v>
      </c>
      <c r="AL5601">
        <v>78.138624480862205</v>
      </c>
      <c r="AM5601">
        <v>90.331308796975406</v>
      </c>
      <c r="AN5601">
        <v>0.99999999101747705</v>
      </c>
    </row>
    <row r="5602" spans="1:40" x14ac:dyDescent="0.25">
      <c r="A5602" t="str">
        <f>"20190303162713184"</f>
        <v>20190303162713184</v>
      </c>
      <c r="B5602" t="str">
        <f>"1551601633170405"</f>
        <v>1551601633170405</v>
      </c>
      <c r="C5602" t="s">
        <v>40</v>
      </c>
      <c r="D5602">
        <v>4.7866559999999998</v>
      </c>
      <c r="E5602">
        <v>0.54677629999999999</v>
      </c>
      <c r="F5602" t="s">
        <v>41</v>
      </c>
      <c r="G5602">
        <v>-182.953</v>
      </c>
      <c r="H5602" s="1">
        <v>-3.96951199999999E-6</v>
      </c>
      <c r="I5602">
        <v>115.8028</v>
      </c>
      <c r="J5602">
        <v>-188.72499999999999</v>
      </c>
      <c r="K5602">
        <v>1.120789</v>
      </c>
      <c r="L5602">
        <v>62.991639999999997</v>
      </c>
      <c r="M5602">
        <v>-3.0304329999999999E-3</v>
      </c>
      <c r="N5602">
        <v>-1.260709E-2</v>
      </c>
      <c r="O5602">
        <v>0.99991600000000003</v>
      </c>
      <c r="P5602">
        <v>-9.0326469999999996E-3</v>
      </c>
      <c r="Q5602">
        <v>0.193303</v>
      </c>
      <c r="R5602">
        <v>0.98109749999999996</v>
      </c>
      <c r="S5602">
        <v>0.33367920000000001</v>
      </c>
      <c r="T5602">
        <v>-6.4801689999999995E-2</v>
      </c>
      <c r="U5602">
        <v>3.073547</v>
      </c>
      <c r="V5602">
        <v>-5.9513719999999999E-3</v>
      </c>
      <c r="W5602">
        <v>0.2056598</v>
      </c>
      <c r="X5602">
        <v>0.97860539999999996</v>
      </c>
      <c r="Y5602">
        <v>0.110916</v>
      </c>
      <c r="Z5602">
        <v>-8.3442510000000004E-3</v>
      </c>
      <c r="AA5602">
        <v>0.99379470000000003</v>
      </c>
      <c r="AB5602">
        <v>33</v>
      </c>
      <c r="AC5602">
        <v>5.7719999999999896</v>
      </c>
      <c r="AD5602">
        <v>-1.120792969512</v>
      </c>
      <c r="AE5602">
        <v>52.811160000000001</v>
      </c>
      <c r="AF5602">
        <v>5.9293878060643301</v>
      </c>
      <c r="AG5602">
        <v>-1.120792969512</v>
      </c>
      <c r="AH5602">
        <v>52.769937344561399</v>
      </c>
      <c r="AI5602">
        <v>91.209128776742602</v>
      </c>
      <c r="AJ5602">
        <v>83.588965517328106</v>
      </c>
      <c r="AK5602">
        <v>53.113840983157601</v>
      </c>
      <c r="AL5602">
        <v>78.131873571696502</v>
      </c>
      <c r="AM5602">
        <v>90.3484390074386</v>
      </c>
      <c r="AN5602">
        <v>0.99999995053693902</v>
      </c>
    </row>
    <row r="5603" spans="1:40" x14ac:dyDescent="0.25">
      <c r="A5603" t="str">
        <f>"20190303162713207"</f>
        <v>20190303162713207</v>
      </c>
      <c r="B5603" t="str">
        <f>"1551601633199686"</f>
        <v>1551601633199686</v>
      </c>
      <c r="C5603" t="s">
        <v>40</v>
      </c>
      <c r="D5603">
        <v>4.8121199999999904</v>
      </c>
      <c r="E5603">
        <v>0.54694719999999997</v>
      </c>
      <c r="F5603" t="s">
        <v>41</v>
      </c>
      <c r="G5603">
        <v>-183.0326</v>
      </c>
      <c r="H5603" s="1">
        <v>-3.788789E-6</v>
      </c>
      <c r="I5603">
        <v>115.334</v>
      </c>
      <c r="J5603">
        <v>-188.72579999999999</v>
      </c>
      <c r="K5603">
        <v>1.120806</v>
      </c>
      <c r="L5603">
        <v>63.335079999999998</v>
      </c>
      <c r="M5603">
        <v>-2.8393390000000002E-3</v>
      </c>
      <c r="N5603">
        <v>-1.2603639999999999E-2</v>
      </c>
      <c r="O5603">
        <v>0.99991660000000004</v>
      </c>
      <c r="P5603">
        <v>-8.5702199999999999E-3</v>
      </c>
      <c r="Q5603">
        <v>0.1935934</v>
      </c>
      <c r="R5603">
        <v>0.98104440000000004</v>
      </c>
      <c r="S5603">
        <v>0.33428960000000002</v>
      </c>
      <c r="T5603">
        <v>-6.5819619999999995E-2</v>
      </c>
      <c r="U5603">
        <v>3.0738530000000002</v>
      </c>
      <c r="V5603">
        <v>-5.6855059999999999E-3</v>
      </c>
      <c r="W5603">
        <v>0.2059454</v>
      </c>
      <c r="X5603">
        <v>0.97854699999999994</v>
      </c>
      <c r="Y5603">
        <v>0.11090999999999999</v>
      </c>
      <c r="Z5603">
        <v>-8.6745720000000002E-3</v>
      </c>
      <c r="AA5603">
        <v>0.99379260000000003</v>
      </c>
      <c r="AB5603">
        <v>33</v>
      </c>
      <c r="AC5603">
        <v>5.6931999999999903</v>
      </c>
      <c r="AD5603">
        <v>-1.1208097887890001</v>
      </c>
      <c r="AE5603">
        <v>51.998919999999998</v>
      </c>
      <c r="AF5603">
        <v>5.8381510774190799</v>
      </c>
      <c r="AG5603">
        <v>-1.1208097887890001</v>
      </c>
      <c r="AH5603">
        <v>51.958690315822203</v>
      </c>
      <c r="AI5603">
        <v>91.228020179190395</v>
      </c>
      <c r="AJ5603">
        <v>83.589055454178407</v>
      </c>
      <c r="AK5603">
        <v>52.2976645933729</v>
      </c>
      <c r="AL5603">
        <v>78.1151529272137</v>
      </c>
      <c r="AM5603">
        <v>90.332893394663799</v>
      </c>
      <c r="AN5603">
        <v>1.0000000319843101</v>
      </c>
    </row>
    <row r="5604" spans="1:40" x14ac:dyDescent="0.25">
      <c r="A5604" t="str">
        <f>"20190303162713248"</f>
        <v>20190303162713248</v>
      </c>
      <c r="B5604" t="str">
        <f>"1551601633240209"</f>
        <v>1551601633240209</v>
      </c>
      <c r="C5604" t="s">
        <v>40</v>
      </c>
      <c r="D5604">
        <v>4.8357799999999997</v>
      </c>
      <c r="E5604">
        <v>0.54700369999999998</v>
      </c>
      <c r="F5604" t="s">
        <v>41</v>
      </c>
      <c r="G5604">
        <v>-183.22489999999999</v>
      </c>
      <c r="H5604" s="1">
        <v>-3.1347350000000002E-6</v>
      </c>
      <c r="I5604">
        <v>113.56229999999999</v>
      </c>
      <c r="J5604">
        <v>-188.72710000000001</v>
      </c>
      <c r="K5604">
        <v>1.120844</v>
      </c>
      <c r="L5604">
        <v>63.941890000000001</v>
      </c>
      <c r="M5604">
        <v>-2.5526110000000002E-3</v>
      </c>
      <c r="N5604">
        <v>-1.2598450000000001E-2</v>
      </c>
      <c r="O5604">
        <v>0.99991739999999996</v>
      </c>
      <c r="P5604">
        <v>-7.2901959999999997E-3</v>
      </c>
      <c r="Q5604">
        <v>0.19368869999999999</v>
      </c>
      <c r="R5604">
        <v>0.98103589999999996</v>
      </c>
      <c r="S5604">
        <v>0.33671570000000001</v>
      </c>
      <c r="T5604">
        <v>-6.8605899999999997E-2</v>
      </c>
      <c r="U5604">
        <v>3.0744630000000002</v>
      </c>
      <c r="V5604">
        <v>-4.7022720000000004E-3</v>
      </c>
      <c r="W5604">
        <v>0.20603450000000001</v>
      </c>
      <c r="X5604">
        <v>0.9785334</v>
      </c>
      <c r="Y5604">
        <v>0.1113772</v>
      </c>
      <c r="Z5604">
        <v>-9.5745929999999993E-3</v>
      </c>
      <c r="AA5604">
        <v>0.99373210000000001</v>
      </c>
      <c r="AB5604">
        <v>33</v>
      </c>
      <c r="AC5604">
        <v>5.50220000000001</v>
      </c>
      <c r="AD5604">
        <v>-1.120847134735</v>
      </c>
      <c r="AE5604">
        <v>49.6204099999999</v>
      </c>
      <c r="AF5604">
        <v>5.6260179900812304</v>
      </c>
      <c r="AG5604">
        <v>-1.120847134735</v>
      </c>
      <c r="AH5604">
        <v>49.581211328295097</v>
      </c>
      <c r="AI5604">
        <v>91.286769632028097</v>
      </c>
      <c r="AJ5604">
        <v>83.526293611408605</v>
      </c>
      <c r="AK5604">
        <v>49.9119714447869</v>
      </c>
      <c r="AL5604">
        <v>78.109935252675598</v>
      </c>
      <c r="AM5604">
        <v>90.275328635609696</v>
      </c>
      <c r="AN5604">
        <v>0.99999997073388502</v>
      </c>
    </row>
    <row r="5605" spans="1:40" x14ac:dyDescent="0.25">
      <c r="A5605" t="str">
        <f>"20190303162713271"</f>
        <v>20190303162713271</v>
      </c>
      <c r="B5605" t="str">
        <f>"1551601633259728"</f>
        <v>1551601633259728</v>
      </c>
      <c r="C5605" t="s">
        <v>40</v>
      </c>
      <c r="D5605">
        <v>4.8678509999999999</v>
      </c>
      <c r="E5605">
        <v>0.54709169999999996</v>
      </c>
      <c r="F5605" t="s">
        <v>41</v>
      </c>
      <c r="G5605">
        <v>-183.56450000000001</v>
      </c>
      <c r="H5605" s="1">
        <v>-2.008382E-6</v>
      </c>
      <c r="I5605">
        <v>110.518</v>
      </c>
      <c r="J5605">
        <v>-188.7277</v>
      </c>
      <c r="K5605">
        <v>1.1208659999999999</v>
      </c>
      <c r="L5605">
        <v>64.282650000000004</v>
      </c>
      <c r="M5605">
        <v>-2.4312320000000002E-3</v>
      </c>
      <c r="N5605">
        <v>-1.2596019999999999E-2</v>
      </c>
      <c r="O5605">
        <v>0.99991770000000002</v>
      </c>
      <c r="P5605">
        <v>-6.331728E-3</v>
      </c>
      <c r="Q5605">
        <v>0.19273680000000001</v>
      </c>
      <c r="R5605">
        <v>0.98123009999999999</v>
      </c>
      <c r="S5605">
        <v>0.34085079999999901</v>
      </c>
      <c r="T5605">
        <v>-7.4002499999999999E-2</v>
      </c>
      <c r="U5605">
        <v>3.0751339999999998</v>
      </c>
      <c r="V5605">
        <v>-3.8739099999999999E-3</v>
      </c>
      <c r="W5605">
        <v>0.20508299999999999</v>
      </c>
      <c r="X5605">
        <v>0.97873690000000002</v>
      </c>
      <c r="Y5605">
        <v>0.11254980000000001</v>
      </c>
      <c r="Z5605">
        <v>-1.131216E-2</v>
      </c>
      <c r="AA5605">
        <v>0.99358170000000001</v>
      </c>
      <c r="AB5605">
        <v>33</v>
      </c>
      <c r="AC5605">
        <v>5.1631999999999802</v>
      </c>
      <c r="AD5605">
        <v>-1.120868008382</v>
      </c>
      <c r="AE5605">
        <v>46.235349999999897</v>
      </c>
      <c r="AF5605">
        <v>5.2725419788575403</v>
      </c>
      <c r="AG5605">
        <v>-1.120868008382</v>
      </c>
      <c r="AH5605">
        <v>46.19584419481</v>
      </c>
      <c r="AI5605">
        <v>91.380955376925797</v>
      </c>
      <c r="AJ5605">
        <v>83.4887476939397</v>
      </c>
      <c r="AK5605">
        <v>46.509268591133399</v>
      </c>
      <c r="AL5605">
        <v>78.165641949253995</v>
      </c>
      <c r="AM5605">
        <v>90.226779570824505</v>
      </c>
      <c r="AN5605">
        <v>0.99999998174464799</v>
      </c>
    </row>
    <row r="5606" spans="1:40" x14ac:dyDescent="0.25">
      <c r="A5606" t="str">
        <f>"20190303162713292"</f>
        <v>20190303162713292</v>
      </c>
      <c r="B5606" t="str">
        <f>"1551601633289984"</f>
        <v>1551601633289984</v>
      </c>
      <c r="C5606" t="s">
        <v>40</v>
      </c>
      <c r="D5606">
        <v>4.8864999999999998</v>
      </c>
      <c r="E5606">
        <v>0.54713129999999999</v>
      </c>
      <c r="F5606" t="s">
        <v>41</v>
      </c>
      <c r="G5606">
        <v>-183.86189999999999</v>
      </c>
      <c r="H5606" s="1">
        <v>-4.6108960000000001E-6</v>
      </c>
      <c r="I5606">
        <v>107.8429</v>
      </c>
      <c r="J5606">
        <v>-188.72839999999999</v>
      </c>
      <c r="K5606">
        <v>1.120889</v>
      </c>
      <c r="L5606">
        <v>64.607600000000005</v>
      </c>
      <c r="M5606">
        <v>-2.3458160000000001E-3</v>
      </c>
      <c r="N5606">
        <v>-1.259387E-2</v>
      </c>
      <c r="O5606">
        <v>0.99991790000000003</v>
      </c>
      <c r="P5606">
        <v>-5.8972190000000004E-3</v>
      </c>
      <c r="Q5606">
        <v>0.19199630000000001</v>
      </c>
      <c r="R5606">
        <v>0.98137799999999997</v>
      </c>
      <c r="S5606">
        <v>0.34350589999999998</v>
      </c>
      <c r="T5606">
        <v>-7.9127909999999996E-2</v>
      </c>
      <c r="U5606">
        <v>3.0751339999999998</v>
      </c>
      <c r="V5606">
        <v>-3.5356480000000002E-3</v>
      </c>
      <c r="W5606">
        <v>0.20434140000000001</v>
      </c>
      <c r="X5606">
        <v>0.97889329999999997</v>
      </c>
      <c r="Y5606">
        <v>0.1133086</v>
      </c>
      <c r="Z5606">
        <v>-1.296724E-2</v>
      </c>
      <c r="AA5606">
        <v>0.9934752</v>
      </c>
      <c r="AB5606">
        <v>33</v>
      </c>
      <c r="AC5606">
        <v>4.8665000000000003</v>
      </c>
      <c r="AD5606">
        <v>-1.1208936108959999</v>
      </c>
      <c r="AE5606">
        <v>43.235300000000002</v>
      </c>
      <c r="AF5606">
        <v>4.9646216019993297</v>
      </c>
      <c r="AG5606">
        <v>-1.1208936108959999</v>
      </c>
      <c r="AH5606">
        <v>43.195094804815298</v>
      </c>
      <c r="AI5606">
        <v>91.476748960175101</v>
      </c>
      <c r="AJ5606">
        <v>83.443487907955202</v>
      </c>
      <c r="AK5606">
        <v>43.493908600342699</v>
      </c>
      <c r="AL5606">
        <v>78.209052053033602</v>
      </c>
      <c r="AM5606">
        <v>90.206944748041707</v>
      </c>
      <c r="AN5606">
        <v>1.00000000067281</v>
      </c>
    </row>
    <row r="5607" spans="1:40" x14ac:dyDescent="0.25">
      <c r="A5607" t="str">
        <f>"20190303162713314"</f>
        <v>20190303162713314</v>
      </c>
      <c r="B5607" t="str">
        <f>"1551601633310011"</f>
        <v>1551601633310011</v>
      </c>
      <c r="C5607" t="s">
        <v>40</v>
      </c>
      <c r="D5607">
        <v>4.9187190000000003</v>
      </c>
      <c r="E5607">
        <v>0.54710380000000003</v>
      </c>
      <c r="F5607" t="s">
        <v>41</v>
      </c>
      <c r="G5607">
        <v>-184.07679999999999</v>
      </c>
      <c r="H5607" s="1">
        <v>-3.7954410000000002E-6</v>
      </c>
      <c r="I5607">
        <v>106.0309</v>
      </c>
      <c r="J5607">
        <v>-188.72900000000001</v>
      </c>
      <c r="K5607">
        <v>1.1209100000000001</v>
      </c>
      <c r="L5607">
        <v>64.92801</v>
      </c>
      <c r="M5607">
        <v>-2.296467E-3</v>
      </c>
      <c r="N5607">
        <v>-1.25919E-2</v>
      </c>
      <c r="O5607">
        <v>0.99991810000000003</v>
      </c>
      <c r="P5607">
        <v>-5.5293520000000004E-3</v>
      </c>
      <c r="Q5607">
        <v>0.1914874</v>
      </c>
      <c r="R5607">
        <v>0.98147949999999995</v>
      </c>
      <c r="S5607">
        <v>0.3453369</v>
      </c>
      <c r="T5607">
        <v>-8.3215709999999998E-2</v>
      </c>
      <c r="U5607">
        <v>3.0752869999999999</v>
      </c>
      <c r="V5607">
        <v>-3.2297950000000001E-3</v>
      </c>
      <c r="W5607">
        <v>0.2038316</v>
      </c>
      <c r="X5607">
        <v>0.9790006</v>
      </c>
      <c r="Y5607">
        <v>0.113835199999999</v>
      </c>
      <c r="Z5607">
        <v>-1.4286099999999999E-2</v>
      </c>
      <c r="AA5607">
        <v>0.99339690000000003</v>
      </c>
      <c r="AB5607">
        <v>33</v>
      </c>
      <c r="AC5607">
        <v>4.6522000000000201</v>
      </c>
      <c r="AD5607">
        <v>-1.120913795441</v>
      </c>
      <c r="AE5607">
        <v>41.102890000000002</v>
      </c>
      <c r="AF5607">
        <v>4.74310379918977</v>
      </c>
      <c r="AG5607">
        <v>-1.120913795441</v>
      </c>
      <c r="AH5607">
        <v>41.061945486991</v>
      </c>
      <c r="AI5607">
        <v>91.553354979378497</v>
      </c>
      <c r="AJ5607">
        <v>83.410912844682201</v>
      </c>
      <c r="AK5607">
        <v>41.350173501006303</v>
      </c>
      <c r="AL5607">
        <v>78.238888993076003</v>
      </c>
      <c r="AM5607">
        <v>90.189022305838506</v>
      </c>
      <c r="AN5607">
        <v>0.99999996376733002</v>
      </c>
    </row>
    <row r="5608" spans="1:40" x14ac:dyDescent="0.25">
      <c r="A5608" t="str">
        <f>"20190303162713384"</f>
        <v>20190303162713384</v>
      </c>
      <c r="B5608" t="str">
        <f>"1551601633380282"</f>
        <v>1551601633380282</v>
      </c>
      <c r="C5608" t="s">
        <v>40</v>
      </c>
      <c r="D5608">
        <v>5.0184249999999997</v>
      </c>
      <c r="E5608">
        <v>0.53944569999999903</v>
      </c>
      <c r="F5608" t="s">
        <v>41</v>
      </c>
      <c r="G5608">
        <v>-184.2252</v>
      </c>
      <c r="H5608" s="1">
        <v>-3.318703E-6</v>
      </c>
      <c r="I5608">
        <v>104.88509999999999</v>
      </c>
      <c r="J5608">
        <v>-188.7313</v>
      </c>
      <c r="K5608">
        <v>1.120967</v>
      </c>
      <c r="L5608">
        <v>65.954409999999996</v>
      </c>
      <c r="M5608">
        <v>-2.2781810000000002E-3</v>
      </c>
      <c r="N5608">
        <v>-1.2586730000000001E-2</v>
      </c>
      <c r="O5608">
        <v>0.99991819999999998</v>
      </c>
      <c r="P5608">
        <v>-3.4851190000000001E-3</v>
      </c>
      <c r="Q5608">
        <v>0.18651419999999999</v>
      </c>
      <c r="R5608">
        <v>0.98244609999999999</v>
      </c>
      <c r="S5608">
        <v>0.34664919999999999</v>
      </c>
      <c r="T5608">
        <v>-8.627427E-2</v>
      </c>
      <c r="U5608">
        <v>3.0754090000000001</v>
      </c>
      <c r="V5608">
        <v>-1.235405E-3</v>
      </c>
      <c r="W5608">
        <v>0.19886529999999999</v>
      </c>
      <c r="X5608">
        <v>0.98002610000000001</v>
      </c>
      <c r="Y5608">
        <v>0.11422880000000001</v>
      </c>
      <c r="Z5608">
        <v>-1.527626E-2</v>
      </c>
      <c r="AA5608">
        <v>0.99333700000000003</v>
      </c>
      <c r="AB5608">
        <v>33</v>
      </c>
      <c r="AC5608">
        <v>4.5061</v>
      </c>
      <c r="AD5608">
        <v>-1.120970318703</v>
      </c>
      <c r="AE5608">
        <v>38.930689999999998</v>
      </c>
      <c r="AF5608">
        <v>4.5910304114752103</v>
      </c>
      <c r="AG5608">
        <v>-1.120970318703</v>
      </c>
      <c r="AH5608">
        <v>38.888506434588201</v>
      </c>
      <c r="AI5608">
        <v>91.639726249365197</v>
      </c>
      <c r="AJ5608">
        <v>83.267040631997602</v>
      </c>
      <c r="AK5608">
        <v>39.174609984114902</v>
      </c>
      <c r="AL5608">
        <v>78.529387813774093</v>
      </c>
      <c r="AM5608">
        <v>90.072226091729604</v>
      </c>
      <c r="AN5608">
        <v>1.0000000452254001</v>
      </c>
    </row>
    <row r="5609" spans="1:40" x14ac:dyDescent="0.25">
      <c r="A5609" t="str">
        <f>"20190303162713405"</f>
        <v>20190303162713405</v>
      </c>
      <c r="B5609" t="str">
        <f>"1551601633399803"</f>
        <v>1551601633399803</v>
      </c>
      <c r="C5609" t="s">
        <v>40</v>
      </c>
      <c r="D5609">
        <v>5.0105839999999997</v>
      </c>
      <c r="E5609">
        <v>0.53678149999999902</v>
      </c>
      <c r="F5609" t="s">
        <v>42</v>
      </c>
      <c r="G5609">
        <v>-188.63929999999999</v>
      </c>
      <c r="H5609">
        <v>1.010929</v>
      </c>
      <c r="I5609">
        <v>66.943370000000002</v>
      </c>
      <c r="J5609">
        <v>-188.732</v>
      </c>
      <c r="K5609">
        <v>1.1209739999999999</v>
      </c>
      <c r="L5609">
        <v>66.256410000000002</v>
      </c>
      <c r="M5609">
        <v>-2.2876139999999999E-3</v>
      </c>
      <c r="N5609">
        <v>-1.258546E-2</v>
      </c>
      <c r="O5609">
        <v>0.99991819999999998</v>
      </c>
      <c r="P5609">
        <v>-3.3402449999999999E-3</v>
      </c>
      <c r="Q5609">
        <v>0.18635740000000001</v>
      </c>
      <c r="R5609">
        <v>0.98247640000000003</v>
      </c>
      <c r="S5609">
        <v>0.2895508</v>
      </c>
      <c r="T5609">
        <v>-0.3472441</v>
      </c>
      <c r="U5609">
        <v>3.1205440000000002</v>
      </c>
      <c r="V5609">
        <v>-1.085433E-3</v>
      </c>
      <c r="W5609">
        <v>0.19870779999999999</v>
      </c>
      <c r="X5609">
        <v>0.98005819999999999</v>
      </c>
      <c r="Y5609">
        <v>9.4155219999999998E-2</v>
      </c>
      <c r="Z5609">
        <v>-9.7595940000000006E-2</v>
      </c>
      <c r="AA5609">
        <v>0.99076220000000004</v>
      </c>
      <c r="AB5609">
        <v>33</v>
      </c>
      <c r="AC5609">
        <v>9.2700000000007707E-2</v>
      </c>
      <c r="AD5609">
        <v>-0.110044999999999</v>
      </c>
      <c r="AE5609">
        <v>0.68695999999999902</v>
      </c>
      <c r="AF5609">
        <v>9.1953928358544101E-2</v>
      </c>
      <c r="AG5609">
        <v>-0.110044999999999</v>
      </c>
      <c r="AH5609">
        <v>0.66986399341799396</v>
      </c>
      <c r="AI5609">
        <v>99.244027097547004</v>
      </c>
      <c r="AJ5609">
        <v>82.183714848197098</v>
      </c>
      <c r="AK5609">
        <v>0.68504247798473805</v>
      </c>
      <c r="AL5609">
        <v>78.538595387727895</v>
      </c>
      <c r="AM5609">
        <v>90.063456133948506</v>
      </c>
      <c r="AN5609">
        <v>1.00000002166643</v>
      </c>
    </row>
    <row r="5610" spans="1:40" x14ac:dyDescent="0.25">
      <c r="A5610" t="str">
        <f>"20190303162713426"</f>
        <v>20190303162713426</v>
      </c>
      <c r="B5610" t="str">
        <f>"1551601633419830"</f>
        <v>1551601633419830</v>
      </c>
      <c r="C5610" t="s">
        <v>40</v>
      </c>
      <c r="D5610">
        <v>5.0338760000000002</v>
      </c>
      <c r="E5610">
        <v>0.53578549999999903</v>
      </c>
      <c r="F5610" t="s">
        <v>42</v>
      </c>
      <c r="G5610">
        <v>-188.6497</v>
      </c>
      <c r="H5610">
        <v>0.97381839999999997</v>
      </c>
      <c r="I5610">
        <v>67.221029999999999</v>
      </c>
      <c r="J5610">
        <v>-188.73269999999999</v>
      </c>
      <c r="K5610">
        <v>1.120981</v>
      </c>
      <c r="L5610">
        <v>66.588319999999996</v>
      </c>
      <c r="M5610">
        <v>-2.2956539999999998E-3</v>
      </c>
      <c r="N5610">
        <v>-1.2584140000000001E-2</v>
      </c>
      <c r="O5610">
        <v>0.99991819999999998</v>
      </c>
      <c r="P5610">
        <v>-2.4051620000000002E-3</v>
      </c>
      <c r="Q5610">
        <v>0.1871563</v>
      </c>
      <c r="R5610">
        <v>0.98232719999999996</v>
      </c>
      <c r="S5610">
        <v>0.26794430000000002</v>
      </c>
      <c r="T5610">
        <v>-0.479852</v>
      </c>
      <c r="U5610">
        <v>3.1454469999999999</v>
      </c>
      <c r="V5610">
        <v>-1.446765E-4</v>
      </c>
      <c r="W5610">
        <v>0.19950309999999999</v>
      </c>
      <c r="X5610">
        <v>0.97989720000000002</v>
      </c>
      <c r="Y5610">
        <v>8.6265289999999994E-2</v>
      </c>
      <c r="Z5610">
        <v>-0.137808399999999</v>
      </c>
      <c r="AA5610">
        <v>0.98669510000000005</v>
      </c>
      <c r="AB5610">
        <v>33</v>
      </c>
      <c r="AC5610">
        <v>8.2999999999998395E-2</v>
      </c>
      <c r="AD5610">
        <v>-0.14716259999999901</v>
      </c>
      <c r="AE5610">
        <v>0.63271000000000199</v>
      </c>
      <c r="AF5610">
        <v>8.0187729635145893E-2</v>
      </c>
      <c r="AG5610">
        <v>-0.14716259999999901</v>
      </c>
      <c r="AH5610">
        <v>0.60057709312445096</v>
      </c>
      <c r="AI5610">
        <v>103.651654305002</v>
      </c>
      <c r="AJ5610">
        <v>82.394972575995894</v>
      </c>
      <c r="AK5610">
        <v>0.62352205061939503</v>
      </c>
      <c r="AL5610">
        <v>78.492096992466699</v>
      </c>
      <c r="AM5610">
        <v>90.008459410624397</v>
      </c>
      <c r="AN5610">
        <v>1.00000001520436</v>
      </c>
    </row>
    <row r="5611" spans="1:40" x14ac:dyDescent="0.25">
      <c r="A5611" t="str">
        <f>"20190303162713450"</f>
        <v>20190303162713450</v>
      </c>
      <c r="B5611" t="str">
        <f>"1551601633440325"</f>
        <v>1551601633440325</v>
      </c>
      <c r="C5611" t="s">
        <v>40</v>
      </c>
      <c r="D5611">
        <v>5.0200760000000004</v>
      </c>
      <c r="E5611">
        <v>0.53478780000000004</v>
      </c>
      <c r="F5611" t="s">
        <v>42</v>
      </c>
      <c r="G5611">
        <v>-188.6558</v>
      </c>
      <c r="H5611">
        <v>0.96084950000000002</v>
      </c>
      <c r="I5611">
        <v>67.510570000000001</v>
      </c>
      <c r="J5611">
        <v>-188.73349999999999</v>
      </c>
      <c r="K5611">
        <v>1.1209849999999999</v>
      </c>
      <c r="L5611">
        <v>66.929140000000004</v>
      </c>
      <c r="M5611">
        <v>-2.301455E-3</v>
      </c>
      <c r="N5611">
        <v>-1.258284E-2</v>
      </c>
      <c r="O5611">
        <v>0.99991819999999998</v>
      </c>
      <c r="P5611">
        <v>-1.680859E-3</v>
      </c>
      <c r="Q5611">
        <v>0.18857099999999999</v>
      </c>
      <c r="R5611">
        <v>0.98205810000000004</v>
      </c>
      <c r="S5611">
        <v>0.26289370000000001</v>
      </c>
      <c r="T5611">
        <v>-0.54853669999999899</v>
      </c>
      <c r="U5611">
        <v>3.159119</v>
      </c>
      <c r="V5611">
        <v>5.8444479999999999E-4</v>
      </c>
      <c r="W5611">
        <v>0.20091300000000001</v>
      </c>
      <c r="X5611">
        <v>0.9796089</v>
      </c>
      <c r="Y5611">
        <v>8.4082889999999993E-2</v>
      </c>
      <c r="Z5611">
        <v>-0.1580741</v>
      </c>
      <c r="AA5611">
        <v>0.98384079999999996</v>
      </c>
      <c r="AB5611">
        <v>33</v>
      </c>
      <c r="AC5611">
        <v>7.7699999999992997E-2</v>
      </c>
      <c r="AD5611">
        <v>-0.16013549999999999</v>
      </c>
      <c r="AE5611">
        <v>0.581429999999997</v>
      </c>
      <c r="AF5611">
        <v>7.3556361638964396E-2</v>
      </c>
      <c r="AG5611">
        <v>-0.16013549999999999</v>
      </c>
      <c r="AH5611">
        <v>0.54093712476200895</v>
      </c>
      <c r="AI5611">
        <v>106.348205010439</v>
      </c>
      <c r="AJ5611">
        <v>82.2564424942491</v>
      </c>
      <c r="AK5611">
        <v>0.56891729596102203</v>
      </c>
      <c r="AL5611">
        <v>78.409645978533206</v>
      </c>
      <c r="AM5611">
        <v>89.965816749495303</v>
      </c>
      <c r="AN5611">
        <v>0.99999998605196705</v>
      </c>
    </row>
    <row r="5612" spans="1:40" x14ac:dyDescent="0.25">
      <c r="A5612" t="str">
        <f>"20190303162713472"</f>
        <v>20190303162713472</v>
      </c>
      <c r="B5612" t="str">
        <f>"1551601633461797"</f>
        <v>1551601633461797</v>
      </c>
      <c r="C5612" t="s">
        <v>40</v>
      </c>
      <c r="D5612">
        <v>5.1046370000000003</v>
      </c>
      <c r="E5612">
        <v>0.53384430000000005</v>
      </c>
      <c r="F5612" t="s">
        <v>42</v>
      </c>
      <c r="G5612">
        <v>-188.66229999999999</v>
      </c>
      <c r="H5612">
        <v>0.96015309999999998</v>
      </c>
      <c r="I5612">
        <v>67.806110000000004</v>
      </c>
      <c r="J5612">
        <v>-188.73429999999999</v>
      </c>
      <c r="K5612">
        <v>1.120984</v>
      </c>
      <c r="L5612">
        <v>67.262540000000001</v>
      </c>
      <c r="M5612">
        <v>-2.300706E-3</v>
      </c>
      <c r="N5612">
        <v>-1.258161E-2</v>
      </c>
      <c r="O5612">
        <v>0.99991819999999998</v>
      </c>
      <c r="P5612">
        <v>-1.1179409999999999E-3</v>
      </c>
      <c r="Q5612">
        <v>0.18959580000000001</v>
      </c>
      <c r="R5612">
        <v>0.9818616</v>
      </c>
      <c r="S5612">
        <v>0.25704959999999999</v>
      </c>
      <c r="T5612">
        <v>-0.58076719999999904</v>
      </c>
      <c r="U5612">
        <v>3.1667480000000001</v>
      </c>
      <c r="V5612">
        <v>1.14762E-3</v>
      </c>
      <c r="W5612">
        <v>0.201934</v>
      </c>
      <c r="X5612">
        <v>0.9793984</v>
      </c>
      <c r="Y5612">
        <v>8.1955459999999994E-2</v>
      </c>
      <c r="Z5612">
        <v>-0.16740569999999999</v>
      </c>
      <c r="AA5612">
        <v>0.98247580000000001</v>
      </c>
      <c r="AB5612">
        <v>33</v>
      </c>
      <c r="AC5612">
        <v>7.2000000000002701E-2</v>
      </c>
      <c r="AD5612">
        <v>-0.1608309</v>
      </c>
      <c r="AE5612">
        <v>0.543570000000002</v>
      </c>
      <c r="AF5612">
        <v>6.7447654551743993E-2</v>
      </c>
      <c r="AG5612">
        <v>-0.1608309</v>
      </c>
      <c r="AH5612">
        <v>0.50035493692089705</v>
      </c>
      <c r="AI5612">
        <v>107.66940574850101</v>
      </c>
      <c r="AJ5612">
        <v>82.322828054171694</v>
      </c>
      <c r="AK5612">
        <v>0.52987812504429399</v>
      </c>
      <c r="AL5612">
        <v>78.349922390291894</v>
      </c>
      <c r="AM5612">
        <v>89.932863120471595</v>
      </c>
      <c r="AN5612">
        <v>0.99999994165510997</v>
      </c>
    </row>
    <row r="5613" spans="1:40" x14ac:dyDescent="0.25">
      <c r="A5613" t="str">
        <f>"20190303162713495"</f>
        <v>20190303162713495</v>
      </c>
      <c r="B5613" t="str">
        <f>"1551601633490102"</f>
        <v>1551601633490102</v>
      </c>
      <c r="C5613" t="s">
        <v>40</v>
      </c>
      <c r="D5613">
        <v>5.071834</v>
      </c>
      <c r="E5613">
        <v>0.53447009999999995</v>
      </c>
      <c r="F5613" t="s">
        <v>42</v>
      </c>
      <c r="G5613">
        <v>-188.66800000000001</v>
      </c>
      <c r="H5613">
        <v>0.96177409999999997</v>
      </c>
      <c r="I5613">
        <v>68.102739999999997</v>
      </c>
      <c r="J5613">
        <v>-188.73500000000001</v>
      </c>
      <c r="K5613">
        <v>1.1209750000000001</v>
      </c>
      <c r="L5613">
        <v>67.609949999999998</v>
      </c>
      <c r="M5613">
        <v>-2.28218E-3</v>
      </c>
      <c r="N5613">
        <v>-1.258038E-2</v>
      </c>
      <c r="O5613">
        <v>0.99991830000000004</v>
      </c>
      <c r="P5613">
        <v>-3.6169050000000002E-4</v>
      </c>
      <c r="Q5613">
        <v>0.1888657</v>
      </c>
      <c r="R5613">
        <v>0.98200290000000001</v>
      </c>
      <c r="S5613">
        <v>0.24963379999999999</v>
      </c>
      <c r="T5613">
        <v>-0.60103439999999997</v>
      </c>
      <c r="U5613">
        <v>3.1717529999999998</v>
      </c>
      <c r="V5613">
        <v>1.890807E-3</v>
      </c>
      <c r="W5613">
        <v>0.20120499999999999</v>
      </c>
      <c r="X5613">
        <v>0.97954730000000001</v>
      </c>
      <c r="Y5613">
        <v>7.9450140000000002E-2</v>
      </c>
      <c r="Z5613">
        <v>-0.1732339</v>
      </c>
      <c r="AA5613">
        <v>0.98167090000000001</v>
      </c>
      <c r="AB5613">
        <v>33</v>
      </c>
      <c r="AC5613">
        <v>6.7000000000007207E-2</v>
      </c>
      <c r="AD5613">
        <v>-0.15920090000000001</v>
      </c>
      <c r="AE5613">
        <v>0.49278999999999901</v>
      </c>
      <c r="AF5613">
        <v>6.1792447804069298E-2</v>
      </c>
      <c r="AG5613">
        <v>-0.15920090000000001</v>
      </c>
      <c r="AH5613">
        <v>0.44684584167529601</v>
      </c>
      <c r="AI5613">
        <v>109.438882696467</v>
      </c>
      <c r="AJ5613">
        <v>82.126738932649999</v>
      </c>
      <c r="AK5613">
        <v>0.47836642794925799</v>
      </c>
      <c r="AL5613">
        <v>78.392566651541401</v>
      </c>
      <c r="AM5613">
        <v>89.889402863525305</v>
      </c>
      <c r="AN5613">
        <v>0.99999997005670005</v>
      </c>
    </row>
    <row r="5614" spans="1:40" x14ac:dyDescent="0.25">
      <c r="A5614" t="str">
        <f>"20190303162713516"</f>
        <v>20190303162713516</v>
      </c>
      <c r="B5614" t="str">
        <f>"1551601633509622"</f>
        <v>1551601633509622</v>
      </c>
      <c r="C5614" t="s">
        <v>40</v>
      </c>
      <c r="D5614">
        <v>5.0961650000000001</v>
      </c>
      <c r="E5614">
        <v>0.53482159999999901</v>
      </c>
      <c r="F5614" t="s">
        <v>42</v>
      </c>
      <c r="G5614">
        <v>-188.67179999999999</v>
      </c>
      <c r="H5614">
        <v>0.9666846</v>
      </c>
      <c r="I5614">
        <v>68.400989999999993</v>
      </c>
      <c r="J5614">
        <v>-188.73570000000001</v>
      </c>
      <c r="K5614">
        <v>1.120959</v>
      </c>
      <c r="L5614">
        <v>67.914429999999996</v>
      </c>
      <c r="M5614">
        <v>-2.2454129999999999E-3</v>
      </c>
      <c r="N5614">
        <v>-1.2579389999999999E-2</v>
      </c>
      <c r="O5614">
        <v>0.99991830000000004</v>
      </c>
      <c r="P5614" s="1">
        <v>-1.240335E-5</v>
      </c>
      <c r="Q5614">
        <v>0.18794549999999999</v>
      </c>
      <c r="R5614">
        <v>0.98217949999999998</v>
      </c>
      <c r="S5614">
        <v>0.25341799999999998</v>
      </c>
      <c r="T5614">
        <v>-0.61911890000000003</v>
      </c>
      <c r="U5614">
        <v>3.1741640000000002</v>
      </c>
      <c r="V5614">
        <v>2.211621E-3</v>
      </c>
      <c r="W5614">
        <v>0.20028570000000001</v>
      </c>
      <c r="X5614">
        <v>0.97973500000000002</v>
      </c>
      <c r="Y5614">
        <v>8.0439540000000004E-2</v>
      </c>
      <c r="Z5614">
        <v>-0.17847499999999999</v>
      </c>
      <c r="AA5614">
        <v>0.98065089999999999</v>
      </c>
      <c r="AB5614">
        <v>33</v>
      </c>
      <c r="AC5614">
        <v>6.3900000000017998E-2</v>
      </c>
      <c r="AD5614">
        <v>-0.15427440000000001</v>
      </c>
      <c r="AE5614">
        <v>0.48655999999999699</v>
      </c>
      <c r="AF5614">
        <v>5.9146966234667198E-2</v>
      </c>
      <c r="AG5614">
        <v>-0.15427440000000001</v>
      </c>
      <c r="AH5614">
        <v>0.44266659542233999</v>
      </c>
      <c r="AI5614">
        <v>109.057039686721</v>
      </c>
      <c r="AJ5614">
        <v>82.389492012205295</v>
      </c>
      <c r="AK5614">
        <v>0.47249621036885597</v>
      </c>
      <c r="AL5614">
        <v>78.446333066243596</v>
      </c>
      <c r="AM5614">
        <v>89.870662644545206</v>
      </c>
      <c r="AN5614">
        <v>0.99999996155846804</v>
      </c>
    </row>
    <row r="5615" spans="1:40" x14ac:dyDescent="0.25">
      <c r="A5615" t="str">
        <f>"20190303162713538"</f>
        <v>20190303162713538</v>
      </c>
      <c r="B5615" t="str">
        <f>"1551601633530118"</f>
        <v>1551601633530118</v>
      </c>
      <c r="C5615" t="s">
        <v>40</v>
      </c>
      <c r="D5615">
        <v>5.0980119999999998</v>
      </c>
      <c r="E5615">
        <v>0.53505230000000004</v>
      </c>
      <c r="F5615" t="s">
        <v>42</v>
      </c>
      <c r="G5615">
        <v>-188.67250000000001</v>
      </c>
      <c r="H5615">
        <v>0.96618519999999997</v>
      </c>
      <c r="I5615">
        <v>68.696529999999996</v>
      </c>
      <c r="J5615">
        <v>-188.7364</v>
      </c>
      <c r="K5615">
        <v>1.1209420000000001</v>
      </c>
      <c r="L5615">
        <v>68.24203</v>
      </c>
      <c r="M5615">
        <v>-2.183403E-3</v>
      </c>
      <c r="N5615">
        <v>-1.25784E-2</v>
      </c>
      <c r="O5615">
        <v>0.99991850000000004</v>
      </c>
      <c r="P5615" s="1">
        <v>8.3804949999999998E-5</v>
      </c>
      <c r="Q5615">
        <v>0.1885066</v>
      </c>
      <c r="R5615">
        <v>0.9820719</v>
      </c>
      <c r="S5615">
        <v>0.25578309999999999</v>
      </c>
      <c r="T5615">
        <v>-0.62825869999999995</v>
      </c>
      <c r="U5615">
        <v>3.174652</v>
      </c>
      <c r="V5615">
        <v>2.2569719999999999E-3</v>
      </c>
      <c r="W5615">
        <v>0.20084440000000001</v>
      </c>
      <c r="X5615">
        <v>0.97962059999999995</v>
      </c>
      <c r="Y5615">
        <v>8.105002E-2</v>
      </c>
      <c r="Z5615">
        <v>-0.1811556</v>
      </c>
      <c r="AA5615">
        <v>0.98010889999999995</v>
      </c>
      <c r="AB5615">
        <v>33</v>
      </c>
      <c r="AC5615">
        <v>6.3899999999989604E-2</v>
      </c>
      <c r="AD5615">
        <v>-0.1547568</v>
      </c>
      <c r="AE5615">
        <v>0.45450000000001001</v>
      </c>
      <c r="AF5615">
        <v>5.82676969165783E-2</v>
      </c>
      <c r="AG5615">
        <v>-0.1547568</v>
      </c>
      <c r="AH5615">
        <v>0.40797570733288402</v>
      </c>
      <c r="AI5615">
        <v>110.582055850445</v>
      </c>
      <c r="AJ5615">
        <v>81.8718997637786</v>
      </c>
      <c r="AK5615">
        <v>0.44021468560688598</v>
      </c>
      <c r="AL5615">
        <v>78.413658928934893</v>
      </c>
      <c r="AM5615">
        <v>89.867995077608896</v>
      </c>
      <c r="AN5615">
        <v>1.00000004343916</v>
      </c>
    </row>
    <row r="5616" spans="1:40" x14ac:dyDescent="0.25">
      <c r="A5616" t="str">
        <f>"20190303162713563"</f>
        <v>20190303162713563</v>
      </c>
      <c r="B5616" t="str">
        <f>"1551601633550614"</f>
        <v>1551601633550614</v>
      </c>
      <c r="C5616" t="s">
        <v>40</v>
      </c>
      <c r="D5616">
        <v>5.1081799999999999</v>
      </c>
      <c r="E5616">
        <v>0.53518239999999995</v>
      </c>
      <c r="F5616" t="s">
        <v>42</v>
      </c>
      <c r="G5616">
        <v>-188.67509999999999</v>
      </c>
      <c r="H5616">
        <v>0.97130760000000005</v>
      </c>
      <c r="I5616">
        <v>68.994749999999996</v>
      </c>
      <c r="J5616">
        <v>-188.7371</v>
      </c>
      <c r="K5616">
        <v>1.120919</v>
      </c>
      <c r="L5616">
        <v>68.601100000000002</v>
      </c>
      <c r="M5616">
        <v>-2.089947E-3</v>
      </c>
      <c r="N5616">
        <v>-1.257758E-2</v>
      </c>
      <c r="O5616">
        <v>0.99991870000000005</v>
      </c>
      <c r="P5616">
        <v>3.026188E-4</v>
      </c>
      <c r="Q5616">
        <v>0.19004299999999999</v>
      </c>
      <c r="R5616">
        <v>0.98177570000000003</v>
      </c>
      <c r="S5616">
        <v>0.25778200000000001</v>
      </c>
      <c r="T5616">
        <v>-0.63135019999999997</v>
      </c>
      <c r="U5616">
        <v>3.1759339999999998</v>
      </c>
      <c r="V5616">
        <v>2.3958999999999999E-3</v>
      </c>
      <c r="W5616">
        <v>0.20237579999999999</v>
      </c>
      <c r="X5616">
        <v>0.97930499999999998</v>
      </c>
      <c r="Y5616">
        <v>8.1524509999999994E-2</v>
      </c>
      <c r="Z5616">
        <v>-0.18199100000000001</v>
      </c>
      <c r="AA5616">
        <v>0.97991479999999997</v>
      </c>
      <c r="AB5616">
        <v>33</v>
      </c>
      <c r="AC5616">
        <v>6.2000000000011803E-2</v>
      </c>
      <c r="AD5616">
        <v>-0.14961140000000001</v>
      </c>
      <c r="AE5616">
        <v>0.39364999999999301</v>
      </c>
      <c r="AF5616">
        <v>5.5061660918082497E-2</v>
      </c>
      <c r="AG5616">
        <v>-0.14961140000000001</v>
      </c>
      <c r="AH5616">
        <v>0.34490497584617402</v>
      </c>
      <c r="AI5616">
        <v>113.187948393613</v>
      </c>
      <c r="AJ5616">
        <v>80.929668886213193</v>
      </c>
      <c r="AK5616">
        <v>0.37996684049594098</v>
      </c>
      <c r="AL5616">
        <v>78.324076084684904</v>
      </c>
      <c r="AM5616">
        <v>89.859824381322099</v>
      </c>
      <c r="AN5616">
        <v>0.99999999389372396</v>
      </c>
    </row>
    <row r="5617" spans="1:40" x14ac:dyDescent="0.25">
      <c r="A5617" t="str">
        <f>"20190303162713587"</f>
        <v>20190303162713587</v>
      </c>
      <c r="B5617" t="str">
        <f>"1551601633579894"</f>
        <v>1551601633579894</v>
      </c>
      <c r="C5617" t="s">
        <v>40</v>
      </c>
      <c r="D5617">
        <v>5.2456160000000001</v>
      </c>
      <c r="E5617">
        <v>0.53522899999999995</v>
      </c>
      <c r="F5617" t="s">
        <v>42</v>
      </c>
      <c r="G5617">
        <v>-188.65819999999999</v>
      </c>
      <c r="H5617">
        <v>0.92941309999999999</v>
      </c>
      <c r="I5617">
        <v>69.565529999999995</v>
      </c>
      <c r="J5617">
        <v>-188.73769999999999</v>
      </c>
      <c r="K5617">
        <v>1.1208959999999999</v>
      </c>
      <c r="L5617">
        <v>68.968959999999996</v>
      </c>
      <c r="M5617">
        <v>-1.965984E-3</v>
      </c>
      <c r="N5617">
        <v>-1.257659E-2</v>
      </c>
      <c r="O5617">
        <v>0.999919</v>
      </c>
      <c r="P5617">
        <v>1.029954E-3</v>
      </c>
      <c r="Q5617">
        <v>0.1907268</v>
      </c>
      <c r="R5617">
        <v>0.98164260000000003</v>
      </c>
      <c r="S5617">
        <v>0.25930789999999998</v>
      </c>
      <c r="T5617">
        <v>-0.63101779999999996</v>
      </c>
      <c r="U5617">
        <v>3.177765</v>
      </c>
      <c r="V5617">
        <v>3.011751E-3</v>
      </c>
      <c r="W5617">
        <v>0.2030566</v>
      </c>
      <c r="X5617">
        <v>0.97916239999999999</v>
      </c>
      <c r="Y5617">
        <v>8.1825750000000003E-2</v>
      </c>
      <c r="Z5617">
        <v>-0.18177979999999999</v>
      </c>
      <c r="AA5617">
        <v>0.97992889999999999</v>
      </c>
      <c r="AB5617">
        <v>33</v>
      </c>
      <c r="AC5617">
        <v>7.9499999999995893E-2</v>
      </c>
      <c r="AD5617">
        <v>-0.19148289999999901</v>
      </c>
      <c r="AE5617">
        <v>0.59657000000001403</v>
      </c>
      <c r="AF5617">
        <v>7.3257243807891698E-2</v>
      </c>
      <c r="AG5617">
        <v>-0.19148289999999901</v>
      </c>
      <c r="AH5617">
        <v>0.54158956012366999</v>
      </c>
      <c r="AI5617">
        <v>109.30875458080899</v>
      </c>
      <c r="AJ5617">
        <v>82.2967313188052</v>
      </c>
      <c r="AK5617">
        <v>0.57909548124440502</v>
      </c>
      <c r="AL5617">
        <v>78.284242487440295</v>
      </c>
      <c r="AM5617">
        <v>89.823767664016501</v>
      </c>
      <c r="AN5617">
        <v>1.0000000295107001</v>
      </c>
    </row>
    <row r="5618" spans="1:40" x14ac:dyDescent="0.25">
      <c r="A5618" t="str">
        <f>"20190303162713628"</f>
        <v>20190303162713628</v>
      </c>
      <c r="B5618" t="str">
        <f>"1551601633619910"</f>
        <v>1551601633619910</v>
      </c>
      <c r="C5618" t="s">
        <v>40</v>
      </c>
      <c r="D5618">
        <v>5.1632290000000003</v>
      </c>
      <c r="E5618">
        <v>0.52961669999999905</v>
      </c>
      <c r="F5618" t="s">
        <v>42</v>
      </c>
      <c r="G5618">
        <v>-188.66370000000001</v>
      </c>
      <c r="H5618">
        <v>0.94153240000000005</v>
      </c>
      <c r="I5618">
        <v>69.866900000000001</v>
      </c>
      <c r="J5618">
        <v>-188.73859999999999</v>
      </c>
      <c r="K5618">
        <v>1.120871</v>
      </c>
      <c r="L5618">
        <v>69.567440000000005</v>
      </c>
      <c r="M5618">
        <v>-1.7289040000000001E-3</v>
      </c>
      <c r="N5618">
        <v>-1.257461E-2</v>
      </c>
      <c r="O5618">
        <v>0.99991940000000001</v>
      </c>
      <c r="P5618">
        <v>1.80063799999999E-3</v>
      </c>
      <c r="Q5618">
        <v>0.18948390000000001</v>
      </c>
      <c r="R5618">
        <v>0.98188220000000004</v>
      </c>
      <c r="S5618">
        <v>0.26170349999999998</v>
      </c>
      <c r="T5618">
        <v>-0.63505849999999997</v>
      </c>
      <c r="U5618">
        <v>3.17923</v>
      </c>
      <c r="V5618">
        <v>3.5597039999999999E-3</v>
      </c>
      <c r="W5618">
        <v>0.20181499999999999</v>
      </c>
      <c r="X5618">
        <v>0.97941719999999999</v>
      </c>
      <c r="Y5618">
        <v>8.2268350000000004E-2</v>
      </c>
      <c r="Z5618">
        <v>-0.18288479999999999</v>
      </c>
      <c r="AA5618">
        <v>0.97968619999999995</v>
      </c>
      <c r="AB5618">
        <v>33</v>
      </c>
      <c r="AC5618">
        <v>7.4899999999985298E-2</v>
      </c>
      <c r="AD5618">
        <v>-0.17933859999999899</v>
      </c>
      <c r="AE5618">
        <v>0.29945999999999601</v>
      </c>
      <c r="AF5618">
        <v>5.6385621720743601E-2</v>
      </c>
      <c r="AG5618">
        <v>-0.17933859999999899</v>
      </c>
      <c r="AH5618">
        <v>0.22379253528865001</v>
      </c>
      <c r="AI5618">
        <v>127.849906652101</v>
      </c>
      <c r="AJ5618">
        <v>75.858387270928205</v>
      </c>
      <c r="AK5618">
        <v>0.292275162539886</v>
      </c>
      <c r="AL5618">
        <v>78.356884707948197</v>
      </c>
      <c r="AM5618">
        <v>89.791758693375598</v>
      </c>
      <c r="AN5618">
        <v>1.0000000086867</v>
      </c>
    </row>
    <row r="5619" spans="1:40" x14ac:dyDescent="0.25">
      <c r="A5619" t="str">
        <f>"20190303162713651"</f>
        <v>20190303162713651</v>
      </c>
      <c r="B5619" t="str">
        <f>"1551601633640405"</f>
        <v>1551601633640405</v>
      </c>
      <c r="C5619" t="s">
        <v>40</v>
      </c>
      <c r="D5619">
        <v>5.1407030000000002</v>
      </c>
      <c r="E5619">
        <v>0.52972229999999998</v>
      </c>
      <c r="F5619" t="s">
        <v>42</v>
      </c>
      <c r="G5619">
        <v>-188.68450000000001</v>
      </c>
      <c r="H5619">
        <v>0.82118819999999904</v>
      </c>
      <c r="I5619">
        <v>70.406759999999906</v>
      </c>
      <c r="J5619">
        <v>-188.739</v>
      </c>
      <c r="K5619">
        <v>1.1208739999999999</v>
      </c>
      <c r="L5619">
        <v>69.907380000000003</v>
      </c>
      <c r="M5619">
        <v>-1.5862389999999999E-3</v>
      </c>
      <c r="N5619">
        <v>-1.257351E-2</v>
      </c>
      <c r="O5619">
        <v>0.99991969999999997</v>
      </c>
      <c r="P5619">
        <v>2.308105E-3</v>
      </c>
      <c r="Q5619">
        <v>0.1900115</v>
      </c>
      <c r="R5619">
        <v>0.98177919999999996</v>
      </c>
      <c r="S5619">
        <v>0.2109375</v>
      </c>
      <c r="T5619">
        <v>-1.1715230000000001</v>
      </c>
      <c r="U5619">
        <v>3.2810670000000002</v>
      </c>
      <c r="V5619">
        <v>3.9298270000000003E-3</v>
      </c>
      <c r="W5619">
        <v>0.2023394</v>
      </c>
      <c r="X5619">
        <v>0.97930759999999994</v>
      </c>
      <c r="Y5619">
        <v>6.2136469999999999E-2</v>
      </c>
      <c r="Z5619">
        <v>-0.32376090000000002</v>
      </c>
      <c r="AA5619">
        <v>0.94409639999999995</v>
      </c>
      <c r="AB5619">
        <v>33</v>
      </c>
      <c r="AC5619">
        <v>5.4499999999990202E-2</v>
      </c>
      <c r="AD5619">
        <v>-0.299685799999999</v>
      </c>
      <c r="AE5619">
        <v>0.499379999999988</v>
      </c>
      <c r="AF5619">
        <v>4.0778915865192202E-2</v>
      </c>
      <c r="AG5619">
        <v>-0.299685799999999</v>
      </c>
      <c r="AH5619">
        <v>0.36823728326774802</v>
      </c>
      <c r="AI5619">
        <v>128.969187531183</v>
      </c>
      <c r="AJ5619">
        <v>83.680763851750399</v>
      </c>
      <c r="AK5619">
        <v>0.47652197797078699</v>
      </c>
      <c r="AL5619">
        <v>78.326206087990201</v>
      </c>
      <c r="AM5619">
        <v>89.770081134134003</v>
      </c>
      <c r="AN5619">
        <v>1.00000002587518</v>
      </c>
    </row>
    <row r="5620" spans="1:40" x14ac:dyDescent="0.25">
      <c r="A5620" t="str">
        <f>"20190303162713673"</f>
        <v>20190303162713673</v>
      </c>
      <c r="B5620" t="str">
        <f>"1551601633669686"</f>
        <v>1551601633669686</v>
      </c>
      <c r="C5620" t="s">
        <v>40</v>
      </c>
      <c r="D5620">
        <v>5.1955609999999997</v>
      </c>
      <c r="E5620">
        <v>0.53002439999999995</v>
      </c>
      <c r="F5620" t="s">
        <v>42</v>
      </c>
      <c r="G5620">
        <v>-188.68690000000001</v>
      </c>
      <c r="H5620">
        <v>0.83185100000000001</v>
      </c>
      <c r="I5620">
        <v>70.706339999999997</v>
      </c>
      <c r="J5620">
        <v>-188.73939999999999</v>
      </c>
      <c r="K5620">
        <v>1.1208739999999999</v>
      </c>
      <c r="L5620">
        <v>70.241969999999995</v>
      </c>
      <c r="M5620">
        <v>-1.4467359999999999E-3</v>
      </c>
      <c r="N5620">
        <v>-1.2572470000000001E-2</v>
      </c>
      <c r="O5620">
        <v>0.99991989999999997</v>
      </c>
      <c r="P5620">
        <v>2.2740170000000001E-3</v>
      </c>
      <c r="Q5620">
        <v>0.19093099999999999</v>
      </c>
      <c r="R5620">
        <v>0.98160080000000005</v>
      </c>
      <c r="S5620">
        <v>0.21415709999999999</v>
      </c>
      <c r="T5620">
        <v>-1.1884159999999999</v>
      </c>
      <c r="U5620">
        <v>3.2851870000000001</v>
      </c>
      <c r="V5620">
        <v>3.7603799999999998E-3</v>
      </c>
      <c r="W5620">
        <v>0.20325599999999999</v>
      </c>
      <c r="X5620">
        <v>0.97911840000000006</v>
      </c>
      <c r="Y5620">
        <v>6.2751760000000004E-2</v>
      </c>
      <c r="Z5620">
        <v>-0.32767030000000003</v>
      </c>
      <c r="AA5620">
        <v>0.94270589999999999</v>
      </c>
      <c r="AB5620">
        <v>33</v>
      </c>
      <c r="AC5620">
        <v>5.2499999999980597E-2</v>
      </c>
      <c r="AD5620">
        <v>-0.28902299999999898</v>
      </c>
      <c r="AE5620">
        <v>0.464370000000002</v>
      </c>
      <c r="AF5620">
        <v>3.84608933269305E-2</v>
      </c>
      <c r="AG5620">
        <v>-0.28902299999999898</v>
      </c>
      <c r="AH5620">
        <v>0.33583851773492002</v>
      </c>
      <c r="AI5620">
        <v>130.530856415778</v>
      </c>
      <c r="AJ5620">
        <v>83.466835885492102</v>
      </c>
      <c r="AK5620">
        <v>0.44474829380099201</v>
      </c>
      <c r="AL5620">
        <v>78.272573935666003</v>
      </c>
      <c r="AM5620">
        <v>89.779952205925994</v>
      </c>
      <c r="AN5620">
        <v>0.99999999160615205</v>
      </c>
    </row>
    <row r="5621" spans="1:40" x14ac:dyDescent="0.25">
      <c r="A5621" t="str">
        <f>"20190303162713695"</f>
        <v>20190303162713695</v>
      </c>
      <c r="B5621" t="str">
        <f>"1551601633690182"</f>
        <v>1551601633690182</v>
      </c>
      <c r="C5621" t="s">
        <v>40</v>
      </c>
      <c r="D5621">
        <v>5.2002750000000004</v>
      </c>
      <c r="E5621">
        <v>0.53014859999999997</v>
      </c>
      <c r="F5621" t="s">
        <v>42</v>
      </c>
      <c r="G5621">
        <v>-188.68889999999999</v>
      </c>
      <c r="H5621">
        <v>0.84408879999999997</v>
      </c>
      <c r="I5621">
        <v>71.006479999999996</v>
      </c>
      <c r="J5621">
        <v>-188.7397</v>
      </c>
      <c r="K5621">
        <v>1.120878</v>
      </c>
      <c r="L5621">
        <v>70.541960000000003</v>
      </c>
      <c r="M5621">
        <v>-1.3236700000000001E-3</v>
      </c>
      <c r="N5621">
        <v>-1.2571570000000001E-2</v>
      </c>
      <c r="O5621">
        <v>0.99992009999999998</v>
      </c>
      <c r="P5621">
        <v>1.8809300000000001E-3</v>
      </c>
      <c r="Q5621">
        <v>0.19069949999999999</v>
      </c>
      <c r="R5621">
        <v>0.98164669999999998</v>
      </c>
      <c r="S5621">
        <v>0.2165222</v>
      </c>
      <c r="T5621">
        <v>-1.19007</v>
      </c>
      <c r="U5621">
        <v>3.287201</v>
      </c>
      <c r="V5621">
        <v>3.2471790000000002E-3</v>
      </c>
      <c r="W5621">
        <v>0.20302439999999999</v>
      </c>
      <c r="X5621">
        <v>0.97916829999999999</v>
      </c>
      <c r="Y5621">
        <v>6.3260399999999994E-2</v>
      </c>
      <c r="Z5621">
        <v>-0.32789380000000001</v>
      </c>
      <c r="AA5621">
        <v>0.94259420000000005</v>
      </c>
      <c r="AB5621">
        <v>33</v>
      </c>
      <c r="AC5621">
        <v>5.0800000000009497E-2</v>
      </c>
      <c r="AD5621">
        <v>-0.27678920000000001</v>
      </c>
      <c r="AE5621">
        <v>0.46452000000000698</v>
      </c>
      <c r="AF5621">
        <v>3.8061019856485898E-2</v>
      </c>
      <c r="AG5621">
        <v>-0.27678920000000001</v>
      </c>
      <c r="AH5621">
        <v>0.34382131321663201</v>
      </c>
      <c r="AI5621">
        <v>128.66505349487699</v>
      </c>
      <c r="AJ5621">
        <v>83.683076899474301</v>
      </c>
      <c r="AK5621">
        <v>0.44302821342569698</v>
      </c>
      <c r="AL5621">
        <v>78.286126372230996</v>
      </c>
      <c r="AM5621">
        <v>89.809992858229705</v>
      </c>
      <c r="AN5621">
        <v>1.00000000544585</v>
      </c>
    </row>
    <row r="5622" spans="1:40" x14ac:dyDescent="0.25">
      <c r="A5622" t="str">
        <f>"20190303162713717"</f>
        <v>20190303162713717</v>
      </c>
      <c r="B5622" t="str">
        <f>"1551601633709702"</f>
        <v>1551601633709702</v>
      </c>
      <c r="C5622" t="s">
        <v>40</v>
      </c>
      <c r="D5622">
        <v>5.2103590000000004</v>
      </c>
      <c r="E5622">
        <v>0.53026879999999998</v>
      </c>
      <c r="F5622" t="s">
        <v>42</v>
      </c>
      <c r="G5622">
        <v>-188.68979999999999</v>
      </c>
      <c r="H5622">
        <v>0.84534669999999901</v>
      </c>
      <c r="I5622">
        <v>71.302229999999994</v>
      </c>
      <c r="J5622">
        <v>-188.74</v>
      </c>
      <c r="K5622">
        <v>1.1208819999999999</v>
      </c>
      <c r="L5622">
        <v>70.882109999999997</v>
      </c>
      <c r="M5622">
        <v>-1.186224E-3</v>
      </c>
      <c r="N5622">
        <v>-1.257055E-2</v>
      </c>
      <c r="O5622">
        <v>0.99992029999999998</v>
      </c>
      <c r="P5622">
        <v>1.9244259999999999E-3</v>
      </c>
      <c r="Q5622">
        <v>0.19106909999999999</v>
      </c>
      <c r="R5622">
        <v>0.98157470000000002</v>
      </c>
      <c r="S5622">
        <v>0.2156525</v>
      </c>
      <c r="T5622">
        <v>-1.1912879999999999</v>
      </c>
      <c r="U5622">
        <v>3.2871090000000001</v>
      </c>
      <c r="V5622">
        <v>3.1560540000000002E-3</v>
      </c>
      <c r="W5622">
        <v>0.20339189999999999</v>
      </c>
      <c r="X5622">
        <v>0.97909230000000003</v>
      </c>
      <c r="Y5622">
        <v>6.2870019999999999E-2</v>
      </c>
      <c r="Z5622">
        <v>-0.32821879999999998</v>
      </c>
      <c r="AA5622">
        <v>0.94250710000000004</v>
      </c>
      <c r="AB5622">
        <v>33</v>
      </c>
      <c r="AC5622">
        <v>5.0200000000018001E-2</v>
      </c>
      <c r="AD5622">
        <v>-0.27553529999999998</v>
      </c>
      <c r="AE5622">
        <v>0.42012000000001098</v>
      </c>
      <c r="AF5622">
        <v>3.5600706113746397E-2</v>
      </c>
      <c r="AG5622">
        <v>-0.27553529999999998</v>
      </c>
      <c r="AH5622">
        <v>0.29496886790813898</v>
      </c>
      <c r="AI5622">
        <v>132.84242311334199</v>
      </c>
      <c r="AJ5622">
        <v>83.118082012367694</v>
      </c>
      <c r="AK5622">
        <v>0.405208273430956</v>
      </c>
      <c r="AL5622">
        <v>78.264621168605501</v>
      </c>
      <c r="AM5622">
        <v>89.8153106220811</v>
      </c>
      <c r="AN5622">
        <v>0.99999997879087499</v>
      </c>
    </row>
    <row r="5623" spans="1:40" x14ac:dyDescent="0.25">
      <c r="A5623" t="str">
        <f>"20190303162713739"</f>
        <v>20190303162713739</v>
      </c>
      <c r="B5623" t="str">
        <f>"1551601633730198"</f>
        <v>1551601633730198</v>
      </c>
      <c r="C5623" t="s">
        <v>40</v>
      </c>
      <c r="D5623">
        <v>5.2170050000000003</v>
      </c>
      <c r="E5623">
        <v>0.53034799999999904</v>
      </c>
      <c r="F5623" t="s">
        <v>42</v>
      </c>
      <c r="G5623">
        <v>-188.69229999999999</v>
      </c>
      <c r="H5623">
        <v>0.86010489999999995</v>
      </c>
      <c r="I5623">
        <v>71.603259999999906</v>
      </c>
      <c r="J5623">
        <v>-188.74019999999999</v>
      </c>
      <c r="K5623">
        <v>1.120881</v>
      </c>
      <c r="L5623">
        <v>71.219729999999998</v>
      </c>
      <c r="M5623">
        <v>-1.0509040000000001E-3</v>
      </c>
      <c r="N5623">
        <v>-1.256967E-2</v>
      </c>
      <c r="O5623">
        <v>0.99992040000000004</v>
      </c>
      <c r="P5623">
        <v>2.3033670000000002E-3</v>
      </c>
      <c r="Q5623">
        <v>0.1919989</v>
      </c>
      <c r="R5623">
        <v>0.98139240000000005</v>
      </c>
      <c r="S5623">
        <v>0.2166595</v>
      </c>
      <c r="T5623">
        <v>-1.188704</v>
      </c>
      <c r="U5623">
        <v>3.2872919999999999</v>
      </c>
      <c r="V5623">
        <v>3.4021450000000001E-3</v>
      </c>
      <c r="W5623">
        <v>0.20431849999999999</v>
      </c>
      <c r="X5623">
        <v>0.9788985</v>
      </c>
      <c r="Y5623">
        <v>6.3034450000000006E-2</v>
      </c>
      <c r="Z5623">
        <v>-0.32754299999999997</v>
      </c>
      <c r="AA5623">
        <v>0.94273130000000005</v>
      </c>
      <c r="AB5623">
        <v>33</v>
      </c>
      <c r="AC5623">
        <v>4.7899999999998499E-2</v>
      </c>
      <c r="AD5623">
        <v>-0.26077610000000001</v>
      </c>
      <c r="AE5623">
        <v>0.38352999999999299</v>
      </c>
      <c r="AF5623">
        <v>3.3193110977735397E-2</v>
      </c>
      <c r="AG5623">
        <v>-0.26077610000000001</v>
      </c>
      <c r="AH5623">
        <v>0.26352111376027698</v>
      </c>
      <c r="AI5623">
        <v>134.47457012757999</v>
      </c>
      <c r="AJ5623">
        <v>82.820834153369702</v>
      </c>
      <c r="AK5623">
        <v>0.37222215724624302</v>
      </c>
      <c r="AL5623">
        <v>78.210391783106004</v>
      </c>
      <c r="AM5623">
        <v>89.800870299677499</v>
      </c>
      <c r="AN5623">
        <v>0.99999994866754904</v>
      </c>
    </row>
    <row r="5624" spans="1:40" x14ac:dyDescent="0.25">
      <c r="A5624" t="str">
        <f>"20190303162713765"</f>
        <v>20190303162713765</v>
      </c>
      <c r="B5624" t="str">
        <f>"1551601633759478"</f>
        <v>1551601633759478</v>
      </c>
      <c r="C5624" t="s">
        <v>40</v>
      </c>
      <c r="D5624">
        <v>5.2197589999999998</v>
      </c>
      <c r="E5624">
        <v>0.53040949999999998</v>
      </c>
      <c r="F5624" t="s">
        <v>42</v>
      </c>
      <c r="G5624">
        <v>-188.6952</v>
      </c>
      <c r="H5624">
        <v>0.87405739999999998</v>
      </c>
      <c r="I5624">
        <v>71.904060000000001</v>
      </c>
      <c r="J5624">
        <v>-188.74039999999999</v>
      </c>
      <c r="K5624">
        <v>1.120887</v>
      </c>
      <c r="L5624">
        <v>71.574579999999997</v>
      </c>
      <c r="M5624">
        <v>-9.0939009999999997E-4</v>
      </c>
      <c r="N5624">
        <v>-1.256879E-2</v>
      </c>
      <c r="O5624">
        <v>0.99992060000000005</v>
      </c>
      <c r="P5624">
        <v>3.3441730000000002E-3</v>
      </c>
      <c r="Q5624">
        <v>0.19203580000000001</v>
      </c>
      <c r="R5624">
        <v>0.98138219999999998</v>
      </c>
      <c r="S5624">
        <v>0.21566769999999999</v>
      </c>
      <c r="T5624">
        <v>-1.186016</v>
      </c>
      <c r="U5624">
        <v>3.2883909999999998</v>
      </c>
      <c r="V5624">
        <v>4.3038369999999996E-3</v>
      </c>
      <c r="W5624">
        <v>0.20435400000000001</v>
      </c>
      <c r="X5624">
        <v>0.97888759999999997</v>
      </c>
      <c r="Y5624">
        <v>6.260839E-2</v>
      </c>
      <c r="Z5624">
        <v>-0.32676899999999998</v>
      </c>
      <c r="AA5624">
        <v>0.94302819999999998</v>
      </c>
      <c r="AB5624">
        <v>33</v>
      </c>
      <c r="AC5624">
        <v>4.5199999999994099E-2</v>
      </c>
      <c r="AD5624">
        <v>-0.24682960000000001</v>
      </c>
      <c r="AE5624">
        <v>0.329479999999989</v>
      </c>
      <c r="AF5624">
        <v>2.9338378149659498E-2</v>
      </c>
      <c r="AG5624">
        <v>-0.24682960000000001</v>
      </c>
      <c r="AH5624">
        <v>0.21242367524990799</v>
      </c>
      <c r="AI5624">
        <v>139.01660972269801</v>
      </c>
      <c r="AJ5624">
        <v>82.136480333410205</v>
      </c>
      <c r="AK5624">
        <v>0.32697004400294999</v>
      </c>
      <c r="AL5624">
        <v>78.208314638251295</v>
      </c>
      <c r="AM5624">
        <v>89.748091500079695</v>
      </c>
      <c r="AN5624">
        <v>1.0000000068813399</v>
      </c>
    </row>
    <row r="5625" spans="1:40" x14ac:dyDescent="0.25">
      <c r="A5625" t="str">
        <f>"20190303162713785"</f>
        <v>20190303162713785</v>
      </c>
      <c r="B5625" t="str">
        <f>"1551601633779974"</f>
        <v>1551601633779974</v>
      </c>
      <c r="C5625" t="s">
        <v>40</v>
      </c>
      <c r="D5625">
        <v>5.2135600000000002</v>
      </c>
      <c r="E5625">
        <v>0.53044290000000005</v>
      </c>
      <c r="F5625" t="s">
        <v>42</v>
      </c>
      <c r="G5625">
        <v>-188.68100000000001</v>
      </c>
      <c r="H5625">
        <v>0.79956479999999996</v>
      </c>
      <c r="I5625">
        <v>72.464500000000001</v>
      </c>
      <c r="J5625">
        <v>-188.7405</v>
      </c>
      <c r="K5625">
        <v>1.1208899999999999</v>
      </c>
      <c r="L5625">
        <v>71.891139999999993</v>
      </c>
      <c r="M5625">
        <v>-7.8369989999999999E-4</v>
      </c>
      <c r="N5625">
        <v>-1.2567969999999999E-2</v>
      </c>
      <c r="O5625">
        <v>0.9999207</v>
      </c>
      <c r="P5625">
        <v>4.070962E-3</v>
      </c>
      <c r="Q5625">
        <v>0.1924911</v>
      </c>
      <c r="R5625">
        <v>0.98129029999999995</v>
      </c>
      <c r="S5625">
        <v>0.21965029999999999</v>
      </c>
      <c r="T5625">
        <v>-1.187392</v>
      </c>
      <c r="U5625">
        <v>3.288513</v>
      </c>
      <c r="V5625">
        <v>4.9072220000000001E-3</v>
      </c>
      <c r="W5625">
        <v>0.20480719999999999</v>
      </c>
      <c r="X5625">
        <v>0.97879000000000005</v>
      </c>
      <c r="Y5625">
        <v>6.3607869999999997E-2</v>
      </c>
      <c r="Z5625">
        <v>-0.32708510000000002</v>
      </c>
      <c r="AA5625">
        <v>0.94285169999999996</v>
      </c>
      <c r="AB5625">
        <v>33</v>
      </c>
      <c r="AC5625">
        <v>5.9500000000014097E-2</v>
      </c>
      <c r="AD5625">
        <v>-0.32132519999999998</v>
      </c>
      <c r="AE5625">
        <v>0.57335999999999299</v>
      </c>
      <c r="AF5625">
        <v>4.5737391234931798E-2</v>
      </c>
      <c r="AG5625">
        <v>-0.32132519999999998</v>
      </c>
      <c r="AH5625">
        <v>0.43739999789716899</v>
      </c>
      <c r="AI5625">
        <v>126.15342941455199</v>
      </c>
      <c r="AJ5625">
        <v>84.030474461858802</v>
      </c>
      <c r="AK5625">
        <v>0.54466554074262896</v>
      </c>
      <c r="AL5625">
        <v>78.181786649123794</v>
      </c>
      <c r="AM5625">
        <v>89.712746601397697</v>
      </c>
      <c r="AN5625">
        <v>0.99999996704979799</v>
      </c>
    </row>
    <row r="5626" spans="1:40" x14ac:dyDescent="0.25">
      <c r="A5626" t="str">
        <f>"20190303162713808"</f>
        <v>20190303162713808</v>
      </c>
      <c r="B5626" t="str">
        <f>"1551601633799495"</f>
        <v>1551601633799495</v>
      </c>
      <c r="C5626" t="s">
        <v>40</v>
      </c>
      <c r="D5626">
        <v>5.2140420000000001</v>
      </c>
      <c r="E5626">
        <v>0.53047580000000005</v>
      </c>
      <c r="F5626" t="s">
        <v>42</v>
      </c>
      <c r="G5626">
        <v>-188.68109999999999</v>
      </c>
      <c r="H5626">
        <v>0.80667919999999904</v>
      </c>
      <c r="I5626">
        <v>72.762259999999998</v>
      </c>
      <c r="J5626">
        <v>-188.7406</v>
      </c>
      <c r="K5626">
        <v>1.1208940000000001</v>
      </c>
      <c r="L5626">
        <v>72.221469999999997</v>
      </c>
      <c r="M5626">
        <v>-6.5269069999999995E-4</v>
      </c>
      <c r="N5626">
        <v>-1.2567160000000001E-2</v>
      </c>
      <c r="O5626">
        <v>0.99992080000000005</v>
      </c>
      <c r="P5626">
        <v>4.9110780000000001E-3</v>
      </c>
      <c r="Q5626">
        <v>0.19195409999999999</v>
      </c>
      <c r="R5626">
        <v>0.98139160000000003</v>
      </c>
      <c r="S5626">
        <v>0.22367860000000001</v>
      </c>
      <c r="T5626">
        <v>-1.186304</v>
      </c>
      <c r="U5626">
        <v>3.2889710000000001</v>
      </c>
      <c r="V5626">
        <v>5.6185230000000003E-3</v>
      </c>
      <c r="W5626">
        <v>0.2042699</v>
      </c>
      <c r="X5626">
        <v>0.9788985</v>
      </c>
      <c r="Y5626">
        <v>6.4623680000000003E-2</v>
      </c>
      <c r="Z5626">
        <v>-0.3267449</v>
      </c>
      <c r="AA5626">
        <v>0.94290059999999998</v>
      </c>
      <c r="AB5626">
        <v>33</v>
      </c>
      <c r="AC5626">
        <v>5.9500000000014097E-2</v>
      </c>
      <c r="AD5626">
        <v>-0.31421480000000002</v>
      </c>
      <c r="AE5626">
        <v>0.54079000000000099</v>
      </c>
      <c r="AF5626">
        <v>4.4882203731639397E-2</v>
      </c>
      <c r="AG5626">
        <v>-0.31421480000000002</v>
      </c>
      <c r="AH5626">
        <v>0.40549521674363598</v>
      </c>
      <c r="AI5626">
        <v>127.603033702156</v>
      </c>
      <c r="AJ5626">
        <v>83.683930805252501</v>
      </c>
      <c r="AK5626">
        <v>0.51494827269621601</v>
      </c>
      <c r="AL5626">
        <v>78.2132371632933</v>
      </c>
      <c r="AM5626">
        <v>89.671146579505802</v>
      </c>
      <c r="AN5626">
        <v>1.00000001657448</v>
      </c>
    </row>
    <row r="5627" spans="1:40" x14ac:dyDescent="0.25">
      <c r="A5627" t="str">
        <f>"20190303162713831"</f>
        <v>20190303162713831</v>
      </c>
      <c r="B5627" t="str">
        <f>"1551601633819990"</f>
        <v>1551601633819990</v>
      </c>
      <c r="C5627" t="s">
        <v>40</v>
      </c>
      <c r="D5627">
        <v>5.2010480000000001</v>
      </c>
      <c r="E5627">
        <v>0.53048490000000004</v>
      </c>
      <c r="F5627" t="s">
        <v>42</v>
      </c>
      <c r="G5627">
        <v>-188.68270000000001</v>
      </c>
      <c r="H5627">
        <v>0.81729439999999998</v>
      </c>
      <c r="I5627">
        <v>73.061350000000004</v>
      </c>
      <c r="J5627">
        <v>-188.7407</v>
      </c>
      <c r="K5627">
        <v>1.120886</v>
      </c>
      <c r="L5627">
        <v>72.564539999999994</v>
      </c>
      <c r="M5627">
        <v>-5.166681E-4</v>
      </c>
      <c r="N5627">
        <v>-1.256637E-2</v>
      </c>
      <c r="O5627">
        <v>0.9999209</v>
      </c>
      <c r="P5627">
        <v>5.6013640000000002E-3</v>
      </c>
      <c r="Q5627">
        <v>0.1922285</v>
      </c>
      <c r="R5627">
        <v>0.98133419999999905</v>
      </c>
      <c r="S5627">
        <v>0.22668460000000001</v>
      </c>
      <c r="T5627">
        <v>-1.1886380000000001</v>
      </c>
      <c r="U5627">
        <v>3.2882389999999999</v>
      </c>
      <c r="V5627">
        <v>6.1752739999999997E-3</v>
      </c>
      <c r="W5627">
        <v>0.204543</v>
      </c>
      <c r="X5627">
        <v>0.97883810000000004</v>
      </c>
      <c r="Y5627">
        <v>6.5342720000000007E-2</v>
      </c>
      <c r="Z5627">
        <v>-0.32738729999999999</v>
      </c>
      <c r="AA5627">
        <v>0.94262809999999997</v>
      </c>
      <c r="AB5627">
        <v>33</v>
      </c>
      <c r="AC5627">
        <v>5.7999999999992703E-2</v>
      </c>
      <c r="AD5627">
        <v>-0.30359160000000002</v>
      </c>
      <c r="AE5627">
        <v>0.49680999999999598</v>
      </c>
      <c r="AF5627">
        <v>4.2572856515763299E-2</v>
      </c>
      <c r="AG5627">
        <v>-0.30359160000000002</v>
      </c>
      <c r="AH5627">
        <v>0.36303708808491902</v>
      </c>
      <c r="AI5627">
        <v>129.711788930978</v>
      </c>
      <c r="AJ5627">
        <v>83.311551347161</v>
      </c>
      <c r="AK5627">
        <v>0.47515916809806902</v>
      </c>
      <c r="AL5627">
        <v>78.197251975647006</v>
      </c>
      <c r="AM5627">
        <v>89.638538340924597</v>
      </c>
      <c r="AN5627">
        <v>0.99999999943479201</v>
      </c>
    </row>
    <row r="5628" spans="1:40" x14ac:dyDescent="0.25">
      <c r="A5628" t="str">
        <f>"20190303162713874"</f>
        <v>20190303162713874</v>
      </c>
      <c r="B5628" t="str">
        <f>"1551601633869765"</f>
        <v>1551601633869765</v>
      </c>
      <c r="C5628" t="s">
        <v>40</v>
      </c>
      <c r="D5628">
        <v>5.1882929999999998</v>
      </c>
      <c r="E5628">
        <v>0.53875090000000003</v>
      </c>
      <c r="F5628" t="s">
        <v>42</v>
      </c>
      <c r="G5628">
        <v>-188.68539999999999</v>
      </c>
      <c r="H5628">
        <v>0.8325882</v>
      </c>
      <c r="I5628">
        <v>73.362219999999994</v>
      </c>
      <c r="J5628">
        <v>-188.7406</v>
      </c>
      <c r="K5628">
        <v>1.120886</v>
      </c>
      <c r="L5628">
        <v>73.190770000000001</v>
      </c>
      <c r="M5628">
        <v>-2.6791839999999999E-4</v>
      </c>
      <c r="N5628">
        <v>-1.2565E-2</v>
      </c>
      <c r="O5628">
        <v>0.99992099999999995</v>
      </c>
      <c r="P5628">
        <v>8.4986860000000001E-3</v>
      </c>
      <c r="Q5628">
        <v>0.19315470000000001</v>
      </c>
      <c r="R5628">
        <v>0.98113150000000005</v>
      </c>
      <c r="S5628">
        <v>0.22766110000000001</v>
      </c>
      <c r="T5628">
        <v>-1.1885760000000001</v>
      </c>
      <c r="U5628">
        <v>3.288605</v>
      </c>
      <c r="V5628">
        <v>8.8286319999999995E-3</v>
      </c>
      <c r="W5628">
        <v>0.20546429999999999</v>
      </c>
      <c r="X5628">
        <v>0.97862479999999996</v>
      </c>
      <c r="Y5628">
        <v>6.5367129999999996E-2</v>
      </c>
      <c r="Z5628">
        <v>-0.32733630000000002</v>
      </c>
      <c r="AA5628">
        <v>0.94264420000000004</v>
      </c>
      <c r="AB5628">
        <v>33</v>
      </c>
      <c r="AC5628">
        <v>5.5200000000013398E-2</v>
      </c>
      <c r="AD5628">
        <v>-0.28829779999999999</v>
      </c>
      <c r="AE5628">
        <v>0.171449999999993</v>
      </c>
      <c r="AF5628">
        <v>1.5509962072206399E-2</v>
      </c>
      <c r="AG5628">
        <v>-0.28829779999999999</v>
      </c>
      <c r="AH5628">
        <v>4.8129395311385499E-2</v>
      </c>
      <c r="AI5628">
        <v>170.05164792293701</v>
      </c>
      <c r="AJ5628">
        <v>72.138178914299104</v>
      </c>
      <c r="AK5628">
        <v>0.29269885394610001</v>
      </c>
      <c r="AL5628">
        <v>78.143320062146401</v>
      </c>
      <c r="AM5628">
        <v>89.483121999217303</v>
      </c>
      <c r="AN5628">
        <v>1.0000000112462599</v>
      </c>
    </row>
    <row r="5629" spans="1:40" x14ac:dyDescent="0.25">
      <c r="A5629" t="str">
        <f>"20190303162713896"</f>
        <v>20190303162713896</v>
      </c>
      <c r="B5629" t="str">
        <f>"1551601633890262"</f>
        <v>1551601633890262</v>
      </c>
      <c r="C5629" t="s">
        <v>40</v>
      </c>
      <c r="D5629">
        <v>5.2269759999999996</v>
      </c>
      <c r="E5629">
        <v>0.54918239999999996</v>
      </c>
      <c r="F5629" t="s">
        <v>42</v>
      </c>
      <c r="G5629">
        <v>-188.66470000000001</v>
      </c>
      <c r="H5629">
        <v>0.91113390000000005</v>
      </c>
      <c r="I5629">
        <v>73.983530000000002</v>
      </c>
      <c r="J5629">
        <v>-188.7406</v>
      </c>
      <c r="K5629">
        <v>1.1208899999999999</v>
      </c>
      <c r="L5629">
        <v>73.516779999999997</v>
      </c>
      <c r="M5629">
        <v>-1.3813749999999999E-4</v>
      </c>
      <c r="N5629">
        <v>-1.25643E-2</v>
      </c>
      <c r="O5629">
        <v>0.99992110000000001</v>
      </c>
      <c r="P5629">
        <v>1.035147E-2</v>
      </c>
      <c r="Q5629">
        <v>0.19312979999999999</v>
      </c>
      <c r="R5629">
        <v>0.98111859999999995</v>
      </c>
      <c r="S5629">
        <v>0.30789179999999999</v>
      </c>
      <c r="T5629">
        <v>-0.85270869999999999</v>
      </c>
      <c r="U5629">
        <v>3.2229000000000001</v>
      </c>
      <c r="V5629">
        <v>1.0554030000000001E-2</v>
      </c>
      <c r="W5629">
        <v>0.2054386</v>
      </c>
      <c r="X5629">
        <v>0.97861310000000001</v>
      </c>
      <c r="Y5629">
        <v>9.2235990000000004E-2</v>
      </c>
      <c r="Z5629">
        <v>-0.2425224</v>
      </c>
      <c r="AA5629">
        <v>0.96575120000000003</v>
      </c>
      <c r="AB5629">
        <v>33</v>
      </c>
      <c r="AC5629">
        <v>7.5899999999990003E-2</v>
      </c>
      <c r="AD5629">
        <v>-0.2097561</v>
      </c>
      <c r="AE5629">
        <v>0.46674999999999001</v>
      </c>
      <c r="AF5629">
        <v>6.3475385619686603E-2</v>
      </c>
      <c r="AG5629">
        <v>-0.2097561</v>
      </c>
      <c r="AH5629">
        <v>0.39000425423224</v>
      </c>
      <c r="AI5629">
        <v>117.96138998980901</v>
      </c>
      <c r="AJ5629">
        <v>80.755844978500605</v>
      </c>
      <c r="AK5629">
        <v>0.44735898827007298</v>
      </c>
      <c r="AL5629">
        <v>78.144824558077303</v>
      </c>
      <c r="AM5629">
        <v>89.382107256329704</v>
      </c>
      <c r="AN5629">
        <v>1.0000000027053999</v>
      </c>
    </row>
    <row r="5630" spans="1:40" x14ac:dyDescent="0.25">
      <c r="A5630" t="str">
        <f>"20190303162713917"</f>
        <v>20190303162713917</v>
      </c>
      <c r="B5630" t="str">
        <f>"1551601633909782"</f>
        <v>1551601633909782</v>
      </c>
      <c r="C5630" t="s">
        <v>40</v>
      </c>
      <c r="D5630">
        <v>5.2055509999999998</v>
      </c>
      <c r="E5630">
        <v>0.5543901</v>
      </c>
      <c r="F5630" t="s">
        <v>42</v>
      </c>
      <c r="G5630">
        <v>-188.6352</v>
      </c>
      <c r="H5630">
        <v>1.0190220000000001</v>
      </c>
      <c r="I5630">
        <v>74.331339999999997</v>
      </c>
      <c r="J5630">
        <v>-188.7405</v>
      </c>
      <c r="K5630">
        <v>1.120892</v>
      </c>
      <c r="L5630">
        <v>73.840029999999999</v>
      </c>
      <c r="M5630" s="1">
        <v>-9.3872599999999996E-6</v>
      </c>
      <c r="N5630">
        <v>-1.2563660000000001E-2</v>
      </c>
      <c r="O5630">
        <v>0.99992110000000001</v>
      </c>
      <c r="P5630">
        <v>1.2261910000000001E-2</v>
      </c>
      <c r="Q5630">
        <v>0.192798</v>
      </c>
      <c r="R5630">
        <v>0.98116179999999997</v>
      </c>
      <c r="S5630">
        <v>0.40487669999999998</v>
      </c>
      <c r="T5630">
        <v>-0.39152789999999998</v>
      </c>
      <c r="U5630">
        <v>3.1305239999999999</v>
      </c>
      <c r="V5630">
        <v>1.233803E-2</v>
      </c>
      <c r="W5630">
        <v>0.20510590000000001</v>
      </c>
      <c r="X5630">
        <v>0.97866200000000003</v>
      </c>
      <c r="Y5630">
        <v>0.12737670000000001</v>
      </c>
      <c r="Z5630">
        <v>-0.11061410000000001</v>
      </c>
      <c r="AA5630">
        <v>0.98566710000000002</v>
      </c>
      <c r="AB5630">
        <v>33</v>
      </c>
      <c r="AC5630">
        <v>0.10529999999999901</v>
      </c>
      <c r="AD5630">
        <v>-0.10187</v>
      </c>
      <c r="AE5630">
        <v>0.49130999999999803</v>
      </c>
      <c r="AF5630">
        <v>0.101147132089922</v>
      </c>
      <c r="AG5630">
        <v>-0.10187</v>
      </c>
      <c r="AH5630">
        <v>0.471911878654381</v>
      </c>
      <c r="AI5630">
        <v>101.91863348517199</v>
      </c>
      <c r="AJ5630">
        <v>77.902554718188597</v>
      </c>
      <c r="AK5630">
        <v>0.493263682471275</v>
      </c>
      <c r="AL5630">
        <v>78.164301402005904</v>
      </c>
      <c r="AM5630">
        <v>89.277708138032494</v>
      </c>
      <c r="AN5630">
        <v>0.99999998372154497</v>
      </c>
    </row>
    <row r="5631" spans="1:40" x14ac:dyDescent="0.25">
      <c r="A5631" t="str">
        <f>"20190303162713940"</f>
        <v>20190303162713940</v>
      </c>
      <c r="B5631" t="str">
        <f>"1551601633930277"</f>
        <v>1551601633930277</v>
      </c>
      <c r="C5631" t="s">
        <v>40</v>
      </c>
      <c r="D5631">
        <v>5.2075670000000001</v>
      </c>
      <c r="E5631">
        <v>0.55558069999999904</v>
      </c>
      <c r="F5631" t="s">
        <v>41</v>
      </c>
      <c r="G5631">
        <v>-186.66560000000001</v>
      </c>
      <c r="H5631" s="1">
        <v>-4.1742319999999998E-6</v>
      </c>
      <c r="I5631">
        <v>87.984290000000001</v>
      </c>
      <c r="J5631">
        <v>-188.74029999999999</v>
      </c>
      <c r="K5631">
        <v>1.1208899999999999</v>
      </c>
      <c r="L5631">
        <v>74.166229999999999</v>
      </c>
      <c r="M5631">
        <v>1.205846E-4</v>
      </c>
      <c r="N5631">
        <v>-1.2563039999999999E-2</v>
      </c>
      <c r="O5631">
        <v>0.99992110000000001</v>
      </c>
      <c r="P5631">
        <v>1.456023E-2</v>
      </c>
      <c r="Q5631">
        <v>0.1919968</v>
      </c>
      <c r="R5631">
        <v>0.98128749999999998</v>
      </c>
      <c r="S5631">
        <v>0.45477289999999998</v>
      </c>
      <c r="T5631">
        <v>-0.24568190000000001</v>
      </c>
      <c r="U5631">
        <v>3.1001889999999999</v>
      </c>
      <c r="V5631">
        <v>1.450854E-2</v>
      </c>
      <c r="W5631">
        <v>0.20430490000000001</v>
      </c>
      <c r="X5631">
        <v>0.9787998</v>
      </c>
      <c r="Y5631">
        <v>0.14462410000000001</v>
      </c>
      <c r="Z5631">
        <v>-6.5638650000000007E-2</v>
      </c>
      <c r="AA5631">
        <v>0.98730720000000005</v>
      </c>
      <c r="AB5631">
        <v>33</v>
      </c>
      <c r="AC5631">
        <v>2.0746999999999698</v>
      </c>
      <c r="AD5631">
        <v>-1.120894174232</v>
      </c>
      <c r="AE5631">
        <v>13.818059999999999</v>
      </c>
      <c r="AF5631">
        <v>2.0597787840307098</v>
      </c>
      <c r="AG5631">
        <v>-1.120894174232</v>
      </c>
      <c r="AH5631">
        <v>13.729956839305901</v>
      </c>
      <c r="AI5631">
        <v>94.615769836756598</v>
      </c>
      <c r="AJ5631">
        <v>81.468070192026801</v>
      </c>
      <c r="AK5631">
        <v>13.928776227586299</v>
      </c>
      <c r="AL5631">
        <v>78.211188640249901</v>
      </c>
      <c r="AM5631">
        <v>89.150779111824306</v>
      </c>
      <c r="AN5631">
        <v>1.0000000191884899</v>
      </c>
    </row>
    <row r="5632" spans="1:40" x14ac:dyDescent="0.25">
      <c r="A5632" t="str">
        <f>"20190303162713965"</f>
        <v>20190303162713965</v>
      </c>
      <c r="B5632" t="str">
        <f>"1551601633960534"</f>
        <v>1551601633960534</v>
      </c>
      <c r="C5632" t="s">
        <v>40</v>
      </c>
      <c r="D5632">
        <v>5.1852179999999999</v>
      </c>
      <c r="E5632">
        <v>0.55537040000000004</v>
      </c>
      <c r="F5632" t="s">
        <v>41</v>
      </c>
      <c r="G5632">
        <v>-186.17660000000001</v>
      </c>
      <c r="H5632" s="1">
        <v>-1.4631630000000001E-6</v>
      </c>
      <c r="I5632">
        <v>90.958190000000002</v>
      </c>
      <c r="J5632">
        <v>-188.74010000000001</v>
      </c>
      <c r="K5632">
        <v>1.1208849999999999</v>
      </c>
      <c r="L5632">
        <v>74.534549999999996</v>
      </c>
      <c r="M5632">
        <v>2.6788730000000001E-4</v>
      </c>
      <c r="N5632">
        <v>-1.256181E-2</v>
      </c>
      <c r="O5632">
        <v>0.99992110000000001</v>
      </c>
      <c r="P5632">
        <v>1.647668E-2</v>
      </c>
      <c r="Q5632">
        <v>0.19093160000000001</v>
      </c>
      <c r="R5632">
        <v>0.98146500000000003</v>
      </c>
      <c r="S5632">
        <v>0.47186280000000003</v>
      </c>
      <c r="T5632">
        <v>-0.20630119999999999</v>
      </c>
      <c r="U5632">
        <v>3.090576</v>
      </c>
      <c r="V5632">
        <v>1.6280159999999998E-2</v>
      </c>
      <c r="W5632">
        <v>0.20324010000000001</v>
      </c>
      <c r="X5632">
        <v>0.97899360000000002</v>
      </c>
      <c r="Y5632">
        <v>0.1503757</v>
      </c>
      <c r="Z5632">
        <v>-5.3305909999999998E-2</v>
      </c>
      <c r="AA5632">
        <v>0.98719080000000003</v>
      </c>
      <c r="AB5632">
        <v>33</v>
      </c>
      <c r="AC5632">
        <v>2.5634999999999999</v>
      </c>
      <c r="AD5632">
        <v>-1.120886463163</v>
      </c>
      <c r="AE5632">
        <v>16.423639999999999</v>
      </c>
      <c r="AF5632">
        <v>2.5475161697673601</v>
      </c>
      <c r="AG5632">
        <v>-1.120886463163</v>
      </c>
      <c r="AH5632">
        <v>16.3499818595878</v>
      </c>
      <c r="AI5632">
        <v>93.875210362609593</v>
      </c>
      <c r="AJ5632">
        <v>81.143864599341697</v>
      </c>
      <c r="AK5632">
        <v>16.585178078856298</v>
      </c>
      <c r="AL5632">
        <v>78.273504760342703</v>
      </c>
      <c r="AM5632">
        <v>89.047288472513998</v>
      </c>
      <c r="AN5632">
        <v>1.00000002534929</v>
      </c>
    </row>
    <row r="5633" spans="1:40" x14ac:dyDescent="0.25">
      <c r="A5633" t="str">
        <f>"20190303162714006"</f>
        <v>20190303162714006</v>
      </c>
      <c r="B5633" t="str">
        <f>"1551601633999574"</f>
        <v>1551601633999574</v>
      </c>
      <c r="C5633" t="s">
        <v>40</v>
      </c>
      <c r="D5633">
        <v>5.2339120000000001</v>
      </c>
      <c r="E5633">
        <v>0.55634079999999997</v>
      </c>
      <c r="F5633" t="s">
        <v>41</v>
      </c>
      <c r="G5633">
        <v>-185.9957</v>
      </c>
      <c r="H5633" s="1">
        <v>-1.9704760000000002E-6</v>
      </c>
      <c r="I5633">
        <v>92.307559999999995</v>
      </c>
      <c r="J5633">
        <v>-188.7396</v>
      </c>
      <c r="K5633">
        <v>1.12086</v>
      </c>
      <c r="L5633">
        <v>75.140810000000002</v>
      </c>
      <c r="M5633">
        <v>5.2165160000000003E-4</v>
      </c>
      <c r="N5633">
        <v>-1.254664E-2</v>
      </c>
      <c r="O5633">
        <v>0.99992110000000001</v>
      </c>
      <c r="P5633">
        <v>1.7434149999999999E-2</v>
      </c>
      <c r="Q5633">
        <v>0.18957009999999999</v>
      </c>
      <c r="R5633">
        <v>0.98171240000000004</v>
      </c>
      <c r="S5633">
        <v>0.47659299999999999</v>
      </c>
      <c r="T5633">
        <v>-0.19465679999999999</v>
      </c>
      <c r="U5633">
        <v>3.0865170000000002</v>
      </c>
      <c r="V5633">
        <v>1.6989500000000001E-2</v>
      </c>
      <c r="W5633">
        <v>0.20186680000000001</v>
      </c>
      <c r="X5633">
        <v>0.97926559999999996</v>
      </c>
      <c r="Y5633">
        <v>0.15182770000000001</v>
      </c>
      <c r="Z5633">
        <v>-4.9683390000000001E-2</v>
      </c>
      <c r="AA5633">
        <v>0.98715750000000002</v>
      </c>
      <c r="AB5633">
        <v>33</v>
      </c>
      <c r="AC5633">
        <v>2.7438999999999898</v>
      </c>
      <c r="AD5633">
        <v>-1.1208619704759999</v>
      </c>
      <c r="AE5633">
        <v>17.166749999999901</v>
      </c>
      <c r="AF5633">
        <v>2.7236219706321898</v>
      </c>
      <c r="AG5633">
        <v>-1.1208619704759999</v>
      </c>
      <c r="AH5633">
        <v>17.097107768666501</v>
      </c>
      <c r="AI5633">
        <v>93.704286264401006</v>
      </c>
      <c r="AJ5633">
        <v>80.948661030554405</v>
      </c>
      <c r="AK5633">
        <v>17.348934902441901</v>
      </c>
      <c r="AL5633">
        <v>78.353854099432795</v>
      </c>
      <c r="AM5633">
        <v>89.006062300209507</v>
      </c>
      <c r="AN5633">
        <v>0.99999998169792403</v>
      </c>
    </row>
    <row r="5634" spans="1:40" x14ac:dyDescent="0.25">
      <c r="A5634" t="str">
        <f>"20190303162714029"</f>
        <v>20190303162714029</v>
      </c>
      <c r="B5634" t="str">
        <f>"1551601634020070"</f>
        <v>1551601634020070</v>
      </c>
      <c r="C5634" t="s">
        <v>40</v>
      </c>
      <c r="D5634">
        <v>5.2305760000000001</v>
      </c>
      <c r="E5634">
        <v>0.55628840000000002</v>
      </c>
      <c r="F5634" t="s">
        <v>41</v>
      </c>
      <c r="G5634">
        <v>-185.83940000000001</v>
      </c>
      <c r="H5634" s="1">
        <v>-2.413851E-6</v>
      </c>
      <c r="I5634">
        <v>93.488219999999998</v>
      </c>
      <c r="J5634">
        <v>-188.73920000000001</v>
      </c>
      <c r="K5634">
        <v>1.120849</v>
      </c>
      <c r="L5634">
        <v>75.48621</v>
      </c>
      <c r="M5634">
        <v>6.6634759999999996E-4</v>
      </c>
      <c r="N5634">
        <v>-1.252969E-2</v>
      </c>
      <c r="O5634">
        <v>0.99992130000000001</v>
      </c>
      <c r="P5634">
        <v>1.5739779999999998E-2</v>
      </c>
      <c r="Q5634">
        <v>0.1885695</v>
      </c>
      <c r="R5634">
        <v>0.98193370000000002</v>
      </c>
      <c r="S5634">
        <v>0.48742679999999999</v>
      </c>
      <c r="T5634">
        <v>-0.1883813</v>
      </c>
      <c r="U5634">
        <v>3.083618</v>
      </c>
      <c r="V5634">
        <v>1.515209E-2</v>
      </c>
      <c r="W5634">
        <v>0.20085330000000001</v>
      </c>
      <c r="X5634">
        <v>0.97950420000000005</v>
      </c>
      <c r="Y5634">
        <v>0.15522469999999999</v>
      </c>
      <c r="Z5634">
        <v>-4.7724559999999999E-2</v>
      </c>
      <c r="AA5634">
        <v>0.98672570000000004</v>
      </c>
      <c r="AB5634">
        <v>33</v>
      </c>
      <c r="AC5634">
        <v>2.8997999999999902</v>
      </c>
      <c r="AD5634">
        <v>-1.120851413851</v>
      </c>
      <c r="AE5634">
        <v>18.002009999999999</v>
      </c>
      <c r="AF5634">
        <v>2.8769320912265002</v>
      </c>
      <c r="AG5634">
        <v>-1.120851413851</v>
      </c>
      <c r="AH5634">
        <v>17.936165136924899</v>
      </c>
      <c r="AI5634">
        <v>93.530813772030399</v>
      </c>
      <c r="AJ5634">
        <v>80.887467908588206</v>
      </c>
      <c r="AK5634">
        <v>18.199974339775899</v>
      </c>
      <c r="AL5634">
        <v>78.413138535292006</v>
      </c>
      <c r="AM5634">
        <v>89.113754111644695</v>
      </c>
      <c r="AN5634">
        <v>1.00000005588494</v>
      </c>
    </row>
    <row r="5635" spans="1:40" x14ac:dyDescent="0.25">
      <c r="A5635" t="str">
        <f>"20190303162714053"</f>
        <v>20190303162714053</v>
      </c>
      <c r="B5635" t="str">
        <f>"1551601634039590"</f>
        <v>1551601634039590</v>
      </c>
      <c r="C5635" t="s">
        <v>40</v>
      </c>
      <c r="D5635">
        <v>5.2130780000000003</v>
      </c>
      <c r="E5635">
        <v>0.5565753</v>
      </c>
      <c r="F5635" t="s">
        <v>41</v>
      </c>
      <c r="G5635">
        <v>-185.90870000000001</v>
      </c>
      <c r="H5635" s="1">
        <v>-2.4530460000000001E-6</v>
      </c>
      <c r="I5635">
        <v>93.657610000000005</v>
      </c>
      <c r="J5635">
        <v>-188.7389</v>
      </c>
      <c r="K5635">
        <v>1.1208480000000001</v>
      </c>
      <c r="L5635">
        <v>75.828519999999997</v>
      </c>
      <c r="M5635">
        <v>8.0739630000000004E-4</v>
      </c>
      <c r="N5635">
        <v>-1.250331E-2</v>
      </c>
      <c r="O5635">
        <v>0.99992150000000002</v>
      </c>
      <c r="P5635">
        <v>1.2850139999999999E-2</v>
      </c>
      <c r="Q5635">
        <v>0.18701899999999999</v>
      </c>
      <c r="R5635">
        <v>0.98227229999999999</v>
      </c>
      <c r="S5635">
        <v>0.4803925</v>
      </c>
      <c r="T5635">
        <v>-0.1902306</v>
      </c>
      <c r="U5635">
        <v>3.0840450000000001</v>
      </c>
      <c r="V5635">
        <v>1.212183E-2</v>
      </c>
      <c r="W5635">
        <v>0.1992825</v>
      </c>
      <c r="X5635">
        <v>0.97986709999999999</v>
      </c>
      <c r="Y5635">
        <v>0.15286329999999901</v>
      </c>
      <c r="Z5635">
        <v>-4.835416E-2</v>
      </c>
      <c r="AA5635">
        <v>0.98706360000000004</v>
      </c>
      <c r="AB5635">
        <v>33</v>
      </c>
      <c r="AC5635">
        <v>2.8301999999999898</v>
      </c>
      <c r="AD5635">
        <v>-1.120850453046</v>
      </c>
      <c r="AE5635">
        <v>17.829089999999901</v>
      </c>
      <c r="AF5635">
        <v>2.8049894613837099</v>
      </c>
      <c r="AG5635">
        <v>-1.120850453046</v>
      </c>
      <c r="AH5635">
        <v>17.762892780184998</v>
      </c>
      <c r="AI5635">
        <v>93.5665366741719</v>
      </c>
      <c r="AJ5635">
        <v>81.026359445266706</v>
      </c>
      <c r="AK5635">
        <v>18.017897533755601</v>
      </c>
      <c r="AL5635">
        <v>78.504995195247702</v>
      </c>
      <c r="AM5635">
        <v>89.291236258271994</v>
      </c>
      <c r="AN5635">
        <v>0.99999999361560399</v>
      </c>
    </row>
    <row r="5636" spans="1:40" x14ac:dyDescent="0.25">
      <c r="A5636" t="str">
        <f>"20190303162714075"</f>
        <v>20190303162714075</v>
      </c>
      <c r="B5636" t="str">
        <f>"1551601634060087"</f>
        <v>1551601634060087</v>
      </c>
      <c r="C5636" t="s">
        <v>40</v>
      </c>
      <c r="D5636">
        <v>5.2307129999999997</v>
      </c>
      <c r="E5636">
        <v>0.55669150000000001</v>
      </c>
      <c r="F5636" t="s">
        <v>41</v>
      </c>
      <c r="G5636">
        <v>-186.00200000000001</v>
      </c>
      <c r="H5636" s="1">
        <v>-2.435239E-6</v>
      </c>
      <c r="I5636">
        <v>93.65625</v>
      </c>
      <c r="J5636">
        <v>-188.73849999999999</v>
      </c>
      <c r="K5636">
        <v>1.120844</v>
      </c>
      <c r="L5636">
        <v>76.150540000000007</v>
      </c>
      <c r="M5636">
        <v>9.3702239999999995E-4</v>
      </c>
      <c r="N5636">
        <v>-1.2459090000000001E-2</v>
      </c>
      <c r="O5636">
        <v>0.99992190000000003</v>
      </c>
      <c r="P5636">
        <v>1.0339630000000001E-2</v>
      </c>
      <c r="Q5636">
        <v>0.1864256</v>
      </c>
      <c r="R5636">
        <v>0.98241469999999997</v>
      </c>
      <c r="S5636">
        <v>0.47358699999999998</v>
      </c>
      <c r="T5636">
        <v>-0.19394929999999999</v>
      </c>
      <c r="U5636">
        <v>3.0848689999999999</v>
      </c>
      <c r="V5636">
        <v>9.4820689999999992E-3</v>
      </c>
      <c r="W5636">
        <v>0.19864789999999999</v>
      </c>
      <c r="X5636">
        <v>0.98002509999999998</v>
      </c>
      <c r="Y5636">
        <v>0.150559</v>
      </c>
      <c r="Z5636">
        <v>-4.9589040000000001E-2</v>
      </c>
      <c r="AA5636">
        <v>0.98735649999999997</v>
      </c>
      <c r="AB5636">
        <v>33</v>
      </c>
      <c r="AC5636">
        <v>2.7364999999999702</v>
      </c>
      <c r="AD5636">
        <v>-1.120846435239</v>
      </c>
      <c r="AE5636">
        <v>17.505709999999901</v>
      </c>
      <c r="AF5636">
        <v>2.7092525816571502</v>
      </c>
      <c r="AG5636">
        <v>-1.120846435239</v>
      </c>
      <c r="AH5636">
        <v>17.438482555927301</v>
      </c>
      <c r="AI5636">
        <v>93.634110346547899</v>
      </c>
      <c r="AJ5636">
        <v>81.169093693949094</v>
      </c>
      <c r="AK5636">
        <v>17.6832412225809</v>
      </c>
      <c r="AL5636">
        <v>78.542097511017303</v>
      </c>
      <c r="AM5636">
        <v>89.445661562031404</v>
      </c>
      <c r="AN5636">
        <v>1.00000004721846</v>
      </c>
    </row>
    <row r="5637" spans="1:40" x14ac:dyDescent="0.25">
      <c r="A5637" t="str">
        <f>"20190303162714096"</f>
        <v>20190303162714096</v>
      </c>
      <c r="B5637" t="str">
        <f>"1551601634090342"</f>
        <v>1551601634090342</v>
      </c>
      <c r="C5637" t="s">
        <v>40</v>
      </c>
      <c r="D5637">
        <v>5.3327929999999997</v>
      </c>
      <c r="E5637">
        <v>0.55683169999999904</v>
      </c>
      <c r="F5637" t="s">
        <v>41</v>
      </c>
      <c r="G5637">
        <v>-186.02269999999999</v>
      </c>
      <c r="H5637" s="1">
        <v>-2.5936609999999998E-6</v>
      </c>
      <c r="I5637">
        <v>94.034109999999998</v>
      </c>
      <c r="J5637">
        <v>-188.7381</v>
      </c>
      <c r="K5637">
        <v>1.120838</v>
      </c>
      <c r="L5637">
        <v>76.467959999999906</v>
      </c>
      <c r="M5637">
        <v>1.06321E-3</v>
      </c>
      <c r="N5637">
        <v>-1.239525E-2</v>
      </c>
      <c r="O5637">
        <v>0.99992259999999999</v>
      </c>
      <c r="P5637">
        <v>9.3517319999999998E-3</v>
      </c>
      <c r="Q5637">
        <v>0.1870801</v>
      </c>
      <c r="R5637">
        <v>0.98230019999999996</v>
      </c>
      <c r="S5637">
        <v>0.46855160000000001</v>
      </c>
      <c r="T5637">
        <v>-0.19338130000000001</v>
      </c>
      <c r="U5637">
        <v>3.08548</v>
      </c>
      <c r="V5637">
        <v>8.3692490000000005E-3</v>
      </c>
      <c r="W5637">
        <v>0.1992391</v>
      </c>
      <c r="X5637">
        <v>0.97991510000000004</v>
      </c>
      <c r="Y5637">
        <v>0.148832299999999</v>
      </c>
      <c r="Z5637">
        <v>-4.9475419999999999E-2</v>
      </c>
      <c r="AA5637">
        <v>0.98762399999999995</v>
      </c>
      <c r="AB5637">
        <v>33</v>
      </c>
      <c r="AC5637">
        <v>2.71540000000001</v>
      </c>
      <c r="AD5637">
        <v>-1.120840593661</v>
      </c>
      <c r="AE5637">
        <v>17.56615</v>
      </c>
      <c r="AF5637">
        <v>2.68604002773092</v>
      </c>
      <c r="AG5637">
        <v>-1.120840593661</v>
      </c>
      <c r="AH5637">
        <v>17.499444325311298</v>
      </c>
      <c r="AI5637">
        <v>93.622482946792005</v>
      </c>
      <c r="AJ5637">
        <v>81.273612141024799</v>
      </c>
      <c r="AK5637">
        <v>17.739832196546899</v>
      </c>
      <c r="AL5637">
        <v>78.507532015153402</v>
      </c>
      <c r="AM5637">
        <v>89.510660682444296</v>
      </c>
      <c r="AN5637">
        <v>0.999999933252819</v>
      </c>
    </row>
    <row r="5638" spans="1:40" x14ac:dyDescent="0.25">
      <c r="A5638" t="str">
        <f>"20190303162714118"</f>
        <v>20190303162714118</v>
      </c>
      <c r="B5638" t="str">
        <f>"1551601634109863"</f>
        <v>1551601634109863</v>
      </c>
      <c r="C5638" t="s">
        <v>40</v>
      </c>
      <c r="D5638">
        <v>5.2225210000000004</v>
      </c>
      <c r="E5638">
        <v>0.55678369999999999</v>
      </c>
      <c r="F5638" t="s">
        <v>41</v>
      </c>
      <c r="G5638">
        <v>-185.88579999999999</v>
      </c>
      <c r="H5638" s="1">
        <v>-3.1531389999999999E-6</v>
      </c>
      <c r="I5638">
        <v>95.281670000000005</v>
      </c>
      <c r="J5638">
        <v>-188.73759999999999</v>
      </c>
      <c r="K5638">
        <v>1.1208209999999901</v>
      </c>
      <c r="L5638">
        <v>76.801699999999997</v>
      </c>
      <c r="M5638">
        <v>1.194496E-3</v>
      </c>
      <c r="N5638">
        <v>-1.2308940000000001E-2</v>
      </c>
      <c r="O5638">
        <v>0.99992349999999997</v>
      </c>
      <c r="P5638">
        <v>8.9760729999999993E-3</v>
      </c>
      <c r="Q5638">
        <v>0.1870617</v>
      </c>
      <c r="R5638">
        <v>0.98230709999999999</v>
      </c>
      <c r="S5638">
        <v>0.4676361</v>
      </c>
      <c r="T5638">
        <v>-0.18376709999999999</v>
      </c>
      <c r="U5638">
        <v>3.0845950000000002</v>
      </c>
      <c r="V5638">
        <v>7.8638349999999996E-3</v>
      </c>
      <c r="W5638">
        <v>0.19913629999999999</v>
      </c>
      <c r="X5638">
        <v>0.97994020000000004</v>
      </c>
      <c r="Y5638">
        <v>0.1484828</v>
      </c>
      <c r="Z5638">
        <v>-4.6515189999999998E-2</v>
      </c>
      <c r="AA5638">
        <v>0.98782040000000004</v>
      </c>
      <c r="AB5638">
        <v>33</v>
      </c>
      <c r="AC5638">
        <v>2.8517999999999901</v>
      </c>
      <c r="AD5638">
        <v>-1.12082415313899</v>
      </c>
      <c r="AE5638">
        <v>18.479969999999899</v>
      </c>
      <c r="AF5638">
        <v>2.8195913880812098</v>
      </c>
      <c r="AG5638">
        <v>-1.12082415313899</v>
      </c>
      <c r="AH5638">
        <v>18.417191468875298</v>
      </c>
      <c r="AI5638">
        <v>93.442570370898395</v>
      </c>
      <c r="AJ5638">
        <v>81.295850488826204</v>
      </c>
      <c r="AK5638">
        <v>18.6654569721508</v>
      </c>
      <c r="AL5638">
        <v>78.513542666373098</v>
      </c>
      <c r="AM5638">
        <v>89.540222061608105</v>
      </c>
      <c r="AN5638">
        <v>0.99999995072731696</v>
      </c>
    </row>
    <row r="5639" spans="1:40" x14ac:dyDescent="0.25">
      <c r="A5639" t="str">
        <f>"20190303162714142"</f>
        <v>20190303162714142</v>
      </c>
      <c r="B5639" t="str">
        <f>"1551601634130358"</f>
        <v>1551601634130358</v>
      </c>
      <c r="C5639" t="s">
        <v>40</v>
      </c>
      <c r="D5639">
        <v>5.216647</v>
      </c>
      <c r="E5639">
        <v>0.55680649999999998</v>
      </c>
      <c r="F5639" t="s">
        <v>41</v>
      </c>
      <c r="G5639">
        <v>-185.803</v>
      </c>
      <c r="H5639" s="1">
        <v>-3.5576570000000001E-6</v>
      </c>
      <c r="I5639">
        <v>96.190370000000001</v>
      </c>
      <c r="J5639">
        <v>-188.7371</v>
      </c>
      <c r="K5639">
        <v>1.1208070000000001</v>
      </c>
      <c r="L5639">
        <v>77.130219999999994</v>
      </c>
      <c r="M5639">
        <v>1.3223169999999999E-3</v>
      </c>
      <c r="N5639">
        <v>-1.221036E-2</v>
      </c>
      <c r="O5639">
        <v>0.99992460000000005</v>
      </c>
      <c r="P5639">
        <v>8.7641950000000007E-3</v>
      </c>
      <c r="Q5639">
        <v>0.18753149999999999</v>
      </c>
      <c r="R5639">
        <v>0.98221950000000002</v>
      </c>
      <c r="S5639">
        <v>0.46673579999999998</v>
      </c>
      <c r="T5639">
        <v>-0.1782656</v>
      </c>
      <c r="U5639">
        <v>3.0837400000000001</v>
      </c>
      <c r="V5639">
        <v>7.5265130000000003E-3</v>
      </c>
      <c r="W5639">
        <v>0.1995082</v>
      </c>
      <c r="X5639">
        <v>0.97986719999999905</v>
      </c>
      <c r="Y5639">
        <v>0.1481286</v>
      </c>
      <c r="Z5639">
        <v>-4.4876359999999997E-2</v>
      </c>
      <c r="AA5639">
        <v>0.98794939999999998</v>
      </c>
      <c r="AB5639">
        <v>33</v>
      </c>
      <c r="AC5639">
        <v>2.9340999999999999</v>
      </c>
      <c r="AD5639">
        <v>-1.120810557657</v>
      </c>
      <c r="AE5639">
        <v>19.06015</v>
      </c>
      <c r="AF5639">
        <v>2.8990992749668001</v>
      </c>
      <c r="AG5639">
        <v>-1.120810557657</v>
      </c>
      <c r="AH5639">
        <v>18.999834853243101</v>
      </c>
      <c r="AI5639">
        <v>93.337457179673294</v>
      </c>
      <c r="AJ5639">
        <v>81.324411233149704</v>
      </c>
      <c r="AK5639">
        <v>19.252395107175101</v>
      </c>
      <c r="AL5639">
        <v>78.491798027898298</v>
      </c>
      <c r="AM5639">
        <v>89.559910824012903</v>
      </c>
      <c r="AN5639">
        <v>0.999999949950508</v>
      </c>
    </row>
    <row r="5640" spans="1:40" x14ac:dyDescent="0.25">
      <c r="A5640" t="str">
        <f>"20190303162714166"</f>
        <v>20190303162714166</v>
      </c>
      <c r="B5640" t="str">
        <f>"1551601634159639"</f>
        <v>1551601634159639</v>
      </c>
      <c r="C5640" t="s">
        <v>40</v>
      </c>
      <c r="D5640">
        <v>5.1970809999999998</v>
      </c>
      <c r="E5640">
        <v>0.55699119999999902</v>
      </c>
      <c r="F5640" t="s">
        <v>41</v>
      </c>
      <c r="G5640">
        <v>-185.7012</v>
      </c>
      <c r="H5640" s="1">
        <v>-4.0074300000000004E-6</v>
      </c>
      <c r="I5640">
        <v>97.196719999999999</v>
      </c>
      <c r="J5640">
        <v>-188.73650000000001</v>
      </c>
      <c r="K5640">
        <v>1.120795</v>
      </c>
      <c r="L5640">
        <v>77.489230000000006</v>
      </c>
      <c r="M5640">
        <v>1.4614599999999999E-3</v>
      </c>
      <c r="N5640">
        <v>-1.208912E-2</v>
      </c>
      <c r="O5640">
        <v>0.99992590000000003</v>
      </c>
      <c r="P5640">
        <v>8.3220150000000003E-3</v>
      </c>
      <c r="Q5640">
        <v>0.18906419999999999</v>
      </c>
      <c r="R5640">
        <v>0.98192950000000001</v>
      </c>
      <c r="S5640">
        <v>0.46643069999999998</v>
      </c>
      <c r="T5640">
        <v>-0.17220260000000001</v>
      </c>
      <c r="U5640">
        <v>3.0830380000000002</v>
      </c>
      <c r="V5640">
        <v>6.9490069999999897E-3</v>
      </c>
      <c r="W5640">
        <v>0.20091909999999999</v>
      </c>
      <c r="X5640">
        <v>0.97958319999999999</v>
      </c>
      <c r="Y5640">
        <v>0.14794309999999999</v>
      </c>
      <c r="Z5640">
        <v>-4.3075019999999999E-2</v>
      </c>
      <c r="AA5640">
        <v>0.98805739999999997</v>
      </c>
      <c r="AB5640">
        <v>33</v>
      </c>
      <c r="AC5640">
        <v>3.0352999999999999</v>
      </c>
      <c r="AD5640">
        <v>-1.1207990074299901</v>
      </c>
      <c r="AE5640">
        <v>19.70749</v>
      </c>
      <c r="AF5640">
        <v>2.9970240079673101</v>
      </c>
      <c r="AG5640">
        <v>-1.1207990074299901</v>
      </c>
      <c r="AH5640">
        <v>19.6498226733965</v>
      </c>
      <c r="AI5640">
        <v>93.227293695361396</v>
      </c>
      <c r="AJ5640">
        <v>81.327984489522393</v>
      </c>
      <c r="AK5640">
        <v>19.9086381858558</v>
      </c>
      <c r="AL5640">
        <v>78.409289475509794</v>
      </c>
      <c r="AM5640">
        <v>89.593559695097895</v>
      </c>
      <c r="AN5640">
        <v>1.00000000958266</v>
      </c>
    </row>
    <row r="5641" spans="1:40" x14ac:dyDescent="0.25">
      <c r="A5641" t="str">
        <f>"20190303162714188"</f>
        <v>20190303162714188</v>
      </c>
      <c r="B5641" t="str">
        <f>"1551601634180134"</f>
        <v>1551601634180134</v>
      </c>
      <c r="C5641" t="s">
        <v>40</v>
      </c>
      <c r="D5641">
        <v>5.1853499999999997</v>
      </c>
      <c r="E5641">
        <v>0.55712539999999999</v>
      </c>
      <c r="F5641" t="s">
        <v>41</v>
      </c>
      <c r="G5641">
        <v>-185.50360000000001</v>
      </c>
      <c r="H5641" s="1">
        <v>-4.7528919999999996E-6</v>
      </c>
      <c r="I5641">
        <v>98.852680000000007</v>
      </c>
      <c r="J5641">
        <v>-188.73580000000001</v>
      </c>
      <c r="K5641">
        <v>1.120779</v>
      </c>
      <c r="L5641">
        <v>77.824919999999906</v>
      </c>
      <c r="M5641">
        <v>1.59197299999999E-3</v>
      </c>
      <c r="N5641">
        <v>-1.197376E-2</v>
      </c>
      <c r="O5641">
        <v>0.99992700000000001</v>
      </c>
      <c r="P5641">
        <v>8.6132719999999999E-3</v>
      </c>
      <c r="Q5641">
        <v>0.1904769</v>
      </c>
      <c r="R5641">
        <v>0.98165389999999997</v>
      </c>
      <c r="S5641">
        <v>0.46644590000000002</v>
      </c>
      <c r="T5641">
        <v>-0.16171160000000001</v>
      </c>
      <c r="U5641">
        <v>3.0823670000000001</v>
      </c>
      <c r="V5641">
        <v>7.1136169999999896E-3</v>
      </c>
      <c r="W5641">
        <v>0.20221520000000001</v>
      </c>
      <c r="X5641">
        <v>0.9793153</v>
      </c>
      <c r="Y5641">
        <v>0.14787429999999999</v>
      </c>
      <c r="Z5641">
        <v>-3.9849450000000002E-2</v>
      </c>
      <c r="AA5641">
        <v>0.98820300000000005</v>
      </c>
      <c r="AB5641">
        <v>33</v>
      </c>
      <c r="AC5641">
        <v>3.2322000000000002</v>
      </c>
      <c r="AD5641">
        <v>-1.1207837528919999</v>
      </c>
      <c r="AE5641">
        <v>21.027760000000001</v>
      </c>
      <c r="AF5641">
        <v>3.1898649231774399</v>
      </c>
      <c r="AG5641">
        <v>-1.1207837528919999</v>
      </c>
      <c r="AH5641">
        <v>20.974667506143199</v>
      </c>
      <c r="AI5641">
        <v>93.023992345751694</v>
      </c>
      <c r="AJ5641">
        <v>81.352617228345196</v>
      </c>
      <c r="AK5641">
        <v>21.245424717856899</v>
      </c>
      <c r="AL5641">
        <v>78.333472406075799</v>
      </c>
      <c r="AM5641">
        <v>89.583818344399802</v>
      </c>
      <c r="AN5641">
        <v>1.0000000237359701</v>
      </c>
    </row>
    <row r="5642" spans="1:40" x14ac:dyDescent="0.25">
      <c r="A5642" t="str">
        <f>"20190303162714210"</f>
        <v>20190303162714210</v>
      </c>
      <c r="B5642" t="str">
        <f>"1551601634199655"</f>
        <v>1551601634199655</v>
      </c>
      <c r="C5642" t="s">
        <v>40</v>
      </c>
      <c r="D5642">
        <v>5.2593759999999996</v>
      </c>
      <c r="E5642">
        <v>0.55714269999999999</v>
      </c>
      <c r="F5642" t="s">
        <v>41</v>
      </c>
      <c r="G5642">
        <v>-185.3262</v>
      </c>
      <c r="H5642" s="1">
        <v>-1.454445E-6</v>
      </c>
      <c r="I5642">
        <v>100.2677</v>
      </c>
      <c r="J5642">
        <v>-188.73519999999999</v>
      </c>
      <c r="K5642">
        <v>1.1207659999999999</v>
      </c>
      <c r="L5642">
        <v>78.149019999999993</v>
      </c>
      <c r="M5642">
        <v>1.7187439999999999E-3</v>
      </c>
      <c r="N5642">
        <v>-1.186838E-2</v>
      </c>
      <c r="O5642">
        <v>0.99992809999999999</v>
      </c>
      <c r="P5642">
        <v>9.9121699999999997E-3</v>
      </c>
      <c r="Q5642">
        <v>0.1902017</v>
      </c>
      <c r="R5642">
        <v>0.98169499999999998</v>
      </c>
      <c r="S5642">
        <v>0.46820070000000003</v>
      </c>
      <c r="T5642">
        <v>-0.15390419999999999</v>
      </c>
      <c r="U5642">
        <v>3.0818180000000002</v>
      </c>
      <c r="V5642">
        <v>8.2885249999999997E-3</v>
      </c>
      <c r="W5642">
        <v>0.2018374</v>
      </c>
      <c r="X5642">
        <v>0.97938400000000003</v>
      </c>
      <c r="Y5642">
        <v>0.14834140000000001</v>
      </c>
      <c r="Z5642">
        <v>-3.7463330000000003E-2</v>
      </c>
      <c r="AA5642">
        <v>0.98822639999999995</v>
      </c>
      <c r="AB5642">
        <v>33</v>
      </c>
      <c r="AC5642">
        <v>3.40899999999999</v>
      </c>
      <c r="AD5642">
        <v>-1.1207674544449999</v>
      </c>
      <c r="AE5642">
        <v>22.118680000000001</v>
      </c>
      <c r="AF5642">
        <v>3.36254288455536</v>
      </c>
      <c r="AG5642">
        <v>-1.1207674544449999</v>
      </c>
      <c r="AH5642">
        <v>22.069158824702701</v>
      </c>
      <c r="AI5642">
        <v>92.874117238327102</v>
      </c>
      <c r="AJ5642">
        <v>81.336819994604198</v>
      </c>
      <c r="AK5642">
        <v>22.351970507482601</v>
      </c>
      <c r="AL5642">
        <v>78.355574539384506</v>
      </c>
      <c r="AM5642">
        <v>89.515117498734497</v>
      </c>
      <c r="AN5642">
        <v>1.0000000275707099</v>
      </c>
    </row>
    <row r="5643" spans="1:40" x14ac:dyDescent="0.25">
      <c r="A5643" t="str">
        <f>"20190303162714231"</f>
        <v>20190303162714231</v>
      </c>
      <c r="B5643" t="str">
        <f>"1551601634220151"</f>
        <v>1551601634220151</v>
      </c>
      <c r="C5643" t="s">
        <v>40</v>
      </c>
      <c r="D5643">
        <v>5.1847079999999997</v>
      </c>
      <c r="E5643">
        <v>0.55680810000000003</v>
      </c>
      <c r="F5643" t="s">
        <v>41</v>
      </c>
      <c r="G5643">
        <v>-185.3329</v>
      </c>
      <c r="H5643" s="1">
        <v>-1.4767030000000001E-6</v>
      </c>
      <c r="I5643">
        <v>100.3383</v>
      </c>
      <c r="J5643">
        <v>-188.7345</v>
      </c>
      <c r="K5643">
        <v>1.1207530000000001</v>
      </c>
      <c r="L5643">
        <v>78.459440000000001</v>
      </c>
      <c r="M5643">
        <v>1.8408459999999999E-3</v>
      </c>
      <c r="N5643">
        <v>-1.1775219999999999E-2</v>
      </c>
      <c r="O5643">
        <v>0.99992899999999996</v>
      </c>
      <c r="P5643">
        <v>1.2324409999999999E-2</v>
      </c>
      <c r="Q5643">
        <v>0.1895394</v>
      </c>
      <c r="R5643">
        <v>0.9817958</v>
      </c>
      <c r="S5643">
        <v>0.47245789999999999</v>
      </c>
      <c r="T5643">
        <v>-0.15563579999999999</v>
      </c>
      <c r="U5643">
        <v>3.0813290000000002</v>
      </c>
      <c r="V5643">
        <v>1.058102E-2</v>
      </c>
      <c r="W5643">
        <v>0.2010845</v>
      </c>
      <c r="X5643">
        <v>0.97951670000000002</v>
      </c>
      <c r="Y5643">
        <v>0.14957400000000001</v>
      </c>
      <c r="Z5643">
        <v>-3.8108309999999999E-2</v>
      </c>
      <c r="AA5643">
        <v>0.98801589999999995</v>
      </c>
      <c r="AB5643">
        <v>33</v>
      </c>
      <c r="AC5643">
        <v>3.4016000000000002</v>
      </c>
      <c r="AD5643">
        <v>-1.120754476703</v>
      </c>
      <c r="AE5643">
        <v>21.87886</v>
      </c>
      <c r="AF5643">
        <v>3.3527257640255099</v>
      </c>
      <c r="AG5643">
        <v>-1.120754476703</v>
      </c>
      <c r="AH5643">
        <v>21.8291563759296</v>
      </c>
      <c r="AI5643">
        <v>92.905098220568306</v>
      </c>
      <c r="AJ5643">
        <v>81.268212313766298</v>
      </c>
      <c r="AK5643">
        <v>22.113546272151801</v>
      </c>
      <c r="AL5643">
        <v>78.399614609899004</v>
      </c>
      <c r="AM5643">
        <v>89.381098648242698</v>
      </c>
      <c r="AN5643">
        <v>0.99999994985168805</v>
      </c>
    </row>
    <row r="5644" spans="1:40" x14ac:dyDescent="0.25">
      <c r="A5644" t="str">
        <f>"20190303162714254"</f>
        <v>20190303162714254</v>
      </c>
      <c r="B5644" t="str">
        <f>"1551601634239671"</f>
        <v>1551601634239671</v>
      </c>
      <c r="C5644" t="s">
        <v>40</v>
      </c>
      <c r="D5644">
        <v>5.187875</v>
      </c>
      <c r="E5644">
        <v>0.53382180000000001</v>
      </c>
      <c r="F5644" t="s">
        <v>41</v>
      </c>
      <c r="G5644">
        <v>-185.3723</v>
      </c>
      <c r="H5644" s="1">
        <v>-1.424864E-6</v>
      </c>
      <c r="I5644">
        <v>100.21680000000001</v>
      </c>
      <c r="J5644">
        <v>-188.7338</v>
      </c>
      <c r="K5644">
        <v>1.1207389999999999</v>
      </c>
      <c r="L5644">
        <v>78.783569999999997</v>
      </c>
      <c r="M5644">
        <v>1.9689600000000001E-3</v>
      </c>
      <c r="N5644">
        <v>-1.1686439999999999E-2</v>
      </c>
      <c r="O5644">
        <v>0.99992979999999998</v>
      </c>
      <c r="P5644">
        <v>1.4903799999999899E-2</v>
      </c>
      <c r="Q5644">
        <v>0.18896589999999999</v>
      </c>
      <c r="R5644">
        <v>0.98187049999999998</v>
      </c>
      <c r="S5644">
        <v>0.47599789999999997</v>
      </c>
      <c r="T5644">
        <v>-0.15867020000000001</v>
      </c>
      <c r="U5644">
        <v>3.080292</v>
      </c>
      <c r="V5644">
        <v>1.303473E-2</v>
      </c>
      <c r="W5644">
        <v>0.20042399999999999</v>
      </c>
      <c r="X5644">
        <v>0.97962249999999995</v>
      </c>
      <c r="Y5644">
        <v>0.15059919999999999</v>
      </c>
      <c r="Z5644">
        <v>-3.9175939999999999E-2</v>
      </c>
      <c r="AA5644">
        <v>0.98781839999999999</v>
      </c>
      <c r="AB5644">
        <v>33</v>
      </c>
      <c r="AC5644">
        <v>3.3614999999999999</v>
      </c>
      <c r="AD5644">
        <v>-1.1207404248639901</v>
      </c>
      <c r="AE5644">
        <v>21.433229999999998</v>
      </c>
      <c r="AF5644">
        <v>3.3104551886331199</v>
      </c>
      <c r="AG5644">
        <v>-1.1207404248639901</v>
      </c>
      <c r="AH5644">
        <v>21.382745819456701</v>
      </c>
      <c r="AI5644">
        <v>92.965055841640606</v>
      </c>
      <c r="AJ5644">
        <v>81.199394877681399</v>
      </c>
      <c r="AK5644">
        <v>21.666494673466801</v>
      </c>
      <c r="AL5644">
        <v>78.438245082008095</v>
      </c>
      <c r="AM5644">
        <v>89.237674771649097</v>
      </c>
      <c r="AN5644">
        <v>0.99999996323421003</v>
      </c>
    </row>
    <row r="5645" spans="1:40" x14ac:dyDescent="0.25">
      <c r="A5645" t="str">
        <f>"20190303162714276"</f>
        <v>20190303162714276</v>
      </c>
      <c r="B5645" t="str">
        <f>"1551601634269926"</f>
        <v>1551601634269926</v>
      </c>
      <c r="C5645" t="s">
        <v>40</v>
      </c>
      <c r="D5645">
        <v>5.0817129999999997</v>
      </c>
      <c r="E5645">
        <v>0.53668209999999905</v>
      </c>
      <c r="F5645" t="s">
        <v>41</v>
      </c>
      <c r="G5645">
        <v>-186.20099999999999</v>
      </c>
      <c r="H5645" s="1">
        <v>-2.8381640000000001E-6</v>
      </c>
      <c r="I5645">
        <v>104.6778</v>
      </c>
      <c r="J5645">
        <v>-188.733</v>
      </c>
      <c r="K5645">
        <v>1.1207309999999999</v>
      </c>
      <c r="L5645">
        <v>79.11694</v>
      </c>
      <c r="M5645">
        <v>2.1013770000000002E-3</v>
      </c>
      <c r="N5645">
        <v>-1.160392E-2</v>
      </c>
      <c r="O5645">
        <v>0.9999304</v>
      </c>
      <c r="P5645">
        <v>1.7087580000000002E-2</v>
      </c>
      <c r="Q5645">
        <v>0.18852650000000001</v>
      </c>
      <c r="R5645">
        <v>0.98191949999999995</v>
      </c>
      <c r="S5645">
        <v>0.30091859999999998</v>
      </c>
      <c r="T5645">
        <v>-0.13315360000000001</v>
      </c>
      <c r="U5645">
        <v>3.0764469999999999</v>
      </c>
      <c r="V5645">
        <v>1.5088509999999999E-2</v>
      </c>
      <c r="W5645">
        <v>0.19990350000000001</v>
      </c>
      <c r="X5645">
        <v>0.9796994</v>
      </c>
      <c r="Y5645">
        <v>9.5179079999999999E-2</v>
      </c>
      <c r="Z5645">
        <v>-3.1445510000000003E-2</v>
      </c>
      <c r="AA5645">
        <v>0.99496340000000005</v>
      </c>
      <c r="AB5645">
        <v>33</v>
      </c>
      <c r="AC5645">
        <v>2.5320000000000098</v>
      </c>
      <c r="AD5645">
        <v>-1.120733838164</v>
      </c>
      <c r="AE5645">
        <v>25.560860000000002</v>
      </c>
      <c r="AF5645">
        <v>2.4735686920193598</v>
      </c>
      <c r="AG5645">
        <v>-1.120733838164</v>
      </c>
      <c r="AH5645">
        <v>25.517545192810601</v>
      </c>
      <c r="AI5645">
        <v>92.503103968162804</v>
      </c>
      <c r="AJ5645">
        <v>84.463275335134597</v>
      </c>
      <c r="AK5645">
        <v>25.661638667031301</v>
      </c>
      <c r="AL5645">
        <v>78.468683888956804</v>
      </c>
      <c r="AM5645">
        <v>89.1176481282818</v>
      </c>
      <c r="AN5645">
        <v>0.99999999340331502</v>
      </c>
    </row>
    <row r="5646" spans="1:40" x14ac:dyDescent="0.25">
      <c r="A5646" t="str">
        <f>"20190303162714298"</f>
        <v>20190303162714298</v>
      </c>
      <c r="B5646" t="str">
        <f>"1551601634290423"</f>
        <v>1551601634290423</v>
      </c>
      <c r="C5646" t="s">
        <v>40</v>
      </c>
      <c r="D5646">
        <v>5.0917399999999997</v>
      </c>
      <c r="E5646">
        <v>0.53739110000000001</v>
      </c>
      <c r="F5646" t="s">
        <v>41</v>
      </c>
      <c r="G5646">
        <v>-185.88550000000001</v>
      </c>
      <c r="H5646" s="1">
        <v>-3.2717259999999998E-6</v>
      </c>
      <c r="I5646">
        <v>105.55800000000001</v>
      </c>
      <c r="J5646">
        <v>-188.7321</v>
      </c>
      <c r="K5646">
        <v>1.1207210000000001</v>
      </c>
      <c r="L5646">
        <v>79.450680000000006</v>
      </c>
      <c r="M5646">
        <v>2.2341539999999999E-3</v>
      </c>
      <c r="N5646">
        <v>-1.153028E-2</v>
      </c>
      <c r="O5646">
        <v>0.99993100000000001</v>
      </c>
      <c r="P5646">
        <v>1.9536640000000001E-2</v>
      </c>
      <c r="Q5646">
        <v>0.18807360000000001</v>
      </c>
      <c r="R5646">
        <v>0.98196059999999996</v>
      </c>
      <c r="S5646">
        <v>0.33110050000000002</v>
      </c>
      <c r="T5646">
        <v>-0.13031609999999999</v>
      </c>
      <c r="U5646">
        <v>3.0744929999999999</v>
      </c>
      <c r="V5646">
        <v>1.740717E-2</v>
      </c>
      <c r="W5646">
        <v>0.19937830000000001</v>
      </c>
      <c r="X5646">
        <v>0.97976799999999997</v>
      </c>
      <c r="Y5646">
        <v>0.1047694</v>
      </c>
      <c r="Z5646">
        <v>-3.0588589999999999E-2</v>
      </c>
      <c r="AA5646">
        <v>0.99402599999999997</v>
      </c>
      <c r="AB5646">
        <v>33</v>
      </c>
      <c r="AC5646">
        <v>2.8465999999999898</v>
      </c>
      <c r="AD5646">
        <v>-1.12072427172599</v>
      </c>
      <c r="AE5646">
        <v>26.107319999999898</v>
      </c>
      <c r="AF5646">
        <v>2.7831926939327198</v>
      </c>
      <c r="AG5646">
        <v>-1.12072427172599</v>
      </c>
      <c r="AH5646">
        <v>26.066145232703398</v>
      </c>
      <c r="AI5646">
        <v>92.448040393350993</v>
      </c>
      <c r="AJ5646">
        <v>83.905378087535595</v>
      </c>
      <c r="AK5646">
        <v>26.238256644777</v>
      </c>
      <c r="AL5646">
        <v>78.4993942190128</v>
      </c>
      <c r="AM5646">
        <v>88.982154495206004</v>
      </c>
      <c r="AN5646">
        <v>1.00000002495114</v>
      </c>
    </row>
    <row r="5647" spans="1:40" x14ac:dyDescent="0.25">
      <c r="A5647" t="str">
        <f>"20190303162714320"</f>
        <v>20190303162714320</v>
      </c>
      <c r="B5647" t="str">
        <f>"1551601634309942"</f>
        <v>1551601634309942</v>
      </c>
      <c r="C5647" t="s">
        <v>40</v>
      </c>
      <c r="D5647">
        <v>5.0652860000000004</v>
      </c>
      <c r="E5647">
        <v>0.53798109999999999</v>
      </c>
      <c r="F5647" t="s">
        <v>41</v>
      </c>
      <c r="G5647">
        <v>-185.8783</v>
      </c>
      <c r="H5647" s="1">
        <v>-3.0145059999999998E-6</v>
      </c>
      <c r="I5647">
        <v>104.9554</v>
      </c>
      <c r="J5647">
        <v>-188.7312</v>
      </c>
      <c r="K5647">
        <v>1.1207119999999999</v>
      </c>
      <c r="L5647">
        <v>79.783569999999997</v>
      </c>
      <c r="M5647">
        <v>2.366586E-3</v>
      </c>
      <c r="N5647">
        <v>-1.1465380000000001E-2</v>
      </c>
      <c r="O5647">
        <v>0.99993149999999997</v>
      </c>
      <c r="P5647">
        <v>2.145524E-2</v>
      </c>
      <c r="Q5647">
        <v>0.18760279999999999</v>
      </c>
      <c r="R5647">
        <v>0.98201059999999996</v>
      </c>
      <c r="S5647">
        <v>0.34397889999999998</v>
      </c>
      <c r="T5647">
        <v>-0.13508419999999999</v>
      </c>
      <c r="U5647">
        <v>3.0741580000000002</v>
      </c>
      <c r="V5647">
        <v>1.919564E-2</v>
      </c>
      <c r="W5647">
        <v>0.19884379999999999</v>
      </c>
      <c r="X5647">
        <v>0.97984320000000003</v>
      </c>
      <c r="Y5647">
        <v>0.1087555</v>
      </c>
      <c r="Z5647">
        <v>-3.2177490000000003E-2</v>
      </c>
      <c r="AA5647">
        <v>0.99354759999999998</v>
      </c>
      <c r="AB5647">
        <v>33</v>
      </c>
      <c r="AC5647">
        <v>2.8529</v>
      </c>
      <c r="AD5647">
        <v>-1.1207150145060001</v>
      </c>
      <c r="AE5647">
        <v>25.17183</v>
      </c>
      <c r="AF5647">
        <v>2.7878606144957701</v>
      </c>
      <c r="AG5647">
        <v>-1.1207150145060001</v>
      </c>
      <c r="AH5647">
        <v>25.129330435046199</v>
      </c>
      <c r="AI5647">
        <v>92.538028090581506</v>
      </c>
      <c r="AJ5647">
        <v>83.669464224609797</v>
      </c>
      <c r="AK5647">
        <v>25.308327030116601</v>
      </c>
      <c r="AL5647">
        <v>78.530644401005901</v>
      </c>
      <c r="AM5647">
        <v>88.877689319243601</v>
      </c>
      <c r="AN5647">
        <v>1.0000000129898401</v>
      </c>
    </row>
    <row r="5648" spans="1:40" x14ac:dyDescent="0.25">
      <c r="A5648" t="str">
        <f>"20190303162714344"</f>
        <v>20190303162714344</v>
      </c>
      <c r="B5648" t="str">
        <f>"1551601634340199"</f>
        <v>1551601634340199</v>
      </c>
      <c r="C5648" t="s">
        <v>40</v>
      </c>
      <c r="D5648">
        <v>5.0850350000000004</v>
      </c>
      <c r="E5648">
        <v>0.53766169999999902</v>
      </c>
      <c r="F5648" t="s">
        <v>41</v>
      </c>
      <c r="G5648">
        <v>-185.8459</v>
      </c>
      <c r="H5648" s="1">
        <v>-2.994253E-6</v>
      </c>
      <c r="I5648">
        <v>104.8948</v>
      </c>
      <c r="J5648">
        <v>-188.7303</v>
      </c>
      <c r="K5648">
        <v>1.1207100000000001</v>
      </c>
      <c r="L5648">
        <v>80.109039999999993</v>
      </c>
      <c r="M5648">
        <v>2.4959909999999999E-3</v>
      </c>
      <c r="N5648">
        <v>-1.1409890000000001E-2</v>
      </c>
      <c r="O5648">
        <v>0.99993180000000004</v>
      </c>
      <c r="P5648">
        <v>2.2999039999999998E-2</v>
      </c>
      <c r="Q5648">
        <v>0.18628729999999999</v>
      </c>
      <c r="R5648">
        <v>0.98222609999999999</v>
      </c>
      <c r="S5648">
        <v>0.3531494</v>
      </c>
      <c r="T5648">
        <v>-0.1371685</v>
      </c>
      <c r="U5648">
        <v>3.0734560000000002</v>
      </c>
      <c r="V5648">
        <v>2.0611549999999999E-2</v>
      </c>
      <c r="W5648">
        <v>0.19747619999999999</v>
      </c>
      <c r="X5648">
        <v>0.98009100000000005</v>
      </c>
      <c r="Y5648">
        <v>0.1115746</v>
      </c>
      <c r="Z5648">
        <v>-3.2900970000000002E-2</v>
      </c>
      <c r="AA5648">
        <v>0.99321130000000002</v>
      </c>
      <c r="AB5648">
        <v>33</v>
      </c>
      <c r="AC5648">
        <v>2.8843999999999901</v>
      </c>
      <c r="AD5648">
        <v>-1.1207129942530001</v>
      </c>
      <c r="AE5648">
        <v>24.78576</v>
      </c>
      <c r="AF5648">
        <v>2.8168399114047702</v>
      </c>
      <c r="AG5648">
        <v>-1.1207129942530001</v>
      </c>
      <c r="AH5648">
        <v>24.7429719336048</v>
      </c>
      <c r="AI5648">
        <v>92.576771996374902</v>
      </c>
      <c r="AJ5648">
        <v>83.505179240246093</v>
      </c>
      <c r="AK5648">
        <v>24.928001219695201</v>
      </c>
      <c r="AL5648">
        <v>78.610587570857604</v>
      </c>
      <c r="AM5648">
        <v>88.795233534740902</v>
      </c>
      <c r="AN5648">
        <v>1.0000000269204199</v>
      </c>
    </row>
    <row r="5649" spans="1:40" x14ac:dyDescent="0.25">
      <c r="A5649" t="str">
        <f>"20190303162714366"</f>
        <v>20190303162714366</v>
      </c>
      <c r="B5649" t="str">
        <f>"1551601634359719"</f>
        <v>1551601634359719</v>
      </c>
      <c r="C5649" t="s">
        <v>40</v>
      </c>
      <c r="D5649">
        <v>5.0491659999999996</v>
      </c>
      <c r="E5649">
        <v>0.537498699999999</v>
      </c>
      <c r="F5649" t="s">
        <v>41</v>
      </c>
      <c r="G5649">
        <v>-186.01929999999999</v>
      </c>
      <c r="H5649" s="1">
        <v>-2.4201229999999999E-6</v>
      </c>
      <c r="I5649">
        <v>103.62820000000001</v>
      </c>
      <c r="J5649">
        <v>-188.72929999999999</v>
      </c>
      <c r="K5649">
        <v>1.120709</v>
      </c>
      <c r="L5649">
        <v>80.458039999999997</v>
      </c>
      <c r="M5649">
        <v>2.6346220000000001E-3</v>
      </c>
      <c r="N5649">
        <v>-1.1358750000000001E-2</v>
      </c>
      <c r="O5649">
        <v>0.99993200000000004</v>
      </c>
      <c r="P5649">
        <v>2.4142159999999999E-2</v>
      </c>
      <c r="Q5649">
        <v>0.18659729999999999</v>
      </c>
      <c r="R5649">
        <v>0.98213980000000001</v>
      </c>
      <c r="S5649">
        <v>0.35430909999999999</v>
      </c>
      <c r="T5649">
        <v>-0.14646799999999999</v>
      </c>
      <c r="U5649">
        <v>3.0737610000000002</v>
      </c>
      <c r="V5649">
        <v>2.1618990000000001E-2</v>
      </c>
      <c r="W5649">
        <v>0.1977352</v>
      </c>
      <c r="X5649">
        <v>0.98001709999999997</v>
      </c>
      <c r="Y5649">
        <v>0.1117817</v>
      </c>
      <c r="Z5649">
        <v>-3.5944200000000003E-2</v>
      </c>
      <c r="AA5649">
        <v>0.99308249999999998</v>
      </c>
      <c r="AB5649">
        <v>33</v>
      </c>
      <c r="AC5649">
        <v>2.71</v>
      </c>
      <c r="AD5649">
        <v>-1.120711420123</v>
      </c>
      <c r="AE5649">
        <v>23.170159999999999</v>
      </c>
      <c r="AF5649">
        <v>2.6428424597175599</v>
      </c>
      <c r="AG5649">
        <v>-1.120711420123</v>
      </c>
      <c r="AH5649">
        <v>23.123850883048899</v>
      </c>
      <c r="AI5649">
        <v>92.756784746808194</v>
      </c>
      <c r="AJ5649">
        <v>83.479912955522394</v>
      </c>
      <c r="AK5649">
        <v>23.3013538236636</v>
      </c>
      <c r="AL5649">
        <v>78.595449768268494</v>
      </c>
      <c r="AM5649">
        <v>88.736271014995793</v>
      </c>
      <c r="AN5649">
        <v>1.0000000531700299</v>
      </c>
    </row>
    <row r="5650" spans="1:40" x14ac:dyDescent="0.25">
      <c r="A5650" t="str">
        <f>"20190303162714388"</f>
        <v>20190303162714388</v>
      </c>
      <c r="B5650" t="str">
        <f>"1551601634380215"</f>
        <v>1551601634380215</v>
      </c>
      <c r="C5650" t="s">
        <v>40</v>
      </c>
      <c r="D5650">
        <v>5.056114</v>
      </c>
      <c r="E5650">
        <v>0.53734280000000001</v>
      </c>
      <c r="F5650" t="s">
        <v>41</v>
      </c>
      <c r="G5650">
        <v>-185.98429999999999</v>
      </c>
      <c r="H5650" s="1">
        <v>-2.635815E-6</v>
      </c>
      <c r="I5650">
        <v>104.1165</v>
      </c>
      <c r="J5650">
        <v>-188.72829999999999</v>
      </c>
      <c r="K5650">
        <v>1.1206969999999901</v>
      </c>
      <c r="L5650">
        <v>80.790279999999996</v>
      </c>
      <c r="M5650">
        <v>2.766499E-3</v>
      </c>
      <c r="N5650">
        <v>-1.13165E-2</v>
      </c>
      <c r="O5650">
        <v>0.99993209999999999</v>
      </c>
      <c r="P5650">
        <v>2.5639550000000001E-2</v>
      </c>
      <c r="Q5650">
        <v>0.1864807</v>
      </c>
      <c r="R5650">
        <v>0.982124</v>
      </c>
      <c r="S5650">
        <v>0.35659790000000002</v>
      </c>
      <c r="T5650">
        <v>-0.145591</v>
      </c>
      <c r="U5650">
        <v>3.0734560000000002</v>
      </c>
      <c r="V5650">
        <v>2.2986969999999999E-2</v>
      </c>
      <c r="W5650">
        <v>0.19757630000000001</v>
      </c>
      <c r="X5650">
        <v>0.98001799999999994</v>
      </c>
      <c r="Y5650">
        <v>0.1123928</v>
      </c>
      <c r="Z5650">
        <v>-3.5704819999999998E-2</v>
      </c>
      <c r="AA5650">
        <v>0.99302210000000002</v>
      </c>
      <c r="AB5650">
        <v>33</v>
      </c>
      <c r="AC5650">
        <v>2.7440000000000002</v>
      </c>
      <c r="AD5650">
        <v>-1.1206996358150001</v>
      </c>
      <c r="AE5650">
        <v>23.3262199999999</v>
      </c>
      <c r="AF5650">
        <v>2.6733667306387101</v>
      </c>
      <c r="AG5650">
        <v>-1.1206996358150001</v>
      </c>
      <c r="AH5650">
        <v>23.280717411249501</v>
      </c>
      <c r="AI5650">
        <v>92.738041761706498</v>
      </c>
      <c r="AJ5650">
        <v>83.4493150339284</v>
      </c>
      <c r="AK5650">
        <v>23.460491481055101</v>
      </c>
      <c r="AL5650">
        <v>78.604737117736605</v>
      </c>
      <c r="AM5650">
        <v>88.656335995471906</v>
      </c>
      <c r="AN5650">
        <v>1.0000000377177301</v>
      </c>
    </row>
    <row r="5651" spans="1:40" x14ac:dyDescent="0.25">
      <c r="A5651" t="str">
        <f>"20190303162714410"</f>
        <v>20190303162714410</v>
      </c>
      <c r="B5651" t="str">
        <f>"1551601634399735"</f>
        <v>1551601634399735</v>
      </c>
      <c r="C5651" t="s">
        <v>40</v>
      </c>
      <c r="D5651">
        <v>5.1046579999999997</v>
      </c>
      <c r="E5651">
        <v>0.53731719999999905</v>
      </c>
      <c r="F5651" t="s">
        <v>41</v>
      </c>
      <c r="G5651">
        <v>-185.9547</v>
      </c>
      <c r="H5651" s="1">
        <v>-2.8091450000000001E-6</v>
      </c>
      <c r="I5651">
        <v>104.50830000000001</v>
      </c>
      <c r="J5651">
        <v>-188.72720000000001</v>
      </c>
      <c r="K5651">
        <v>1.1206879999999999</v>
      </c>
      <c r="L5651">
        <v>81.104339999999993</v>
      </c>
      <c r="M5651">
        <v>2.8912310000000002E-3</v>
      </c>
      <c r="N5651">
        <v>-1.128181E-2</v>
      </c>
      <c r="O5651">
        <v>0.99993220000000005</v>
      </c>
      <c r="P5651">
        <v>2.772179E-2</v>
      </c>
      <c r="Q5651">
        <v>0.18611340000000001</v>
      </c>
      <c r="R5651">
        <v>0.98213709999999999</v>
      </c>
      <c r="S5651">
        <v>0.35932920000000002</v>
      </c>
      <c r="T5651">
        <v>-0.14519360000000001</v>
      </c>
      <c r="U5651">
        <v>3.0728149999999999</v>
      </c>
      <c r="V5651">
        <v>2.4946599999999999E-2</v>
      </c>
      <c r="W5651">
        <v>0.19717470000000001</v>
      </c>
      <c r="X5651">
        <v>0.98005089999999995</v>
      </c>
      <c r="Y5651">
        <v>0.1131636</v>
      </c>
      <c r="Z5651">
        <v>-3.5616670000000003E-2</v>
      </c>
      <c r="AA5651">
        <v>0.99293779999999998</v>
      </c>
      <c r="AB5651">
        <v>33</v>
      </c>
      <c r="AC5651">
        <v>2.7725</v>
      </c>
      <c r="AD5651">
        <v>-1.1206908091450001</v>
      </c>
      <c r="AE5651">
        <v>23.403960000000001</v>
      </c>
      <c r="AF5651">
        <v>2.6987154917382399</v>
      </c>
      <c r="AG5651">
        <v>-1.1206908091450001</v>
      </c>
      <c r="AH5651">
        <v>23.359058908978302</v>
      </c>
      <c r="AI5651">
        <v>92.728634554501397</v>
      </c>
      <c r="AJ5651">
        <v>83.409729911044394</v>
      </c>
      <c r="AK5651">
        <v>23.541126700057699</v>
      </c>
      <c r="AL5651">
        <v>78.628208183709802</v>
      </c>
      <c r="AM5651">
        <v>88.541885618353803</v>
      </c>
      <c r="AN5651">
        <v>0.99999998088122899</v>
      </c>
    </row>
    <row r="5652" spans="1:40" x14ac:dyDescent="0.25">
      <c r="A5652" t="str">
        <f>"20190303162714432"</f>
        <v>20190303162714432</v>
      </c>
      <c r="B5652" t="str">
        <f>"1551601634420232"</f>
        <v>1551601634420232</v>
      </c>
      <c r="C5652" t="s">
        <v>40</v>
      </c>
      <c r="D5652">
        <v>5.0953350000000004</v>
      </c>
      <c r="E5652">
        <v>0.53721859999999999</v>
      </c>
      <c r="F5652" t="s">
        <v>41</v>
      </c>
      <c r="G5652">
        <v>-185.93049999999999</v>
      </c>
      <c r="H5652" s="1">
        <v>-2.8787180000000001E-6</v>
      </c>
      <c r="I5652">
        <v>104.6604</v>
      </c>
      <c r="J5652">
        <v>-188.7261</v>
      </c>
      <c r="K5652">
        <v>1.120687</v>
      </c>
      <c r="L5652">
        <v>81.445369999999997</v>
      </c>
      <c r="M5652">
        <v>3.0266160000000002E-3</v>
      </c>
      <c r="N5652">
        <v>-1.124938E-2</v>
      </c>
      <c r="O5652">
        <v>0.99993220000000005</v>
      </c>
      <c r="P5652">
        <v>2.891432E-2</v>
      </c>
      <c r="Q5652">
        <v>0.1852983</v>
      </c>
      <c r="R5652">
        <v>0.98225680000000004</v>
      </c>
      <c r="S5652">
        <v>0.36473080000000002</v>
      </c>
      <c r="T5652">
        <v>-0.146149799999999</v>
      </c>
      <c r="U5652">
        <v>3.0719599999999998</v>
      </c>
      <c r="V5652">
        <v>2.6005589999999999E-2</v>
      </c>
      <c r="W5652">
        <v>0.1963289</v>
      </c>
      <c r="X5652">
        <v>0.98019319999999999</v>
      </c>
      <c r="Y5652">
        <v>0.1147808</v>
      </c>
      <c r="Z5652">
        <v>-3.596121E-2</v>
      </c>
      <c r="AA5652">
        <v>0.9927397</v>
      </c>
      <c r="AB5652">
        <v>33</v>
      </c>
      <c r="AC5652">
        <v>2.7955999999999999</v>
      </c>
      <c r="AD5652">
        <v>-1.120689878718</v>
      </c>
      <c r="AE5652">
        <v>23.215029999999999</v>
      </c>
      <c r="AF5652">
        <v>2.7190737885440401</v>
      </c>
      <c r="AG5652">
        <v>-1.120689878718</v>
      </c>
      <c r="AH5652">
        <v>23.1701612434561</v>
      </c>
      <c r="AI5652">
        <v>92.750269383467199</v>
      </c>
      <c r="AJ5652">
        <v>83.306816577233107</v>
      </c>
      <c r="AK5652">
        <v>23.356063026965</v>
      </c>
      <c r="AL5652">
        <v>78.677635519776999</v>
      </c>
      <c r="AM5652">
        <v>88.480237270653902</v>
      </c>
      <c r="AN5652">
        <v>1.00000001850634</v>
      </c>
    </row>
    <row r="5653" spans="1:40" x14ac:dyDescent="0.25">
      <c r="A5653" t="str">
        <f>"20190303162714453"</f>
        <v>20190303162714453</v>
      </c>
      <c r="B5653" t="str">
        <f>"1551601634439750"</f>
        <v>1551601634439750</v>
      </c>
      <c r="C5653" t="s">
        <v>40</v>
      </c>
      <c r="D5653">
        <v>5.0924129999999996</v>
      </c>
      <c r="E5653">
        <v>0.53694929999999996</v>
      </c>
      <c r="F5653" t="s">
        <v>41</v>
      </c>
      <c r="G5653">
        <v>-185.9692</v>
      </c>
      <c r="H5653" s="1">
        <v>-2.81099E-6</v>
      </c>
      <c r="I5653">
        <v>104.51860000000001</v>
      </c>
      <c r="J5653">
        <v>-188.7251</v>
      </c>
      <c r="K5653">
        <v>1.120681</v>
      </c>
      <c r="L5653">
        <v>81.756769999999904</v>
      </c>
      <c r="M5653">
        <v>3.1500679999999998E-3</v>
      </c>
      <c r="N5653">
        <v>-1.122385E-2</v>
      </c>
      <c r="O5653">
        <v>0.99993209999999999</v>
      </c>
      <c r="P5653">
        <v>2.953155E-2</v>
      </c>
      <c r="Q5653">
        <v>0.18459529999999999</v>
      </c>
      <c r="R5653">
        <v>0.98237090000000005</v>
      </c>
      <c r="S5653">
        <v>0.36700440000000001</v>
      </c>
      <c r="T5653">
        <v>-0.1491876</v>
      </c>
      <c r="U5653">
        <v>3.0715330000000001</v>
      </c>
      <c r="V5653">
        <v>2.650106E-2</v>
      </c>
      <c r="W5653">
        <v>0.1956019</v>
      </c>
      <c r="X5653">
        <v>0.98032529999999996</v>
      </c>
      <c r="Y5653">
        <v>0.1153938</v>
      </c>
      <c r="Z5653">
        <v>-3.6968870000000001E-2</v>
      </c>
      <c r="AA5653">
        <v>0.99263170000000001</v>
      </c>
      <c r="AB5653">
        <v>33</v>
      </c>
      <c r="AC5653">
        <v>2.7558999999999898</v>
      </c>
      <c r="AD5653">
        <v>-1.1206838109899999</v>
      </c>
      <c r="AE5653">
        <v>22.76183</v>
      </c>
      <c r="AF5653">
        <v>2.6777830480904399</v>
      </c>
      <c r="AG5653">
        <v>-1.1206838109899999</v>
      </c>
      <c r="AH5653">
        <v>22.7161281096888</v>
      </c>
      <c r="AI5653">
        <v>92.8049661199898</v>
      </c>
      <c r="AJ5653">
        <v>83.276984613387398</v>
      </c>
      <c r="AK5653">
        <v>22.900849996291601</v>
      </c>
      <c r="AL5653">
        <v>78.720113537409603</v>
      </c>
      <c r="AM5653">
        <v>88.451504636914507</v>
      </c>
      <c r="AN5653">
        <v>1.0000000516424099</v>
      </c>
    </row>
    <row r="5654" spans="1:40" x14ac:dyDescent="0.25">
      <c r="A5654" t="str">
        <f>"20190303162714475"</f>
        <v>20190303162714475</v>
      </c>
      <c r="B5654" t="str">
        <f>"1551601634460247"</f>
        <v>1551601634460247</v>
      </c>
      <c r="C5654" t="s">
        <v>40</v>
      </c>
      <c r="D5654">
        <v>5.0932329999999997</v>
      </c>
      <c r="E5654">
        <v>0.53646499999999997</v>
      </c>
      <c r="F5654" t="s">
        <v>41</v>
      </c>
      <c r="G5654">
        <v>-186.03790000000001</v>
      </c>
      <c r="H5654" s="1">
        <v>-2.7068489999999999E-6</v>
      </c>
      <c r="I5654">
        <v>104.30419999999999</v>
      </c>
      <c r="J5654">
        <v>-188.72389999999999</v>
      </c>
      <c r="K5654">
        <v>1.120671</v>
      </c>
      <c r="L5654">
        <v>82.085909999999998</v>
      </c>
      <c r="M5654">
        <v>3.2806070000000001E-3</v>
      </c>
      <c r="N5654">
        <v>-1.120342E-2</v>
      </c>
      <c r="O5654">
        <v>0.99993189999999998</v>
      </c>
      <c r="P5654">
        <v>2.978184E-2</v>
      </c>
      <c r="Q5654">
        <v>0.18337780000000001</v>
      </c>
      <c r="R5654">
        <v>0.98259129999999995</v>
      </c>
      <c r="S5654">
        <v>0.3660583</v>
      </c>
      <c r="T5654">
        <v>-0.15266540000000001</v>
      </c>
      <c r="U5654">
        <v>3.0715330000000001</v>
      </c>
      <c r="V5654">
        <v>2.6622070000000001E-2</v>
      </c>
      <c r="W5654">
        <v>0.19436719999999999</v>
      </c>
      <c r="X5654">
        <v>0.98056750000000004</v>
      </c>
      <c r="Y5654">
        <v>0.114957</v>
      </c>
      <c r="Z5654">
        <v>-3.8112470000000002E-2</v>
      </c>
      <c r="AA5654">
        <v>0.9926391</v>
      </c>
      <c r="AB5654">
        <v>33</v>
      </c>
      <c r="AC5654">
        <v>2.6859999999999702</v>
      </c>
      <c r="AD5654">
        <v>-1.120673706849</v>
      </c>
      <c r="AE5654">
        <v>22.21829</v>
      </c>
      <c r="AF5654">
        <v>2.60655563177705</v>
      </c>
      <c r="AG5654">
        <v>-1.120673706849</v>
      </c>
      <c r="AH5654">
        <v>22.171388570226799</v>
      </c>
      <c r="AI5654">
        <v>92.873848052540595</v>
      </c>
      <c r="AJ5654">
        <v>83.294860997752394</v>
      </c>
      <c r="AK5654">
        <v>22.352192575914199</v>
      </c>
      <c r="AL5654">
        <v>78.792240245879796</v>
      </c>
      <c r="AM5654">
        <v>88.444821348356498</v>
      </c>
      <c r="AN5654">
        <v>0.99999998255158695</v>
      </c>
    </row>
    <row r="5655" spans="1:40" x14ac:dyDescent="0.25">
      <c r="A5655" t="str">
        <f>"20190303162714521"</f>
        <v>20190303162714521</v>
      </c>
      <c r="B5655" t="str">
        <f>"1551601634510998"</f>
        <v>1551601634510998</v>
      </c>
      <c r="C5655" t="s">
        <v>40</v>
      </c>
      <c r="D5655">
        <v>5.1073820000000003</v>
      </c>
      <c r="E5655">
        <v>0.535991</v>
      </c>
      <c r="F5655" t="s">
        <v>41</v>
      </c>
      <c r="G5655">
        <v>-186.1474</v>
      </c>
      <c r="H5655" s="1">
        <v>-2.5217229999999999E-6</v>
      </c>
      <c r="I5655">
        <v>103.91800000000001</v>
      </c>
      <c r="J5655">
        <v>-188.72130000000001</v>
      </c>
      <c r="K5655">
        <v>1.120657</v>
      </c>
      <c r="L5655">
        <v>82.770449999999997</v>
      </c>
      <c r="M5655">
        <v>3.552057E-3</v>
      </c>
      <c r="N5655">
        <v>-1.118648E-2</v>
      </c>
      <c r="O5655">
        <v>0.99993109999999996</v>
      </c>
      <c r="P5655">
        <v>3.032675E-2</v>
      </c>
      <c r="Q5655">
        <v>0.180502</v>
      </c>
      <c r="R5655">
        <v>0.98310699999999995</v>
      </c>
      <c r="S5655">
        <v>0.36248780000000003</v>
      </c>
      <c r="T5655">
        <v>-0.1576697</v>
      </c>
      <c r="U5655">
        <v>3.0715940000000002</v>
      </c>
      <c r="V5655">
        <v>2.6897649999999999E-2</v>
      </c>
      <c r="W5655">
        <v>0.19148029999999999</v>
      </c>
      <c r="X5655">
        <v>0.98112779999999999</v>
      </c>
      <c r="Y5655">
        <v>0.1135391</v>
      </c>
      <c r="Z5655">
        <v>-3.9748909999999998E-2</v>
      </c>
      <c r="AA5655">
        <v>0.99273809999999996</v>
      </c>
      <c r="AB5655">
        <v>33</v>
      </c>
      <c r="AC5655">
        <v>2.5739000000000001</v>
      </c>
      <c r="AD5655">
        <v>-1.120659521723</v>
      </c>
      <c r="AE5655">
        <v>21.147549999999899</v>
      </c>
      <c r="AF5655">
        <v>2.49186625694654</v>
      </c>
      <c r="AG5655">
        <v>-1.120659521723</v>
      </c>
      <c r="AH5655">
        <v>21.098176857547099</v>
      </c>
      <c r="AI5655">
        <v>93.019540723999398</v>
      </c>
      <c r="AJ5655">
        <v>83.264107690958696</v>
      </c>
      <c r="AK5655">
        <v>21.2743587898313</v>
      </c>
      <c r="AL5655">
        <v>78.960814285661897</v>
      </c>
      <c r="AM5655">
        <v>88.4296277165124</v>
      </c>
      <c r="AN5655">
        <v>0.99999997439822497</v>
      </c>
    </row>
    <row r="5656" spans="1:40" x14ac:dyDescent="0.25">
      <c r="A5656" t="str">
        <f>"20190303162714544"</f>
        <v>20190303162714544</v>
      </c>
      <c r="B5656" t="str">
        <f>"1551601634529542"</f>
        <v>1551601634529542</v>
      </c>
      <c r="C5656" t="s">
        <v>40</v>
      </c>
      <c r="D5656">
        <v>5.1426089999999904</v>
      </c>
      <c r="E5656">
        <v>0.53586979999999995</v>
      </c>
      <c r="F5656" t="s">
        <v>41</v>
      </c>
      <c r="G5656">
        <v>-186.30600000000001</v>
      </c>
      <c r="H5656" s="1">
        <v>-2.2470860000000001E-6</v>
      </c>
      <c r="I5656">
        <v>103.3434</v>
      </c>
      <c r="J5656">
        <v>-188.72</v>
      </c>
      <c r="K5656">
        <v>1.120668</v>
      </c>
      <c r="L5656">
        <v>83.092190000000002</v>
      </c>
      <c r="M5656">
        <v>3.6795679999999998E-3</v>
      </c>
      <c r="N5656">
        <v>-1.118971E-2</v>
      </c>
      <c r="O5656">
        <v>0.9999306</v>
      </c>
      <c r="P5656">
        <v>3.1490520000000001E-2</v>
      </c>
      <c r="Q5656">
        <v>0.18178559999999999</v>
      </c>
      <c r="R5656">
        <v>0.98283379999999998</v>
      </c>
      <c r="S5656">
        <v>0.36054989999999998</v>
      </c>
      <c r="T5656">
        <v>-0.16729249999999901</v>
      </c>
      <c r="U5656">
        <v>3.0711360000000001</v>
      </c>
      <c r="V5656">
        <v>2.793758E-2</v>
      </c>
      <c r="W5656">
        <v>0.19276399999999999</v>
      </c>
      <c r="X5656">
        <v>0.98084740000000004</v>
      </c>
      <c r="Y5656">
        <v>0.11279500000000001</v>
      </c>
      <c r="Z5656">
        <v>-4.2858559999999997E-2</v>
      </c>
      <c r="AA5656">
        <v>0.99269350000000001</v>
      </c>
      <c r="AB5656">
        <v>33</v>
      </c>
      <c r="AC5656">
        <v>2.4140000000000099</v>
      </c>
      <c r="AD5656">
        <v>-1.1206702470859999</v>
      </c>
      <c r="AE5656">
        <v>20.25121</v>
      </c>
      <c r="AF5656">
        <v>2.3324206845073499</v>
      </c>
      <c r="AG5656">
        <v>-1.1206702470859999</v>
      </c>
      <c r="AH5656">
        <v>20.198966392731901</v>
      </c>
      <c r="AI5656">
        <v>93.154684114255303</v>
      </c>
      <c r="AJ5656">
        <v>83.413098626795801</v>
      </c>
      <c r="AK5656">
        <v>20.364045064449598</v>
      </c>
      <c r="AL5656">
        <v>78.885868299182306</v>
      </c>
      <c r="AM5656">
        <v>88.368479381122398</v>
      </c>
      <c r="AN5656">
        <v>1.0000000450794999</v>
      </c>
    </row>
    <row r="5657" spans="1:40" x14ac:dyDescent="0.25">
      <c r="A5657" t="str">
        <f>"20190303162714566"</f>
        <v>20190303162714566</v>
      </c>
      <c r="B5657" t="str">
        <f>"1551601634559799"</f>
        <v>1551601634559799</v>
      </c>
      <c r="C5657" t="s">
        <v>40</v>
      </c>
      <c r="D5657">
        <v>5.1705540000000001</v>
      </c>
      <c r="E5657">
        <v>0.53543260000000004</v>
      </c>
      <c r="F5657" t="s">
        <v>41</v>
      </c>
      <c r="G5657">
        <v>-186.20660000000001</v>
      </c>
      <c r="H5657" s="1">
        <v>-2.6989090000000001E-6</v>
      </c>
      <c r="I5657">
        <v>104.35550000000001</v>
      </c>
      <c r="J5657">
        <v>-188.71860000000001</v>
      </c>
      <c r="K5657">
        <v>1.1206670000000001</v>
      </c>
      <c r="L5657">
        <v>83.4328</v>
      </c>
      <c r="M5657">
        <v>3.8145340000000001E-3</v>
      </c>
      <c r="N5657">
        <v>-1.119594E-2</v>
      </c>
      <c r="O5657">
        <v>0.99992999999999999</v>
      </c>
      <c r="P5657">
        <v>3.2411469999999998E-2</v>
      </c>
      <c r="Q5657">
        <v>0.18219489999999999</v>
      </c>
      <c r="R5657">
        <v>0.98272809999999999</v>
      </c>
      <c r="S5657">
        <v>0.36296079999999997</v>
      </c>
      <c r="T5657">
        <v>-0.16184009999999999</v>
      </c>
      <c r="U5657">
        <v>3.0707089999999999</v>
      </c>
      <c r="V5657">
        <v>2.8726479999999999E-2</v>
      </c>
      <c r="W5657">
        <v>0.19317799999999999</v>
      </c>
      <c r="X5657">
        <v>0.98074309999999998</v>
      </c>
      <c r="Y5657">
        <v>0.11345520000000001</v>
      </c>
      <c r="Z5657">
        <v>-4.1098200000000001E-2</v>
      </c>
      <c r="AA5657">
        <v>0.99269269999999998</v>
      </c>
      <c r="AB5657">
        <v>33</v>
      </c>
      <c r="AC5657">
        <v>2.512</v>
      </c>
      <c r="AD5657">
        <v>-1.1206696989089999</v>
      </c>
      <c r="AE5657">
        <v>20.922699999999999</v>
      </c>
      <c r="AF5657">
        <v>2.4253072032671699</v>
      </c>
      <c r="AG5657">
        <v>-1.1206696989089999</v>
      </c>
      <c r="AH5657">
        <v>20.873097967074301</v>
      </c>
      <c r="AI5657">
        <v>93.052741778994104</v>
      </c>
      <c r="AJ5657">
        <v>83.372352891199199</v>
      </c>
      <c r="AK5657">
        <v>21.043389326516699</v>
      </c>
      <c r="AL5657">
        <v>78.8616928387857</v>
      </c>
      <c r="AM5657">
        <v>88.322256243220806</v>
      </c>
      <c r="AN5657">
        <v>0.99999998926739997</v>
      </c>
    </row>
    <row r="5658" spans="1:40" x14ac:dyDescent="0.25">
      <c r="A5658" t="str">
        <f>"20190303162714589"</f>
        <v>20190303162714589</v>
      </c>
      <c r="B5658" t="str">
        <f>"1551601634580294"</f>
        <v>1551601634580294</v>
      </c>
      <c r="C5658" t="s">
        <v>40</v>
      </c>
      <c r="D5658">
        <v>5.1858630000000003</v>
      </c>
      <c r="E5658">
        <v>0.53541300000000003</v>
      </c>
      <c r="F5658" t="s">
        <v>41</v>
      </c>
      <c r="G5658">
        <v>-186.15270000000001</v>
      </c>
      <c r="H5658" s="1">
        <v>-3.0547409999999998E-6</v>
      </c>
      <c r="I5658">
        <v>105.1627</v>
      </c>
      <c r="J5658">
        <v>-188.71719999999999</v>
      </c>
      <c r="K5658">
        <v>1.120671</v>
      </c>
      <c r="L5658">
        <v>83.770809999999997</v>
      </c>
      <c r="M5658">
        <v>3.9486759999999999E-3</v>
      </c>
      <c r="N5658">
        <v>-1.1204550000000001E-2</v>
      </c>
      <c r="O5658">
        <v>0.99992939999999997</v>
      </c>
      <c r="P5658">
        <v>3.2553110000000003E-2</v>
      </c>
      <c r="Q5658">
        <v>0.18168870000000001</v>
      </c>
      <c r="R5658">
        <v>0.98281719999999895</v>
      </c>
      <c r="S5658">
        <v>0.36251830000000002</v>
      </c>
      <c r="T5658">
        <v>-0.15833520000000001</v>
      </c>
      <c r="U5658">
        <v>3.0701290000000001</v>
      </c>
      <c r="V5658">
        <v>2.8735759999999999E-2</v>
      </c>
      <c r="W5658">
        <v>0.19268109999999999</v>
      </c>
      <c r="X5658">
        <v>0.98084059999999995</v>
      </c>
      <c r="Y5658">
        <v>0.1132088</v>
      </c>
      <c r="Z5658">
        <v>-3.9970609999999997E-2</v>
      </c>
      <c r="AA5658">
        <v>0.99276690000000001</v>
      </c>
      <c r="AB5658">
        <v>33</v>
      </c>
      <c r="AC5658">
        <v>2.5644999999999798</v>
      </c>
      <c r="AD5658">
        <v>-1.1206740547409999</v>
      </c>
      <c r="AE5658">
        <v>21.39189</v>
      </c>
      <c r="AF5658">
        <v>2.4733132660121102</v>
      </c>
      <c r="AG5658">
        <v>-1.1206740547409999</v>
      </c>
      <c r="AH5658">
        <v>21.344101671189801</v>
      </c>
      <c r="AI5658">
        <v>92.985618709702194</v>
      </c>
      <c r="AJ5658">
        <v>83.390155626174305</v>
      </c>
      <c r="AK5658">
        <v>21.516130344438999</v>
      </c>
      <c r="AL5658">
        <v>78.890708541128603</v>
      </c>
      <c r="AM5658">
        <v>88.321881297015295</v>
      </c>
      <c r="AN5658">
        <v>1.00000001640417</v>
      </c>
    </row>
    <row r="5659" spans="1:40" x14ac:dyDescent="0.25">
      <c r="A5659" t="str">
        <f>"20190303162714612"</f>
        <v>20190303162714612</v>
      </c>
      <c r="B5659" t="str">
        <f>"1551601634599815"</f>
        <v>1551601634599815</v>
      </c>
      <c r="C5659" t="s">
        <v>40</v>
      </c>
      <c r="D5659">
        <v>5.15876</v>
      </c>
      <c r="E5659">
        <v>0.53561259999999999</v>
      </c>
      <c r="F5659" t="s">
        <v>41</v>
      </c>
      <c r="G5659">
        <v>-186.1687</v>
      </c>
      <c r="H5659" s="1">
        <v>-3.140621E-6</v>
      </c>
      <c r="I5659">
        <v>105.3694</v>
      </c>
      <c r="J5659">
        <v>-188.71559999999999</v>
      </c>
      <c r="K5659">
        <v>1.120676</v>
      </c>
      <c r="L5659">
        <v>84.118589999999998</v>
      </c>
      <c r="M5659">
        <v>4.0866359999999899E-3</v>
      </c>
      <c r="N5659">
        <v>-1.122128E-2</v>
      </c>
      <c r="O5659">
        <v>0.9999287</v>
      </c>
      <c r="P5659">
        <v>3.3435979999999997E-2</v>
      </c>
      <c r="Q5659">
        <v>0.1815011</v>
      </c>
      <c r="R5659">
        <v>0.98282219999999998</v>
      </c>
      <c r="S5659">
        <v>0.36222840000000001</v>
      </c>
      <c r="T5659">
        <v>-0.15928519999999999</v>
      </c>
      <c r="U5659">
        <v>3.0698850000000002</v>
      </c>
      <c r="V5659">
        <v>2.9482990000000001E-2</v>
      </c>
      <c r="W5659">
        <v>0.19250990000000001</v>
      </c>
      <c r="X5659">
        <v>0.98085199999999995</v>
      </c>
      <c r="Y5659">
        <v>0.1129868</v>
      </c>
      <c r="Z5659">
        <v>-4.0265229999999999E-2</v>
      </c>
      <c r="AA5659">
        <v>0.99278029999999995</v>
      </c>
      <c r="AB5659">
        <v>33</v>
      </c>
      <c r="AC5659">
        <v>2.5468999999999902</v>
      </c>
      <c r="AD5659">
        <v>-1.1206791406209999</v>
      </c>
      <c r="AE5659">
        <v>21.250810000000001</v>
      </c>
      <c r="AF5659">
        <v>2.4533027502954199</v>
      </c>
      <c r="AG5659">
        <v>-1.1206791406209999</v>
      </c>
      <c r="AH5659">
        <v>21.202909701433299</v>
      </c>
      <c r="AI5659">
        <v>93.005536481646899</v>
      </c>
      <c r="AJ5659">
        <v>83.399886949423902</v>
      </c>
      <c r="AK5659">
        <v>21.373768875141401</v>
      </c>
      <c r="AL5659">
        <v>78.900704282850796</v>
      </c>
      <c r="AM5659">
        <v>88.278290287729504</v>
      </c>
      <c r="AN5659">
        <v>0.99999997710067401</v>
      </c>
    </row>
    <row r="5660" spans="1:40" x14ac:dyDescent="0.25">
      <c r="A5660" t="str">
        <f>"20190303162714656"</f>
        <v>20190303162714656</v>
      </c>
      <c r="B5660" t="str">
        <f>"1551601634649591"</f>
        <v>1551601634649591</v>
      </c>
      <c r="C5660" t="s">
        <v>40</v>
      </c>
      <c r="D5660">
        <v>5.1381370000000004</v>
      </c>
      <c r="E5660">
        <v>0.54634519999999998</v>
      </c>
      <c r="F5660" t="s">
        <v>41</v>
      </c>
      <c r="G5660">
        <v>-186.1421</v>
      </c>
      <c r="H5660" s="1">
        <v>-3.2681149999999999E-6</v>
      </c>
      <c r="I5660">
        <v>105.6557</v>
      </c>
      <c r="J5660">
        <v>-188.71270000000001</v>
      </c>
      <c r="K5660">
        <v>1.120682</v>
      </c>
      <c r="L5660">
        <v>84.762450000000001</v>
      </c>
      <c r="M5660">
        <v>4.3419189999999996E-3</v>
      </c>
      <c r="N5660">
        <v>-1.127219E-2</v>
      </c>
      <c r="O5660">
        <v>0.99992700000000001</v>
      </c>
      <c r="P5660">
        <v>3.6981739999999999E-2</v>
      </c>
      <c r="Q5660">
        <v>0.18170040000000001</v>
      </c>
      <c r="R5660">
        <v>0.98265829999999998</v>
      </c>
      <c r="S5660">
        <v>0.36677549999999998</v>
      </c>
      <c r="T5660">
        <v>-0.159719</v>
      </c>
      <c r="U5660">
        <v>3.069458</v>
      </c>
      <c r="V5660">
        <v>3.277878E-2</v>
      </c>
      <c r="W5660">
        <v>0.1927565</v>
      </c>
      <c r="X5660">
        <v>0.98069899999999999</v>
      </c>
      <c r="Y5660">
        <v>0.1141983</v>
      </c>
      <c r="Z5660">
        <v>-4.0353409999999999E-2</v>
      </c>
      <c r="AA5660">
        <v>0.99263809999999997</v>
      </c>
      <c r="AB5660">
        <v>33</v>
      </c>
      <c r="AC5660">
        <v>2.57060000000001</v>
      </c>
      <c r="AD5660">
        <v>-1.1206852681149999</v>
      </c>
      <c r="AE5660">
        <v>20.893249999999899</v>
      </c>
      <c r="AF5660">
        <v>2.4728446643167001</v>
      </c>
      <c r="AG5660">
        <v>-1.1206852681149999</v>
      </c>
      <c r="AH5660">
        <v>20.845135805543102</v>
      </c>
      <c r="AI5660">
        <v>93.056010634543497</v>
      </c>
      <c r="AJ5660">
        <v>83.234657410468401</v>
      </c>
      <c r="AK5660">
        <v>21.0211936615299</v>
      </c>
      <c r="AL5660">
        <v>78.886305978139703</v>
      </c>
      <c r="AM5660">
        <v>88.085664563792093</v>
      </c>
      <c r="AN5660">
        <v>1.0000000226557599</v>
      </c>
    </row>
    <row r="5661" spans="1:40" x14ac:dyDescent="0.25">
      <c r="A5661" t="str">
        <f>"20190303162714677"</f>
        <v>20190303162714677</v>
      </c>
      <c r="B5661" t="str">
        <f>"1551601634670087"</f>
        <v>1551601634670087</v>
      </c>
      <c r="C5661" t="s">
        <v>40</v>
      </c>
      <c r="D5661">
        <v>5.152126</v>
      </c>
      <c r="E5661">
        <v>0.54618900000000004</v>
      </c>
      <c r="F5661" t="s">
        <v>41</v>
      </c>
      <c r="G5661">
        <v>-185.77459999999999</v>
      </c>
      <c r="H5661" s="1">
        <v>-2.738627E-6</v>
      </c>
      <c r="I5661">
        <v>104.2694</v>
      </c>
      <c r="J5661">
        <v>-188.71109999999999</v>
      </c>
      <c r="K5661">
        <v>1.1206750000000001</v>
      </c>
      <c r="L5661">
        <v>85.101929999999996</v>
      </c>
      <c r="M5661">
        <v>4.4763240000000003E-3</v>
      </c>
      <c r="N5661">
        <v>-1.130565E-2</v>
      </c>
      <c r="O5661">
        <v>0.99992610000000004</v>
      </c>
      <c r="P5661">
        <v>3.8682170000000002E-2</v>
      </c>
      <c r="Q5661">
        <v>0.18060899999999999</v>
      </c>
      <c r="R5661">
        <v>0.98279399999999995</v>
      </c>
      <c r="S5661">
        <v>0.46211239999999998</v>
      </c>
      <c r="T5661">
        <v>-0.17626620000000001</v>
      </c>
      <c r="U5661">
        <v>3.068146</v>
      </c>
      <c r="V5661">
        <v>3.434628E-2</v>
      </c>
      <c r="W5661">
        <v>0.19169890000000001</v>
      </c>
      <c r="X5661">
        <v>0.98085259999999996</v>
      </c>
      <c r="Y5661">
        <v>0.14429900000000001</v>
      </c>
      <c r="Z5661">
        <v>-4.5448889999999999E-2</v>
      </c>
      <c r="AA5661">
        <v>0.98848990000000003</v>
      </c>
      <c r="AB5661">
        <v>33</v>
      </c>
      <c r="AC5661">
        <v>2.9364999999999899</v>
      </c>
      <c r="AD5661">
        <v>-1.1206777386269999</v>
      </c>
      <c r="AE5661">
        <v>19.167469999999899</v>
      </c>
      <c r="AF5661">
        <v>2.8411755456217</v>
      </c>
      <c r="AG5661">
        <v>-1.1206777386269999</v>
      </c>
      <c r="AH5661">
        <v>19.116572693933101</v>
      </c>
      <c r="AI5661">
        <v>93.318661326222298</v>
      </c>
      <c r="AJ5661">
        <v>81.546371520807995</v>
      </c>
      <c r="AK5661">
        <v>19.3590172435825</v>
      </c>
      <c r="AL5661">
        <v>78.9480530794781</v>
      </c>
      <c r="AM5661">
        <v>87.994506871317896</v>
      </c>
      <c r="AN5661">
        <v>0.99999997906890403</v>
      </c>
    </row>
    <row r="5662" spans="1:40" x14ac:dyDescent="0.25">
      <c r="A5662" t="str">
        <f>"20190303162714700"</f>
        <v>20190303162714700</v>
      </c>
      <c r="B5662" t="str">
        <f>"1551601634689607"</f>
        <v>1551601634689607</v>
      </c>
      <c r="C5662" t="s">
        <v>40</v>
      </c>
      <c r="D5662">
        <v>5.1847519999999996</v>
      </c>
      <c r="E5662">
        <v>0.54596909999999998</v>
      </c>
      <c r="F5662" t="s">
        <v>41</v>
      </c>
      <c r="G5662">
        <v>-185.7842</v>
      </c>
      <c r="H5662" s="1">
        <v>-2.777314E-6</v>
      </c>
      <c r="I5662">
        <v>104.36360000000001</v>
      </c>
      <c r="J5662">
        <v>-188.70939999999999</v>
      </c>
      <c r="K5662">
        <v>1.120679</v>
      </c>
      <c r="L5662">
        <v>85.431370000000001</v>
      </c>
      <c r="M5662">
        <v>4.6071030000000004E-3</v>
      </c>
      <c r="N5662">
        <v>-1.1349919999999999E-2</v>
      </c>
      <c r="O5662">
        <v>0.99992499999999995</v>
      </c>
      <c r="P5662">
        <v>3.9949949999999998E-2</v>
      </c>
      <c r="Q5662">
        <v>0.17882779999999901</v>
      </c>
      <c r="R5662">
        <v>0.98306899999999997</v>
      </c>
      <c r="S5662">
        <v>0.4660339</v>
      </c>
      <c r="T5662">
        <v>-0.17844099999999999</v>
      </c>
      <c r="U5662">
        <v>3.0669559999999998</v>
      </c>
      <c r="V5662">
        <v>3.5483840000000003E-2</v>
      </c>
      <c r="W5662">
        <v>0.1899642</v>
      </c>
      <c r="X5662">
        <v>0.98114959999999996</v>
      </c>
      <c r="Y5662">
        <v>0.14545569999999999</v>
      </c>
      <c r="Z5662">
        <v>-4.6114540000000002E-2</v>
      </c>
      <c r="AA5662">
        <v>0.98828950000000004</v>
      </c>
      <c r="AB5662">
        <v>33</v>
      </c>
      <c r="AC5662">
        <v>2.9251999999999798</v>
      </c>
      <c r="AD5662">
        <v>-1.1206817773140001</v>
      </c>
      <c r="AE5662">
        <v>18.932230000000001</v>
      </c>
      <c r="AF5662">
        <v>2.8282615114365002</v>
      </c>
      <c r="AG5662">
        <v>-1.1206817773140001</v>
      </c>
      <c r="AH5662">
        <v>18.880891005148602</v>
      </c>
      <c r="AI5662">
        <v>93.359431405410405</v>
      </c>
      <c r="AJ5662">
        <v>81.480726528980099</v>
      </c>
      <c r="AK5662">
        <v>19.124409428041901</v>
      </c>
      <c r="AL5662">
        <v>79.049305249488796</v>
      </c>
      <c r="AM5662">
        <v>87.928767863582195</v>
      </c>
      <c r="AN5662">
        <v>1.0000000188814699</v>
      </c>
    </row>
    <row r="5663" spans="1:40" x14ac:dyDescent="0.25">
      <c r="A5663" t="str">
        <f>"20190303162714721"</f>
        <v>20190303162714721</v>
      </c>
      <c r="B5663" t="str">
        <f>"1551601634710103"</f>
        <v>1551601634710103</v>
      </c>
      <c r="C5663" t="s">
        <v>40</v>
      </c>
      <c r="D5663">
        <v>5.1973440000000002</v>
      </c>
      <c r="E5663">
        <v>0.54591020000000001</v>
      </c>
      <c r="F5663" t="s">
        <v>41</v>
      </c>
      <c r="G5663">
        <v>-185.84950000000001</v>
      </c>
      <c r="H5663" s="1">
        <v>-2.684251E-6</v>
      </c>
      <c r="I5663">
        <v>104.1737</v>
      </c>
      <c r="J5663">
        <v>-188.70779999999999</v>
      </c>
      <c r="K5663">
        <v>1.120682</v>
      </c>
      <c r="L5663">
        <v>85.755519999999905</v>
      </c>
      <c r="M5663">
        <v>4.737326E-3</v>
      </c>
      <c r="N5663">
        <v>-1.141266E-2</v>
      </c>
      <c r="O5663">
        <v>0.99992360000000002</v>
      </c>
      <c r="P5663">
        <v>4.0802619999999998E-2</v>
      </c>
      <c r="Q5663">
        <v>0.17824029999999999</v>
      </c>
      <c r="R5663">
        <v>0.98314060000000003</v>
      </c>
      <c r="S5663">
        <v>0.46784969999999998</v>
      </c>
      <c r="T5663">
        <v>-0.18332979999999999</v>
      </c>
      <c r="U5663">
        <v>3.0660099999999999</v>
      </c>
      <c r="V5663">
        <v>3.6208499999999998E-2</v>
      </c>
      <c r="W5663">
        <v>0.18943889999999999</v>
      </c>
      <c r="X5663">
        <v>0.98122469999999995</v>
      </c>
      <c r="Y5663">
        <v>0.14593159999999999</v>
      </c>
      <c r="Z5663">
        <v>-4.7634549999999998E-2</v>
      </c>
      <c r="AA5663">
        <v>0.9881472</v>
      </c>
      <c r="AB5663">
        <v>33</v>
      </c>
      <c r="AC5663">
        <v>2.8582999999999799</v>
      </c>
      <c r="AD5663">
        <v>-1.1206846842510001</v>
      </c>
      <c r="AE5663">
        <v>18.41818</v>
      </c>
      <c r="AF5663">
        <v>2.7610275145175698</v>
      </c>
      <c r="AG5663">
        <v>-1.1206846842510001</v>
      </c>
      <c r="AH5663">
        <v>18.365120427499701</v>
      </c>
      <c r="AI5663">
        <v>93.453286177180203</v>
      </c>
      <c r="AJ5663">
        <v>81.450136736665797</v>
      </c>
      <c r="AK5663">
        <v>18.605291059642301</v>
      </c>
      <c r="AL5663">
        <v>79.079959491551307</v>
      </c>
      <c r="AM5663">
        <v>87.886668224955102</v>
      </c>
      <c r="AN5663">
        <v>1.00000003209777</v>
      </c>
    </row>
    <row r="5664" spans="1:40" x14ac:dyDescent="0.25">
      <c r="A5664" t="str">
        <f>"20190303162714744"</f>
        <v>20190303162714744</v>
      </c>
      <c r="B5664" t="str">
        <f>"1551601634740358"</f>
        <v>1551601634740358</v>
      </c>
      <c r="C5664" t="s">
        <v>40</v>
      </c>
      <c r="D5664">
        <v>5.1975660000000001</v>
      </c>
      <c r="E5664">
        <v>0.54584500000000002</v>
      </c>
      <c r="F5664" t="s">
        <v>41</v>
      </c>
      <c r="G5664">
        <v>-185.84360000000001</v>
      </c>
      <c r="H5664" s="1">
        <v>-2.7991149999999998E-6</v>
      </c>
      <c r="I5664">
        <v>104.43899999999999</v>
      </c>
      <c r="J5664">
        <v>-188.70609999999999</v>
      </c>
      <c r="K5664">
        <v>1.1206989999999999</v>
      </c>
      <c r="L5664">
        <v>86.079830000000001</v>
      </c>
      <c r="M5664">
        <v>4.8674520000000004E-3</v>
      </c>
      <c r="N5664">
        <v>-1.151048E-2</v>
      </c>
      <c r="O5664">
        <v>0.99992190000000003</v>
      </c>
      <c r="P5664">
        <v>4.1988909999999997E-2</v>
      </c>
      <c r="Q5664">
        <v>0.1785013</v>
      </c>
      <c r="R5664">
        <v>0.98304340000000001</v>
      </c>
      <c r="S5664">
        <v>0.46990969999999999</v>
      </c>
      <c r="T5664">
        <v>-0.1838639</v>
      </c>
      <c r="U5664">
        <v>3.065277</v>
      </c>
      <c r="V5664">
        <v>3.726844E-2</v>
      </c>
      <c r="W5664">
        <v>0.1897943</v>
      </c>
      <c r="X5664">
        <v>0.98111630000000005</v>
      </c>
      <c r="Y5664">
        <v>0.14648529999999901</v>
      </c>
      <c r="Z5664">
        <v>-4.7716929999999998E-2</v>
      </c>
      <c r="AA5664">
        <v>0.98806130000000003</v>
      </c>
      <c r="AB5664">
        <v>33</v>
      </c>
      <c r="AC5664">
        <v>2.8624999999999798</v>
      </c>
      <c r="AD5664">
        <v>-1.1207017991149999</v>
      </c>
      <c r="AE5664">
        <v>18.359169999999899</v>
      </c>
      <c r="AF5664">
        <v>2.7630462881024598</v>
      </c>
      <c r="AG5664">
        <v>-1.1207017991149999</v>
      </c>
      <c r="AH5664">
        <v>18.3062912784244</v>
      </c>
      <c r="AI5664">
        <v>93.464107397740506</v>
      </c>
      <c r="AJ5664">
        <v>81.416891059287593</v>
      </c>
      <c r="AK5664">
        <v>18.547525378962401</v>
      </c>
      <c r="AL5664">
        <v>79.059220010075606</v>
      </c>
      <c r="AM5664">
        <v>87.824622649602304</v>
      </c>
      <c r="AN5664">
        <v>1.0000000035290999</v>
      </c>
    </row>
    <row r="5665" spans="1:40" x14ac:dyDescent="0.25">
      <c r="A5665" t="str">
        <f>"20190303162714766"</f>
        <v>20190303162714766</v>
      </c>
      <c r="B5665" t="str">
        <f>"1551601634759879"</f>
        <v>1551601634759879</v>
      </c>
      <c r="C5665" t="s">
        <v>40</v>
      </c>
      <c r="D5665">
        <v>5.2283650000000002</v>
      </c>
      <c r="E5665">
        <v>0.5458075</v>
      </c>
      <c r="F5665" t="s">
        <v>41</v>
      </c>
      <c r="G5665">
        <v>-185.77510000000001</v>
      </c>
      <c r="H5665" s="1">
        <v>-3.0901970000000002E-6</v>
      </c>
      <c r="I5665">
        <v>105.08920000000001</v>
      </c>
      <c r="J5665">
        <v>-188.70429999999999</v>
      </c>
      <c r="K5665">
        <v>1.120722</v>
      </c>
      <c r="L5665">
        <v>86.417109999999994</v>
      </c>
      <c r="M5665">
        <v>4.990352E-3</v>
      </c>
      <c r="N5665">
        <v>-1.167821E-2</v>
      </c>
      <c r="O5665">
        <v>0.99991940000000001</v>
      </c>
      <c r="P5665">
        <v>4.3024100000000003E-2</v>
      </c>
      <c r="Q5665">
        <v>0.17782729999999999</v>
      </c>
      <c r="R5665">
        <v>0.98312069999999996</v>
      </c>
      <c r="S5665">
        <v>0.47248839999999998</v>
      </c>
      <c r="T5665">
        <v>-0.1806606</v>
      </c>
      <c r="U5665">
        <v>3.064362</v>
      </c>
      <c r="V5665">
        <v>3.8183580000000002E-2</v>
      </c>
      <c r="W5665">
        <v>0.18928539999999999</v>
      </c>
      <c r="X5665">
        <v>0.98117940000000003</v>
      </c>
      <c r="Y5665">
        <v>0.14722829999999901</v>
      </c>
      <c r="Z5665">
        <v>-4.6531160000000002E-2</v>
      </c>
      <c r="AA5665">
        <v>0.98800739999999998</v>
      </c>
      <c r="AB5665">
        <v>33</v>
      </c>
      <c r="AC5665">
        <v>2.9291999999999798</v>
      </c>
      <c r="AD5665">
        <v>-1.1207250901970001</v>
      </c>
      <c r="AE5665">
        <v>18.672090000000001</v>
      </c>
      <c r="AF5665">
        <v>2.82604039974842</v>
      </c>
      <c r="AG5665">
        <v>-1.1207250901970001</v>
      </c>
      <c r="AH5665">
        <v>18.621004018840701</v>
      </c>
      <c r="AI5665">
        <v>93.405352012952093</v>
      </c>
      <c r="AJ5665">
        <v>81.370286972000997</v>
      </c>
      <c r="AK5665">
        <v>18.867546733438601</v>
      </c>
      <c r="AL5665">
        <v>79.088915892292306</v>
      </c>
      <c r="AM5665">
        <v>87.7714018836393</v>
      </c>
      <c r="AN5665">
        <v>0.99999998170956705</v>
      </c>
    </row>
    <row r="5666" spans="1:40" x14ac:dyDescent="0.25">
      <c r="A5666" t="str">
        <f>"20190303162714791"</f>
        <v>20190303162714791</v>
      </c>
      <c r="B5666" t="str">
        <f>"1551601634780375"</f>
        <v>1551601634780375</v>
      </c>
      <c r="C5666" t="s">
        <v>40</v>
      </c>
      <c r="D5666">
        <v>5.2727599999999999</v>
      </c>
      <c r="E5666">
        <v>0.54581389999999996</v>
      </c>
      <c r="F5666" t="s">
        <v>41</v>
      </c>
      <c r="G5666">
        <v>-185.797</v>
      </c>
      <c r="H5666" s="1">
        <v>-3.122487E-6</v>
      </c>
      <c r="I5666">
        <v>105.1735</v>
      </c>
      <c r="J5666">
        <v>-188.70230000000001</v>
      </c>
      <c r="K5666">
        <v>1.1207689999999999</v>
      </c>
      <c r="L5666">
        <v>86.78058</v>
      </c>
      <c r="M5666">
        <v>5.1287579999999998E-3</v>
      </c>
      <c r="N5666">
        <v>-1.190514E-2</v>
      </c>
      <c r="O5666">
        <v>0.99991600000000003</v>
      </c>
      <c r="P5666">
        <v>4.474496E-2</v>
      </c>
      <c r="Q5666">
        <v>0.17668610000000001</v>
      </c>
      <c r="R5666">
        <v>0.9832497</v>
      </c>
      <c r="S5666">
        <v>0.47489930000000002</v>
      </c>
      <c r="T5666">
        <v>-0.1830697</v>
      </c>
      <c r="U5666">
        <v>3.0638429999999999</v>
      </c>
      <c r="V5666">
        <v>3.9765420000000003E-2</v>
      </c>
      <c r="W5666">
        <v>0.18836849999999999</v>
      </c>
      <c r="X5666">
        <v>0.98129299999999997</v>
      </c>
      <c r="Y5666">
        <v>0.14786959999999999</v>
      </c>
      <c r="Z5666">
        <v>-4.7081860000000003E-2</v>
      </c>
      <c r="AA5666">
        <v>0.98788560000000003</v>
      </c>
      <c r="AB5666">
        <v>33</v>
      </c>
      <c r="AC5666">
        <v>2.9053000000000102</v>
      </c>
      <c r="AD5666">
        <v>-1.120772122487</v>
      </c>
      <c r="AE5666">
        <v>18.39292</v>
      </c>
      <c r="AF5666">
        <v>2.80077594052127</v>
      </c>
      <c r="AG5666">
        <v>-1.120772122487</v>
      </c>
      <c r="AH5666">
        <v>18.341135572457301</v>
      </c>
      <c r="AI5666">
        <v>93.456852637031403</v>
      </c>
      <c r="AJ5666">
        <v>81.317742092570199</v>
      </c>
      <c r="AK5666">
        <v>18.587569236099899</v>
      </c>
      <c r="AL5666">
        <v>79.142412613339602</v>
      </c>
      <c r="AM5666">
        <v>87.679444561230198</v>
      </c>
      <c r="AN5666">
        <v>0.99999996613451203</v>
      </c>
    </row>
    <row r="5667" spans="1:40" x14ac:dyDescent="0.25">
      <c r="A5667" t="str">
        <f>"20190303162714813"</f>
        <v>20190303162714813</v>
      </c>
      <c r="B5667" t="str">
        <f>"1551601634799895"</f>
        <v>1551601634799895</v>
      </c>
      <c r="C5667" t="s">
        <v>40</v>
      </c>
      <c r="D5667">
        <v>5.3264969999999998</v>
      </c>
      <c r="E5667">
        <v>0.54453149999999995</v>
      </c>
      <c r="F5667" t="s">
        <v>41</v>
      </c>
      <c r="G5667">
        <v>-185.8175</v>
      </c>
      <c r="H5667" s="1">
        <v>-3.126712E-6</v>
      </c>
      <c r="I5667">
        <v>105.1918</v>
      </c>
      <c r="J5667">
        <v>-188.7004</v>
      </c>
      <c r="K5667">
        <v>1.1208180000000001</v>
      </c>
      <c r="L5667">
        <v>87.113529999999997</v>
      </c>
      <c r="M5667">
        <v>5.2622279999999999E-3</v>
      </c>
      <c r="N5667">
        <v>-1.214788E-2</v>
      </c>
      <c r="O5667">
        <v>0.99991240000000003</v>
      </c>
      <c r="P5667">
        <v>4.5962500000000003E-2</v>
      </c>
      <c r="Q5667">
        <v>0.1764115</v>
      </c>
      <c r="R5667">
        <v>0.98324279999999997</v>
      </c>
      <c r="S5667">
        <v>0.4799042</v>
      </c>
      <c r="T5667">
        <v>-0.18644459999999999</v>
      </c>
      <c r="U5667">
        <v>3.0627749999999998</v>
      </c>
      <c r="V5667">
        <v>4.084902E-2</v>
      </c>
      <c r="W5667">
        <v>0.18833250000000001</v>
      </c>
      <c r="X5667">
        <v>0.98125549999999995</v>
      </c>
      <c r="Y5667">
        <v>0.14935619999999999</v>
      </c>
      <c r="Z5667">
        <v>-4.7929819999999998E-2</v>
      </c>
      <c r="AA5667">
        <v>0.98762110000000003</v>
      </c>
      <c r="AB5667">
        <v>33</v>
      </c>
      <c r="AC5667">
        <v>2.8828999999999998</v>
      </c>
      <c r="AD5667">
        <v>-1.1208211267120001</v>
      </c>
      <c r="AE5667">
        <v>18.0782699999999</v>
      </c>
      <c r="AF5667">
        <v>2.77731044596747</v>
      </c>
      <c r="AG5667">
        <v>-1.1208211267120001</v>
      </c>
      <c r="AH5667">
        <v>18.025622927199901</v>
      </c>
      <c r="AI5667">
        <v>93.516641836199</v>
      </c>
      <c r="AJ5667">
        <v>81.2409903241374</v>
      </c>
      <c r="AK5667">
        <v>18.272733107692499</v>
      </c>
      <c r="AL5667">
        <v>79.144513934068797</v>
      </c>
      <c r="AM5667">
        <v>87.616190859043797</v>
      </c>
      <c r="AN5667">
        <v>1.0000000646357201</v>
      </c>
    </row>
    <row r="5668" spans="1:40" x14ac:dyDescent="0.25">
      <c r="A5668" t="str">
        <f>"20190303162714836"</f>
        <v>20190303162714836</v>
      </c>
      <c r="B5668" t="str">
        <f>"1551601634830150"</f>
        <v>1551601634830150</v>
      </c>
      <c r="C5668" t="s">
        <v>40</v>
      </c>
      <c r="D5668">
        <v>5.458596</v>
      </c>
      <c r="E5668">
        <v>0.49160179999999998</v>
      </c>
      <c r="F5668" t="s">
        <v>41</v>
      </c>
      <c r="G5668">
        <v>-185.92910000000001</v>
      </c>
      <c r="H5668" s="1">
        <v>-3.0436450000000001E-6</v>
      </c>
      <c r="I5668">
        <v>105.04430000000001</v>
      </c>
      <c r="J5668">
        <v>-188.69839999999999</v>
      </c>
      <c r="K5668">
        <v>1.1208720000000001</v>
      </c>
      <c r="L5668">
        <v>87.469939999999994</v>
      </c>
      <c r="M5668">
        <v>5.4077429999999996E-3</v>
      </c>
      <c r="N5668">
        <v>-1.241575E-2</v>
      </c>
      <c r="O5668">
        <v>0.99990829999999997</v>
      </c>
      <c r="P5668">
        <v>4.7157839999999999E-2</v>
      </c>
      <c r="Q5668">
        <v>0.17590549999999999</v>
      </c>
      <c r="R5668">
        <v>0.98327690000000001</v>
      </c>
      <c r="S5668">
        <v>0.47346500000000002</v>
      </c>
      <c r="T5668">
        <v>-0.19148470000000001</v>
      </c>
      <c r="U5668">
        <v>3.0633539999999999</v>
      </c>
      <c r="V5668">
        <v>4.1898879999999999E-2</v>
      </c>
      <c r="W5668">
        <v>0.1880898</v>
      </c>
      <c r="X5668">
        <v>0.98125770000000001</v>
      </c>
      <c r="Y5668">
        <v>0.1471441</v>
      </c>
      <c r="Z5668">
        <v>-4.9289390000000002E-2</v>
      </c>
      <c r="AA5668">
        <v>0.98788620000000005</v>
      </c>
      <c r="AB5668">
        <v>33</v>
      </c>
      <c r="AC5668">
        <v>2.7692999999999799</v>
      </c>
      <c r="AD5668">
        <v>-1.1208750436449999</v>
      </c>
      <c r="AE5668">
        <v>17.574359999999999</v>
      </c>
      <c r="AF5668">
        <v>2.66364201439464</v>
      </c>
      <c r="AG5668">
        <v>-1.1208750436449999</v>
      </c>
      <c r="AH5668">
        <v>17.5195411717038</v>
      </c>
      <c r="AI5668">
        <v>93.619233211319496</v>
      </c>
      <c r="AJ5668">
        <v>81.355050136466005</v>
      </c>
      <c r="AK5668">
        <v>17.756285436750002</v>
      </c>
      <c r="AL5668">
        <v>79.158671741995704</v>
      </c>
      <c r="AM5668">
        <v>87.555003515038607</v>
      </c>
      <c r="AN5668">
        <v>0.99999998140929203</v>
      </c>
    </row>
    <row r="5669" spans="1:40" x14ac:dyDescent="0.25">
      <c r="A5669" t="str">
        <f>"20190303162714855"</f>
        <v>20190303162714855</v>
      </c>
      <c r="B5669" t="str">
        <f>"1551601634849672"</f>
        <v>1551601634849672</v>
      </c>
      <c r="C5669" t="s">
        <v>40</v>
      </c>
      <c r="D5669">
        <v>5.4539359999999997</v>
      </c>
      <c r="E5669">
        <v>0.48967339999999998</v>
      </c>
      <c r="F5669" t="s">
        <v>47</v>
      </c>
      <c r="G5669">
        <v>-187.93729999999999</v>
      </c>
      <c r="H5669" s="1">
        <v>-3.9989479999999996E-6</v>
      </c>
      <c r="I5669">
        <v>127.3186</v>
      </c>
      <c r="J5669">
        <v>-188.6968</v>
      </c>
      <c r="K5669">
        <v>1.1209</v>
      </c>
      <c r="L5669">
        <v>87.746489999999994</v>
      </c>
      <c r="M5669">
        <v>5.5186310000000004E-3</v>
      </c>
      <c r="N5669">
        <v>-1.261374E-2</v>
      </c>
      <c r="O5669">
        <v>0.99990520000000005</v>
      </c>
      <c r="P5669">
        <v>4.7930029999999998E-2</v>
      </c>
      <c r="Q5669">
        <v>0.17591419999999999</v>
      </c>
      <c r="R5669">
        <v>0.98323799999999995</v>
      </c>
      <c r="S5669">
        <v>5.851746E-2</v>
      </c>
      <c r="T5669">
        <v>-8.6174849999999997E-2</v>
      </c>
      <c r="U5669">
        <v>3.0636290000000002</v>
      </c>
      <c r="V5669">
        <v>4.256182E-2</v>
      </c>
      <c r="W5669">
        <v>0.1882926</v>
      </c>
      <c r="X5669">
        <v>0.98119029999999996</v>
      </c>
      <c r="Y5669">
        <v>1.357308E-2</v>
      </c>
      <c r="Z5669">
        <v>-1.5502409999999999E-2</v>
      </c>
      <c r="AA5669">
        <v>0.99978769999999995</v>
      </c>
      <c r="AB5669">
        <v>33</v>
      </c>
      <c r="AC5669">
        <v>0.75950000000000195</v>
      </c>
      <c r="AD5669">
        <v>-1.1209039989480001</v>
      </c>
      <c r="AE5669">
        <v>39.572110000000002</v>
      </c>
      <c r="AF5669">
        <v>0.54065355306544505</v>
      </c>
      <c r="AG5669">
        <v>-1.1209039989480001</v>
      </c>
      <c r="AH5669">
        <v>39.543983008625602</v>
      </c>
      <c r="AI5669">
        <v>91.6235056301405</v>
      </c>
      <c r="AJ5669">
        <v>89.216689001727005</v>
      </c>
      <c r="AK5669">
        <v>39.563560560517899</v>
      </c>
      <c r="AL5669">
        <v>79.146841061774893</v>
      </c>
      <c r="AM5669">
        <v>87.516195525143999</v>
      </c>
      <c r="AN5669">
        <v>1.00000000827528</v>
      </c>
    </row>
    <row r="5670" spans="1:40" x14ac:dyDescent="0.25">
      <c r="A5670" t="str">
        <f>"20190303162714878"</f>
        <v>20190303162714878</v>
      </c>
      <c r="B5670" t="str">
        <f>"1551601634870168"</f>
        <v>1551601634870168</v>
      </c>
      <c r="C5670" t="s">
        <v>40</v>
      </c>
      <c r="D5670">
        <v>5.3871820000000001</v>
      </c>
      <c r="E5670">
        <v>0.48973060000000002</v>
      </c>
      <c r="F5670" t="s">
        <v>47</v>
      </c>
      <c r="G5670">
        <v>-188.10910000000001</v>
      </c>
      <c r="H5670" s="1">
        <v>-3.9472289999999901E-6</v>
      </c>
      <c r="I5670">
        <v>127.2197</v>
      </c>
      <c r="J5670">
        <v>-188.69470000000001</v>
      </c>
      <c r="K5670">
        <v>1.1209249999999999</v>
      </c>
      <c r="L5670">
        <v>88.09442</v>
      </c>
      <c r="M5670">
        <v>5.6543879999999998E-3</v>
      </c>
      <c r="N5670">
        <v>-1.284599E-2</v>
      </c>
      <c r="O5670">
        <v>0.9999015</v>
      </c>
      <c r="P5670">
        <v>4.932984E-2</v>
      </c>
      <c r="Q5670">
        <v>0.17574799999999999</v>
      </c>
      <c r="R5670">
        <v>0.98319849999999998</v>
      </c>
      <c r="S5670">
        <v>4.5623780000000003E-2</v>
      </c>
      <c r="T5670">
        <v>-8.702087E-2</v>
      </c>
      <c r="U5670">
        <v>3.0644840000000002</v>
      </c>
      <c r="V5670">
        <v>4.3828760000000001E-2</v>
      </c>
      <c r="W5670">
        <v>0.18835299999999999</v>
      </c>
      <c r="X5670">
        <v>0.98112290000000002</v>
      </c>
      <c r="Y5670">
        <v>9.2275610000000004E-3</v>
      </c>
      <c r="Z5670">
        <v>-1.553967E-2</v>
      </c>
      <c r="AA5670">
        <v>0.99983670000000002</v>
      </c>
      <c r="AB5670">
        <v>33</v>
      </c>
      <c r="AC5670">
        <v>0.58559999999999901</v>
      </c>
      <c r="AD5670">
        <v>-1.1209289472290001</v>
      </c>
      <c r="AE5670">
        <v>39.125279999999997</v>
      </c>
      <c r="AF5670">
        <v>0.36404412433356897</v>
      </c>
      <c r="AG5670">
        <v>-1.1209289472290001</v>
      </c>
      <c r="AH5670">
        <v>39.095882913917698</v>
      </c>
      <c r="AI5670">
        <v>91.642222184206503</v>
      </c>
      <c r="AJ5670">
        <v>89.466501648804098</v>
      </c>
      <c r="AK5670">
        <v>39.113643024499197</v>
      </c>
      <c r="AL5670">
        <v>79.143317024305901</v>
      </c>
      <c r="AM5670">
        <v>87.442181278353999</v>
      </c>
      <c r="AN5670">
        <v>0.99999997885827296</v>
      </c>
    </row>
    <row r="5671" spans="1:40" x14ac:dyDescent="0.25">
      <c r="A5671" t="str">
        <f>"20190303162714900"</f>
        <v>20190303162714900</v>
      </c>
      <c r="B5671" t="str">
        <f>"1551601634890663"</f>
        <v>1551601634890663</v>
      </c>
      <c r="C5671" t="s">
        <v>40</v>
      </c>
      <c r="D5671">
        <v>5.3925809999999998</v>
      </c>
      <c r="E5671">
        <v>0.48954399999999998</v>
      </c>
      <c r="F5671" t="s">
        <v>47</v>
      </c>
      <c r="G5671">
        <v>-188.07259999999999</v>
      </c>
      <c r="H5671" s="1">
        <v>-3.471588E-6</v>
      </c>
      <c r="I5671">
        <v>126.0878</v>
      </c>
      <c r="J5671">
        <v>-188.69280000000001</v>
      </c>
      <c r="K5671">
        <v>1.1209420000000001</v>
      </c>
      <c r="L5671">
        <v>88.412049999999994</v>
      </c>
      <c r="M5671">
        <v>5.7758530000000001E-3</v>
      </c>
      <c r="N5671">
        <v>-1.30396E-2</v>
      </c>
      <c r="O5671">
        <v>0.99989830000000002</v>
      </c>
      <c r="P5671">
        <v>5.0625530000000002E-2</v>
      </c>
      <c r="Q5671">
        <v>0.17572550000000001</v>
      </c>
      <c r="R5671">
        <v>0.98313660000000003</v>
      </c>
      <c r="S5671">
        <v>5.018616E-2</v>
      </c>
      <c r="T5671">
        <v>-9.0424779999999996E-2</v>
      </c>
      <c r="U5671">
        <v>3.0649109999999999</v>
      </c>
      <c r="V5671">
        <v>4.50061E-2</v>
      </c>
      <c r="W5671">
        <v>0.1885193</v>
      </c>
      <c r="X5671">
        <v>0.98103770000000001</v>
      </c>
      <c r="Y5671">
        <v>1.059124E-2</v>
      </c>
      <c r="Z5671">
        <v>-1.645104E-2</v>
      </c>
      <c r="AA5671">
        <v>0.99980849999999999</v>
      </c>
      <c r="AB5671">
        <v>33</v>
      </c>
      <c r="AC5671">
        <v>0.62020000000001096</v>
      </c>
      <c r="AD5671">
        <v>-1.1209454715880001</v>
      </c>
      <c r="AE5671">
        <v>37.675750000000001</v>
      </c>
      <c r="AF5671">
        <v>0.40220561801675397</v>
      </c>
      <c r="AG5671">
        <v>-1.1209454715880001</v>
      </c>
      <c r="AH5671">
        <v>37.645388977229899</v>
      </c>
      <c r="AI5671">
        <v>91.705462815250698</v>
      </c>
      <c r="AJ5671">
        <v>89.387871708827902</v>
      </c>
      <c r="AK5671">
        <v>37.664221741015503</v>
      </c>
      <c r="AL5671">
        <v>79.133615403497004</v>
      </c>
      <c r="AM5671">
        <v>87.373339638088495</v>
      </c>
      <c r="AN5671">
        <v>1.0000000221654901</v>
      </c>
    </row>
    <row r="5672" spans="1:40" x14ac:dyDescent="0.25">
      <c r="A5672" t="str">
        <f>"20190303162714922"</f>
        <v>20190303162714922</v>
      </c>
      <c r="B5672" t="str">
        <f>"1551601634910183"</f>
        <v>1551601634910183</v>
      </c>
      <c r="C5672" t="s">
        <v>40</v>
      </c>
      <c r="D5672">
        <v>5.4491449999999997</v>
      </c>
      <c r="E5672">
        <v>0.48928199999999999</v>
      </c>
      <c r="F5672" t="s">
        <v>47</v>
      </c>
      <c r="G5672">
        <v>-188.0514</v>
      </c>
      <c r="H5672" s="1">
        <v>-3.434534E-6</v>
      </c>
      <c r="I5672">
        <v>125.9971</v>
      </c>
      <c r="J5672">
        <v>-188.6908</v>
      </c>
      <c r="K5672">
        <v>1.1209579999999999</v>
      </c>
      <c r="L5672">
        <v>88.741819999999905</v>
      </c>
      <c r="M5672">
        <v>5.902193E-3</v>
      </c>
      <c r="N5672">
        <v>-1.322227E-2</v>
      </c>
      <c r="O5672">
        <v>0.99989519999999998</v>
      </c>
      <c r="P5672">
        <v>5.1342199999999998E-2</v>
      </c>
      <c r="Q5672">
        <v>0.17589769999999999</v>
      </c>
      <c r="R5672">
        <v>0.98306859999999996</v>
      </c>
      <c r="S5672">
        <v>5.230713E-2</v>
      </c>
      <c r="T5672">
        <v>-9.1413969999999997E-2</v>
      </c>
      <c r="U5672">
        <v>3.0650940000000002</v>
      </c>
      <c r="V5672">
        <v>4.5599479999999998E-2</v>
      </c>
      <c r="W5672">
        <v>0.18887000000000001</v>
      </c>
      <c r="X5672">
        <v>0.9809428</v>
      </c>
      <c r="Y5672">
        <v>1.115527E-2</v>
      </c>
      <c r="Z5672">
        <v>-1.6588740000000001E-2</v>
      </c>
      <c r="AA5672">
        <v>0.99980009999999997</v>
      </c>
      <c r="AB5672">
        <v>33</v>
      </c>
      <c r="AC5672">
        <v>0.63939999999999397</v>
      </c>
      <c r="AD5672">
        <v>-1.120961434534</v>
      </c>
      <c r="AE5672">
        <v>37.255279999999999</v>
      </c>
      <c r="AF5672">
        <v>0.41910247929021899</v>
      </c>
      <c r="AG5672">
        <v>-1.120961434534</v>
      </c>
      <c r="AH5672">
        <v>37.224714531306198</v>
      </c>
      <c r="AI5672">
        <v>91.724738260754705</v>
      </c>
      <c r="AJ5672">
        <v>89.354950359838199</v>
      </c>
      <c r="AK5672">
        <v>37.243946801636</v>
      </c>
      <c r="AL5672">
        <v>79.113153775399695</v>
      </c>
      <c r="AM5672">
        <v>87.338500980319793</v>
      </c>
      <c r="AN5672">
        <v>0.99999998317405503</v>
      </c>
    </row>
    <row r="5673" spans="1:40" x14ac:dyDescent="0.25">
      <c r="A5673" t="str">
        <f>"20190303162714945"</f>
        <v>20190303162714945</v>
      </c>
      <c r="B5673" t="str">
        <f>"1551601634940439"</f>
        <v>1551601634940439</v>
      </c>
      <c r="C5673" t="s">
        <v>40</v>
      </c>
      <c r="D5673">
        <v>5.3889310000000004</v>
      </c>
      <c r="E5673">
        <v>0.48867300000000002</v>
      </c>
      <c r="F5673" t="s">
        <v>47</v>
      </c>
      <c r="G5673">
        <v>-188.05359999999999</v>
      </c>
      <c r="H5673" s="1">
        <v>-3.4512289999999998E-6</v>
      </c>
      <c r="I5673">
        <v>126.03700000000001</v>
      </c>
      <c r="J5673">
        <v>-188.68860000000001</v>
      </c>
      <c r="K5673">
        <v>1.120973</v>
      </c>
      <c r="L5673">
        <v>89.075530000000001</v>
      </c>
      <c r="M5673">
        <v>6.0312380000000004E-3</v>
      </c>
      <c r="N5673">
        <v>-1.3385640000000001E-2</v>
      </c>
      <c r="O5673">
        <v>0.99989220000000001</v>
      </c>
      <c r="P5673">
        <v>5.1873580000000002E-2</v>
      </c>
      <c r="Q5673">
        <v>0.17669409999999999</v>
      </c>
      <c r="R5673">
        <v>0.98289789999999999</v>
      </c>
      <c r="S5673">
        <v>5.2368159999999997E-2</v>
      </c>
      <c r="T5673">
        <v>-9.2136029999999994E-2</v>
      </c>
      <c r="U5673">
        <v>3.0654300000000001</v>
      </c>
      <c r="V5673">
        <v>4.6005440000000002E-2</v>
      </c>
      <c r="W5673">
        <v>0.18982379999999999</v>
      </c>
      <c r="X5673">
        <v>0.98073969999999999</v>
      </c>
      <c r="Y5673">
        <v>1.1044180000000001E-2</v>
      </c>
      <c r="Z5673">
        <v>-1.6657390000000001E-2</v>
      </c>
      <c r="AA5673">
        <v>0.99980029999999998</v>
      </c>
      <c r="AB5673">
        <v>33</v>
      </c>
      <c r="AC5673">
        <v>0.63500000000001899</v>
      </c>
      <c r="AD5673">
        <v>-1.1209764512289999</v>
      </c>
      <c r="AE5673">
        <v>36.961469999999998</v>
      </c>
      <c r="AF5673">
        <v>0.41166650798800197</v>
      </c>
      <c r="AG5673">
        <v>-1.1209764512289999</v>
      </c>
      <c r="AH5673">
        <v>36.9306689082226</v>
      </c>
      <c r="AI5673">
        <v>91.738487851661702</v>
      </c>
      <c r="AJ5673">
        <v>89.361349866810798</v>
      </c>
      <c r="AK5673">
        <v>36.949971089660799</v>
      </c>
      <c r="AL5673">
        <v>79.057498088391498</v>
      </c>
      <c r="AM5673">
        <v>87.314285639199497</v>
      </c>
      <c r="AN5673">
        <v>0.999999967356061</v>
      </c>
    </row>
    <row r="5674" spans="1:40" x14ac:dyDescent="0.25">
      <c r="A5674" t="str">
        <f>"20190303162714966"</f>
        <v>20190303162714966</v>
      </c>
      <c r="B5674" t="str">
        <f>"1551601634960935"</f>
        <v>1551601634960935</v>
      </c>
      <c r="C5674" t="s">
        <v>40</v>
      </c>
      <c r="D5674">
        <v>5.3922840000000001</v>
      </c>
      <c r="E5674">
        <v>0.48850789999999999</v>
      </c>
      <c r="F5674" t="s">
        <v>47</v>
      </c>
      <c r="G5674">
        <v>-188.08369999999999</v>
      </c>
      <c r="H5674" s="1">
        <v>-3.8607780000000002E-6</v>
      </c>
      <c r="I5674">
        <v>127.01139999999999</v>
      </c>
      <c r="J5674">
        <v>-188.6866</v>
      </c>
      <c r="K5674">
        <v>1.120984</v>
      </c>
      <c r="L5674">
        <v>89.394619999999904</v>
      </c>
      <c r="M5674">
        <v>6.1558960000000001E-3</v>
      </c>
      <c r="N5674">
        <v>-1.352423E-2</v>
      </c>
      <c r="O5674">
        <v>0.99988960000000005</v>
      </c>
      <c r="P5674">
        <v>5.1919090000000001E-2</v>
      </c>
      <c r="Q5674">
        <v>0.17741489999999999</v>
      </c>
      <c r="R5674">
        <v>0.98276569999999996</v>
      </c>
      <c r="S5674">
        <v>4.8889160000000001E-2</v>
      </c>
      <c r="T5674">
        <v>-9.0594770000000005E-2</v>
      </c>
      <c r="U5674">
        <v>3.065887</v>
      </c>
      <c r="V5674">
        <v>4.592939E-2</v>
      </c>
      <c r="W5674">
        <v>0.1906795</v>
      </c>
      <c r="X5674">
        <v>0.98057729999999999</v>
      </c>
      <c r="Y5674">
        <v>9.7832700000000002E-3</v>
      </c>
      <c r="Z5674">
        <v>-1.6012599999999998E-2</v>
      </c>
      <c r="AA5674">
        <v>0.99982389999999999</v>
      </c>
      <c r="AB5674">
        <v>33</v>
      </c>
      <c r="AC5674">
        <v>0.60290000000000499</v>
      </c>
      <c r="AD5674">
        <v>-1.1209878607779999</v>
      </c>
      <c r="AE5674">
        <v>37.616779999999999</v>
      </c>
      <c r="AF5674">
        <v>0.37097305122061502</v>
      </c>
      <c r="AG5674">
        <v>-1.1209878607779999</v>
      </c>
      <c r="AH5674">
        <v>37.586408719174898</v>
      </c>
      <c r="AI5674">
        <v>91.708216267308103</v>
      </c>
      <c r="AJ5674">
        <v>89.434516339133793</v>
      </c>
      <c r="AK5674">
        <v>37.604951205840003</v>
      </c>
      <c r="AL5674">
        <v>79.007558432549203</v>
      </c>
      <c r="AM5674">
        <v>87.318275399470807</v>
      </c>
      <c r="AN5674">
        <v>1.0000000109306499</v>
      </c>
    </row>
    <row r="5675" spans="1:40" x14ac:dyDescent="0.25">
      <c r="A5675" t="str">
        <f>"20190303162714991"</f>
        <v>20190303162714991</v>
      </c>
      <c r="B5675" t="str">
        <f>"1551601634980454"</f>
        <v>1551601634980454</v>
      </c>
      <c r="C5675" t="s">
        <v>40</v>
      </c>
      <c r="D5675">
        <v>5.5101899999999997</v>
      </c>
      <c r="E5675">
        <v>0.48826120000000001</v>
      </c>
      <c r="F5675" t="s">
        <v>47</v>
      </c>
      <c r="G5675">
        <v>-188.09030000000001</v>
      </c>
      <c r="H5675" s="1">
        <v>-4.3179709999999998E-6</v>
      </c>
      <c r="I5675">
        <v>128.09540000000001</v>
      </c>
      <c r="J5675">
        <v>-188.68430000000001</v>
      </c>
      <c r="K5675">
        <v>1.120986</v>
      </c>
      <c r="L5675">
        <v>89.745760000000004</v>
      </c>
      <c r="M5675">
        <v>6.293852E-3</v>
      </c>
      <c r="N5675">
        <v>-1.3657900000000001E-2</v>
      </c>
      <c r="O5675">
        <v>0.99988690000000002</v>
      </c>
      <c r="P5675">
        <v>5.2444820000000003E-2</v>
      </c>
      <c r="Q5675">
        <v>0.1777677</v>
      </c>
      <c r="R5675">
        <v>0.98267400000000005</v>
      </c>
      <c r="S5675">
        <v>4.7241209999999999E-2</v>
      </c>
      <c r="T5675">
        <v>-8.881211E-2</v>
      </c>
      <c r="U5675">
        <v>3.0661320000000001</v>
      </c>
      <c r="V5675">
        <v>4.6320050000000001E-2</v>
      </c>
      <c r="W5675">
        <v>0.1911621</v>
      </c>
      <c r="X5675">
        <v>0.98046489999999997</v>
      </c>
      <c r="Y5675">
        <v>9.1071529999999998E-3</v>
      </c>
      <c r="Z5675">
        <v>-1.5295990000000001E-2</v>
      </c>
      <c r="AA5675">
        <v>0.99984150000000005</v>
      </c>
      <c r="AB5675">
        <v>33</v>
      </c>
      <c r="AC5675">
        <v>0.59399999999999398</v>
      </c>
      <c r="AD5675">
        <v>-1.1209903179709999</v>
      </c>
      <c r="AE5675">
        <v>38.349640000000001</v>
      </c>
      <c r="AF5675">
        <v>0.35229780987126003</v>
      </c>
      <c r="AG5675">
        <v>-1.1209903179709999</v>
      </c>
      <c r="AH5675">
        <v>38.319885026893999</v>
      </c>
      <c r="AI5675">
        <v>91.675552789283699</v>
      </c>
      <c r="AJ5675">
        <v>89.473260189780206</v>
      </c>
      <c r="AK5675">
        <v>38.337896675667999</v>
      </c>
      <c r="AL5675">
        <v>78.979388738618496</v>
      </c>
      <c r="AM5675">
        <v>87.295189690231794</v>
      </c>
      <c r="AN5675">
        <v>0.99999995782021001</v>
      </c>
    </row>
    <row r="5676" spans="1:40" x14ac:dyDescent="0.25">
      <c r="A5676" t="str">
        <f>"20190303162715034"</f>
        <v>20190303162715034</v>
      </c>
      <c r="B5676" t="str">
        <f>"1551601635020471"</f>
        <v>1551601635020471</v>
      </c>
      <c r="C5676" t="s">
        <v>40</v>
      </c>
      <c r="D5676">
        <v>5.4485070000000002</v>
      </c>
      <c r="E5676">
        <v>0.48786020000000002</v>
      </c>
      <c r="F5676" t="s">
        <v>47</v>
      </c>
      <c r="G5676">
        <v>-188.0883</v>
      </c>
      <c r="H5676" s="1">
        <v>-4.6949580000000001E-6</v>
      </c>
      <c r="I5676">
        <v>128.98820000000001</v>
      </c>
      <c r="J5676">
        <v>-188.68</v>
      </c>
      <c r="K5676">
        <v>1.1209910000000001</v>
      </c>
      <c r="L5676">
        <v>90.370509999999996</v>
      </c>
      <c r="M5676">
        <v>6.5392669999999996E-3</v>
      </c>
      <c r="N5676">
        <v>-1.385344E-2</v>
      </c>
      <c r="O5676">
        <v>0.99988259999999995</v>
      </c>
      <c r="P5676">
        <v>5.4886499999999998E-2</v>
      </c>
      <c r="Q5676">
        <v>0.1773634</v>
      </c>
      <c r="R5676">
        <v>0.98261370000000003</v>
      </c>
      <c r="S5676">
        <v>4.6569819999999998E-2</v>
      </c>
      <c r="T5676">
        <v>-8.7589860000000005E-2</v>
      </c>
      <c r="U5676">
        <v>3.0662539999999998</v>
      </c>
      <c r="V5676">
        <v>4.8520479999999998E-2</v>
      </c>
      <c r="W5676">
        <v>0.19094820000000001</v>
      </c>
      <c r="X5676">
        <v>0.98040020000000005</v>
      </c>
      <c r="Y5676">
        <v>8.6424599999999994E-3</v>
      </c>
      <c r="Z5676">
        <v>-1.470117E-2</v>
      </c>
      <c r="AA5676">
        <v>0.99985460000000004</v>
      </c>
      <c r="AB5676">
        <v>33</v>
      </c>
      <c r="AC5676">
        <v>0.591700000000002</v>
      </c>
      <c r="AD5676">
        <v>-1.120995694958</v>
      </c>
      <c r="AE5676">
        <v>38.617690000000003</v>
      </c>
      <c r="AF5676">
        <v>0.33884625695071502</v>
      </c>
      <c r="AG5676">
        <v>-1.120995694958</v>
      </c>
      <c r="AH5676">
        <v>38.588225958820203</v>
      </c>
      <c r="AI5676">
        <v>91.6639217788466</v>
      </c>
      <c r="AJ5676">
        <v>89.496894169954601</v>
      </c>
      <c r="AK5676">
        <v>38.605992161618197</v>
      </c>
      <c r="AL5676">
        <v>78.991874792788593</v>
      </c>
      <c r="AM5676">
        <v>87.166715851019404</v>
      </c>
      <c r="AN5676">
        <v>1.00000000211135</v>
      </c>
    </row>
    <row r="5677" spans="1:40" x14ac:dyDescent="0.25">
      <c r="A5677" t="str">
        <f>"20190303162715057"</f>
        <v>20190303162715057</v>
      </c>
      <c r="B5677" t="str">
        <f>"1551601635049752"</f>
        <v>1551601635049752</v>
      </c>
      <c r="C5677" t="s">
        <v>40</v>
      </c>
      <c r="D5677">
        <v>5.3272750000000002</v>
      </c>
      <c r="E5677">
        <v>0.48755520000000002</v>
      </c>
      <c r="F5677" t="s">
        <v>47</v>
      </c>
      <c r="G5677">
        <v>-188.03440000000001</v>
      </c>
      <c r="H5677" s="1">
        <v>-4.6676869999999996E-6</v>
      </c>
      <c r="I5677">
        <v>128.9162</v>
      </c>
      <c r="J5677">
        <v>-188.67750000000001</v>
      </c>
      <c r="K5677">
        <v>1.1209990000000001</v>
      </c>
      <c r="L5677">
        <v>90.720209999999994</v>
      </c>
      <c r="M5677">
        <v>6.6763259999999998E-3</v>
      </c>
      <c r="N5677">
        <v>-1.3942349999999999E-2</v>
      </c>
      <c r="O5677">
        <v>0.99988049999999995</v>
      </c>
      <c r="P5677">
        <v>5.6863730000000001E-2</v>
      </c>
      <c r="Q5677">
        <v>0.17672499999999999</v>
      </c>
      <c r="R5677">
        <v>0.9826163</v>
      </c>
      <c r="S5677">
        <v>5.1361080000000003E-2</v>
      </c>
      <c r="T5677">
        <v>-8.9175340000000006E-2</v>
      </c>
      <c r="U5677">
        <v>3.0663149999999999</v>
      </c>
      <c r="V5677">
        <v>5.0362629999999999E-2</v>
      </c>
      <c r="W5677">
        <v>0.19039629999999999</v>
      </c>
      <c r="X5677">
        <v>0.98041460000000002</v>
      </c>
      <c r="Y5677">
        <v>1.006641E-2</v>
      </c>
      <c r="Z5677">
        <v>-1.5127720000000001E-2</v>
      </c>
      <c r="AA5677">
        <v>0.99983489999999997</v>
      </c>
      <c r="AB5677">
        <v>33</v>
      </c>
      <c r="AC5677">
        <v>0.643100000000004</v>
      </c>
      <c r="AD5677">
        <v>-1.1210036676870001</v>
      </c>
      <c r="AE5677">
        <v>38.195990000000002</v>
      </c>
      <c r="AF5677">
        <v>0.38771812581603399</v>
      </c>
      <c r="AG5677">
        <v>-1.1210036676870001</v>
      </c>
      <c r="AH5677">
        <v>38.1665671562371</v>
      </c>
      <c r="AI5677">
        <v>91.682284071605693</v>
      </c>
      <c r="AJ5677">
        <v>89.4179762605376</v>
      </c>
      <c r="AK5677">
        <v>38.184994736933099</v>
      </c>
      <c r="AL5677">
        <v>79.024086919471301</v>
      </c>
      <c r="AM5677">
        <v>87.059374610595995</v>
      </c>
      <c r="AN5677">
        <v>0.99999996672368197</v>
      </c>
    </row>
    <row r="5678" spans="1:40" x14ac:dyDescent="0.25">
      <c r="A5678" t="str">
        <f>"20190303162715080"</f>
        <v>20190303162715080</v>
      </c>
      <c r="B5678" t="str">
        <f>"1551601635070248"</f>
        <v>1551601635070248</v>
      </c>
      <c r="C5678" t="s">
        <v>40</v>
      </c>
      <c r="D5678">
        <v>5.1937059999999997</v>
      </c>
      <c r="E5678">
        <v>0.48753459999999899</v>
      </c>
      <c r="F5678" t="s">
        <v>47</v>
      </c>
      <c r="G5678">
        <v>-187.9992</v>
      </c>
      <c r="H5678" s="1">
        <v>-4.4719950000000002E-6</v>
      </c>
      <c r="I5678">
        <v>128.4478</v>
      </c>
      <c r="J5678">
        <v>-188.67509999999999</v>
      </c>
      <c r="K5678">
        <v>1.1210039999999999</v>
      </c>
      <c r="L5678">
        <v>91.055480000000003</v>
      </c>
      <c r="M5678">
        <v>6.807708E-3</v>
      </c>
      <c r="N5678">
        <v>-1.4015680000000001E-2</v>
      </c>
      <c r="O5678">
        <v>0.99987859999999995</v>
      </c>
      <c r="P5678">
        <v>5.965463E-2</v>
      </c>
      <c r="Q5678">
        <v>0.176566</v>
      </c>
      <c r="R5678">
        <v>0.9824794</v>
      </c>
      <c r="S5678">
        <v>5.5129999999999998E-2</v>
      </c>
      <c r="T5678">
        <v>-9.1108919999999996E-2</v>
      </c>
      <c r="U5678">
        <v>3.066284</v>
      </c>
      <c r="V5678">
        <v>5.3025129999999997E-2</v>
      </c>
      <c r="W5678">
        <v>0.1903069</v>
      </c>
      <c r="X5678">
        <v>0.98029160000000004</v>
      </c>
      <c r="Y5678">
        <v>1.116319E-2</v>
      </c>
      <c r="Z5678">
        <v>-1.5684119999999999E-2</v>
      </c>
      <c r="AA5678">
        <v>0.99981469999999995</v>
      </c>
      <c r="AB5678">
        <v>33</v>
      </c>
      <c r="AC5678">
        <v>0.67589999999998396</v>
      </c>
      <c r="AD5678">
        <v>-1.121008471995</v>
      </c>
      <c r="AE5678">
        <v>37.392319999999998</v>
      </c>
      <c r="AF5678">
        <v>0.42092513711572499</v>
      </c>
      <c r="AG5678">
        <v>-1.121008471995</v>
      </c>
      <c r="AH5678">
        <v>37.362485477439897</v>
      </c>
      <c r="AI5678">
        <v>91.718454179569605</v>
      </c>
      <c r="AJ5678">
        <v>89.354534012437398</v>
      </c>
      <c r="AK5678">
        <v>37.381668756453998</v>
      </c>
      <c r="AL5678">
        <v>79.029304940449904</v>
      </c>
      <c r="AM5678">
        <v>86.903820946769997</v>
      </c>
      <c r="AN5678">
        <v>1.00000000081484</v>
      </c>
    </row>
    <row r="5679" spans="1:40" x14ac:dyDescent="0.25">
      <c r="A5679" t="str">
        <f>"20190303162715102"</f>
        <v>20190303162715102</v>
      </c>
      <c r="B5679" t="str">
        <f>"1551601635089766"</f>
        <v>1551601635089766</v>
      </c>
      <c r="C5679" t="s">
        <v>40</v>
      </c>
      <c r="D5679">
        <v>5.1211650000000004</v>
      </c>
      <c r="E5679">
        <v>0.51354</v>
      </c>
      <c r="F5679" t="s">
        <v>47</v>
      </c>
      <c r="G5679">
        <v>-187.89320000000001</v>
      </c>
      <c r="H5679" s="1">
        <v>-4.6982530000000002E-6</v>
      </c>
      <c r="I5679">
        <v>128.9692</v>
      </c>
      <c r="J5679">
        <v>-188.67269999999999</v>
      </c>
      <c r="K5679">
        <v>1.121005</v>
      </c>
      <c r="L5679">
        <v>91.386629999999997</v>
      </c>
      <c r="M5679">
        <v>6.937716E-3</v>
      </c>
      <c r="N5679">
        <v>-1.4077940000000001E-2</v>
      </c>
      <c r="O5679">
        <v>0.99987689999999996</v>
      </c>
      <c r="P5679">
        <v>6.2921539999999998E-2</v>
      </c>
      <c r="Q5679">
        <v>0.17650250000000001</v>
      </c>
      <c r="R5679">
        <v>0.98228700000000002</v>
      </c>
      <c r="S5679">
        <v>6.3232419999999998E-2</v>
      </c>
      <c r="T5679">
        <v>-9.0651990000000002E-2</v>
      </c>
      <c r="U5679">
        <v>3.0659480000000001</v>
      </c>
      <c r="V5679">
        <v>5.6165350000000003E-2</v>
      </c>
      <c r="W5679">
        <v>0.19030130000000001</v>
      </c>
      <c r="X5679">
        <v>0.98011780000000004</v>
      </c>
      <c r="Y5679">
        <v>1.3675619999999999E-2</v>
      </c>
      <c r="Z5679">
        <v>-1.547515E-2</v>
      </c>
      <c r="AA5679">
        <v>0.99978670000000003</v>
      </c>
      <c r="AB5679">
        <v>33</v>
      </c>
      <c r="AC5679">
        <v>0.77949999999998398</v>
      </c>
      <c r="AD5679">
        <v>-1.121009698253</v>
      </c>
      <c r="AE5679">
        <v>37.582569999999897</v>
      </c>
      <c r="AF5679">
        <v>0.51825731812046805</v>
      </c>
      <c r="AG5679">
        <v>-1.121009698253</v>
      </c>
      <c r="AH5679">
        <v>37.5536765268333</v>
      </c>
      <c r="AI5679">
        <v>91.709658095473699</v>
      </c>
      <c r="AJ5679">
        <v>89.209343134986497</v>
      </c>
      <c r="AK5679">
        <v>37.5739786830379</v>
      </c>
      <c r="AL5679">
        <v>79.029631944866495</v>
      </c>
      <c r="AM5679">
        <v>86.720269808151897</v>
      </c>
      <c r="AN5679">
        <v>1.0000000165995699</v>
      </c>
    </row>
    <row r="5680" spans="1:40" x14ac:dyDescent="0.25">
      <c r="A5680" t="str">
        <f>"20190303162715123"</f>
        <v>20190303162715123</v>
      </c>
      <c r="B5680" t="str">
        <f>"1551601635110263"</f>
        <v>1551601635110263</v>
      </c>
      <c r="C5680" t="s">
        <v>40</v>
      </c>
      <c r="D5680">
        <v>4.9822660000000001</v>
      </c>
      <c r="E5680">
        <v>0.53385919999999998</v>
      </c>
      <c r="F5680" t="s">
        <v>47</v>
      </c>
      <c r="G5680">
        <v>-185.98660000000001</v>
      </c>
      <c r="H5680" s="1">
        <v>-1.393058E-6</v>
      </c>
      <c r="I5680">
        <v>120.7586</v>
      </c>
      <c r="J5680">
        <v>-188.6705</v>
      </c>
      <c r="K5680">
        <v>1.121003</v>
      </c>
      <c r="L5680">
        <v>91.685730000000007</v>
      </c>
      <c r="M5680">
        <v>7.0550209999999999E-3</v>
      </c>
      <c r="N5680">
        <v>-1.4126039999999999E-2</v>
      </c>
      <c r="O5680">
        <v>0.99987530000000002</v>
      </c>
      <c r="P5680">
        <v>6.6422170000000003E-2</v>
      </c>
      <c r="Q5680">
        <v>0.17562069999999999</v>
      </c>
      <c r="R5680">
        <v>0.98221460000000005</v>
      </c>
      <c r="S5680">
        <v>0.27958680000000002</v>
      </c>
      <c r="T5680">
        <v>-0.1166792</v>
      </c>
      <c r="U5680">
        <v>3.057159</v>
      </c>
      <c r="V5680">
        <v>5.9550770000000003E-2</v>
      </c>
      <c r="W5680">
        <v>0.1894652</v>
      </c>
      <c r="X5680">
        <v>0.9800799</v>
      </c>
      <c r="Y5680">
        <v>8.3987580000000006E-2</v>
      </c>
      <c r="Z5680">
        <v>-2.387512E-2</v>
      </c>
      <c r="AA5680">
        <v>0.99618070000000003</v>
      </c>
      <c r="AB5680">
        <v>33</v>
      </c>
      <c r="AC5680">
        <v>2.6838999999999902</v>
      </c>
      <c r="AD5680">
        <v>-1.121004393058</v>
      </c>
      <c r="AE5680">
        <v>29.072869999999899</v>
      </c>
      <c r="AF5680">
        <v>2.47505431093724</v>
      </c>
      <c r="AG5680">
        <v>-1.121004393058</v>
      </c>
      <c r="AH5680">
        <v>29.0482605404666</v>
      </c>
      <c r="AI5680">
        <v>92.2020397033493</v>
      </c>
      <c r="AJ5680">
        <v>85.129881244372001</v>
      </c>
      <c r="AK5680">
        <v>29.175057585515901</v>
      </c>
      <c r="AL5680">
        <v>79.078424280167994</v>
      </c>
      <c r="AM5680">
        <v>86.522918064116695</v>
      </c>
      <c r="AN5680">
        <v>0.999999983301321</v>
      </c>
    </row>
    <row r="5681" spans="1:40" x14ac:dyDescent="0.25">
      <c r="A5681" t="str">
        <f>"20190303162715145"</f>
        <v>20190303162715145</v>
      </c>
      <c r="B5681" t="str">
        <f>"1551601635140050"</f>
        <v>1551601635140050</v>
      </c>
      <c r="C5681" t="s">
        <v>40</v>
      </c>
      <c r="D5681">
        <v>4.8064879999999999</v>
      </c>
      <c r="E5681">
        <v>0.54363719999999904</v>
      </c>
      <c r="F5681" t="s">
        <v>41</v>
      </c>
      <c r="G5681">
        <v>-184.95910000000001</v>
      </c>
      <c r="H5681" s="1">
        <v>-3.935529E-6</v>
      </c>
      <c r="I5681">
        <v>116.7222</v>
      </c>
      <c r="J5681">
        <v>-188.66800000000001</v>
      </c>
      <c r="K5681">
        <v>1.1210070000000001</v>
      </c>
      <c r="L5681">
        <v>92.014499999999998</v>
      </c>
      <c r="M5681">
        <v>7.1835960000000004E-3</v>
      </c>
      <c r="N5681">
        <v>-1.417144E-2</v>
      </c>
      <c r="O5681">
        <v>0.99987380000000003</v>
      </c>
      <c r="P5681">
        <v>7.025439E-2</v>
      </c>
      <c r="Q5681">
        <v>0.17557719999999999</v>
      </c>
      <c r="R5681">
        <v>0.98195569999999999</v>
      </c>
      <c r="S5681">
        <v>0.4518585</v>
      </c>
      <c r="T5681">
        <v>-0.13648080000000001</v>
      </c>
      <c r="U5681">
        <v>3.0481569999999998</v>
      </c>
      <c r="V5681">
        <v>6.3258190000000006E-2</v>
      </c>
      <c r="W5681">
        <v>0.18946180000000001</v>
      </c>
      <c r="X5681">
        <v>0.97984830000000001</v>
      </c>
      <c r="Y5681">
        <v>0.1394031</v>
      </c>
      <c r="Z5681">
        <v>-3.0114220000000001E-2</v>
      </c>
      <c r="AA5681">
        <v>0.98977769999999998</v>
      </c>
      <c r="AB5681">
        <v>33</v>
      </c>
      <c r="AC5681">
        <v>3.7088999999999999</v>
      </c>
      <c r="AD5681">
        <v>-1.1210109355290001</v>
      </c>
      <c r="AE5681">
        <v>24.707699999999999</v>
      </c>
      <c r="AF5681">
        <v>3.5242015566205902</v>
      </c>
      <c r="AG5681">
        <v>-1.1210109355290001</v>
      </c>
      <c r="AH5681">
        <v>24.6840154781606</v>
      </c>
      <c r="AI5681">
        <v>92.574201233781807</v>
      </c>
      <c r="AJ5681">
        <v>81.874643661015497</v>
      </c>
      <c r="AK5681">
        <v>24.959512860938101</v>
      </c>
      <c r="AL5681">
        <v>79.078623213653998</v>
      </c>
      <c r="AM5681">
        <v>86.306158349753105</v>
      </c>
      <c r="AN5681">
        <v>1.0000000316371001</v>
      </c>
    </row>
    <row r="5682" spans="1:40" x14ac:dyDescent="0.25">
      <c r="A5682" t="str">
        <f>"20190303162715167"</f>
        <v>20190303162715167</v>
      </c>
      <c r="B5682" t="str">
        <f>"1551601635159571"</f>
        <v>1551601635159571</v>
      </c>
      <c r="C5682" t="s">
        <v>40</v>
      </c>
      <c r="D5682">
        <v>4.7593819999999996</v>
      </c>
      <c r="E5682">
        <v>0.54579279999999997</v>
      </c>
      <c r="F5682" t="s">
        <v>41</v>
      </c>
      <c r="G5682">
        <v>-184.51740000000001</v>
      </c>
      <c r="H5682" s="1">
        <v>-3.4190900000000002E-6</v>
      </c>
      <c r="I5682">
        <v>115.33580000000001</v>
      </c>
      <c r="J5682">
        <v>-188.66560000000001</v>
      </c>
      <c r="K5682">
        <v>1.12101299999999</v>
      </c>
      <c r="L5682">
        <v>92.337980000000002</v>
      </c>
      <c r="M5682">
        <v>7.3097550000000002E-3</v>
      </c>
      <c r="N5682">
        <v>-1.420971E-2</v>
      </c>
      <c r="O5682">
        <v>0.99987230000000005</v>
      </c>
      <c r="P5682">
        <v>7.3841619999999997E-2</v>
      </c>
      <c r="Q5682">
        <v>0.17512520000000001</v>
      </c>
      <c r="R5682">
        <v>0.98177320000000001</v>
      </c>
      <c r="S5682">
        <v>0.54148859999999999</v>
      </c>
      <c r="T5682">
        <v>-0.14624760000000001</v>
      </c>
      <c r="U5682">
        <v>3.0425110000000002</v>
      </c>
      <c r="V5682">
        <v>6.6722310000000007E-2</v>
      </c>
      <c r="W5682">
        <v>0.1890442</v>
      </c>
      <c r="X5682">
        <v>0.97969910000000004</v>
      </c>
      <c r="Y5682">
        <v>0.1678499</v>
      </c>
      <c r="Z5682">
        <v>-3.3110220000000003E-2</v>
      </c>
      <c r="AA5682">
        <v>0.98525640000000003</v>
      </c>
      <c r="AB5682">
        <v>33</v>
      </c>
      <c r="AC5682">
        <v>4.1482000000000001</v>
      </c>
      <c r="AD5682">
        <v>-1.1210164190899901</v>
      </c>
      <c r="AE5682">
        <v>22.997820000000001</v>
      </c>
      <c r="AF5682">
        <v>3.9708262557527001</v>
      </c>
      <c r="AG5682">
        <v>-1.1210164190899901</v>
      </c>
      <c r="AH5682">
        <v>22.9746625678581</v>
      </c>
      <c r="AI5682">
        <v>92.752704065815095</v>
      </c>
      <c r="AJ5682">
        <v>80.194156844109997</v>
      </c>
      <c r="AK5682">
        <v>23.342220525738</v>
      </c>
      <c r="AL5682">
        <v>79.102989398197494</v>
      </c>
      <c r="AM5682">
        <v>86.103892930504898</v>
      </c>
      <c r="AN5682">
        <v>0.99999995137309095</v>
      </c>
    </row>
    <row r="5683" spans="1:40" x14ac:dyDescent="0.25">
      <c r="A5683" t="str">
        <f>"20190303162715191"</f>
        <v>20190303162715191</v>
      </c>
      <c r="B5683" t="str">
        <f>"1551601635180066"</f>
        <v>1551601635180066</v>
      </c>
      <c r="C5683" t="s">
        <v>40</v>
      </c>
      <c r="D5683">
        <v>4.7855549999999996</v>
      </c>
      <c r="E5683">
        <v>0.54703710000000005</v>
      </c>
      <c r="F5683" t="s">
        <v>41</v>
      </c>
      <c r="G5683">
        <v>-184.286</v>
      </c>
      <c r="H5683" s="1">
        <v>-3.6308859999999999E-6</v>
      </c>
      <c r="I5683">
        <v>115.7338</v>
      </c>
      <c r="J5683">
        <v>-188.66290000000001</v>
      </c>
      <c r="K5683">
        <v>1.1210199999999999</v>
      </c>
      <c r="L5683">
        <v>92.684839999999994</v>
      </c>
      <c r="M5683">
        <v>7.44479699999999E-3</v>
      </c>
      <c r="N5683">
        <v>-1.424455E-2</v>
      </c>
      <c r="O5683">
        <v>0.99987079999999995</v>
      </c>
      <c r="P5683">
        <v>7.7124709999999999E-2</v>
      </c>
      <c r="Q5683">
        <v>0.17500779999999999</v>
      </c>
      <c r="R5683">
        <v>0.98154169999999996</v>
      </c>
      <c r="S5683">
        <v>0.56886289999999995</v>
      </c>
      <c r="T5683">
        <v>-0.14560870000000001</v>
      </c>
      <c r="U5683">
        <v>3.0388790000000001</v>
      </c>
      <c r="V5683">
        <v>6.9873989999999997E-2</v>
      </c>
      <c r="W5683">
        <v>0.18895709999999999</v>
      </c>
      <c r="X5683">
        <v>0.97949620000000004</v>
      </c>
      <c r="Y5683">
        <v>0.17649970000000001</v>
      </c>
      <c r="Z5683">
        <v>-3.2851379999999999E-2</v>
      </c>
      <c r="AA5683">
        <v>0.98375230000000002</v>
      </c>
      <c r="AB5683">
        <v>33</v>
      </c>
      <c r="AC5683">
        <v>4.3769000000000302</v>
      </c>
      <c r="AD5683">
        <v>-1.121023630886</v>
      </c>
      <c r="AE5683">
        <v>23.048959999999902</v>
      </c>
      <c r="AF5683">
        <v>4.1955871178889304</v>
      </c>
      <c r="AG5683">
        <v>-1.121023630886</v>
      </c>
      <c r="AH5683">
        <v>23.028331531924302</v>
      </c>
      <c r="AI5683">
        <v>92.741904136822797</v>
      </c>
      <c r="AJ5683">
        <v>79.674399584047904</v>
      </c>
      <c r="AK5683">
        <v>23.4342420058559</v>
      </c>
      <c r="AL5683">
        <v>79.108071803268601</v>
      </c>
      <c r="AM5683">
        <v>85.919622507660804</v>
      </c>
      <c r="AN5683">
        <v>0.99999998296668502</v>
      </c>
    </row>
    <row r="5684" spans="1:40" x14ac:dyDescent="0.25">
      <c r="A5684" t="str">
        <f>"20190303162715214"</f>
        <v>20190303162715214</v>
      </c>
      <c r="B5684" t="str">
        <f>"1551601635210323"</f>
        <v>1551601635210323</v>
      </c>
      <c r="C5684" t="s">
        <v>40</v>
      </c>
      <c r="D5684">
        <v>4.676221</v>
      </c>
      <c r="E5684">
        <v>0.54794600000000004</v>
      </c>
      <c r="F5684" t="s">
        <v>41</v>
      </c>
      <c r="G5684">
        <v>-184.0471</v>
      </c>
      <c r="H5684" s="1">
        <v>-4.0066349999999998E-6</v>
      </c>
      <c r="I5684">
        <v>116.51090000000001</v>
      </c>
      <c r="J5684">
        <v>-188.66030000000001</v>
      </c>
      <c r="K5684">
        <v>1.1210150000000001</v>
      </c>
      <c r="L5684">
        <v>93.012569999999997</v>
      </c>
      <c r="M5684">
        <v>7.5719619999999998E-3</v>
      </c>
      <c r="N5684">
        <v>-1.4272440000000001E-2</v>
      </c>
      <c r="O5684">
        <v>0.99986949999999997</v>
      </c>
      <c r="P5684">
        <v>7.9753489999999996E-2</v>
      </c>
      <c r="Q5684">
        <v>0.17459649999999999</v>
      </c>
      <c r="R5684">
        <v>0.98140479999999997</v>
      </c>
      <c r="S5684">
        <v>0.58808899999999997</v>
      </c>
      <c r="T5684">
        <v>-0.1428294</v>
      </c>
      <c r="U5684">
        <v>3.0356749999999999</v>
      </c>
      <c r="V5684">
        <v>7.2378460000000006E-2</v>
      </c>
      <c r="W5684">
        <v>0.1885713</v>
      </c>
      <c r="X5684">
        <v>0.9793887</v>
      </c>
      <c r="Y5684">
        <v>0.18257499999999999</v>
      </c>
      <c r="Z5684">
        <v>-3.1921789999999998E-2</v>
      </c>
      <c r="AA5684">
        <v>0.98267360000000004</v>
      </c>
      <c r="AB5684">
        <v>33</v>
      </c>
      <c r="AC5684">
        <v>4.6132</v>
      </c>
      <c r="AD5684">
        <v>-1.1210190066350001</v>
      </c>
      <c r="AE5684">
        <v>23.498329999999999</v>
      </c>
      <c r="AF5684">
        <v>4.4254231266750299</v>
      </c>
      <c r="AG5684">
        <v>-1.1210190066350001</v>
      </c>
      <c r="AH5684">
        <v>23.481133441309499</v>
      </c>
      <c r="AI5684">
        <v>92.686080355234495</v>
      </c>
      <c r="AJ5684">
        <v>79.3268205225516</v>
      </c>
      <c r="AK5684">
        <v>23.920800177918998</v>
      </c>
      <c r="AL5684">
        <v>79.130581379447506</v>
      </c>
      <c r="AM5684">
        <v>85.773429476417903</v>
      </c>
      <c r="AN5684">
        <v>1.0000000011716701</v>
      </c>
    </row>
    <row r="5685" spans="1:40" x14ac:dyDescent="0.25">
      <c r="A5685" t="str">
        <f>"20190303162715235"</f>
        <v>20190303162715235</v>
      </c>
      <c r="B5685" t="str">
        <f>"1551601635230350"</f>
        <v>1551601635230350</v>
      </c>
      <c r="C5685" t="s">
        <v>40</v>
      </c>
      <c r="D5685">
        <v>4.6643499999999998</v>
      </c>
      <c r="E5685">
        <v>0.54849349999999997</v>
      </c>
      <c r="F5685" t="s">
        <v>41</v>
      </c>
      <c r="G5685">
        <v>-183.84729999999999</v>
      </c>
      <c r="H5685" s="1">
        <v>-4.3446449999999996E-6</v>
      </c>
      <c r="I5685">
        <v>117.2162</v>
      </c>
      <c r="J5685">
        <v>-188.65780000000001</v>
      </c>
      <c r="K5685">
        <v>1.121016</v>
      </c>
      <c r="L5685">
        <v>93.321929999999995</v>
      </c>
      <c r="M5685">
        <v>7.6917840000000001E-3</v>
      </c>
      <c r="N5685">
        <v>-1.429483E-2</v>
      </c>
      <c r="O5685">
        <v>0.99986819999999998</v>
      </c>
      <c r="P5685">
        <v>8.1329680000000001E-2</v>
      </c>
      <c r="Q5685">
        <v>0.17391679999999901</v>
      </c>
      <c r="R5685">
        <v>0.98139609999999999</v>
      </c>
      <c r="S5685">
        <v>0.60308839999999997</v>
      </c>
      <c r="T5685">
        <v>-0.14046929999999999</v>
      </c>
      <c r="U5685">
        <v>3.0328369999999998</v>
      </c>
      <c r="V5685">
        <v>7.3836600000000002E-2</v>
      </c>
      <c r="W5685">
        <v>0.18791330000000001</v>
      </c>
      <c r="X5685">
        <v>0.97940629999999995</v>
      </c>
      <c r="Y5685">
        <v>0.1873099</v>
      </c>
      <c r="Z5685">
        <v>-3.1137850000000002E-2</v>
      </c>
      <c r="AA5685">
        <v>0.98180719999999999</v>
      </c>
      <c r="AB5685">
        <v>33</v>
      </c>
      <c r="AC5685">
        <v>4.81050000000001</v>
      </c>
      <c r="AD5685">
        <v>-1.121020344645</v>
      </c>
      <c r="AE5685">
        <v>23.894269999999899</v>
      </c>
      <c r="AF5685">
        <v>4.6167831573250302</v>
      </c>
      <c r="AG5685">
        <v>-1.121020344645</v>
      </c>
      <c r="AH5685">
        <v>23.880053218811302</v>
      </c>
      <c r="AI5685">
        <v>92.638913861030602</v>
      </c>
      <c r="AJ5685">
        <v>79.057877342853303</v>
      </c>
      <c r="AK5685">
        <v>24.3480659410173</v>
      </c>
      <c r="AL5685">
        <v>79.1689679857313</v>
      </c>
      <c r="AM5685">
        <v>85.688675872517507</v>
      </c>
      <c r="AN5685">
        <v>0.99999997614806901</v>
      </c>
    </row>
    <row r="5686" spans="1:40" x14ac:dyDescent="0.25">
      <c r="A5686" t="str">
        <f>"20190303162715257"</f>
        <v>20190303162715257</v>
      </c>
      <c r="B5686" t="str">
        <f>"1551601635249869"</f>
        <v>1551601635249869</v>
      </c>
      <c r="C5686" t="s">
        <v>40</v>
      </c>
      <c r="D5686">
        <v>4.6400860000000002</v>
      </c>
      <c r="E5686">
        <v>0.54886080000000004</v>
      </c>
      <c r="F5686" t="s">
        <v>41</v>
      </c>
      <c r="G5686">
        <v>-183.66149999999999</v>
      </c>
      <c r="H5686" s="1">
        <v>-4.7412670000000004E-6</v>
      </c>
      <c r="I5686">
        <v>118.0639</v>
      </c>
      <c r="J5686">
        <v>-188.6551</v>
      </c>
      <c r="K5686">
        <v>1.1210209999999901</v>
      </c>
      <c r="L5686">
        <v>93.647580000000005</v>
      </c>
      <c r="M5686">
        <v>7.8179140000000005E-3</v>
      </c>
      <c r="N5686">
        <v>-1.4314790000000001E-2</v>
      </c>
      <c r="O5686">
        <v>0.99986699999999995</v>
      </c>
      <c r="P5686">
        <v>8.2171830000000001E-2</v>
      </c>
      <c r="Q5686">
        <v>0.1731752</v>
      </c>
      <c r="R5686">
        <v>0.98145720000000003</v>
      </c>
      <c r="S5686">
        <v>0.61196899999999999</v>
      </c>
      <c r="T5686">
        <v>-0.13730680000000001</v>
      </c>
      <c r="U5686">
        <v>3.0304869999999999</v>
      </c>
      <c r="V5686">
        <v>7.4553949999999994E-2</v>
      </c>
      <c r="W5686">
        <v>0.18719250000000001</v>
      </c>
      <c r="X5686">
        <v>0.97948999999999997</v>
      </c>
      <c r="Y5686">
        <v>0.1901031</v>
      </c>
      <c r="Z5686">
        <v>-3.010637E-2</v>
      </c>
      <c r="AA5686">
        <v>0.98130240000000002</v>
      </c>
      <c r="AB5686">
        <v>32</v>
      </c>
      <c r="AC5686">
        <v>4.9936000000000096</v>
      </c>
      <c r="AD5686">
        <v>-1.12102574126699</v>
      </c>
      <c r="AE5686">
        <v>24.416319999999999</v>
      </c>
      <c r="AF5686">
        <v>4.7928454302476897</v>
      </c>
      <c r="AG5686">
        <v>-1.12102574126699</v>
      </c>
      <c r="AH5686">
        <v>24.405236452868401</v>
      </c>
      <c r="AI5686">
        <v>92.5807385312756</v>
      </c>
      <c r="AJ5686">
        <v>78.889311048943298</v>
      </c>
      <c r="AK5686">
        <v>24.8966590600274</v>
      </c>
      <c r="AL5686">
        <v>79.211013064399395</v>
      </c>
      <c r="AM5686">
        <v>85.647320534710602</v>
      </c>
      <c r="AN5686">
        <v>0.99999999180842603</v>
      </c>
    </row>
    <row r="5687" spans="1:40" x14ac:dyDescent="0.25">
      <c r="A5687" t="str">
        <f>"20190303162715280"</f>
        <v>20190303162715280</v>
      </c>
      <c r="B5687" t="str">
        <f>"1551601635270366"</f>
        <v>1551601635270366</v>
      </c>
      <c r="C5687" t="s">
        <v>40</v>
      </c>
      <c r="D5687">
        <v>4.6129470000000001</v>
      </c>
      <c r="E5687">
        <v>0.54914469999999904</v>
      </c>
      <c r="F5687" t="s">
        <v>41</v>
      </c>
      <c r="G5687">
        <v>-183.57230000000001</v>
      </c>
      <c r="H5687" s="1">
        <v>-4.986608E-6</v>
      </c>
      <c r="I5687">
        <v>118.5989</v>
      </c>
      <c r="J5687">
        <v>-188.6524</v>
      </c>
      <c r="K5687">
        <v>1.121011</v>
      </c>
      <c r="L5687">
        <v>93.972260000000006</v>
      </c>
      <c r="M5687">
        <v>7.9435259999999994E-3</v>
      </c>
      <c r="N5687">
        <v>-1.433152E-2</v>
      </c>
      <c r="O5687">
        <v>0.99986580000000003</v>
      </c>
      <c r="P5687">
        <v>8.2464190000000007E-2</v>
      </c>
      <c r="Q5687">
        <v>0.17209189999999999</v>
      </c>
      <c r="R5687">
        <v>0.98162320000000003</v>
      </c>
      <c r="S5687">
        <v>0.61705019999999999</v>
      </c>
      <c r="T5687">
        <v>-0.13609089999999999</v>
      </c>
      <c r="U5687">
        <v>3.0290530000000002</v>
      </c>
      <c r="V5687">
        <v>7.472115E-2</v>
      </c>
      <c r="W5687">
        <v>0.18612809999999999</v>
      </c>
      <c r="X5687">
        <v>0.97968010000000005</v>
      </c>
      <c r="Y5687">
        <v>0.19165289999999999</v>
      </c>
      <c r="Z5687">
        <v>-2.9703690000000001E-2</v>
      </c>
      <c r="AA5687">
        <v>0.98101320000000003</v>
      </c>
      <c r="AB5687">
        <v>32</v>
      </c>
      <c r="AC5687">
        <v>5.0800999999999803</v>
      </c>
      <c r="AD5687">
        <v>-1.1210159866080001</v>
      </c>
      <c r="AE5687">
        <v>24.626639999999998</v>
      </c>
      <c r="AF5687">
        <v>4.8746087912927099</v>
      </c>
      <c r="AG5687">
        <v>-1.1210159866080001</v>
      </c>
      <c r="AH5687">
        <v>24.617293157661098</v>
      </c>
      <c r="AI5687">
        <v>92.557724844858299</v>
      </c>
      <c r="AJ5687">
        <v>78.7994322795046</v>
      </c>
      <c r="AK5687">
        <v>25.120302747391602</v>
      </c>
      <c r="AL5687">
        <v>79.273089910871306</v>
      </c>
      <c r="AM5687">
        <v>85.638439772582799</v>
      </c>
      <c r="AN5687">
        <v>1.00000000910147</v>
      </c>
    </row>
    <row r="5688" spans="1:40" x14ac:dyDescent="0.25">
      <c r="A5688" t="str">
        <f>"20190303162715324"</f>
        <v>20190303162715324</v>
      </c>
      <c r="B5688" t="str">
        <f>"1551601635310381"</f>
        <v>1551601635310381</v>
      </c>
      <c r="C5688" t="s">
        <v>40</v>
      </c>
      <c r="D5688">
        <v>4.5782400000000001</v>
      </c>
      <c r="E5688">
        <v>0.54969389999999996</v>
      </c>
      <c r="F5688" t="s">
        <v>41</v>
      </c>
      <c r="G5688">
        <v>-183.64240000000001</v>
      </c>
      <c r="H5688" s="1">
        <v>-4.9410050000000001E-6</v>
      </c>
      <c r="I5688">
        <v>118.52160000000001</v>
      </c>
      <c r="J5688">
        <v>-188.64709999999999</v>
      </c>
      <c r="K5688">
        <v>1.121011</v>
      </c>
      <c r="L5688">
        <v>94.596739999999997</v>
      </c>
      <c r="M5688">
        <v>8.1854279999999998E-3</v>
      </c>
      <c r="N5688">
        <v>-1.435614E-2</v>
      </c>
      <c r="O5688">
        <v>0.99986339999999996</v>
      </c>
      <c r="P5688">
        <v>8.3142209999999994E-2</v>
      </c>
      <c r="Q5688">
        <v>0.16935459999999999</v>
      </c>
      <c r="R5688">
        <v>0.98204199999999997</v>
      </c>
      <c r="S5688">
        <v>0.61805730000000003</v>
      </c>
      <c r="T5688">
        <v>-0.1382929</v>
      </c>
      <c r="U5688">
        <v>3.0285030000000002</v>
      </c>
      <c r="V5688">
        <v>7.5156909999999993E-2</v>
      </c>
      <c r="W5688">
        <v>0.1834218</v>
      </c>
      <c r="X5688">
        <v>0.9801571</v>
      </c>
      <c r="Y5688">
        <v>0.19175800000000001</v>
      </c>
      <c r="Z5688">
        <v>-3.0396469999999998E-2</v>
      </c>
      <c r="AA5688">
        <v>0.98097140000000005</v>
      </c>
      <c r="AB5688">
        <v>32</v>
      </c>
      <c r="AC5688">
        <v>5.0046999999999802</v>
      </c>
      <c r="AD5688">
        <v>-1.121015941005</v>
      </c>
      <c r="AE5688">
        <v>23.924859999999999</v>
      </c>
      <c r="AF5688">
        <v>4.7985834791211701</v>
      </c>
      <c r="AG5688">
        <v>-1.121015941005</v>
      </c>
      <c r="AH5688">
        <v>23.914725567730301</v>
      </c>
      <c r="AI5688">
        <v>92.6314319869429</v>
      </c>
      <c r="AJ5688">
        <v>78.654046126247806</v>
      </c>
      <c r="AK5688">
        <v>24.417149283360999</v>
      </c>
      <c r="AL5688">
        <v>79.430866521086998</v>
      </c>
      <c r="AM5688">
        <v>85.615229546706004</v>
      </c>
      <c r="AN5688">
        <v>1.0000000292581901</v>
      </c>
    </row>
    <row r="5689" spans="1:40" x14ac:dyDescent="0.25">
      <c r="A5689" t="str">
        <f>"20190303162715346"</f>
        <v>20190303162715346</v>
      </c>
      <c r="B5689" t="str">
        <f>"1551601635330334"</f>
        <v>1551601635330334</v>
      </c>
      <c r="C5689" t="s">
        <v>40</v>
      </c>
      <c r="D5689">
        <v>4.5796099999999997</v>
      </c>
      <c r="E5689">
        <v>0.54987430000000004</v>
      </c>
      <c r="F5689" t="s">
        <v>41</v>
      </c>
      <c r="G5689">
        <v>-183.7775</v>
      </c>
      <c r="H5689" s="1">
        <v>-4.7949170000000003E-6</v>
      </c>
      <c r="I5689">
        <v>118.23699999999999</v>
      </c>
      <c r="J5689">
        <v>-188.64429999999999</v>
      </c>
      <c r="K5689">
        <v>1.121016</v>
      </c>
      <c r="L5689">
        <v>94.921019999999999</v>
      </c>
      <c r="M5689">
        <v>8.311054E-3</v>
      </c>
      <c r="N5689">
        <v>-1.436571E-2</v>
      </c>
      <c r="O5689">
        <v>0.99986229999999998</v>
      </c>
      <c r="P5689">
        <v>8.4238779999999999E-2</v>
      </c>
      <c r="Q5689">
        <v>0.16846320000000001</v>
      </c>
      <c r="R5689">
        <v>0.98210180000000002</v>
      </c>
      <c r="S5689">
        <v>0.62348939999999997</v>
      </c>
      <c r="T5689">
        <v>-0.14353170000000001</v>
      </c>
      <c r="U5689">
        <v>3.0268250000000001</v>
      </c>
      <c r="V5689">
        <v>7.6129100000000005E-2</v>
      </c>
      <c r="W5689">
        <v>0.18254049999999999</v>
      </c>
      <c r="X5689">
        <v>0.98024650000000002</v>
      </c>
      <c r="Y5689">
        <v>0.1934167</v>
      </c>
      <c r="Z5689">
        <v>-3.2088190000000003E-2</v>
      </c>
      <c r="AA5689">
        <v>0.98059180000000001</v>
      </c>
      <c r="AB5689">
        <v>32</v>
      </c>
      <c r="AC5689">
        <v>4.86679999999998</v>
      </c>
      <c r="AD5689">
        <v>-1.1210207949169999</v>
      </c>
      <c r="AE5689">
        <v>23.31598</v>
      </c>
      <c r="AF5689">
        <v>4.66250347777292</v>
      </c>
      <c r="AG5689">
        <v>-1.1210207949169999</v>
      </c>
      <c r="AH5689">
        <v>23.304005626668999</v>
      </c>
      <c r="AI5689">
        <v>92.700605628288699</v>
      </c>
      <c r="AJ5689">
        <v>78.686043117158306</v>
      </c>
      <c r="AK5689">
        <v>23.792274051689599</v>
      </c>
      <c r="AL5689">
        <v>79.482227488005904</v>
      </c>
      <c r="AM5689">
        <v>85.559139393213499</v>
      </c>
      <c r="AN5689">
        <v>0.99999993738465298</v>
      </c>
    </row>
    <row r="5690" spans="1:40" x14ac:dyDescent="0.25">
      <c r="A5690" t="str">
        <f>"20190303162715369"</f>
        <v>20190303162715369</v>
      </c>
      <c r="B5690" t="str">
        <f>"1551601635359614"</f>
        <v>1551601635359614</v>
      </c>
      <c r="C5690" t="s">
        <v>40</v>
      </c>
      <c r="D5690">
        <v>4.5361010000000004</v>
      </c>
      <c r="E5690">
        <v>0.55022729999999997</v>
      </c>
      <c r="F5690" t="s">
        <v>41</v>
      </c>
      <c r="G5690">
        <v>-183.7527</v>
      </c>
      <c r="H5690" s="1">
        <v>-4.9006860000000004E-6</v>
      </c>
      <c r="I5690">
        <v>118.47320000000001</v>
      </c>
      <c r="J5690">
        <v>-188.6414</v>
      </c>
      <c r="K5690">
        <v>1.1210199999999999</v>
      </c>
      <c r="L5690">
        <v>95.252870000000001</v>
      </c>
      <c r="M5690">
        <v>8.4395630000000006E-3</v>
      </c>
      <c r="N5690">
        <v>-1.437362E-2</v>
      </c>
      <c r="O5690">
        <v>0.99986109999999995</v>
      </c>
      <c r="P5690">
        <v>8.5281300000000004E-2</v>
      </c>
      <c r="Q5690">
        <v>0.16828589999999999</v>
      </c>
      <c r="R5690">
        <v>0.98204230000000003</v>
      </c>
      <c r="S5690">
        <v>0.62837219999999905</v>
      </c>
      <c r="T5690">
        <v>-0.14400470000000001</v>
      </c>
      <c r="U5690">
        <v>3.0254819999999998</v>
      </c>
      <c r="V5690">
        <v>7.7045630000000004E-2</v>
      </c>
      <c r="W5690">
        <v>0.18237030000000001</v>
      </c>
      <c r="X5690">
        <v>0.98020660000000004</v>
      </c>
      <c r="Y5690">
        <v>0.19489210000000001</v>
      </c>
      <c r="Z5690">
        <v>-3.2239089999999998E-2</v>
      </c>
      <c r="AA5690">
        <v>0.98029469999999996</v>
      </c>
      <c r="AB5690">
        <v>32</v>
      </c>
      <c r="AC5690">
        <v>4.8887</v>
      </c>
      <c r="AD5690">
        <v>-1.121024900686</v>
      </c>
      <c r="AE5690">
        <v>23.220330000000001</v>
      </c>
      <c r="AF5690">
        <v>4.6820866319383301</v>
      </c>
      <c r="AG5690">
        <v>-1.121024900686</v>
      </c>
      <c r="AH5690">
        <v>23.208967518749098</v>
      </c>
      <c r="AI5690">
        <v>92.710788333059199</v>
      </c>
      <c r="AJ5690">
        <v>78.594454055315595</v>
      </c>
      <c r="AK5690">
        <v>23.703054768178799</v>
      </c>
      <c r="AL5690">
        <v>79.492146031711499</v>
      </c>
      <c r="AM5690">
        <v>85.505710723054804</v>
      </c>
      <c r="AN5690">
        <v>0.99999996705387295</v>
      </c>
    </row>
    <row r="5691" spans="1:40" x14ac:dyDescent="0.25">
      <c r="A5691" t="str">
        <f>"20190303162715391"</f>
        <v>20190303162715391</v>
      </c>
      <c r="B5691" t="str">
        <f>"1551601635380110"</f>
        <v>1551601635380110</v>
      </c>
      <c r="C5691" t="s">
        <v>40</v>
      </c>
      <c r="D5691">
        <v>4.5598539999999996</v>
      </c>
      <c r="E5691">
        <v>0.55045710000000003</v>
      </c>
      <c r="F5691" t="s">
        <v>41</v>
      </c>
      <c r="G5691">
        <v>-183.58189999999999</v>
      </c>
      <c r="H5691" s="1">
        <v>-5.3042290000000001E-6</v>
      </c>
      <c r="I5691">
        <v>119.3433</v>
      </c>
      <c r="J5691">
        <v>-188.6386</v>
      </c>
      <c r="K5691">
        <v>1.1210290000000001</v>
      </c>
      <c r="L5691">
        <v>95.575590000000005</v>
      </c>
      <c r="M5691">
        <v>8.5644359999999999E-3</v>
      </c>
      <c r="N5691">
        <v>-1.43798E-2</v>
      </c>
      <c r="O5691">
        <v>0.99985990000000002</v>
      </c>
      <c r="P5691">
        <v>8.6420629999999998E-2</v>
      </c>
      <c r="Q5691">
        <v>0.16819149999999999</v>
      </c>
      <c r="R5691">
        <v>0.98195880000000002</v>
      </c>
      <c r="S5691">
        <v>0.63507080000000005</v>
      </c>
      <c r="T5691">
        <v>-0.14071</v>
      </c>
      <c r="U5691">
        <v>3.0238040000000002</v>
      </c>
      <c r="V5691">
        <v>7.8062809999999996E-2</v>
      </c>
      <c r="W5691">
        <v>0.18228069999999999</v>
      </c>
      <c r="X5691">
        <v>0.98014279999999998</v>
      </c>
      <c r="Y5691">
        <v>0.1969658</v>
      </c>
      <c r="Z5691">
        <v>-3.1173909999999999E-2</v>
      </c>
      <c r="AA5691">
        <v>0.97991459999999997</v>
      </c>
      <c r="AB5691">
        <v>32</v>
      </c>
      <c r="AC5691">
        <v>5.0567000000000002</v>
      </c>
      <c r="AD5691">
        <v>-1.1210343042290001</v>
      </c>
      <c r="AE5691">
        <v>23.767709999999902</v>
      </c>
      <c r="AF5691">
        <v>4.8426297558069997</v>
      </c>
      <c r="AG5691">
        <v>-1.1210343042290001</v>
      </c>
      <c r="AH5691">
        <v>23.75958240672</v>
      </c>
      <c r="AI5691">
        <v>92.647008004860893</v>
      </c>
      <c r="AJ5691">
        <v>78.479883051587905</v>
      </c>
      <c r="AK5691">
        <v>24.273968299493301</v>
      </c>
      <c r="AL5691">
        <v>79.497367410909106</v>
      </c>
      <c r="AM5691">
        <v>85.4463284933354</v>
      </c>
      <c r="AN5691">
        <v>0.99999998214471197</v>
      </c>
    </row>
    <row r="5692" spans="1:40" x14ac:dyDescent="0.25">
      <c r="A5692" t="str">
        <f>"20190303162715414"</f>
        <v>20190303162715414</v>
      </c>
      <c r="B5692" t="str">
        <f>"1551601635410366"</f>
        <v>1551601635410366</v>
      </c>
      <c r="C5692" t="s">
        <v>40</v>
      </c>
      <c r="D5692">
        <v>4.6033819999999999</v>
      </c>
      <c r="E5692">
        <v>0.55078819999999995</v>
      </c>
      <c r="F5692" t="s">
        <v>47</v>
      </c>
      <c r="G5692">
        <v>-183.46430000000001</v>
      </c>
      <c r="H5692" s="1">
        <v>-1.839128E-6</v>
      </c>
      <c r="I5692">
        <v>119.9945</v>
      </c>
      <c r="J5692">
        <v>-188.63570000000001</v>
      </c>
      <c r="K5692">
        <v>1.12103</v>
      </c>
      <c r="L5692">
        <v>95.899839999999998</v>
      </c>
      <c r="M5692">
        <v>8.6899339999999999E-3</v>
      </c>
      <c r="N5692">
        <v>-1.438467E-2</v>
      </c>
      <c r="O5692">
        <v>0.99985880000000005</v>
      </c>
      <c r="P5692">
        <v>8.781456E-2</v>
      </c>
      <c r="Q5692">
        <v>0.168994799999999</v>
      </c>
      <c r="R5692">
        <v>0.98169720000000005</v>
      </c>
      <c r="S5692">
        <v>0.64045719999999995</v>
      </c>
      <c r="T5692">
        <v>-0.13875879999999999</v>
      </c>
      <c r="U5692">
        <v>3.0225219999999999</v>
      </c>
      <c r="V5692">
        <v>7.9335779999999995E-2</v>
      </c>
      <c r="W5692">
        <v>0.18308479999999999</v>
      </c>
      <c r="X5692">
        <v>0.9798907</v>
      </c>
      <c r="Y5692">
        <v>0.1986021</v>
      </c>
      <c r="Z5692">
        <v>-3.0541809999999999E-2</v>
      </c>
      <c r="AA5692">
        <v>0.97960420000000004</v>
      </c>
      <c r="AB5692">
        <v>32</v>
      </c>
      <c r="AC5692">
        <v>5.1714000000000002</v>
      </c>
      <c r="AD5692">
        <v>-1.1210318391280001</v>
      </c>
      <c r="AE5692">
        <v>24.094660000000001</v>
      </c>
      <c r="AF5692">
        <v>4.9515554945912301</v>
      </c>
      <c r="AG5692">
        <v>-1.1210318391280001</v>
      </c>
      <c r="AH5692">
        <v>24.088845389115502</v>
      </c>
      <c r="AI5692">
        <v>92.609982551789997</v>
      </c>
      <c r="AJ5692">
        <v>78.384422305058195</v>
      </c>
      <c r="AK5692">
        <v>24.618023608345698</v>
      </c>
      <c r="AL5692">
        <v>79.450507464590999</v>
      </c>
      <c r="AM5692">
        <v>85.371206339810797</v>
      </c>
      <c r="AN5692">
        <v>0.99999999696286901</v>
      </c>
    </row>
    <row r="5693" spans="1:40" x14ac:dyDescent="0.25">
      <c r="A5693" t="str">
        <f>"20190303162715437"</f>
        <v>20190303162715437</v>
      </c>
      <c r="B5693" t="str">
        <f>"1551601635430392"</f>
        <v>1551601635430392</v>
      </c>
      <c r="C5693" t="s">
        <v>40</v>
      </c>
      <c r="D5693">
        <v>4.6304809999999996</v>
      </c>
      <c r="E5693">
        <v>0.55096690000000004</v>
      </c>
      <c r="F5693" t="s">
        <v>47</v>
      </c>
      <c r="G5693">
        <v>-183.21109999999999</v>
      </c>
      <c r="H5693" s="1">
        <v>-2.264949E-6</v>
      </c>
      <c r="I5693">
        <v>121.2115</v>
      </c>
      <c r="J5693">
        <v>-188.6327</v>
      </c>
      <c r="K5693">
        <v>1.1210359999999999</v>
      </c>
      <c r="L5693">
        <v>96.224609999999998</v>
      </c>
      <c r="M5693">
        <v>8.8155260000000006E-3</v>
      </c>
      <c r="N5693">
        <v>-1.4388349999999999E-2</v>
      </c>
      <c r="O5693">
        <v>0.99985760000000001</v>
      </c>
      <c r="P5693">
        <v>8.9813379999999998E-2</v>
      </c>
      <c r="Q5693">
        <v>0.16997999999999999</v>
      </c>
      <c r="R5693">
        <v>0.98134619999999995</v>
      </c>
      <c r="S5693">
        <v>0.64744569999999901</v>
      </c>
      <c r="T5693">
        <v>-0.1338</v>
      </c>
      <c r="U5693">
        <v>3.0210569999999999</v>
      </c>
      <c r="V5693">
        <v>8.1214519999999998E-2</v>
      </c>
      <c r="W5693">
        <v>0.18406819999999999</v>
      </c>
      <c r="X5693">
        <v>0.97955250000000005</v>
      </c>
      <c r="Y5693">
        <v>0.20075380000000001</v>
      </c>
      <c r="Z5693">
        <v>-2.893658E-2</v>
      </c>
      <c r="AA5693">
        <v>0.97921429999999998</v>
      </c>
      <c r="AB5693">
        <v>32</v>
      </c>
      <c r="AC5693">
        <v>5.4216000000000104</v>
      </c>
      <c r="AD5693">
        <v>-1.1210382649490001</v>
      </c>
      <c r="AE5693">
        <v>24.986889999999999</v>
      </c>
      <c r="AF5693">
        <v>5.1911146585701697</v>
      </c>
      <c r="AG5693">
        <v>-1.1210382649490001</v>
      </c>
      <c r="AH5693">
        <v>24.9856863543515</v>
      </c>
      <c r="AI5693">
        <v>92.515336014747604</v>
      </c>
      <c r="AJ5693">
        <v>78.263003333186205</v>
      </c>
      <c r="AK5693">
        <v>25.543862683390898</v>
      </c>
      <c r="AL5693">
        <v>79.393188720718001</v>
      </c>
      <c r="AM5693">
        <v>85.260457415173306</v>
      </c>
      <c r="AN5693">
        <v>1.0000000003831599</v>
      </c>
    </row>
    <row r="5694" spans="1:40" x14ac:dyDescent="0.25">
      <c r="A5694" t="str">
        <f>"20190303162715458"</f>
        <v>20190303162715458</v>
      </c>
      <c r="B5694" t="str">
        <f>"1551601635449912"</f>
        <v>1551601635449912</v>
      </c>
      <c r="C5694" t="s">
        <v>40</v>
      </c>
      <c r="D5694">
        <v>4.6479970000000002</v>
      </c>
      <c r="E5694">
        <v>0.55118449999999997</v>
      </c>
      <c r="F5694" t="s">
        <v>47</v>
      </c>
      <c r="G5694">
        <v>-182.97040000000001</v>
      </c>
      <c r="H5694" s="1">
        <v>-2.6617030000000002E-6</v>
      </c>
      <c r="I5694">
        <v>122.3412</v>
      </c>
      <c r="J5694">
        <v>-188.62970000000001</v>
      </c>
      <c r="K5694">
        <v>1.1210450000000001</v>
      </c>
      <c r="L5694">
        <v>96.542969999999997</v>
      </c>
      <c r="M5694">
        <v>8.9390579999999997E-3</v>
      </c>
      <c r="N5694">
        <v>-1.4391009999999999E-2</v>
      </c>
      <c r="O5694">
        <v>0.99985650000000004</v>
      </c>
      <c r="P5694">
        <v>9.1710349999999996E-2</v>
      </c>
      <c r="Q5694">
        <v>0.1704871</v>
      </c>
      <c r="R5694">
        <v>0.98108269999999997</v>
      </c>
      <c r="S5694">
        <v>0.65466309999999905</v>
      </c>
      <c r="T5694">
        <v>-0.1296129</v>
      </c>
      <c r="U5694">
        <v>3.0195620000000001</v>
      </c>
      <c r="V5694">
        <v>8.2992419999999997E-2</v>
      </c>
      <c r="W5694">
        <v>0.18457390000000001</v>
      </c>
      <c r="X5694">
        <v>0.97930830000000002</v>
      </c>
      <c r="Y5694">
        <v>0.2029773</v>
      </c>
      <c r="Z5694">
        <v>-2.758101E-2</v>
      </c>
      <c r="AA5694">
        <v>0.97879490000000002</v>
      </c>
      <c r="AB5694">
        <v>32</v>
      </c>
      <c r="AC5694">
        <v>5.6593</v>
      </c>
      <c r="AD5694">
        <v>-1.1210476617030001</v>
      </c>
      <c r="AE5694">
        <v>25.79823</v>
      </c>
      <c r="AF5694">
        <v>5.4186758435951896</v>
      </c>
      <c r="AG5694">
        <v>-1.1210476617030001</v>
      </c>
      <c r="AH5694">
        <v>25.8013096598951</v>
      </c>
      <c r="AI5694">
        <v>92.434843268291502</v>
      </c>
      <c r="AJ5694">
        <v>78.139368404519601</v>
      </c>
      <c r="AK5694">
        <v>26.387996815286499</v>
      </c>
      <c r="AL5694">
        <v>79.363709208936697</v>
      </c>
      <c r="AM5694">
        <v>85.155988519054304</v>
      </c>
      <c r="AN5694">
        <v>1.00000000639377</v>
      </c>
    </row>
    <row r="5695" spans="1:40" x14ac:dyDescent="0.25">
      <c r="A5695" t="str">
        <f>"20190303162715481"</f>
        <v>20190303162715481</v>
      </c>
      <c r="B5695" t="str">
        <f>"1551601635470408"</f>
        <v>1551601635470408</v>
      </c>
      <c r="C5695" t="s">
        <v>40</v>
      </c>
      <c r="D5695">
        <v>4.6507199999999997</v>
      </c>
      <c r="E5695">
        <v>0.55140669999999903</v>
      </c>
      <c r="F5695" t="s">
        <v>47</v>
      </c>
      <c r="G5695">
        <v>-182.7861</v>
      </c>
      <c r="H5695" s="1">
        <v>-2.9575230000000001E-6</v>
      </c>
      <c r="I5695">
        <v>123.17910000000001</v>
      </c>
      <c r="J5695">
        <v>-188.6267</v>
      </c>
      <c r="K5695">
        <v>1.1210450000000001</v>
      </c>
      <c r="L5695">
        <v>96.861450000000005</v>
      </c>
      <c r="M5695">
        <v>9.062723E-3</v>
      </c>
      <c r="N5695">
        <v>-1.439286E-2</v>
      </c>
      <c r="O5695">
        <v>0.9998553</v>
      </c>
      <c r="P5695">
        <v>9.2971440000000002E-2</v>
      </c>
      <c r="Q5695">
        <v>0.1707524</v>
      </c>
      <c r="R5695">
        <v>0.98091790000000001</v>
      </c>
      <c r="S5695">
        <v>0.66210939999999996</v>
      </c>
      <c r="T5695">
        <v>-0.12702040000000001</v>
      </c>
      <c r="U5695">
        <v>3.018005</v>
      </c>
      <c r="V5695">
        <v>8.4133440000000004E-2</v>
      </c>
      <c r="W5695">
        <v>0.18483859999999999</v>
      </c>
      <c r="X5695">
        <v>0.97916099999999995</v>
      </c>
      <c r="Y5695">
        <v>0.2052706</v>
      </c>
      <c r="Z5695">
        <v>-2.674147E-2</v>
      </c>
      <c r="AA5695">
        <v>0.97833990000000004</v>
      </c>
      <c r="AB5695">
        <v>32</v>
      </c>
      <c r="AC5695">
        <v>5.8405999999999896</v>
      </c>
      <c r="AD5695">
        <v>-1.1210479575229999</v>
      </c>
      <c r="AE5695">
        <v>26.31765</v>
      </c>
      <c r="AF5695">
        <v>5.5921551947635404</v>
      </c>
      <c r="AG5695">
        <v>-1.1210479575229999</v>
      </c>
      <c r="AH5695">
        <v>26.3239837042447</v>
      </c>
      <c r="AI5695">
        <v>92.385389209653198</v>
      </c>
      <c r="AJ5695">
        <v>78.006622997433794</v>
      </c>
      <c r="AK5695">
        <v>26.934755731335802</v>
      </c>
      <c r="AL5695">
        <v>79.348277467149302</v>
      </c>
      <c r="AM5695">
        <v>85.088979056266098</v>
      </c>
      <c r="AN5695">
        <v>1.0000000038485899</v>
      </c>
    </row>
    <row r="5696" spans="1:40" x14ac:dyDescent="0.25">
      <c r="A5696" t="str">
        <f>"20190303162715502"</f>
        <v>20190303162715502</v>
      </c>
      <c r="B5696" t="str">
        <f>"1551601635489928"</f>
        <v>1551601635489928</v>
      </c>
      <c r="C5696" t="s">
        <v>40</v>
      </c>
      <c r="D5696">
        <v>4.6593519999999904</v>
      </c>
      <c r="E5696">
        <v>0.55165229999999998</v>
      </c>
      <c r="F5696" t="s">
        <v>47</v>
      </c>
      <c r="G5696">
        <v>-182.6352</v>
      </c>
      <c r="H5696" s="1">
        <v>-3.380935E-6</v>
      </c>
      <c r="I5696">
        <v>123.9238</v>
      </c>
      <c r="J5696">
        <v>-188.62389999999999</v>
      </c>
      <c r="K5696">
        <v>1.12104</v>
      </c>
      <c r="L5696">
        <v>97.163089999999997</v>
      </c>
      <c r="M5696">
        <v>9.1799719999999998E-3</v>
      </c>
      <c r="N5696">
        <v>-1.4393919999999999E-2</v>
      </c>
      <c r="O5696">
        <v>0.99985429999999997</v>
      </c>
      <c r="P5696">
        <v>9.457024E-2</v>
      </c>
      <c r="Q5696">
        <v>0.16967170000000001</v>
      </c>
      <c r="R5696">
        <v>0.98095259999999995</v>
      </c>
      <c r="S5696">
        <v>0.66790769999999899</v>
      </c>
      <c r="T5696">
        <v>-0.12496939999999999</v>
      </c>
      <c r="U5696">
        <v>3.016785</v>
      </c>
      <c r="V5696">
        <v>8.5616269999999994E-2</v>
      </c>
      <c r="W5696">
        <v>0.1837598</v>
      </c>
      <c r="X5696">
        <v>0.97923550000000004</v>
      </c>
      <c r="Y5696">
        <v>0.20703569999999999</v>
      </c>
      <c r="Z5696">
        <v>-2.607771E-2</v>
      </c>
      <c r="AA5696">
        <v>0.97798580000000002</v>
      </c>
      <c r="AB5696">
        <v>32</v>
      </c>
      <c r="AC5696">
        <v>5.9886999999999899</v>
      </c>
      <c r="AD5696">
        <v>-1.121043380935</v>
      </c>
      <c r="AE5696">
        <v>26.76071</v>
      </c>
      <c r="AF5696">
        <v>5.7331783367655103</v>
      </c>
      <c r="AG5696">
        <v>-1.121043380935</v>
      </c>
      <c r="AH5696">
        <v>26.769826368128399</v>
      </c>
      <c r="AI5696">
        <v>92.344869703782507</v>
      </c>
      <c r="AJ5696">
        <v>77.911818054651704</v>
      </c>
      <c r="AK5696">
        <v>27.399811603053699</v>
      </c>
      <c r="AL5696">
        <v>79.411165236910094</v>
      </c>
      <c r="AM5696">
        <v>85.003236349586999</v>
      </c>
      <c r="AN5696">
        <v>0.99999998712250104</v>
      </c>
    </row>
    <row r="5697" spans="1:40" x14ac:dyDescent="0.25">
      <c r="A5697" t="str">
        <f>"20190303162715525"</f>
        <v>20190303162715525</v>
      </c>
      <c r="B5697" t="str">
        <f>"1551601635519714"</f>
        <v>1551601635519714</v>
      </c>
      <c r="C5697" t="s">
        <v>40</v>
      </c>
      <c r="D5697">
        <v>4.7213539999999998</v>
      </c>
      <c r="E5697">
        <v>0.55191829999999997</v>
      </c>
      <c r="F5697" t="s">
        <v>47</v>
      </c>
      <c r="G5697">
        <v>-182.68729999999999</v>
      </c>
      <c r="H5697" s="1">
        <v>-3.25171E-6</v>
      </c>
      <c r="I5697">
        <v>123.7013</v>
      </c>
      <c r="J5697">
        <v>-188.6207</v>
      </c>
      <c r="K5697">
        <v>1.121027</v>
      </c>
      <c r="L5697">
        <v>97.487759999999994</v>
      </c>
      <c r="M5697">
        <v>9.3068720000000008E-3</v>
      </c>
      <c r="N5697">
        <v>-1.439446E-2</v>
      </c>
      <c r="O5697">
        <v>0.99985310000000005</v>
      </c>
      <c r="P5697">
        <v>9.5891009999999999E-2</v>
      </c>
      <c r="Q5697">
        <v>0.1680555</v>
      </c>
      <c r="R5697">
        <v>0.98110260000000005</v>
      </c>
      <c r="S5697">
        <v>0.67451479999999997</v>
      </c>
      <c r="T5697">
        <v>-0.1273725</v>
      </c>
      <c r="U5697">
        <v>3.0152589999999999</v>
      </c>
      <c r="V5697">
        <v>8.6810360000000003E-2</v>
      </c>
      <c r="W5697">
        <v>0.18214659999999999</v>
      </c>
      <c r="X5697">
        <v>0.97943170000000002</v>
      </c>
      <c r="Y5697">
        <v>0.20905080000000001</v>
      </c>
      <c r="Z5697">
        <v>-2.6856060000000001E-2</v>
      </c>
      <c r="AA5697">
        <v>0.97753599999999996</v>
      </c>
      <c r="AB5697">
        <v>32</v>
      </c>
      <c r="AC5697">
        <v>5.9333999999999998</v>
      </c>
      <c r="AD5697">
        <v>-1.1210302517099999</v>
      </c>
      <c r="AE5697">
        <v>26.213539999999998</v>
      </c>
      <c r="AF5697">
        <v>5.6792711884493299</v>
      </c>
      <c r="AG5697">
        <v>-1.1210302517099999</v>
      </c>
      <c r="AH5697">
        <v>26.2220121245978</v>
      </c>
      <c r="AI5697">
        <v>92.392582997839497</v>
      </c>
      <c r="AJ5697">
        <v>77.779395389931807</v>
      </c>
      <c r="AK5697">
        <v>26.853393638789001</v>
      </c>
      <c r="AL5697">
        <v>79.505181131809707</v>
      </c>
      <c r="AM5697">
        <v>84.934916242093294</v>
      </c>
      <c r="AN5697">
        <v>0.99999993872988802</v>
      </c>
    </row>
    <row r="5698" spans="1:40" x14ac:dyDescent="0.25">
      <c r="A5698" t="str">
        <f>"20190303162715548"</f>
        <v>20190303162715548</v>
      </c>
      <c r="B5698" t="str">
        <f>"1551601635540211"</f>
        <v>1551601635540211</v>
      </c>
      <c r="C5698" t="s">
        <v>40</v>
      </c>
      <c r="D5698">
        <v>4.9017770000000001</v>
      </c>
      <c r="E5698">
        <v>0.55191309999999905</v>
      </c>
      <c r="F5698" t="s">
        <v>47</v>
      </c>
      <c r="G5698">
        <v>-182.8254</v>
      </c>
      <c r="H5698" s="1">
        <v>-2.950778E-6</v>
      </c>
      <c r="I5698">
        <v>123.1874</v>
      </c>
      <c r="J5698">
        <v>-188.61760000000001</v>
      </c>
      <c r="K5698">
        <v>1.121022</v>
      </c>
      <c r="L5698">
        <v>97.81174</v>
      </c>
      <c r="M5698">
        <v>9.438452E-3</v>
      </c>
      <c r="N5698">
        <v>-1.4394469999999999E-2</v>
      </c>
      <c r="O5698">
        <v>0.99985179999999996</v>
      </c>
      <c r="P5698">
        <v>9.5866389999999996E-2</v>
      </c>
      <c r="Q5698">
        <v>0.16696900000000001</v>
      </c>
      <c r="R5698">
        <v>0.98129049999999995</v>
      </c>
      <c r="S5698">
        <v>0.67964169999999902</v>
      </c>
      <c r="T5698">
        <v>-0.131467</v>
      </c>
      <c r="U5698">
        <v>3.0138850000000001</v>
      </c>
      <c r="V5698">
        <v>8.6655360000000001E-2</v>
      </c>
      <c r="W5698">
        <v>0.18106249999999999</v>
      </c>
      <c r="X5698">
        <v>0.97964640000000003</v>
      </c>
      <c r="Y5698">
        <v>0.2105891</v>
      </c>
      <c r="Z5698">
        <v>-2.8183819999999998E-2</v>
      </c>
      <c r="AA5698">
        <v>0.97716829999999999</v>
      </c>
      <c r="AB5698">
        <v>32</v>
      </c>
      <c r="AC5698">
        <v>5.7922000000000002</v>
      </c>
      <c r="AD5698">
        <v>-1.1210249507779999</v>
      </c>
      <c r="AE5698">
        <v>25.37566</v>
      </c>
      <c r="AF5698">
        <v>5.5421296533501403</v>
      </c>
      <c r="AG5698">
        <v>-1.1210249507779999</v>
      </c>
      <c r="AH5698">
        <v>25.3821213153829</v>
      </c>
      <c r="AI5698">
        <v>92.470741072587998</v>
      </c>
      <c r="AJ5698">
        <v>77.682908075606406</v>
      </c>
      <c r="AK5698">
        <v>26.0043069606484</v>
      </c>
      <c r="AL5698">
        <v>79.568345670547998</v>
      </c>
      <c r="AM5698">
        <v>84.945015389957604</v>
      </c>
      <c r="AN5698">
        <v>0.99999992467796694</v>
      </c>
    </row>
    <row r="5699" spans="1:40" x14ac:dyDescent="0.25">
      <c r="A5699" t="str">
        <f>"20190303162715570"</f>
        <v>20190303162715570</v>
      </c>
      <c r="B5699" t="str">
        <f>"1551601635559732"</f>
        <v>1551601635559732</v>
      </c>
      <c r="C5699" t="s">
        <v>40</v>
      </c>
      <c r="D5699">
        <v>4.8671360000000004</v>
      </c>
      <c r="E5699">
        <v>0.51033869999999903</v>
      </c>
      <c r="F5699" t="s">
        <v>47</v>
      </c>
      <c r="G5699">
        <v>-183.0223</v>
      </c>
      <c r="H5699" s="1">
        <v>-2.7432919999999998E-6</v>
      </c>
      <c r="I5699">
        <v>122.6651</v>
      </c>
      <c r="J5699">
        <v>-188.61439999999999</v>
      </c>
      <c r="K5699">
        <v>1.1210150000000001</v>
      </c>
      <c r="L5699">
        <v>98.140780000000007</v>
      </c>
      <c r="M5699">
        <v>9.5803369999999995E-3</v>
      </c>
      <c r="N5699">
        <v>-1.4394000000000001E-2</v>
      </c>
      <c r="O5699">
        <v>0.99985049999999998</v>
      </c>
      <c r="P5699">
        <v>9.4379859999999996E-2</v>
      </c>
      <c r="Q5699">
        <v>0.16520950000000001</v>
      </c>
      <c r="R5699">
        <v>0.98173220000000005</v>
      </c>
      <c r="S5699">
        <v>0.67855829999999995</v>
      </c>
      <c r="T5699">
        <v>-0.1359513</v>
      </c>
      <c r="U5699">
        <v>3.0140690000000001</v>
      </c>
      <c r="V5699">
        <v>8.5026930000000001E-2</v>
      </c>
      <c r="W5699">
        <v>0.17930839999999901</v>
      </c>
      <c r="X5699">
        <v>0.98011170000000003</v>
      </c>
      <c r="Y5699">
        <v>0.2100921</v>
      </c>
      <c r="Z5699">
        <v>-2.9635350000000001E-2</v>
      </c>
      <c r="AA5699">
        <v>0.97723230000000005</v>
      </c>
      <c r="AB5699">
        <v>32</v>
      </c>
      <c r="AC5699">
        <v>5.5920999999999799</v>
      </c>
      <c r="AD5699">
        <v>-1.1210177432920001</v>
      </c>
      <c r="AE5699">
        <v>24.5243199999999</v>
      </c>
      <c r="AF5699">
        <v>5.3462491277995996</v>
      </c>
      <c r="AG5699">
        <v>-1.1210177432920001</v>
      </c>
      <c r="AH5699">
        <v>24.528057011501399</v>
      </c>
      <c r="AI5699">
        <v>92.556847077874494</v>
      </c>
      <c r="AJ5699">
        <v>77.703862657204397</v>
      </c>
      <c r="AK5699">
        <v>25.128960210815301</v>
      </c>
      <c r="AL5699">
        <v>79.670521471519905</v>
      </c>
      <c r="AM5699">
        <v>85.041873533205404</v>
      </c>
      <c r="AN5699">
        <v>1.00000001280633</v>
      </c>
    </row>
    <row r="5700" spans="1:40" x14ac:dyDescent="0.25">
      <c r="A5700" t="str">
        <f>"20190303162715591"</f>
        <v>20190303162715591</v>
      </c>
      <c r="B5700" t="str">
        <f>"1551601635580227"</f>
        <v>1551601635580227</v>
      </c>
      <c r="C5700" t="s">
        <v>40</v>
      </c>
      <c r="D5700">
        <v>4.9500250000000001</v>
      </c>
      <c r="E5700">
        <v>0.4944443</v>
      </c>
      <c r="F5700" t="s">
        <v>47</v>
      </c>
      <c r="G5700">
        <v>-185.8519</v>
      </c>
      <c r="H5700" s="1">
        <v>-2.2295239999999998E-6</v>
      </c>
      <c r="I5700">
        <v>122.6404</v>
      </c>
      <c r="J5700">
        <v>-188.6113</v>
      </c>
      <c r="K5700">
        <v>1.1210020000000001</v>
      </c>
      <c r="L5700">
        <v>98.443969999999993</v>
      </c>
      <c r="M5700">
        <v>9.730463E-3</v>
      </c>
      <c r="N5700">
        <v>-1.439329E-2</v>
      </c>
      <c r="O5700">
        <v>0.99984910000000005</v>
      </c>
      <c r="P5700">
        <v>9.2853080000000005E-2</v>
      </c>
      <c r="Q5700">
        <v>0.16336510000000001</v>
      </c>
      <c r="R5700">
        <v>0.98218640000000001</v>
      </c>
      <c r="S5700">
        <v>0.34347529999999998</v>
      </c>
      <c r="T5700">
        <v>-0.13938619999999999</v>
      </c>
      <c r="U5700">
        <v>3.046265</v>
      </c>
      <c r="V5700">
        <v>8.3352599999999999E-2</v>
      </c>
      <c r="W5700">
        <v>0.17746819999999999</v>
      </c>
      <c r="X5700">
        <v>0.98059030000000003</v>
      </c>
      <c r="Y5700">
        <v>0.1022695</v>
      </c>
      <c r="Z5700">
        <v>-3.1066699999999999E-2</v>
      </c>
      <c r="AA5700">
        <v>0.99427149999999997</v>
      </c>
      <c r="AB5700">
        <v>32</v>
      </c>
      <c r="AC5700">
        <v>2.7593999999999901</v>
      </c>
      <c r="AD5700">
        <v>-1.1210042295239999</v>
      </c>
      <c r="AE5700">
        <v>24.196429999999999</v>
      </c>
      <c r="AF5700">
        <v>2.51846623607589</v>
      </c>
      <c r="AG5700">
        <v>-1.1210042295239999</v>
      </c>
      <c r="AH5700">
        <v>24.170922725660098</v>
      </c>
      <c r="AI5700">
        <v>92.6410958867083</v>
      </c>
      <c r="AJ5700">
        <v>84.051585065077802</v>
      </c>
      <c r="AK5700">
        <v>24.3276145167317</v>
      </c>
      <c r="AL5700">
        <v>79.777675551760197</v>
      </c>
      <c r="AM5700">
        <v>85.141396433911396</v>
      </c>
      <c r="AN5700">
        <v>0.99999997719604405</v>
      </c>
    </row>
    <row r="5701" spans="1:40" x14ac:dyDescent="0.25">
      <c r="A5701" t="str">
        <f>"20190303162715616"</f>
        <v>20190303162715616</v>
      </c>
      <c r="B5701" t="str">
        <f>"1551601635610483"</f>
        <v>1551601635610483</v>
      </c>
      <c r="C5701" t="s">
        <v>40</v>
      </c>
      <c r="D5701">
        <v>4.9875870000000004</v>
      </c>
      <c r="E5701">
        <v>0.4851471</v>
      </c>
      <c r="F5701" t="s">
        <v>47</v>
      </c>
      <c r="G5701">
        <v>-187.00810000000001</v>
      </c>
      <c r="H5701" s="1">
        <v>-1.4368909999999999E-6</v>
      </c>
      <c r="I5701">
        <v>121.48820000000001</v>
      </c>
      <c r="J5701">
        <v>-188.6078</v>
      </c>
      <c r="K5701">
        <v>1.12097</v>
      </c>
      <c r="L5701">
        <v>98.786929999999998</v>
      </c>
      <c r="M5701">
        <v>9.9460139999999995E-3</v>
      </c>
      <c r="N5701">
        <v>-1.4392169999999999E-2</v>
      </c>
      <c r="O5701">
        <v>0.99984689999999998</v>
      </c>
      <c r="P5701">
        <v>9.1508900000000004E-2</v>
      </c>
      <c r="Q5701">
        <v>0.16252469999999999</v>
      </c>
      <c r="R5701">
        <v>0.98245199999999999</v>
      </c>
      <c r="S5701">
        <v>0.21281430000000001</v>
      </c>
      <c r="T5701">
        <v>-0.1488081</v>
      </c>
      <c r="U5701">
        <v>3.059021</v>
      </c>
      <c r="V5701">
        <v>8.1805589999999997E-2</v>
      </c>
      <c r="W5701">
        <v>0.176625799999999</v>
      </c>
      <c r="X5701">
        <v>0.98087259999999998</v>
      </c>
      <c r="Y5701">
        <v>5.9407929999999998E-2</v>
      </c>
      <c r="Z5701">
        <v>-3.4107989999999998E-2</v>
      </c>
      <c r="AA5701">
        <v>0.99765090000000001</v>
      </c>
      <c r="AB5701">
        <v>32</v>
      </c>
      <c r="AC5701">
        <v>1.5996999999999799</v>
      </c>
      <c r="AD5701">
        <v>-1.120971436891</v>
      </c>
      <c r="AE5701">
        <v>22.701270000000001</v>
      </c>
      <c r="AF5701">
        <v>1.3704851524402499</v>
      </c>
      <c r="AG5701">
        <v>-1.120971436891</v>
      </c>
      <c r="AH5701">
        <v>22.6610774915513</v>
      </c>
      <c r="AI5701">
        <v>92.826775240363105</v>
      </c>
      <c r="AJ5701">
        <v>86.539110228212493</v>
      </c>
      <c r="AK5701">
        <v>22.7301394538942</v>
      </c>
      <c r="AL5701">
        <v>79.826715888890305</v>
      </c>
      <c r="AM5701">
        <v>85.232517667374694</v>
      </c>
      <c r="AN5701">
        <v>0.99999994260582203</v>
      </c>
    </row>
    <row r="5702" spans="1:40" x14ac:dyDescent="0.25">
      <c r="A5702" t="str">
        <f>"20190303162715641"</f>
        <v>20190303162715641</v>
      </c>
      <c r="B5702" t="str">
        <f>"1551601635630508"</f>
        <v>1551601635630508</v>
      </c>
      <c r="C5702" t="s">
        <v>40</v>
      </c>
      <c r="D5702">
        <v>4.9270659999999999</v>
      </c>
      <c r="E5702">
        <v>0.48300870000000001</v>
      </c>
      <c r="F5702" t="s">
        <v>47</v>
      </c>
      <c r="G5702">
        <v>-187.4982</v>
      </c>
      <c r="H5702" s="1">
        <v>-2.5968639999999999E-6</v>
      </c>
      <c r="I5702">
        <v>123.7287</v>
      </c>
      <c r="J5702">
        <v>-188.60400000000001</v>
      </c>
      <c r="K5702">
        <v>1.1209199999999999</v>
      </c>
      <c r="L5702">
        <v>99.136409999999998</v>
      </c>
      <c r="M5702">
        <v>1.024714E-2</v>
      </c>
      <c r="N5702">
        <v>-1.4390490000000001E-2</v>
      </c>
      <c r="O5702">
        <v>0.99984399999999996</v>
      </c>
      <c r="P5702">
        <v>9.093437E-2</v>
      </c>
      <c r="Q5702">
        <v>0.162242</v>
      </c>
      <c r="R5702">
        <v>0.98255210000000004</v>
      </c>
      <c r="S5702">
        <v>0.13629150000000001</v>
      </c>
      <c r="T5702">
        <v>-0.13769210000000001</v>
      </c>
      <c r="U5702">
        <v>3.06366</v>
      </c>
      <c r="V5702">
        <v>8.0956249999999993E-2</v>
      </c>
      <c r="W5702">
        <v>0.176333399999999</v>
      </c>
      <c r="X5702">
        <v>0.98099570000000003</v>
      </c>
      <c r="Y5702">
        <v>3.4166920000000003E-2</v>
      </c>
      <c r="Z5702">
        <v>-3.0482200000000001E-2</v>
      </c>
      <c r="AA5702">
        <v>0.99895120000000004</v>
      </c>
      <c r="AB5702">
        <v>32</v>
      </c>
      <c r="AC5702">
        <v>1.1058000000000101</v>
      </c>
      <c r="AD5702">
        <v>-1.120922596864</v>
      </c>
      <c r="AE5702">
        <v>24.592289999999998</v>
      </c>
      <c r="AF5702">
        <v>0.85194880649029003</v>
      </c>
      <c r="AG5702">
        <v>-1.120922596864</v>
      </c>
      <c r="AH5702">
        <v>24.551426907257198</v>
      </c>
      <c r="AI5702">
        <v>92.612516713118296</v>
      </c>
      <c r="AJ5702">
        <v>88.012600535760996</v>
      </c>
      <c r="AK5702">
        <v>24.5917638126962</v>
      </c>
      <c r="AL5702">
        <v>79.843736634430897</v>
      </c>
      <c r="AM5702">
        <v>85.2823804301633</v>
      </c>
      <c r="AN5702">
        <v>0.99999997289405596</v>
      </c>
    </row>
    <row r="5703" spans="1:40" x14ac:dyDescent="0.25">
      <c r="A5703" t="str">
        <f>"20190303162715662"</f>
        <v>20190303162715662</v>
      </c>
      <c r="B5703" t="str">
        <f>"1551601635651004"</f>
        <v>1551601635651004</v>
      </c>
      <c r="C5703" t="s">
        <v>40</v>
      </c>
      <c r="D5703">
        <v>4.9880879999999896</v>
      </c>
      <c r="E5703">
        <v>0.48188110000000001</v>
      </c>
      <c r="F5703" t="s">
        <v>47</v>
      </c>
      <c r="G5703">
        <v>-187.60419999999999</v>
      </c>
      <c r="H5703" s="1">
        <v>-3.1495090000000001E-6</v>
      </c>
      <c r="I5703">
        <v>124.92740000000001</v>
      </c>
      <c r="J5703">
        <v>-188.60059999999999</v>
      </c>
      <c r="K5703">
        <v>1.1208549999999999</v>
      </c>
      <c r="L5703">
        <v>99.438749999999999</v>
      </c>
      <c r="M5703">
        <v>1.06126E-2</v>
      </c>
      <c r="N5703">
        <v>-1.4388929999999999E-2</v>
      </c>
      <c r="O5703">
        <v>0.99984010000000001</v>
      </c>
      <c r="P5703">
        <v>9.0637759999999998E-2</v>
      </c>
      <c r="Q5703">
        <v>0.16278000000000001</v>
      </c>
      <c r="R5703">
        <v>0.98249039999999999</v>
      </c>
      <c r="S5703">
        <v>0.1187897</v>
      </c>
      <c r="T5703">
        <v>-0.13317889999999999</v>
      </c>
      <c r="U5703">
        <v>3.06427</v>
      </c>
      <c r="V5703">
        <v>8.0331860000000005E-2</v>
      </c>
      <c r="W5703">
        <v>0.17685529999999999</v>
      </c>
      <c r="X5703">
        <v>0.98095310000000002</v>
      </c>
      <c r="Y5703">
        <v>2.8101049999999999E-2</v>
      </c>
      <c r="Z5703">
        <v>-2.901548E-2</v>
      </c>
      <c r="AA5703">
        <v>0.99918390000000001</v>
      </c>
      <c r="AB5703">
        <v>32</v>
      </c>
      <c r="AC5703">
        <v>0.99639999999999396</v>
      </c>
      <c r="AD5703">
        <v>-1.120858149509</v>
      </c>
      <c r="AE5703">
        <v>25.48865</v>
      </c>
      <c r="AF5703">
        <v>0.72441628172667905</v>
      </c>
      <c r="AG5703">
        <v>-1.120858149509</v>
      </c>
      <c r="AH5703">
        <v>25.4486527228153</v>
      </c>
      <c r="AI5703">
        <v>92.520880424284201</v>
      </c>
      <c r="AJ5703">
        <v>88.369470059645806</v>
      </c>
      <c r="AK5703">
        <v>25.483622728077801</v>
      </c>
      <c r="AL5703">
        <v>79.813356726965495</v>
      </c>
      <c r="AM5703">
        <v>85.318401200892197</v>
      </c>
      <c r="AN5703">
        <v>0.99999999463437905</v>
      </c>
    </row>
    <row r="5704" spans="1:40" x14ac:dyDescent="0.25">
      <c r="A5704" t="str">
        <f>"20190303162715685"</f>
        <v>20190303162715685</v>
      </c>
      <c r="B5704" t="str">
        <f>"1551601635680284"</f>
        <v>1551601635680284</v>
      </c>
      <c r="C5704" t="s">
        <v>40</v>
      </c>
      <c r="D5704">
        <v>5.1033910000000002</v>
      </c>
      <c r="E5704">
        <v>0.48081079999999998</v>
      </c>
      <c r="F5704" t="s">
        <v>47</v>
      </c>
      <c r="G5704">
        <v>-187.6388</v>
      </c>
      <c r="H5704" s="1">
        <v>-3.5778279999999998E-6</v>
      </c>
      <c r="I5704">
        <v>126.2799</v>
      </c>
      <c r="J5704">
        <v>-188.5968</v>
      </c>
      <c r="K5704">
        <v>1.1207609999999999</v>
      </c>
      <c r="L5704">
        <v>99.749790000000004</v>
      </c>
      <c r="M5704">
        <v>1.1130279999999999E-2</v>
      </c>
      <c r="N5704">
        <v>-1.4387520000000001E-2</v>
      </c>
      <c r="O5704">
        <v>0.99983449999999996</v>
      </c>
      <c r="P5704">
        <v>9.069286E-2</v>
      </c>
      <c r="Q5704">
        <v>0.16348379999999901</v>
      </c>
      <c r="R5704">
        <v>0.98236849999999998</v>
      </c>
      <c r="S5704">
        <v>0.1098175</v>
      </c>
      <c r="T5704">
        <v>-0.12797239999999999</v>
      </c>
      <c r="U5704">
        <v>3.0645449999999999</v>
      </c>
      <c r="V5704">
        <v>7.9923350000000004E-2</v>
      </c>
      <c r="W5704">
        <v>0.17753720000000001</v>
      </c>
      <c r="X5704">
        <v>0.98086329999999999</v>
      </c>
      <c r="Y5704">
        <v>2.4662030000000001E-2</v>
      </c>
      <c r="Z5704">
        <v>-2.7322630000000001E-2</v>
      </c>
      <c r="AA5704">
        <v>0.99932240000000006</v>
      </c>
      <c r="AB5704">
        <v>32</v>
      </c>
      <c r="AC5704">
        <v>0.95799999999999796</v>
      </c>
      <c r="AD5704">
        <v>-1.120764577828</v>
      </c>
      <c r="AE5704">
        <v>26.530109999999901</v>
      </c>
      <c r="AF5704">
        <v>0.66144361118382999</v>
      </c>
      <c r="AG5704">
        <v>-1.120764577828</v>
      </c>
      <c r="AH5704">
        <v>26.491913236518901</v>
      </c>
      <c r="AI5704">
        <v>92.421751866222706</v>
      </c>
      <c r="AJ5704">
        <v>88.569750139799297</v>
      </c>
      <c r="AK5704">
        <v>26.523858841068598</v>
      </c>
      <c r="AL5704">
        <v>79.773658651540003</v>
      </c>
      <c r="AM5704">
        <v>85.341678856829205</v>
      </c>
      <c r="AN5704">
        <v>1.0000000062729699</v>
      </c>
    </row>
    <row r="5705" spans="1:40" x14ac:dyDescent="0.25">
      <c r="A5705" t="str">
        <f>"20190303162715707"</f>
        <v>20190303162715707</v>
      </c>
      <c r="B5705" t="str">
        <f>"1551601635690044"</f>
        <v>1551601635690044</v>
      </c>
      <c r="C5705" t="s">
        <v>40</v>
      </c>
      <c r="D5705">
        <v>5.0409829999999998</v>
      </c>
      <c r="E5705">
        <v>0.4805044</v>
      </c>
      <c r="F5705" t="s">
        <v>47</v>
      </c>
      <c r="G5705">
        <v>-187.6437</v>
      </c>
      <c r="H5705" s="1">
        <v>-4.3587030000000002E-6</v>
      </c>
      <c r="I5705">
        <v>128.13050000000001</v>
      </c>
      <c r="J5705">
        <v>-188.5925</v>
      </c>
      <c r="K5705">
        <v>1.1206430000000001</v>
      </c>
      <c r="L5705">
        <v>100.07550000000001</v>
      </c>
      <c r="M5705">
        <v>1.1840140000000001E-2</v>
      </c>
      <c r="N5705">
        <v>-1.4386400000000001E-2</v>
      </c>
      <c r="O5705">
        <v>0.9998264</v>
      </c>
      <c r="P5705">
        <v>9.1669249999999994E-2</v>
      </c>
      <c r="Q5705">
        <v>0.16440009999999999</v>
      </c>
      <c r="R5705">
        <v>0.98212489999999997</v>
      </c>
      <c r="S5705">
        <v>0.1029205</v>
      </c>
      <c r="T5705">
        <v>-0.12101770000000001</v>
      </c>
      <c r="U5705">
        <v>3.0644840000000002</v>
      </c>
      <c r="V5705">
        <v>8.0259990000000003E-2</v>
      </c>
      <c r="W5705">
        <v>0.17842539999999901</v>
      </c>
      <c r="X5705">
        <v>0.98067459999999995</v>
      </c>
      <c r="Y5705">
        <v>2.1710030000000002E-2</v>
      </c>
      <c r="Z5705">
        <v>-2.5063330000000002E-2</v>
      </c>
      <c r="AA5705">
        <v>0.99945010000000001</v>
      </c>
      <c r="AB5705">
        <v>32</v>
      </c>
      <c r="AC5705">
        <v>0.94880000000000497</v>
      </c>
      <c r="AD5705">
        <v>-1.1206473587029999</v>
      </c>
      <c r="AE5705">
        <v>28.055</v>
      </c>
      <c r="AF5705">
        <v>0.615542944989661</v>
      </c>
      <c r="AG5705">
        <v>-1.1206473587029999</v>
      </c>
      <c r="AH5705">
        <v>28.0196117769175</v>
      </c>
      <c r="AI5705">
        <v>92.289778241675094</v>
      </c>
      <c r="AJ5705">
        <v>88.741512149962603</v>
      </c>
      <c r="AK5705">
        <v>28.04876802551</v>
      </c>
      <c r="AL5705">
        <v>79.721942566524802</v>
      </c>
      <c r="AM5705">
        <v>85.321248626488597</v>
      </c>
      <c r="AN5705">
        <v>0.99999998022255898</v>
      </c>
    </row>
    <row r="5706" spans="1:40" x14ac:dyDescent="0.25">
      <c r="A5706" t="str">
        <f>"20190303162715725"</f>
        <v>20190303162715725</v>
      </c>
      <c r="B5706" t="str">
        <f>"1551601635709564"</f>
        <v>1551601635709564</v>
      </c>
      <c r="C5706" t="s">
        <v>40</v>
      </c>
      <c r="D5706">
        <v>5.1601330000000001</v>
      </c>
      <c r="E5706">
        <v>0.48012109999999902</v>
      </c>
      <c r="F5706" t="s">
        <v>47</v>
      </c>
      <c r="G5706">
        <v>-187.58160000000001</v>
      </c>
      <c r="H5706" s="1">
        <v>-4.9961600000000003E-6</v>
      </c>
      <c r="I5706">
        <v>129.63720000000001</v>
      </c>
      <c r="J5706">
        <v>-188.58869999999999</v>
      </c>
      <c r="K5706">
        <v>1.1205480000000001</v>
      </c>
      <c r="L5706">
        <v>100.3389</v>
      </c>
      <c r="M5706">
        <v>1.251698E-2</v>
      </c>
      <c r="N5706">
        <v>-1.438558E-2</v>
      </c>
      <c r="O5706">
        <v>0.99981810000000004</v>
      </c>
      <c r="P5706">
        <v>9.3392160000000002E-2</v>
      </c>
      <c r="Q5706">
        <v>0.1654535</v>
      </c>
      <c r="R5706">
        <v>0.98178569999999998</v>
      </c>
      <c r="S5706">
        <v>0.1047821</v>
      </c>
      <c r="T5706">
        <v>-0.116163</v>
      </c>
      <c r="U5706">
        <v>3.06427</v>
      </c>
      <c r="V5706">
        <v>8.1366740000000007E-2</v>
      </c>
      <c r="W5706">
        <v>0.17945239999999901</v>
      </c>
      <c r="X5706">
        <v>0.98039600000000005</v>
      </c>
      <c r="Y5706">
        <v>2.1643619999999999E-2</v>
      </c>
      <c r="Z5706">
        <v>-2.348563E-2</v>
      </c>
      <c r="AA5706">
        <v>0.99948979999999998</v>
      </c>
      <c r="AB5706">
        <v>32</v>
      </c>
      <c r="AC5706">
        <v>1.0070999999999799</v>
      </c>
      <c r="AD5706">
        <v>-1.12055299615999</v>
      </c>
      <c r="AE5706">
        <v>29.298300000000001</v>
      </c>
      <c r="AF5706">
        <v>0.63932278595762204</v>
      </c>
      <c r="AG5706">
        <v>-1.12055299615999</v>
      </c>
      <c r="AH5706">
        <v>29.2658523644679</v>
      </c>
      <c r="AI5706">
        <v>92.192190343904002</v>
      </c>
      <c r="AJ5706">
        <v>88.748552693195805</v>
      </c>
      <c r="AK5706">
        <v>29.294273967119899</v>
      </c>
      <c r="AL5706">
        <v>79.662134854102803</v>
      </c>
      <c r="AM5706">
        <v>85.255681389769094</v>
      </c>
      <c r="AN5706">
        <v>1.00000001352999</v>
      </c>
    </row>
    <row r="5707" spans="1:40" x14ac:dyDescent="0.25">
      <c r="A5707" t="str">
        <f>"20190303162715748"</f>
        <v>20190303162715748</v>
      </c>
      <c r="B5707" t="str">
        <f>"1551601635740328"</f>
        <v>1551601635740328</v>
      </c>
      <c r="C5707" t="s">
        <v>40</v>
      </c>
      <c r="D5707">
        <v>5.1594309999999997</v>
      </c>
      <c r="E5707">
        <v>0.47969240000000002</v>
      </c>
      <c r="F5707" t="s">
        <v>47</v>
      </c>
      <c r="G5707">
        <v>-187.48920000000001</v>
      </c>
      <c r="H5707" s="1">
        <v>-5.645307E-6</v>
      </c>
      <c r="I5707">
        <v>131.6497</v>
      </c>
      <c r="J5707">
        <v>-188.58369999999999</v>
      </c>
      <c r="K5707">
        <v>1.120441</v>
      </c>
      <c r="L5707">
        <v>100.65989999999999</v>
      </c>
      <c r="M5707">
        <v>1.349332E-2</v>
      </c>
      <c r="N5707">
        <v>-1.438443E-2</v>
      </c>
      <c r="O5707">
        <v>0.99980550000000001</v>
      </c>
      <c r="P5707">
        <v>9.5905299999999999E-2</v>
      </c>
      <c r="Q5707">
        <v>0.166273</v>
      </c>
      <c r="R5707">
        <v>0.98140479999999997</v>
      </c>
      <c r="S5707">
        <v>0.1075897</v>
      </c>
      <c r="T5707">
        <v>-0.1096512</v>
      </c>
      <c r="U5707">
        <v>3.063904</v>
      </c>
      <c r="V5707">
        <v>8.2977969999999998E-2</v>
      </c>
      <c r="W5707">
        <v>0.18024090000000001</v>
      </c>
      <c r="X5707">
        <v>0.98011619999999999</v>
      </c>
      <c r="Y5707">
        <v>2.1588220000000002E-2</v>
      </c>
      <c r="Z5707">
        <v>-2.1369599999999999E-2</v>
      </c>
      <c r="AA5707">
        <v>0.9995385</v>
      </c>
      <c r="AB5707">
        <v>32</v>
      </c>
      <c r="AC5707">
        <v>1.09449999999998</v>
      </c>
      <c r="AD5707">
        <v>-1.1204466453069899</v>
      </c>
      <c r="AE5707">
        <v>30.989799999999999</v>
      </c>
      <c r="AF5707">
        <v>0.67532010147178201</v>
      </c>
      <c r="AG5707">
        <v>-1.1204466453069899</v>
      </c>
      <c r="AH5707">
        <v>30.9613256210455</v>
      </c>
      <c r="AI5707">
        <v>92.072056503337095</v>
      </c>
      <c r="AJ5707">
        <v>88.750478006824295</v>
      </c>
      <c r="AK5707">
        <v>30.988951936728</v>
      </c>
      <c r="AL5707">
        <v>79.616207568827207</v>
      </c>
      <c r="AM5707">
        <v>85.1608011211313</v>
      </c>
      <c r="AN5707">
        <v>0.99999994552028304</v>
      </c>
    </row>
    <row r="5708" spans="1:40" x14ac:dyDescent="0.25">
      <c r="A5708" t="str">
        <f>"20190303162715770"</f>
        <v>20190303162715770</v>
      </c>
      <c r="B5708" t="str">
        <f>"1551601635759847"</f>
        <v>1551601635759847</v>
      </c>
      <c r="C5708" t="s">
        <v>40</v>
      </c>
      <c r="D5708">
        <v>5.2215360000000004</v>
      </c>
      <c r="E5708">
        <v>0.47937229999999997</v>
      </c>
      <c r="F5708" t="s">
        <v>47</v>
      </c>
      <c r="G5708">
        <v>-187.37389999999999</v>
      </c>
      <c r="H5708" s="1">
        <v>-6.3111359999999997E-6</v>
      </c>
      <c r="I5708">
        <v>133.71029999999999</v>
      </c>
      <c r="J5708">
        <v>-188.57839999999999</v>
      </c>
      <c r="K5708">
        <v>1.1203369999999999</v>
      </c>
      <c r="L5708">
        <v>100.97029999999999</v>
      </c>
      <c r="M5708">
        <v>1.459589E-2</v>
      </c>
      <c r="N5708">
        <v>-1.438331E-2</v>
      </c>
      <c r="O5708">
        <v>0.99978999999999996</v>
      </c>
      <c r="P5708">
        <v>0.1001986</v>
      </c>
      <c r="Q5708">
        <v>0.16743820000000001</v>
      </c>
      <c r="R5708">
        <v>0.98077760000000003</v>
      </c>
      <c r="S5708">
        <v>0.11213679999999999</v>
      </c>
      <c r="T5708">
        <v>-0.1038553</v>
      </c>
      <c r="U5708">
        <v>3.0634769999999998</v>
      </c>
      <c r="V5708">
        <v>8.6248530000000004E-2</v>
      </c>
      <c r="W5708">
        <v>0.18136830000000001</v>
      </c>
      <c r="X5708">
        <v>0.97962579999999999</v>
      </c>
      <c r="Y5708">
        <v>2.1973840000000001E-2</v>
      </c>
      <c r="Z5708">
        <v>-1.9486099999999999E-2</v>
      </c>
      <c r="AA5708">
        <v>0.99956860000000003</v>
      </c>
      <c r="AB5708">
        <v>32</v>
      </c>
      <c r="AC5708">
        <v>1.2044999999999899</v>
      </c>
      <c r="AD5708">
        <v>-1.1203433111359999</v>
      </c>
      <c r="AE5708">
        <v>32.739999999999903</v>
      </c>
      <c r="AF5708">
        <v>0.72560426692448199</v>
      </c>
      <c r="AG5708">
        <v>-1.1203433111359999</v>
      </c>
      <c r="AH5708">
        <v>32.715836790462298</v>
      </c>
      <c r="AI5708">
        <v>91.960827274066801</v>
      </c>
      <c r="AJ5708">
        <v>88.729445696213205</v>
      </c>
      <c r="AK5708">
        <v>32.743054951961199</v>
      </c>
      <c r="AL5708">
        <v>79.550530322931493</v>
      </c>
      <c r="AM5708">
        <v>84.968520196180606</v>
      </c>
      <c r="AN5708">
        <v>0.99999998859884498</v>
      </c>
    </row>
    <row r="5709" spans="1:40" x14ac:dyDescent="0.25">
      <c r="A5709" t="str">
        <f>"20190303162715794"</f>
        <v>20190303162715794</v>
      </c>
      <c r="B5709" t="str">
        <f>"1551601635780343"</f>
        <v>1551601635780343</v>
      </c>
      <c r="C5709" t="s">
        <v>40</v>
      </c>
      <c r="D5709">
        <v>5.3044969999999996</v>
      </c>
      <c r="E5709">
        <v>0.47931810000000002</v>
      </c>
      <c r="F5709" t="s">
        <v>47</v>
      </c>
      <c r="G5709">
        <v>-187.19640000000001</v>
      </c>
      <c r="H5709" s="1">
        <v>-6.8264539999999998E-6</v>
      </c>
      <c r="I5709">
        <v>135.28909999999999</v>
      </c>
      <c r="J5709">
        <v>-188.57249999999999</v>
      </c>
      <c r="K5709">
        <v>1.120228</v>
      </c>
      <c r="L5709">
        <v>101.28230000000001</v>
      </c>
      <c r="M5709">
        <v>1.5857130000000001E-2</v>
      </c>
      <c r="N5709">
        <v>-1.4382529999999999E-2</v>
      </c>
      <c r="O5709">
        <v>0.99977079999999996</v>
      </c>
      <c r="P5709">
        <v>0.1059903</v>
      </c>
      <c r="Q5709">
        <v>0.1684813</v>
      </c>
      <c r="R5709">
        <v>0.97998980000000002</v>
      </c>
      <c r="S5709">
        <v>0.12335210000000001</v>
      </c>
      <c r="T5709">
        <v>-0.1000007</v>
      </c>
      <c r="U5709">
        <v>3.0632630000000001</v>
      </c>
      <c r="V5709">
        <v>9.0867119999999996E-2</v>
      </c>
      <c r="W5709">
        <v>0.18236649999999999</v>
      </c>
      <c r="X5709">
        <v>0.97902279999999997</v>
      </c>
      <c r="Y5709">
        <v>2.4369680000000001E-2</v>
      </c>
      <c r="Z5709">
        <v>-1.8229929999999998E-2</v>
      </c>
      <c r="AA5709">
        <v>0.9995368</v>
      </c>
      <c r="AB5709">
        <v>31</v>
      </c>
      <c r="AC5709">
        <v>1.3760999999999699</v>
      </c>
      <c r="AD5709">
        <v>-1.1202348264540001</v>
      </c>
      <c r="AE5709">
        <v>34.006799999999899</v>
      </c>
      <c r="AF5709">
        <v>0.83571551429866797</v>
      </c>
      <c r="AG5709">
        <v>-1.1202348264540001</v>
      </c>
      <c r="AH5709">
        <v>33.987525618283001</v>
      </c>
      <c r="AI5709">
        <v>91.887225536247001</v>
      </c>
      <c r="AJ5709">
        <v>88.591444236052098</v>
      </c>
      <c r="AK5709">
        <v>34.016249707172001</v>
      </c>
      <c r="AL5709">
        <v>79.492367908190204</v>
      </c>
      <c r="AM5709">
        <v>84.697335498421296</v>
      </c>
      <c r="AN5709">
        <v>1.0000000083695899</v>
      </c>
    </row>
    <row r="5710" spans="1:40" x14ac:dyDescent="0.25">
      <c r="A5710" t="str">
        <f>"20190303162715817"</f>
        <v>20190303162715817</v>
      </c>
      <c r="B5710" t="str">
        <f>"1551601635813527"</f>
        <v>1551601635813527</v>
      </c>
      <c r="C5710" t="s">
        <v>40</v>
      </c>
      <c r="D5710">
        <v>4.9931449999999904</v>
      </c>
      <c r="E5710">
        <v>0.54528699999999997</v>
      </c>
      <c r="F5710" t="s">
        <v>47</v>
      </c>
      <c r="G5710">
        <v>-186.92070000000001</v>
      </c>
      <c r="H5710" s="1">
        <v>-7.4488410000000002E-6</v>
      </c>
      <c r="I5710">
        <v>137.13319999999999</v>
      </c>
      <c r="J5710">
        <v>-188.56549999999999</v>
      </c>
      <c r="K5710">
        <v>1.1200939999999999</v>
      </c>
      <c r="L5710">
        <v>101.6234</v>
      </c>
      <c r="M5710">
        <v>1.7399810000000002E-2</v>
      </c>
      <c r="N5710">
        <v>-1.4381949999999999E-2</v>
      </c>
      <c r="O5710">
        <v>0.9997452</v>
      </c>
      <c r="P5710">
        <v>0.1134376</v>
      </c>
      <c r="Q5710">
        <v>0.16841519999999999</v>
      </c>
      <c r="R5710">
        <v>0.97916709999999996</v>
      </c>
      <c r="S5710">
        <v>0.141098</v>
      </c>
      <c r="T5710">
        <v>-9.5692280000000005E-2</v>
      </c>
      <c r="U5710">
        <v>3.0624389999999999</v>
      </c>
      <c r="V5710">
        <v>9.6871139999999994E-2</v>
      </c>
      <c r="W5710">
        <v>0.18224699999999999</v>
      </c>
      <c r="X5710">
        <v>0.97846920000000004</v>
      </c>
      <c r="Y5710">
        <v>2.8618879999999999E-2</v>
      </c>
      <c r="Z5710">
        <v>-1.682941E-2</v>
      </c>
      <c r="AA5710">
        <v>0.99944869999999997</v>
      </c>
      <c r="AB5710">
        <v>31</v>
      </c>
      <c r="AC5710">
        <v>1.6447999999999701</v>
      </c>
      <c r="AD5710">
        <v>-1.1201014488409999</v>
      </c>
      <c r="AE5710">
        <v>35.509799999999899</v>
      </c>
      <c r="AF5710">
        <v>1.0256049998252399</v>
      </c>
      <c r="AG5710">
        <v>-1.1201014488409999</v>
      </c>
      <c r="AH5710">
        <v>35.4978009884423</v>
      </c>
      <c r="AI5710">
        <v>91.806564193372495</v>
      </c>
      <c r="AJ5710">
        <v>88.3450666325393</v>
      </c>
      <c r="AK5710">
        <v>35.530273963008199</v>
      </c>
      <c r="AL5710">
        <v>79.499331160885902</v>
      </c>
      <c r="AM5710">
        <v>84.345985013921407</v>
      </c>
      <c r="AN5710">
        <v>0.99999998106126897</v>
      </c>
    </row>
    <row r="5711" spans="1:40" x14ac:dyDescent="0.25">
      <c r="A5711" t="str">
        <f>"20190303162715840"</f>
        <v>20190303162715840</v>
      </c>
      <c r="B5711" t="str">
        <f>"1551601635829651"</f>
        <v>1551601635829651</v>
      </c>
      <c r="C5711" t="s">
        <v>40</v>
      </c>
      <c r="D5711">
        <v>4.9767890000000001</v>
      </c>
      <c r="E5711">
        <v>0.55605660000000001</v>
      </c>
      <c r="F5711" t="s">
        <v>47</v>
      </c>
      <c r="G5711">
        <v>-182.2542</v>
      </c>
      <c r="H5711" s="1">
        <v>-5.1399969999999899E-6</v>
      </c>
      <c r="I5711">
        <v>129.24029999999999</v>
      </c>
      <c r="J5711">
        <v>-188.5583</v>
      </c>
      <c r="K5711">
        <v>1.1199730000000001</v>
      </c>
      <c r="L5711">
        <v>101.9409</v>
      </c>
      <c r="M5711">
        <v>1.8981680000000001E-2</v>
      </c>
      <c r="N5711">
        <v>-1.438154E-2</v>
      </c>
      <c r="O5711">
        <v>0.99971639999999995</v>
      </c>
      <c r="P5711">
        <v>0.12056550000000001</v>
      </c>
      <c r="Q5711">
        <v>0.1682331</v>
      </c>
      <c r="R5711">
        <v>0.9783463</v>
      </c>
      <c r="S5711">
        <v>0.68678280000000003</v>
      </c>
      <c r="T5711">
        <v>-0.121887</v>
      </c>
      <c r="U5711">
        <v>3.0052189999999999</v>
      </c>
      <c r="V5711">
        <v>0.10251390000000001</v>
      </c>
      <c r="W5711">
        <v>0.1820116</v>
      </c>
      <c r="X5711">
        <v>0.97793790000000003</v>
      </c>
      <c r="Y5711">
        <v>0.20409079999999999</v>
      </c>
      <c r="Z5711">
        <v>-2.5235029999999999E-2</v>
      </c>
      <c r="AA5711">
        <v>0.97862669999999996</v>
      </c>
      <c r="AB5711">
        <v>31</v>
      </c>
      <c r="AC5711">
        <v>6.3041</v>
      </c>
      <c r="AD5711">
        <v>-1.1199781399969999</v>
      </c>
      <c r="AE5711">
        <v>27.299399999999899</v>
      </c>
      <c r="AF5711">
        <v>5.7754932280219</v>
      </c>
      <c r="AG5711">
        <v>-1.1199781399969999</v>
      </c>
      <c r="AH5711">
        <v>27.370420042048899</v>
      </c>
      <c r="AI5711">
        <v>92.292762959481806</v>
      </c>
      <c r="AJ5711">
        <v>78.084685596599499</v>
      </c>
      <c r="AK5711">
        <v>27.995545473149701</v>
      </c>
      <c r="AL5711">
        <v>79.513047458000401</v>
      </c>
      <c r="AM5711">
        <v>84.015734269737393</v>
      </c>
      <c r="AN5711">
        <v>0.99999992924208703</v>
      </c>
    </row>
    <row r="5712" spans="1:40" x14ac:dyDescent="0.25">
      <c r="A5712" t="str">
        <f>"20190303162715882"</f>
        <v>20190303162715882</v>
      </c>
      <c r="B5712" t="str">
        <f>"1551601635869666"</f>
        <v>1551601635869666</v>
      </c>
      <c r="C5712" t="s">
        <v>40</v>
      </c>
      <c r="D5712">
        <v>4.9388069999999997</v>
      </c>
      <c r="E5712">
        <v>0.56226390000000004</v>
      </c>
      <c r="F5712" t="s">
        <v>47</v>
      </c>
      <c r="G5712">
        <v>-182.3109</v>
      </c>
      <c r="H5712" s="1">
        <v>-4.0393990000000004E-6</v>
      </c>
      <c r="I5712">
        <v>125.5159</v>
      </c>
      <c r="J5712">
        <v>-188.54329999999999</v>
      </c>
      <c r="K5712">
        <v>1.1197790000000001</v>
      </c>
      <c r="L5712">
        <v>102.52970000000001</v>
      </c>
      <c r="M5712">
        <v>2.2256379999999999E-2</v>
      </c>
      <c r="N5712">
        <v>-1.4380779999999999E-2</v>
      </c>
      <c r="O5712">
        <v>0.99964889999999995</v>
      </c>
      <c r="P5712">
        <v>0.13685439999999999</v>
      </c>
      <c r="Q5712">
        <v>0.167852799999999</v>
      </c>
      <c r="R5712">
        <v>0.97626650000000004</v>
      </c>
      <c r="S5712">
        <v>0.79318239999999995</v>
      </c>
      <c r="T5712">
        <v>-0.14219329999999999</v>
      </c>
      <c r="U5712">
        <v>2.9931030000000001</v>
      </c>
      <c r="V5712">
        <v>0.1157203</v>
      </c>
      <c r="W5712">
        <v>0.18151510000000001</v>
      </c>
      <c r="X5712">
        <v>0.97655570000000003</v>
      </c>
      <c r="Y5712">
        <v>0.2343537</v>
      </c>
      <c r="Z5712">
        <v>-3.165511E-2</v>
      </c>
      <c r="AA5712">
        <v>0.9716359</v>
      </c>
      <c r="AB5712">
        <v>31</v>
      </c>
      <c r="AC5712">
        <v>6.2323999999999797</v>
      </c>
      <c r="AD5712">
        <v>-1.119783039399</v>
      </c>
      <c r="AE5712">
        <v>22.9862</v>
      </c>
      <c r="AF5712">
        <v>5.7065979560735398</v>
      </c>
      <c r="AG5712">
        <v>-1.119783039399</v>
      </c>
      <c r="AH5712">
        <v>23.068233643023198</v>
      </c>
      <c r="AI5712">
        <v>92.697883278771798</v>
      </c>
      <c r="AJ5712">
        <v>76.105178796759404</v>
      </c>
      <c r="AK5712">
        <v>23.789968005373499</v>
      </c>
      <c r="AL5712">
        <v>79.541977217705806</v>
      </c>
      <c r="AM5712">
        <v>83.242054917973505</v>
      </c>
      <c r="AN5712">
        <v>0.99999997728129397</v>
      </c>
    </row>
    <row r="5713" spans="1:40" x14ac:dyDescent="0.25">
      <c r="A5713" t="str">
        <f>"20190303162715903"</f>
        <v>20190303162715903</v>
      </c>
      <c r="B5713" t="str">
        <f>"1551601635899923"</f>
        <v>1551601635899923</v>
      </c>
      <c r="C5713" t="s">
        <v>40</v>
      </c>
      <c r="D5713">
        <v>4.9414540000000002</v>
      </c>
      <c r="E5713">
        <v>0.56359090000000001</v>
      </c>
      <c r="F5713" t="s">
        <v>47</v>
      </c>
      <c r="G5713">
        <v>-182.23560000000001</v>
      </c>
      <c r="H5713" s="1">
        <v>-3.2521729999999999E-6</v>
      </c>
      <c r="I5713">
        <v>123.5874</v>
      </c>
      <c r="J5713">
        <v>-188.53469999999999</v>
      </c>
      <c r="K5713">
        <v>1.1196980000000001</v>
      </c>
      <c r="L5713">
        <v>102.83110000000001</v>
      </c>
      <c r="M5713">
        <v>2.40691E-2</v>
      </c>
      <c r="N5713">
        <v>-1.4380179999999999E-2</v>
      </c>
      <c r="O5713">
        <v>0.99960680000000002</v>
      </c>
      <c r="P5713">
        <v>0.14484920000000001</v>
      </c>
      <c r="Q5713">
        <v>0.16698499999999999</v>
      </c>
      <c r="R5713">
        <v>0.97526139999999995</v>
      </c>
      <c r="S5713">
        <v>0.89120480000000002</v>
      </c>
      <c r="T5713">
        <v>-0.15821250000000001</v>
      </c>
      <c r="U5713">
        <v>2.9752200000000002</v>
      </c>
      <c r="V5713">
        <v>0.12199309999999999</v>
      </c>
      <c r="W5713">
        <v>0.18059310000000001</v>
      </c>
      <c r="X5713">
        <v>0.97596300000000002</v>
      </c>
      <c r="Y5713">
        <v>0.26348919999999998</v>
      </c>
      <c r="Z5713">
        <v>-3.6708419999999999E-2</v>
      </c>
      <c r="AA5713">
        <v>0.96396360000000003</v>
      </c>
      <c r="AB5713">
        <v>31</v>
      </c>
      <c r="AC5713">
        <v>6.2990999999999797</v>
      </c>
      <c r="AD5713">
        <v>-1.1197012521730001</v>
      </c>
      <c r="AE5713">
        <v>20.7563</v>
      </c>
      <c r="AF5713">
        <v>5.7822299065030398</v>
      </c>
      <c r="AG5713">
        <v>-1.1197012521730001</v>
      </c>
      <c r="AH5713">
        <v>20.846366418163299</v>
      </c>
      <c r="AI5713">
        <v>92.962866679104394</v>
      </c>
      <c r="AJ5713">
        <v>74.497394642518302</v>
      </c>
      <c r="AK5713">
        <v>21.662384596948201</v>
      </c>
      <c r="AL5713">
        <v>79.595691697923002</v>
      </c>
      <c r="AM5713">
        <v>82.875115154631501</v>
      </c>
      <c r="AN5713">
        <v>0.99999998079210894</v>
      </c>
    </row>
    <row r="5714" spans="1:40" x14ac:dyDescent="0.25">
      <c r="A5714" t="str">
        <f>"20190303162715927"</f>
        <v>20190303162715927</v>
      </c>
      <c r="B5714" t="str">
        <f>"1551601635920419"</f>
        <v>1551601635920419</v>
      </c>
      <c r="C5714" t="s">
        <v>40</v>
      </c>
      <c r="D5714">
        <v>4.9290250000000002</v>
      </c>
      <c r="E5714">
        <v>0.563899699999999</v>
      </c>
      <c r="F5714" t="s">
        <v>47</v>
      </c>
      <c r="G5714">
        <v>-182.22319999999999</v>
      </c>
      <c r="H5714" s="1">
        <v>-3.0703360000000002E-6</v>
      </c>
      <c r="I5714">
        <v>123.0536</v>
      </c>
      <c r="J5714">
        <v>-188.52459999999999</v>
      </c>
      <c r="K5714">
        <v>1.1196200000000001</v>
      </c>
      <c r="L5714">
        <v>103.15900000000001</v>
      </c>
      <c r="M5714">
        <v>2.613234E-2</v>
      </c>
      <c r="N5714">
        <v>-1.437914E-2</v>
      </c>
      <c r="O5714">
        <v>0.99955510000000003</v>
      </c>
      <c r="P5714">
        <v>0.1522956</v>
      </c>
      <c r="Q5714">
        <v>0.1657429</v>
      </c>
      <c r="R5714">
        <v>0.97433840000000005</v>
      </c>
      <c r="S5714">
        <v>0.92591860000000004</v>
      </c>
      <c r="T5714">
        <v>-0.16426370000000001</v>
      </c>
      <c r="U5714">
        <v>2.9667050000000001</v>
      </c>
      <c r="V5714">
        <v>0.1274679</v>
      </c>
      <c r="W5714">
        <v>0.17930090000000001</v>
      </c>
      <c r="X5714">
        <v>0.97550150000000002</v>
      </c>
      <c r="Y5714">
        <v>0.27252920000000003</v>
      </c>
      <c r="Z5714">
        <v>-3.864778E-2</v>
      </c>
      <c r="AA5714">
        <v>0.96137099999999998</v>
      </c>
      <c r="AB5714">
        <v>31</v>
      </c>
      <c r="AC5714">
        <v>6.3014000000000001</v>
      </c>
      <c r="AD5714">
        <v>-1.1196230703359999</v>
      </c>
      <c r="AE5714">
        <v>19.894600000000001</v>
      </c>
      <c r="AF5714">
        <v>5.7627139277646302</v>
      </c>
      <c r="AG5714">
        <v>-1.1196230703359999</v>
      </c>
      <c r="AH5714">
        <v>19.994938134892301</v>
      </c>
      <c r="AI5714">
        <v>93.079844089741002</v>
      </c>
      <c r="AJ5714">
        <v>73.922561469332706</v>
      </c>
      <c r="AK5714">
        <v>20.838905409139201</v>
      </c>
      <c r="AL5714">
        <v>79.670958421027194</v>
      </c>
      <c r="AM5714">
        <v>82.555391792949393</v>
      </c>
      <c r="AN5714">
        <v>1.00000002738673</v>
      </c>
    </row>
    <row r="5715" spans="1:40" x14ac:dyDescent="0.25">
      <c r="A5715" t="str">
        <f>"20190303162715949"</f>
        <v>20190303162715949</v>
      </c>
      <c r="B5715" t="str">
        <f>"1551601635939939"</f>
        <v>1551601635939939</v>
      </c>
      <c r="C5715" t="s">
        <v>40</v>
      </c>
      <c r="D5715">
        <v>4.9138669999999998</v>
      </c>
      <c r="E5715">
        <v>0.563948</v>
      </c>
      <c r="F5715" t="s">
        <v>47</v>
      </c>
      <c r="G5715">
        <v>-182.27780000000001</v>
      </c>
      <c r="H5715" s="1">
        <v>-2.9267479999999999E-6</v>
      </c>
      <c r="I5715">
        <v>122.6153</v>
      </c>
      <c r="J5715">
        <v>-188.51400000000001</v>
      </c>
      <c r="K5715">
        <v>1.1195550000000001</v>
      </c>
      <c r="L5715">
        <v>103.48009999999999</v>
      </c>
      <c r="M5715">
        <v>2.8216149999999999E-2</v>
      </c>
      <c r="N5715">
        <v>-1.437796E-2</v>
      </c>
      <c r="O5715">
        <v>0.99949840000000001</v>
      </c>
      <c r="P5715">
        <v>0.160004799999999</v>
      </c>
      <c r="Q5715">
        <v>0.165513299999999</v>
      </c>
      <c r="R5715">
        <v>0.97314120000000004</v>
      </c>
      <c r="S5715">
        <v>0.95019529999999996</v>
      </c>
      <c r="T5715">
        <v>-0.17030410000000001</v>
      </c>
      <c r="U5715">
        <v>2.959473</v>
      </c>
      <c r="V5715">
        <v>0.1331928</v>
      </c>
      <c r="W5715">
        <v>0.17901889999999901</v>
      </c>
      <c r="X5715">
        <v>0.97478810000000005</v>
      </c>
      <c r="Y5715">
        <v>0.27832249999999997</v>
      </c>
      <c r="Z5715">
        <v>-4.0607959999999999E-2</v>
      </c>
      <c r="AA5715">
        <v>0.95962890000000001</v>
      </c>
      <c r="AB5715">
        <v>31</v>
      </c>
      <c r="AC5715">
        <v>6.2361999999999904</v>
      </c>
      <c r="AD5715">
        <v>-1.11955792674799</v>
      </c>
      <c r="AE5715">
        <v>19.135200000000001</v>
      </c>
      <c r="AF5715">
        <v>5.6761741545973301</v>
      </c>
      <c r="AG5715">
        <v>-1.11955792674799</v>
      </c>
      <c r="AH5715">
        <v>19.244009060042</v>
      </c>
      <c r="AI5715">
        <v>93.193807170009705</v>
      </c>
      <c r="AJ5715">
        <v>73.566155308861198</v>
      </c>
      <c r="AK5715">
        <v>20.0948811314633</v>
      </c>
      <c r="AL5715">
        <v>79.687380898727696</v>
      </c>
      <c r="AM5715">
        <v>82.219418748686707</v>
      </c>
      <c r="AN5715">
        <v>0.999999964215329</v>
      </c>
    </row>
    <row r="5716" spans="1:40" x14ac:dyDescent="0.25">
      <c r="A5716" t="str">
        <f>"20190303162715971"</f>
        <v>20190303162715971</v>
      </c>
      <c r="B5716" t="str">
        <f>"1551601635960434"</f>
        <v>1551601635960434</v>
      </c>
      <c r="C5716" t="s">
        <v>40</v>
      </c>
      <c r="D5716">
        <v>4.8912309999999897</v>
      </c>
      <c r="E5716">
        <v>0.56375410000000004</v>
      </c>
      <c r="F5716" t="s">
        <v>47</v>
      </c>
      <c r="G5716">
        <v>-182.24760000000001</v>
      </c>
      <c r="H5716" s="1">
        <v>-2.907188E-6</v>
      </c>
      <c r="I5716">
        <v>122.5217</v>
      </c>
      <c r="J5716">
        <v>-188.50360000000001</v>
      </c>
      <c r="K5716">
        <v>1.1195079999999999</v>
      </c>
      <c r="L5716">
        <v>103.7734</v>
      </c>
      <c r="M5716">
        <v>3.0166390000000001E-2</v>
      </c>
      <c r="N5716">
        <v>-1.4376760000000001E-2</v>
      </c>
      <c r="O5716">
        <v>0.99944149999999998</v>
      </c>
      <c r="P5716">
        <v>0.16771710000000001</v>
      </c>
      <c r="Q5716">
        <v>0.165079799999999</v>
      </c>
      <c r="R5716">
        <v>0.97191539999999998</v>
      </c>
      <c r="S5716">
        <v>0.97166439999999998</v>
      </c>
      <c r="T5716">
        <v>-0.17359849999999999</v>
      </c>
      <c r="U5716">
        <v>2.9525760000000001</v>
      </c>
      <c r="V5716">
        <v>0.1390496</v>
      </c>
      <c r="W5716">
        <v>0.17853520000000001</v>
      </c>
      <c r="X5716">
        <v>0.97405870000000006</v>
      </c>
      <c r="Y5716">
        <v>0.28338780000000002</v>
      </c>
      <c r="Z5716">
        <v>-4.1690169999999999E-2</v>
      </c>
      <c r="AA5716">
        <v>0.95809880000000003</v>
      </c>
      <c r="AB5716">
        <v>31</v>
      </c>
      <c r="AC5716">
        <v>6.2560000000000002</v>
      </c>
      <c r="AD5716">
        <v>-1.1195109071879901</v>
      </c>
      <c r="AE5716">
        <v>18.7483</v>
      </c>
      <c r="AF5716">
        <v>5.6693359533066801</v>
      </c>
      <c r="AG5716">
        <v>-1.1195109071879901</v>
      </c>
      <c r="AH5716">
        <v>18.867970775439801</v>
      </c>
      <c r="AI5716">
        <v>93.252288200966902</v>
      </c>
      <c r="AJ5716">
        <v>73.275839610476595</v>
      </c>
      <c r="AK5716">
        <v>19.7330939288703</v>
      </c>
      <c r="AL5716">
        <v>79.715548826056704</v>
      </c>
      <c r="AM5716">
        <v>81.875756960026393</v>
      </c>
      <c r="AN5716">
        <v>0.99999997997244405</v>
      </c>
    </row>
    <row r="5717" spans="1:40" x14ac:dyDescent="0.25">
      <c r="A5717" t="str">
        <f>"20190303162715992"</f>
        <v>20190303162715992</v>
      </c>
      <c r="B5717" t="str">
        <f>"1551601635979955"</f>
        <v>1551601635979955</v>
      </c>
      <c r="C5717" t="s">
        <v>40</v>
      </c>
      <c r="D5717">
        <v>4.8847370000000003</v>
      </c>
      <c r="E5717">
        <v>0.56361790000000001</v>
      </c>
      <c r="F5717" t="s">
        <v>47</v>
      </c>
      <c r="G5717">
        <v>-182.19630000000001</v>
      </c>
      <c r="H5717" s="1">
        <v>-2.9150879999999999E-6</v>
      </c>
      <c r="I5717">
        <v>122.5021</v>
      </c>
      <c r="J5717">
        <v>-188.49250000000001</v>
      </c>
      <c r="K5717">
        <v>1.119464</v>
      </c>
      <c r="L5717">
        <v>104.0731</v>
      </c>
      <c r="M5717">
        <v>3.2206239999999997E-2</v>
      </c>
      <c r="N5717">
        <v>-1.437547E-2</v>
      </c>
      <c r="O5717">
        <v>0.99937779999999998</v>
      </c>
      <c r="P5717">
        <v>0.17479929999999999</v>
      </c>
      <c r="Q5717">
        <v>0.16355129999999901</v>
      </c>
      <c r="R5717">
        <v>0.9709255</v>
      </c>
      <c r="S5717">
        <v>0.99194340000000003</v>
      </c>
      <c r="T5717">
        <v>-0.1760622</v>
      </c>
      <c r="U5717">
        <v>2.9454039999999999</v>
      </c>
      <c r="V5717">
        <v>0.144179799999999</v>
      </c>
      <c r="W5717">
        <v>0.1769618</v>
      </c>
      <c r="X5717">
        <v>0.97359989999999996</v>
      </c>
      <c r="Y5717">
        <v>0.28804159999999901</v>
      </c>
      <c r="Z5717">
        <v>-4.251518E-2</v>
      </c>
      <c r="AA5717">
        <v>0.95667369999999996</v>
      </c>
      <c r="AB5717">
        <v>31</v>
      </c>
      <c r="AC5717">
        <v>6.29619999999999</v>
      </c>
      <c r="AD5717">
        <v>-1.1194669150879999</v>
      </c>
      <c r="AE5717">
        <v>18.428999999999998</v>
      </c>
      <c r="AF5717">
        <v>5.68057289382938</v>
      </c>
      <c r="AG5717">
        <v>-1.1194669150879999</v>
      </c>
      <c r="AH5717">
        <v>18.560905768058198</v>
      </c>
      <c r="AI5717">
        <v>93.300740561369906</v>
      </c>
      <c r="AJ5717">
        <v>72.983248132964306</v>
      </c>
      <c r="AK5717">
        <v>19.442976559848599</v>
      </c>
      <c r="AL5717">
        <v>79.807157296436003</v>
      </c>
      <c r="AM5717">
        <v>81.576326178578796</v>
      </c>
      <c r="AN5717">
        <v>1.00000002933364</v>
      </c>
    </row>
    <row r="5718" spans="1:40" x14ac:dyDescent="0.25">
      <c r="A5718" t="str">
        <f>"20190303162716017"</f>
        <v>20190303162716017</v>
      </c>
      <c r="B5718" t="str">
        <f>"1551601636010211"</f>
        <v>1551601636010211</v>
      </c>
      <c r="C5718" t="s">
        <v>40</v>
      </c>
      <c r="D5718">
        <v>4.8408639999999998</v>
      </c>
      <c r="E5718">
        <v>0.56326239999999905</v>
      </c>
      <c r="F5718" t="s">
        <v>47</v>
      </c>
      <c r="G5718">
        <v>-182.21119999999999</v>
      </c>
      <c r="H5718" s="1">
        <v>-2.8510880000000002E-6</v>
      </c>
      <c r="I5718">
        <v>122.2983</v>
      </c>
      <c r="J5718">
        <v>-188.47919999999999</v>
      </c>
      <c r="K5718">
        <v>1.1194059999999999</v>
      </c>
      <c r="L5718">
        <v>104.40560000000001</v>
      </c>
      <c r="M5718">
        <v>3.4528629999999998E-2</v>
      </c>
      <c r="N5718">
        <v>-1.4374140000000001E-2</v>
      </c>
      <c r="O5718">
        <v>0.99930039999999998</v>
      </c>
      <c r="P5718">
        <v>0.18054249999999999</v>
      </c>
      <c r="Q5718">
        <v>0.161107</v>
      </c>
      <c r="R5718">
        <v>0.97028289999999995</v>
      </c>
      <c r="S5718">
        <v>1.0125580000000001</v>
      </c>
      <c r="T5718">
        <v>-0.18046090000000001</v>
      </c>
      <c r="U5718">
        <v>2.9379430000000002</v>
      </c>
      <c r="V5718">
        <v>0.14768519999999999</v>
      </c>
      <c r="W5718">
        <v>0.174481</v>
      </c>
      <c r="X5718">
        <v>0.9735222</v>
      </c>
      <c r="Y5718">
        <v>0.2925352</v>
      </c>
      <c r="Z5718">
        <v>-4.3966989999999997E-2</v>
      </c>
      <c r="AA5718">
        <v>0.95524350000000002</v>
      </c>
      <c r="AB5718">
        <v>31</v>
      </c>
      <c r="AC5718">
        <v>6.2679999999999998</v>
      </c>
      <c r="AD5718">
        <v>-1.11940885108799</v>
      </c>
      <c r="AE5718">
        <v>17.892699999999898</v>
      </c>
      <c r="AF5718">
        <v>5.6267712809825996</v>
      </c>
      <c r="AG5718">
        <v>-1.11940885108799</v>
      </c>
      <c r="AH5718">
        <v>18.035600204799199</v>
      </c>
      <c r="AI5718">
        <v>93.390816100327498</v>
      </c>
      <c r="AJ5718">
        <v>72.673050899952102</v>
      </c>
      <c r="AK5718">
        <v>18.926080047694398</v>
      </c>
      <c r="AL5718">
        <v>79.951543120218801</v>
      </c>
      <c r="AM5718">
        <v>81.373890455049803</v>
      </c>
      <c r="AN5718">
        <v>1.00000000577644</v>
      </c>
    </row>
    <row r="5719" spans="1:40" x14ac:dyDescent="0.25">
      <c r="A5719" t="str">
        <f>"20190303162716041"</f>
        <v>20190303162716041</v>
      </c>
      <c r="B5719" t="str">
        <f>"1551601636029731"</f>
        <v>1551601636029731</v>
      </c>
      <c r="C5719" t="s">
        <v>40</v>
      </c>
      <c r="D5719">
        <v>4.8593359999999999</v>
      </c>
      <c r="E5719">
        <v>0.56291840000000004</v>
      </c>
      <c r="F5719" t="s">
        <v>47</v>
      </c>
      <c r="G5719">
        <v>-182.30179999999999</v>
      </c>
      <c r="H5719" s="1">
        <v>-2.751329E-6</v>
      </c>
      <c r="I5719">
        <v>122.0415</v>
      </c>
      <c r="J5719">
        <v>-188.4648</v>
      </c>
      <c r="K5719">
        <v>1.11934</v>
      </c>
      <c r="L5719">
        <v>104.74769999999999</v>
      </c>
      <c r="M5719">
        <v>3.6994270000000003E-2</v>
      </c>
      <c r="N5719">
        <v>-1.437299E-2</v>
      </c>
      <c r="O5719">
        <v>0.99921210000000005</v>
      </c>
      <c r="P5719">
        <v>0.18607899999999999</v>
      </c>
      <c r="Q5719">
        <v>0.15926560000000001</v>
      </c>
      <c r="R5719">
        <v>0.96954070000000003</v>
      </c>
      <c r="S5719">
        <v>1.0269010000000001</v>
      </c>
      <c r="T5719">
        <v>-0.186085</v>
      </c>
      <c r="U5719">
        <v>2.931702</v>
      </c>
      <c r="V5719">
        <v>0.15085470000000001</v>
      </c>
      <c r="W5719">
        <v>0.17260020000000001</v>
      </c>
      <c r="X5719">
        <v>0.9733714</v>
      </c>
      <c r="Y5719">
        <v>0.29493789999999998</v>
      </c>
      <c r="Z5719">
        <v>-4.5827970000000003E-2</v>
      </c>
      <c r="AA5719">
        <v>0.95441679999999995</v>
      </c>
      <c r="AB5719">
        <v>31</v>
      </c>
      <c r="AC5719">
        <v>6.16300000000001</v>
      </c>
      <c r="AD5719">
        <v>-1.119342751329</v>
      </c>
      <c r="AE5719">
        <v>17.293800000000001</v>
      </c>
      <c r="AF5719">
        <v>5.4985035146553596</v>
      </c>
      <c r="AG5719">
        <v>-1.119342751329</v>
      </c>
      <c r="AH5719">
        <v>17.445130941020601</v>
      </c>
      <c r="AI5719">
        <v>93.501897879881398</v>
      </c>
      <c r="AJ5719">
        <v>72.505751274730102</v>
      </c>
      <c r="AK5719">
        <v>18.325366644217102</v>
      </c>
      <c r="AL5719">
        <v>80.0609645324311</v>
      </c>
      <c r="AM5719">
        <v>81.190294051596297</v>
      </c>
      <c r="AN5719">
        <v>0.99999992594504195</v>
      </c>
    </row>
    <row r="5720" spans="1:40" x14ac:dyDescent="0.25">
      <c r="A5720" t="str">
        <f>"20190303162716060"</f>
        <v>20190303162716060</v>
      </c>
      <c r="B5720" t="str">
        <f>"1551601636050228"</f>
        <v>1551601636050228</v>
      </c>
      <c r="C5720" t="s">
        <v>40</v>
      </c>
      <c r="D5720">
        <v>4.8613770000000001</v>
      </c>
      <c r="E5720">
        <v>0.56267659999999997</v>
      </c>
      <c r="F5720" t="s">
        <v>47</v>
      </c>
      <c r="G5720">
        <v>-182.3502</v>
      </c>
      <c r="H5720" s="1">
        <v>-2.708555E-6</v>
      </c>
      <c r="I5720">
        <v>121.93989999999999</v>
      </c>
      <c r="J5720">
        <v>-188.4528</v>
      </c>
      <c r="K5720">
        <v>1.119275</v>
      </c>
      <c r="L5720">
        <v>105.0157</v>
      </c>
      <c r="M5720">
        <v>3.9005970000000001E-2</v>
      </c>
      <c r="N5720">
        <v>-1.437241E-2</v>
      </c>
      <c r="O5720">
        <v>0.99913560000000001</v>
      </c>
      <c r="P5720">
        <v>0.19123299999999999</v>
      </c>
      <c r="Q5720">
        <v>0.15831029999999999</v>
      </c>
      <c r="R5720">
        <v>0.9686939</v>
      </c>
      <c r="S5720">
        <v>1.0406040000000001</v>
      </c>
      <c r="T5720">
        <v>-0.19049170000000001</v>
      </c>
      <c r="U5720">
        <v>2.9258120000000001</v>
      </c>
      <c r="V5720">
        <v>0.15409300000000001</v>
      </c>
      <c r="W5720">
        <v>0.17160300000000001</v>
      </c>
      <c r="X5720">
        <v>0.97304049999999997</v>
      </c>
      <c r="Y5720">
        <v>0.29755910000000002</v>
      </c>
      <c r="Z5720">
        <v>-4.7290539999999999E-2</v>
      </c>
      <c r="AA5720">
        <v>0.95353140000000003</v>
      </c>
      <c r="AB5720">
        <v>31</v>
      </c>
      <c r="AC5720">
        <v>6.10259999999999</v>
      </c>
      <c r="AD5720">
        <v>-1.1192777085550001</v>
      </c>
      <c r="AE5720">
        <v>16.924199999999999</v>
      </c>
      <c r="AF5720">
        <v>5.4167758756226503</v>
      </c>
      <c r="AG5720">
        <v>-1.1192777085550001</v>
      </c>
      <c r="AH5720">
        <v>17.0832584276117</v>
      </c>
      <c r="AI5720">
        <v>93.573741054608206</v>
      </c>
      <c r="AJ5720">
        <v>72.407170240584904</v>
      </c>
      <c r="AK5720">
        <v>17.9563905610276</v>
      </c>
      <c r="AL5720">
        <v>80.118966331507593</v>
      </c>
      <c r="AM5720">
        <v>81.001233577207401</v>
      </c>
      <c r="AN5720">
        <v>1.0000000284491199</v>
      </c>
    </row>
    <row r="5721" spans="1:40" x14ac:dyDescent="0.25">
      <c r="A5721" t="str">
        <f>"20190303162716082"</f>
        <v>20190303162716082</v>
      </c>
      <c r="B5721" t="str">
        <f>"1551601636069747"</f>
        <v>1551601636069747</v>
      </c>
      <c r="C5721" t="s">
        <v>40</v>
      </c>
      <c r="D5721">
        <v>4.8590879999999999</v>
      </c>
      <c r="E5721">
        <v>0.56235749999999995</v>
      </c>
      <c r="F5721" t="s">
        <v>47</v>
      </c>
      <c r="G5721">
        <v>-182.30629999999999</v>
      </c>
      <c r="H5721" s="1">
        <v>-2.749749E-6</v>
      </c>
      <c r="I5721">
        <v>122.0401</v>
      </c>
      <c r="J5721">
        <v>-188.4385</v>
      </c>
      <c r="K5721">
        <v>1.1191949999999999</v>
      </c>
      <c r="L5721">
        <v>105.3194</v>
      </c>
      <c r="M5721">
        <v>4.1381290000000001E-2</v>
      </c>
      <c r="N5721">
        <v>-1.4372319999999999E-2</v>
      </c>
      <c r="O5721">
        <v>0.99904009999999999</v>
      </c>
      <c r="P5721">
        <v>0.19621730000000001</v>
      </c>
      <c r="Q5721">
        <v>0.15807829999999901</v>
      </c>
      <c r="R5721">
        <v>0.96773450000000005</v>
      </c>
      <c r="S5721">
        <v>1.054306</v>
      </c>
      <c r="T5721">
        <v>-0.19198879999999999</v>
      </c>
      <c r="U5721">
        <v>2.9201969999999999</v>
      </c>
      <c r="V5721">
        <v>0.1568254</v>
      </c>
      <c r="W5721">
        <v>0.17132259999999999</v>
      </c>
      <c r="X5721">
        <v>0.97265330000000005</v>
      </c>
      <c r="Y5721">
        <v>0.29982120000000001</v>
      </c>
      <c r="Z5721">
        <v>-4.7812960000000002E-2</v>
      </c>
      <c r="AA5721">
        <v>0.95279650000000005</v>
      </c>
      <c r="AB5721">
        <v>31</v>
      </c>
      <c r="AC5721">
        <v>6.1322000000000099</v>
      </c>
      <c r="AD5721">
        <v>-1.119197749749</v>
      </c>
      <c r="AE5721">
        <v>16.720699999999901</v>
      </c>
      <c r="AF5721">
        <v>5.4135718323036901</v>
      </c>
      <c r="AG5721">
        <v>-1.119197749749</v>
      </c>
      <c r="AH5721">
        <v>16.893444895029699</v>
      </c>
      <c r="AI5721">
        <v>93.610016170712399</v>
      </c>
      <c r="AJ5721">
        <v>72.231735923186406</v>
      </c>
      <c r="AK5721">
        <v>17.774921772203701</v>
      </c>
      <c r="AL5721">
        <v>80.1352736899901</v>
      </c>
      <c r="AM5721">
        <v>80.840762734590697</v>
      </c>
      <c r="AN5721">
        <v>1.0000000406784</v>
      </c>
    </row>
    <row r="5722" spans="1:40" x14ac:dyDescent="0.25">
      <c r="A5722" t="str">
        <f>"20190303162716104"</f>
        <v>20190303162716104</v>
      </c>
      <c r="B5722" t="str">
        <f>"1551601636100003"</f>
        <v>1551601636100003</v>
      </c>
      <c r="C5722" t="s">
        <v>40</v>
      </c>
      <c r="D5722">
        <v>4.8743309999999997</v>
      </c>
      <c r="E5722">
        <v>0.56184149999999999</v>
      </c>
      <c r="F5722" t="s">
        <v>47</v>
      </c>
      <c r="G5722">
        <v>-182.2079</v>
      </c>
      <c r="H5722" s="1">
        <v>-2.8661209999999999E-6</v>
      </c>
      <c r="I5722">
        <v>122.3464</v>
      </c>
      <c r="J5722">
        <v>-188.4229</v>
      </c>
      <c r="K5722">
        <v>1.1190979999999999</v>
      </c>
      <c r="L5722">
        <v>105.62909999999999</v>
      </c>
      <c r="M5722">
        <v>4.3938690000000002E-2</v>
      </c>
      <c r="N5722">
        <v>-1.43731E-2</v>
      </c>
      <c r="O5722">
        <v>0.99893080000000001</v>
      </c>
      <c r="P5722">
        <v>0.2020373</v>
      </c>
      <c r="Q5722">
        <v>0.158328</v>
      </c>
      <c r="R5722">
        <v>0.96649529999999995</v>
      </c>
      <c r="S5722">
        <v>1.066681</v>
      </c>
      <c r="T5722">
        <v>-0.19160779999999999</v>
      </c>
      <c r="U5722">
        <v>2.9150390000000002</v>
      </c>
      <c r="V5722">
        <v>0.16023879999999999</v>
      </c>
      <c r="W5722">
        <v>0.17151089999999999</v>
      </c>
      <c r="X5722">
        <v>0.97206349999999997</v>
      </c>
      <c r="Y5722">
        <v>0.30148989999999998</v>
      </c>
      <c r="Z5722">
        <v>-4.772941E-2</v>
      </c>
      <c r="AA5722">
        <v>0.95227399999999995</v>
      </c>
      <c r="AB5722">
        <v>31</v>
      </c>
      <c r="AC5722">
        <v>6.2149999999999999</v>
      </c>
      <c r="AD5722">
        <v>-1.119100866121</v>
      </c>
      <c r="AE5722">
        <v>16.717300000000002</v>
      </c>
      <c r="AF5722">
        <v>5.4529153519620701</v>
      </c>
      <c r="AG5722">
        <v>-1.119100866121</v>
      </c>
      <c r="AH5722">
        <v>16.907690563942602</v>
      </c>
      <c r="AI5722">
        <v>93.604515894983507</v>
      </c>
      <c r="AJ5722">
        <v>72.124920332795995</v>
      </c>
      <c r="AK5722">
        <v>17.800468330643699</v>
      </c>
      <c r="AL5722">
        <v>80.124321951602795</v>
      </c>
      <c r="AM5722">
        <v>80.639318414050905</v>
      </c>
      <c r="AN5722">
        <v>0.999999954938248</v>
      </c>
    </row>
    <row r="5723" spans="1:40" x14ac:dyDescent="0.25">
      <c r="A5723" t="str">
        <f>"20190303162716127"</f>
        <v>20190303162716127</v>
      </c>
      <c r="B5723" t="str">
        <f>"1551601636119523"</f>
        <v>1551601636119523</v>
      </c>
      <c r="C5723" t="s">
        <v>40</v>
      </c>
      <c r="D5723">
        <v>4.8525539999999996</v>
      </c>
      <c r="E5723">
        <v>0.56146109999999905</v>
      </c>
      <c r="F5723" t="s">
        <v>47</v>
      </c>
      <c r="G5723">
        <v>-182.0154</v>
      </c>
      <c r="H5723" s="1">
        <v>-3.076321E-6</v>
      </c>
      <c r="I5723">
        <v>122.8862</v>
      </c>
      <c r="J5723">
        <v>-188.40639999999999</v>
      </c>
      <c r="K5723">
        <v>1.1189979999999999</v>
      </c>
      <c r="L5723">
        <v>105.9388</v>
      </c>
      <c r="M5723">
        <v>4.6630709999999999E-2</v>
      </c>
      <c r="N5723">
        <v>-1.437444E-2</v>
      </c>
      <c r="O5723">
        <v>0.99880869999999999</v>
      </c>
      <c r="P5723">
        <v>0.20793110000000001</v>
      </c>
      <c r="Q5723">
        <v>0.1574952</v>
      </c>
      <c r="R5723">
        <v>0.96538069999999998</v>
      </c>
      <c r="S5723">
        <v>1.080139</v>
      </c>
      <c r="T5723">
        <v>-0.1886524</v>
      </c>
      <c r="U5723">
        <v>2.909103</v>
      </c>
      <c r="V5723">
        <v>0.16359000000000001</v>
      </c>
      <c r="W5723">
        <v>0.1706155</v>
      </c>
      <c r="X5723">
        <v>0.97166280000000005</v>
      </c>
      <c r="Y5723">
        <v>0.3034403</v>
      </c>
      <c r="Z5723">
        <v>-4.682219E-2</v>
      </c>
      <c r="AA5723">
        <v>0.95169939999999997</v>
      </c>
      <c r="AB5723">
        <v>31</v>
      </c>
      <c r="AC5723">
        <v>6.3909999999999902</v>
      </c>
      <c r="AD5723">
        <v>-1.1190010763210001</v>
      </c>
      <c r="AE5723">
        <v>16.947399999999998</v>
      </c>
      <c r="AF5723">
        <v>5.5724261142667499</v>
      </c>
      <c r="AG5723">
        <v>-1.1190010763210001</v>
      </c>
      <c r="AH5723">
        <v>17.161504992295001</v>
      </c>
      <c r="AI5723">
        <v>93.548751907543306</v>
      </c>
      <c r="AJ5723">
        <v>72.011128331178895</v>
      </c>
      <c r="AK5723">
        <v>18.078200956077801</v>
      </c>
      <c r="AL5723">
        <v>80.176392226869297</v>
      </c>
      <c r="AM5723">
        <v>80.443256326429307</v>
      </c>
      <c r="AN5723">
        <v>0.99999996692204396</v>
      </c>
    </row>
    <row r="5724" spans="1:40" x14ac:dyDescent="0.25">
      <c r="A5724" t="str">
        <f>"20190303162716149"</f>
        <v>20190303162716149</v>
      </c>
      <c r="B5724" t="str">
        <f>"1551601636140019"</f>
        <v>1551601636140019</v>
      </c>
      <c r="C5724" t="s">
        <v>40</v>
      </c>
      <c r="D5724">
        <v>4.8027839999999999</v>
      </c>
      <c r="E5724">
        <v>0.56111899999999904</v>
      </c>
      <c r="F5724" t="s">
        <v>47</v>
      </c>
      <c r="G5724">
        <v>-181.9622</v>
      </c>
      <c r="H5724" s="1">
        <v>-3.1346239999999998E-6</v>
      </c>
      <c r="I5724">
        <v>123.036</v>
      </c>
      <c r="J5724">
        <v>-188.38890000000001</v>
      </c>
      <c r="K5724">
        <v>1.1188929999999999</v>
      </c>
      <c r="L5724">
        <v>106.2488</v>
      </c>
      <c r="M5724">
        <v>4.9443859999999999E-2</v>
      </c>
      <c r="N5724">
        <v>-1.43759E-2</v>
      </c>
      <c r="O5724">
        <v>0.99867340000000004</v>
      </c>
      <c r="P5724">
        <v>0.21343409999999999</v>
      </c>
      <c r="Q5724">
        <v>0.15568860000000001</v>
      </c>
      <c r="R5724">
        <v>0.96447240000000001</v>
      </c>
      <c r="S5724">
        <v>1.094147</v>
      </c>
      <c r="T5724">
        <v>-0.189994</v>
      </c>
      <c r="U5724">
        <v>2.9029240000000001</v>
      </c>
      <c r="V5724">
        <v>0.16641719999999999</v>
      </c>
      <c r="W5724">
        <v>0.16875409999999999</v>
      </c>
      <c r="X5724">
        <v>0.97150780000000003</v>
      </c>
      <c r="Y5724">
        <v>0.305434599999999</v>
      </c>
      <c r="Z5724">
        <v>-4.7301780000000002E-2</v>
      </c>
      <c r="AA5724">
        <v>0.95103749999999998</v>
      </c>
      <c r="AB5724">
        <v>31</v>
      </c>
      <c r="AC5724">
        <v>6.4267000000000101</v>
      </c>
      <c r="AD5724">
        <v>-1.1188961346240001</v>
      </c>
      <c r="AE5724">
        <v>16.787199999999999</v>
      </c>
      <c r="AF5724">
        <v>5.5671576720462399</v>
      </c>
      <c r="AG5724">
        <v>-1.1188961346240001</v>
      </c>
      <c r="AH5724">
        <v>17.0185173378012</v>
      </c>
      <c r="AI5724">
        <v>93.575614125491597</v>
      </c>
      <c r="AJ5724">
        <v>71.885860827794104</v>
      </c>
      <c r="AK5724">
        <v>17.940878057735599</v>
      </c>
      <c r="AL5724">
        <v>80.284612474694597</v>
      </c>
      <c r="AM5724">
        <v>80.279697419850294</v>
      </c>
      <c r="AN5724">
        <v>1.0000000180917401</v>
      </c>
    </row>
    <row r="5725" spans="1:40" x14ac:dyDescent="0.25">
      <c r="A5725" t="str">
        <f>"20190303162716170"</f>
        <v>20190303162716170</v>
      </c>
      <c r="B5725" t="str">
        <f>"1551601636159538"</f>
        <v>1551601636159538</v>
      </c>
      <c r="C5725" t="s">
        <v>40</v>
      </c>
      <c r="D5725">
        <v>4.8312629999999999</v>
      </c>
      <c r="E5725">
        <v>0.56076000000000004</v>
      </c>
      <c r="F5725" t="s">
        <v>47</v>
      </c>
      <c r="G5725">
        <v>-182.01759999999999</v>
      </c>
      <c r="H5725" s="1">
        <v>-3.0868959999999999E-6</v>
      </c>
      <c r="I5725">
        <v>122.9241</v>
      </c>
      <c r="J5725">
        <v>-188.3717</v>
      </c>
      <c r="K5725">
        <v>1.1188</v>
      </c>
      <c r="L5725">
        <v>106.53749999999999</v>
      </c>
      <c r="M5725">
        <v>5.2176239999999999E-2</v>
      </c>
      <c r="N5725">
        <v>-1.4377020000000001E-2</v>
      </c>
      <c r="O5725">
        <v>0.99853440000000004</v>
      </c>
      <c r="P5725">
        <v>0.21873100000000001</v>
      </c>
      <c r="Q5725">
        <v>0.1533969</v>
      </c>
      <c r="R5725">
        <v>0.96365250000000002</v>
      </c>
      <c r="S5725">
        <v>1.106857</v>
      </c>
      <c r="T5725">
        <v>-0.1943829</v>
      </c>
      <c r="U5725">
        <v>2.8969420000000001</v>
      </c>
      <c r="V5725">
        <v>0.16910620000000001</v>
      </c>
      <c r="W5725">
        <v>0.16641300000000001</v>
      </c>
      <c r="X5725">
        <v>0.97144730000000001</v>
      </c>
      <c r="Y5725">
        <v>0.3070946</v>
      </c>
      <c r="Z5725">
        <v>-4.8769369999999999E-2</v>
      </c>
      <c r="AA5725">
        <v>0.95042859999999996</v>
      </c>
      <c r="AB5725">
        <v>31</v>
      </c>
      <c r="AC5725">
        <v>6.3541000000000096</v>
      </c>
      <c r="AD5725">
        <v>-1.1188030868959999</v>
      </c>
      <c r="AE5725">
        <v>16.386600000000001</v>
      </c>
      <c r="AF5725">
        <v>5.4682051660540001</v>
      </c>
      <c r="AG5725">
        <v>-1.1188030868959999</v>
      </c>
      <c r="AH5725">
        <v>16.628459729679602</v>
      </c>
      <c r="AI5725">
        <v>93.657098403692302</v>
      </c>
      <c r="AJ5725">
        <v>71.796748184111493</v>
      </c>
      <c r="AK5725">
        <v>17.540201283533801</v>
      </c>
      <c r="AL5725">
        <v>80.420671891311002</v>
      </c>
      <c r="AM5725">
        <v>80.125099789686601</v>
      </c>
      <c r="AN5725">
        <v>1.00000002506236</v>
      </c>
    </row>
    <row r="5726" spans="1:40" x14ac:dyDescent="0.25">
      <c r="A5726" t="str">
        <f>"20190303162716193"</f>
        <v>20190303162716193</v>
      </c>
      <c r="B5726" t="str">
        <f>"1551601636180035"</f>
        <v>1551601636180035</v>
      </c>
      <c r="C5726" t="s">
        <v>40</v>
      </c>
      <c r="D5726">
        <v>4.8281330000000002</v>
      </c>
      <c r="E5726">
        <v>0.5604519</v>
      </c>
      <c r="F5726" t="s">
        <v>47</v>
      </c>
      <c r="G5726">
        <v>-182.12450000000001</v>
      </c>
      <c r="H5726" s="1">
        <v>-2.987791E-6</v>
      </c>
      <c r="I5726">
        <v>122.6841</v>
      </c>
      <c r="J5726">
        <v>-188.35249999999999</v>
      </c>
      <c r="K5726">
        <v>1.118698</v>
      </c>
      <c r="L5726">
        <v>106.84229999999999</v>
      </c>
      <c r="M5726">
        <v>5.5189519999999999E-2</v>
      </c>
      <c r="N5726">
        <v>-1.437838E-2</v>
      </c>
      <c r="O5726">
        <v>0.99837240000000005</v>
      </c>
      <c r="P5726">
        <v>0.2248906</v>
      </c>
      <c r="Q5726">
        <v>0.15264900000000001</v>
      </c>
      <c r="R5726">
        <v>0.9623526</v>
      </c>
      <c r="S5726">
        <v>1.1185909999999999</v>
      </c>
      <c r="T5726">
        <v>-0.20032839999999999</v>
      </c>
      <c r="U5726">
        <v>2.8911440000000002</v>
      </c>
      <c r="V5726">
        <v>0.17242089999999999</v>
      </c>
      <c r="W5726">
        <v>0.1656029</v>
      </c>
      <c r="X5726">
        <v>0.9710029</v>
      </c>
      <c r="Y5726">
        <v>0.3081776</v>
      </c>
      <c r="Z5726">
        <v>-5.0745190000000003E-2</v>
      </c>
      <c r="AA5726">
        <v>0.94997450000000005</v>
      </c>
      <c r="AB5726">
        <v>31</v>
      </c>
      <c r="AC5726">
        <v>6.2279999999999802</v>
      </c>
      <c r="AD5726">
        <v>-1.1187009877909999</v>
      </c>
      <c r="AE5726">
        <v>15.841799999999999</v>
      </c>
      <c r="AF5726">
        <v>5.3211311767197902</v>
      </c>
      <c r="AG5726">
        <v>-1.1187009877909999</v>
      </c>
      <c r="AH5726">
        <v>16.091902121807301</v>
      </c>
      <c r="AI5726">
        <v>93.776302240190503</v>
      </c>
      <c r="AJ5726">
        <v>71.702428420970406</v>
      </c>
      <c r="AK5726">
        <v>16.985736451439799</v>
      </c>
      <c r="AL5726">
        <v>80.467739673781296</v>
      </c>
      <c r="AM5726">
        <v>79.930947351753602</v>
      </c>
      <c r="AN5726">
        <v>0.99999995952681398</v>
      </c>
    </row>
    <row r="5727" spans="1:40" x14ac:dyDescent="0.25">
      <c r="A5727" t="str">
        <f>"20190303162716219"</f>
        <v>20190303162716219</v>
      </c>
      <c r="B5727" t="str">
        <f>"1551601636210291"</f>
        <v>1551601636210291</v>
      </c>
      <c r="C5727" t="s">
        <v>40</v>
      </c>
      <c r="D5727">
        <v>4.8257519999999996</v>
      </c>
      <c r="E5727">
        <v>0.55998440000000005</v>
      </c>
      <c r="F5727" t="s">
        <v>47</v>
      </c>
      <c r="G5727">
        <v>-182.047</v>
      </c>
      <c r="H5727" s="1">
        <v>-3.0683630000000002E-6</v>
      </c>
      <c r="I5727">
        <v>122.88760000000001</v>
      </c>
      <c r="J5727">
        <v>-188.32849999999999</v>
      </c>
      <c r="K5727">
        <v>1.118587</v>
      </c>
      <c r="L5727">
        <v>107.20489999999999</v>
      </c>
      <c r="M5727">
        <v>5.8938570000000003E-2</v>
      </c>
      <c r="N5727">
        <v>-1.4380789999999999E-2</v>
      </c>
      <c r="O5727">
        <v>0.99815799999999999</v>
      </c>
      <c r="P5727">
        <v>0.2317343</v>
      </c>
      <c r="Q5727">
        <v>0.1532858</v>
      </c>
      <c r="R5727">
        <v>0.96062619999999999</v>
      </c>
      <c r="S5727">
        <v>1.1335139999999999</v>
      </c>
      <c r="T5727">
        <v>-0.201102</v>
      </c>
      <c r="U5727">
        <v>2.884369</v>
      </c>
      <c r="V5727">
        <v>0.17574809999999999</v>
      </c>
      <c r="W5727">
        <v>0.16616330000000001</v>
      </c>
      <c r="X5727">
        <v>0.97031040000000002</v>
      </c>
      <c r="Y5727">
        <v>0.30961379999999999</v>
      </c>
      <c r="Z5727">
        <v>-5.1051220000000001E-2</v>
      </c>
      <c r="AA5727">
        <v>0.94949099999999997</v>
      </c>
      <c r="AB5727">
        <v>31</v>
      </c>
      <c r="AC5727">
        <v>6.2814999999999896</v>
      </c>
      <c r="AD5727">
        <v>-1.1185900683629999</v>
      </c>
      <c r="AE5727">
        <v>15.682700000000001</v>
      </c>
      <c r="AF5727">
        <v>5.3228306550925302</v>
      </c>
      <c r="AG5727">
        <v>-1.1185900683629999</v>
      </c>
      <c r="AH5727">
        <v>15.955740940797</v>
      </c>
      <c r="AI5727">
        <v>93.804732549310501</v>
      </c>
      <c r="AJ5727">
        <v>71.551315904683094</v>
      </c>
      <c r="AK5727">
        <v>16.8573259710328</v>
      </c>
      <c r="AL5727">
        <v>80.435179969658606</v>
      </c>
      <c r="AM5727">
        <v>79.733567733882396</v>
      </c>
      <c r="AN5727">
        <v>0.999999954634329</v>
      </c>
    </row>
    <row r="5728" spans="1:40" x14ac:dyDescent="0.25">
      <c r="A5728" t="str">
        <f>"20190303162716240"</f>
        <v>20190303162716240</v>
      </c>
      <c r="B5728" t="str">
        <f>"1551601636229811"</f>
        <v>1551601636229811</v>
      </c>
      <c r="C5728" t="s">
        <v>40</v>
      </c>
      <c r="D5728">
        <v>4.8451599999999999</v>
      </c>
      <c r="E5728">
        <v>0.55972639999999996</v>
      </c>
      <c r="F5728" t="s">
        <v>47</v>
      </c>
      <c r="G5728">
        <v>-181.76929999999999</v>
      </c>
      <c r="H5728" s="1">
        <v>-3.3552340000000002E-6</v>
      </c>
      <c r="I5728">
        <v>123.6108</v>
      </c>
      <c r="J5728">
        <v>-188.3083</v>
      </c>
      <c r="K5728">
        <v>1.1184909999999999</v>
      </c>
      <c r="L5728">
        <v>107.4919</v>
      </c>
      <c r="M5728">
        <v>6.2037670000000003E-2</v>
      </c>
      <c r="N5728">
        <v>-1.438323E-2</v>
      </c>
      <c r="O5728">
        <v>0.99797020000000003</v>
      </c>
      <c r="P5728">
        <v>0.23766889999999999</v>
      </c>
      <c r="Q5728">
        <v>0.15318780000000001</v>
      </c>
      <c r="R5728">
        <v>0.95919080000000001</v>
      </c>
      <c r="S5728">
        <v>1.1501619999999999</v>
      </c>
      <c r="T5728">
        <v>-0.1961464</v>
      </c>
      <c r="U5728">
        <v>2.8768009999999999</v>
      </c>
      <c r="V5728">
        <v>0.17877750000000001</v>
      </c>
      <c r="W5728">
        <v>0.16599929999999999</v>
      </c>
      <c r="X5728">
        <v>0.96978500000000001</v>
      </c>
      <c r="Y5728">
        <v>0.31228820000000002</v>
      </c>
      <c r="Z5728">
        <v>-4.9500500000000003E-2</v>
      </c>
      <c r="AA5728">
        <v>0.94869689999999995</v>
      </c>
      <c r="AB5728">
        <v>31</v>
      </c>
      <c r="AC5728">
        <v>6.5390000000000104</v>
      </c>
      <c r="AD5728">
        <v>-1.1184943552340001</v>
      </c>
      <c r="AE5728">
        <v>16.118899999999901</v>
      </c>
      <c r="AF5728">
        <v>5.5035647014974396</v>
      </c>
      <c r="AG5728">
        <v>-1.1184943552340001</v>
      </c>
      <c r="AH5728">
        <v>16.425638705075698</v>
      </c>
      <c r="AI5728">
        <v>93.694261656467006</v>
      </c>
      <c r="AJ5728">
        <v>71.476090448318303</v>
      </c>
      <c r="AK5728">
        <v>17.3592010448621</v>
      </c>
      <c r="AL5728">
        <v>80.444709773902105</v>
      </c>
      <c r="AM5728">
        <v>79.554930978683302</v>
      </c>
      <c r="AN5728">
        <v>1.00000005416586</v>
      </c>
    </row>
    <row r="5729" spans="1:40" x14ac:dyDescent="0.25">
      <c r="A5729" t="str">
        <f>"20190303162716260"</f>
        <v>20190303162716260</v>
      </c>
      <c r="B5729" t="str">
        <f>"1551601636250307"</f>
        <v>1551601636250307</v>
      </c>
      <c r="C5729" t="s">
        <v>40</v>
      </c>
      <c r="D5729">
        <v>4.8462860000000001</v>
      </c>
      <c r="E5729">
        <v>0.55947619999999998</v>
      </c>
      <c r="F5729" t="s">
        <v>47</v>
      </c>
      <c r="G5729">
        <v>-181.60759999999999</v>
      </c>
      <c r="H5729" s="1">
        <v>-3.565907E-6</v>
      </c>
      <c r="I5729">
        <v>124.00020000000001</v>
      </c>
      <c r="J5729">
        <v>-188.28800000000001</v>
      </c>
      <c r="K5729">
        <v>1.1184019999999999</v>
      </c>
      <c r="L5729">
        <v>107.7671</v>
      </c>
      <c r="M5729">
        <v>6.5118819999999994E-2</v>
      </c>
      <c r="N5729">
        <v>-1.4385780000000001E-2</v>
      </c>
      <c r="O5729">
        <v>0.99777380000000004</v>
      </c>
      <c r="P5729">
        <v>0.24355589999999999</v>
      </c>
      <c r="Q5729">
        <v>0.15407299999999999</v>
      </c>
      <c r="R5729">
        <v>0.9575709</v>
      </c>
      <c r="S5729">
        <v>1.1649480000000001</v>
      </c>
      <c r="T5729">
        <v>-0.19445589999999999</v>
      </c>
      <c r="U5729">
        <v>2.8700559999999999</v>
      </c>
      <c r="V5729">
        <v>0.18179909999999999</v>
      </c>
      <c r="W5729">
        <v>0.16681599999999999</v>
      </c>
      <c r="X5729">
        <v>0.96908280000000002</v>
      </c>
      <c r="Y5729">
        <v>0.3143359</v>
      </c>
      <c r="Z5729">
        <v>-4.8999750000000002E-2</v>
      </c>
      <c r="AA5729">
        <v>0.94804639999999996</v>
      </c>
      <c r="AB5729">
        <v>31</v>
      </c>
      <c r="AC5729">
        <v>6.6803999999999899</v>
      </c>
      <c r="AD5729">
        <v>-1.118405565907</v>
      </c>
      <c r="AE5729">
        <v>16.2331</v>
      </c>
      <c r="AF5729">
        <v>5.5863517414887296</v>
      </c>
      <c r="AG5729">
        <v>-1.118405565907</v>
      </c>
      <c r="AH5729">
        <v>16.566455334639201</v>
      </c>
      <c r="AI5729">
        <v>93.660285753070198</v>
      </c>
      <c r="AJ5729">
        <v>71.365449604915696</v>
      </c>
      <c r="AK5729">
        <v>17.518721390103799</v>
      </c>
      <c r="AL5729">
        <v>80.397253947014903</v>
      </c>
      <c r="AM5729">
        <v>79.374857427295197</v>
      </c>
      <c r="AN5729">
        <v>0.999999981936324</v>
      </c>
    </row>
    <row r="5730" spans="1:40" x14ac:dyDescent="0.25">
      <c r="A5730" t="str">
        <f>"20190303162716284"</f>
        <v>20190303162716284</v>
      </c>
      <c r="B5730" t="str">
        <f>"1551601636280563"</f>
        <v>1551601636280563</v>
      </c>
      <c r="C5730" t="s">
        <v>40</v>
      </c>
      <c r="D5730">
        <v>4.8542740000000002</v>
      </c>
      <c r="E5730">
        <v>0.55198049999999999</v>
      </c>
      <c r="F5730" t="s">
        <v>47</v>
      </c>
      <c r="G5730">
        <v>-181.31890000000001</v>
      </c>
      <c r="H5730" s="1">
        <v>-3.9579120000000002E-6</v>
      </c>
      <c r="I5730">
        <v>124.6704</v>
      </c>
      <c r="J5730">
        <v>-188.2628</v>
      </c>
      <c r="K5730">
        <v>1.1183019999999999</v>
      </c>
      <c r="L5730">
        <v>108.0911</v>
      </c>
      <c r="M5730">
        <v>6.8875160000000005E-2</v>
      </c>
      <c r="N5730">
        <v>-1.4388949999999999E-2</v>
      </c>
      <c r="O5730">
        <v>0.99752149999999995</v>
      </c>
      <c r="P5730">
        <v>0.25239640000000002</v>
      </c>
      <c r="Q5730">
        <v>0.15583089999999999</v>
      </c>
      <c r="R5730">
        <v>0.9549936</v>
      </c>
      <c r="S5730">
        <v>1.18045</v>
      </c>
      <c r="T5730">
        <v>-0.18944079999999999</v>
      </c>
      <c r="U5730">
        <v>2.863159</v>
      </c>
      <c r="V5730">
        <v>0.1871932</v>
      </c>
      <c r="W5730">
        <v>0.1684735</v>
      </c>
      <c r="X5730">
        <v>0.96776830000000003</v>
      </c>
      <c r="Y5730">
        <v>0.31598480000000001</v>
      </c>
      <c r="Z5730">
        <v>-4.7420789999999997E-2</v>
      </c>
      <c r="AA5730">
        <v>0.94757840000000004</v>
      </c>
      <c r="AB5730">
        <v>31</v>
      </c>
      <c r="AC5730">
        <v>6.9438999999999798</v>
      </c>
      <c r="AD5730">
        <v>-1.118305957912</v>
      </c>
      <c r="AE5730">
        <v>16.5793</v>
      </c>
      <c r="AF5730">
        <v>5.7630791134605497</v>
      </c>
      <c r="AG5730">
        <v>-1.118305957912</v>
      </c>
      <c r="AH5730">
        <v>16.952612961809901</v>
      </c>
      <c r="AI5730">
        <v>93.573838682981602</v>
      </c>
      <c r="AJ5730">
        <v>71.224418604874799</v>
      </c>
      <c r="AK5730">
        <v>17.940311460964999</v>
      </c>
      <c r="AL5730">
        <v>80.300923500921698</v>
      </c>
      <c r="AM5730">
        <v>79.052602478533203</v>
      </c>
      <c r="AN5730">
        <v>1.00000004840668</v>
      </c>
    </row>
    <row r="5731" spans="1:40" x14ac:dyDescent="0.25">
      <c r="A5731" t="str">
        <f>"20190303162716305"</f>
        <v>20190303162716305</v>
      </c>
      <c r="B5731" t="str">
        <f>"1551601636300083"</f>
        <v>1551601636300083</v>
      </c>
      <c r="C5731" t="s">
        <v>40</v>
      </c>
      <c r="D5731">
        <v>4.8705600000000002</v>
      </c>
      <c r="E5731">
        <v>0.55224790000000001</v>
      </c>
      <c r="F5731" t="s">
        <v>47</v>
      </c>
      <c r="G5731">
        <v>-176.71780000000001</v>
      </c>
      <c r="H5731" s="1">
        <v>-5.9169019999999997E-6</v>
      </c>
      <c r="I5731">
        <v>136.77119999999999</v>
      </c>
      <c r="J5731">
        <v>-188.23869999999999</v>
      </c>
      <c r="K5731">
        <v>1.118214</v>
      </c>
      <c r="L5731">
        <v>108.38500000000001</v>
      </c>
      <c r="M5731">
        <v>7.2400350000000002E-2</v>
      </c>
      <c r="N5731">
        <v>-1.439182E-2</v>
      </c>
      <c r="O5731">
        <v>0.99727180000000004</v>
      </c>
      <c r="P5731">
        <v>0.26034770000000002</v>
      </c>
      <c r="Q5731">
        <v>0.1561602</v>
      </c>
      <c r="R5731">
        <v>0.95280279999999995</v>
      </c>
      <c r="S5731">
        <v>1.149551</v>
      </c>
      <c r="T5731">
        <v>-0.11135109999999999</v>
      </c>
      <c r="U5731">
        <v>2.8557130000000002</v>
      </c>
      <c r="V5731">
        <v>0.19189110000000001</v>
      </c>
      <c r="W5731">
        <v>0.16871739999999999</v>
      </c>
      <c r="X5731">
        <v>0.96680520000000003</v>
      </c>
      <c r="Y5731">
        <v>0.3050754</v>
      </c>
      <c r="Z5731">
        <v>-2.2277160000000001E-2</v>
      </c>
      <c r="AA5731">
        <v>0.95206760000000001</v>
      </c>
      <c r="AB5731">
        <v>31</v>
      </c>
      <c r="AC5731">
        <v>11.5208999999999</v>
      </c>
      <c r="AD5731">
        <v>-1.118219916902</v>
      </c>
      <c r="AE5731">
        <v>28.386199999999899</v>
      </c>
      <c r="AF5731">
        <v>9.4227208417257007</v>
      </c>
      <c r="AG5731">
        <v>-1.118219916902</v>
      </c>
      <c r="AH5731">
        <v>29.1071121328728</v>
      </c>
      <c r="AI5731">
        <v>92.093225181749702</v>
      </c>
      <c r="AJ5731">
        <v>72.061898924056095</v>
      </c>
      <c r="AK5731">
        <v>30.614736003422902</v>
      </c>
      <c r="AL5731">
        <v>80.286745887187095</v>
      </c>
      <c r="AM5731">
        <v>78.773854520896407</v>
      </c>
      <c r="AN5731">
        <v>1.0000000250345</v>
      </c>
    </row>
    <row r="5732" spans="1:40" x14ac:dyDescent="0.25">
      <c r="A5732" t="str">
        <f>"20190303162716328"</f>
        <v>20190303162716328</v>
      </c>
      <c r="B5732" t="str">
        <f>"1551601636319602"</f>
        <v>1551601636319602</v>
      </c>
      <c r="C5732" t="s">
        <v>40</v>
      </c>
      <c r="D5732">
        <v>4.9052150000000001</v>
      </c>
      <c r="E5732">
        <v>0.5515989</v>
      </c>
      <c r="F5732" t="s">
        <v>47</v>
      </c>
      <c r="G5732">
        <v>-176.77809999999999</v>
      </c>
      <c r="H5732" s="1">
        <v>-5.7396689999999996E-6</v>
      </c>
      <c r="I5732">
        <v>136.15700000000001</v>
      </c>
      <c r="J5732">
        <v>-188.2115</v>
      </c>
      <c r="K5732">
        <v>1.118133</v>
      </c>
      <c r="L5732">
        <v>108.7015</v>
      </c>
      <c r="M5732">
        <v>7.6294539999999994E-2</v>
      </c>
      <c r="N5732">
        <v>-1.4394560000000001E-2</v>
      </c>
      <c r="O5732">
        <v>0.99698140000000002</v>
      </c>
      <c r="P5732">
        <v>0.26748040000000001</v>
      </c>
      <c r="Q5732">
        <v>0.1557597</v>
      </c>
      <c r="R5732">
        <v>0.95089069999999998</v>
      </c>
      <c r="S5732">
        <v>1.1746369999999999</v>
      </c>
      <c r="T5732">
        <v>-0.1146095</v>
      </c>
      <c r="U5732">
        <v>2.8464360000000002</v>
      </c>
      <c r="V5732">
        <v>0.19539219999999999</v>
      </c>
      <c r="W5732">
        <v>0.16824739999999999</v>
      </c>
      <c r="X5732">
        <v>0.96618559999999998</v>
      </c>
      <c r="Y5732">
        <v>0.30960579999999999</v>
      </c>
      <c r="Z5732">
        <v>-2.336415E-2</v>
      </c>
      <c r="AA5732">
        <v>0.95057789999999998</v>
      </c>
      <c r="AB5732">
        <v>30</v>
      </c>
      <c r="AC5732">
        <v>11.433400000000001</v>
      </c>
      <c r="AD5732">
        <v>-1.1181387396689999</v>
      </c>
      <c r="AE5732">
        <v>27.455500000000001</v>
      </c>
      <c r="AF5732">
        <v>9.2920128150905796</v>
      </c>
      <c r="AG5732">
        <v>-1.1181387396689999</v>
      </c>
      <c r="AH5732">
        <v>28.207985334415898</v>
      </c>
      <c r="AI5732">
        <v>92.156110927172193</v>
      </c>
      <c r="AJ5732">
        <v>71.767562813914395</v>
      </c>
      <c r="AK5732">
        <v>29.720063476102801</v>
      </c>
      <c r="AL5732">
        <v>80.314064775607605</v>
      </c>
      <c r="AM5732">
        <v>78.567237309798202</v>
      </c>
      <c r="AN5732">
        <v>0.99999995653747897</v>
      </c>
    </row>
    <row r="5733" spans="1:40" x14ac:dyDescent="0.25">
      <c r="A5733" t="str">
        <f>"20190303162716349"</f>
        <v>20190303162716349</v>
      </c>
      <c r="B5733" t="str">
        <f>"1551601636340099"</f>
        <v>1551601636340099</v>
      </c>
      <c r="C5733" t="s">
        <v>40</v>
      </c>
      <c r="D5733">
        <v>4.8963729999999996</v>
      </c>
      <c r="E5733">
        <v>0.55107569999999995</v>
      </c>
      <c r="F5733" t="s">
        <v>47</v>
      </c>
      <c r="G5733">
        <v>-177.49340000000001</v>
      </c>
      <c r="H5733" s="1">
        <v>-5.51670399999999E-6</v>
      </c>
      <c r="I5733">
        <v>134.26929999999999</v>
      </c>
      <c r="J5733">
        <v>-188.18510000000001</v>
      </c>
      <c r="K5733">
        <v>1.1180779999999999</v>
      </c>
      <c r="L5733">
        <v>108.99509999999999</v>
      </c>
      <c r="M5733">
        <v>7.9986489999999993E-2</v>
      </c>
      <c r="N5733">
        <v>-1.4396290000000001E-2</v>
      </c>
      <c r="O5733">
        <v>0.99669200000000002</v>
      </c>
      <c r="P5733">
        <v>0.27474500000000002</v>
      </c>
      <c r="Q5733">
        <v>0.1559931</v>
      </c>
      <c r="R5733">
        <v>0.94877889999999998</v>
      </c>
      <c r="S5733">
        <v>1.1906890000000001</v>
      </c>
      <c r="T5733">
        <v>-0.1242156</v>
      </c>
      <c r="U5733">
        <v>2.840363</v>
      </c>
      <c r="V5733">
        <v>0.199241</v>
      </c>
      <c r="W5733">
        <v>0.1684129</v>
      </c>
      <c r="X5733">
        <v>0.96537050000000002</v>
      </c>
      <c r="Y5733">
        <v>0.31134089999999998</v>
      </c>
      <c r="Z5733">
        <v>-2.652645E-2</v>
      </c>
      <c r="AA5733">
        <v>0.94992799999999999</v>
      </c>
      <c r="AB5733">
        <v>30</v>
      </c>
      <c r="AC5733">
        <v>10.6916999999999</v>
      </c>
      <c r="AD5733">
        <v>-1.118083516704</v>
      </c>
      <c r="AE5733">
        <v>25.2742</v>
      </c>
      <c r="AF5733">
        <v>8.6213210544224008</v>
      </c>
      <c r="AG5733">
        <v>-1.118083516704</v>
      </c>
      <c r="AH5733">
        <v>26.005315763348701</v>
      </c>
      <c r="AI5733">
        <v>92.336956456789096</v>
      </c>
      <c r="AJ5733">
        <v>71.658531735460997</v>
      </c>
      <c r="AK5733">
        <v>27.419951411795498</v>
      </c>
      <c r="AL5733">
        <v>80.304445889628298</v>
      </c>
      <c r="AM5733">
        <v>78.338568981483604</v>
      </c>
      <c r="AN5733">
        <v>1.0000000416188199</v>
      </c>
    </row>
    <row r="5734" spans="1:40" x14ac:dyDescent="0.25">
      <c r="A5734" t="str">
        <f>"20190303162716370"</f>
        <v>20190303162716370</v>
      </c>
      <c r="B5734" t="str">
        <f>"1551601636359619"</f>
        <v>1551601636359619</v>
      </c>
      <c r="C5734" t="s">
        <v>40</v>
      </c>
      <c r="D5734">
        <v>4.9381149999999998</v>
      </c>
      <c r="E5734">
        <v>0.5506257</v>
      </c>
      <c r="F5734" t="s">
        <v>47</v>
      </c>
      <c r="G5734">
        <v>-177.68469999999999</v>
      </c>
      <c r="H5734" s="1">
        <v>-5.4015369999999901E-6</v>
      </c>
      <c r="I5734">
        <v>133.62200000000001</v>
      </c>
      <c r="J5734">
        <v>-188.1591</v>
      </c>
      <c r="K5734">
        <v>1.118031</v>
      </c>
      <c r="L5734">
        <v>109.2719</v>
      </c>
      <c r="M5734">
        <v>8.3536109999999997E-2</v>
      </c>
      <c r="N5734">
        <v>-1.439755E-2</v>
      </c>
      <c r="O5734">
        <v>0.99640070000000003</v>
      </c>
      <c r="P5734">
        <v>0.28276829999999997</v>
      </c>
      <c r="Q5734">
        <v>0.15800059999999999</v>
      </c>
      <c r="R5734">
        <v>0.94608559999999997</v>
      </c>
      <c r="S5734">
        <v>1.208054</v>
      </c>
      <c r="T5734">
        <v>-0.12863330000000001</v>
      </c>
      <c r="U5734">
        <v>2.8332820000000001</v>
      </c>
      <c r="V5734">
        <v>0.20404990000000001</v>
      </c>
      <c r="W5734">
        <v>0.17034009999999999</v>
      </c>
      <c r="X5734">
        <v>0.96402690000000002</v>
      </c>
      <c r="Y5734">
        <v>0.31371880000000002</v>
      </c>
      <c r="Z5734">
        <v>-2.7996989999999999E-2</v>
      </c>
      <c r="AA5734">
        <v>0.94910309999999998</v>
      </c>
      <c r="AB5734">
        <v>30</v>
      </c>
      <c r="AC5734">
        <v>10.474399999999999</v>
      </c>
      <c r="AD5734">
        <v>-1.1180364015369999</v>
      </c>
      <c r="AE5734">
        <v>24.350100000000001</v>
      </c>
      <c r="AF5734">
        <v>8.3885348898141601</v>
      </c>
      <c r="AG5734">
        <v>-1.1180364015369999</v>
      </c>
      <c r="AH5734">
        <v>25.095408992773802</v>
      </c>
      <c r="AI5734">
        <v>92.419500312639499</v>
      </c>
      <c r="AJ5734">
        <v>71.516985129683405</v>
      </c>
      <c r="AK5734">
        <v>26.483902195624101</v>
      </c>
      <c r="AL5734">
        <v>80.192406106242998</v>
      </c>
      <c r="AM5734">
        <v>78.048931973652699</v>
      </c>
      <c r="AN5734">
        <v>0.99999998764081499</v>
      </c>
    </row>
    <row r="5735" spans="1:40" x14ac:dyDescent="0.25">
      <c r="A5735" t="str">
        <f>"20190303162716393"</f>
        <v>20190303162716393</v>
      </c>
      <c r="B5735" t="str">
        <f>"1551601636380116"</f>
        <v>1551601636380116</v>
      </c>
      <c r="C5735" t="s">
        <v>40</v>
      </c>
      <c r="D5735">
        <v>4.9311920000000002</v>
      </c>
      <c r="E5735">
        <v>0.5500621</v>
      </c>
      <c r="F5735" t="s">
        <v>47</v>
      </c>
      <c r="G5735">
        <v>-177.50110000000001</v>
      </c>
      <c r="H5735" s="1">
        <v>-5.3448829999999996E-6</v>
      </c>
      <c r="I5735">
        <v>133.80289999999999</v>
      </c>
      <c r="J5735">
        <v>-188.12860000000001</v>
      </c>
      <c r="K5735">
        <v>1.11799</v>
      </c>
      <c r="L5735">
        <v>109.5836</v>
      </c>
      <c r="M5735">
        <v>8.7607160000000003E-2</v>
      </c>
      <c r="N5735">
        <v>-1.439901E-2</v>
      </c>
      <c r="O5735">
        <v>0.99605100000000002</v>
      </c>
      <c r="P5735">
        <v>0.29180539999999999</v>
      </c>
      <c r="Q5735">
        <v>0.15991379999999999</v>
      </c>
      <c r="R5735">
        <v>0.94301500000000005</v>
      </c>
      <c r="S5735">
        <v>1.2276309999999999</v>
      </c>
      <c r="T5735">
        <v>-0.1287787</v>
      </c>
      <c r="U5735">
        <v>2.8255460000000001</v>
      </c>
      <c r="V5735">
        <v>0.20940909999999999</v>
      </c>
      <c r="W5735">
        <v>0.17216289999999901</v>
      </c>
      <c r="X5735">
        <v>0.96255270000000004</v>
      </c>
      <c r="Y5735">
        <v>0.31631880000000001</v>
      </c>
      <c r="Z5735">
        <v>-2.8068639999999999E-2</v>
      </c>
      <c r="AA5735">
        <v>0.94823769999999996</v>
      </c>
      <c r="AB5735">
        <v>30</v>
      </c>
      <c r="AC5735">
        <v>10.6274999999999</v>
      </c>
      <c r="AD5735">
        <v>-1.117995344883</v>
      </c>
      <c r="AE5735">
        <v>24.219299999999901</v>
      </c>
      <c r="AF5735">
        <v>8.4495279108430505</v>
      </c>
      <c r="AG5735">
        <v>-1.117995344883</v>
      </c>
      <c r="AH5735">
        <v>25.012608497085701</v>
      </c>
      <c r="AI5735">
        <v>92.424817315616195</v>
      </c>
      <c r="AJ5735">
        <v>71.334479020786503</v>
      </c>
      <c r="AK5735">
        <v>26.424893932346802</v>
      </c>
      <c r="AL5735">
        <v>80.086401171713405</v>
      </c>
      <c r="AM5735">
        <v>77.726216907184906</v>
      </c>
      <c r="AN5735">
        <v>0.99999996778825395</v>
      </c>
    </row>
    <row r="5736" spans="1:40" x14ac:dyDescent="0.25">
      <c r="A5736" t="str">
        <f>"20190303162716418"</f>
        <v>20190303162716418</v>
      </c>
      <c r="B5736" t="str">
        <f>"1551601636410371"</f>
        <v>1551601636410371</v>
      </c>
      <c r="C5736" t="s">
        <v>40</v>
      </c>
      <c r="D5736">
        <v>5.0090690000000002</v>
      </c>
      <c r="E5736">
        <v>0.54923279999999997</v>
      </c>
      <c r="F5736" t="s">
        <v>47</v>
      </c>
      <c r="G5736">
        <v>-176.8306</v>
      </c>
      <c r="H5736" s="1">
        <v>-5.3530859999999997E-6</v>
      </c>
      <c r="I5736">
        <v>135.02969999999999</v>
      </c>
      <c r="J5736">
        <v>-188.09460000000001</v>
      </c>
      <c r="K5736">
        <v>1.1179319999999999</v>
      </c>
      <c r="L5736">
        <v>109.91679999999999</v>
      </c>
      <c r="M5736">
        <v>9.2036279999999998E-2</v>
      </c>
      <c r="N5736">
        <v>-1.4400680000000001E-2</v>
      </c>
      <c r="O5736">
        <v>0.99565150000000002</v>
      </c>
      <c r="P5736">
        <v>0.3007977</v>
      </c>
      <c r="Q5736">
        <v>0.16128960000000001</v>
      </c>
      <c r="R5736">
        <v>0.93995019999999996</v>
      </c>
      <c r="S5736">
        <v>1.2500610000000001</v>
      </c>
      <c r="T5736">
        <v>-0.1236992</v>
      </c>
      <c r="U5736">
        <v>2.815445</v>
      </c>
      <c r="V5736">
        <v>0.2143881</v>
      </c>
      <c r="W5736">
        <v>0.1734512</v>
      </c>
      <c r="X5736">
        <v>0.96122439999999998</v>
      </c>
      <c r="Y5736">
        <v>0.31968980000000002</v>
      </c>
      <c r="Z5736">
        <v>-2.6445529999999998E-2</v>
      </c>
      <c r="AA5736">
        <v>0.94715320000000003</v>
      </c>
      <c r="AB5736">
        <v>30</v>
      </c>
      <c r="AC5736">
        <v>11.263999999999999</v>
      </c>
      <c r="AD5736">
        <v>-1.117937353086</v>
      </c>
      <c r="AE5736">
        <v>25.1129</v>
      </c>
      <c r="AF5736">
        <v>8.8899774128720104</v>
      </c>
      <c r="AG5736">
        <v>-1.117937353086</v>
      </c>
      <c r="AH5736">
        <v>26.000199004413599</v>
      </c>
      <c r="AI5736">
        <v>92.329780900815393</v>
      </c>
      <c r="AJ5736">
        <v>71.123436789200397</v>
      </c>
      <c r="AK5736">
        <v>27.500760545772401</v>
      </c>
      <c r="AL5736">
        <v>80.011459504845405</v>
      </c>
      <c r="AM5736">
        <v>77.426742269241402</v>
      </c>
      <c r="AN5736">
        <v>0.99999996167920402</v>
      </c>
    </row>
    <row r="5737" spans="1:40" x14ac:dyDescent="0.25">
      <c r="A5737" t="str">
        <f>"20190303162716440"</f>
        <v>20190303162716440</v>
      </c>
      <c r="B5737" t="str">
        <f>"1551601636429891"</f>
        <v>1551601636429891</v>
      </c>
      <c r="C5737" t="s">
        <v>40</v>
      </c>
      <c r="D5737">
        <v>5.0208629999999896</v>
      </c>
      <c r="E5737">
        <v>0.54564360000000001</v>
      </c>
      <c r="F5737" t="s">
        <v>47</v>
      </c>
      <c r="G5737">
        <v>-176.59030000000001</v>
      </c>
      <c r="H5737" s="1">
        <v>-5.3031409999999997E-6</v>
      </c>
      <c r="I5737">
        <v>135.33000000000001</v>
      </c>
      <c r="J5737">
        <v>-188.06209999999999</v>
      </c>
      <c r="K5737">
        <v>1.1178779999999999</v>
      </c>
      <c r="L5737">
        <v>110.22150000000001</v>
      </c>
      <c r="M5737">
        <v>9.6155050000000006E-2</v>
      </c>
      <c r="N5737">
        <v>-1.4402150000000001E-2</v>
      </c>
      <c r="O5737">
        <v>0.99526210000000004</v>
      </c>
      <c r="P5737">
        <v>0.30968489999999999</v>
      </c>
      <c r="Q5737">
        <v>0.16184760000000001</v>
      </c>
      <c r="R5737">
        <v>0.93696349999999995</v>
      </c>
      <c r="S5737">
        <v>1.270386</v>
      </c>
      <c r="T5737">
        <v>-0.1234505</v>
      </c>
      <c r="U5737">
        <v>2.806305</v>
      </c>
      <c r="V5737">
        <v>0.2195599</v>
      </c>
      <c r="W5737">
        <v>0.1739222</v>
      </c>
      <c r="X5737">
        <v>0.95997109999999997</v>
      </c>
      <c r="Y5737">
        <v>0.32261990000000001</v>
      </c>
      <c r="Z5737">
        <v>-2.639814E-2</v>
      </c>
      <c r="AA5737">
        <v>0.94616040000000001</v>
      </c>
      <c r="AB5737">
        <v>30</v>
      </c>
      <c r="AC5737">
        <v>11.471799999999901</v>
      </c>
      <c r="AD5737">
        <v>-1.117883303141</v>
      </c>
      <c r="AE5737">
        <v>25.108499999999999</v>
      </c>
      <c r="AF5737">
        <v>8.9893316206566798</v>
      </c>
      <c r="AG5737">
        <v>-1.117883303141</v>
      </c>
      <c r="AH5737">
        <v>26.052594743605599</v>
      </c>
      <c r="AI5737">
        <v>92.322758815150493</v>
      </c>
      <c r="AJ5737">
        <v>70.963233962806996</v>
      </c>
      <c r="AK5737">
        <v>27.58252053276</v>
      </c>
      <c r="AL5737">
        <v>79.984057053245493</v>
      </c>
      <c r="AM5737">
        <v>77.117174846159202</v>
      </c>
      <c r="AN5737">
        <v>0.999999997088029</v>
      </c>
    </row>
    <row r="5738" spans="1:40" x14ac:dyDescent="0.25">
      <c r="A5738" t="str">
        <f>"20190303162716461"</f>
        <v>20190303162716461</v>
      </c>
      <c r="B5738" t="str">
        <f>"1551601636450386"</f>
        <v>1551601636450386</v>
      </c>
      <c r="C5738" t="s">
        <v>40</v>
      </c>
      <c r="D5738">
        <v>5.0457859999999997</v>
      </c>
      <c r="E5738">
        <v>0.54405539999999997</v>
      </c>
      <c r="F5738" t="s">
        <v>47</v>
      </c>
      <c r="G5738">
        <v>-179.56620000000001</v>
      </c>
      <c r="H5738" s="1">
        <v>-5.0277600000000001E-6</v>
      </c>
      <c r="I5738">
        <v>129.04349999999999</v>
      </c>
      <c r="J5738">
        <v>-188.03200000000001</v>
      </c>
      <c r="K5738">
        <v>1.117821</v>
      </c>
      <c r="L5738">
        <v>110.4918</v>
      </c>
      <c r="M5738">
        <v>9.9869769999999997E-2</v>
      </c>
      <c r="N5738">
        <v>-1.440337E-2</v>
      </c>
      <c r="O5738">
        <v>0.99489620000000001</v>
      </c>
      <c r="P5738">
        <v>0.31838899999999998</v>
      </c>
      <c r="Q5738">
        <v>0.16084689999999999</v>
      </c>
      <c r="R5738">
        <v>0.93421449999999995</v>
      </c>
      <c r="S5738">
        <v>1.2689509999999999</v>
      </c>
      <c r="T5738">
        <v>-0.16696759999999999</v>
      </c>
      <c r="U5738">
        <v>2.811264</v>
      </c>
      <c r="V5738">
        <v>0.22491230000000001</v>
      </c>
      <c r="W5738">
        <v>0.172838299999999</v>
      </c>
      <c r="X5738">
        <v>0.95892719999999998</v>
      </c>
      <c r="Y5738">
        <v>0.31783070000000002</v>
      </c>
      <c r="Z5738">
        <v>-4.0584729999999999E-2</v>
      </c>
      <c r="AA5738">
        <v>0.94727850000000002</v>
      </c>
      <c r="AB5738">
        <v>30</v>
      </c>
      <c r="AC5738">
        <v>8.4657999999999998</v>
      </c>
      <c r="AD5738">
        <v>-1.1178260277600001</v>
      </c>
      <c r="AE5738">
        <v>18.5517</v>
      </c>
      <c r="AF5738">
        <v>6.5508357574050899</v>
      </c>
      <c r="AG5738">
        <v>-1.1178260277600001</v>
      </c>
      <c r="AH5738">
        <v>19.2466631522969</v>
      </c>
      <c r="AI5738">
        <v>93.147039181137103</v>
      </c>
      <c r="AJ5738">
        <v>71.203368988872398</v>
      </c>
      <c r="AK5738">
        <v>20.361655793348898</v>
      </c>
      <c r="AL5738">
        <v>80.047114973851194</v>
      </c>
      <c r="AM5738">
        <v>76.800115773347002</v>
      </c>
      <c r="AN5738">
        <v>0.99999999776900905</v>
      </c>
    </row>
    <row r="5739" spans="1:40" x14ac:dyDescent="0.25">
      <c r="A5739" t="str">
        <f>"20190303162716481"</f>
        <v>20190303162716481</v>
      </c>
      <c r="B5739" t="str">
        <f>"1551601636469908"</f>
        <v>1551601636469908</v>
      </c>
      <c r="C5739" t="s">
        <v>40</v>
      </c>
      <c r="D5739">
        <v>5.0434219999999996</v>
      </c>
      <c r="E5739">
        <v>0.54276279999999999</v>
      </c>
      <c r="F5739" t="s">
        <v>47</v>
      </c>
      <c r="G5739">
        <v>-179.8614</v>
      </c>
      <c r="H5739" s="1">
        <v>-5.0445270000000003E-6</v>
      </c>
      <c r="I5739">
        <v>128.3665</v>
      </c>
      <c r="J5739">
        <v>-187.9992</v>
      </c>
      <c r="K5739">
        <v>1.1177760000000001</v>
      </c>
      <c r="L5739">
        <v>110.777</v>
      </c>
      <c r="M5739">
        <v>0.1038422</v>
      </c>
      <c r="N5739">
        <v>-1.440465E-2</v>
      </c>
      <c r="O5739">
        <v>0.99448950000000003</v>
      </c>
      <c r="P5739">
        <v>0.32707770000000003</v>
      </c>
      <c r="Q5739">
        <v>0.16038229999999901</v>
      </c>
      <c r="R5739">
        <v>0.93128820000000001</v>
      </c>
      <c r="S5739">
        <v>1.2819670000000001</v>
      </c>
      <c r="T5739">
        <v>-0.17538679999999901</v>
      </c>
      <c r="U5739">
        <v>2.804535</v>
      </c>
      <c r="V5739">
        <v>0.23003219999999999</v>
      </c>
      <c r="W5739">
        <v>0.1722911</v>
      </c>
      <c r="X5739">
        <v>0.95781050000000001</v>
      </c>
      <c r="Y5739">
        <v>0.3184843</v>
      </c>
      <c r="Z5739">
        <v>-4.3378649999999998E-2</v>
      </c>
      <c r="AA5739">
        <v>0.94693510000000003</v>
      </c>
      <c r="AB5739">
        <v>30</v>
      </c>
      <c r="AC5739">
        <v>8.1377999999999897</v>
      </c>
      <c r="AD5739">
        <v>-1.117781044527</v>
      </c>
      <c r="AE5739">
        <v>17.589500000000001</v>
      </c>
      <c r="AF5739">
        <v>6.2462967725419398</v>
      </c>
      <c r="AG5739">
        <v>-1.117781044527</v>
      </c>
      <c r="AH5739">
        <v>18.2787204144506</v>
      </c>
      <c r="AI5739">
        <v>93.3118182476573</v>
      </c>
      <c r="AJ5739">
        <v>71.133416704788601</v>
      </c>
      <c r="AK5739">
        <v>19.348831433030298</v>
      </c>
      <c r="AL5739">
        <v>80.078944701696898</v>
      </c>
      <c r="AM5739">
        <v>76.495348421200305</v>
      </c>
      <c r="AN5739">
        <v>0.99999999504314996</v>
      </c>
    </row>
    <row r="5740" spans="1:40" x14ac:dyDescent="0.25">
      <c r="A5740" t="str">
        <f>"20190303162716506"</f>
        <v>20190303162716506</v>
      </c>
      <c r="B5740" t="str">
        <f>"1551601636500163"</f>
        <v>1551601636500163</v>
      </c>
      <c r="C5740" t="s">
        <v>40</v>
      </c>
      <c r="D5740">
        <v>5.0751010000000001</v>
      </c>
      <c r="E5740">
        <v>0.54198780000000002</v>
      </c>
      <c r="F5740" t="s">
        <v>47</v>
      </c>
      <c r="G5740">
        <v>-180.11879999999999</v>
      </c>
      <c r="H5740" s="1">
        <v>-4.9293560000000002E-6</v>
      </c>
      <c r="I5740">
        <v>127.76739999999999</v>
      </c>
      <c r="J5740">
        <v>-187.9606</v>
      </c>
      <c r="K5740">
        <v>1.1177360000000001</v>
      </c>
      <c r="L5740">
        <v>111.0986</v>
      </c>
      <c r="M5740">
        <v>0.10839070000000001</v>
      </c>
      <c r="N5740">
        <v>-1.440604E-2</v>
      </c>
      <c r="O5740">
        <v>0.994004</v>
      </c>
      <c r="P5740">
        <v>0.33513589999999999</v>
      </c>
      <c r="Q5740">
        <v>0.16007399999999999</v>
      </c>
      <c r="R5740">
        <v>0.92847199999999996</v>
      </c>
      <c r="S5740">
        <v>1.2974399999999999</v>
      </c>
      <c r="T5740">
        <v>-0.1840347</v>
      </c>
      <c r="U5740">
        <v>2.7973479999999999</v>
      </c>
      <c r="V5740">
        <v>0.2339696</v>
      </c>
      <c r="W5740">
        <v>0.17191210000000001</v>
      </c>
      <c r="X5740">
        <v>0.95692449999999996</v>
      </c>
      <c r="Y5740">
        <v>0.31932670000000002</v>
      </c>
      <c r="Z5740">
        <v>-4.623998E-2</v>
      </c>
      <c r="AA5740">
        <v>0.94651589999999997</v>
      </c>
      <c r="AB5740">
        <v>30</v>
      </c>
      <c r="AC5740">
        <v>7.8418000000000001</v>
      </c>
      <c r="AD5740">
        <v>-1.1177409293559999</v>
      </c>
      <c r="AE5740">
        <v>16.668799999999901</v>
      </c>
      <c r="AF5740">
        <v>5.9666917002302897</v>
      </c>
      <c r="AG5740">
        <v>-1.1177409293559999</v>
      </c>
      <c r="AH5740">
        <v>17.356737966217199</v>
      </c>
      <c r="AI5740">
        <v>93.485013469144306</v>
      </c>
      <c r="AJ5740">
        <v>71.028668079320695</v>
      </c>
      <c r="AK5740">
        <v>18.387689018979</v>
      </c>
      <c r="AL5740">
        <v>80.100988978914998</v>
      </c>
      <c r="AM5740">
        <v>76.260639987835702</v>
      </c>
      <c r="AN5740">
        <v>1.0000000212754001</v>
      </c>
    </row>
    <row r="5741" spans="1:40" x14ac:dyDescent="0.25">
      <c r="A5741" t="str">
        <f>"20190303162716528"</f>
        <v>20190303162716528</v>
      </c>
      <c r="B5741" t="str">
        <f>"1551601636520659"</f>
        <v>1551601636520659</v>
      </c>
      <c r="C5741" t="s">
        <v>40</v>
      </c>
      <c r="D5741">
        <v>5.1027089999999999</v>
      </c>
      <c r="E5741">
        <v>0.54157840000000002</v>
      </c>
      <c r="F5741" t="s">
        <v>47</v>
      </c>
      <c r="G5741">
        <v>-180.18860000000001</v>
      </c>
      <c r="H5741" s="1">
        <v>-4.8658659999999998E-6</v>
      </c>
      <c r="I5741">
        <v>127.5603</v>
      </c>
      <c r="J5741">
        <v>-187.92230000000001</v>
      </c>
      <c r="K5741">
        <v>1.1177049999999999</v>
      </c>
      <c r="L5741">
        <v>111.40600000000001</v>
      </c>
      <c r="M5741">
        <v>0.1127953</v>
      </c>
      <c r="N5741">
        <v>-1.44072E-2</v>
      </c>
      <c r="O5741">
        <v>0.9935138</v>
      </c>
      <c r="P5741">
        <v>0.34176440000000002</v>
      </c>
      <c r="Q5741">
        <v>0.1610481</v>
      </c>
      <c r="R5741">
        <v>0.92588369999999998</v>
      </c>
      <c r="S5741">
        <v>1.3165279999999999</v>
      </c>
      <c r="T5741">
        <v>-0.18934000000000001</v>
      </c>
      <c r="U5741">
        <v>2.7885439999999999</v>
      </c>
      <c r="V5741">
        <v>0.23661779999999999</v>
      </c>
      <c r="W5741">
        <v>0.17283129999999999</v>
      </c>
      <c r="X5741">
        <v>0.95610740000000005</v>
      </c>
      <c r="Y5741">
        <v>0.3215382</v>
      </c>
      <c r="Z5741">
        <v>-4.8011379999999999E-2</v>
      </c>
      <c r="AA5741">
        <v>0.94567869999999998</v>
      </c>
      <c r="AB5741">
        <v>30</v>
      </c>
      <c r="AC5741">
        <v>7.73369999999999</v>
      </c>
      <c r="AD5741">
        <v>-1.1177098658660001</v>
      </c>
      <c r="AE5741">
        <v>16.1542999999999</v>
      </c>
      <c r="AF5741">
        <v>5.8392753056956996</v>
      </c>
      <c r="AG5741">
        <v>-1.1177098658660001</v>
      </c>
      <c r="AH5741">
        <v>16.857946441787199</v>
      </c>
      <c r="AI5741">
        <v>93.584880577745807</v>
      </c>
      <c r="AJ5741">
        <v>70.894877496322394</v>
      </c>
      <c r="AK5741">
        <v>17.875591449631202</v>
      </c>
      <c r="AL5741">
        <v>80.047522204145395</v>
      </c>
      <c r="AM5741">
        <v>76.099709772695505</v>
      </c>
      <c r="AN5741">
        <v>1.00000000093564</v>
      </c>
    </row>
    <row r="5742" spans="1:40" x14ac:dyDescent="0.25">
      <c r="A5742" t="str">
        <f>"20190303162716549"</f>
        <v>20190303162716549</v>
      </c>
      <c r="B5742" t="str">
        <f>"1551601636540179"</f>
        <v>1551601636540179</v>
      </c>
      <c r="C5742" t="s">
        <v>40</v>
      </c>
      <c r="D5742">
        <v>5.1098850000000002</v>
      </c>
      <c r="E5742">
        <v>0.53645229999999999</v>
      </c>
      <c r="F5742" t="s">
        <v>47</v>
      </c>
      <c r="G5742">
        <v>-179.93549999999999</v>
      </c>
      <c r="H5742" s="1">
        <v>-5.0081039999999996E-6</v>
      </c>
      <c r="I5742">
        <v>128.04</v>
      </c>
      <c r="J5742">
        <v>-187.88589999999999</v>
      </c>
      <c r="K5742">
        <v>1.1176790000000001</v>
      </c>
      <c r="L5742">
        <v>111.6878</v>
      </c>
      <c r="M5742">
        <v>0.11686970000000001</v>
      </c>
      <c r="N5742">
        <v>-1.44079E-2</v>
      </c>
      <c r="O5742">
        <v>0.9930428</v>
      </c>
      <c r="P5742">
        <v>0.34513909999999998</v>
      </c>
      <c r="Q5742">
        <v>0.1612237</v>
      </c>
      <c r="R5742">
        <v>0.92460039999999999</v>
      </c>
      <c r="S5742">
        <v>1.334778</v>
      </c>
      <c r="T5742">
        <v>-0.18679689999999999</v>
      </c>
      <c r="U5742">
        <v>2.7799529999999999</v>
      </c>
      <c r="V5742">
        <v>0.23619879999999999</v>
      </c>
      <c r="W5742">
        <v>0.1729966</v>
      </c>
      <c r="X5742">
        <v>0.95618110000000001</v>
      </c>
      <c r="Y5742">
        <v>0.32385649999999999</v>
      </c>
      <c r="Z5742">
        <v>-4.7217849999999999E-2</v>
      </c>
      <c r="AA5742">
        <v>0.94492719999999997</v>
      </c>
      <c r="AB5742">
        <v>30</v>
      </c>
      <c r="AC5742">
        <v>7.9504000000000001</v>
      </c>
      <c r="AD5742">
        <v>-1.117684008104</v>
      </c>
      <c r="AE5742">
        <v>16.3521999999999</v>
      </c>
      <c r="AF5742">
        <v>5.9621032172107897</v>
      </c>
      <c r="AG5742">
        <v>-1.117684008104</v>
      </c>
      <c r="AH5742">
        <v>17.104744517631701</v>
      </c>
      <c r="AI5742">
        <v>93.530821509500797</v>
      </c>
      <c r="AJ5742">
        <v>70.783269257041297</v>
      </c>
      <c r="AK5742">
        <v>18.148503445962099</v>
      </c>
      <c r="AL5742">
        <v>80.037906321824593</v>
      </c>
      <c r="AM5742">
        <v>76.124400374470198</v>
      </c>
      <c r="AN5742">
        <v>0.99999999636510495</v>
      </c>
    </row>
    <row r="5743" spans="1:40" x14ac:dyDescent="0.25">
      <c r="A5743" t="str">
        <f>"20190303162716571"</f>
        <v>20190303162716571</v>
      </c>
      <c r="B5743" t="str">
        <f>"1551601636559700"</f>
        <v>1551601636559700</v>
      </c>
      <c r="C5743" t="s">
        <v>40</v>
      </c>
      <c r="D5743">
        <v>5.1155350000000004</v>
      </c>
      <c r="E5743">
        <v>0.54202530000000004</v>
      </c>
      <c r="F5743" t="s">
        <v>47</v>
      </c>
      <c r="G5743">
        <v>-181.0736</v>
      </c>
      <c r="H5743" s="1">
        <v>-4.4024509999999999E-6</v>
      </c>
      <c r="I5743">
        <v>126.2505</v>
      </c>
      <c r="J5743">
        <v>-187.84719999999999</v>
      </c>
      <c r="K5743">
        <v>1.117664</v>
      </c>
      <c r="L5743">
        <v>111.9781</v>
      </c>
      <c r="M5743">
        <v>0.1210991</v>
      </c>
      <c r="N5743">
        <v>-1.440813E-2</v>
      </c>
      <c r="O5743">
        <v>0.99253579999999997</v>
      </c>
      <c r="P5743">
        <v>0.34975810000000002</v>
      </c>
      <c r="Q5743">
        <v>0.16164609999999999</v>
      </c>
      <c r="R5743">
        <v>0.92278919999999998</v>
      </c>
      <c r="S5743">
        <v>1.307083</v>
      </c>
      <c r="T5743">
        <v>-0.2144501</v>
      </c>
      <c r="U5743">
        <v>2.7941440000000002</v>
      </c>
      <c r="V5743">
        <v>0.2369301</v>
      </c>
      <c r="W5743">
        <v>0.1733962</v>
      </c>
      <c r="X5743">
        <v>0.95592770000000005</v>
      </c>
      <c r="Y5743">
        <v>0.31005579999999999</v>
      </c>
      <c r="Z5743">
        <v>-5.6182240000000001E-2</v>
      </c>
      <c r="AA5743">
        <v>0.94905689999999998</v>
      </c>
      <c r="AB5743">
        <v>30</v>
      </c>
      <c r="AC5743">
        <v>6.7735999999999796</v>
      </c>
      <c r="AD5743">
        <v>-1.117668402451</v>
      </c>
      <c r="AE5743">
        <v>14.272399999999999</v>
      </c>
      <c r="AF5743">
        <v>4.9703076838699198</v>
      </c>
      <c r="AG5743">
        <v>-1.117668402451</v>
      </c>
      <c r="AH5743">
        <v>14.9130602931774</v>
      </c>
      <c r="AI5743">
        <v>94.066924201174004</v>
      </c>
      <c r="AJ5743">
        <v>71.567514588492799</v>
      </c>
      <c r="AK5743">
        <v>15.759203927804201</v>
      </c>
      <c r="AL5743">
        <v>80.014659049550303</v>
      </c>
      <c r="AM5743">
        <v>76.079561653096505</v>
      </c>
      <c r="AN5743">
        <v>0.99999994104386802</v>
      </c>
    </row>
    <row r="5744" spans="1:40" x14ac:dyDescent="0.25">
      <c r="A5744" t="str">
        <f>"20190303162716595"</f>
        <v>20190303162716595</v>
      </c>
      <c r="B5744" t="str">
        <f>"1551601636589955"</f>
        <v>1551601636589955</v>
      </c>
      <c r="C5744" t="s">
        <v>40</v>
      </c>
      <c r="D5744">
        <v>5.1282209999999999</v>
      </c>
      <c r="E5744">
        <v>0.54032040000000003</v>
      </c>
      <c r="F5744" t="s">
        <v>47</v>
      </c>
      <c r="G5744">
        <v>-178.7278</v>
      </c>
      <c r="H5744" s="1">
        <v>-4.9105480000000003E-6</v>
      </c>
      <c r="I5744">
        <v>130.45320000000001</v>
      </c>
      <c r="J5744">
        <v>-187.80279999999999</v>
      </c>
      <c r="K5744">
        <v>1.1176489999999999</v>
      </c>
      <c r="L5744">
        <v>112.2996</v>
      </c>
      <c r="M5744">
        <v>0.12581300000000001</v>
      </c>
      <c r="N5744">
        <v>-1.4407949999999999E-2</v>
      </c>
      <c r="O5744">
        <v>0.99194930000000003</v>
      </c>
      <c r="P5744">
        <v>0.35465259999999998</v>
      </c>
      <c r="Q5744">
        <v>0.16286400000000001</v>
      </c>
      <c r="R5744">
        <v>0.92070450000000004</v>
      </c>
      <c r="S5744">
        <v>1.3639829999999999</v>
      </c>
      <c r="T5744">
        <v>-0.16716909999999999</v>
      </c>
      <c r="U5744">
        <v>2.763306</v>
      </c>
      <c r="V5744">
        <v>0.23751069999999999</v>
      </c>
      <c r="W5744">
        <v>0.1745941</v>
      </c>
      <c r="X5744">
        <v>0.95556560000000001</v>
      </c>
      <c r="Y5744">
        <v>0.32575120000000002</v>
      </c>
      <c r="Z5744">
        <v>-4.0905759999999999E-2</v>
      </c>
      <c r="AA5744">
        <v>0.94457020000000003</v>
      </c>
      <c r="AB5744">
        <v>30</v>
      </c>
      <c r="AC5744">
        <v>9.0749999999999797</v>
      </c>
      <c r="AD5744">
        <v>-1.1176539105479999</v>
      </c>
      <c r="AE5744">
        <v>18.153600000000001</v>
      </c>
      <c r="AF5744">
        <v>6.6983653177755498</v>
      </c>
      <c r="AG5744">
        <v>-1.1176539105479999</v>
      </c>
      <c r="AH5744">
        <v>19.093290397493099</v>
      </c>
      <c r="AI5744">
        <v>93.161574189792802</v>
      </c>
      <c r="AJ5744">
        <v>70.667956433176997</v>
      </c>
      <c r="AK5744">
        <v>20.2650187860052</v>
      </c>
      <c r="AL5744">
        <v>79.944962136569103</v>
      </c>
      <c r="AM5744">
        <v>76.041700034851203</v>
      </c>
      <c r="AN5744">
        <v>1.0000000241363201</v>
      </c>
    </row>
    <row r="5745" spans="1:40" x14ac:dyDescent="0.25">
      <c r="A5745" t="str">
        <f>"20190303162716621"</f>
        <v>20190303162716621</v>
      </c>
      <c r="B5745" t="str">
        <f>"1551601636610452"</f>
        <v>1551601636610452</v>
      </c>
      <c r="C5745" t="s">
        <v>40</v>
      </c>
      <c r="D5745">
        <v>5.127389</v>
      </c>
      <c r="E5745">
        <v>0.54039630000000005</v>
      </c>
      <c r="F5745" t="s">
        <v>47</v>
      </c>
      <c r="G5745">
        <v>-179.0796</v>
      </c>
      <c r="H5745" s="1">
        <v>-4.9515790000000002E-6</v>
      </c>
      <c r="I5745">
        <v>129.9289</v>
      </c>
      <c r="J5745">
        <v>-187.75460000000001</v>
      </c>
      <c r="K5745">
        <v>1.1176360000000001</v>
      </c>
      <c r="L5745">
        <v>112.637</v>
      </c>
      <c r="M5745">
        <v>0.13078139999999999</v>
      </c>
      <c r="N5745">
        <v>-1.4407339999999999E-2</v>
      </c>
      <c r="O5745">
        <v>0.99130649999999998</v>
      </c>
      <c r="P5745">
        <v>0.35928399999999999</v>
      </c>
      <c r="Q5745">
        <v>0.16293299999999999</v>
      </c>
      <c r="R5745">
        <v>0.91889489999999996</v>
      </c>
      <c r="S5745">
        <v>1.367065</v>
      </c>
      <c r="T5745">
        <v>-0.17515339999999999</v>
      </c>
      <c r="U5745">
        <v>2.7627869999999999</v>
      </c>
      <c r="V5745">
        <v>0.2375418</v>
      </c>
      <c r="W5745">
        <v>0.1746547</v>
      </c>
      <c r="X5745">
        <v>0.95554680000000003</v>
      </c>
      <c r="Y5745">
        <v>0.32187680000000002</v>
      </c>
      <c r="Z5745">
        <v>-4.3516859999999997E-2</v>
      </c>
      <c r="AA5745">
        <v>0.94578090000000004</v>
      </c>
      <c r="AB5745">
        <v>30</v>
      </c>
      <c r="AC5745">
        <v>8.6750000000000096</v>
      </c>
      <c r="AD5745">
        <v>-1.117640951579</v>
      </c>
      <c r="AE5745">
        <v>17.291899999999998</v>
      </c>
      <c r="AF5745">
        <v>6.3176976584640601</v>
      </c>
      <c r="AG5745">
        <v>-1.117640951579</v>
      </c>
      <c r="AH5745">
        <v>18.217198901566501</v>
      </c>
      <c r="AI5745">
        <v>93.317389436456494</v>
      </c>
      <c r="AJ5745">
        <v>70.873529687231198</v>
      </c>
      <c r="AK5745">
        <v>19.3139524908716</v>
      </c>
      <c r="AL5745">
        <v>79.941435880431598</v>
      </c>
      <c r="AM5745">
        <v>76.039679874508394</v>
      </c>
      <c r="AN5745">
        <v>1.0000000289847799</v>
      </c>
    </row>
    <row r="5746" spans="1:40" x14ac:dyDescent="0.25">
      <c r="A5746" t="str">
        <f>"20190303162716641"</f>
        <v>20190303162716641</v>
      </c>
      <c r="B5746" t="str">
        <f>"1551601636629972"</f>
        <v>1551601636629972</v>
      </c>
      <c r="C5746" t="s">
        <v>40</v>
      </c>
      <c r="D5746">
        <v>5.1326210000000003</v>
      </c>
      <c r="E5746">
        <v>0.53984399999999999</v>
      </c>
      <c r="F5746" t="s">
        <v>47</v>
      </c>
      <c r="G5746">
        <v>-179.19589999999999</v>
      </c>
      <c r="H5746" s="1">
        <v>-4.9453010000000001E-6</v>
      </c>
      <c r="I5746">
        <v>129.70339999999999</v>
      </c>
      <c r="J5746">
        <v>-187.71469999999999</v>
      </c>
      <c r="K5746">
        <v>1.1176170000000001</v>
      </c>
      <c r="L5746">
        <v>112.907</v>
      </c>
      <c r="M5746">
        <v>0.134768</v>
      </c>
      <c r="N5746">
        <v>-1.4406489999999999E-2</v>
      </c>
      <c r="O5746">
        <v>0.9907724</v>
      </c>
      <c r="P5746">
        <v>0.36268669999999997</v>
      </c>
      <c r="Q5746">
        <v>0.16145799999999999</v>
      </c>
      <c r="R5746">
        <v>0.91781789999999996</v>
      </c>
      <c r="S5746">
        <v>1.3822939999999999</v>
      </c>
      <c r="T5746">
        <v>-0.18050659999999999</v>
      </c>
      <c r="U5746">
        <v>2.756332</v>
      </c>
      <c r="V5746">
        <v>0.23719199999999999</v>
      </c>
      <c r="W5746">
        <v>0.17318449999999999</v>
      </c>
      <c r="X5746">
        <v>0.95590120000000001</v>
      </c>
      <c r="Y5746">
        <v>0.32309339999999998</v>
      </c>
      <c r="Z5746">
        <v>-4.5281290000000002E-2</v>
      </c>
      <c r="AA5746">
        <v>0.94528319999999999</v>
      </c>
      <c r="AB5746">
        <v>30</v>
      </c>
      <c r="AC5746">
        <v>8.5187999999999899</v>
      </c>
      <c r="AD5746">
        <v>-1.1176219453009999</v>
      </c>
      <c r="AE5746">
        <v>16.796399999999899</v>
      </c>
      <c r="AF5746">
        <v>6.1555385813596697</v>
      </c>
      <c r="AG5746">
        <v>-1.1176219453009999</v>
      </c>
      <c r="AH5746">
        <v>17.728884008528201</v>
      </c>
      <c r="AI5746">
        <v>93.408064500288702</v>
      </c>
      <c r="AJ5746">
        <v>70.852796757885699</v>
      </c>
      <c r="AK5746">
        <v>18.800347396446501</v>
      </c>
      <c r="AL5746">
        <v>80.026975591040596</v>
      </c>
      <c r="AM5746">
        <v>76.064402256098205</v>
      </c>
      <c r="AN5746">
        <v>1.0000000100328399</v>
      </c>
    </row>
    <row r="5747" spans="1:40" x14ac:dyDescent="0.25">
      <c r="A5747" t="str">
        <f>"20190303162716663"</f>
        <v>20190303162716663</v>
      </c>
      <c r="B5747" t="str">
        <f>"1551601636650467"</f>
        <v>1551601636650467</v>
      </c>
      <c r="C5747" t="s">
        <v>40</v>
      </c>
      <c r="D5747">
        <v>5.1255379999999997</v>
      </c>
      <c r="E5747">
        <v>0.53927530000000001</v>
      </c>
      <c r="F5747" t="s">
        <v>47</v>
      </c>
      <c r="G5747">
        <v>-179.69099999999901</v>
      </c>
      <c r="H5747" s="1">
        <v>-5.0562470000000002E-6</v>
      </c>
      <c r="I5747">
        <v>128.83969999999999</v>
      </c>
      <c r="J5747">
        <v>-187.6712</v>
      </c>
      <c r="K5747">
        <v>1.11761</v>
      </c>
      <c r="L5747">
        <v>113.19329999999999</v>
      </c>
      <c r="M5747">
        <v>0.1389987</v>
      </c>
      <c r="N5747">
        <v>-1.440515E-2</v>
      </c>
      <c r="O5747">
        <v>0.99018779999999995</v>
      </c>
      <c r="P5747">
        <v>0.36610470000000001</v>
      </c>
      <c r="Q5747">
        <v>0.15921689999999999</v>
      </c>
      <c r="R5747">
        <v>0.91685190000000005</v>
      </c>
      <c r="S5747">
        <v>1.3871610000000001</v>
      </c>
      <c r="T5747">
        <v>-0.19321679999999999</v>
      </c>
      <c r="U5747">
        <v>2.7544710000000001</v>
      </c>
      <c r="V5747">
        <v>0.236596</v>
      </c>
      <c r="W5747">
        <v>0.1709552</v>
      </c>
      <c r="X5747">
        <v>0.95645000000000002</v>
      </c>
      <c r="Y5747">
        <v>0.32054369999999999</v>
      </c>
      <c r="Z5747">
        <v>-4.9440289999999998E-2</v>
      </c>
      <c r="AA5747">
        <v>0.94594259999999997</v>
      </c>
      <c r="AB5747">
        <v>30</v>
      </c>
      <c r="AC5747">
        <v>7.9802000000000204</v>
      </c>
      <c r="AD5747">
        <v>-1.117615056247</v>
      </c>
      <c r="AE5747">
        <v>15.6464</v>
      </c>
      <c r="AF5747">
        <v>5.7045643547115104</v>
      </c>
      <c r="AG5747">
        <v>-1.117615056247</v>
      </c>
      <c r="AH5747">
        <v>16.5368780080255</v>
      </c>
      <c r="AI5747">
        <v>93.655585424897893</v>
      </c>
      <c r="AJ5747">
        <v>70.967604699131698</v>
      </c>
      <c r="AK5747">
        <v>17.5288177622825</v>
      </c>
      <c r="AL5747">
        <v>80.156638716054005</v>
      </c>
      <c r="AM5747">
        <v>76.105726476963596</v>
      </c>
      <c r="AN5747">
        <v>0.99999997506151905</v>
      </c>
    </row>
    <row r="5748" spans="1:40" x14ac:dyDescent="0.25">
      <c r="A5748" t="str">
        <f>"20190303162716685"</f>
        <v>20190303162716685</v>
      </c>
      <c r="B5748" t="str">
        <f>"1551601636679748"</f>
        <v>1551601636679748</v>
      </c>
      <c r="C5748" t="s">
        <v>40</v>
      </c>
      <c r="D5748">
        <v>5.1181029999999996</v>
      </c>
      <c r="E5748">
        <v>0.53785869999999902</v>
      </c>
      <c r="F5748" t="s">
        <v>47</v>
      </c>
      <c r="G5748">
        <v>-180.1506</v>
      </c>
      <c r="H5748" s="1">
        <v>-5.0006349999999999E-6</v>
      </c>
      <c r="I5748">
        <v>128.05889999999999</v>
      </c>
      <c r="J5748">
        <v>-187.625</v>
      </c>
      <c r="K5748">
        <v>1.1176029999999999</v>
      </c>
      <c r="L5748">
        <v>113.488</v>
      </c>
      <c r="M5748">
        <v>0.14335780000000001</v>
      </c>
      <c r="N5748">
        <v>-1.440344E-2</v>
      </c>
      <c r="O5748">
        <v>0.9895661</v>
      </c>
      <c r="P5748">
        <v>0.3697222</v>
      </c>
      <c r="Q5748">
        <v>0.15777249999999901</v>
      </c>
      <c r="R5748">
        <v>0.91564909999999999</v>
      </c>
      <c r="S5748">
        <v>1.3922730000000001</v>
      </c>
      <c r="T5748">
        <v>-0.20690210000000001</v>
      </c>
      <c r="U5748">
        <v>2.7520449999999999</v>
      </c>
      <c r="V5748">
        <v>0.23611019999999999</v>
      </c>
      <c r="W5748">
        <v>0.16952010000000001</v>
      </c>
      <c r="X5748">
        <v>0.95682540000000005</v>
      </c>
      <c r="Y5748">
        <v>0.3179941</v>
      </c>
      <c r="Z5748">
        <v>-5.3920500000000003E-2</v>
      </c>
      <c r="AA5748">
        <v>0.94655820000000002</v>
      </c>
      <c r="AB5748">
        <v>30</v>
      </c>
      <c r="AC5748">
        <v>7.4744000000000002</v>
      </c>
      <c r="AD5748">
        <v>-1.117608000635</v>
      </c>
      <c r="AE5748">
        <v>14.5708999999999</v>
      </c>
      <c r="AF5748">
        <v>5.2835032623241496</v>
      </c>
      <c r="AG5748">
        <v>-1.117608000635</v>
      </c>
      <c r="AH5748">
        <v>15.420169417370101</v>
      </c>
      <c r="AI5748">
        <v>93.922289298346598</v>
      </c>
      <c r="AJ5748">
        <v>71.086700475828906</v>
      </c>
      <c r="AK5748">
        <v>16.3384846061827</v>
      </c>
      <c r="AL5748">
        <v>80.240081851697695</v>
      </c>
      <c r="AM5748">
        <v>76.138383950783506</v>
      </c>
      <c r="AN5748">
        <v>0.99999996846660399</v>
      </c>
    </row>
    <row r="5749" spans="1:40" x14ac:dyDescent="0.25">
      <c r="A5749" t="str">
        <f>"20190303162716708"</f>
        <v>20190303162716708</v>
      </c>
      <c r="B5749" t="str">
        <f>"1551601636700243"</f>
        <v>1551601636700243</v>
      </c>
      <c r="C5749" t="s">
        <v>40</v>
      </c>
      <c r="D5749">
        <v>5.1066469999999997</v>
      </c>
      <c r="E5749">
        <v>0.53747979999999995</v>
      </c>
      <c r="F5749" t="s">
        <v>47</v>
      </c>
      <c r="G5749">
        <v>-180.05599999999899</v>
      </c>
      <c r="H5749" s="1">
        <v>-5.1096399999999996E-6</v>
      </c>
      <c r="I5749">
        <v>128.42779999999999</v>
      </c>
      <c r="J5749">
        <v>-187.577</v>
      </c>
      <c r="K5749">
        <v>1.1176060000000001</v>
      </c>
      <c r="L5749">
        <v>113.78570000000001</v>
      </c>
      <c r="M5749">
        <v>0.14776010000000001</v>
      </c>
      <c r="N5749">
        <v>-1.440143E-2</v>
      </c>
      <c r="O5749">
        <v>0.98891839999999998</v>
      </c>
      <c r="P5749">
        <v>0.37411280000000002</v>
      </c>
      <c r="Q5749">
        <v>0.15745889999999901</v>
      </c>
      <c r="R5749">
        <v>0.91391809999999996</v>
      </c>
      <c r="S5749">
        <v>1.3929290000000001</v>
      </c>
      <c r="T5749">
        <v>-0.20567350000000001</v>
      </c>
      <c r="U5749">
        <v>2.749374</v>
      </c>
      <c r="V5749">
        <v>0.23643230000000001</v>
      </c>
      <c r="W5749">
        <v>0.16920479999999999</v>
      </c>
      <c r="X5749">
        <v>0.95680169999999998</v>
      </c>
      <c r="Y5749">
        <v>0.31433470000000002</v>
      </c>
      <c r="Z5749">
        <v>-5.3567360000000001E-2</v>
      </c>
      <c r="AA5749">
        <v>0.94779970000000002</v>
      </c>
      <c r="AB5749">
        <v>30</v>
      </c>
      <c r="AC5749">
        <v>7.5210000000000097</v>
      </c>
      <c r="AD5749">
        <v>-1.1176111096400001</v>
      </c>
      <c r="AE5749">
        <v>14.6420999999999</v>
      </c>
      <c r="AF5749">
        <v>5.2504803618294797</v>
      </c>
      <c r="AG5749">
        <v>-1.1176111096400001</v>
      </c>
      <c r="AH5749">
        <v>15.521212848773301</v>
      </c>
      <c r="AI5749">
        <v>93.902013690225999</v>
      </c>
      <c r="AJ5749">
        <v>71.310467682168095</v>
      </c>
      <c r="AK5749">
        <v>16.423295860431701</v>
      </c>
      <c r="AL5749">
        <v>80.258412272929505</v>
      </c>
      <c r="AM5749">
        <v>76.119874221913307</v>
      </c>
      <c r="AN5749">
        <v>0.99999999497460901</v>
      </c>
    </row>
    <row r="5750" spans="1:40" x14ac:dyDescent="0.25">
      <c r="A5750" t="str">
        <f>"20190303162716730"</f>
        <v>20190303162716730</v>
      </c>
      <c r="B5750" t="str">
        <f>"1551601636719763"</f>
        <v>1551601636719763</v>
      </c>
      <c r="C5750" t="s">
        <v>40</v>
      </c>
      <c r="D5750">
        <v>5.1244129999999997</v>
      </c>
      <c r="E5750">
        <v>0.53718759999999999</v>
      </c>
      <c r="F5750" t="s">
        <v>47</v>
      </c>
      <c r="G5750">
        <v>-179.90469999999999</v>
      </c>
      <c r="H5750" s="1">
        <v>-5.1847999999999999E-6</v>
      </c>
      <c r="I5750">
        <v>128.7978</v>
      </c>
      <c r="J5750">
        <v>-187.5266</v>
      </c>
      <c r="K5750">
        <v>1.11761</v>
      </c>
      <c r="L5750">
        <v>114.09010000000001</v>
      </c>
      <c r="M5750">
        <v>0.15225820000000001</v>
      </c>
      <c r="N5750">
        <v>-1.439912E-2</v>
      </c>
      <c r="O5750">
        <v>0.9882358</v>
      </c>
      <c r="P5750">
        <v>0.37961519999999999</v>
      </c>
      <c r="Q5750">
        <v>0.1563562</v>
      </c>
      <c r="R5750">
        <v>0.91183610000000004</v>
      </c>
      <c r="S5750">
        <v>1.4022669999999999</v>
      </c>
      <c r="T5750">
        <v>-0.2042648</v>
      </c>
      <c r="U5750">
        <v>2.7437589999999998</v>
      </c>
      <c r="V5750">
        <v>0.23780789999999999</v>
      </c>
      <c r="W5750">
        <v>0.16808989999999999</v>
      </c>
      <c r="X5750">
        <v>0.95665730000000004</v>
      </c>
      <c r="Y5750">
        <v>0.3133708</v>
      </c>
      <c r="Z5750">
        <v>-5.3142729999999999E-2</v>
      </c>
      <c r="AA5750">
        <v>0.9481427</v>
      </c>
      <c r="AB5750">
        <v>30</v>
      </c>
      <c r="AC5750">
        <v>7.6219000000000099</v>
      </c>
      <c r="AD5750">
        <v>-1.1176151848</v>
      </c>
      <c r="AE5750">
        <v>14.7076999999999</v>
      </c>
      <c r="AF5750">
        <v>5.26943009699544</v>
      </c>
      <c r="AG5750">
        <v>-1.1176151848</v>
      </c>
      <c r="AH5750">
        <v>15.6256753951176</v>
      </c>
      <c r="AI5750">
        <v>93.877250198972206</v>
      </c>
      <c r="AJ5750">
        <v>71.364404368384399</v>
      </c>
      <c r="AK5750">
        <v>16.5280878749479</v>
      </c>
      <c r="AL5750">
        <v>80.323219668544795</v>
      </c>
      <c r="AM5750">
        <v>76.040241791556596</v>
      </c>
      <c r="AN5750">
        <v>1.0000000007138501</v>
      </c>
    </row>
    <row r="5751" spans="1:40" x14ac:dyDescent="0.25">
      <c r="A5751" t="str">
        <f>"20190303162716753"</f>
        <v>20190303162716753</v>
      </c>
      <c r="B5751" t="str">
        <f>"1551601636740260"</f>
        <v>1551601636740260</v>
      </c>
      <c r="C5751" t="s">
        <v>40</v>
      </c>
      <c r="D5751">
        <v>5.1034930000000003</v>
      </c>
      <c r="E5751">
        <v>0.53729859999999996</v>
      </c>
      <c r="F5751" t="s">
        <v>47</v>
      </c>
      <c r="G5751">
        <v>-179.82990000000001</v>
      </c>
      <c r="H5751" s="1">
        <v>-5.1800179999999996E-6</v>
      </c>
      <c r="I5751">
        <v>128.96729999999999</v>
      </c>
      <c r="J5751">
        <v>-187.48050000000001</v>
      </c>
      <c r="K5751">
        <v>1.1176159999999999</v>
      </c>
      <c r="L5751">
        <v>114.3609</v>
      </c>
      <c r="M5751">
        <v>0.15625320000000001</v>
      </c>
      <c r="N5751">
        <v>-1.4396819999999999E-2</v>
      </c>
      <c r="O5751">
        <v>0.98761209999999999</v>
      </c>
      <c r="P5751">
        <v>0.38325009999999998</v>
      </c>
      <c r="Q5751">
        <v>0.1546381</v>
      </c>
      <c r="R5751">
        <v>0.91060770000000002</v>
      </c>
      <c r="S5751">
        <v>1.4154659999999999</v>
      </c>
      <c r="T5751">
        <v>-0.2055371</v>
      </c>
      <c r="U5751">
        <v>2.7360229999999999</v>
      </c>
      <c r="V5751">
        <v>0.23769080000000001</v>
      </c>
      <c r="W5751">
        <v>0.166382</v>
      </c>
      <c r="X5751">
        <v>0.95698490000000003</v>
      </c>
      <c r="Y5751">
        <v>0.31421959999999999</v>
      </c>
      <c r="Z5751">
        <v>-5.3604560000000002E-2</v>
      </c>
      <c r="AA5751">
        <v>0.94783569999999995</v>
      </c>
      <c r="AB5751">
        <v>30</v>
      </c>
      <c r="AC5751">
        <v>7.6505999999999901</v>
      </c>
      <c r="AD5751">
        <v>-1.117621180018</v>
      </c>
      <c r="AE5751">
        <v>14.606399999999899</v>
      </c>
      <c r="AF5751">
        <v>5.24995543313866</v>
      </c>
      <c r="AG5751">
        <v>-1.117621180018</v>
      </c>
      <c r="AH5751">
        <v>15.551061890178699</v>
      </c>
      <c r="AI5751">
        <v>93.895386573379</v>
      </c>
      <c r="AJ5751">
        <v>71.345592438137999</v>
      </c>
      <c r="AK5751">
        <v>16.451341436616499</v>
      </c>
      <c r="AL5751">
        <v>80.422472858482394</v>
      </c>
      <c r="AM5751">
        <v>76.051437122302005</v>
      </c>
      <c r="AN5751">
        <v>0.99999999257832495</v>
      </c>
    </row>
    <row r="5752" spans="1:40" x14ac:dyDescent="0.25">
      <c r="A5752" t="str">
        <f>"20190303162716773"</f>
        <v>20190303162716773</v>
      </c>
      <c r="B5752" t="str">
        <f>"1551601636759780"</f>
        <v>1551601636759780</v>
      </c>
      <c r="C5752" t="s">
        <v>40</v>
      </c>
      <c r="D5752">
        <v>5.0902510000000003</v>
      </c>
      <c r="E5752">
        <v>0.53709189999999996</v>
      </c>
      <c r="F5752" t="s">
        <v>47</v>
      </c>
      <c r="G5752">
        <v>-179.7773</v>
      </c>
      <c r="H5752" s="1">
        <v>-5.1785670000000004E-6</v>
      </c>
      <c r="I5752">
        <v>129.09389999999999</v>
      </c>
      <c r="J5752">
        <v>-187.4306</v>
      </c>
      <c r="K5752">
        <v>1.117629</v>
      </c>
      <c r="L5752">
        <v>114.6464</v>
      </c>
      <c r="M5752">
        <v>0.16045019999999999</v>
      </c>
      <c r="N5752">
        <v>-1.4394000000000001E-2</v>
      </c>
      <c r="O5752">
        <v>0.98693900000000001</v>
      </c>
      <c r="P5752">
        <v>0.38651649999999999</v>
      </c>
      <c r="Q5752">
        <v>0.15299660000000001</v>
      </c>
      <c r="R5752">
        <v>0.90950379999999997</v>
      </c>
      <c r="S5752">
        <v>1.4269259999999999</v>
      </c>
      <c r="T5752">
        <v>-0.20702590000000001</v>
      </c>
      <c r="U5752">
        <v>2.7291110000000001</v>
      </c>
      <c r="V5752">
        <v>0.23699100000000001</v>
      </c>
      <c r="W5752">
        <v>0.16475919999999999</v>
      </c>
      <c r="X5752">
        <v>0.95743909999999999</v>
      </c>
      <c r="Y5752">
        <v>0.31428050000000002</v>
      </c>
      <c r="Z5752">
        <v>-5.4132760000000002E-2</v>
      </c>
      <c r="AA5752">
        <v>0.94778560000000001</v>
      </c>
      <c r="AB5752">
        <v>30</v>
      </c>
      <c r="AC5752">
        <v>7.6532999999999998</v>
      </c>
      <c r="AD5752">
        <v>-1.1176341785670001</v>
      </c>
      <c r="AE5752">
        <v>14.4474999999999</v>
      </c>
      <c r="AF5752">
        <v>5.2114253389370297</v>
      </c>
      <c r="AG5752">
        <v>-1.1176341785670001</v>
      </c>
      <c r="AH5752">
        <v>15.416338523842301</v>
      </c>
      <c r="AI5752">
        <v>93.928832184883404</v>
      </c>
      <c r="AJ5752">
        <v>71.322402189406205</v>
      </c>
      <c r="AK5752">
        <v>16.311699902282498</v>
      </c>
      <c r="AL5752">
        <v>80.516753603213104</v>
      </c>
      <c r="AM5752">
        <v>76.097249519155795</v>
      </c>
      <c r="AN5752">
        <v>0.99999997913722405</v>
      </c>
    </row>
    <row r="5753" spans="1:40" x14ac:dyDescent="0.25">
      <c r="A5753" t="str">
        <f>"20190303162716795"</f>
        <v>20190303162716795</v>
      </c>
      <c r="B5753" t="str">
        <f>"1551601636790036"</f>
        <v>1551601636790036</v>
      </c>
      <c r="C5753" t="s">
        <v>40</v>
      </c>
      <c r="D5753">
        <v>5.0826949999999904</v>
      </c>
      <c r="E5753">
        <v>0.53715069999999998</v>
      </c>
      <c r="F5753" t="s">
        <v>47</v>
      </c>
      <c r="G5753">
        <v>-179.81139999999999</v>
      </c>
      <c r="H5753" s="1">
        <v>-5.2044819999999998E-6</v>
      </c>
      <c r="I5753">
        <v>129.108</v>
      </c>
      <c r="J5753">
        <v>-187.37690000000001</v>
      </c>
      <c r="K5753">
        <v>1.1176469999999901</v>
      </c>
      <c r="L5753">
        <v>114.94710000000001</v>
      </c>
      <c r="M5753">
        <v>0.16485069999999999</v>
      </c>
      <c r="N5753">
        <v>-1.439057E-2</v>
      </c>
      <c r="O5753">
        <v>0.98621360000000002</v>
      </c>
      <c r="P5753">
        <v>0.38982299999999998</v>
      </c>
      <c r="Q5753">
        <v>0.15203829999999999</v>
      </c>
      <c r="R5753">
        <v>0.90825239999999996</v>
      </c>
      <c r="S5753">
        <v>1.435165</v>
      </c>
      <c r="T5753">
        <v>-0.2105176</v>
      </c>
      <c r="U5753">
        <v>2.7239840000000002</v>
      </c>
      <c r="V5753">
        <v>0.23615829999999999</v>
      </c>
      <c r="W5753">
        <v>0.1638232</v>
      </c>
      <c r="X5753">
        <v>0.95780549999999998</v>
      </c>
      <c r="Y5753">
        <v>0.31299399999999999</v>
      </c>
      <c r="Z5753">
        <v>-5.5303860000000003E-2</v>
      </c>
      <c r="AA5753">
        <v>0.94814350000000003</v>
      </c>
      <c r="AB5753">
        <v>30</v>
      </c>
      <c r="AC5753">
        <v>7.5655000000000099</v>
      </c>
      <c r="AD5753">
        <v>-1.1176522044820001</v>
      </c>
      <c r="AE5753">
        <v>14.1608999999999</v>
      </c>
      <c r="AF5753">
        <v>5.1025682579936698</v>
      </c>
      <c r="AG5753">
        <v>-1.1176522044820001</v>
      </c>
      <c r="AH5753">
        <v>15.1410510480278</v>
      </c>
      <c r="AI5753">
        <v>94.0013595314458</v>
      </c>
      <c r="AJ5753">
        <v>71.376067818800607</v>
      </c>
      <c r="AK5753">
        <v>16.016765469864801</v>
      </c>
      <c r="AL5753">
        <v>80.571122166196702</v>
      </c>
      <c r="AM5753">
        <v>76.149309517615393</v>
      </c>
      <c r="AN5753">
        <v>1.0000000796736801</v>
      </c>
    </row>
    <row r="5754" spans="1:40" x14ac:dyDescent="0.25">
      <c r="A5754" t="str">
        <f>"20190303162716821"</f>
        <v>20190303162716821</v>
      </c>
      <c r="B5754" t="str">
        <f>"1551601636810531"</f>
        <v>1551601636810531</v>
      </c>
      <c r="C5754" t="s">
        <v>40</v>
      </c>
      <c r="D5754">
        <v>5.0836230000000002</v>
      </c>
      <c r="E5754">
        <v>0.53712890000000002</v>
      </c>
      <c r="F5754" t="s">
        <v>47</v>
      </c>
      <c r="G5754">
        <v>-179.87979999999999</v>
      </c>
      <c r="H5754" s="1">
        <v>-5.2343830000000004E-6</v>
      </c>
      <c r="I5754">
        <v>129.0513</v>
      </c>
      <c r="J5754">
        <v>-187.31800000000001</v>
      </c>
      <c r="K5754">
        <v>1.117685</v>
      </c>
      <c r="L5754">
        <v>115.2681</v>
      </c>
      <c r="M5754">
        <v>0.16952339999999999</v>
      </c>
      <c r="N5754">
        <v>-1.438646E-2</v>
      </c>
      <c r="O5754">
        <v>0.98542110000000005</v>
      </c>
      <c r="P5754">
        <v>0.39426129999999998</v>
      </c>
      <c r="Q5754">
        <v>0.15164900000000001</v>
      </c>
      <c r="R5754">
        <v>0.90639979999999998</v>
      </c>
      <c r="S5754">
        <v>1.44519</v>
      </c>
      <c r="T5754">
        <v>-0.21544559999999999</v>
      </c>
      <c r="U5754">
        <v>2.718826</v>
      </c>
      <c r="V5754">
        <v>0.23627809999999999</v>
      </c>
      <c r="W5754">
        <v>0.16344589999999901</v>
      </c>
      <c r="X5754">
        <v>0.95784029999999998</v>
      </c>
      <c r="Y5754">
        <v>0.31191859999999999</v>
      </c>
      <c r="Z5754">
        <v>-5.6927030000000003E-2</v>
      </c>
      <c r="AA5754">
        <v>0.94840190000000002</v>
      </c>
      <c r="AB5754">
        <v>30</v>
      </c>
      <c r="AC5754">
        <v>7.4381999999999904</v>
      </c>
      <c r="AD5754">
        <v>-1.117690234383</v>
      </c>
      <c r="AE5754">
        <v>13.7831999999999</v>
      </c>
      <c r="AF5754">
        <v>4.9683992998866797</v>
      </c>
      <c r="AG5754">
        <v>-1.117690234383</v>
      </c>
      <c r="AH5754">
        <v>14.7695268604243</v>
      </c>
      <c r="AI5754">
        <v>94.102562994465103</v>
      </c>
      <c r="AJ5754">
        <v>71.407302907445896</v>
      </c>
      <c r="AK5754">
        <v>15.6228405465826</v>
      </c>
      <c r="AL5754">
        <v>80.593034201280403</v>
      </c>
      <c r="AM5754">
        <v>76.143038055886294</v>
      </c>
      <c r="AN5754">
        <v>0.999999971535254</v>
      </c>
    </row>
    <row r="5755" spans="1:40" x14ac:dyDescent="0.25">
      <c r="A5755" t="str">
        <f>"20190303162716841"</f>
        <v>20190303162716841</v>
      </c>
      <c r="B5755" t="str">
        <f>"1551601636830052"</f>
        <v>1551601636830052</v>
      </c>
      <c r="C5755" t="s">
        <v>40</v>
      </c>
      <c r="D5755">
        <v>5.0771329999999999</v>
      </c>
      <c r="E5755">
        <v>0.53721790000000003</v>
      </c>
      <c r="F5755" t="s">
        <v>47</v>
      </c>
      <c r="G5755">
        <v>-179.86539999999999</v>
      </c>
      <c r="H5755" s="1">
        <v>-5.2437599999999901E-6</v>
      </c>
      <c r="I5755">
        <v>129.1234</v>
      </c>
      <c r="J5755">
        <v>-187.26820000000001</v>
      </c>
      <c r="K5755">
        <v>1.1177170000000001</v>
      </c>
      <c r="L5755">
        <v>115.53319999999999</v>
      </c>
      <c r="M5755">
        <v>0.17335780000000001</v>
      </c>
      <c r="N5755">
        <v>-1.4382850000000001E-2</v>
      </c>
      <c r="O5755">
        <v>0.98475389999999996</v>
      </c>
      <c r="P5755">
        <v>0.3981828</v>
      </c>
      <c r="Q5755">
        <v>0.1527567</v>
      </c>
      <c r="R5755">
        <v>0.90449760000000001</v>
      </c>
      <c r="S5755">
        <v>1.4586939999999999</v>
      </c>
      <c r="T5755">
        <v>-0.2187655</v>
      </c>
      <c r="U5755">
        <v>2.7118989999999998</v>
      </c>
      <c r="V5755">
        <v>0.23672969999999999</v>
      </c>
      <c r="W5755">
        <v>0.16455690000000001</v>
      </c>
      <c r="X5755">
        <v>0.95753849999999996</v>
      </c>
      <c r="Y5755">
        <v>0.31286199999999997</v>
      </c>
      <c r="Z5755">
        <v>-5.8031640000000002E-2</v>
      </c>
      <c r="AA5755">
        <v>0.94802410000000004</v>
      </c>
      <c r="AB5755">
        <v>30</v>
      </c>
      <c r="AC5755">
        <v>7.4028000000000098</v>
      </c>
      <c r="AD5755">
        <v>-1.1177222437600001</v>
      </c>
      <c r="AE5755">
        <v>13.590199999999999</v>
      </c>
      <c r="AF5755">
        <v>4.9088726503906797</v>
      </c>
      <c r="AG5755">
        <v>-1.1177222437600001</v>
      </c>
      <c r="AH5755">
        <v>14.5917361088643</v>
      </c>
      <c r="AI5755">
        <v>94.152470632324693</v>
      </c>
      <c r="AJ5755">
        <v>71.406310570939596</v>
      </c>
      <c r="AK5755">
        <v>15.435838052489499</v>
      </c>
      <c r="AL5755">
        <v>80.528504673714593</v>
      </c>
      <c r="AM5755">
        <v>76.113370499821002</v>
      </c>
      <c r="AN5755">
        <v>0.99999995159097299</v>
      </c>
    </row>
    <row r="5756" spans="1:40" x14ac:dyDescent="0.25">
      <c r="A5756" t="str">
        <f>"20190303162716863"</f>
        <v>20190303162716863</v>
      </c>
      <c r="B5756" t="str">
        <f>"1551601636850547"</f>
        <v>1551601636850547</v>
      </c>
      <c r="C5756" t="s">
        <v>40</v>
      </c>
      <c r="D5756">
        <v>5.0679790000000002</v>
      </c>
      <c r="E5756">
        <v>0.53732100000000005</v>
      </c>
      <c r="F5756" t="s">
        <v>47</v>
      </c>
      <c r="G5756">
        <v>-179.67099999999999</v>
      </c>
      <c r="H5756" s="1">
        <v>-5.209299E-6</v>
      </c>
      <c r="I5756">
        <v>129.4984</v>
      </c>
      <c r="J5756">
        <v>-187.2141</v>
      </c>
      <c r="K5756">
        <v>1.1177469999999901</v>
      </c>
      <c r="L5756">
        <v>115.8154</v>
      </c>
      <c r="M5756">
        <v>0.1774194</v>
      </c>
      <c r="N5756">
        <v>-1.4378800000000001E-2</v>
      </c>
      <c r="O5756">
        <v>0.98403030000000002</v>
      </c>
      <c r="P5756">
        <v>0.40199790000000002</v>
      </c>
      <c r="Q5756">
        <v>0.1530675</v>
      </c>
      <c r="R5756">
        <v>0.90275589999999994</v>
      </c>
      <c r="S5756">
        <v>1.4717709999999999</v>
      </c>
      <c r="T5756">
        <v>-0.21653120000000001</v>
      </c>
      <c r="U5756">
        <v>2.7054290000000001</v>
      </c>
      <c r="V5756">
        <v>0.2368227</v>
      </c>
      <c r="W5756">
        <v>0.16487769999999999</v>
      </c>
      <c r="X5756">
        <v>0.95746039999999999</v>
      </c>
      <c r="Y5756">
        <v>0.3134537</v>
      </c>
      <c r="Z5756">
        <v>-5.7312839999999997E-2</v>
      </c>
      <c r="AA5756">
        <v>0.94787239999999995</v>
      </c>
      <c r="AB5756">
        <v>30</v>
      </c>
      <c r="AC5756">
        <v>7.5431000000000097</v>
      </c>
      <c r="AD5756">
        <v>-1.11775220929899</v>
      </c>
      <c r="AE5756">
        <v>13.683</v>
      </c>
      <c r="AF5756">
        <v>4.9700897960897299</v>
      </c>
      <c r="AG5756">
        <v>-1.11775220929899</v>
      </c>
      <c r="AH5756">
        <v>14.728929561018299</v>
      </c>
      <c r="AI5756">
        <v>94.112767036578504</v>
      </c>
      <c r="AJ5756">
        <v>71.353687885727496</v>
      </c>
      <c r="AK5756">
        <v>15.585009740004301</v>
      </c>
      <c r="AL5756">
        <v>80.509870421237395</v>
      </c>
      <c r="AM5756">
        <v>76.107037093670897</v>
      </c>
      <c r="AN5756">
        <v>1.0000000323803599</v>
      </c>
    </row>
    <row r="5757" spans="1:40" x14ac:dyDescent="0.25">
      <c r="A5757" t="str">
        <f>"20190303162716885"</f>
        <v>20190303162716885</v>
      </c>
      <c r="B5757" t="str">
        <f>"1551601636879828"</f>
        <v>1551601636879828</v>
      </c>
      <c r="C5757" t="s">
        <v>40</v>
      </c>
      <c r="D5757">
        <v>5.0309809999999997</v>
      </c>
      <c r="E5757">
        <v>0.53743030000000003</v>
      </c>
      <c r="F5757" t="s">
        <v>47</v>
      </c>
      <c r="G5757">
        <v>-179.5635</v>
      </c>
      <c r="H5757" s="1">
        <v>-5.2025380000000004E-6</v>
      </c>
      <c r="I5757">
        <v>129.72030000000001</v>
      </c>
      <c r="J5757">
        <v>-187.1567</v>
      </c>
      <c r="K5757">
        <v>1.1177680000000001</v>
      </c>
      <c r="L5757">
        <v>116.1075</v>
      </c>
      <c r="M5757">
        <v>0.18160129999999999</v>
      </c>
      <c r="N5757">
        <v>-1.437458E-2</v>
      </c>
      <c r="O5757">
        <v>0.98326720000000001</v>
      </c>
      <c r="P5757">
        <v>0.40631139999999999</v>
      </c>
      <c r="Q5757">
        <v>0.1527828</v>
      </c>
      <c r="R5757">
        <v>0.90087099999999998</v>
      </c>
      <c r="S5757">
        <v>1.4848629999999901</v>
      </c>
      <c r="T5757">
        <v>-0.21693999999999999</v>
      </c>
      <c r="U5757">
        <v>2.6987459999999999</v>
      </c>
      <c r="V5757">
        <v>0.2373121</v>
      </c>
      <c r="W5757">
        <v>0.16459779999999999</v>
      </c>
      <c r="X5757">
        <v>0.95738730000000005</v>
      </c>
      <c r="Y5757">
        <v>0.31393459999999901</v>
      </c>
      <c r="Z5757">
        <v>-5.7459169999999997E-2</v>
      </c>
      <c r="AA5757">
        <v>0.9477044</v>
      </c>
      <c r="AB5757">
        <v>30</v>
      </c>
      <c r="AC5757">
        <v>7.5931999999999897</v>
      </c>
      <c r="AD5757">
        <v>-1.1177732025380001</v>
      </c>
      <c r="AE5757">
        <v>13.6128</v>
      </c>
      <c r="AF5757">
        <v>4.96900575842891</v>
      </c>
      <c r="AG5757">
        <v>-1.1177732025380001</v>
      </c>
      <c r="AH5757">
        <v>14.6899387875226</v>
      </c>
      <c r="AI5757">
        <v>94.122698904104197</v>
      </c>
      <c r="AJ5757">
        <v>71.311423553194501</v>
      </c>
      <c r="AK5757">
        <v>15.5478209643915</v>
      </c>
      <c r="AL5757">
        <v>80.526128916612507</v>
      </c>
      <c r="AM5757">
        <v>76.078420879569805</v>
      </c>
      <c r="AN5757">
        <v>0.99999995538626896</v>
      </c>
    </row>
    <row r="5758" spans="1:40" x14ac:dyDescent="0.25">
      <c r="A5758" t="str">
        <f>"20190303162716908"</f>
        <v>20190303162716908</v>
      </c>
      <c r="B5758" t="str">
        <f>"1551601636900324"</f>
        <v>1551601636900324</v>
      </c>
      <c r="C5758" t="s">
        <v>40</v>
      </c>
      <c r="D5758">
        <v>5.0519720000000001</v>
      </c>
      <c r="E5758">
        <v>0.53772050000000005</v>
      </c>
      <c r="F5758" t="s">
        <v>47</v>
      </c>
      <c r="G5758">
        <v>-179.53120000000001</v>
      </c>
      <c r="H5758" s="1">
        <v>-5.2087980000000004E-6</v>
      </c>
      <c r="I5758">
        <v>129.79499999999999</v>
      </c>
      <c r="J5758">
        <v>-187.0949</v>
      </c>
      <c r="K5758">
        <v>1.117785</v>
      </c>
      <c r="L5758">
        <v>116.4151</v>
      </c>
      <c r="M5758">
        <v>0.18598999999999999</v>
      </c>
      <c r="N5758">
        <v>-1.4370300000000001E-2</v>
      </c>
      <c r="O5758">
        <v>0.98244659999999995</v>
      </c>
      <c r="P5758">
        <v>0.41139579999999998</v>
      </c>
      <c r="Q5758">
        <v>0.15235589999999999</v>
      </c>
      <c r="R5758">
        <v>0.89863289999999996</v>
      </c>
      <c r="S5758">
        <v>1.499298</v>
      </c>
      <c r="T5758">
        <v>-0.2197723</v>
      </c>
      <c r="U5758">
        <v>2.6911770000000002</v>
      </c>
      <c r="V5758">
        <v>0.23842459999999999</v>
      </c>
      <c r="W5758">
        <v>0.16416649999999999</v>
      </c>
      <c r="X5758">
        <v>0.95718499999999995</v>
      </c>
      <c r="Y5758">
        <v>0.31467990000000001</v>
      </c>
      <c r="Z5758">
        <v>-5.8400149999999998E-2</v>
      </c>
      <c r="AA5758">
        <v>0.94739960000000001</v>
      </c>
      <c r="AB5758">
        <v>29</v>
      </c>
      <c r="AC5758">
        <v>7.5636999999999803</v>
      </c>
      <c r="AD5758">
        <v>-1.1177902087980001</v>
      </c>
      <c r="AE5758">
        <v>13.3798999999999</v>
      </c>
      <c r="AF5758">
        <v>4.9169077758187898</v>
      </c>
      <c r="AG5758">
        <v>-1.1177902087980001</v>
      </c>
      <c r="AH5758">
        <v>14.476742602163499</v>
      </c>
      <c r="AI5758">
        <v>94.181510569831303</v>
      </c>
      <c r="AJ5758">
        <v>71.240362423575107</v>
      </c>
      <c r="AK5758">
        <v>15.329759078214099</v>
      </c>
      <c r="AL5758">
        <v>80.551182065199399</v>
      </c>
      <c r="AM5758">
        <v>76.012873653105402</v>
      </c>
      <c r="AN5758">
        <v>1.0000000269161999</v>
      </c>
    </row>
    <row r="5759" spans="1:40" x14ac:dyDescent="0.25">
      <c r="A5759" t="str">
        <f>"20190303162716929"</f>
        <v>20190303162716929</v>
      </c>
      <c r="B5759" t="str">
        <f>"1551601636919844"</f>
        <v>1551601636919844</v>
      </c>
      <c r="C5759" t="s">
        <v>40</v>
      </c>
      <c r="D5759">
        <v>5.1077349999999999</v>
      </c>
      <c r="E5759">
        <v>0.55312130000000004</v>
      </c>
      <c r="F5759" t="s">
        <v>47</v>
      </c>
      <c r="G5759">
        <v>-179.45859999999999</v>
      </c>
      <c r="H5759" s="1">
        <v>-5.2069989999999899E-6</v>
      </c>
      <c r="I5759">
        <v>129.92070000000001</v>
      </c>
      <c r="J5759">
        <v>-187.04069999999999</v>
      </c>
      <c r="K5759">
        <v>1.1177979999999901</v>
      </c>
      <c r="L5759">
        <v>116.6794</v>
      </c>
      <c r="M5759">
        <v>0.18975590000000001</v>
      </c>
      <c r="N5759">
        <v>-1.4366800000000001E-2</v>
      </c>
      <c r="O5759">
        <v>0.98172619999999999</v>
      </c>
      <c r="P5759">
        <v>0.4163675</v>
      </c>
      <c r="Q5759">
        <v>0.1521035</v>
      </c>
      <c r="R5759">
        <v>0.89638309999999999</v>
      </c>
      <c r="S5759">
        <v>1.516357</v>
      </c>
      <c r="T5759">
        <v>-0.2219621</v>
      </c>
      <c r="U5759">
        <v>2.681854</v>
      </c>
      <c r="V5759">
        <v>0.24004400000000001</v>
      </c>
      <c r="W5759">
        <v>0.16390080000000001</v>
      </c>
      <c r="X5759">
        <v>0.9568257</v>
      </c>
      <c r="Y5759">
        <v>0.31699369999999999</v>
      </c>
      <c r="Z5759">
        <v>-5.9145009999999998E-2</v>
      </c>
      <c r="AA5759">
        <v>0.94658169999999997</v>
      </c>
      <c r="AB5759">
        <v>29</v>
      </c>
      <c r="AC5759">
        <v>7.5820999999999898</v>
      </c>
      <c r="AD5759">
        <v>-1.1178032069989901</v>
      </c>
      <c r="AE5759">
        <v>13.241300000000001</v>
      </c>
      <c r="AF5759">
        <v>4.9051158480377497</v>
      </c>
      <c r="AG5759">
        <v>-1.1178032069989901</v>
      </c>
      <c r="AH5759">
        <v>14.3624897056915</v>
      </c>
      <c r="AI5759">
        <v>94.212293924017601</v>
      </c>
      <c r="AJ5759">
        <v>71.143800672612301</v>
      </c>
      <c r="AK5759">
        <v>15.218106190927401</v>
      </c>
      <c r="AL5759">
        <v>80.5666144030655</v>
      </c>
      <c r="AM5759">
        <v>75.916561636696301</v>
      </c>
      <c r="AN5759">
        <v>1.00000000717856</v>
      </c>
    </row>
    <row r="5760" spans="1:40" x14ac:dyDescent="0.25">
      <c r="A5760" t="str">
        <f>"20190303162716951"</f>
        <v>20190303162716951</v>
      </c>
      <c r="B5760" t="str">
        <f>"1551601636940340"</f>
        <v>1551601636940340</v>
      </c>
      <c r="C5760" t="s">
        <v>40</v>
      </c>
      <c r="D5760">
        <v>5.0501719999999999</v>
      </c>
      <c r="E5760">
        <v>0.57005139999999999</v>
      </c>
      <c r="F5760" t="s">
        <v>47</v>
      </c>
      <c r="G5760">
        <v>-177.13890000000001</v>
      </c>
      <c r="H5760" s="1">
        <v>-4.5858159999999998E-6</v>
      </c>
      <c r="I5760">
        <v>132.45349999999999</v>
      </c>
      <c r="J5760">
        <v>-186.98269999999999</v>
      </c>
      <c r="K5760">
        <v>1.117807</v>
      </c>
      <c r="L5760">
        <v>116.9567</v>
      </c>
      <c r="M5760">
        <v>0.19370180000000001</v>
      </c>
      <c r="N5760">
        <v>-1.4363219999999999E-2</v>
      </c>
      <c r="O5760">
        <v>0.98095529999999997</v>
      </c>
      <c r="P5760">
        <v>0.42131170000000001</v>
      </c>
      <c r="Q5760">
        <v>0.1508688</v>
      </c>
      <c r="R5760">
        <v>0.89427909999999899</v>
      </c>
      <c r="S5760">
        <v>1.6418759999999999</v>
      </c>
      <c r="T5760">
        <v>-0.18535099999999999</v>
      </c>
      <c r="U5760">
        <v>2.6156160000000002</v>
      </c>
      <c r="V5760">
        <v>0.2414288</v>
      </c>
      <c r="W5760">
        <v>0.162656</v>
      </c>
      <c r="X5760">
        <v>0.95668969999999998</v>
      </c>
      <c r="Y5760">
        <v>0.35673379999999999</v>
      </c>
      <c r="Z5760">
        <v>-4.7361510000000002E-2</v>
      </c>
      <c r="AA5760">
        <v>0.93300479999999997</v>
      </c>
      <c r="AB5760">
        <v>29</v>
      </c>
      <c r="AC5760">
        <v>9.8437999999999803</v>
      </c>
      <c r="AD5760">
        <v>-1.117811585816</v>
      </c>
      <c r="AE5760">
        <v>15.496799999999901</v>
      </c>
      <c r="AF5760">
        <v>6.6306753192190797</v>
      </c>
      <c r="AG5760">
        <v>-1.117811585816</v>
      </c>
      <c r="AH5760">
        <v>17.046999030824399</v>
      </c>
      <c r="AI5760">
        <v>93.497120017024599</v>
      </c>
      <c r="AJ5760">
        <v>68.745737734237693</v>
      </c>
      <c r="AK5760">
        <v>18.3252703632775</v>
      </c>
      <c r="AL5760">
        <v>80.638906385019496</v>
      </c>
      <c r="AM5760">
        <v>75.836642873506406</v>
      </c>
      <c r="AN5760">
        <v>1.0000000109457601</v>
      </c>
    </row>
    <row r="5761" spans="1:40" x14ac:dyDescent="0.25">
      <c r="A5761" t="str">
        <f>"20190303162716973"</f>
        <v>20190303162716973</v>
      </c>
      <c r="B5761" t="str">
        <f>"1551601636959860"</f>
        <v>1551601636959860</v>
      </c>
      <c r="C5761" t="s">
        <v>40</v>
      </c>
      <c r="D5761">
        <v>4.9885849999999996</v>
      </c>
      <c r="E5761">
        <v>0.58045809999999998</v>
      </c>
      <c r="F5761" t="s">
        <v>47</v>
      </c>
      <c r="G5761">
        <v>-173.29939999999999</v>
      </c>
      <c r="H5761" s="1">
        <v>-3.9047750000000002E-6</v>
      </c>
      <c r="I5761">
        <v>136.51759999999999</v>
      </c>
      <c r="J5761">
        <v>-186.92150000000001</v>
      </c>
      <c r="K5761">
        <v>1.11781</v>
      </c>
      <c r="L5761">
        <v>117.2432</v>
      </c>
      <c r="M5761">
        <v>0.19777919999999999</v>
      </c>
      <c r="N5761">
        <v>-1.435959E-2</v>
      </c>
      <c r="O5761">
        <v>0.98014140000000005</v>
      </c>
      <c r="P5761">
        <v>0.42662290000000003</v>
      </c>
      <c r="Q5761">
        <v>0.150371</v>
      </c>
      <c r="R5761">
        <v>0.89184169999999996</v>
      </c>
      <c r="S5761">
        <v>1.7778779999999901</v>
      </c>
      <c r="T5761">
        <v>-0.1452379</v>
      </c>
      <c r="U5761">
        <v>2.5415649999999999</v>
      </c>
      <c r="V5761">
        <v>0.24311920000000001</v>
      </c>
      <c r="W5761">
        <v>0.16214219999999999</v>
      </c>
      <c r="X5761">
        <v>0.9563488</v>
      </c>
      <c r="Y5761">
        <v>0.3992966</v>
      </c>
      <c r="Z5761">
        <v>-3.4306339999999998E-2</v>
      </c>
      <c r="AA5761">
        <v>0.91617969999999904</v>
      </c>
      <c r="AB5761">
        <v>29</v>
      </c>
      <c r="AC5761">
        <v>13.6221</v>
      </c>
      <c r="AD5761">
        <v>-1.117813904775</v>
      </c>
      <c r="AE5761">
        <v>19.274399999999901</v>
      </c>
      <c r="AF5761">
        <v>9.5191408851460597</v>
      </c>
      <c r="AG5761">
        <v>-1.117813904775</v>
      </c>
      <c r="AH5761">
        <v>21.5397174465921</v>
      </c>
      <c r="AI5761">
        <v>92.717607570046894</v>
      </c>
      <c r="AJ5761">
        <v>66.157718443111705</v>
      </c>
      <c r="AK5761">
        <v>23.575898260638802</v>
      </c>
      <c r="AL5761">
        <v>80.668741212703694</v>
      </c>
      <c r="AM5761">
        <v>75.736631493080196</v>
      </c>
      <c r="AN5761">
        <v>1.0000000328454499</v>
      </c>
    </row>
    <row r="5762" spans="1:40" x14ac:dyDescent="0.25">
      <c r="A5762" t="str">
        <f>"20190303162716996"</f>
        <v>20190303162716996</v>
      </c>
      <c r="B5762" t="str">
        <f>"1551601636990117"</f>
        <v>1551601636990117</v>
      </c>
      <c r="C5762" t="s">
        <v>40</v>
      </c>
      <c r="D5762">
        <v>4.9497169999999997</v>
      </c>
      <c r="E5762">
        <v>0.58650089999999999</v>
      </c>
      <c r="F5762" t="s">
        <v>47</v>
      </c>
      <c r="G5762">
        <v>-172.422</v>
      </c>
      <c r="H5762" s="1">
        <v>-3.549496E-6</v>
      </c>
      <c r="I5762">
        <v>136.60669999999999</v>
      </c>
      <c r="J5762">
        <v>-186.85429999999999</v>
      </c>
      <c r="K5762">
        <v>1.11782</v>
      </c>
      <c r="L5762">
        <v>117.5513</v>
      </c>
      <c r="M5762">
        <v>0.20216729999999999</v>
      </c>
      <c r="N5762">
        <v>-1.4355690000000001E-2</v>
      </c>
      <c r="O5762">
        <v>0.97924580000000006</v>
      </c>
      <c r="P5762">
        <v>0.43280859999999899</v>
      </c>
      <c r="Q5762">
        <v>0.14936479999999999</v>
      </c>
      <c r="R5762">
        <v>0.88902579999999998</v>
      </c>
      <c r="S5762">
        <v>1.86792</v>
      </c>
      <c r="T5762">
        <v>-0.14400399999999999</v>
      </c>
      <c r="U5762">
        <v>2.4945369999999998</v>
      </c>
      <c r="V5762">
        <v>0.24543789999999999</v>
      </c>
      <c r="W5762">
        <v>0.16111310000000001</v>
      </c>
      <c r="X5762">
        <v>0.95593039999999996</v>
      </c>
      <c r="Y5762">
        <v>0.42465449999999999</v>
      </c>
      <c r="Z5762">
        <v>-3.388675E-2</v>
      </c>
      <c r="AA5762">
        <v>0.90472109999999994</v>
      </c>
      <c r="AB5762">
        <v>29</v>
      </c>
      <c r="AC5762">
        <v>14.4322999999999</v>
      </c>
      <c r="AD5762">
        <v>-1.117823549496</v>
      </c>
      <c r="AE5762">
        <v>19.055399999999899</v>
      </c>
      <c r="AF5762">
        <v>10.259015383041801</v>
      </c>
      <c r="AG5762">
        <v>-1.117823549496</v>
      </c>
      <c r="AH5762">
        <v>21.532795229041501</v>
      </c>
      <c r="AI5762">
        <v>92.683224176494406</v>
      </c>
      <c r="AJ5762">
        <v>64.525152924295199</v>
      </c>
      <c r="AK5762">
        <v>23.877985603755</v>
      </c>
      <c r="AL5762">
        <v>80.728490156830901</v>
      </c>
      <c r="AM5762">
        <v>75.600186137475703</v>
      </c>
      <c r="AN5762">
        <v>1.00000006169608</v>
      </c>
    </row>
    <row r="5763" spans="1:40" x14ac:dyDescent="0.25">
      <c r="A5763" t="str">
        <f>"20190303162717018"</f>
        <v>20190303162717018</v>
      </c>
      <c r="B5763" t="str">
        <f>"1551601637009635"</f>
        <v>1551601637009635</v>
      </c>
      <c r="C5763" t="s">
        <v>40</v>
      </c>
      <c r="D5763">
        <v>5.009512</v>
      </c>
      <c r="E5763">
        <v>0.58831650000000002</v>
      </c>
      <c r="F5763" t="s">
        <v>47</v>
      </c>
      <c r="G5763">
        <v>-172.3878</v>
      </c>
      <c r="H5763" s="1">
        <v>-3.307273E-6</v>
      </c>
      <c r="I5763">
        <v>136.00829999999999</v>
      </c>
      <c r="J5763">
        <v>-186.79230000000001</v>
      </c>
      <c r="K5763">
        <v>1.1178250000000001</v>
      </c>
      <c r="L5763">
        <v>117.83</v>
      </c>
      <c r="M5763">
        <v>0.2061394</v>
      </c>
      <c r="N5763">
        <v>-1.4352220000000001E-2</v>
      </c>
      <c r="O5763">
        <v>0.97841739999999999</v>
      </c>
      <c r="P5763">
        <v>0.43800990000000001</v>
      </c>
      <c r="Q5763">
        <v>0.1487116</v>
      </c>
      <c r="R5763">
        <v>0.88658459999999994</v>
      </c>
      <c r="S5763">
        <v>1.928604</v>
      </c>
      <c r="T5763">
        <v>-0.14902319999999999</v>
      </c>
      <c r="U5763">
        <v>2.4606020000000002</v>
      </c>
      <c r="V5763">
        <v>0.24713170000000001</v>
      </c>
      <c r="W5763">
        <v>0.16044330000000001</v>
      </c>
      <c r="X5763">
        <v>0.95560659999999997</v>
      </c>
      <c r="Y5763">
        <v>0.44081140000000002</v>
      </c>
      <c r="Z5763">
        <v>-3.5527709999999997E-2</v>
      </c>
      <c r="AA5763">
        <v>0.89689640000000004</v>
      </c>
      <c r="AB5763">
        <v>29</v>
      </c>
      <c r="AC5763">
        <v>14.404500000000001</v>
      </c>
      <c r="AD5763">
        <v>-1.117828307273</v>
      </c>
      <c r="AE5763">
        <v>18.1783</v>
      </c>
      <c r="AF5763">
        <v>10.3234355890214</v>
      </c>
      <c r="AG5763">
        <v>-1.117828307273</v>
      </c>
      <c r="AH5763">
        <v>20.709333379515801</v>
      </c>
      <c r="AI5763">
        <v>92.765673221841595</v>
      </c>
      <c r="AJ5763">
        <v>63.504115297081903</v>
      </c>
      <c r="AK5763">
        <v>23.166772574295798</v>
      </c>
      <c r="AL5763">
        <v>80.767372616382104</v>
      </c>
      <c r="AM5763">
        <v>75.500279335494795</v>
      </c>
      <c r="AN5763">
        <v>1.0000000518116601</v>
      </c>
    </row>
    <row r="5764" spans="1:40" x14ac:dyDescent="0.25">
      <c r="A5764" t="str">
        <f>"20190303162717040"</f>
        <v>20190303162717040</v>
      </c>
      <c r="B5764" t="str">
        <f>"1551601637030132"</f>
        <v>1551601637030132</v>
      </c>
      <c r="C5764" t="s">
        <v>40</v>
      </c>
      <c r="D5764">
        <v>4.9930709999999996</v>
      </c>
      <c r="E5764">
        <v>0.58931259999999996</v>
      </c>
      <c r="F5764" t="s">
        <v>47</v>
      </c>
      <c r="G5764">
        <v>-172.07089999999999</v>
      </c>
      <c r="H5764" s="1">
        <v>-3.2459569999999998E-6</v>
      </c>
      <c r="I5764">
        <v>136.21709999999999</v>
      </c>
      <c r="J5764">
        <v>-186.7278</v>
      </c>
      <c r="K5764">
        <v>1.1178300000000001</v>
      </c>
      <c r="L5764">
        <v>118.1147</v>
      </c>
      <c r="M5764">
        <v>0.21020369999999999</v>
      </c>
      <c r="N5764">
        <v>-1.434874E-2</v>
      </c>
      <c r="O5764">
        <v>0.97755230000000004</v>
      </c>
      <c r="P5764">
        <v>0.4428629</v>
      </c>
      <c r="Q5764">
        <v>0.1482386</v>
      </c>
      <c r="R5764">
        <v>0.88424979999999997</v>
      </c>
      <c r="S5764">
        <v>1.955597</v>
      </c>
      <c r="T5764">
        <v>-0.14849229999999899</v>
      </c>
      <c r="U5764">
        <v>2.4425509999999999</v>
      </c>
      <c r="V5764">
        <v>0.2483775</v>
      </c>
      <c r="W5764">
        <v>0.15995809999999999</v>
      </c>
      <c r="X5764">
        <v>0.95536489999999996</v>
      </c>
      <c r="Y5764">
        <v>0.446357</v>
      </c>
      <c r="Z5764">
        <v>-3.5388709999999997E-2</v>
      </c>
      <c r="AA5764">
        <v>0.89415499999999903</v>
      </c>
      <c r="AB5764">
        <v>29</v>
      </c>
      <c r="AC5764">
        <v>14.6569</v>
      </c>
      <c r="AD5764">
        <v>-1.117833245957</v>
      </c>
      <c r="AE5764">
        <v>18.1023999999999</v>
      </c>
      <c r="AF5764">
        <v>10.4995953871759</v>
      </c>
      <c r="AG5764">
        <v>-1.117833245957</v>
      </c>
      <c r="AH5764">
        <v>20.7313676661866</v>
      </c>
      <c r="AI5764">
        <v>92.753947371683097</v>
      </c>
      <c r="AJ5764">
        <v>63.139638784676201</v>
      </c>
      <c r="AK5764">
        <v>23.265439169953002</v>
      </c>
      <c r="AL5764">
        <v>80.795536112785399</v>
      </c>
      <c r="AM5764">
        <v>75.4267597945651</v>
      </c>
      <c r="AN5764">
        <v>1.00000003420693</v>
      </c>
    </row>
    <row r="5765" spans="1:40" x14ac:dyDescent="0.25">
      <c r="A5765" t="str">
        <f>"20190303162717063"</f>
        <v>20190303162717063</v>
      </c>
      <c r="B5765" t="str">
        <f>"1551601637049652"</f>
        <v>1551601637049652</v>
      </c>
      <c r="C5765" t="s">
        <v>40</v>
      </c>
      <c r="D5765">
        <v>4.9989999999999997</v>
      </c>
      <c r="E5765">
        <v>0.58968520000000002</v>
      </c>
      <c r="F5765" t="s">
        <v>47</v>
      </c>
      <c r="G5765">
        <v>-171.96950000000001</v>
      </c>
      <c r="H5765" s="1">
        <v>-3.211935E-6</v>
      </c>
      <c r="I5765">
        <v>136.24590000000001</v>
      </c>
      <c r="J5765">
        <v>-186.66239999999999</v>
      </c>
      <c r="K5765">
        <v>1.1178360000000001</v>
      </c>
      <c r="L5765">
        <v>118.39749999999999</v>
      </c>
      <c r="M5765">
        <v>0.21424470000000001</v>
      </c>
      <c r="N5765">
        <v>-1.43453E-2</v>
      </c>
      <c r="O5765">
        <v>0.97667470000000001</v>
      </c>
      <c r="P5765">
        <v>0.44886409999999999</v>
      </c>
      <c r="Q5765">
        <v>0.14800360000000001</v>
      </c>
      <c r="R5765">
        <v>0.88125810000000004</v>
      </c>
      <c r="S5765">
        <v>1.9763029999999999</v>
      </c>
      <c r="T5765">
        <v>-0.14969109999999999</v>
      </c>
      <c r="U5765">
        <v>2.4279790000000001</v>
      </c>
      <c r="V5765">
        <v>0.25091340000000001</v>
      </c>
      <c r="W5765">
        <v>0.15969449999999999</v>
      </c>
      <c r="X5765">
        <v>0.95474610000000004</v>
      </c>
      <c r="Y5765">
        <v>0.44985960000000003</v>
      </c>
      <c r="Z5765">
        <v>-3.5815670000000001E-2</v>
      </c>
      <c r="AA5765">
        <v>0.89238079999999997</v>
      </c>
      <c r="AB5765">
        <v>29</v>
      </c>
      <c r="AC5765">
        <v>14.6928999999999</v>
      </c>
      <c r="AD5765">
        <v>-1.117839211935</v>
      </c>
      <c r="AE5765">
        <v>17.848400000000002</v>
      </c>
      <c r="AF5765">
        <v>10.5027855282289</v>
      </c>
      <c r="AG5765">
        <v>-1.117839211935</v>
      </c>
      <c r="AH5765">
        <v>20.534064320295201</v>
      </c>
      <c r="AI5765">
        <v>92.774752725795196</v>
      </c>
      <c r="AJ5765">
        <v>62.911114919467202</v>
      </c>
      <c r="AK5765">
        <v>23.0912508510417</v>
      </c>
      <c r="AL5765">
        <v>80.810835561532798</v>
      </c>
      <c r="AM5765">
        <v>75.275272790756702</v>
      </c>
      <c r="AN5765">
        <v>0.99999999154750996</v>
      </c>
    </row>
    <row r="5766" spans="1:40" x14ac:dyDescent="0.25">
      <c r="A5766" t="str">
        <f>"20190303162717097"</f>
        <v>20190303162717097</v>
      </c>
      <c r="B5766" t="str">
        <f>"1551601637090644"</f>
        <v>1551601637090644</v>
      </c>
      <c r="C5766" t="s">
        <v>40</v>
      </c>
      <c r="D5766">
        <v>5.018351</v>
      </c>
      <c r="E5766">
        <v>0.59001959999999998</v>
      </c>
      <c r="F5766" t="s">
        <v>47</v>
      </c>
      <c r="G5766">
        <v>-171.9614</v>
      </c>
      <c r="H5766" s="1">
        <v>-3.1821309999999998E-6</v>
      </c>
      <c r="I5766">
        <v>136.17679999999999</v>
      </c>
      <c r="J5766">
        <v>-186.5591</v>
      </c>
      <c r="K5766">
        <v>1.1178490000000001</v>
      </c>
      <c r="L5766">
        <v>118.8331</v>
      </c>
      <c r="M5766">
        <v>0.2204787</v>
      </c>
      <c r="N5766">
        <v>-1.43403E-2</v>
      </c>
      <c r="O5766">
        <v>0.9752864</v>
      </c>
      <c r="P5766">
        <v>0.45825539999999998</v>
      </c>
      <c r="Q5766">
        <v>0.14800729999999901</v>
      </c>
      <c r="R5766">
        <v>0.87641080000000005</v>
      </c>
      <c r="S5766">
        <v>1.995468</v>
      </c>
      <c r="T5766">
        <v>-0.15173220000000001</v>
      </c>
      <c r="U5766">
        <v>2.4133149999999999</v>
      </c>
      <c r="V5766">
        <v>0.25502079999999999</v>
      </c>
      <c r="W5766">
        <v>0.15965070000000001</v>
      </c>
      <c r="X5766">
        <v>0.95366450000000003</v>
      </c>
      <c r="Y5766">
        <v>0.4510112</v>
      </c>
      <c r="Z5766">
        <v>-3.6530680000000003E-2</v>
      </c>
      <c r="AA5766">
        <v>0.89177039999999996</v>
      </c>
      <c r="AB5766">
        <v>29</v>
      </c>
      <c r="AC5766">
        <v>14.5977</v>
      </c>
      <c r="AD5766">
        <v>-1.1178521821309999</v>
      </c>
      <c r="AE5766">
        <v>17.343699999999899</v>
      </c>
      <c r="AF5766">
        <v>10.388830852329299</v>
      </c>
      <c r="AG5766">
        <v>-1.1178521821309999</v>
      </c>
      <c r="AH5766">
        <v>20.086783405642599</v>
      </c>
      <c r="AI5766">
        <v>92.8298959319999</v>
      </c>
      <c r="AJ5766">
        <v>62.652115149950703</v>
      </c>
      <c r="AK5766">
        <v>22.641913955419199</v>
      </c>
      <c r="AL5766">
        <v>80.8133775006078</v>
      </c>
      <c r="AM5766">
        <v>75.028750709816507</v>
      </c>
      <c r="AN5766">
        <v>0.99999996650168899</v>
      </c>
    </row>
    <row r="5767" spans="1:40" x14ac:dyDescent="0.25">
      <c r="A5767" t="str">
        <f>"20190303162717118"</f>
        <v>20190303162717118</v>
      </c>
      <c r="B5767" t="str">
        <f>"1551601637110164"</f>
        <v>1551601637110164</v>
      </c>
      <c r="C5767" t="s">
        <v>40</v>
      </c>
      <c r="D5767">
        <v>4.9990009999999998</v>
      </c>
      <c r="E5767">
        <v>0.59008190000000005</v>
      </c>
      <c r="F5767" t="s">
        <v>47</v>
      </c>
      <c r="G5767">
        <v>-171.9606</v>
      </c>
      <c r="H5767" s="1">
        <v>-3.1461580000000002E-6</v>
      </c>
      <c r="I5767">
        <v>136.083</v>
      </c>
      <c r="J5767">
        <v>-186.49459999999999</v>
      </c>
      <c r="K5767">
        <v>1.1178549999999901</v>
      </c>
      <c r="L5767">
        <v>119.09950000000001</v>
      </c>
      <c r="M5767">
        <v>0.22429730000000001</v>
      </c>
      <c r="N5767">
        <v>-1.43371E-2</v>
      </c>
      <c r="O5767">
        <v>0.97441529999999998</v>
      </c>
      <c r="P5767">
        <v>0.46434409999999998</v>
      </c>
      <c r="Q5767">
        <v>0.14749849999999901</v>
      </c>
      <c r="R5767">
        <v>0.87328619999999901</v>
      </c>
      <c r="S5767">
        <v>2.02359</v>
      </c>
      <c r="T5767">
        <v>-0.1549519</v>
      </c>
      <c r="U5767">
        <v>2.3911129999999998</v>
      </c>
      <c r="V5767">
        <v>0.25790259999999998</v>
      </c>
      <c r="W5767">
        <v>0.1591089</v>
      </c>
      <c r="X5767">
        <v>0.95297989999999999</v>
      </c>
      <c r="Y5767">
        <v>0.45766849999999998</v>
      </c>
      <c r="Z5767">
        <v>-3.7655220000000003E-2</v>
      </c>
      <c r="AA5767">
        <v>0.88832520000000004</v>
      </c>
      <c r="AB5767">
        <v>29</v>
      </c>
      <c r="AC5767">
        <v>14.533999999999899</v>
      </c>
      <c r="AD5767">
        <v>-1.11785814615799</v>
      </c>
      <c r="AE5767">
        <v>16.9834999999999</v>
      </c>
      <c r="AF5767">
        <v>10.3280342400704</v>
      </c>
      <c r="AG5767">
        <v>-1.11785814615799</v>
      </c>
      <c r="AH5767">
        <v>19.761535044703901</v>
      </c>
      <c r="AI5767">
        <v>92.870028365319001</v>
      </c>
      <c r="AJ5767">
        <v>62.406937683811499</v>
      </c>
      <c r="AK5767">
        <v>22.325683985536902</v>
      </c>
      <c r="AL5767">
        <v>80.844822995909396</v>
      </c>
      <c r="AM5767">
        <v>74.8569181658753</v>
      </c>
      <c r="AN5767">
        <v>1.0000000414749799</v>
      </c>
    </row>
    <row r="5768" spans="1:40" x14ac:dyDescent="0.25">
      <c r="A5768" t="str">
        <f>"20190303162717140"</f>
        <v>20190303162717140</v>
      </c>
      <c r="B5768" t="str">
        <f>"1551601637129683"</f>
        <v>1551601637129683</v>
      </c>
      <c r="C5768" t="s">
        <v>40</v>
      </c>
      <c r="D5768">
        <v>5.0618049999999997</v>
      </c>
      <c r="E5768">
        <v>0.59017500000000001</v>
      </c>
      <c r="F5768" t="s">
        <v>47</v>
      </c>
      <c r="G5768">
        <v>-171.7784</v>
      </c>
      <c r="H5768" s="1">
        <v>-3.1245220000000001E-6</v>
      </c>
      <c r="I5768">
        <v>136.2389</v>
      </c>
      <c r="J5768">
        <v>-186.42660000000001</v>
      </c>
      <c r="K5768">
        <v>1.1178600000000001</v>
      </c>
      <c r="L5768">
        <v>119.3753</v>
      </c>
      <c r="M5768">
        <v>0.22825480000000001</v>
      </c>
      <c r="N5768">
        <v>-1.433362E-2</v>
      </c>
      <c r="O5768">
        <v>0.97349589999999997</v>
      </c>
      <c r="P5768">
        <v>0.47071220000000003</v>
      </c>
      <c r="Q5768">
        <v>0.14692459999999999</v>
      </c>
      <c r="R5768">
        <v>0.8699673</v>
      </c>
      <c r="S5768">
        <v>2.0405120000000001</v>
      </c>
      <c r="T5768">
        <v>-0.1549999</v>
      </c>
      <c r="U5768">
        <v>2.3765109999999998</v>
      </c>
      <c r="V5768">
        <v>0.26096989999999998</v>
      </c>
      <c r="W5768">
        <v>0.1585001</v>
      </c>
      <c r="X5768">
        <v>0.95224600000000004</v>
      </c>
      <c r="Y5768">
        <v>0.46039029999999997</v>
      </c>
      <c r="Z5768">
        <v>-3.7728869999999998E-2</v>
      </c>
      <c r="AA5768">
        <v>0.88691450000000005</v>
      </c>
      <c r="AB5768">
        <v>29</v>
      </c>
      <c r="AC5768">
        <v>14.648199999999999</v>
      </c>
      <c r="AD5768">
        <v>-1.1178631245219901</v>
      </c>
      <c r="AE5768">
        <v>16.863600000000002</v>
      </c>
      <c r="AF5768">
        <v>10.385823551588601</v>
      </c>
      <c r="AG5768">
        <v>-1.1178631245219901</v>
      </c>
      <c r="AH5768">
        <v>19.712827274207999</v>
      </c>
      <c r="AI5768">
        <v>92.872134395729006</v>
      </c>
      <c r="AJ5768">
        <v>62.217222002768104</v>
      </c>
      <c r="AK5768">
        <v>22.3094264371063</v>
      </c>
      <c r="AL5768">
        <v>80.880152688818598</v>
      </c>
      <c r="AM5768">
        <v>74.673979838883398</v>
      </c>
      <c r="AN5768">
        <v>1.00000000746101</v>
      </c>
    </row>
    <row r="5769" spans="1:40" x14ac:dyDescent="0.25">
      <c r="A5769" t="str">
        <f>"20190303162717162"</f>
        <v>20190303162717162</v>
      </c>
      <c r="B5769" t="str">
        <f>"1551601637150180"</f>
        <v>1551601637150180</v>
      </c>
      <c r="C5769" t="s">
        <v>40</v>
      </c>
      <c r="D5769">
        <v>5.0409350000000002</v>
      </c>
      <c r="E5769">
        <v>0.59009309999999904</v>
      </c>
      <c r="F5769" t="s">
        <v>47</v>
      </c>
      <c r="G5769">
        <v>-171.45660000000001</v>
      </c>
      <c r="H5769" s="1">
        <v>-3.0914880000000001E-6</v>
      </c>
      <c r="I5769">
        <v>136.54089999999999</v>
      </c>
      <c r="J5769">
        <v>-186.3553</v>
      </c>
      <c r="K5769">
        <v>1.1178699999999999</v>
      </c>
      <c r="L5769">
        <v>119.65940000000001</v>
      </c>
      <c r="M5769">
        <v>0.23233880000000001</v>
      </c>
      <c r="N5769">
        <v>-1.433015E-2</v>
      </c>
      <c r="O5769">
        <v>0.97252939999999999</v>
      </c>
      <c r="P5769">
        <v>0.4772573</v>
      </c>
      <c r="Q5769">
        <v>0.1475446</v>
      </c>
      <c r="R5769">
        <v>0.86628869999999902</v>
      </c>
      <c r="S5769">
        <v>2.0585939999999998</v>
      </c>
      <c r="T5769">
        <v>-0.15372259999999999</v>
      </c>
      <c r="U5769">
        <v>2.360519</v>
      </c>
      <c r="V5769">
        <v>0.26418530000000001</v>
      </c>
      <c r="W5769">
        <v>0.15907969999999999</v>
      </c>
      <c r="X5769">
        <v>0.95126219999999995</v>
      </c>
      <c r="Y5769">
        <v>0.46350609999999998</v>
      </c>
      <c r="Z5769">
        <v>-3.7374829999999998E-2</v>
      </c>
      <c r="AA5769">
        <v>0.88530520000000001</v>
      </c>
      <c r="AB5769">
        <v>29</v>
      </c>
      <c r="AC5769">
        <v>14.8986999999999</v>
      </c>
      <c r="AD5769">
        <v>-1.117873091488</v>
      </c>
      <c r="AE5769">
        <v>16.8814999999999</v>
      </c>
      <c r="AF5769">
        <v>10.5422943261889</v>
      </c>
      <c r="AG5769">
        <v>-1.117873091488</v>
      </c>
      <c r="AH5769">
        <v>19.8324548289287</v>
      </c>
      <c r="AI5769">
        <v>92.849317615643301</v>
      </c>
      <c r="AJ5769">
        <v>62.006326841630901</v>
      </c>
      <c r="AK5769">
        <v>22.488127410928801</v>
      </c>
      <c r="AL5769">
        <v>80.846517218812906</v>
      </c>
      <c r="AM5769">
        <v>74.478919736005295</v>
      </c>
      <c r="AN5769">
        <v>0.99999999841850895</v>
      </c>
    </row>
    <row r="5770" spans="1:40" x14ac:dyDescent="0.25">
      <c r="A5770" t="str">
        <f>"20190303162717186"</f>
        <v>20190303162717186</v>
      </c>
      <c r="B5770" t="str">
        <f>"1551601637180436"</f>
        <v>1551601637180436</v>
      </c>
      <c r="C5770" t="s">
        <v>40</v>
      </c>
      <c r="D5770">
        <v>5.0442549999999997</v>
      </c>
      <c r="E5770">
        <v>0.58971580000000001</v>
      </c>
      <c r="F5770" t="s">
        <v>47</v>
      </c>
      <c r="G5770">
        <v>-171.00479999999999</v>
      </c>
      <c r="H5770" s="1">
        <v>-3.0377639999999998E-6</v>
      </c>
      <c r="I5770">
        <v>137.00129999999999</v>
      </c>
      <c r="J5770">
        <v>-186.27850000000001</v>
      </c>
      <c r="K5770">
        <v>1.11788</v>
      </c>
      <c r="L5770">
        <v>119.95950000000001</v>
      </c>
      <c r="M5770">
        <v>0.2366665</v>
      </c>
      <c r="N5770">
        <v>-1.432662E-2</v>
      </c>
      <c r="O5770">
        <v>0.9714853</v>
      </c>
      <c r="P5770">
        <v>0.48554900000000001</v>
      </c>
      <c r="Q5770">
        <v>0.1488932</v>
      </c>
      <c r="R5770">
        <v>0.8614366</v>
      </c>
      <c r="S5770">
        <v>2.0758670000000001</v>
      </c>
      <c r="T5770">
        <v>-0.15117079999999999</v>
      </c>
      <c r="U5770">
        <v>2.345154</v>
      </c>
      <c r="V5770">
        <v>0.2691519</v>
      </c>
      <c r="W5770">
        <v>0.1603628</v>
      </c>
      <c r="X5770">
        <v>0.94965310000000003</v>
      </c>
      <c r="Y5770">
        <v>0.46611530000000001</v>
      </c>
      <c r="Z5770">
        <v>-3.6598039999999998E-2</v>
      </c>
      <c r="AA5770">
        <v>0.88396669999999999</v>
      </c>
      <c r="AB5770">
        <v>29</v>
      </c>
      <c r="AC5770">
        <v>15.2737</v>
      </c>
      <c r="AD5770">
        <v>-1.1178830377640001</v>
      </c>
      <c r="AE5770">
        <v>17.041799999999899</v>
      </c>
      <c r="AF5770">
        <v>10.7803372539981</v>
      </c>
      <c r="AG5770">
        <v>-1.1178830377640001</v>
      </c>
      <c r="AH5770">
        <v>20.124680867576899</v>
      </c>
      <c r="AI5770">
        <v>92.803253564295304</v>
      </c>
      <c r="AJ5770">
        <v>61.823050863662097</v>
      </c>
      <c r="AK5770">
        <v>22.857561414505199</v>
      </c>
      <c r="AL5770">
        <v>80.772044871559203</v>
      </c>
      <c r="AM5770">
        <v>74.176141485526898</v>
      </c>
      <c r="AN5770">
        <v>0.99999999161852904</v>
      </c>
    </row>
    <row r="5771" spans="1:40" x14ac:dyDescent="0.25">
      <c r="A5771" t="str">
        <f>"20190303162717207"</f>
        <v>20190303162717207</v>
      </c>
      <c r="B5771" t="str">
        <f>"1551601637199956"</f>
        <v>1551601637199956</v>
      </c>
      <c r="C5771" t="s">
        <v>40</v>
      </c>
      <c r="D5771">
        <v>5.0124579999999996</v>
      </c>
      <c r="E5771">
        <v>0.58946259999999995</v>
      </c>
      <c r="F5771" t="s">
        <v>47</v>
      </c>
      <c r="G5771">
        <v>-170.59960000000001</v>
      </c>
      <c r="H5771" s="1">
        <v>-2.9710189999999999E-6</v>
      </c>
      <c r="I5771">
        <v>137.37219999999999</v>
      </c>
      <c r="J5771">
        <v>-186.20840000000001</v>
      </c>
      <c r="K5771">
        <v>1.11788</v>
      </c>
      <c r="L5771">
        <v>120.2286</v>
      </c>
      <c r="M5771">
        <v>0.24055879999999999</v>
      </c>
      <c r="N5771">
        <v>-1.432363E-2</v>
      </c>
      <c r="O5771">
        <v>0.97052890000000003</v>
      </c>
      <c r="P5771">
        <v>0.49342649999999999</v>
      </c>
      <c r="Q5771">
        <v>0.1493844</v>
      </c>
      <c r="R5771">
        <v>0.85686329999999999</v>
      </c>
      <c r="S5771">
        <v>2.09552</v>
      </c>
      <c r="T5771">
        <v>-0.1494075</v>
      </c>
      <c r="U5771">
        <v>2.3272400000000002</v>
      </c>
      <c r="V5771">
        <v>0.27408449999999901</v>
      </c>
      <c r="W5771">
        <v>0.16079070000000001</v>
      </c>
      <c r="X5771">
        <v>0.94816880000000003</v>
      </c>
      <c r="Y5771">
        <v>0.47008339999999998</v>
      </c>
      <c r="Z5771">
        <v>-3.6090070000000002E-2</v>
      </c>
      <c r="AA5771">
        <v>0.88188389999999905</v>
      </c>
      <c r="AB5771">
        <v>29</v>
      </c>
      <c r="AC5771">
        <v>15.6088</v>
      </c>
      <c r="AD5771">
        <v>-1.1178829710189999</v>
      </c>
      <c r="AE5771">
        <v>17.1435999999999</v>
      </c>
      <c r="AF5771">
        <v>11.000305109076599</v>
      </c>
      <c r="AG5771">
        <v>-1.1178829710189999</v>
      </c>
      <c r="AH5771">
        <v>20.347980487125199</v>
      </c>
      <c r="AI5771">
        <v>92.766847509748999</v>
      </c>
      <c r="AJ5771">
        <v>61.603937036563899</v>
      </c>
      <c r="AK5771">
        <v>23.158080333527199</v>
      </c>
      <c r="AL5771">
        <v>80.747205922305398</v>
      </c>
      <c r="AM5771">
        <v>73.877152706393801</v>
      </c>
      <c r="AN5771">
        <v>1.0000000178200801</v>
      </c>
    </row>
    <row r="5772" spans="1:40" x14ac:dyDescent="0.25">
      <c r="A5772" t="str">
        <f>"20190303162717230"</f>
        <v>20190303162717230</v>
      </c>
      <c r="B5772" t="str">
        <f>"1551601637220452"</f>
        <v>1551601637220452</v>
      </c>
      <c r="C5772" t="s">
        <v>40</v>
      </c>
      <c r="D5772">
        <v>5.0127540000000002</v>
      </c>
      <c r="E5772">
        <v>0.58949510000000005</v>
      </c>
      <c r="F5772" t="s">
        <v>47</v>
      </c>
      <c r="G5772">
        <v>-170.34799999999899</v>
      </c>
      <c r="H5772" s="1">
        <v>-2.9046359999999998E-6</v>
      </c>
      <c r="I5772">
        <v>137.5462</v>
      </c>
      <c r="J5772">
        <v>-186.1343</v>
      </c>
      <c r="K5772">
        <v>1.11788</v>
      </c>
      <c r="L5772">
        <v>120.5085</v>
      </c>
      <c r="M5772">
        <v>0.2446265</v>
      </c>
      <c r="N5772">
        <v>-1.432071E-2</v>
      </c>
      <c r="O5772">
        <v>0.96951160000000003</v>
      </c>
      <c r="P5772">
        <v>0.50163740000000001</v>
      </c>
      <c r="Q5772">
        <v>0.14909330000000001</v>
      </c>
      <c r="R5772">
        <v>0.85213329999999998</v>
      </c>
      <c r="S5772">
        <v>2.1149439999999999</v>
      </c>
      <c r="T5772">
        <v>-0.14906659999999999</v>
      </c>
      <c r="U5772">
        <v>2.30925</v>
      </c>
      <c r="V5772">
        <v>0.27921439999999997</v>
      </c>
      <c r="W5772">
        <v>0.16043160000000001</v>
      </c>
      <c r="X5772">
        <v>0.94673169999999995</v>
      </c>
      <c r="Y5772">
        <v>0.47383459999999999</v>
      </c>
      <c r="Z5772">
        <v>-3.6048240000000002E-2</v>
      </c>
      <c r="AA5772">
        <v>0.87987569999999904</v>
      </c>
      <c r="AB5772">
        <v>29</v>
      </c>
      <c r="AC5772">
        <v>15.786300000000001</v>
      </c>
      <c r="AD5772">
        <v>-1.1178829046359999</v>
      </c>
      <c r="AE5772">
        <v>17.037700000000001</v>
      </c>
      <c r="AF5772">
        <v>11.1125297396798</v>
      </c>
      <c r="AG5772">
        <v>-1.1178829046359999</v>
      </c>
      <c r="AH5772">
        <v>20.334982289213201</v>
      </c>
      <c r="AI5772">
        <v>92.761819747742805</v>
      </c>
      <c r="AJ5772">
        <v>61.344562995720402</v>
      </c>
      <c r="AK5772">
        <v>23.200204397943601</v>
      </c>
      <c r="AL5772">
        <v>80.768050785806295</v>
      </c>
      <c r="AM5772">
        <v>73.567918882049895</v>
      </c>
      <c r="AN5772">
        <v>0.99999994561540295</v>
      </c>
    </row>
    <row r="5773" spans="1:40" x14ac:dyDescent="0.25">
      <c r="A5773" t="str">
        <f>"20190303162717252"</f>
        <v>20190303162717252</v>
      </c>
      <c r="B5773" t="str">
        <f>"1551601637239700"</f>
        <v>1551601637239700</v>
      </c>
      <c r="C5773" t="s">
        <v>40</v>
      </c>
      <c r="D5773">
        <v>5.2262930000000001</v>
      </c>
      <c r="E5773">
        <v>0.60035909999999904</v>
      </c>
      <c r="F5773" t="s">
        <v>47</v>
      </c>
      <c r="G5773">
        <v>-170.1789</v>
      </c>
      <c r="H5773" s="1">
        <v>-2.8271960000000001E-6</v>
      </c>
      <c r="I5773">
        <v>137.589</v>
      </c>
      <c r="J5773">
        <v>-186.0599</v>
      </c>
      <c r="K5773">
        <v>1.117864</v>
      </c>
      <c r="L5773">
        <v>120.7848</v>
      </c>
      <c r="M5773">
        <v>0.24867400000000001</v>
      </c>
      <c r="N5773">
        <v>-1.4318259999999999E-2</v>
      </c>
      <c r="O5773">
        <v>0.96848140000000005</v>
      </c>
      <c r="P5773">
        <v>0.51048119999999997</v>
      </c>
      <c r="Q5773">
        <v>0.14872639999999901</v>
      </c>
      <c r="R5773">
        <v>0.84692939999999906</v>
      </c>
      <c r="S5773">
        <v>2.1376650000000001</v>
      </c>
      <c r="T5773">
        <v>-0.14977099999999999</v>
      </c>
      <c r="U5773">
        <v>2.2884060000000002</v>
      </c>
      <c r="V5773">
        <v>0.28510999999999997</v>
      </c>
      <c r="W5773">
        <v>0.15998209999999999</v>
      </c>
      <c r="X5773">
        <v>0.94504920000000003</v>
      </c>
      <c r="Y5773">
        <v>0.47880299999999998</v>
      </c>
      <c r="Z5773">
        <v>-3.6355249999999999E-2</v>
      </c>
      <c r="AA5773">
        <v>0.87716930000000004</v>
      </c>
      <c r="AB5773">
        <v>29</v>
      </c>
      <c r="AC5773">
        <v>15.880999999999901</v>
      </c>
      <c r="AD5773">
        <v>-1.1178668271959999</v>
      </c>
      <c r="AE5773">
        <v>16.804199999999899</v>
      </c>
      <c r="AF5773">
        <v>11.1767077926966</v>
      </c>
      <c r="AG5773">
        <v>-1.1178668271959999</v>
      </c>
      <c r="AH5773">
        <v>20.178651715126499</v>
      </c>
      <c r="AI5773">
        <v>92.774455419583305</v>
      </c>
      <c r="AJ5773">
        <v>61.0184689453475</v>
      </c>
      <c r="AK5773">
        <v>23.0942938486339</v>
      </c>
      <c r="AL5773">
        <v>80.794142639928197</v>
      </c>
      <c r="AM5773">
        <v>73.212067598956693</v>
      </c>
      <c r="AN5773">
        <v>0.99999998742052398</v>
      </c>
    </row>
    <row r="5774" spans="1:40" x14ac:dyDescent="0.25">
      <c r="A5774" t="str">
        <f>"20190303162717274"</f>
        <v>20190303162717274</v>
      </c>
      <c r="B5774" t="str">
        <f>"1551601637260196"</f>
        <v>1551601637260196</v>
      </c>
      <c r="C5774" t="s">
        <v>40</v>
      </c>
      <c r="D5774">
        <v>5.2066919999999897</v>
      </c>
      <c r="E5774">
        <v>0.59840890000000002</v>
      </c>
      <c r="F5774" t="s">
        <v>47</v>
      </c>
      <c r="G5774">
        <v>-175.7963</v>
      </c>
      <c r="H5774" s="1">
        <v>-3.132574E-6</v>
      </c>
      <c r="I5774">
        <v>131.03749999999999</v>
      </c>
      <c r="J5774">
        <v>-185.98429999999999</v>
      </c>
      <c r="K5774">
        <v>1.117842</v>
      </c>
      <c r="L5774">
        <v>121.0605</v>
      </c>
      <c r="M5774">
        <v>0.252756799999999</v>
      </c>
      <c r="N5774">
        <v>-1.4316489999999999E-2</v>
      </c>
      <c r="O5774">
        <v>0.9674239</v>
      </c>
      <c r="P5774">
        <v>0.51899240000000002</v>
      </c>
      <c r="Q5774">
        <v>0.14795150000000001</v>
      </c>
      <c r="R5774">
        <v>0.84187719999999899</v>
      </c>
      <c r="S5774">
        <v>2.2383120000000001</v>
      </c>
      <c r="T5774">
        <v>-0.2437879</v>
      </c>
      <c r="U5774">
        <v>2.2359309999999999</v>
      </c>
      <c r="V5774">
        <v>0.29062579999999999</v>
      </c>
      <c r="W5774">
        <v>0.15912299999999999</v>
      </c>
      <c r="X5774">
        <v>0.94351289999999999</v>
      </c>
      <c r="Y5774">
        <v>0.50398829999999994</v>
      </c>
      <c r="Z5774">
        <v>-6.6763230000000007E-2</v>
      </c>
      <c r="AA5774">
        <v>0.86112630000000001</v>
      </c>
      <c r="AB5774">
        <v>29</v>
      </c>
      <c r="AC5774">
        <v>10.187999999999899</v>
      </c>
      <c r="AD5774">
        <v>-1.117845132574</v>
      </c>
      <c r="AE5774">
        <v>9.9769999999999897</v>
      </c>
      <c r="AF5774">
        <v>7.2903101974552502</v>
      </c>
      <c r="AG5774">
        <v>-1.117845132574</v>
      </c>
      <c r="AH5774">
        <v>12.153639160216301</v>
      </c>
      <c r="AI5774">
        <v>94.509826410188197</v>
      </c>
      <c r="AJ5774">
        <v>59.042737492733103</v>
      </c>
      <c r="AK5774">
        <v>14.2165096051134</v>
      </c>
      <c r="AL5774">
        <v>80.844004673833794</v>
      </c>
      <c r="AM5774">
        <v>72.879846133773995</v>
      </c>
      <c r="AN5774">
        <v>1.0000000386105199</v>
      </c>
    </row>
    <row r="5775" spans="1:40" x14ac:dyDescent="0.25">
      <c r="A5775" t="str">
        <f>"20190303162717297"</f>
        <v>20190303162717297</v>
      </c>
      <c r="B5775" t="str">
        <f>"1551601637290452"</f>
        <v>1551601637290452</v>
      </c>
      <c r="C5775" t="s">
        <v>40</v>
      </c>
      <c r="D5775">
        <v>5.192971</v>
      </c>
      <c r="E5775">
        <v>0.59703549999999905</v>
      </c>
      <c r="F5775" t="s">
        <v>47</v>
      </c>
      <c r="G5775">
        <v>-177.7929</v>
      </c>
      <c r="H5775">
        <v>7.9987730000000007E-2</v>
      </c>
      <c r="I5775">
        <v>129.1781</v>
      </c>
      <c r="J5775">
        <v>-185.905</v>
      </c>
      <c r="K5775">
        <v>1.1177919999999999</v>
      </c>
      <c r="L5775">
        <v>121.3449</v>
      </c>
      <c r="M5775">
        <v>0.25703429999999999</v>
      </c>
      <c r="N5775">
        <v>-1.431552E-2</v>
      </c>
      <c r="O5775">
        <v>0.9662963</v>
      </c>
      <c r="P5775">
        <v>0.52704139999999999</v>
      </c>
      <c r="Q5775">
        <v>0.14823749999999999</v>
      </c>
      <c r="R5775">
        <v>0.83681119999999898</v>
      </c>
      <c r="S5775">
        <v>2.2479399999999998</v>
      </c>
      <c r="T5775">
        <v>-0.28481459999999997</v>
      </c>
      <c r="U5775">
        <v>2.2277070000000001</v>
      </c>
      <c r="V5775">
        <v>0.29553620000000003</v>
      </c>
      <c r="W5775">
        <v>0.1593193</v>
      </c>
      <c r="X5775">
        <v>0.94195320000000005</v>
      </c>
      <c r="Y5775">
        <v>0.50286359999999997</v>
      </c>
      <c r="Z5775">
        <v>-8.006866E-2</v>
      </c>
      <c r="AA5775">
        <v>0.86064929999999995</v>
      </c>
      <c r="AB5775">
        <v>29</v>
      </c>
      <c r="AC5775">
        <v>8.1120999999999892</v>
      </c>
      <c r="AD5775">
        <v>-1.0378042700000001</v>
      </c>
      <c r="AE5775">
        <v>7.8331999999999997</v>
      </c>
      <c r="AF5775">
        <v>5.7769593147732197</v>
      </c>
      <c r="AG5775">
        <v>-1.0378042700000001</v>
      </c>
      <c r="AH5775">
        <v>9.5741795856596994</v>
      </c>
      <c r="AI5775">
        <v>95.302423947692901</v>
      </c>
      <c r="AJ5775">
        <v>58.893660405038901</v>
      </c>
      <c r="AK5775">
        <v>11.2301029098507</v>
      </c>
      <c r="AL5775">
        <v>80.832612356608806</v>
      </c>
      <c r="AM5775">
        <v>72.580840255215904</v>
      </c>
      <c r="AN5775">
        <v>1.00000005792658</v>
      </c>
    </row>
    <row r="5776" spans="1:40" x14ac:dyDescent="0.25">
      <c r="A5776" t="str">
        <f>"20190303162717318"</f>
        <v>20190303162717318</v>
      </c>
      <c r="B5776" t="str">
        <f>"1551601637309972"</f>
        <v>1551601637309972</v>
      </c>
      <c r="C5776" t="s">
        <v>40</v>
      </c>
      <c r="D5776">
        <v>5.2029239999999897</v>
      </c>
      <c r="E5776">
        <v>0.59620169999999995</v>
      </c>
      <c r="F5776" t="s">
        <v>47</v>
      </c>
      <c r="G5776">
        <v>-177.77250000000001</v>
      </c>
      <c r="H5776">
        <v>7.9987639999999999E-2</v>
      </c>
      <c r="I5776">
        <v>129.30529999999999</v>
      </c>
      <c r="J5776">
        <v>-185.82980000000001</v>
      </c>
      <c r="K5776">
        <v>1.11775</v>
      </c>
      <c r="L5776">
        <v>121.61</v>
      </c>
      <c r="M5776">
        <v>0.26110220000000001</v>
      </c>
      <c r="N5776">
        <v>-1.4315609999999999E-2</v>
      </c>
      <c r="O5776">
        <v>0.96520499999999998</v>
      </c>
      <c r="P5776">
        <v>0.53362559999999903</v>
      </c>
      <c r="Q5776">
        <v>0.1491749</v>
      </c>
      <c r="R5776">
        <v>0.8324606</v>
      </c>
      <c r="S5776">
        <v>2.2603759999999999</v>
      </c>
      <c r="T5776">
        <v>-0.28844829999999999</v>
      </c>
      <c r="U5776">
        <v>2.2125089999999998</v>
      </c>
      <c r="V5776">
        <v>0.29907519999999999</v>
      </c>
      <c r="W5776">
        <v>0.16017319999999999</v>
      </c>
      <c r="X5776">
        <v>0.94069049999999999</v>
      </c>
      <c r="Y5776">
        <v>0.50446579999999996</v>
      </c>
      <c r="Z5776">
        <v>-8.1358860000000005E-2</v>
      </c>
      <c r="AA5776">
        <v>0.85959010000000002</v>
      </c>
      <c r="AB5776">
        <v>29</v>
      </c>
      <c r="AC5776">
        <v>8.0572999999999908</v>
      </c>
      <c r="AD5776">
        <v>-1.0377623600000001</v>
      </c>
      <c r="AE5776">
        <v>7.69529999999998</v>
      </c>
      <c r="AF5776">
        <v>5.7186656172701698</v>
      </c>
      <c r="AG5776">
        <v>-1.0377623600000001</v>
      </c>
      <c r="AH5776">
        <v>9.4503119453443194</v>
      </c>
      <c r="AI5776">
        <v>95.367192621455203</v>
      </c>
      <c r="AJ5776">
        <v>58.820616791470698</v>
      </c>
      <c r="AK5776">
        <v>11.0945249119689</v>
      </c>
      <c r="AL5776">
        <v>80.783050706166904</v>
      </c>
      <c r="AM5776">
        <v>72.362897160841698</v>
      </c>
      <c r="AN5776">
        <v>1.0000000230217601</v>
      </c>
    </row>
    <row r="5777" spans="1:40" x14ac:dyDescent="0.25">
      <c r="A5777" t="str">
        <f>"20190303162717341"</f>
        <v>20190303162717341</v>
      </c>
      <c r="B5777" t="str">
        <f>"1551601637330468"</f>
        <v>1551601637330468</v>
      </c>
      <c r="C5777" t="s">
        <v>40</v>
      </c>
      <c r="D5777">
        <v>4.9746800000000002</v>
      </c>
      <c r="E5777">
        <v>0.59708050000000001</v>
      </c>
      <c r="F5777" t="s">
        <v>47</v>
      </c>
      <c r="G5777">
        <v>-177.0163</v>
      </c>
      <c r="H5777" s="1">
        <v>-3.622054E-6</v>
      </c>
      <c r="I5777">
        <v>130.13419999999999</v>
      </c>
      <c r="J5777">
        <v>-185.75059999999999</v>
      </c>
      <c r="K5777">
        <v>1.117693</v>
      </c>
      <c r="L5777">
        <v>121.88460000000001</v>
      </c>
      <c r="M5777">
        <v>0.26541310000000001</v>
      </c>
      <c r="N5777">
        <v>-1.4316850000000001E-2</v>
      </c>
      <c r="O5777">
        <v>0.96402849999999995</v>
      </c>
      <c r="P5777">
        <v>0.54065229999999997</v>
      </c>
      <c r="Q5777">
        <v>0.1504982</v>
      </c>
      <c r="R5777">
        <v>0.82767469999999999</v>
      </c>
      <c r="S5777">
        <v>2.2730100000000002</v>
      </c>
      <c r="T5777">
        <v>-0.28826990000000002</v>
      </c>
      <c r="U5777">
        <v>2.1983950000000001</v>
      </c>
      <c r="V5777">
        <v>0.3029404</v>
      </c>
      <c r="W5777">
        <v>0.16139589999999901</v>
      </c>
      <c r="X5777">
        <v>0.93924359999999996</v>
      </c>
      <c r="Y5777">
        <v>0.50575409999999998</v>
      </c>
      <c r="Z5777">
        <v>-8.1378909999999999E-2</v>
      </c>
      <c r="AA5777">
        <v>0.85883069999999895</v>
      </c>
      <c r="AB5777">
        <v>29</v>
      </c>
      <c r="AC5777">
        <v>8.7342999999999904</v>
      </c>
      <c r="AD5777">
        <v>-1.1176966220540001</v>
      </c>
      <c r="AE5777">
        <v>8.2495999999999796</v>
      </c>
      <c r="AF5777">
        <v>6.1777346300681701</v>
      </c>
      <c r="AG5777">
        <v>-1.1176966220540001</v>
      </c>
      <c r="AH5777">
        <v>10.1839611684714</v>
      </c>
      <c r="AI5777">
        <v>95.360681700022297</v>
      </c>
      <c r="AJ5777">
        <v>58.758408510673803</v>
      </c>
      <c r="AK5777">
        <v>11.963557831156599</v>
      </c>
      <c r="AL5777">
        <v>80.712071760491298</v>
      </c>
      <c r="AM5777">
        <v>72.123591246008999</v>
      </c>
      <c r="AN5777">
        <v>1.00000003131496</v>
      </c>
    </row>
    <row r="5778" spans="1:40" x14ac:dyDescent="0.25">
      <c r="A5778" t="str">
        <f>"20190303162717364"</f>
        <v>20190303162717364</v>
      </c>
      <c r="B5778" t="str">
        <f>"1551601637349989"</f>
        <v>1551601637349989</v>
      </c>
      <c r="C5778" t="s">
        <v>40</v>
      </c>
      <c r="D5778">
        <v>4.9962569999999999</v>
      </c>
      <c r="E5778">
        <v>0.59731509999999999</v>
      </c>
      <c r="F5778" t="s">
        <v>47</v>
      </c>
      <c r="G5778">
        <v>-176.5086</v>
      </c>
      <c r="H5778" s="1">
        <v>-3.4640869999999999E-6</v>
      </c>
      <c r="I5778">
        <v>130.63059999999999</v>
      </c>
      <c r="J5778">
        <v>-185.66720000000001</v>
      </c>
      <c r="K5778">
        <v>1.117612</v>
      </c>
      <c r="L5778">
        <v>122.16800000000001</v>
      </c>
      <c r="M5778">
        <v>0.26999129999999999</v>
      </c>
      <c r="N5778">
        <v>-1.4319439999999999E-2</v>
      </c>
      <c r="O5778">
        <v>0.96275630000000001</v>
      </c>
      <c r="P5778">
        <v>0.54788680000000001</v>
      </c>
      <c r="Q5778">
        <v>0.1512066</v>
      </c>
      <c r="R5778">
        <v>0.8227738</v>
      </c>
      <c r="S5778">
        <v>2.2976230000000002</v>
      </c>
      <c r="T5778">
        <v>-0.27786860000000002</v>
      </c>
      <c r="U5778">
        <v>2.1743160000000001</v>
      </c>
      <c r="V5778">
        <v>0.30679079999999997</v>
      </c>
      <c r="W5778">
        <v>0.16199249999999901</v>
      </c>
      <c r="X5778">
        <v>0.93789009999999995</v>
      </c>
      <c r="Y5778">
        <v>0.5111964</v>
      </c>
      <c r="Z5778">
        <v>-7.8097260000000002E-2</v>
      </c>
      <c r="AA5778">
        <v>0.85590829999999996</v>
      </c>
      <c r="AB5778">
        <v>29</v>
      </c>
      <c r="AC5778">
        <v>9.1585999999999999</v>
      </c>
      <c r="AD5778">
        <v>-1.117615464087</v>
      </c>
      <c r="AE5778">
        <v>8.4625999999999895</v>
      </c>
      <c r="AF5778">
        <v>6.4812783925940201</v>
      </c>
      <c r="AG5778">
        <v>-1.117615464087</v>
      </c>
      <c r="AH5778">
        <v>10.536614054255899</v>
      </c>
      <c r="AI5778">
        <v>95.162418948194997</v>
      </c>
      <c r="AJ5778">
        <v>58.4035102854765</v>
      </c>
      <c r="AK5778">
        <v>12.4207998798876</v>
      </c>
      <c r="AL5778">
        <v>80.677433015826495</v>
      </c>
      <c r="AM5778">
        <v>71.886695863892399</v>
      </c>
      <c r="AN5778">
        <v>1.00000000234945</v>
      </c>
    </row>
    <row r="5779" spans="1:40" x14ac:dyDescent="0.25">
      <c r="A5779" t="str">
        <f>"20190303162717386"</f>
        <v>20190303162717386</v>
      </c>
      <c r="B5779" t="str">
        <f>"1551601637370485"</f>
        <v>1551601637370485</v>
      </c>
      <c r="C5779" t="s">
        <v>40</v>
      </c>
      <c r="D5779">
        <v>5.1708629999999998</v>
      </c>
      <c r="E5779">
        <v>0.59620779999999995</v>
      </c>
      <c r="F5779" t="s">
        <v>47</v>
      </c>
      <c r="G5779">
        <v>-176.16319999999999</v>
      </c>
      <c r="H5779" s="1">
        <v>-3.3670009999999999E-6</v>
      </c>
      <c r="I5779">
        <v>130.9956</v>
      </c>
      <c r="J5779">
        <v>-185.5838</v>
      </c>
      <c r="K5779">
        <v>1.117521</v>
      </c>
      <c r="L5779">
        <v>122.4457</v>
      </c>
      <c r="M5779">
        <v>0.27461340000000001</v>
      </c>
      <c r="N5779">
        <v>-1.432312E-2</v>
      </c>
      <c r="O5779">
        <v>0.96144799999999997</v>
      </c>
      <c r="P5779">
        <v>0.55444189999999904</v>
      </c>
      <c r="Q5779">
        <v>0.1507251</v>
      </c>
      <c r="R5779">
        <v>0.81845959999999995</v>
      </c>
      <c r="S5779">
        <v>2.3177949999999998</v>
      </c>
      <c r="T5779">
        <v>-0.27256000000000002</v>
      </c>
      <c r="U5779">
        <v>2.152847</v>
      </c>
      <c r="V5779">
        <v>0.30978929999999999</v>
      </c>
      <c r="W5779">
        <v>0.16140860000000001</v>
      </c>
      <c r="X5779">
        <v>0.93700470000000002</v>
      </c>
      <c r="Y5779">
        <v>0.51513540000000002</v>
      </c>
      <c r="Z5779">
        <v>-7.6471330000000004E-2</v>
      </c>
      <c r="AA5779">
        <v>0.85369059999999897</v>
      </c>
      <c r="AB5779">
        <v>29</v>
      </c>
      <c r="AC5779">
        <v>9.4206000000000092</v>
      </c>
      <c r="AD5779">
        <v>-1.117524367001</v>
      </c>
      <c r="AE5779">
        <v>8.5498999999999903</v>
      </c>
      <c r="AF5779">
        <v>6.6588075891999603</v>
      </c>
      <c r="AG5779">
        <v>-1.117524367001</v>
      </c>
      <c r="AH5779">
        <v>10.7256547283587</v>
      </c>
      <c r="AI5779">
        <v>95.058631517875099</v>
      </c>
      <c r="AJ5779">
        <v>58.166751415129497</v>
      </c>
      <c r="AK5779">
        <v>12.6739200160326</v>
      </c>
      <c r="AL5779">
        <v>80.711333929601906</v>
      </c>
      <c r="AM5779">
        <v>71.705257232867794</v>
      </c>
      <c r="AN5779">
        <v>0.99999997718526901</v>
      </c>
    </row>
    <row r="5780" spans="1:40" x14ac:dyDescent="0.25">
      <c r="A5780" t="str">
        <f>"20190303162717408"</f>
        <v>20190303162717408</v>
      </c>
      <c r="B5780" t="str">
        <f>"1551601637399764"</f>
        <v>1551601637399764</v>
      </c>
      <c r="C5780" t="s">
        <v>40</v>
      </c>
      <c r="D5780">
        <v>5.1638650000000004</v>
      </c>
      <c r="E5780">
        <v>0.59529009999999905</v>
      </c>
      <c r="F5780" t="s">
        <v>47</v>
      </c>
      <c r="G5780">
        <v>-176.22149999999999</v>
      </c>
      <c r="H5780" s="1">
        <v>-3.4285899999999998E-6</v>
      </c>
      <c r="I5780">
        <v>131.0532</v>
      </c>
      <c r="J5780">
        <v>-185.50120000000001</v>
      </c>
      <c r="K5780">
        <v>1.1174329999999999</v>
      </c>
      <c r="L5780">
        <v>122.7162</v>
      </c>
      <c r="M5780">
        <v>0.2792249</v>
      </c>
      <c r="N5780">
        <v>-1.4327049999999999E-2</v>
      </c>
      <c r="O5780">
        <v>0.96011880000000005</v>
      </c>
      <c r="P5780">
        <v>0.56158209999999997</v>
      </c>
      <c r="Q5780">
        <v>0.1494172</v>
      </c>
      <c r="R5780">
        <v>0.81381829999999999</v>
      </c>
      <c r="S5780">
        <v>2.327515</v>
      </c>
      <c r="T5780">
        <v>-0.27782010000000001</v>
      </c>
      <c r="U5780">
        <v>2.1398619999999999</v>
      </c>
      <c r="V5780">
        <v>0.31344909999999998</v>
      </c>
      <c r="W5780">
        <v>0.15999669999999999</v>
      </c>
      <c r="X5780">
        <v>0.93602929999999995</v>
      </c>
      <c r="Y5780">
        <v>0.51527230000000002</v>
      </c>
      <c r="Z5780">
        <v>-7.8261330000000004E-2</v>
      </c>
      <c r="AA5780">
        <v>0.85344569999999997</v>
      </c>
      <c r="AB5780">
        <v>29</v>
      </c>
      <c r="AC5780">
        <v>9.2797000000000196</v>
      </c>
      <c r="AD5780">
        <v>-1.11743642858999</v>
      </c>
      <c r="AE5780">
        <v>8.3369999999999997</v>
      </c>
      <c r="AF5780">
        <v>6.5299963621789301</v>
      </c>
      <c r="AG5780">
        <v>-1.11743642858999</v>
      </c>
      <c r="AH5780">
        <v>10.5123717254728</v>
      </c>
      <c r="AI5780">
        <v>95.159524316674805</v>
      </c>
      <c r="AJ5780">
        <v>58.1525861850807</v>
      </c>
      <c r="AK5780">
        <v>12.425758566644101</v>
      </c>
      <c r="AL5780">
        <v>80.7932959387864</v>
      </c>
      <c r="AM5780">
        <v>71.485794382064597</v>
      </c>
      <c r="AN5780">
        <v>1.0000000663800901</v>
      </c>
    </row>
    <row r="5781" spans="1:40" x14ac:dyDescent="0.25">
      <c r="A5781" t="str">
        <f>"20190303162717430"</f>
        <v>20190303162717430</v>
      </c>
      <c r="B5781" t="str">
        <f>"1551601637420262"</f>
        <v>1551601637420262</v>
      </c>
      <c r="C5781" t="s">
        <v>40</v>
      </c>
      <c r="D5781">
        <v>5.0558940000000003</v>
      </c>
      <c r="E5781">
        <v>0.59474189999999905</v>
      </c>
      <c r="F5781" t="s">
        <v>47</v>
      </c>
      <c r="G5781">
        <v>-176.11359999999999</v>
      </c>
      <c r="H5781" s="1">
        <v>-3.4233159999999999E-6</v>
      </c>
      <c r="I5781">
        <v>131.23330000000001</v>
      </c>
      <c r="J5781">
        <v>-185.41640000000001</v>
      </c>
      <c r="K5781">
        <v>1.1173569999999999</v>
      </c>
      <c r="L5781">
        <v>122.9881</v>
      </c>
      <c r="M5781">
        <v>0.28397060000000002</v>
      </c>
      <c r="N5781">
        <v>-1.433063E-2</v>
      </c>
      <c r="O5781">
        <v>0.95872590000000002</v>
      </c>
      <c r="P5781">
        <v>0.57001420000000003</v>
      </c>
      <c r="Q5781">
        <v>0.14854139999999999</v>
      </c>
      <c r="R5781">
        <v>0.80809609999999998</v>
      </c>
      <c r="S5781">
        <v>2.3398129999999999</v>
      </c>
      <c r="T5781">
        <v>-0.27851589999999998</v>
      </c>
      <c r="U5781">
        <v>2.122849</v>
      </c>
      <c r="V5781">
        <v>0.31853480000000001</v>
      </c>
      <c r="W5781">
        <v>0.15899829999999901</v>
      </c>
      <c r="X5781">
        <v>0.93448120000000001</v>
      </c>
      <c r="Y5781">
        <v>0.51664779999999999</v>
      </c>
      <c r="Z5781">
        <v>-7.8610959999999994E-2</v>
      </c>
      <c r="AA5781">
        <v>0.85258159999999905</v>
      </c>
      <c r="AB5781">
        <v>29</v>
      </c>
      <c r="AC5781">
        <v>9.3028000000000102</v>
      </c>
      <c r="AD5781">
        <v>-1.1173604233159999</v>
      </c>
      <c r="AE5781">
        <v>8.2452000000000094</v>
      </c>
      <c r="AF5781">
        <v>6.5253941579385701</v>
      </c>
      <c r="AG5781">
        <v>-1.1173604233159999</v>
      </c>
      <c r="AH5781">
        <v>10.463154035596</v>
      </c>
      <c r="AI5781">
        <v>95.177574565537</v>
      </c>
      <c r="AJ5781">
        <v>58.050082705179101</v>
      </c>
      <c r="AK5781">
        <v>12.381714566434701</v>
      </c>
      <c r="AL5781">
        <v>80.851241195716099</v>
      </c>
      <c r="AM5781">
        <v>71.177395790903105</v>
      </c>
      <c r="AN5781">
        <v>0.99999999568368403</v>
      </c>
    </row>
    <row r="5782" spans="1:40" x14ac:dyDescent="0.25">
      <c r="A5782" t="str">
        <f>"20190303162717453"</f>
        <v>20190303162717453</v>
      </c>
      <c r="B5782" t="str">
        <f>"1551601637450047"</f>
        <v>1551601637450047</v>
      </c>
      <c r="C5782" t="s">
        <v>40</v>
      </c>
      <c r="D5782">
        <v>5.0343809999999998</v>
      </c>
      <c r="E5782">
        <v>0.59445040000000005</v>
      </c>
      <c r="F5782" t="s">
        <v>47</v>
      </c>
      <c r="G5782">
        <v>-175.9556</v>
      </c>
      <c r="H5782" s="1">
        <v>-3.3838480000000002E-6</v>
      </c>
      <c r="I5782">
        <v>131.41329999999999</v>
      </c>
      <c r="J5782">
        <v>-185.328</v>
      </c>
      <c r="K5782">
        <v>1.117278</v>
      </c>
      <c r="L5782">
        <v>123.26690000000001</v>
      </c>
      <c r="M5782">
        <v>0.28894760000000003</v>
      </c>
      <c r="N5782">
        <v>-1.433423E-2</v>
      </c>
      <c r="O5782">
        <v>0.95723760000000002</v>
      </c>
      <c r="P5782">
        <v>0.57908199999999999</v>
      </c>
      <c r="Q5782">
        <v>0.14797399999999999</v>
      </c>
      <c r="R5782">
        <v>0.801728</v>
      </c>
      <c r="S5782">
        <v>2.3583069999999999</v>
      </c>
      <c r="T5782">
        <v>-0.27852450000000001</v>
      </c>
      <c r="U5782">
        <v>2.1001430000000001</v>
      </c>
      <c r="V5782">
        <v>0.32420710000000003</v>
      </c>
      <c r="W5782">
        <v>0.1582991</v>
      </c>
      <c r="X5782">
        <v>0.93264729999999996</v>
      </c>
      <c r="Y5782">
        <v>0.52008639999999995</v>
      </c>
      <c r="Z5782">
        <v>-7.8748600000000002E-2</v>
      </c>
      <c r="AA5782">
        <v>0.85047569999999995</v>
      </c>
      <c r="AB5782">
        <v>28</v>
      </c>
      <c r="AC5782">
        <v>9.3724000000000007</v>
      </c>
      <c r="AD5782">
        <v>-1.117281383848</v>
      </c>
      <c r="AE5782">
        <v>8.1463999999999803</v>
      </c>
      <c r="AF5782">
        <v>6.5652641350505299</v>
      </c>
      <c r="AG5782">
        <v>-1.117281383848</v>
      </c>
      <c r="AH5782">
        <v>10.4228776342602</v>
      </c>
      <c r="AI5782">
        <v>95.182624765757794</v>
      </c>
      <c r="AJ5782">
        <v>57.793593188421099</v>
      </c>
      <c r="AK5782">
        <v>12.368807098198101</v>
      </c>
      <c r="AL5782">
        <v>80.891815567077003</v>
      </c>
      <c r="AM5782">
        <v>70.831512722094502</v>
      </c>
      <c r="AN5782">
        <v>0.99999991747425099</v>
      </c>
    </row>
    <row r="5783" spans="1:40" x14ac:dyDescent="0.25">
      <c r="A5783" t="str">
        <f>"20190303162717476"</f>
        <v>20190303162717476</v>
      </c>
      <c r="B5783" t="str">
        <f>"1551601637470542"</f>
        <v>1551601637470542</v>
      </c>
      <c r="C5783" t="s">
        <v>40</v>
      </c>
      <c r="D5783">
        <v>5.3210790000000001</v>
      </c>
      <c r="E5783">
        <v>0.59458569999999999</v>
      </c>
      <c r="F5783" t="s">
        <v>47</v>
      </c>
      <c r="G5783">
        <v>-175.77170000000001</v>
      </c>
      <c r="H5783" s="1">
        <v>-3.3284760000000002E-6</v>
      </c>
      <c r="I5783">
        <v>131.59780000000001</v>
      </c>
      <c r="J5783">
        <v>-185.2389</v>
      </c>
      <c r="K5783">
        <v>1.1172120000000001</v>
      </c>
      <c r="L5783">
        <v>123.5424</v>
      </c>
      <c r="M5783">
        <v>0.29396929999999999</v>
      </c>
      <c r="N5783">
        <v>-1.4338139999999999E-2</v>
      </c>
      <c r="O5783">
        <v>0.95570730000000004</v>
      </c>
      <c r="P5783">
        <v>0.58856330000000001</v>
      </c>
      <c r="Q5783">
        <v>0.14707089999999901</v>
      </c>
      <c r="R5783">
        <v>0.79496129999999998</v>
      </c>
      <c r="S5783">
        <v>2.3795929999999998</v>
      </c>
      <c r="T5783">
        <v>-0.27821430000000003</v>
      </c>
      <c r="U5783">
        <v>2.0744929999999999</v>
      </c>
      <c r="V5783">
        <v>0.33036280000000001</v>
      </c>
      <c r="W5783">
        <v>0.15725899999999901</v>
      </c>
      <c r="X5783">
        <v>0.93066110000000002</v>
      </c>
      <c r="Y5783">
        <v>0.52457109999999996</v>
      </c>
      <c r="Z5783">
        <v>-7.8790239999999997E-2</v>
      </c>
      <c r="AA5783">
        <v>0.84771289999999999</v>
      </c>
      <c r="AB5783">
        <v>28</v>
      </c>
      <c r="AC5783">
        <v>9.4671999999999894</v>
      </c>
      <c r="AD5783">
        <v>-1.117215328476</v>
      </c>
      <c r="AE5783">
        <v>8.0554000000000006</v>
      </c>
      <c r="AF5783">
        <v>6.6269867711218504</v>
      </c>
      <c r="AG5783">
        <v>-1.117215328476</v>
      </c>
      <c r="AH5783">
        <v>10.3987487841398</v>
      </c>
      <c r="AI5783">
        <v>95.177031704349503</v>
      </c>
      <c r="AJ5783">
        <v>57.491170187831102</v>
      </c>
      <c r="AK5783">
        <v>12.3814013758724</v>
      </c>
      <c r="AL5783">
        <v>80.952165830849097</v>
      </c>
      <c r="AM5783">
        <v>70.456334529477601</v>
      </c>
      <c r="AN5783">
        <v>1.00000002787902</v>
      </c>
    </row>
    <row r="5784" spans="1:40" x14ac:dyDescent="0.25">
      <c r="A5784" t="str">
        <f>"20190303162717508"</f>
        <v>20190303162717508</v>
      </c>
      <c r="B5784" t="str">
        <f>"1551601637499823"</f>
        <v>1551601637499823</v>
      </c>
      <c r="C5784" t="s">
        <v>40</v>
      </c>
      <c r="D5784">
        <v>5.2861580000000004</v>
      </c>
      <c r="E5784">
        <v>0.5954332</v>
      </c>
      <c r="F5784" t="s">
        <v>47</v>
      </c>
      <c r="G5784">
        <v>-175.76050000000001</v>
      </c>
      <c r="H5784" s="1">
        <v>-3.3263720000000001E-6</v>
      </c>
      <c r="I5784">
        <v>131.61259999999999</v>
      </c>
      <c r="J5784">
        <v>-185.11009999999999</v>
      </c>
      <c r="K5784">
        <v>1.1171070000000001</v>
      </c>
      <c r="L5784">
        <v>123.9314</v>
      </c>
      <c r="M5784">
        <v>0.30122660000000001</v>
      </c>
      <c r="N5784">
        <v>-1.4343979999999999E-2</v>
      </c>
      <c r="O5784">
        <v>0.95344470000000003</v>
      </c>
      <c r="P5784">
        <v>0.60257320000000003</v>
      </c>
      <c r="Q5784">
        <v>0.14406640000000001</v>
      </c>
      <c r="R5784">
        <v>0.7849526</v>
      </c>
      <c r="S5784">
        <v>2.4036870000000001</v>
      </c>
      <c r="T5784">
        <v>-0.2833215</v>
      </c>
      <c r="U5784">
        <v>2.04657</v>
      </c>
      <c r="V5784">
        <v>0.33964100000000003</v>
      </c>
      <c r="W5784">
        <v>0.1540522</v>
      </c>
      <c r="X5784">
        <v>0.92785340000000005</v>
      </c>
      <c r="Y5784">
        <v>0.52789049999999904</v>
      </c>
      <c r="Z5784">
        <v>-8.0560229999999997E-2</v>
      </c>
      <c r="AA5784">
        <v>0.84548310000000004</v>
      </c>
      <c r="AB5784">
        <v>28</v>
      </c>
      <c r="AC5784">
        <v>9.3495999999999793</v>
      </c>
      <c r="AD5784">
        <v>-1.1171103263719999</v>
      </c>
      <c r="AE5784">
        <v>7.6811999999999898</v>
      </c>
      <c r="AF5784">
        <v>6.5454356776395697</v>
      </c>
      <c r="AG5784">
        <v>-1.1171103263719999</v>
      </c>
      <c r="AH5784">
        <v>10.055287411845701</v>
      </c>
      <c r="AI5784">
        <v>95.3193706784011</v>
      </c>
      <c r="AJ5784">
        <v>56.938099507248602</v>
      </c>
      <c r="AK5784">
        <v>12.049874216199401</v>
      </c>
      <c r="AL5784">
        <v>81.138168985776502</v>
      </c>
      <c r="AM5784">
        <v>69.894833570205606</v>
      </c>
      <c r="AN5784">
        <v>1.0000000105486999</v>
      </c>
    </row>
    <row r="5785" spans="1:40" x14ac:dyDescent="0.25">
      <c r="A5785" t="str">
        <f>"20190303162717531"</f>
        <v>20190303162717531</v>
      </c>
      <c r="B5785" t="str">
        <f>"1551601637520319"</f>
        <v>1551601637520319</v>
      </c>
      <c r="C5785" t="s">
        <v>40</v>
      </c>
      <c r="D5785">
        <v>5.269209</v>
      </c>
      <c r="E5785">
        <v>0.59694190000000003</v>
      </c>
      <c r="F5785" t="s">
        <v>47</v>
      </c>
      <c r="G5785">
        <v>-179.9357</v>
      </c>
      <c r="H5785" s="1">
        <v>-5.0552530000000003E-6</v>
      </c>
      <c r="I5785">
        <v>128.22110000000001</v>
      </c>
      <c r="J5785">
        <v>-185.01609999999999</v>
      </c>
      <c r="K5785">
        <v>1.117035</v>
      </c>
      <c r="L5785">
        <v>124.20869999999999</v>
      </c>
      <c r="M5785">
        <v>0.3065137</v>
      </c>
      <c r="N5785">
        <v>-1.434831E-2</v>
      </c>
      <c r="O5785">
        <v>0.95175810000000005</v>
      </c>
      <c r="P5785">
        <v>0.61162450000000002</v>
      </c>
      <c r="Q5785">
        <v>0.14238519999999999</v>
      </c>
      <c r="R5785">
        <v>0.77822999999999998</v>
      </c>
      <c r="S5785">
        <v>2.4545590000000002</v>
      </c>
      <c r="T5785">
        <v>-0.52992629999999996</v>
      </c>
      <c r="U5785">
        <v>2.0348820000000001</v>
      </c>
      <c r="V5785">
        <v>0.34515810000000002</v>
      </c>
      <c r="W5785">
        <v>0.15223989999999901</v>
      </c>
      <c r="X5785">
        <v>0.92611489999999996</v>
      </c>
      <c r="Y5785">
        <v>0.52666569999999902</v>
      </c>
      <c r="Z5785">
        <v>-0.15838260000000001</v>
      </c>
      <c r="AA5785">
        <v>0.83518749999999997</v>
      </c>
      <c r="AB5785">
        <v>28</v>
      </c>
      <c r="AC5785">
        <v>5.0803999999999903</v>
      </c>
      <c r="AD5785">
        <v>-1.117040055253</v>
      </c>
      <c r="AE5785">
        <v>4.0124000000000102</v>
      </c>
      <c r="AF5785">
        <v>3.5015752778754901</v>
      </c>
      <c r="AG5785">
        <v>-1.117040055253</v>
      </c>
      <c r="AH5785">
        <v>5.2211508626513901</v>
      </c>
      <c r="AI5785">
        <v>100.075480623427</v>
      </c>
      <c r="AJ5785">
        <v>56.152139580142702</v>
      </c>
      <c r="AK5785">
        <v>6.3850782487166002</v>
      </c>
      <c r="AL5785">
        <v>81.243245177680507</v>
      </c>
      <c r="AM5785">
        <v>69.559842896004994</v>
      </c>
      <c r="AN5785">
        <v>0.99999995457481305</v>
      </c>
    </row>
    <row r="5786" spans="1:40" x14ac:dyDescent="0.25">
      <c r="A5786" t="str">
        <f>"20190303162717553"</f>
        <v>20190303162717553</v>
      </c>
      <c r="B5786" t="str">
        <f>"1551601637540345"</f>
        <v>1551601637540345</v>
      </c>
      <c r="C5786" t="s">
        <v>40</v>
      </c>
      <c r="D5786">
        <v>5.3128260000000003</v>
      </c>
      <c r="E5786">
        <v>0.5968677</v>
      </c>
      <c r="F5786" t="s">
        <v>47</v>
      </c>
      <c r="G5786">
        <v>-179.71520000000001</v>
      </c>
      <c r="H5786" s="1">
        <v>-4.9753179999999997E-6</v>
      </c>
      <c r="I5786">
        <v>128.46709999999999</v>
      </c>
      <c r="J5786">
        <v>-184.92519999999999</v>
      </c>
      <c r="K5786">
        <v>1.116968</v>
      </c>
      <c r="L5786">
        <v>124.4722</v>
      </c>
      <c r="M5786">
        <v>0.3116177</v>
      </c>
      <c r="N5786">
        <v>-1.435237E-2</v>
      </c>
      <c r="O5786">
        <v>0.95009920000000003</v>
      </c>
      <c r="P5786">
        <v>0.61950090000000002</v>
      </c>
      <c r="Q5786">
        <v>0.14208519999999999</v>
      </c>
      <c r="R5786">
        <v>0.77203009999999905</v>
      </c>
      <c r="S5786">
        <v>2.4859309999999999</v>
      </c>
      <c r="T5786">
        <v>-0.52385320000000002</v>
      </c>
      <c r="U5786">
        <v>1.9970399999999999</v>
      </c>
      <c r="V5786">
        <v>0.34960590000000002</v>
      </c>
      <c r="W5786">
        <v>0.15182470000000001</v>
      </c>
      <c r="X5786">
        <v>0.92451329999999998</v>
      </c>
      <c r="Y5786">
        <v>0.53518750000000004</v>
      </c>
      <c r="Z5786">
        <v>-0.15676760000000001</v>
      </c>
      <c r="AA5786">
        <v>0.830059199999999</v>
      </c>
      <c r="AB5786">
        <v>28</v>
      </c>
      <c r="AC5786">
        <v>5.2099999999999804</v>
      </c>
      <c r="AD5786">
        <v>-1.116972975318</v>
      </c>
      <c r="AE5786">
        <v>3.9948999999999799</v>
      </c>
      <c r="AF5786">
        <v>3.60127760163624</v>
      </c>
      <c r="AG5786">
        <v>-1.116972975318</v>
      </c>
      <c r="AH5786">
        <v>5.2671787068411096</v>
      </c>
      <c r="AI5786">
        <v>99.929413878022004</v>
      </c>
      <c r="AJ5786">
        <v>55.6387867979373</v>
      </c>
      <c r="AK5786">
        <v>6.4776539365296504</v>
      </c>
      <c r="AL5786">
        <v>81.267313989379304</v>
      </c>
      <c r="AM5786">
        <v>69.285823515366005</v>
      </c>
      <c r="AN5786">
        <v>0.99999993336089199</v>
      </c>
    </row>
    <row r="5787" spans="1:40" x14ac:dyDescent="0.25">
      <c r="A5787" t="str">
        <f>"20190303162717576"</f>
        <v>20190303162717576</v>
      </c>
      <c r="B5787" t="str">
        <f>"1551601637570601"</f>
        <v>1551601637570601</v>
      </c>
      <c r="C5787" t="s">
        <v>40</v>
      </c>
      <c r="D5787">
        <v>5.3253629999999896</v>
      </c>
      <c r="E5787">
        <v>0.59597270000000002</v>
      </c>
      <c r="F5787" t="s">
        <v>47</v>
      </c>
      <c r="G5787">
        <v>-179.5686</v>
      </c>
      <c r="H5787" s="1">
        <v>-4.9369850000000001E-6</v>
      </c>
      <c r="I5787">
        <v>128.68790000000001</v>
      </c>
      <c r="J5787">
        <v>-184.8279</v>
      </c>
      <c r="K5787">
        <v>1.116881</v>
      </c>
      <c r="L5787">
        <v>124.7487</v>
      </c>
      <c r="M5787">
        <v>0.3170886</v>
      </c>
      <c r="N5787">
        <v>-1.435698E-2</v>
      </c>
      <c r="O5787">
        <v>0.9482872</v>
      </c>
      <c r="P5787">
        <v>0.62722409999999995</v>
      </c>
      <c r="Q5787">
        <v>0.13990629999999901</v>
      </c>
      <c r="R5787">
        <v>0.76616980000000001</v>
      </c>
      <c r="S5787">
        <v>2.5052949999999998</v>
      </c>
      <c r="T5787">
        <v>-0.52241179999999998</v>
      </c>
      <c r="U5787">
        <v>1.971695</v>
      </c>
      <c r="V5787">
        <v>0.35344599999999998</v>
      </c>
      <c r="W5787">
        <v>0.14953329999999901</v>
      </c>
      <c r="X5787">
        <v>0.92342610000000003</v>
      </c>
      <c r="Y5787">
        <v>0.53867889999999996</v>
      </c>
      <c r="Z5787">
        <v>-0.1564866</v>
      </c>
      <c r="AA5787">
        <v>0.8278508</v>
      </c>
      <c r="AB5787">
        <v>28</v>
      </c>
      <c r="AC5787">
        <v>5.2592999999999899</v>
      </c>
      <c r="AD5787">
        <v>-1.1168859369849999</v>
      </c>
      <c r="AE5787">
        <v>3.9392000000000098</v>
      </c>
      <c r="AF5787">
        <v>3.6336576065740198</v>
      </c>
      <c r="AG5787">
        <v>-1.1168859369849999</v>
      </c>
      <c r="AH5787">
        <v>5.2519801833532398</v>
      </c>
      <c r="AI5787">
        <v>99.919776920561503</v>
      </c>
      <c r="AJ5787">
        <v>55.322023381056503</v>
      </c>
      <c r="AK5787">
        <v>6.4833785671039799</v>
      </c>
      <c r="AL5787">
        <v>81.400118606532203</v>
      </c>
      <c r="AM5787">
        <v>69.055400556707795</v>
      </c>
      <c r="AN5787">
        <v>1.0000000224430401</v>
      </c>
    </row>
    <row r="5788" spans="1:40" x14ac:dyDescent="0.25">
      <c r="A5788" t="str">
        <f>"20190303162717598"</f>
        <v>20190303162717598</v>
      </c>
      <c r="B5788" t="str">
        <f>"1551601637590121"</f>
        <v>1551601637590121</v>
      </c>
      <c r="C5788" t="s">
        <v>40</v>
      </c>
      <c r="D5788">
        <v>5.2928280000000001</v>
      </c>
      <c r="E5788">
        <v>0.59523309999999996</v>
      </c>
      <c r="F5788" t="s">
        <v>47</v>
      </c>
      <c r="G5788">
        <v>-179.49289999999999</v>
      </c>
      <c r="H5788" s="1">
        <v>-4.937278E-6</v>
      </c>
      <c r="I5788">
        <v>128.87909999999999</v>
      </c>
      <c r="J5788">
        <v>-184.7312</v>
      </c>
      <c r="K5788">
        <v>1.116784</v>
      </c>
      <c r="L5788">
        <v>125.0183</v>
      </c>
      <c r="M5788">
        <v>0.32256180000000001</v>
      </c>
      <c r="N5788">
        <v>-1.4363249999999999E-2</v>
      </c>
      <c r="O5788">
        <v>0.94643940000000004</v>
      </c>
      <c r="P5788">
        <v>0.63530889999999995</v>
      </c>
      <c r="Q5788">
        <v>0.1374425</v>
      </c>
      <c r="R5788">
        <v>0.75992910000000002</v>
      </c>
      <c r="S5788">
        <v>2.5186769999999998</v>
      </c>
      <c r="T5788">
        <v>-0.52728739999999996</v>
      </c>
      <c r="U5788">
        <v>1.9499660000000001</v>
      </c>
      <c r="V5788">
        <v>0.35776560000000002</v>
      </c>
      <c r="W5788">
        <v>0.14693399999999901</v>
      </c>
      <c r="X5788">
        <v>0.92217899999999997</v>
      </c>
      <c r="Y5788">
        <v>0.54019269999999997</v>
      </c>
      <c r="Z5788">
        <v>-0.15824099999999999</v>
      </c>
      <c r="AA5788">
        <v>0.82652990000000004</v>
      </c>
      <c r="AB5788">
        <v>28</v>
      </c>
      <c r="AC5788">
        <v>5.2382999999999997</v>
      </c>
      <c r="AD5788">
        <v>-1.116788937278</v>
      </c>
      <c r="AE5788">
        <v>3.86079999999999</v>
      </c>
      <c r="AF5788">
        <v>3.6065452517185501</v>
      </c>
      <c r="AG5788">
        <v>-1.116788937278</v>
      </c>
      <c r="AH5788">
        <v>5.1913379751633304</v>
      </c>
      <c r="AI5788">
        <v>100.01930833492899</v>
      </c>
      <c r="AJ5788">
        <v>55.211377598956602</v>
      </c>
      <c r="AK5788">
        <v>6.4190634952065304</v>
      </c>
      <c r="AL5788">
        <v>81.550710784486498</v>
      </c>
      <c r="AM5788">
        <v>68.795898963142093</v>
      </c>
      <c r="AN5788">
        <v>0.99999996647017897</v>
      </c>
    </row>
    <row r="5789" spans="1:40" x14ac:dyDescent="0.25">
      <c r="A5789" t="str">
        <f>"20190303162717620"</f>
        <v>20190303162717620</v>
      </c>
      <c r="B5789" t="str">
        <f>"1551601637609641"</f>
        <v>1551601637609641</v>
      </c>
      <c r="C5789" t="s">
        <v>40</v>
      </c>
      <c r="D5789">
        <v>5.3328790000000001</v>
      </c>
      <c r="E5789">
        <v>0.59460840000000004</v>
      </c>
      <c r="F5789" t="s">
        <v>47</v>
      </c>
      <c r="G5789">
        <v>-179.46299999999999</v>
      </c>
      <c r="H5789" s="1">
        <v>-4.9557870000000003E-6</v>
      </c>
      <c r="I5789">
        <v>129.02539999999999</v>
      </c>
      <c r="J5789">
        <v>-184.63659999999999</v>
      </c>
      <c r="K5789">
        <v>1.116663</v>
      </c>
      <c r="L5789">
        <v>125.277</v>
      </c>
      <c r="M5789">
        <v>0.32797599999999999</v>
      </c>
      <c r="N5789">
        <v>-1.437182E-2</v>
      </c>
      <c r="O5789">
        <v>0.94457670000000005</v>
      </c>
      <c r="P5789">
        <v>0.64227489999999998</v>
      </c>
      <c r="Q5789">
        <v>0.13892570000000001</v>
      </c>
      <c r="R5789">
        <v>0.75377899999999998</v>
      </c>
      <c r="S5789">
        <v>2.5333559999999999</v>
      </c>
      <c r="T5789">
        <v>-0.53703919999999905</v>
      </c>
      <c r="U5789">
        <v>1.9269099999999999</v>
      </c>
      <c r="V5789">
        <v>0.36112129999999998</v>
      </c>
      <c r="W5789">
        <v>0.14826819999999999</v>
      </c>
      <c r="X5789">
        <v>0.92065629999999998</v>
      </c>
      <c r="Y5789">
        <v>0.54202090000000003</v>
      </c>
      <c r="Z5789">
        <v>-0.16152359999999999</v>
      </c>
      <c r="AA5789">
        <v>0.82469599999999899</v>
      </c>
      <c r="AB5789">
        <v>28</v>
      </c>
      <c r="AC5789">
        <v>5.1735999999999898</v>
      </c>
      <c r="AD5789">
        <v>-1.1166679557870001</v>
      </c>
      <c r="AE5789">
        <v>3.7483999999999802</v>
      </c>
      <c r="AF5789">
        <v>3.5494199631839201</v>
      </c>
      <c r="AG5789">
        <v>-1.1166679557870001</v>
      </c>
      <c r="AH5789">
        <v>5.0827317254545799</v>
      </c>
      <c r="AI5789">
        <v>100.21092214949201</v>
      </c>
      <c r="AJ5789">
        <v>55.072278549927503</v>
      </c>
      <c r="AK5789">
        <v>6.2991659123627297</v>
      </c>
      <c r="AL5789">
        <v>81.4734207915063</v>
      </c>
      <c r="AM5789">
        <v>68.5827364005319</v>
      </c>
      <c r="AN5789">
        <v>1.0000000375872999</v>
      </c>
    </row>
    <row r="5790" spans="1:40" x14ac:dyDescent="0.25">
      <c r="A5790" t="str">
        <f>"20190303162717644"</f>
        <v>20190303162717644</v>
      </c>
      <c r="B5790" t="str">
        <f>"1551601637640402"</f>
        <v>1551601637640402</v>
      </c>
      <c r="C5790" t="s">
        <v>40</v>
      </c>
      <c r="D5790">
        <v>5.2722480000000003</v>
      </c>
      <c r="E5790">
        <v>0.59373889999999996</v>
      </c>
      <c r="F5790" t="s">
        <v>47</v>
      </c>
      <c r="G5790">
        <v>-179.30260000000001</v>
      </c>
      <c r="H5790" s="1">
        <v>-4.9061180000000004E-6</v>
      </c>
      <c r="I5790">
        <v>129.27289999999999</v>
      </c>
      <c r="J5790">
        <v>-184.53479999999999</v>
      </c>
      <c r="K5790">
        <v>1.1165149999999999</v>
      </c>
      <c r="L5790">
        <v>125.5497</v>
      </c>
      <c r="M5790">
        <v>0.33390310000000001</v>
      </c>
      <c r="N5790">
        <v>-1.438414E-2</v>
      </c>
      <c r="O5790">
        <v>0.94249760000000005</v>
      </c>
      <c r="P5790">
        <v>0.65070519999999998</v>
      </c>
      <c r="Q5790">
        <v>0.14133319999999999</v>
      </c>
      <c r="R5790">
        <v>0.74606149999999904</v>
      </c>
      <c r="S5790">
        <v>2.5469819999999999</v>
      </c>
      <c r="T5790">
        <v>-0.53320339999999999</v>
      </c>
      <c r="U5790">
        <v>1.9080349999999999</v>
      </c>
      <c r="V5790">
        <v>0.36592340000000001</v>
      </c>
      <c r="W5790">
        <v>0.15046679999999901</v>
      </c>
      <c r="X5790">
        <v>0.91840069999999996</v>
      </c>
      <c r="Y5790">
        <v>0.54296049999999996</v>
      </c>
      <c r="Z5790">
        <v>-0.1603715</v>
      </c>
      <c r="AA5790">
        <v>0.82430270000000005</v>
      </c>
      <c r="AB5790">
        <v>28</v>
      </c>
      <c r="AC5790">
        <v>5.2321999999999704</v>
      </c>
      <c r="AD5790">
        <v>-1.116519906118</v>
      </c>
      <c r="AE5790">
        <v>3.7231999999999901</v>
      </c>
      <c r="AF5790">
        <v>3.5802983260524601</v>
      </c>
      <c r="AG5790">
        <v>-1.116519906118</v>
      </c>
      <c r="AH5790">
        <v>5.1024532816110701</v>
      </c>
      <c r="AI5790">
        <v>100.155287427223</v>
      </c>
      <c r="AJ5790">
        <v>54.943361800836499</v>
      </c>
      <c r="AK5790">
        <v>6.3324704733078203</v>
      </c>
      <c r="AL5790">
        <v>81.346020905216093</v>
      </c>
      <c r="AM5790">
        <v>68.275909657738296</v>
      </c>
      <c r="AN5790">
        <v>1.0000000191651399</v>
      </c>
    </row>
    <row r="5791" spans="1:40" x14ac:dyDescent="0.25">
      <c r="A5791" t="str">
        <f>"20190303162717666"</f>
        <v>20190303162717666</v>
      </c>
      <c r="B5791" t="str">
        <f>"1551601637659923"</f>
        <v>1551601637659923</v>
      </c>
      <c r="C5791" t="s">
        <v>40</v>
      </c>
      <c r="D5791">
        <v>5.3061959999999999</v>
      </c>
      <c r="E5791">
        <v>0.59306840000000005</v>
      </c>
      <c r="F5791" t="s">
        <v>47</v>
      </c>
      <c r="G5791">
        <v>-179.09630000000001</v>
      </c>
      <c r="H5791" s="1">
        <v>-4.8281179999999996E-6</v>
      </c>
      <c r="I5791">
        <v>129.54580000000001</v>
      </c>
      <c r="J5791">
        <v>-184.43010000000001</v>
      </c>
      <c r="K5791">
        <v>1.1163320000000001</v>
      </c>
      <c r="L5791">
        <v>125.8235</v>
      </c>
      <c r="M5791">
        <v>0.34014109999999997</v>
      </c>
      <c r="N5791">
        <v>-1.440103E-2</v>
      </c>
      <c r="O5791">
        <v>0.94026419999999999</v>
      </c>
      <c r="P5791">
        <v>0.65804090000000004</v>
      </c>
      <c r="Q5791">
        <v>0.1436781</v>
      </c>
      <c r="R5791">
        <v>0.73914740000000001</v>
      </c>
      <c r="S5791">
        <v>2.5643769999999999</v>
      </c>
      <c r="T5791">
        <v>-0.5264624</v>
      </c>
      <c r="U5791">
        <v>1.8842319999999999</v>
      </c>
      <c r="V5791">
        <v>0.36916270000000001</v>
      </c>
      <c r="W5791">
        <v>0.15259719999999999</v>
      </c>
      <c r="X5791">
        <v>0.91675130000000005</v>
      </c>
      <c r="Y5791">
        <v>0.54534139999999998</v>
      </c>
      <c r="Z5791">
        <v>-0.15833320000000001</v>
      </c>
      <c r="AA5791">
        <v>0.82312419999999997</v>
      </c>
      <c r="AB5791">
        <v>28</v>
      </c>
      <c r="AC5791">
        <v>5.3337999999999903</v>
      </c>
      <c r="AD5791">
        <v>-1.1163368281179999</v>
      </c>
      <c r="AE5791">
        <v>3.7223000000000099</v>
      </c>
      <c r="AF5791">
        <v>3.6421723948460998</v>
      </c>
      <c r="AG5791">
        <v>-1.1163368281179999</v>
      </c>
      <c r="AH5791">
        <v>5.16266053123086</v>
      </c>
      <c r="AI5791">
        <v>100.020086600623</v>
      </c>
      <c r="AJ5791">
        <v>54.797658297617197</v>
      </c>
      <c r="AK5791">
        <v>6.4159715888024698</v>
      </c>
      <c r="AL5791">
        <v>81.222531558474699</v>
      </c>
      <c r="AM5791">
        <v>68.066055658456705</v>
      </c>
      <c r="AN5791">
        <v>0.99999997528540896</v>
      </c>
    </row>
    <row r="5792" spans="1:40" x14ac:dyDescent="0.25">
      <c r="A5792" t="str">
        <f>"20190303162717687"</f>
        <v>20190303162717687</v>
      </c>
      <c r="B5792" t="str">
        <f>"1551601637680418"</f>
        <v>1551601637680418</v>
      </c>
      <c r="C5792" t="s">
        <v>40</v>
      </c>
      <c r="D5792">
        <v>5.3252370000000004</v>
      </c>
      <c r="E5792">
        <v>0.59252389999999999</v>
      </c>
      <c r="F5792" t="s">
        <v>47</v>
      </c>
      <c r="G5792">
        <v>-178.86689999999999</v>
      </c>
      <c r="H5792" s="1">
        <v>-4.7699699999999997E-6</v>
      </c>
      <c r="I5792">
        <v>129.83279999999999</v>
      </c>
      <c r="J5792">
        <v>-184.3329</v>
      </c>
      <c r="K5792">
        <v>1.11616</v>
      </c>
      <c r="L5792">
        <v>126.07259999999999</v>
      </c>
      <c r="M5792">
        <v>0.34603020000000001</v>
      </c>
      <c r="N5792">
        <v>-1.441898E-2</v>
      </c>
      <c r="O5792">
        <v>0.93811259999999996</v>
      </c>
      <c r="P5792">
        <v>0.66461649999999906</v>
      </c>
      <c r="Q5792">
        <v>0.14398250000000001</v>
      </c>
      <c r="R5792">
        <v>0.73318079999999997</v>
      </c>
      <c r="S5792">
        <v>2.5820159999999999</v>
      </c>
      <c r="T5792">
        <v>-0.51811459999999998</v>
      </c>
      <c r="U5792">
        <v>1.8607640000000001</v>
      </c>
      <c r="V5792">
        <v>0.37169659999999999</v>
      </c>
      <c r="W5792">
        <v>0.15271399999999999</v>
      </c>
      <c r="X5792">
        <v>0.91570739999999995</v>
      </c>
      <c r="Y5792">
        <v>0.54805569999999904</v>
      </c>
      <c r="Z5792">
        <v>-0.15575749999999999</v>
      </c>
      <c r="AA5792">
        <v>0.82181170000000003</v>
      </c>
      <c r="AB5792">
        <v>28</v>
      </c>
      <c r="AC5792">
        <v>5.4660000000000002</v>
      </c>
      <c r="AD5792">
        <v>-1.1161647699699999</v>
      </c>
      <c r="AE5792">
        <v>3.76019999999999</v>
      </c>
      <c r="AF5792">
        <v>3.72164214547553</v>
      </c>
      <c r="AG5792">
        <v>-1.1161647699699999</v>
      </c>
      <c r="AH5792">
        <v>5.2702866150010204</v>
      </c>
      <c r="AI5792">
        <v>99.814955894037695</v>
      </c>
      <c r="AJ5792">
        <v>54.771960951449898</v>
      </c>
      <c r="AK5792">
        <v>6.54769921857753</v>
      </c>
      <c r="AL5792">
        <v>81.215760134326501</v>
      </c>
      <c r="AM5792">
        <v>67.907177400818497</v>
      </c>
      <c r="AN5792">
        <v>0.99999998533115897</v>
      </c>
    </row>
    <row r="5793" spans="1:40" x14ac:dyDescent="0.25">
      <c r="A5793" t="str">
        <f>"20190303162717699"</f>
        <v>20190303162717699</v>
      </c>
      <c r="B5793" t="str">
        <f>"1551601637690179"</f>
        <v>1551601637690179</v>
      </c>
      <c r="C5793" t="s">
        <v>40</v>
      </c>
      <c r="D5793">
        <v>5.2815200000000004</v>
      </c>
      <c r="E5793">
        <v>0.59252389999999999</v>
      </c>
      <c r="F5793" t="s">
        <v>47</v>
      </c>
      <c r="G5793">
        <v>-178.71119999999999</v>
      </c>
      <c r="H5793" s="1">
        <v>-4.7471099999999997E-6</v>
      </c>
      <c r="I5793">
        <v>130.05240000000001</v>
      </c>
      <c r="J5793">
        <v>-184.27369999999999</v>
      </c>
      <c r="K5793">
        <v>1.1160540000000001</v>
      </c>
      <c r="L5793">
        <v>126.22199999999999</v>
      </c>
      <c r="M5793">
        <v>0.34966269999999999</v>
      </c>
      <c r="N5793">
        <v>-1.4429819999999999E-2</v>
      </c>
      <c r="O5793">
        <v>0.9367645</v>
      </c>
      <c r="P5793">
        <v>0.66834869999999902</v>
      </c>
      <c r="Q5793">
        <v>0.14341509999999999</v>
      </c>
      <c r="R5793">
        <v>0.72989190000000004</v>
      </c>
      <c r="S5793">
        <v>2.597229</v>
      </c>
      <c r="T5793">
        <v>-0.51566670000000003</v>
      </c>
      <c r="U5793">
        <v>1.838654</v>
      </c>
      <c r="V5793">
        <v>0.3728168</v>
      </c>
      <c r="W5793">
        <v>0.1520406</v>
      </c>
      <c r="X5793">
        <v>0.91536399999999996</v>
      </c>
      <c r="Y5793">
        <v>0.55183990000000005</v>
      </c>
      <c r="Z5793">
        <v>-0.15514720000000001</v>
      </c>
      <c r="AA5793">
        <v>0.81939130000000004</v>
      </c>
      <c r="AB5793">
        <v>28</v>
      </c>
      <c r="AC5793">
        <v>5.5625</v>
      </c>
      <c r="AD5793">
        <v>-1.1160587471100001</v>
      </c>
      <c r="AE5793">
        <v>3.8303999999999898</v>
      </c>
      <c r="AF5793">
        <v>3.7688888004249002</v>
      </c>
      <c r="AG5793">
        <v>-1.1160587471100001</v>
      </c>
      <c r="AH5793">
        <v>5.3866615298088503</v>
      </c>
      <c r="AI5793">
        <v>99.634812091535295</v>
      </c>
      <c r="AJ5793">
        <v>55.020647674306502</v>
      </c>
      <c r="AK5793">
        <v>6.6683005596397402</v>
      </c>
      <c r="AL5793">
        <v>81.254798959794499</v>
      </c>
      <c r="AM5793">
        <v>67.839520591211397</v>
      </c>
      <c r="AN5793">
        <v>0.99999998145329905</v>
      </c>
    </row>
    <row r="5794" spans="1:40" x14ac:dyDescent="0.25">
      <c r="A5794" t="str">
        <f>"20190303162717714"</f>
        <v>20190303162717714</v>
      </c>
      <c r="B5794" t="str">
        <f>"1551601637709698"</f>
        <v>1551601637709698</v>
      </c>
      <c r="C5794" t="s">
        <v>40</v>
      </c>
      <c r="D5794">
        <v>5.2674989999999999</v>
      </c>
      <c r="E5794">
        <v>0.5907097</v>
      </c>
      <c r="F5794" t="s">
        <v>47</v>
      </c>
      <c r="G5794">
        <v>-178.64490000000001</v>
      </c>
      <c r="H5794" s="1">
        <v>-4.7435730000000001E-6</v>
      </c>
      <c r="I5794">
        <v>130.16210000000001</v>
      </c>
      <c r="J5794">
        <v>-184.20840000000001</v>
      </c>
      <c r="K5794">
        <v>1.1159269999999999</v>
      </c>
      <c r="L5794">
        <v>126.3839</v>
      </c>
      <c r="M5794">
        <v>0.3537479</v>
      </c>
      <c r="N5794">
        <v>-1.4442709999999999E-2</v>
      </c>
      <c r="O5794">
        <v>0.93522930000000004</v>
      </c>
      <c r="P5794">
        <v>0.67238830000000005</v>
      </c>
      <c r="Q5794">
        <v>0.14291619999999999</v>
      </c>
      <c r="R5794">
        <v>0.72627069999999905</v>
      </c>
      <c r="S5794">
        <v>2.6068120000000001</v>
      </c>
      <c r="T5794">
        <v>-0.51687349999999999</v>
      </c>
      <c r="U5794">
        <v>1.8247530000000001</v>
      </c>
      <c r="V5794">
        <v>0.37390830000000003</v>
      </c>
      <c r="W5794">
        <v>0.15142130000000001</v>
      </c>
      <c r="X5794">
        <v>0.91502139999999998</v>
      </c>
      <c r="Y5794">
        <v>0.55251130000000004</v>
      </c>
      <c r="Z5794">
        <v>-0.15555139999999901</v>
      </c>
      <c r="AA5794">
        <v>0.81886210000000004</v>
      </c>
      <c r="AB5794">
        <v>28</v>
      </c>
      <c r="AC5794">
        <v>5.5635000000000003</v>
      </c>
      <c r="AD5794">
        <v>-1.1159317435730001</v>
      </c>
      <c r="AE5794">
        <v>3.7782000000000102</v>
      </c>
      <c r="AF5794">
        <v>3.7633985900232401</v>
      </c>
      <c r="AG5794">
        <v>-1.1159317435730001</v>
      </c>
      <c r="AH5794">
        <v>5.3546957298100599</v>
      </c>
      <c r="AI5794">
        <v>99.676085612969601</v>
      </c>
      <c r="AJ5794">
        <v>54.899603211825102</v>
      </c>
      <c r="AK5794">
        <v>6.6393703739548204</v>
      </c>
      <c r="AL5794">
        <v>81.290697997161502</v>
      </c>
      <c r="AM5794">
        <v>67.773435572617601</v>
      </c>
      <c r="AN5794">
        <v>0.99999999468026901</v>
      </c>
    </row>
    <row r="5795" spans="1:40" x14ac:dyDescent="0.25">
      <c r="A5795" t="str">
        <f>"20190303162717731"</f>
        <v>20190303162717731</v>
      </c>
      <c r="B5795" t="str">
        <f>"1551601637720436"</f>
        <v>1551601637720436</v>
      </c>
      <c r="C5795" t="s">
        <v>40</v>
      </c>
      <c r="D5795">
        <v>5.2901099999999897</v>
      </c>
      <c r="E5795">
        <v>0.59348239999999997</v>
      </c>
      <c r="F5795" t="s">
        <v>47</v>
      </c>
      <c r="G5795">
        <v>-178.05099999999999</v>
      </c>
      <c r="H5795" s="1">
        <v>-4.5315620000000002E-6</v>
      </c>
      <c r="I5795">
        <v>130.67099999999999</v>
      </c>
      <c r="J5795">
        <v>-184.1258</v>
      </c>
      <c r="K5795">
        <v>1.11575</v>
      </c>
      <c r="L5795">
        <v>126.58580000000001</v>
      </c>
      <c r="M5795">
        <v>0.3590177</v>
      </c>
      <c r="N5795">
        <v>-1.446094E-2</v>
      </c>
      <c r="O5795">
        <v>0.93321869999999996</v>
      </c>
      <c r="P5795">
        <v>0.67839380000000005</v>
      </c>
      <c r="Q5795">
        <v>0.1429211</v>
      </c>
      <c r="R5795">
        <v>0.72066319999999995</v>
      </c>
      <c r="S5795">
        <v>2.6038209999999999</v>
      </c>
      <c r="T5795">
        <v>-0.47190310000000002</v>
      </c>
      <c r="U5795">
        <v>1.812927</v>
      </c>
      <c r="V5795">
        <v>0.37641210000000003</v>
      </c>
      <c r="W5795">
        <v>0.15123599999999901</v>
      </c>
      <c r="X5795">
        <v>0.91402490000000003</v>
      </c>
      <c r="Y5795">
        <v>0.55171099999999995</v>
      </c>
      <c r="Z5795">
        <v>-0.1416299</v>
      </c>
      <c r="AA5795">
        <v>0.82192209999999999</v>
      </c>
      <c r="AB5795">
        <v>28</v>
      </c>
      <c r="AC5795">
        <v>6.0747999999999998</v>
      </c>
      <c r="AD5795">
        <v>-1.1157545315620001</v>
      </c>
      <c r="AE5795">
        <v>4.08519999999998</v>
      </c>
      <c r="AF5795">
        <v>4.1074832547469002</v>
      </c>
      <c r="AG5795">
        <v>-1.1157545315620001</v>
      </c>
      <c r="AH5795">
        <v>5.8578975000045697</v>
      </c>
      <c r="AI5795">
        <v>98.864001103099994</v>
      </c>
      <c r="AJ5795">
        <v>54.962349876042701</v>
      </c>
      <c r="AK5795">
        <v>7.24094537911225</v>
      </c>
      <c r="AL5795">
        <v>81.301438271341596</v>
      </c>
      <c r="AM5795">
        <v>67.617243757057807</v>
      </c>
      <c r="AN5795">
        <v>0.99999995727120905</v>
      </c>
    </row>
    <row r="5796" spans="1:40" x14ac:dyDescent="0.25">
      <c r="A5796" t="str">
        <f>"20190303162717746"</f>
        <v>20190303162717746</v>
      </c>
      <c r="B5796" t="str">
        <f>"1551601637740375"</f>
        <v>1551601637740375</v>
      </c>
      <c r="C5796" t="s">
        <v>40</v>
      </c>
      <c r="D5796">
        <v>4.9846339999999998</v>
      </c>
      <c r="E5796">
        <v>0.601711199999999</v>
      </c>
      <c r="F5796" t="s">
        <v>47</v>
      </c>
      <c r="G5796">
        <v>-177.48859999999999</v>
      </c>
      <c r="H5796" s="1">
        <v>-4.2906839999999998E-6</v>
      </c>
      <c r="I5796">
        <v>131.0472</v>
      </c>
      <c r="J5796">
        <v>-184.05670000000001</v>
      </c>
      <c r="K5796">
        <v>1.1155870000000001</v>
      </c>
      <c r="L5796">
        <v>126.7521</v>
      </c>
      <c r="M5796">
        <v>0.3635137</v>
      </c>
      <c r="N5796">
        <v>-1.447859E-2</v>
      </c>
      <c r="O5796">
        <v>0.93147639999999998</v>
      </c>
      <c r="P5796">
        <v>0.68262919999999905</v>
      </c>
      <c r="Q5796">
        <v>0.14237420000000001</v>
      </c>
      <c r="R5796">
        <v>0.71676149999999905</v>
      </c>
      <c r="S5796">
        <v>2.634369</v>
      </c>
      <c r="T5796">
        <v>-0.44285930000000001</v>
      </c>
      <c r="U5796">
        <v>1.7707820000000001</v>
      </c>
      <c r="V5796">
        <v>0.37740659999999998</v>
      </c>
      <c r="W5796">
        <v>0.1505379</v>
      </c>
      <c r="X5796">
        <v>0.91373000000000004</v>
      </c>
      <c r="Y5796">
        <v>0.56224949999999996</v>
      </c>
      <c r="Z5796">
        <v>-0.13263610000000001</v>
      </c>
      <c r="AA5796">
        <v>0.81626169999999998</v>
      </c>
      <c r="AB5796">
        <v>28</v>
      </c>
      <c r="AC5796">
        <v>6.56810000000001</v>
      </c>
      <c r="AD5796">
        <v>-1.115591290684</v>
      </c>
      <c r="AE5796">
        <v>4.2950999999999997</v>
      </c>
      <c r="AF5796">
        <v>4.4669141049527097</v>
      </c>
      <c r="AG5796">
        <v>-1.115591290684</v>
      </c>
      <c r="AH5796">
        <v>6.2624976883086001</v>
      </c>
      <c r="AI5796">
        <v>98.2518535854839</v>
      </c>
      <c r="AJ5796">
        <v>54.500497745646598</v>
      </c>
      <c r="AK5796">
        <v>7.7728207778737604</v>
      </c>
      <c r="AL5796">
        <v>81.341899697011598</v>
      </c>
      <c r="AM5796">
        <v>67.557440406473702</v>
      </c>
      <c r="AN5796">
        <v>0.99999995697998401</v>
      </c>
    </row>
    <row r="5797" spans="1:40" x14ac:dyDescent="0.25">
      <c r="A5797" t="str">
        <f>"20190303162717757"</f>
        <v>20190303162717757</v>
      </c>
      <c r="B5797" t="str">
        <f>"1551601637750136"</f>
        <v>1551601637750136</v>
      </c>
      <c r="C5797" t="s">
        <v>40</v>
      </c>
      <c r="D5797">
        <v>5.2545500000000001</v>
      </c>
      <c r="E5797">
        <v>0.60196740000000004</v>
      </c>
      <c r="F5797" t="s">
        <v>47</v>
      </c>
      <c r="G5797">
        <v>-176.63929999999999</v>
      </c>
      <c r="H5797" s="1">
        <v>-3.8640069999999997E-6</v>
      </c>
      <c r="I5797">
        <v>131.4496</v>
      </c>
      <c r="J5797">
        <v>-183.99299999999999</v>
      </c>
      <c r="K5797">
        <v>1.115424</v>
      </c>
      <c r="L5797">
        <v>126.9028</v>
      </c>
      <c r="M5797">
        <v>0.36774230000000002</v>
      </c>
      <c r="N5797">
        <v>-1.449861E-2</v>
      </c>
      <c r="O5797">
        <v>0.92981469999999999</v>
      </c>
      <c r="P5797">
        <v>0.68627450000000001</v>
      </c>
      <c r="Q5797">
        <v>0.14244670000000001</v>
      </c>
      <c r="R5797">
        <v>0.71325760000000005</v>
      </c>
      <c r="S5797">
        <v>2.6902309999999998</v>
      </c>
      <c r="T5797">
        <v>-0.40461710000000001</v>
      </c>
      <c r="U5797">
        <v>1.70373499999999</v>
      </c>
      <c r="V5797">
        <v>0.37798009999999999</v>
      </c>
      <c r="W5797">
        <v>0.15046960000000001</v>
      </c>
      <c r="X5797">
        <v>0.91350419999999999</v>
      </c>
      <c r="Y5797">
        <v>0.58200759999999996</v>
      </c>
      <c r="Z5797">
        <v>-0.1205854</v>
      </c>
      <c r="AA5797">
        <v>0.80419300000000005</v>
      </c>
      <c r="AB5797">
        <v>28</v>
      </c>
      <c r="AC5797">
        <v>7.3536999999999999</v>
      </c>
      <c r="AD5797">
        <v>-1.1154278640069999</v>
      </c>
      <c r="AE5797">
        <v>4.5468000000000002</v>
      </c>
      <c r="AF5797">
        <v>5.0814919550367899</v>
      </c>
      <c r="AG5797">
        <v>-1.1154278640069999</v>
      </c>
      <c r="AH5797">
        <v>6.8191751930330398</v>
      </c>
      <c r="AI5797">
        <v>97.472307449075402</v>
      </c>
      <c r="AJ5797">
        <v>53.307371209230098</v>
      </c>
      <c r="AK5797">
        <v>8.5771143237212399</v>
      </c>
      <c r="AL5797">
        <v>81.345858374895599</v>
      </c>
      <c r="AM5797">
        <v>67.521724356815596</v>
      </c>
      <c r="AN5797">
        <v>0.99999998996890405</v>
      </c>
    </row>
    <row r="5798" spans="1:40" x14ac:dyDescent="0.25">
      <c r="A5798" t="str">
        <f>"20190303162717771"</f>
        <v>20190303162717771</v>
      </c>
      <c r="B5798" t="str">
        <f>"1551601637759895"</f>
        <v>1551601637759895</v>
      </c>
      <c r="C5798" t="s">
        <v>40</v>
      </c>
      <c r="D5798">
        <v>5.2479690000000003</v>
      </c>
      <c r="E5798">
        <v>0.60213850000000002</v>
      </c>
      <c r="F5798" t="s">
        <v>47</v>
      </c>
      <c r="G5798">
        <v>-176.33369999999999</v>
      </c>
      <c r="H5798" s="1">
        <v>-3.7454799999999998E-6</v>
      </c>
      <c r="I5798">
        <v>131.6865</v>
      </c>
      <c r="J5798">
        <v>-183.9288</v>
      </c>
      <c r="K5798">
        <v>1.115256</v>
      </c>
      <c r="L5798">
        <v>127.0522</v>
      </c>
      <c r="M5798">
        <v>0.37207000000000001</v>
      </c>
      <c r="N5798">
        <v>-1.4521010000000001E-2</v>
      </c>
      <c r="O5798">
        <v>0.92809109999999995</v>
      </c>
      <c r="P5798">
        <v>0.68989599999999995</v>
      </c>
      <c r="Q5798">
        <v>0.1422331</v>
      </c>
      <c r="R5798">
        <v>0.70979809999999999</v>
      </c>
      <c r="S5798">
        <v>2.700256</v>
      </c>
      <c r="T5798">
        <v>-0.39324330000000002</v>
      </c>
      <c r="U5798">
        <v>1.6864779999999999</v>
      </c>
      <c r="V5798">
        <v>0.3784168</v>
      </c>
      <c r="W5798">
        <v>0.15011650000000001</v>
      </c>
      <c r="X5798">
        <v>0.91338149999999996</v>
      </c>
      <c r="Y5798">
        <v>0.58366109999999904</v>
      </c>
      <c r="Z5798">
        <v>-0.116984</v>
      </c>
      <c r="AA5798">
        <v>0.80352630000000003</v>
      </c>
      <c r="AB5798">
        <v>28</v>
      </c>
      <c r="AC5798">
        <v>7.5951000000000004</v>
      </c>
      <c r="AD5798">
        <v>-1.11525974548</v>
      </c>
      <c r="AE5798">
        <v>4.6342999999999899</v>
      </c>
      <c r="AF5798">
        <v>5.2428460567512198</v>
      </c>
      <c r="AG5798">
        <v>-1.11525974548</v>
      </c>
      <c r="AH5798">
        <v>7.0174540140937003</v>
      </c>
      <c r="AI5798">
        <v>97.2557089964222</v>
      </c>
      <c r="AJ5798">
        <v>53.236035141922997</v>
      </c>
      <c r="AK5798">
        <v>8.8303963622591599</v>
      </c>
      <c r="AL5798">
        <v>81.366322049395393</v>
      </c>
      <c r="AM5798">
        <v>67.4956206007449</v>
      </c>
      <c r="AN5798">
        <v>1.0000000013183601</v>
      </c>
    </row>
    <row r="5799" spans="1:40" x14ac:dyDescent="0.25">
      <c r="A5799" t="str">
        <f>"20190303162717787"</f>
        <v>20190303162717787</v>
      </c>
      <c r="B5799" t="str">
        <f>"1551601637780391"</f>
        <v>1551601637780391</v>
      </c>
      <c r="C5799" t="s">
        <v>40</v>
      </c>
      <c r="D5799">
        <v>5.252491</v>
      </c>
      <c r="E5799">
        <v>0.602242099999999</v>
      </c>
      <c r="F5799" t="s">
        <v>47</v>
      </c>
      <c r="G5799">
        <v>-176.1018</v>
      </c>
      <c r="H5799" s="1">
        <v>-3.6599439999999998E-6</v>
      </c>
      <c r="I5799">
        <v>131.87790000000001</v>
      </c>
      <c r="J5799">
        <v>-183.84829999999999</v>
      </c>
      <c r="K5799">
        <v>1.1150519999999999</v>
      </c>
      <c r="L5799">
        <v>127.2367</v>
      </c>
      <c r="M5799">
        <v>0.37756430000000002</v>
      </c>
      <c r="N5799">
        <v>-1.454983E-2</v>
      </c>
      <c r="O5799">
        <v>0.92586900000000005</v>
      </c>
      <c r="P5799">
        <v>0.69464799999999904</v>
      </c>
      <c r="Q5799">
        <v>0.14209449999999901</v>
      </c>
      <c r="R5799">
        <v>0.70517619999999903</v>
      </c>
      <c r="S5799">
        <v>2.709381</v>
      </c>
      <c r="T5799">
        <v>-0.38605919999999999</v>
      </c>
      <c r="U5799">
        <v>1.6704859999999999</v>
      </c>
      <c r="V5799">
        <v>0.37920359999999997</v>
      </c>
      <c r="W5799">
        <v>0.14979690000000001</v>
      </c>
      <c r="X5799">
        <v>0.91310760000000002</v>
      </c>
      <c r="Y5799">
        <v>0.58375489999999997</v>
      </c>
      <c r="Z5799">
        <v>-0.1146727</v>
      </c>
      <c r="AA5799">
        <v>0.80379129999999999</v>
      </c>
      <c r="AB5799">
        <v>28</v>
      </c>
      <c r="AC5799">
        <v>7.7464999999999904</v>
      </c>
      <c r="AD5799">
        <v>-1.115055659944</v>
      </c>
      <c r="AE5799">
        <v>4.6412000000000102</v>
      </c>
      <c r="AF5799">
        <v>5.3390639771832999</v>
      </c>
      <c r="AG5799">
        <v>-1.115055659944</v>
      </c>
      <c r="AH5799">
        <v>7.1142415996336803</v>
      </c>
      <c r="AI5799">
        <v>97.145321495245895</v>
      </c>
      <c r="AJ5799">
        <v>53.112670310679398</v>
      </c>
      <c r="AK5799">
        <v>8.9644512835526005</v>
      </c>
      <c r="AL5799">
        <v>81.384843068676304</v>
      </c>
      <c r="AM5799">
        <v>67.447422621372993</v>
      </c>
      <c r="AN5799">
        <v>0.99999998534016399</v>
      </c>
    </row>
    <row r="5800" spans="1:40" x14ac:dyDescent="0.25">
      <c r="A5800" t="str">
        <f>"20190303162717809"</f>
        <v>20190303162717809</v>
      </c>
      <c r="B5800" t="str">
        <f>"1551601637799911"</f>
        <v>1551601637799911</v>
      </c>
      <c r="C5800" t="s">
        <v>40</v>
      </c>
      <c r="D5800">
        <v>5.3025659999999997</v>
      </c>
      <c r="E5800">
        <v>0.6033596</v>
      </c>
      <c r="F5800" t="s">
        <v>47</v>
      </c>
      <c r="G5800">
        <v>-175.8236</v>
      </c>
      <c r="H5800" s="1">
        <v>-3.55594E-6</v>
      </c>
      <c r="I5800">
        <v>132.10399999999899</v>
      </c>
      <c r="J5800">
        <v>-183.7355</v>
      </c>
      <c r="K5800">
        <v>1.1147670000000001</v>
      </c>
      <c r="L5800">
        <v>127.4893</v>
      </c>
      <c r="M5800">
        <v>0.38541969999999998</v>
      </c>
      <c r="N5800">
        <v>-1.459091E-2</v>
      </c>
      <c r="O5800">
        <v>0.92262599999999995</v>
      </c>
      <c r="P5800">
        <v>0.7020168</v>
      </c>
      <c r="Q5800">
        <v>0.14202020000000001</v>
      </c>
      <c r="R5800">
        <v>0.69785580000000003</v>
      </c>
      <c r="S5800">
        <v>2.7207949999999999</v>
      </c>
      <c r="T5800">
        <v>-0.37806250000000002</v>
      </c>
      <c r="U5800">
        <v>1.650253</v>
      </c>
      <c r="V5800">
        <v>0.38113560000000002</v>
      </c>
      <c r="W5800">
        <v>0.14945600000000001</v>
      </c>
      <c r="X5800">
        <v>0.91235880000000003</v>
      </c>
      <c r="Y5800">
        <v>0.58301320000000001</v>
      </c>
      <c r="Z5800">
        <v>-0.1120604</v>
      </c>
      <c r="AA5800">
        <v>0.80469760000000001</v>
      </c>
      <c r="AB5800">
        <v>28</v>
      </c>
      <c r="AC5800">
        <v>7.9119000000000002</v>
      </c>
      <c r="AD5800">
        <v>-1.1147705559400001</v>
      </c>
      <c r="AE5800">
        <v>4.6146999999999796</v>
      </c>
      <c r="AF5800">
        <v>5.4411171414050097</v>
      </c>
      <c r="AG5800">
        <v>-1.1147705559400001</v>
      </c>
      <c r="AH5800">
        <v>7.2011519290235801</v>
      </c>
      <c r="AI5800">
        <v>97.041022546728399</v>
      </c>
      <c r="AJ5800">
        <v>52.925676679069703</v>
      </c>
      <c r="AK5800">
        <v>9.0942321415148797</v>
      </c>
      <c r="AL5800">
        <v>81.404597804726095</v>
      </c>
      <c r="AM5800">
        <v>67.327389362552694</v>
      </c>
      <c r="AN5800">
        <v>1.0000000107303999</v>
      </c>
    </row>
    <row r="5801" spans="1:40" x14ac:dyDescent="0.25">
      <c r="A5801" t="str">
        <f>"20190303162717834"</f>
        <v>20190303162717834</v>
      </c>
      <c r="B5801" t="str">
        <f>"1551601637820408"</f>
        <v>1551601637820408</v>
      </c>
      <c r="C5801" t="s">
        <v>40</v>
      </c>
      <c r="D5801">
        <v>5.0198039999999997</v>
      </c>
      <c r="E5801">
        <v>0.60505759999999997</v>
      </c>
      <c r="F5801" t="s">
        <v>47</v>
      </c>
      <c r="G5801">
        <v>-175.4308</v>
      </c>
      <c r="H5801" s="1">
        <v>-3.390031E-6</v>
      </c>
      <c r="I5801">
        <v>132.37289999999999</v>
      </c>
      <c r="J5801">
        <v>-183.61019999999999</v>
      </c>
      <c r="K5801">
        <v>1.114474</v>
      </c>
      <c r="L5801">
        <v>127.7624</v>
      </c>
      <c r="M5801">
        <v>0.39429619999999999</v>
      </c>
      <c r="N5801">
        <v>-1.4636059999999999E-2</v>
      </c>
      <c r="O5801">
        <v>0.91886679999999998</v>
      </c>
      <c r="P5801">
        <v>0.70984139999999996</v>
      </c>
      <c r="Q5801">
        <v>0.14117750000000001</v>
      </c>
      <c r="R5801">
        <v>0.69006840000000003</v>
      </c>
      <c r="S5801">
        <v>2.7439420000000001</v>
      </c>
      <c r="T5801">
        <v>-0.36833009999999999</v>
      </c>
      <c r="U5801">
        <v>1.613556</v>
      </c>
      <c r="V5801">
        <v>0.38265450000000001</v>
      </c>
      <c r="W5801">
        <v>0.148356399999999</v>
      </c>
      <c r="X5801">
        <v>0.9119024</v>
      </c>
      <c r="Y5801">
        <v>0.58648900000000004</v>
      </c>
      <c r="Z5801">
        <v>-0.1089523</v>
      </c>
      <c r="AA5801">
        <v>0.80259590000000003</v>
      </c>
      <c r="AB5801">
        <v>28</v>
      </c>
      <c r="AC5801">
        <v>8.1793999999999798</v>
      </c>
      <c r="AD5801">
        <v>-1.1144773900310001</v>
      </c>
      <c r="AE5801">
        <v>4.6104999999999796</v>
      </c>
      <c r="AF5801">
        <v>5.6193176120418</v>
      </c>
      <c r="AG5801">
        <v>-1.1144773900310001</v>
      </c>
      <c r="AH5801">
        <v>7.3586665121703403</v>
      </c>
      <c r="AI5801">
        <v>96.863591795814102</v>
      </c>
      <c r="AJ5801">
        <v>52.633466941566603</v>
      </c>
      <c r="AK5801">
        <v>9.3257044299736709</v>
      </c>
      <c r="AL5801">
        <v>81.468310789165102</v>
      </c>
      <c r="AM5801">
        <v>67.235996782617605</v>
      </c>
      <c r="AN5801">
        <v>1.0000000374584801</v>
      </c>
    </row>
    <row r="5802" spans="1:40" x14ac:dyDescent="0.25">
      <c r="A5802" t="str">
        <f>"20190303162717856"</f>
        <v>20190303162717856</v>
      </c>
      <c r="B5802" t="str">
        <f>"1551601637850194"</f>
        <v>1551601637850194</v>
      </c>
      <c r="C5802" t="s">
        <v>40</v>
      </c>
      <c r="D5802">
        <v>5.2940740000000002</v>
      </c>
      <c r="E5802">
        <v>0.60603859999999998</v>
      </c>
      <c r="F5802" t="s">
        <v>47</v>
      </c>
      <c r="G5802">
        <v>-175.15039999999999</v>
      </c>
      <c r="H5802" s="1">
        <v>-3.2713540000000001E-6</v>
      </c>
      <c r="I5802">
        <v>132.5642</v>
      </c>
      <c r="J5802">
        <v>-183.4915</v>
      </c>
      <c r="K5802">
        <v>1.1142240000000001</v>
      </c>
      <c r="L5802">
        <v>128.01400000000001</v>
      </c>
      <c r="M5802">
        <v>0.4028024</v>
      </c>
      <c r="N5802">
        <v>-1.467713E-2</v>
      </c>
      <c r="O5802">
        <v>0.91516920000000002</v>
      </c>
      <c r="P5802">
        <v>0.71957669999999996</v>
      </c>
      <c r="Q5802">
        <v>0.13831689999999999</v>
      </c>
      <c r="R5802">
        <v>0.6804983</v>
      </c>
      <c r="S5802">
        <v>2.7702789999999999</v>
      </c>
      <c r="T5802">
        <v>-0.36495070000000002</v>
      </c>
      <c r="U5802">
        <v>1.5724180000000001</v>
      </c>
      <c r="V5802">
        <v>0.38696269999999999</v>
      </c>
      <c r="W5802">
        <v>0.14521979999999901</v>
      </c>
      <c r="X5802">
        <v>0.91058830000000002</v>
      </c>
      <c r="Y5802">
        <v>0.59139439999999999</v>
      </c>
      <c r="Z5802">
        <v>-0.1079097</v>
      </c>
      <c r="AA5802">
        <v>0.79912969999999905</v>
      </c>
      <c r="AB5802">
        <v>28</v>
      </c>
      <c r="AC5802">
        <v>8.3411000000000097</v>
      </c>
      <c r="AD5802">
        <v>-1.11422727135399</v>
      </c>
      <c r="AE5802">
        <v>4.5501999999999896</v>
      </c>
      <c r="AF5802">
        <v>5.7226145189475401</v>
      </c>
      <c r="AG5802">
        <v>-1.11422727135399</v>
      </c>
      <c r="AH5802">
        <v>7.4227517448904399</v>
      </c>
      <c r="AI5802">
        <v>96.779583272697906</v>
      </c>
      <c r="AJ5802">
        <v>52.369360221865001</v>
      </c>
      <c r="AK5802">
        <v>9.4385943238902001</v>
      </c>
      <c r="AL5802">
        <v>81.649992365211602</v>
      </c>
      <c r="AM5802">
        <v>66.976497399673306</v>
      </c>
      <c r="AN5802">
        <v>0.99999998680010904</v>
      </c>
    </row>
    <row r="5803" spans="1:40" x14ac:dyDescent="0.25">
      <c r="A5803" t="str">
        <f>"20190303162717878"</f>
        <v>20190303162717878</v>
      </c>
      <c r="B5803" t="str">
        <f>"1551601637869713"</f>
        <v>1551601637869713</v>
      </c>
      <c r="C5803" t="s">
        <v>40</v>
      </c>
      <c r="D5803">
        <v>5.0332919999999897</v>
      </c>
      <c r="E5803">
        <v>0.60619199999999995</v>
      </c>
      <c r="F5803" t="s">
        <v>47</v>
      </c>
      <c r="G5803">
        <v>-175.01159999999999</v>
      </c>
      <c r="H5803" s="1">
        <v>-3.2072910000000002E-6</v>
      </c>
      <c r="I5803">
        <v>132.64500000000001</v>
      </c>
      <c r="J5803">
        <v>-183.37100000000001</v>
      </c>
      <c r="K5803">
        <v>1.113988</v>
      </c>
      <c r="L5803">
        <v>128.2627</v>
      </c>
      <c r="M5803">
        <v>0.4115086</v>
      </c>
      <c r="N5803">
        <v>-1.4716760000000001E-2</v>
      </c>
      <c r="O5803">
        <v>0.91128710000000002</v>
      </c>
      <c r="P5803">
        <v>0.72934409999999905</v>
      </c>
      <c r="Q5803">
        <v>0.13586280000000001</v>
      </c>
      <c r="R5803">
        <v>0.67052109999999998</v>
      </c>
      <c r="S5803">
        <v>2.7958219999999998</v>
      </c>
      <c r="T5803">
        <v>-0.36735800000000002</v>
      </c>
      <c r="U5803">
        <v>1.5268250000000001</v>
      </c>
      <c r="V5803">
        <v>0.3912851</v>
      </c>
      <c r="W5803">
        <v>0.14250460000000001</v>
      </c>
      <c r="X5803">
        <v>0.90916909999999895</v>
      </c>
      <c r="Y5803">
        <v>0.59673120000000002</v>
      </c>
      <c r="Z5803">
        <v>-0.1088363</v>
      </c>
      <c r="AA5803">
        <v>0.79502609999999996</v>
      </c>
      <c r="AB5803">
        <v>28</v>
      </c>
      <c r="AC5803">
        <v>8.3593999999999902</v>
      </c>
      <c r="AD5803">
        <v>-1.1139912072910001</v>
      </c>
      <c r="AE5803">
        <v>4.3823000000000096</v>
      </c>
      <c r="AF5803">
        <v>5.7351952474596999</v>
      </c>
      <c r="AG5803">
        <v>-1.1139912072910001</v>
      </c>
      <c r="AH5803">
        <v>7.3321633490338698</v>
      </c>
      <c r="AI5803">
        <v>96.824202906307903</v>
      </c>
      <c r="AJ5803">
        <v>51.967593582813102</v>
      </c>
      <c r="AK5803">
        <v>9.3751832149202006</v>
      </c>
      <c r="AL5803">
        <v>81.807197492749907</v>
      </c>
      <c r="AM5803">
        <v>66.714087528516401</v>
      </c>
      <c r="AN5803">
        <v>1.0000000214489799</v>
      </c>
    </row>
    <row r="5804" spans="1:40" x14ac:dyDescent="0.25">
      <c r="A5804" t="str">
        <f>"20190303162717898"</f>
        <v>20190303162717898</v>
      </c>
      <c r="B5804" t="str">
        <f>"1551601637890211"</f>
        <v>1551601637890211</v>
      </c>
      <c r="C5804" t="s">
        <v>40</v>
      </c>
      <c r="D5804">
        <v>5.0294919999999896</v>
      </c>
      <c r="E5804">
        <v>0.60623689999999997</v>
      </c>
      <c r="F5804" t="s">
        <v>47</v>
      </c>
      <c r="G5804">
        <v>-174.9427</v>
      </c>
      <c r="H5804" s="1">
        <v>-3.1873240000000002E-6</v>
      </c>
      <c r="I5804">
        <v>132.70660000000001</v>
      </c>
      <c r="J5804">
        <v>-183.25190000000001</v>
      </c>
      <c r="K5804">
        <v>1.1137779999999999</v>
      </c>
      <c r="L5804">
        <v>128.50219999999999</v>
      </c>
      <c r="M5804">
        <v>0.42015669999999999</v>
      </c>
      <c r="N5804">
        <v>-1.4754979999999999E-2</v>
      </c>
      <c r="O5804">
        <v>0.90733160000000002</v>
      </c>
      <c r="P5804">
        <v>0.73936429999999997</v>
      </c>
      <c r="Q5804">
        <v>0.13394049999999999</v>
      </c>
      <c r="R5804">
        <v>0.65984869999999995</v>
      </c>
      <c r="S5804">
        <v>2.8171080000000002</v>
      </c>
      <c r="T5804">
        <v>-0.3723458</v>
      </c>
      <c r="U5804">
        <v>1.485352</v>
      </c>
      <c r="V5804">
        <v>0.39621050000000002</v>
      </c>
      <c r="W5804">
        <v>0.14031849999999901</v>
      </c>
      <c r="X5804">
        <v>0.90737420000000002</v>
      </c>
      <c r="Y5804">
        <v>0.60056480000000001</v>
      </c>
      <c r="Z5804">
        <v>-0.110581399999999</v>
      </c>
      <c r="AA5804">
        <v>0.7918925</v>
      </c>
      <c r="AB5804">
        <v>28</v>
      </c>
      <c r="AC5804">
        <v>8.3092000000000006</v>
      </c>
      <c r="AD5804">
        <v>-1.113781187324</v>
      </c>
      <c r="AE5804">
        <v>4.2044000000000201</v>
      </c>
      <c r="AF5804">
        <v>5.6918999560858703</v>
      </c>
      <c r="AG5804">
        <v>-1.113781187324</v>
      </c>
      <c r="AH5804">
        <v>7.2036990468972704</v>
      </c>
      <c r="AI5804">
        <v>96.916953557956006</v>
      </c>
      <c r="AJ5804">
        <v>51.686476640681498</v>
      </c>
      <c r="AK5804">
        <v>9.2483249078736396</v>
      </c>
      <c r="AL5804">
        <v>81.933723038693998</v>
      </c>
      <c r="AM5804">
        <v>66.411217648058894</v>
      </c>
      <c r="AN5804">
        <v>0.99999999028907005</v>
      </c>
    </row>
    <row r="5805" spans="1:40" x14ac:dyDescent="0.25">
      <c r="A5805" t="str">
        <f>"20190303162717914"</f>
        <v>20190303162717914</v>
      </c>
      <c r="B5805" t="str">
        <f>"1551601637909729"</f>
        <v>1551601637909729</v>
      </c>
      <c r="C5805" t="s">
        <v>40</v>
      </c>
      <c r="D5805">
        <v>5.2954949999999998</v>
      </c>
      <c r="E5805">
        <v>0.60562740000000004</v>
      </c>
      <c r="F5805" t="s">
        <v>47</v>
      </c>
      <c r="G5805">
        <v>-174.8706</v>
      </c>
      <c r="H5805" s="1">
        <v>-3.1771329999999999E-6</v>
      </c>
      <c r="I5805">
        <v>132.76410000000001</v>
      </c>
      <c r="J5805">
        <v>-183.16480000000001</v>
      </c>
      <c r="K5805">
        <v>1.1136360000000001</v>
      </c>
      <c r="L5805">
        <v>128.67310000000001</v>
      </c>
      <c r="M5805">
        <v>0.42650100000000002</v>
      </c>
      <c r="N5805">
        <v>-1.4783279999999999E-2</v>
      </c>
      <c r="O5805">
        <v>0.90436629999999996</v>
      </c>
      <c r="P5805">
        <v>0.74572709999999998</v>
      </c>
      <c r="Q5805">
        <v>0.13280729999999999</v>
      </c>
      <c r="R5805">
        <v>0.65288089999999999</v>
      </c>
      <c r="S5805">
        <v>2.837952</v>
      </c>
      <c r="T5805">
        <v>-0.37713049999999998</v>
      </c>
      <c r="U5805">
        <v>1.4431</v>
      </c>
      <c r="V5805">
        <v>0.3985841</v>
      </c>
      <c r="W5805">
        <v>0.13902429999999999</v>
      </c>
      <c r="X5805">
        <v>0.90653349999999999</v>
      </c>
      <c r="Y5805">
        <v>0.60648729999999995</v>
      </c>
      <c r="Z5805">
        <v>-0.11236069999999999</v>
      </c>
      <c r="AA5805">
        <v>0.78711379999999997</v>
      </c>
      <c r="AB5805">
        <v>28</v>
      </c>
      <c r="AC5805">
        <v>8.2942000000000107</v>
      </c>
      <c r="AD5805">
        <v>-1.1136391771330001</v>
      </c>
      <c r="AE5805">
        <v>4.0910000000000002</v>
      </c>
      <c r="AF5805">
        <v>5.6745272280295698</v>
      </c>
      <c r="AG5805">
        <v>-1.1136391771330001</v>
      </c>
      <c r="AH5805">
        <v>7.1345858440747802</v>
      </c>
      <c r="AI5805">
        <v>96.964874927670493</v>
      </c>
      <c r="AJ5805">
        <v>51.5028460358591</v>
      </c>
      <c r="AK5805">
        <v>9.1838318062215496</v>
      </c>
      <c r="AL5805">
        <v>82.008609472875904</v>
      </c>
      <c r="AM5805">
        <v>66.265897209954801</v>
      </c>
      <c r="AN5805">
        <v>1.00000001369277</v>
      </c>
    </row>
    <row r="5806" spans="1:40" x14ac:dyDescent="0.25">
      <c r="A5806" t="str">
        <f>"20190303162717929"</f>
        <v>20190303162717929</v>
      </c>
      <c r="B5806" t="str">
        <f>"1551601637920466"</f>
        <v>1551601637920466</v>
      </c>
      <c r="C5806" t="s">
        <v>40</v>
      </c>
      <c r="D5806">
        <v>5.3031069999999998</v>
      </c>
      <c r="E5806">
        <v>0.60538630000000004</v>
      </c>
      <c r="F5806" t="s">
        <v>47</v>
      </c>
      <c r="G5806">
        <v>-174.7894</v>
      </c>
      <c r="H5806" s="1">
        <v>-3.1726010000000002E-6</v>
      </c>
      <c r="I5806">
        <v>132.84700000000001</v>
      </c>
      <c r="J5806">
        <v>-183.07810000000001</v>
      </c>
      <c r="K5806">
        <v>1.1134930000000001</v>
      </c>
      <c r="L5806">
        <v>128.84030000000001</v>
      </c>
      <c r="M5806">
        <v>0.43281940000000002</v>
      </c>
      <c r="N5806">
        <v>-1.481152E-2</v>
      </c>
      <c r="O5806">
        <v>0.90135900000000002</v>
      </c>
      <c r="P5806">
        <v>0.75202199999999997</v>
      </c>
      <c r="Q5806">
        <v>0.13079649999999901</v>
      </c>
      <c r="R5806">
        <v>0.64603049999999995</v>
      </c>
      <c r="S5806">
        <v>2.8478240000000001</v>
      </c>
      <c r="T5806">
        <v>-0.37866270000000002</v>
      </c>
      <c r="U5806">
        <v>1.419235</v>
      </c>
      <c r="V5806">
        <v>0.4008642</v>
      </c>
      <c r="W5806">
        <v>0.13685610000000001</v>
      </c>
      <c r="X5806">
        <v>0.90585780000000005</v>
      </c>
      <c r="Y5806">
        <v>0.60724940000000005</v>
      </c>
      <c r="Z5806">
        <v>-0.1129179</v>
      </c>
      <c r="AA5806">
        <v>0.78644630000000004</v>
      </c>
      <c r="AB5806">
        <v>28</v>
      </c>
      <c r="AC5806">
        <v>8.2887000000000004</v>
      </c>
      <c r="AD5806">
        <v>-1.113496172601</v>
      </c>
      <c r="AE5806">
        <v>4.0066999999999897</v>
      </c>
      <c r="AF5806">
        <v>5.6548232996387799</v>
      </c>
      <c r="AG5806">
        <v>-1.113496172601</v>
      </c>
      <c r="AH5806">
        <v>7.0959699534126504</v>
      </c>
      <c r="AI5806">
        <v>96.996273050847606</v>
      </c>
      <c r="AJ5806">
        <v>51.448437184960397</v>
      </c>
      <c r="AK5806">
        <v>9.1416459052114796</v>
      </c>
      <c r="AL5806">
        <v>82.134037326181996</v>
      </c>
      <c r="AM5806">
        <v>66.129439757898197</v>
      </c>
      <c r="AN5806">
        <v>1.0000000263848401</v>
      </c>
    </row>
    <row r="5807" spans="1:40" x14ac:dyDescent="0.25">
      <c r="A5807" t="str">
        <f>"20190303162717944"</f>
        <v>20190303162717944</v>
      </c>
      <c r="B5807" t="str">
        <f>"1551601637940491"</f>
        <v>1551601637940491</v>
      </c>
      <c r="C5807" t="s">
        <v>40</v>
      </c>
      <c r="D5807">
        <v>5.3044529999999996</v>
      </c>
      <c r="E5807">
        <v>0.60548780000000002</v>
      </c>
      <c r="F5807" t="s">
        <v>47</v>
      </c>
      <c r="G5807">
        <v>-174.75229999999999</v>
      </c>
      <c r="H5807" s="1">
        <v>-3.1741810000000001E-6</v>
      </c>
      <c r="I5807">
        <v>132.89449999999999</v>
      </c>
      <c r="J5807">
        <v>-182.9933</v>
      </c>
      <c r="K5807">
        <v>1.113343</v>
      </c>
      <c r="L5807">
        <v>129.00120000000001</v>
      </c>
      <c r="M5807">
        <v>0.4390018</v>
      </c>
      <c r="N5807">
        <v>-1.48392E-2</v>
      </c>
      <c r="O5807">
        <v>0.89836360000000004</v>
      </c>
      <c r="P5807">
        <v>0.75924099999999894</v>
      </c>
      <c r="Q5807">
        <v>0.12686359999999999</v>
      </c>
      <c r="R5807">
        <v>0.63832509999999998</v>
      </c>
      <c r="S5807">
        <v>2.8595579999999998</v>
      </c>
      <c r="T5807">
        <v>-0.38244159999999999</v>
      </c>
      <c r="U5807">
        <v>1.392441</v>
      </c>
      <c r="V5807">
        <v>0.40445589999999998</v>
      </c>
      <c r="W5807">
        <v>0.13273750000000001</v>
      </c>
      <c r="X5807">
        <v>0.90487359999999994</v>
      </c>
      <c r="Y5807">
        <v>0.60888679999999995</v>
      </c>
      <c r="Z5807">
        <v>-0.114214</v>
      </c>
      <c r="AA5807">
        <v>0.78499180000000002</v>
      </c>
      <c r="AB5807">
        <v>28</v>
      </c>
      <c r="AC5807">
        <v>8.2410000000000103</v>
      </c>
      <c r="AD5807">
        <v>-1.113346174181</v>
      </c>
      <c r="AE5807">
        <v>3.89329999999998</v>
      </c>
      <c r="AF5807">
        <v>5.6111503145282704</v>
      </c>
      <c r="AG5807">
        <v>-1.113346174181</v>
      </c>
      <c r="AH5807">
        <v>7.0115748271231801</v>
      </c>
      <c r="AI5807">
        <v>97.067208342958097</v>
      </c>
      <c r="AJ5807">
        <v>51.330773458541003</v>
      </c>
      <c r="AK5807">
        <v>9.0491286382801395</v>
      </c>
      <c r="AL5807">
        <v>82.3721894414426</v>
      </c>
      <c r="AM5807">
        <v>65.916549361938905</v>
      </c>
      <c r="AN5807">
        <v>1.000000025464</v>
      </c>
    </row>
    <row r="5808" spans="1:40" x14ac:dyDescent="0.25">
      <c r="A5808" t="str">
        <f>"20190303162717958"</f>
        <v>20190303162717958</v>
      </c>
      <c r="B5808" t="str">
        <f>"1551601637950252"</f>
        <v>1551601637950252</v>
      </c>
      <c r="C5808" t="s">
        <v>40</v>
      </c>
      <c r="D5808">
        <v>5.3205650000000002</v>
      </c>
      <c r="E5808">
        <v>0.60532900000000001</v>
      </c>
      <c r="F5808" t="s">
        <v>47</v>
      </c>
      <c r="G5808">
        <v>-174.7338</v>
      </c>
      <c r="H5808" s="1">
        <v>-3.1682750000000002E-6</v>
      </c>
      <c r="I5808">
        <v>132.90049999999999</v>
      </c>
      <c r="J5808">
        <v>-182.90600000000001</v>
      </c>
      <c r="K5808">
        <v>1.113199</v>
      </c>
      <c r="L5808">
        <v>129.16329999999999</v>
      </c>
      <c r="M5808">
        <v>0.4453743</v>
      </c>
      <c r="N5808">
        <v>-1.4868799999999901E-2</v>
      </c>
      <c r="O5808">
        <v>0.89522109999999899</v>
      </c>
      <c r="P5808">
        <v>0.76496909999999996</v>
      </c>
      <c r="Q5808">
        <v>0.12591559999999999</v>
      </c>
      <c r="R5808">
        <v>0.63163879999999994</v>
      </c>
      <c r="S5808">
        <v>2.8749850000000001</v>
      </c>
      <c r="T5808">
        <v>-0.38753870000000001</v>
      </c>
      <c r="U5808">
        <v>1.3572850000000001</v>
      </c>
      <c r="V5808">
        <v>0.40613450000000001</v>
      </c>
      <c r="W5808">
        <v>0.13164139999999999</v>
      </c>
      <c r="X5808">
        <v>0.90428169999999997</v>
      </c>
      <c r="Y5808">
        <v>0.61252879999999998</v>
      </c>
      <c r="Z5808">
        <v>-0.1160175</v>
      </c>
      <c r="AA5808">
        <v>0.78188780000000002</v>
      </c>
      <c r="AB5808">
        <v>27</v>
      </c>
      <c r="AC5808">
        <v>8.1721999999999699</v>
      </c>
      <c r="AD5808">
        <v>-1.113202168275</v>
      </c>
      <c r="AE5808">
        <v>3.7372000000000001</v>
      </c>
      <c r="AF5808">
        <v>5.56667082625499</v>
      </c>
      <c r="AG5808">
        <v>-1.113202168275</v>
      </c>
      <c r="AH5808">
        <v>6.8804913013033602</v>
      </c>
      <c r="AI5808">
        <v>97.169034954985193</v>
      </c>
      <c r="AJ5808">
        <v>51.025362691689097</v>
      </c>
      <c r="AK5808">
        <v>8.9201011038351901</v>
      </c>
      <c r="AL5808">
        <v>82.435547469247396</v>
      </c>
      <c r="AM5808">
        <v>65.814013347601303</v>
      </c>
      <c r="AN5808">
        <v>1.00000004161954</v>
      </c>
    </row>
    <row r="5809" spans="1:40" x14ac:dyDescent="0.25">
      <c r="A5809" t="str">
        <f>"20190303162717972"</f>
        <v>20190303162717972</v>
      </c>
      <c r="B5809" t="str">
        <f>"1551601637960988"</f>
        <v>1551601637960988</v>
      </c>
      <c r="C5809" t="s">
        <v>40</v>
      </c>
      <c r="D5809">
        <v>5.3274499999999998</v>
      </c>
      <c r="E5809">
        <v>0.60507999999999995</v>
      </c>
      <c r="F5809" t="s">
        <v>47</v>
      </c>
      <c r="G5809">
        <v>-174.61590000000001</v>
      </c>
      <c r="H5809" s="1">
        <v>-3.1486729999999999E-6</v>
      </c>
      <c r="I5809">
        <v>132.98670000000001</v>
      </c>
      <c r="J5809">
        <v>-182.82310000000001</v>
      </c>
      <c r="K5809">
        <v>1.1130629999999999</v>
      </c>
      <c r="L5809">
        <v>129.3143</v>
      </c>
      <c r="M5809">
        <v>0.45142389999999999</v>
      </c>
      <c r="N5809">
        <v>-1.489745E-2</v>
      </c>
      <c r="O5809">
        <v>0.89218529999999996</v>
      </c>
      <c r="P5809">
        <v>0.76991399999999999</v>
      </c>
      <c r="Q5809">
        <v>0.1254961</v>
      </c>
      <c r="R5809">
        <v>0.62568619999999997</v>
      </c>
      <c r="S5809">
        <v>2.8863530000000002</v>
      </c>
      <c r="T5809">
        <v>-0.38758239999999999</v>
      </c>
      <c r="U5809">
        <v>1.3311919999999999</v>
      </c>
      <c r="V5809">
        <v>0.40712379999999998</v>
      </c>
      <c r="W5809">
        <v>0.1310954</v>
      </c>
      <c r="X5809">
        <v>0.9039161</v>
      </c>
      <c r="Y5809">
        <v>0.61418839999999997</v>
      </c>
      <c r="Z5809">
        <v>-0.1160754</v>
      </c>
      <c r="AA5809">
        <v>0.78057619999999905</v>
      </c>
      <c r="AB5809">
        <v>27</v>
      </c>
      <c r="AC5809">
        <v>8.2072000000000003</v>
      </c>
      <c r="AD5809">
        <v>-1.113066148673</v>
      </c>
      <c r="AE5809">
        <v>3.6724000000000001</v>
      </c>
      <c r="AF5809">
        <v>5.5796562206184701</v>
      </c>
      <c r="AG5809">
        <v>-1.113066148673</v>
      </c>
      <c r="AH5809">
        <v>6.8767778442673499</v>
      </c>
      <c r="AI5809">
        <v>97.163931198782194</v>
      </c>
      <c r="AJ5809">
        <v>50.944935570844002</v>
      </c>
      <c r="AK5809">
        <v>8.9253321120849307</v>
      </c>
      <c r="AL5809">
        <v>82.467104543583901</v>
      </c>
      <c r="AM5809">
        <v>65.753199250899499</v>
      </c>
      <c r="AN5809">
        <v>1.0000000541334</v>
      </c>
    </row>
    <row r="5810" spans="1:40" x14ac:dyDescent="0.25">
      <c r="A5810" t="str">
        <f>"20190303162717988"</f>
        <v>20190303162717988</v>
      </c>
      <c r="B5810" t="str">
        <f>"1551601637980508"</f>
        <v>1551601637980508</v>
      </c>
      <c r="C5810" t="s">
        <v>40</v>
      </c>
      <c r="D5810">
        <v>5.3346980000000004</v>
      </c>
      <c r="E5810">
        <v>0.60456299999999996</v>
      </c>
      <c r="F5810" t="s">
        <v>47</v>
      </c>
      <c r="G5810">
        <v>-174.4727</v>
      </c>
      <c r="H5810" s="1">
        <v>-3.1239790000000001E-6</v>
      </c>
      <c r="I5810">
        <v>133.089</v>
      </c>
      <c r="J5810">
        <v>-182.72890000000001</v>
      </c>
      <c r="K5810">
        <v>1.112919</v>
      </c>
      <c r="L5810">
        <v>129.48320000000001</v>
      </c>
      <c r="M5810">
        <v>0.45831119999999997</v>
      </c>
      <c r="N5810">
        <v>-1.493035E-2</v>
      </c>
      <c r="O5810">
        <v>0.88866639999999997</v>
      </c>
      <c r="P5810">
        <v>0.77595919999999996</v>
      </c>
      <c r="Q5810">
        <v>0.1268542</v>
      </c>
      <c r="R5810">
        <v>0.617896</v>
      </c>
      <c r="S5810">
        <v>2.8957060000000001</v>
      </c>
      <c r="T5810">
        <v>-0.38598080000000001</v>
      </c>
      <c r="U5810">
        <v>1.308975</v>
      </c>
      <c r="V5810">
        <v>0.40912340000000003</v>
      </c>
      <c r="W5810">
        <v>0.13227900000000001</v>
      </c>
      <c r="X5810">
        <v>0.90284010000000003</v>
      </c>
      <c r="Y5810">
        <v>0.61409040000000004</v>
      </c>
      <c r="Z5810">
        <v>-0.1155086</v>
      </c>
      <c r="AA5810">
        <v>0.78073729999999997</v>
      </c>
      <c r="AB5810">
        <v>27</v>
      </c>
      <c r="AC5810">
        <v>8.2561999999999998</v>
      </c>
      <c r="AD5810">
        <v>-1.1129221239789999</v>
      </c>
      <c r="AE5810">
        <v>3.6057999999999799</v>
      </c>
      <c r="AF5810">
        <v>5.5996129663303904</v>
      </c>
      <c r="AG5810">
        <v>-1.1129221239789999</v>
      </c>
      <c r="AH5810">
        <v>6.88399200245067</v>
      </c>
      <c r="AI5810">
        <v>97.148488479704795</v>
      </c>
      <c r="AJ5810">
        <v>50.874222828035599</v>
      </c>
      <c r="AK5810">
        <v>8.9433554618242805</v>
      </c>
      <c r="AL5810">
        <v>82.398692831541794</v>
      </c>
      <c r="AM5810">
        <v>65.622268835623601</v>
      </c>
      <c r="AN5810">
        <v>0.99999996821828396</v>
      </c>
    </row>
    <row r="5811" spans="1:40" x14ac:dyDescent="0.25">
      <c r="A5811" t="str">
        <f>"20190303162718011"</f>
        <v>20190303162718011</v>
      </c>
      <c r="B5811" t="str">
        <f>"1551601638000028"</f>
        <v>1551601638000028</v>
      </c>
      <c r="C5811" t="s">
        <v>40</v>
      </c>
      <c r="D5811">
        <v>5.3380859999999997</v>
      </c>
      <c r="E5811">
        <v>0.60413079999999997</v>
      </c>
      <c r="F5811" t="s">
        <v>47</v>
      </c>
      <c r="G5811">
        <v>-174.16</v>
      </c>
      <c r="H5811" s="1">
        <v>-3.0511060000000001E-6</v>
      </c>
      <c r="I5811">
        <v>133.26230000000001</v>
      </c>
      <c r="J5811">
        <v>-182.58709999999999</v>
      </c>
      <c r="K5811">
        <v>1.112689</v>
      </c>
      <c r="L5811">
        <v>129.73089999999999</v>
      </c>
      <c r="M5811">
        <v>0.4687172</v>
      </c>
      <c r="N5811">
        <v>-1.4983099999999999E-2</v>
      </c>
      <c r="O5811">
        <v>0.88322119999999904</v>
      </c>
      <c r="P5811">
        <v>0.78379650000000001</v>
      </c>
      <c r="Q5811">
        <v>0.12885969999999999</v>
      </c>
      <c r="R5811">
        <v>0.60750170000000003</v>
      </c>
      <c r="S5811">
        <v>2.9070130000000001</v>
      </c>
      <c r="T5811">
        <v>-0.3775636</v>
      </c>
      <c r="U5811">
        <v>1.2820739999999999</v>
      </c>
      <c r="V5811">
        <v>0.41038219999999997</v>
      </c>
      <c r="W5811">
        <v>0.13405449999999999</v>
      </c>
      <c r="X5811">
        <v>0.90200659999999999</v>
      </c>
      <c r="Y5811">
        <v>0.61235550000000005</v>
      </c>
      <c r="Z5811">
        <v>-0.1126079</v>
      </c>
      <c r="AA5811">
        <v>0.78252169999999999</v>
      </c>
      <c r="AB5811">
        <v>27</v>
      </c>
      <c r="AC5811">
        <v>8.4270999999999905</v>
      </c>
      <c r="AD5811">
        <v>-1.1126920511059999</v>
      </c>
      <c r="AE5811">
        <v>3.5314000000000099</v>
      </c>
      <c r="AF5811">
        <v>5.7038292008722697</v>
      </c>
      <c r="AG5811">
        <v>-1.1126920511059999</v>
      </c>
      <c r="AH5811">
        <v>6.9664178408965602</v>
      </c>
      <c r="AI5811">
        <v>97.0450715614122</v>
      </c>
      <c r="AJ5811">
        <v>50.690730860618501</v>
      </c>
      <c r="AK5811">
        <v>9.0720851344814708</v>
      </c>
      <c r="AL5811">
        <v>82.296050484059506</v>
      </c>
      <c r="AM5811">
        <v>65.536085935036098</v>
      </c>
      <c r="AN5811">
        <v>1.00000003274532</v>
      </c>
    </row>
    <row r="5812" spans="1:40" x14ac:dyDescent="0.25">
      <c r="A5812" t="str">
        <f>"20190303162718025"</f>
        <v>20190303162718025</v>
      </c>
      <c r="B5812" t="str">
        <f>"1551601638020524"</f>
        <v>1551601638020524</v>
      </c>
      <c r="C5812" t="s">
        <v>40</v>
      </c>
      <c r="D5812">
        <v>5.3204060000000002</v>
      </c>
      <c r="E5812">
        <v>0.60371850000000005</v>
      </c>
      <c r="F5812" t="s">
        <v>47</v>
      </c>
      <c r="G5812">
        <v>-173.69130000000001</v>
      </c>
      <c r="H5812" s="1">
        <v>-2.9404869999999999E-6</v>
      </c>
      <c r="I5812">
        <v>133.51849999999999</v>
      </c>
      <c r="J5812">
        <v>-182.49590000000001</v>
      </c>
      <c r="K5812">
        <v>1.1125339999999999</v>
      </c>
      <c r="L5812">
        <v>129.88650000000001</v>
      </c>
      <c r="M5812">
        <v>0.47541820000000001</v>
      </c>
      <c r="N5812">
        <v>-1.501914E-2</v>
      </c>
      <c r="O5812">
        <v>0.87963179999999996</v>
      </c>
      <c r="P5812">
        <v>0.78829729999999998</v>
      </c>
      <c r="Q5812">
        <v>0.13000510000000001</v>
      </c>
      <c r="R5812">
        <v>0.60140340000000003</v>
      </c>
      <c r="S5812">
        <v>2.923019</v>
      </c>
      <c r="T5812">
        <v>-0.36561670000000002</v>
      </c>
      <c r="U5812">
        <v>1.2445679999999999</v>
      </c>
      <c r="V5812">
        <v>0.41043370000000001</v>
      </c>
      <c r="W5812">
        <v>0.13506899999999999</v>
      </c>
      <c r="X5812">
        <v>0.90183170000000001</v>
      </c>
      <c r="Y5812">
        <v>0.6168302</v>
      </c>
      <c r="Z5812">
        <v>-0.10886170000000001</v>
      </c>
      <c r="AA5812">
        <v>0.77953159999999999</v>
      </c>
      <c r="AB5812">
        <v>27</v>
      </c>
      <c r="AC5812">
        <v>8.80459999999999</v>
      </c>
      <c r="AD5812">
        <v>-1.11253694048699</v>
      </c>
      <c r="AE5812">
        <v>3.6319999999999699</v>
      </c>
      <c r="AF5812">
        <v>5.9377472465971399</v>
      </c>
      <c r="AG5812">
        <v>-1.11253694048699</v>
      </c>
      <c r="AH5812">
        <v>7.2821593724130702</v>
      </c>
      <c r="AI5812">
        <v>96.752617506052005</v>
      </c>
      <c r="AJ5812">
        <v>50.806790575361703</v>
      </c>
      <c r="AK5812">
        <v>9.46173482685092</v>
      </c>
      <c r="AL5812">
        <v>82.237389658293793</v>
      </c>
      <c r="AM5812">
        <v>65.529186981127296</v>
      </c>
      <c r="AN5812">
        <v>0.99999993599078796</v>
      </c>
    </row>
    <row r="5813" spans="1:40" x14ac:dyDescent="0.25">
      <c r="A5813" t="str">
        <f>"20190303162718046"</f>
        <v>20190303162718046</v>
      </c>
      <c r="B5813" t="str">
        <f>"1551601638040549"</f>
        <v>1551601638040549</v>
      </c>
      <c r="C5813" t="s">
        <v>40</v>
      </c>
      <c r="D5813">
        <v>5.3129410000000004</v>
      </c>
      <c r="E5813">
        <v>0.6033288</v>
      </c>
      <c r="F5813" t="s">
        <v>47</v>
      </c>
      <c r="G5813">
        <v>-173.38679999999999</v>
      </c>
      <c r="H5813" s="1">
        <v>-2.8702270000000002E-6</v>
      </c>
      <c r="I5813">
        <v>133.6893</v>
      </c>
      <c r="J5813">
        <v>-182.36840000000001</v>
      </c>
      <c r="K5813">
        <v>1.1123080000000001</v>
      </c>
      <c r="L5813">
        <v>130.09880000000001</v>
      </c>
      <c r="M5813">
        <v>0.48482249999999999</v>
      </c>
      <c r="N5813">
        <v>-1.5073609999999999E-2</v>
      </c>
      <c r="O5813">
        <v>0.874482599999999</v>
      </c>
      <c r="P5813">
        <v>0.79473229999999995</v>
      </c>
      <c r="Q5813">
        <v>0.13093479999999999</v>
      </c>
      <c r="R5813">
        <v>0.59266909999999995</v>
      </c>
      <c r="S5813">
        <v>2.931152</v>
      </c>
      <c r="T5813">
        <v>-0.35799350000000002</v>
      </c>
      <c r="U5813">
        <v>1.2236629999999999</v>
      </c>
      <c r="V5813">
        <v>0.41067730000000002</v>
      </c>
      <c r="W5813">
        <v>0.13581209999999999</v>
      </c>
      <c r="X5813">
        <v>0.9016092</v>
      </c>
      <c r="Y5813">
        <v>0.61421239999999999</v>
      </c>
      <c r="Z5813">
        <v>-0.1061761</v>
      </c>
      <c r="AA5813">
        <v>0.78196540000000003</v>
      </c>
      <c r="AB5813">
        <v>27</v>
      </c>
      <c r="AC5813">
        <v>8.9816000000000091</v>
      </c>
      <c r="AD5813">
        <v>-1.1123108702269999</v>
      </c>
      <c r="AE5813">
        <v>3.5904999999999898</v>
      </c>
      <c r="AF5813">
        <v>6.0343947282011996</v>
      </c>
      <c r="AG5813">
        <v>-1.1123108702269999</v>
      </c>
      <c r="AH5813">
        <v>7.3973420821723996</v>
      </c>
      <c r="AI5813">
        <v>96.6458929901342</v>
      </c>
      <c r="AJ5813">
        <v>50.794094358635299</v>
      </c>
      <c r="AK5813">
        <v>9.6110262245218294</v>
      </c>
      <c r="AL5813">
        <v>82.194417381404804</v>
      </c>
      <c r="AM5813">
        <v>65.511034557066097</v>
      </c>
      <c r="AN5813">
        <v>0.99999996038316896</v>
      </c>
    </row>
    <row r="5814" spans="1:40" x14ac:dyDescent="0.25">
      <c r="A5814" t="str">
        <f>"20190303162718067"</f>
        <v>20190303162718067</v>
      </c>
      <c r="B5814" t="str">
        <f>"1551601638060070"</f>
        <v>1551601638060070</v>
      </c>
      <c r="C5814" t="s">
        <v>40</v>
      </c>
      <c r="D5814">
        <v>5.3210300000000004</v>
      </c>
      <c r="E5814">
        <v>0.6028789</v>
      </c>
      <c r="F5814" t="s">
        <v>47</v>
      </c>
      <c r="G5814">
        <v>-173.01410000000001</v>
      </c>
      <c r="H5814" s="1">
        <v>-2.7803450000000001E-6</v>
      </c>
      <c r="I5814">
        <v>133.8879</v>
      </c>
      <c r="J5814">
        <v>-182.22380000000001</v>
      </c>
      <c r="K5814">
        <v>1.112036</v>
      </c>
      <c r="L5814">
        <v>130.33269999999999</v>
      </c>
      <c r="M5814">
        <v>0.49553580000000003</v>
      </c>
      <c r="N5814">
        <v>-1.51387E-2</v>
      </c>
      <c r="O5814">
        <v>0.86845559999999999</v>
      </c>
      <c r="P5814">
        <v>0.80272779999999999</v>
      </c>
      <c r="Q5814">
        <v>0.13102510000000001</v>
      </c>
      <c r="R5814">
        <v>0.5817736</v>
      </c>
      <c r="S5814">
        <v>2.94339</v>
      </c>
      <c r="T5814">
        <v>-0.34999439999999998</v>
      </c>
      <c r="U5814">
        <v>1.192261</v>
      </c>
      <c r="V5814">
        <v>0.41197210000000001</v>
      </c>
      <c r="W5814">
        <v>0.13565959999999999</v>
      </c>
      <c r="X5814">
        <v>0.90104130000000004</v>
      </c>
      <c r="Y5814">
        <v>0.61313700000000004</v>
      </c>
      <c r="Z5814">
        <v>-0.1034103</v>
      </c>
      <c r="AA5814">
        <v>0.78317899999999996</v>
      </c>
      <c r="AB5814">
        <v>27</v>
      </c>
      <c r="AC5814">
        <v>9.2096999999999891</v>
      </c>
      <c r="AD5814">
        <v>-1.112038780345</v>
      </c>
      <c r="AE5814">
        <v>3.5552000000000099</v>
      </c>
      <c r="AF5814">
        <v>6.1590500412126197</v>
      </c>
      <c r="AG5814">
        <v>-1.112038780345</v>
      </c>
      <c r="AH5814">
        <v>7.55626584292507</v>
      </c>
      <c r="AI5814">
        <v>96.507834900534107</v>
      </c>
      <c r="AJ5814">
        <v>50.816806876741097</v>
      </c>
      <c r="AK5814">
        <v>9.8116095085418404</v>
      </c>
      <c r="AL5814">
        <v>82.203236773472995</v>
      </c>
      <c r="AM5814">
        <v>65.429278198353799</v>
      </c>
      <c r="AN5814">
        <v>0.99999998127812895</v>
      </c>
    </row>
    <row r="5815" spans="1:40" x14ac:dyDescent="0.25">
      <c r="A5815" t="str">
        <f>"20190303162718100"</f>
        <v>20190303162718100</v>
      </c>
      <c r="B5815" t="str">
        <f>"1551601638090326"</f>
        <v>1551601638090326</v>
      </c>
      <c r="C5815" t="s">
        <v>40</v>
      </c>
      <c r="D5815">
        <v>5.3319519999999896</v>
      </c>
      <c r="E5815">
        <v>0.60215629999999998</v>
      </c>
      <c r="F5815" t="s">
        <v>47</v>
      </c>
      <c r="G5815">
        <v>-172.7407</v>
      </c>
      <c r="H5815" s="1">
        <v>-2.7127630000000001E-6</v>
      </c>
      <c r="I5815">
        <v>134.0324</v>
      </c>
      <c r="J5815">
        <v>-182.00720000000001</v>
      </c>
      <c r="K5815">
        <v>1.111631</v>
      </c>
      <c r="L5815">
        <v>130.6704</v>
      </c>
      <c r="M5815">
        <v>0.51164480000000001</v>
      </c>
      <c r="N5815">
        <v>-1.524124E-2</v>
      </c>
      <c r="O5815">
        <v>0.85906179999999999</v>
      </c>
      <c r="P5815">
        <v>0.81419569999999997</v>
      </c>
      <c r="Q5815">
        <v>0.12898699999999999</v>
      </c>
      <c r="R5815">
        <v>0.56608099999999995</v>
      </c>
      <c r="S5815">
        <v>2.9576419999999999</v>
      </c>
      <c r="T5815">
        <v>-0.346827</v>
      </c>
      <c r="U5815">
        <v>1.15387</v>
      </c>
      <c r="V5815">
        <v>0.41302810000000001</v>
      </c>
      <c r="W5815">
        <v>0.1332885</v>
      </c>
      <c r="X5815">
        <v>0.90091169999999998</v>
      </c>
      <c r="Y5815">
        <v>0.60868409999999995</v>
      </c>
      <c r="Z5815">
        <v>-0.1019613</v>
      </c>
      <c r="AA5815">
        <v>0.78683389999999997</v>
      </c>
      <c r="AB5815">
        <v>27</v>
      </c>
      <c r="AC5815">
        <v>9.2665000000000006</v>
      </c>
      <c r="AD5815">
        <v>-1.111633712763</v>
      </c>
      <c r="AE5815">
        <v>3.3619999999999899</v>
      </c>
      <c r="AF5815">
        <v>6.1627002960266397</v>
      </c>
      <c r="AG5815">
        <v>-1.111633712763</v>
      </c>
      <c r="AH5815">
        <v>7.5343937997011103</v>
      </c>
      <c r="AI5815">
        <v>96.515180670713406</v>
      </c>
      <c r="AJ5815">
        <v>50.718810432034097</v>
      </c>
      <c r="AK5815">
        <v>9.7970247717851908</v>
      </c>
      <c r="AL5815">
        <v>82.340335952632103</v>
      </c>
      <c r="AM5815">
        <v>65.370641736169205</v>
      </c>
      <c r="AN5815">
        <v>0.99999996340937403</v>
      </c>
    </row>
    <row r="5816" spans="1:40" x14ac:dyDescent="0.25">
      <c r="A5816" t="str">
        <f>"20190303162718122"</f>
        <v>20190303162718122</v>
      </c>
      <c r="B5816" t="str">
        <f>"1551601638109845"</f>
        <v>1551601638109845</v>
      </c>
      <c r="C5816" t="s">
        <v>40</v>
      </c>
      <c r="D5816">
        <v>5.3596389999999996</v>
      </c>
      <c r="E5816">
        <v>0.60164969999999995</v>
      </c>
      <c r="F5816" t="s">
        <v>47</v>
      </c>
      <c r="G5816">
        <v>-172.5976</v>
      </c>
      <c r="H5816" s="1">
        <v>-2.6825090000000002E-6</v>
      </c>
      <c r="I5816">
        <v>134.1482</v>
      </c>
      <c r="J5816">
        <v>-181.85499999999999</v>
      </c>
      <c r="K5816">
        <v>1.111351</v>
      </c>
      <c r="L5816">
        <v>130.8989</v>
      </c>
      <c r="M5816">
        <v>0.52301409999999904</v>
      </c>
      <c r="N5816">
        <v>-1.5317539999999999E-2</v>
      </c>
      <c r="O5816">
        <v>0.85218640000000001</v>
      </c>
      <c r="P5816">
        <v>0.82121469999999896</v>
      </c>
      <c r="Q5816">
        <v>0.1286397</v>
      </c>
      <c r="R5816">
        <v>0.55593009999999998</v>
      </c>
      <c r="S5816">
        <v>2.9756469999999999</v>
      </c>
      <c r="T5816">
        <v>-0.3515375</v>
      </c>
      <c r="U5816">
        <v>1.0998079999999999</v>
      </c>
      <c r="V5816">
        <v>0.41237089999999998</v>
      </c>
      <c r="W5816">
        <v>0.132748799999999</v>
      </c>
      <c r="X5816">
        <v>0.90129239999999999</v>
      </c>
      <c r="Y5816">
        <v>0.61210500000000001</v>
      </c>
      <c r="Z5816">
        <v>-0.1035055</v>
      </c>
      <c r="AA5816">
        <v>0.78397329999999998</v>
      </c>
      <c r="AB5816">
        <v>27</v>
      </c>
      <c r="AC5816">
        <v>9.2573999999999899</v>
      </c>
      <c r="AD5816">
        <v>-1.111353682509</v>
      </c>
      <c r="AE5816">
        <v>3.2492999999999999</v>
      </c>
      <c r="AF5816">
        <v>6.1119031809713604</v>
      </c>
      <c r="AG5816">
        <v>-1.111353682509</v>
      </c>
      <c r="AH5816">
        <v>7.5152228342389797</v>
      </c>
      <c r="AI5816">
        <v>96.544858303315607</v>
      </c>
      <c r="AJ5816">
        <v>50.879586276252397</v>
      </c>
      <c r="AK5816">
        <v>9.75033546856009</v>
      </c>
      <c r="AL5816">
        <v>82.371535997573403</v>
      </c>
      <c r="AM5816">
        <v>65.414347894764106</v>
      </c>
      <c r="AN5816">
        <v>0.99999999668300499</v>
      </c>
    </row>
    <row r="5817" spans="1:40" x14ac:dyDescent="0.25">
      <c r="A5817" t="str">
        <f>"20190303162718145"</f>
        <v>20190303162718145</v>
      </c>
      <c r="B5817" t="str">
        <f>"1551601638139631"</f>
        <v>1551601638139631</v>
      </c>
      <c r="C5817" t="s">
        <v>40</v>
      </c>
      <c r="D5817">
        <v>5.3319570000000001</v>
      </c>
      <c r="E5817">
        <v>0.60086790000000001</v>
      </c>
      <c r="F5817" t="s">
        <v>47</v>
      </c>
      <c r="G5817">
        <v>-172.3792</v>
      </c>
      <c r="H5817" s="1">
        <v>-2.6144849999999999E-6</v>
      </c>
      <c r="I5817">
        <v>134.2758</v>
      </c>
      <c r="J5817">
        <v>-181.69370000000001</v>
      </c>
      <c r="K5817">
        <v>1.111022</v>
      </c>
      <c r="L5817">
        <v>131.13239999999999</v>
      </c>
      <c r="M5817">
        <v>0.53512769999999898</v>
      </c>
      <c r="N5817">
        <v>-1.540529E-2</v>
      </c>
      <c r="O5817">
        <v>0.84463069999999896</v>
      </c>
      <c r="P5817">
        <v>0.82839799999999997</v>
      </c>
      <c r="Q5817">
        <v>0.12744059999999999</v>
      </c>
      <c r="R5817">
        <v>0.54544989999999904</v>
      </c>
      <c r="S5817">
        <v>2.9873050000000001</v>
      </c>
      <c r="T5817">
        <v>-0.3503618</v>
      </c>
      <c r="U5817">
        <v>1.0646059999999999</v>
      </c>
      <c r="V5817">
        <v>0.41118179999999999</v>
      </c>
      <c r="W5817">
        <v>0.13135729999999901</v>
      </c>
      <c r="X5817">
        <v>0.90203920000000004</v>
      </c>
      <c r="Y5817">
        <v>0.61007509999999998</v>
      </c>
      <c r="Z5817">
        <v>-0.1028203</v>
      </c>
      <c r="AA5817">
        <v>0.78564400000000001</v>
      </c>
      <c r="AB5817">
        <v>27</v>
      </c>
      <c r="AC5817">
        <v>9.3145000000000095</v>
      </c>
      <c r="AD5817">
        <v>-1.111024614485</v>
      </c>
      <c r="AE5817">
        <v>3.14340000000001</v>
      </c>
      <c r="AF5817">
        <v>6.1079111256301299</v>
      </c>
      <c r="AG5817">
        <v>-1.111024614485</v>
      </c>
      <c r="AH5817">
        <v>7.5440075946444098</v>
      </c>
      <c r="AI5817">
        <v>96.529681738801997</v>
      </c>
      <c r="AJ5817">
        <v>51.005072498889596</v>
      </c>
      <c r="AK5817">
        <v>9.7700053531531097</v>
      </c>
      <c r="AL5817">
        <v>82.451967212473903</v>
      </c>
      <c r="AM5817">
        <v>65.494801056361993</v>
      </c>
      <c r="AN5817">
        <v>0.99999996562558402</v>
      </c>
    </row>
    <row r="5818" spans="1:40" x14ac:dyDescent="0.25">
      <c r="A5818" t="str">
        <f>"20190303162718166"</f>
        <v>20190303162718166</v>
      </c>
      <c r="B5818" t="str">
        <f>"1551601638160128"</f>
        <v>1551601638160128</v>
      </c>
      <c r="C5818" t="s">
        <v>40</v>
      </c>
      <c r="D5818">
        <v>5.3931909999999998</v>
      </c>
      <c r="E5818">
        <v>0.60047099999999998</v>
      </c>
      <c r="F5818" t="s">
        <v>47</v>
      </c>
      <c r="G5818">
        <v>-172.23869999999999</v>
      </c>
      <c r="H5818" s="1">
        <v>-2.581248E-6</v>
      </c>
      <c r="I5818">
        <v>134.3817</v>
      </c>
      <c r="J5818">
        <v>-181.5378</v>
      </c>
      <c r="K5818">
        <v>1.1107039999999999</v>
      </c>
      <c r="L5818">
        <v>131.351</v>
      </c>
      <c r="M5818">
        <v>0.54687419999999998</v>
      </c>
      <c r="N5818">
        <v>-1.549672E-2</v>
      </c>
      <c r="O5818">
        <v>0.83707140000000002</v>
      </c>
      <c r="P5818">
        <v>0.83539449999999904</v>
      </c>
      <c r="Q5818">
        <v>0.12466339999999999</v>
      </c>
      <c r="R5818">
        <v>0.53532709999999994</v>
      </c>
      <c r="S5818">
        <v>2.9973909999999999</v>
      </c>
      <c r="T5818">
        <v>-0.35221140000000001</v>
      </c>
      <c r="U5818">
        <v>1.03006</v>
      </c>
      <c r="V5818">
        <v>0.40993580000000002</v>
      </c>
      <c r="W5818">
        <v>0.1284061</v>
      </c>
      <c r="X5818">
        <v>0.90303080000000002</v>
      </c>
      <c r="Y5818">
        <v>0.60789869999999901</v>
      </c>
      <c r="Z5818">
        <v>-0.1031041</v>
      </c>
      <c r="AA5818">
        <v>0.78729209999999905</v>
      </c>
      <c r="AB5818">
        <v>27</v>
      </c>
      <c r="AC5818">
        <v>9.2991000000000099</v>
      </c>
      <c r="AD5818">
        <v>-1.1107065812479999</v>
      </c>
      <c r="AE5818">
        <v>3.0306999999999902</v>
      </c>
      <c r="AF5818">
        <v>6.0493188835540996</v>
      </c>
      <c r="AG5818">
        <v>-1.1107065812479999</v>
      </c>
      <c r="AH5818">
        <v>7.5262028178177802</v>
      </c>
      <c r="AI5818">
        <v>96.561769706974701</v>
      </c>
      <c r="AJ5818">
        <v>51.208802672876502</v>
      </c>
      <c r="AK5818">
        <v>9.7196531275287903</v>
      </c>
      <c r="AL5818">
        <v>82.622503785207201</v>
      </c>
      <c r="AM5818">
        <v>65.584065264778999</v>
      </c>
      <c r="AN5818">
        <v>1.0000000561937401</v>
      </c>
    </row>
    <row r="5819" spans="1:40" x14ac:dyDescent="0.25">
      <c r="A5819" t="str">
        <f>"20190303162718188"</f>
        <v>20190303162718188</v>
      </c>
      <c r="B5819" t="str">
        <f>"1551601638179648"</f>
        <v>1551601638179648</v>
      </c>
      <c r="C5819" t="s">
        <v>40</v>
      </c>
      <c r="D5819">
        <v>5.3812559999999996</v>
      </c>
      <c r="E5819">
        <v>0.60002349999999904</v>
      </c>
      <c r="F5819" t="s">
        <v>47</v>
      </c>
      <c r="G5819">
        <v>-172.17179999999999</v>
      </c>
      <c r="H5819" s="1">
        <v>-2.5701179999999998E-6</v>
      </c>
      <c r="I5819">
        <v>134.4427</v>
      </c>
      <c r="J5819">
        <v>-181.3801</v>
      </c>
      <c r="K5819">
        <v>1.110417</v>
      </c>
      <c r="L5819">
        <v>131.5651</v>
      </c>
      <c r="M5819">
        <v>0.55873600000000001</v>
      </c>
      <c r="N5819">
        <v>-1.559197E-2</v>
      </c>
      <c r="O5819">
        <v>0.82919900000000002</v>
      </c>
      <c r="P5819">
        <v>0.84177259999999998</v>
      </c>
      <c r="Q5819">
        <v>0.1226115</v>
      </c>
      <c r="R5819">
        <v>0.52572379999999996</v>
      </c>
      <c r="S5819">
        <v>3.008057</v>
      </c>
      <c r="T5819">
        <v>-0.3567207</v>
      </c>
      <c r="U5819">
        <v>0.99295040000000001</v>
      </c>
      <c r="V5819">
        <v>0.40770390000000001</v>
      </c>
      <c r="W5819">
        <v>0.12623380000000001</v>
      </c>
      <c r="X5819">
        <v>0.90434650000000005</v>
      </c>
      <c r="Y5819">
        <v>0.60606870000000002</v>
      </c>
      <c r="Z5819">
        <v>-0.10421030000000001</v>
      </c>
      <c r="AA5819">
        <v>0.78855620000000004</v>
      </c>
      <c r="AB5819">
        <v>27</v>
      </c>
      <c r="AC5819">
        <v>9.2082999999999995</v>
      </c>
      <c r="AD5819">
        <v>-1.110419570118</v>
      </c>
      <c r="AE5819">
        <v>2.8776000000000002</v>
      </c>
      <c r="AF5819">
        <v>5.9496071256841798</v>
      </c>
      <c r="AG5819">
        <v>-1.110419570118</v>
      </c>
      <c r="AH5819">
        <v>7.4335480338958799</v>
      </c>
      <c r="AI5819">
        <v>96.652046457477098</v>
      </c>
      <c r="AJ5819">
        <v>51.327181682838102</v>
      </c>
      <c r="AK5819">
        <v>9.5858485771438193</v>
      </c>
      <c r="AL5819">
        <v>82.747988375390705</v>
      </c>
      <c r="AM5819">
        <v>65.732858394373807</v>
      </c>
      <c r="AN5819">
        <v>1.0000000171999499</v>
      </c>
    </row>
    <row r="5820" spans="1:40" x14ac:dyDescent="0.25">
      <c r="A5820" t="str">
        <f>"20190303162718211"</f>
        <v>20190303162718211</v>
      </c>
      <c r="B5820" t="str">
        <f>"1551601638200145"</f>
        <v>1551601638200145</v>
      </c>
      <c r="C5820" t="s">
        <v>40</v>
      </c>
      <c r="D5820">
        <v>5.3629569999999998</v>
      </c>
      <c r="E5820">
        <v>0.59948959999999996</v>
      </c>
      <c r="F5820" t="s">
        <v>47</v>
      </c>
      <c r="G5820">
        <v>-172.08170000000001</v>
      </c>
      <c r="H5820" s="1">
        <v>-2.5527959999999998E-6</v>
      </c>
      <c r="I5820">
        <v>134.5196</v>
      </c>
      <c r="J5820">
        <v>-181.21299999999999</v>
      </c>
      <c r="K5820">
        <v>1.1101399999999999</v>
      </c>
      <c r="L5820">
        <v>131.7843</v>
      </c>
      <c r="M5820">
        <v>0.57125280000000001</v>
      </c>
      <c r="N5820">
        <v>-1.568959E-2</v>
      </c>
      <c r="O5820">
        <v>0.82062420000000003</v>
      </c>
      <c r="P5820">
        <v>0.84825680000000003</v>
      </c>
      <c r="Q5820">
        <v>0.1230344</v>
      </c>
      <c r="R5820">
        <v>0.51509529999999903</v>
      </c>
      <c r="S5820">
        <v>3.0175779999999999</v>
      </c>
      <c r="T5820">
        <v>-0.36036119999999999</v>
      </c>
      <c r="U5820">
        <v>0.95881649999999996</v>
      </c>
      <c r="V5820">
        <v>0.40539940000000002</v>
      </c>
      <c r="W5820">
        <v>0.12654550000000001</v>
      </c>
      <c r="X5820">
        <v>0.90533839999999999</v>
      </c>
      <c r="Y5820">
        <v>0.60274830000000001</v>
      </c>
      <c r="Z5820">
        <v>-0.1048996</v>
      </c>
      <c r="AA5820">
        <v>0.79100599999999999</v>
      </c>
      <c r="AB5820">
        <v>27</v>
      </c>
      <c r="AC5820">
        <v>9.13129999999998</v>
      </c>
      <c r="AD5820">
        <v>-1.1101425527959901</v>
      </c>
      <c r="AE5820">
        <v>2.7352999999999899</v>
      </c>
      <c r="AF5820">
        <v>5.8521719555805003</v>
      </c>
      <c r="AG5820">
        <v>-1.1101425527959901</v>
      </c>
      <c r="AH5820">
        <v>7.3619978395824797</v>
      </c>
      <c r="AI5820">
        <v>96.732167798631806</v>
      </c>
      <c r="AJ5820">
        <v>51.5182397501179</v>
      </c>
      <c r="AK5820">
        <v>9.4699179128030799</v>
      </c>
      <c r="AL5820">
        <v>82.729984982943606</v>
      </c>
      <c r="AM5820">
        <v>65.877751835363995</v>
      </c>
      <c r="AN5820">
        <v>1.00000002780258</v>
      </c>
    </row>
    <row r="5821" spans="1:40" x14ac:dyDescent="0.25">
      <c r="A5821" t="str">
        <f>"20190303162718234"</f>
        <v>20190303162718234</v>
      </c>
      <c r="B5821" t="str">
        <f>"1551601638230400"</f>
        <v>1551601638230400</v>
      </c>
      <c r="C5821" t="s">
        <v>40</v>
      </c>
      <c r="D5821">
        <v>5.3812670000000002</v>
      </c>
      <c r="E5821">
        <v>0.59871949999999996</v>
      </c>
      <c r="F5821" t="s">
        <v>47</v>
      </c>
      <c r="G5821">
        <v>-171.78200000000001</v>
      </c>
      <c r="H5821" s="1">
        <v>-2.4431170000000002E-6</v>
      </c>
      <c r="I5821">
        <v>134.65770000000001</v>
      </c>
      <c r="J5821">
        <v>-181.03579999999999</v>
      </c>
      <c r="K5821">
        <v>1.109869</v>
      </c>
      <c r="L5821">
        <v>132.00890000000001</v>
      </c>
      <c r="M5821">
        <v>0.58447530000000003</v>
      </c>
      <c r="N5821">
        <v>-1.578943E-2</v>
      </c>
      <c r="O5821">
        <v>0.81125780000000003</v>
      </c>
      <c r="P5821">
        <v>0.85422350000000002</v>
      </c>
      <c r="Q5821">
        <v>0.12535470000000001</v>
      </c>
      <c r="R5821">
        <v>0.50456749999999995</v>
      </c>
      <c r="S5821">
        <v>3.0281370000000001</v>
      </c>
      <c r="T5821">
        <v>-0.35644749999999997</v>
      </c>
      <c r="U5821">
        <v>0.92259219999999997</v>
      </c>
      <c r="V5821">
        <v>0.40179140000000002</v>
      </c>
      <c r="W5821">
        <v>0.12880230000000001</v>
      </c>
      <c r="X5821">
        <v>0.90662770000000004</v>
      </c>
      <c r="Y5821">
        <v>0.59946829999999995</v>
      </c>
      <c r="Z5821">
        <v>-0.10312449999999999</v>
      </c>
      <c r="AA5821">
        <v>0.79372730000000002</v>
      </c>
      <c r="AB5821">
        <v>27</v>
      </c>
      <c r="AC5821">
        <v>9.2537999999999805</v>
      </c>
      <c r="AD5821">
        <v>-1.109871443117</v>
      </c>
      <c r="AE5821">
        <v>2.6487999999999898</v>
      </c>
      <c r="AF5821">
        <v>5.8816036174671202</v>
      </c>
      <c r="AG5821">
        <v>-1.109871443117</v>
      </c>
      <c r="AH5821">
        <v>7.4592453754847696</v>
      </c>
      <c r="AI5821">
        <v>96.664176836211396</v>
      </c>
      <c r="AJ5821">
        <v>51.744274587205702</v>
      </c>
      <c r="AK5821">
        <v>9.5637553975904197</v>
      </c>
      <c r="AL5821">
        <v>82.599613246945907</v>
      </c>
      <c r="AM5821">
        <v>66.098452058745707</v>
      </c>
      <c r="AN5821">
        <v>1.00000007400326</v>
      </c>
    </row>
    <row r="5822" spans="1:40" x14ac:dyDescent="0.25">
      <c r="A5822" t="str">
        <f>"20190303162718256"</f>
        <v>20190303162718256</v>
      </c>
      <c r="B5822" t="str">
        <f>"1551601638249919"</f>
        <v>1551601638249919</v>
      </c>
      <c r="C5822" t="s">
        <v>40</v>
      </c>
      <c r="D5822">
        <v>5.3863529999999997</v>
      </c>
      <c r="E5822">
        <v>0.59822359999999997</v>
      </c>
      <c r="F5822" t="s">
        <v>47</v>
      </c>
      <c r="G5822">
        <v>-171.29900000000001</v>
      </c>
      <c r="H5822" s="1">
        <v>-2.2561240000000001E-6</v>
      </c>
      <c r="I5822">
        <v>134.85730000000001</v>
      </c>
      <c r="J5822">
        <v>-180.86179999999999</v>
      </c>
      <c r="K5822">
        <v>1.109618</v>
      </c>
      <c r="L5822">
        <v>132.2217</v>
      </c>
      <c r="M5822">
        <v>0.59737680000000004</v>
      </c>
      <c r="N5822">
        <v>-1.5887289999999998E-2</v>
      </c>
      <c r="O5822">
        <v>0.8018033</v>
      </c>
      <c r="P5822">
        <v>0.86039779999999999</v>
      </c>
      <c r="Q5822">
        <v>0.1273146</v>
      </c>
      <c r="R5822">
        <v>0.49346400000000001</v>
      </c>
      <c r="S5822">
        <v>3.0378419999999999</v>
      </c>
      <c r="T5822">
        <v>-0.3462749</v>
      </c>
      <c r="U5822">
        <v>0.88868709999999995</v>
      </c>
      <c r="V5822">
        <v>0.39892909999999998</v>
      </c>
      <c r="W5822">
        <v>0.13069600000000001</v>
      </c>
      <c r="X5822">
        <v>0.90761999999999998</v>
      </c>
      <c r="Y5822">
        <v>0.59595859999999901</v>
      </c>
      <c r="Z5822">
        <v>-9.9360799999999999E-2</v>
      </c>
      <c r="AA5822">
        <v>0.79684429999999995</v>
      </c>
      <c r="AB5822">
        <v>27</v>
      </c>
      <c r="AC5822">
        <v>9.5627999999999798</v>
      </c>
      <c r="AD5822">
        <v>-1.1096202561240001</v>
      </c>
      <c r="AE5822">
        <v>2.6356000000000099</v>
      </c>
      <c r="AF5822">
        <v>6.0184944510614304</v>
      </c>
      <c r="AG5822">
        <v>-1.1096202561240001</v>
      </c>
      <c r="AH5822">
        <v>7.7300843825330698</v>
      </c>
      <c r="AI5822">
        <v>96.462011004381495</v>
      </c>
      <c r="AJ5822">
        <v>52.0963637057773</v>
      </c>
      <c r="AK5822">
        <v>9.8593984163000297</v>
      </c>
      <c r="AL5822">
        <v>82.490186423664696</v>
      </c>
      <c r="AM5822">
        <v>66.272918143745798</v>
      </c>
      <c r="AN5822">
        <v>0.99999996782140399</v>
      </c>
    </row>
    <row r="5823" spans="1:40" x14ac:dyDescent="0.25">
      <c r="A5823" t="str">
        <f>"20190303162718279"</f>
        <v>20190303162718279</v>
      </c>
      <c r="B5823" t="str">
        <f>"1551601638270417"</f>
        <v>1551601638270417</v>
      </c>
      <c r="C5823" t="s">
        <v>40</v>
      </c>
      <c r="D5823">
        <v>5.3830809999999998</v>
      </c>
      <c r="E5823">
        <v>0.59774079999999996</v>
      </c>
      <c r="F5823" t="s">
        <v>47</v>
      </c>
      <c r="G5823">
        <v>-170.90389999999999</v>
      </c>
      <c r="H5823" s="1">
        <v>-2.0975249999999999E-6</v>
      </c>
      <c r="I5823">
        <v>135.0077</v>
      </c>
      <c r="J5823">
        <v>-180.68960000000001</v>
      </c>
      <c r="K5823">
        <v>1.1093900000000001</v>
      </c>
      <c r="L5823">
        <v>132.42509999999999</v>
      </c>
      <c r="M5823">
        <v>0.61004749999999996</v>
      </c>
      <c r="N5823">
        <v>-1.5985280000000001E-2</v>
      </c>
      <c r="O5823">
        <v>0.79220349999999995</v>
      </c>
      <c r="P5823">
        <v>0.86643840000000005</v>
      </c>
      <c r="Q5823">
        <v>0.12957669999999999</v>
      </c>
      <c r="R5823">
        <v>0.48217690000000002</v>
      </c>
      <c r="S5823">
        <v>3.0479430000000001</v>
      </c>
      <c r="T5823">
        <v>-0.33963749999999998</v>
      </c>
      <c r="U5823">
        <v>0.85273739999999998</v>
      </c>
      <c r="V5823">
        <v>0.39623419999999998</v>
      </c>
      <c r="W5823">
        <v>0.13290379999999999</v>
      </c>
      <c r="X5823">
        <v>0.9084795</v>
      </c>
      <c r="Y5823">
        <v>0.59290509999999996</v>
      </c>
      <c r="Z5823">
        <v>-9.6722440000000007E-2</v>
      </c>
      <c r="AA5823">
        <v>0.79944249999999994</v>
      </c>
      <c r="AB5823">
        <v>27</v>
      </c>
      <c r="AC5823">
        <v>9.7857000000000198</v>
      </c>
      <c r="AD5823">
        <v>-1.10939209752499</v>
      </c>
      <c r="AE5823">
        <v>2.58260000000001</v>
      </c>
      <c r="AF5823">
        <v>6.1042014480834403</v>
      </c>
      <c r="AG5823">
        <v>-1.10939209752499</v>
      </c>
      <c r="AH5823">
        <v>7.9215298101643503</v>
      </c>
      <c r="AI5823">
        <v>96.330088571786206</v>
      </c>
      <c r="AJ5823">
        <v>52.382740766157902</v>
      </c>
      <c r="AK5823">
        <v>10.0619411983054</v>
      </c>
      <c r="AL5823">
        <v>82.362575642205897</v>
      </c>
      <c r="AM5823">
        <v>66.435531243628304</v>
      </c>
      <c r="AN5823">
        <v>0.99999998161216397</v>
      </c>
    </row>
    <row r="5824" spans="1:40" x14ac:dyDescent="0.25">
      <c r="A5824" t="str">
        <f>"20190303162718300"</f>
        <v>20190303162718300</v>
      </c>
      <c r="B5824" t="str">
        <f>"1551601638289936"</f>
        <v>1551601638289936</v>
      </c>
      <c r="C5824" t="s">
        <v>40</v>
      </c>
      <c r="D5824">
        <v>5.364185</v>
      </c>
      <c r="E5824">
        <v>0.59728329999999996</v>
      </c>
      <c r="F5824" t="s">
        <v>47</v>
      </c>
      <c r="G5824">
        <v>-170.44059999999999</v>
      </c>
      <c r="H5824" s="1">
        <v>-1.9001889999999999E-6</v>
      </c>
      <c r="I5824">
        <v>135.1585</v>
      </c>
      <c r="J5824">
        <v>-180.511</v>
      </c>
      <c r="K5824">
        <v>1.1091709999999999</v>
      </c>
      <c r="L5824">
        <v>132.62880000000001</v>
      </c>
      <c r="M5824">
        <v>0.62305350000000004</v>
      </c>
      <c r="N5824">
        <v>-1.6086219999999998E-2</v>
      </c>
      <c r="O5824">
        <v>0.78201379999999998</v>
      </c>
      <c r="P5824">
        <v>0.872533</v>
      </c>
      <c r="Q5824">
        <v>0.13258200000000001</v>
      </c>
      <c r="R5824">
        <v>0.47022180000000002</v>
      </c>
      <c r="S5824">
        <v>3.0580750000000001</v>
      </c>
      <c r="T5824">
        <v>-0.33101989999999998</v>
      </c>
      <c r="U5824">
        <v>0.81558229999999998</v>
      </c>
      <c r="V5824">
        <v>0.39351720000000001</v>
      </c>
      <c r="W5824">
        <v>0.1358674</v>
      </c>
      <c r="X5824">
        <v>0.90922179999999997</v>
      </c>
      <c r="Y5824">
        <v>0.58970349999999905</v>
      </c>
      <c r="Z5824">
        <v>-9.3442300000000006E-2</v>
      </c>
      <c r="AA5824">
        <v>0.80219589999999996</v>
      </c>
      <c r="AB5824">
        <v>27</v>
      </c>
      <c r="AC5824">
        <v>10.070399999999999</v>
      </c>
      <c r="AD5824">
        <v>-1.1091729001889901</v>
      </c>
      <c r="AE5824">
        <v>2.5296999999999898</v>
      </c>
      <c r="AF5824">
        <v>6.22879067312586</v>
      </c>
      <c r="AG5824">
        <v>-1.1091729001889901</v>
      </c>
      <c r="AH5824">
        <v>8.1606041710858701</v>
      </c>
      <c r="AI5824">
        <v>96.166433176754296</v>
      </c>
      <c r="AJ5824">
        <v>52.646386547685999</v>
      </c>
      <c r="AK5824">
        <v>10.325868399765501</v>
      </c>
      <c r="AL5824">
        <v>82.191219665561306</v>
      </c>
      <c r="AM5824">
        <v>66.596720309697403</v>
      </c>
      <c r="AN5824">
        <v>1.0000000093369199</v>
      </c>
    </row>
    <row r="5825" spans="1:40" x14ac:dyDescent="0.25">
      <c r="A5825" t="str">
        <f>"20190303162718323"</f>
        <v>20190303162718323</v>
      </c>
      <c r="B5825" t="str">
        <f>"1551601638310432"</f>
        <v>1551601638310432</v>
      </c>
      <c r="C5825" t="s">
        <v>40</v>
      </c>
      <c r="D5825">
        <v>5.2669489999999897</v>
      </c>
      <c r="E5825">
        <v>0.59681909999999905</v>
      </c>
      <c r="F5825" t="s">
        <v>41</v>
      </c>
      <c r="G5825">
        <v>-169.89240000000001</v>
      </c>
      <c r="H5825" s="1">
        <v>-1.1698889999999999E-6</v>
      </c>
      <c r="I5825">
        <v>135.31549999999999</v>
      </c>
      <c r="J5825">
        <v>-180.3244</v>
      </c>
      <c r="K5825">
        <v>1.1089549999999999</v>
      </c>
      <c r="L5825">
        <v>132.8339</v>
      </c>
      <c r="M5825">
        <v>0.63646800000000003</v>
      </c>
      <c r="N5825">
        <v>-1.6188020000000001E-2</v>
      </c>
      <c r="O5825">
        <v>0.77113319999999996</v>
      </c>
      <c r="P5825">
        <v>0.87925399999999998</v>
      </c>
      <c r="Q5825">
        <v>0.13596820000000001</v>
      </c>
      <c r="R5825">
        <v>0.45653589999999999</v>
      </c>
      <c r="S5825">
        <v>3.0685579999999999</v>
      </c>
      <c r="T5825">
        <v>-0.32052609999999998</v>
      </c>
      <c r="U5825">
        <v>0.77639769999999997</v>
      </c>
      <c r="V5825">
        <v>0.3917873</v>
      </c>
      <c r="W5825">
        <v>0.13919200000000001</v>
      </c>
      <c r="X5825">
        <v>0.909466</v>
      </c>
      <c r="Y5825">
        <v>0.58646509999999996</v>
      </c>
      <c r="Z5825">
        <v>-8.9566170000000001E-2</v>
      </c>
      <c r="AA5825">
        <v>0.80500719999999903</v>
      </c>
      <c r="AB5825">
        <v>27</v>
      </c>
      <c r="AC5825">
        <v>10.431999999999899</v>
      </c>
      <c r="AD5825">
        <v>-1.10895616988899</v>
      </c>
      <c r="AE5825">
        <v>2.4815999999999798</v>
      </c>
      <c r="AF5825">
        <v>6.3974282842542198</v>
      </c>
      <c r="AG5825">
        <v>-1.10895616988899</v>
      </c>
      <c r="AH5825">
        <v>8.4638767311470193</v>
      </c>
      <c r="AI5825">
        <v>95.967089313091606</v>
      </c>
      <c r="AJ5825">
        <v>52.916158219398099</v>
      </c>
      <c r="AK5825">
        <v>10.667430888407999</v>
      </c>
      <c r="AL5825">
        <v>81.998906950360194</v>
      </c>
      <c r="AM5825">
        <v>66.694188530673998</v>
      </c>
      <c r="AN5825">
        <v>1.0000000532306399</v>
      </c>
    </row>
    <row r="5826" spans="1:40" x14ac:dyDescent="0.25">
      <c r="A5826" t="str">
        <f>"20190303162718345"</f>
        <v>20190303162718345</v>
      </c>
      <c r="B5826" t="str">
        <f>"1551601638339711"</f>
        <v>1551601638339711</v>
      </c>
      <c r="C5826" t="s">
        <v>40</v>
      </c>
      <c r="D5826">
        <v>4.8673190000000002</v>
      </c>
      <c r="E5826">
        <v>0.59678009999999904</v>
      </c>
      <c r="F5826" t="s">
        <v>41</v>
      </c>
      <c r="G5826">
        <v>-169.3382</v>
      </c>
      <c r="H5826" s="1">
        <v>-1.3469880000000001E-6</v>
      </c>
      <c r="I5826">
        <v>135.44970000000001</v>
      </c>
      <c r="J5826">
        <v>-180.13550000000001</v>
      </c>
      <c r="K5826">
        <v>1.1087469999999999</v>
      </c>
      <c r="L5826">
        <v>133.03360000000001</v>
      </c>
      <c r="M5826">
        <v>0.64982609999999996</v>
      </c>
      <c r="N5826">
        <v>-1.6283969999999998E-2</v>
      </c>
      <c r="O5826">
        <v>0.75990839999999904</v>
      </c>
      <c r="P5826">
        <v>0.88734789999999997</v>
      </c>
      <c r="Q5826">
        <v>0.13684379999999999</v>
      </c>
      <c r="R5826">
        <v>0.44032670000000002</v>
      </c>
      <c r="S5826">
        <v>3.079361</v>
      </c>
      <c r="T5826">
        <v>-0.31083100000000002</v>
      </c>
      <c r="U5826">
        <v>0.73320010000000002</v>
      </c>
      <c r="V5826">
        <v>0.39259650000000001</v>
      </c>
      <c r="W5826">
        <v>0.13994419999999999</v>
      </c>
      <c r="X5826">
        <v>0.90900139999999996</v>
      </c>
      <c r="Y5826">
        <v>0.58404400000000001</v>
      </c>
      <c r="Z5826">
        <v>-8.599685E-2</v>
      </c>
      <c r="AA5826">
        <v>0.80715369999999997</v>
      </c>
      <c r="AB5826">
        <v>27</v>
      </c>
      <c r="AC5826">
        <v>10.7973</v>
      </c>
      <c r="AD5826">
        <v>-1.108748346988</v>
      </c>
      <c r="AE5826">
        <v>2.4161000000000001</v>
      </c>
      <c r="AF5826">
        <v>6.5698207510955999</v>
      </c>
      <c r="AG5826">
        <v>-1.108748346988</v>
      </c>
      <c r="AH5826">
        <v>8.7655336714945893</v>
      </c>
      <c r="AI5826">
        <v>95.779545424237895</v>
      </c>
      <c r="AJ5826">
        <v>53.1482184747505</v>
      </c>
      <c r="AK5826">
        <v>11.010288286170301</v>
      </c>
      <c r="AL5826">
        <v>81.955382385560696</v>
      </c>
      <c r="AM5826">
        <v>66.640548163650706</v>
      </c>
      <c r="AN5826">
        <v>0.99999996806392399</v>
      </c>
    </row>
    <row r="5827" spans="1:40" x14ac:dyDescent="0.25">
      <c r="A5827" t="str">
        <f>"20190303162718368"</f>
        <v>20190303162718368</v>
      </c>
      <c r="B5827" t="str">
        <f>"1551601638360209"</f>
        <v>1551601638360209</v>
      </c>
      <c r="C5827" t="s">
        <v>40</v>
      </c>
      <c r="D5827">
        <v>4.8828129999999996</v>
      </c>
      <c r="E5827">
        <v>0.59633619999999898</v>
      </c>
      <c r="F5827" t="s">
        <v>41</v>
      </c>
      <c r="G5827">
        <v>-168.91370000000001</v>
      </c>
      <c r="H5827" s="1">
        <v>-1.496868E-6</v>
      </c>
      <c r="I5827">
        <v>135.499</v>
      </c>
      <c r="J5827">
        <v>-179.94970000000001</v>
      </c>
      <c r="K5827">
        <v>1.108563</v>
      </c>
      <c r="L5827">
        <v>133.22309999999999</v>
      </c>
      <c r="M5827">
        <v>0.66270609999999996</v>
      </c>
      <c r="N5827">
        <v>-1.6367799999999998E-2</v>
      </c>
      <c r="O5827">
        <v>0.7487007</v>
      </c>
      <c r="P5827">
        <v>0.89611700000000005</v>
      </c>
      <c r="Q5827">
        <v>0.13392490000000001</v>
      </c>
      <c r="R5827">
        <v>0.42312959999999999</v>
      </c>
      <c r="S5827">
        <v>3.0910030000000002</v>
      </c>
      <c r="T5827">
        <v>-0.30540139999999999</v>
      </c>
      <c r="U5827">
        <v>0.67907709999999999</v>
      </c>
      <c r="V5827">
        <v>0.39490589999999998</v>
      </c>
      <c r="W5827">
        <v>0.136879799999999</v>
      </c>
      <c r="X5827">
        <v>0.90846749999999998</v>
      </c>
      <c r="Y5827">
        <v>0.58452669999999995</v>
      </c>
      <c r="Z5827">
        <v>-8.3923699999999907E-2</v>
      </c>
      <c r="AA5827">
        <v>0.80702259999999904</v>
      </c>
      <c r="AB5827">
        <v>27</v>
      </c>
      <c r="AC5827">
        <v>11.036</v>
      </c>
      <c r="AD5827">
        <v>-1.108564496868</v>
      </c>
      <c r="AE5827">
        <v>2.2759</v>
      </c>
      <c r="AF5827">
        <v>6.6905580726371401</v>
      </c>
      <c r="AG5827">
        <v>-1.108564496868</v>
      </c>
      <c r="AH5827">
        <v>8.9323483140432405</v>
      </c>
      <c r="AI5827">
        <v>95.672685602147197</v>
      </c>
      <c r="AJ5827">
        <v>53.165847508160503</v>
      </c>
      <c r="AK5827">
        <v>11.2151383839182</v>
      </c>
      <c r="AL5827">
        <v>82.132666101457403</v>
      </c>
      <c r="AM5827">
        <v>66.505676190360006</v>
      </c>
      <c r="AN5827">
        <v>0.99999997402954899</v>
      </c>
    </row>
    <row r="5828" spans="1:40" x14ac:dyDescent="0.25">
      <c r="A5828" t="str">
        <f>"20190303162718389"</f>
        <v>20190303162718389</v>
      </c>
      <c r="B5828" t="str">
        <f>"1551601638379728"</f>
        <v>1551601638379728</v>
      </c>
      <c r="C5828" t="s">
        <v>40</v>
      </c>
      <c r="D5828">
        <v>4.6948540000000003</v>
      </c>
      <c r="E5828">
        <v>0.59614659999999997</v>
      </c>
      <c r="F5828" t="s">
        <v>41</v>
      </c>
      <c r="G5828">
        <v>-169.07380000000001</v>
      </c>
      <c r="H5828" s="1">
        <v>-1.460523E-6</v>
      </c>
      <c r="I5828">
        <v>135.40459999999999</v>
      </c>
      <c r="J5828">
        <v>-179.75540000000001</v>
      </c>
      <c r="K5828">
        <v>1.1084099999999999</v>
      </c>
      <c r="L5828">
        <v>133.4143</v>
      </c>
      <c r="M5828">
        <v>0.67587649999999999</v>
      </c>
      <c r="N5828">
        <v>-1.644311E-2</v>
      </c>
      <c r="O5828">
        <v>0.73683149999999997</v>
      </c>
      <c r="P5828">
        <v>0.90471780000000002</v>
      </c>
      <c r="Q5828">
        <v>0.1283358</v>
      </c>
      <c r="R5828">
        <v>0.40622140000000001</v>
      </c>
      <c r="S5828">
        <v>3.1012879999999998</v>
      </c>
      <c r="T5828">
        <v>-0.31610929999999998</v>
      </c>
      <c r="U5828">
        <v>0.62203980000000003</v>
      </c>
      <c r="V5828">
        <v>0.39633109999999999</v>
      </c>
      <c r="W5828">
        <v>0.1312065</v>
      </c>
      <c r="X5828">
        <v>0.90868389999999999</v>
      </c>
      <c r="Y5828">
        <v>0.58461850000000004</v>
      </c>
      <c r="Z5828">
        <v>-8.6682099999999998E-2</v>
      </c>
      <c r="AA5828">
        <v>0.8066643</v>
      </c>
      <c r="AB5828">
        <v>26</v>
      </c>
      <c r="AC5828">
        <v>10.6816</v>
      </c>
      <c r="AD5828">
        <v>-1.108411460523</v>
      </c>
      <c r="AE5828">
        <v>1.99029999999999</v>
      </c>
      <c r="AF5828">
        <v>6.45900838457547</v>
      </c>
      <c r="AG5828">
        <v>-1.108411460523</v>
      </c>
      <c r="AH5828">
        <v>8.5976602502857897</v>
      </c>
      <c r="AI5828">
        <v>95.884930424608498</v>
      </c>
      <c r="AJ5828">
        <v>53.084224549406997</v>
      </c>
      <c r="AK5828">
        <v>10.810510027615599</v>
      </c>
      <c r="AL5828">
        <v>82.460682793904297</v>
      </c>
      <c r="AM5828">
        <v>66.435120640870693</v>
      </c>
      <c r="AN5828">
        <v>0.99999995829433397</v>
      </c>
    </row>
    <row r="5829" spans="1:40" x14ac:dyDescent="0.25">
      <c r="A5829" t="str">
        <f>"20190303162718411"</f>
        <v>20190303162718411</v>
      </c>
      <c r="B5829" t="str">
        <f>"1551601638400225"</f>
        <v>1551601638400225</v>
      </c>
      <c r="C5829" t="s">
        <v>40</v>
      </c>
      <c r="D5829">
        <v>4.6109839999999904</v>
      </c>
      <c r="E5829">
        <v>0.59606269999999995</v>
      </c>
      <c r="F5829" t="s">
        <v>41</v>
      </c>
      <c r="G5829">
        <v>-169.3451</v>
      </c>
      <c r="H5829" s="1">
        <v>-1.384821E-6</v>
      </c>
      <c r="I5829">
        <v>135.29750000000001</v>
      </c>
      <c r="J5829">
        <v>-179.5625</v>
      </c>
      <c r="K5829">
        <v>1.1083069999999999</v>
      </c>
      <c r="L5829">
        <v>133.59739999999999</v>
      </c>
      <c r="M5829">
        <v>0.68863240000000003</v>
      </c>
      <c r="N5829">
        <v>-1.6505720000000002E-2</v>
      </c>
      <c r="O5829">
        <v>0.72492279999999998</v>
      </c>
      <c r="P5829">
        <v>0.91269889999999998</v>
      </c>
      <c r="Q5829">
        <v>0.1227699</v>
      </c>
      <c r="R5829">
        <v>0.38975399999999999</v>
      </c>
      <c r="S5829">
        <v>3.110306</v>
      </c>
      <c r="T5829">
        <v>-0.33116220000000002</v>
      </c>
      <c r="U5829">
        <v>0.56265259999999995</v>
      </c>
      <c r="V5829">
        <v>0.3973565</v>
      </c>
      <c r="W5829">
        <v>0.12559380000000001</v>
      </c>
      <c r="X5829">
        <v>0.90902919999999998</v>
      </c>
      <c r="Y5829">
        <v>0.58530709999999997</v>
      </c>
      <c r="Z5829">
        <v>-9.0725280000000005E-2</v>
      </c>
      <c r="AA5829">
        <v>0.80571990000000004</v>
      </c>
      <c r="AB5829">
        <v>26</v>
      </c>
      <c r="AC5829">
        <v>10.2173999999999</v>
      </c>
      <c r="AD5829">
        <v>-1.108308384821</v>
      </c>
      <c r="AE5829">
        <v>1.7001000000000199</v>
      </c>
      <c r="AF5829">
        <v>6.1663313341480901</v>
      </c>
      <c r="AG5829">
        <v>-1.108308384821</v>
      </c>
      <c r="AH5829">
        <v>8.1759905789276903</v>
      </c>
      <c r="AI5829">
        <v>96.176885791049003</v>
      </c>
      <c r="AJ5829">
        <v>52.976404926135402</v>
      </c>
      <c r="AK5829">
        <v>10.3004277360251</v>
      </c>
      <c r="AL5829">
        <v>82.784952014815602</v>
      </c>
      <c r="AM5829">
        <v>66.388811717196802</v>
      </c>
      <c r="AN5829">
        <v>1.0000000385716601</v>
      </c>
    </row>
    <row r="5830" spans="1:40" x14ac:dyDescent="0.25">
      <c r="A5830" t="str">
        <f>"20190303162718434"</f>
        <v>20190303162718434</v>
      </c>
      <c r="B5830" t="str">
        <f>"1551601638419744"</f>
        <v>1551601638419744</v>
      </c>
      <c r="C5830" t="s">
        <v>40</v>
      </c>
      <c r="D5830">
        <v>4.557099</v>
      </c>
      <c r="E5830">
        <v>0.59594859999999905</v>
      </c>
      <c r="F5830" t="s">
        <v>41</v>
      </c>
      <c r="G5830">
        <v>-169.49520000000001</v>
      </c>
      <c r="H5830" s="1">
        <v>-1.3474870000000001E-6</v>
      </c>
      <c r="I5830">
        <v>135.22130000000001</v>
      </c>
      <c r="J5830">
        <v>-179.36089999999999</v>
      </c>
      <c r="K5830">
        <v>1.108222</v>
      </c>
      <c r="L5830">
        <v>133.78190000000001</v>
      </c>
      <c r="M5830">
        <v>0.70160169999999999</v>
      </c>
      <c r="N5830">
        <v>-1.6559460000000002E-2</v>
      </c>
      <c r="O5830">
        <v>0.71237689999999998</v>
      </c>
      <c r="P5830">
        <v>0.92051989999999995</v>
      </c>
      <c r="Q5830">
        <v>0.1165755</v>
      </c>
      <c r="R5830">
        <v>0.37289860000000002</v>
      </c>
      <c r="S5830">
        <v>3.118347</v>
      </c>
      <c r="T5830">
        <v>-0.34329779999999999</v>
      </c>
      <c r="U5830">
        <v>0.50299070000000001</v>
      </c>
      <c r="V5830">
        <v>0.39807300000000001</v>
      </c>
      <c r="W5830">
        <v>0.1193843</v>
      </c>
      <c r="X5830">
        <v>0.90955220000000003</v>
      </c>
      <c r="Y5830">
        <v>0.58564320000000003</v>
      </c>
      <c r="Z5830">
        <v>-9.3773499999999996E-2</v>
      </c>
      <c r="AA5830">
        <v>0.80512640000000002</v>
      </c>
      <c r="AB5830">
        <v>26</v>
      </c>
      <c r="AC5830">
        <v>9.8656999999999702</v>
      </c>
      <c r="AD5830">
        <v>-1.108223347487</v>
      </c>
      <c r="AE5830">
        <v>1.4394</v>
      </c>
      <c r="AF5830">
        <v>5.9455775547343599</v>
      </c>
      <c r="AG5830">
        <v>-1.108223347487</v>
      </c>
      <c r="AH5830">
        <v>7.85127266723193</v>
      </c>
      <c r="AI5830">
        <v>96.420340149512299</v>
      </c>
      <c r="AJ5830">
        <v>52.864240027100401</v>
      </c>
      <c r="AK5830">
        <v>9.9106273233584705</v>
      </c>
      <c r="AL5830">
        <v>83.143429628787501</v>
      </c>
      <c r="AM5830">
        <v>66.363013605232695</v>
      </c>
      <c r="AN5830">
        <v>0.99999996447016404</v>
      </c>
    </row>
    <row r="5831" spans="1:40" x14ac:dyDescent="0.25">
      <c r="A5831" t="str">
        <f>"20190303162718457"</f>
        <v>20190303162718457</v>
      </c>
      <c r="B5831" t="str">
        <f>"1551601638450000"</f>
        <v>1551601638450000</v>
      </c>
      <c r="C5831" t="s">
        <v>40</v>
      </c>
      <c r="D5831">
        <v>4.4812729999999998</v>
      </c>
      <c r="E5831">
        <v>0.59580089999999997</v>
      </c>
      <c r="F5831" t="s">
        <v>41</v>
      </c>
      <c r="G5831">
        <v>-169.62719999999999</v>
      </c>
      <c r="H5831" s="1">
        <v>-1.31402E-6</v>
      </c>
      <c r="I5831">
        <v>135.15639999999999</v>
      </c>
      <c r="J5831">
        <v>-179.15379999999999</v>
      </c>
      <c r="K5831">
        <v>1.1081719999999999</v>
      </c>
      <c r="L5831">
        <v>133.96469999999999</v>
      </c>
      <c r="M5831">
        <v>0.71454240000000002</v>
      </c>
      <c r="N5831">
        <v>-1.6604020000000001E-2</v>
      </c>
      <c r="O5831">
        <v>0.69939499999999999</v>
      </c>
      <c r="P5831">
        <v>0.92756810000000001</v>
      </c>
      <c r="Q5831">
        <v>0.1117736</v>
      </c>
      <c r="R5831">
        <v>0.3565449</v>
      </c>
      <c r="S5831">
        <v>3.1253199999999999</v>
      </c>
      <c r="T5831">
        <v>-0.35583150000000002</v>
      </c>
      <c r="U5831">
        <v>0.44133</v>
      </c>
      <c r="V5831">
        <v>0.39777200000000001</v>
      </c>
      <c r="W5831">
        <v>0.114618899999999</v>
      </c>
      <c r="X5831">
        <v>0.91029660000000001</v>
      </c>
      <c r="Y5831">
        <v>0.58619569999999999</v>
      </c>
      <c r="Z5831">
        <v>-9.6862519999999994E-2</v>
      </c>
      <c r="AA5831">
        <v>0.80435829999999997</v>
      </c>
      <c r="AB5831">
        <v>26</v>
      </c>
      <c r="AC5831">
        <v>9.5266000000000002</v>
      </c>
      <c r="AD5831">
        <v>-1.1081733140200001</v>
      </c>
      <c r="AE5831">
        <v>1.19169999999999</v>
      </c>
      <c r="AF5831">
        <v>5.7357217418822302</v>
      </c>
      <c r="AG5831">
        <v>-1.1081733140200001</v>
      </c>
      <c r="AH5831">
        <v>7.5412122340428001</v>
      </c>
      <c r="AI5831">
        <v>96.671136776804701</v>
      </c>
      <c r="AJ5831">
        <v>52.743979529765198</v>
      </c>
      <c r="AK5831">
        <v>9.53920510069279</v>
      </c>
      <c r="AL5831">
        <v>83.418355575292793</v>
      </c>
      <c r="AM5831">
        <v>66.396131532971395</v>
      </c>
      <c r="AN5831">
        <v>0.99999997809638397</v>
      </c>
    </row>
    <row r="5832" spans="1:40" x14ac:dyDescent="0.25">
      <c r="A5832" t="str">
        <f>"20190303162718479"</f>
        <v>20190303162718479</v>
      </c>
      <c r="B5832" t="str">
        <f>"1551601638470495"</f>
        <v>1551601638470495</v>
      </c>
      <c r="C5832" t="s">
        <v>40</v>
      </c>
      <c r="D5832">
        <v>4.4055869999999997</v>
      </c>
      <c r="E5832">
        <v>0.58948239999999996</v>
      </c>
      <c r="F5832" t="s">
        <v>41</v>
      </c>
      <c r="G5832">
        <v>-169.69560000000001</v>
      </c>
      <c r="H5832" s="1">
        <v>-1.295273E-6</v>
      </c>
      <c r="I5832">
        <v>135.12819999999999</v>
      </c>
      <c r="J5832">
        <v>-178.95050000000001</v>
      </c>
      <c r="K5832">
        <v>1.108158</v>
      </c>
      <c r="L5832">
        <v>134.1377</v>
      </c>
      <c r="M5832">
        <v>0.7268599</v>
      </c>
      <c r="N5832">
        <v>-1.663881E-2</v>
      </c>
      <c r="O5832">
        <v>0.68658419999999998</v>
      </c>
      <c r="P5832">
        <v>0.93291950000000001</v>
      </c>
      <c r="Q5832">
        <v>0.11036650000000001</v>
      </c>
      <c r="R5832">
        <v>0.34275440000000001</v>
      </c>
      <c r="S5832">
        <v>3.1304319999999999</v>
      </c>
      <c r="T5832">
        <v>-0.3667783</v>
      </c>
      <c r="U5832">
        <v>0.38510129999999998</v>
      </c>
      <c r="V5832">
        <v>0.39515610000000001</v>
      </c>
      <c r="W5832">
        <v>0.11334080000000001</v>
      </c>
      <c r="X5832">
        <v>0.91159500000000004</v>
      </c>
      <c r="Y5832">
        <v>0.58583369999999901</v>
      </c>
      <c r="Z5832">
        <v>-9.9363510000000002E-2</v>
      </c>
      <c r="AA5832">
        <v>0.8043169</v>
      </c>
      <c r="AB5832">
        <v>26</v>
      </c>
      <c r="AC5832">
        <v>9.2548999999999904</v>
      </c>
      <c r="AD5832">
        <v>-1.1081592952729999</v>
      </c>
      <c r="AE5832">
        <v>0.99049999999999705</v>
      </c>
      <c r="AF5832">
        <v>5.5563338802345204</v>
      </c>
      <c r="AG5832">
        <v>-1.1081592952729999</v>
      </c>
      <c r="AH5832">
        <v>7.3045625939481598</v>
      </c>
      <c r="AI5832">
        <v>96.884864430100606</v>
      </c>
      <c r="AJ5832">
        <v>52.740978472783198</v>
      </c>
      <c r="AK5832">
        <v>9.2443224684802399</v>
      </c>
      <c r="AL5832">
        <v>83.492065578078794</v>
      </c>
      <c r="AM5832">
        <v>66.564343836571496</v>
      </c>
      <c r="AN5832">
        <v>0.99999996216842402</v>
      </c>
    </row>
    <row r="5833" spans="1:40" x14ac:dyDescent="0.25">
      <c r="A5833" t="str">
        <f>"20190303162718501"</f>
        <v>20190303162718501</v>
      </c>
      <c r="B5833" t="str">
        <f>"1551601638490017"</f>
        <v>1551601638490017</v>
      </c>
      <c r="C5833" t="s">
        <v>40</v>
      </c>
      <c r="D5833">
        <v>4.3743349999999896</v>
      </c>
      <c r="E5833">
        <v>0.58937769999999901</v>
      </c>
      <c r="F5833" t="s">
        <v>41</v>
      </c>
      <c r="G5833">
        <v>-163.84479999999999</v>
      </c>
      <c r="H5833" s="1">
        <v>-3.533703E-6</v>
      </c>
      <c r="I5833">
        <v>135.9879</v>
      </c>
      <c r="J5833">
        <v>-178.7458</v>
      </c>
      <c r="K5833">
        <v>1.1081810000000001</v>
      </c>
      <c r="L5833">
        <v>134.3056</v>
      </c>
      <c r="M5833">
        <v>0.73887519999999995</v>
      </c>
      <c r="N5833">
        <v>-1.6666319999999998E-2</v>
      </c>
      <c r="O5833">
        <v>0.67363629999999997</v>
      </c>
      <c r="P5833">
        <v>0.93734479999999998</v>
      </c>
      <c r="Q5833">
        <v>0.1134115</v>
      </c>
      <c r="R5833">
        <v>0.3294279</v>
      </c>
      <c r="S5833">
        <v>3.1030120000000001</v>
      </c>
      <c r="T5833">
        <v>-0.22763910000000001</v>
      </c>
      <c r="U5833">
        <v>0.38006590000000001</v>
      </c>
      <c r="V5833">
        <v>0.39188109999999998</v>
      </c>
      <c r="W5833">
        <v>0.11653810000000001</v>
      </c>
      <c r="X5833">
        <v>0.91260509999999995</v>
      </c>
      <c r="Y5833">
        <v>0.57632220000000001</v>
      </c>
      <c r="Z5833">
        <v>-5.8725300000000001E-2</v>
      </c>
      <c r="AA5833">
        <v>0.8151098</v>
      </c>
      <c r="AB5833">
        <v>26</v>
      </c>
      <c r="AC5833">
        <v>14.901</v>
      </c>
      <c r="AD5833">
        <v>-1.1081845337030001</v>
      </c>
      <c r="AE5833">
        <v>1.6822999999999899</v>
      </c>
      <c r="AF5833">
        <v>8.7482889501877708</v>
      </c>
      <c r="AG5833">
        <v>-1.1081845337030001</v>
      </c>
      <c r="AH5833">
        <v>12.0789570646243</v>
      </c>
      <c r="AI5833">
        <v>94.249491949884501</v>
      </c>
      <c r="AJ5833">
        <v>54.085740372377003</v>
      </c>
      <c r="AK5833">
        <v>14.955328023341799</v>
      </c>
      <c r="AL5833">
        <v>83.307651722119104</v>
      </c>
      <c r="AM5833">
        <v>66.760865490463004</v>
      </c>
      <c r="AN5833">
        <v>0.99999999691741404</v>
      </c>
    </row>
    <row r="5834" spans="1:40" x14ac:dyDescent="0.25">
      <c r="A5834" t="str">
        <f>"20190303162718525"</f>
        <v>20190303162718525</v>
      </c>
      <c r="B5834" t="str">
        <f>"1551601638520272"</f>
        <v>1551601638520272</v>
      </c>
      <c r="C5834" t="s">
        <v>40</v>
      </c>
      <c r="D5834">
        <v>4.3044849999999997</v>
      </c>
      <c r="E5834">
        <v>0.58801870000000001</v>
      </c>
      <c r="F5834" t="s">
        <v>41</v>
      </c>
      <c r="G5834">
        <v>-162.23099999999999</v>
      </c>
      <c r="H5834" s="1">
        <v>-4.2777989999999997E-6</v>
      </c>
      <c r="I5834">
        <v>136.09370000000001</v>
      </c>
      <c r="J5834">
        <v>-178.52959999999999</v>
      </c>
      <c r="K5834">
        <v>1.1082270000000001</v>
      </c>
      <c r="L5834">
        <v>134.47620000000001</v>
      </c>
      <c r="M5834">
        <v>0.75114440000000005</v>
      </c>
      <c r="N5834">
        <v>-1.6688330000000001E-2</v>
      </c>
      <c r="O5834">
        <v>0.65992700000000004</v>
      </c>
      <c r="P5834">
        <v>0.94157590000000002</v>
      </c>
      <c r="Q5834">
        <v>0.1193839</v>
      </c>
      <c r="R5834">
        <v>0.3149322</v>
      </c>
      <c r="S5834">
        <v>3.107513</v>
      </c>
      <c r="T5834">
        <v>-0.20852180000000001</v>
      </c>
      <c r="U5834">
        <v>0.33645629999999999</v>
      </c>
      <c r="V5834">
        <v>0.38885199999999998</v>
      </c>
      <c r="W5834">
        <v>0.1226517</v>
      </c>
      <c r="X5834">
        <v>0.91309949999999995</v>
      </c>
      <c r="Y5834">
        <v>0.57318599999999997</v>
      </c>
      <c r="Z5834">
        <v>-5.2699500000000003E-2</v>
      </c>
      <c r="AA5834">
        <v>0.81772889999999998</v>
      </c>
      <c r="AB5834">
        <v>26</v>
      </c>
      <c r="AC5834">
        <v>16.298599999999901</v>
      </c>
      <c r="AD5834">
        <v>-1.108231277799</v>
      </c>
      <c r="AE5834">
        <v>1.6174999999999999</v>
      </c>
      <c r="AF5834">
        <v>9.4987506364143197</v>
      </c>
      <c r="AG5834">
        <v>-1.108231277799</v>
      </c>
      <c r="AH5834">
        <v>13.2512194874295</v>
      </c>
      <c r="AI5834">
        <v>93.888577883696399</v>
      </c>
      <c r="AJ5834">
        <v>54.366256097066298</v>
      </c>
      <c r="AK5834">
        <v>16.3416418429087</v>
      </c>
      <c r="AL5834">
        <v>82.9548354959568</v>
      </c>
      <c r="AM5834">
        <v>66.932814457090601</v>
      </c>
      <c r="AN5834">
        <v>1.00000000715857</v>
      </c>
    </row>
    <row r="5835" spans="1:40" x14ac:dyDescent="0.25">
      <c r="A5835" t="str">
        <f>"20190303162718546"</f>
        <v>20190303162718546</v>
      </c>
      <c r="B5835" t="str">
        <f>"1551601638539792"</f>
        <v>1551601638539792</v>
      </c>
      <c r="C5835" t="s">
        <v>40</v>
      </c>
      <c r="D5835">
        <v>4.2679</v>
      </c>
      <c r="E5835">
        <v>0.58732309999999999</v>
      </c>
      <c r="F5835" t="s">
        <v>41</v>
      </c>
      <c r="G5835">
        <v>-159.51159999999999</v>
      </c>
      <c r="H5835" s="1">
        <v>-1.030632E-6</v>
      </c>
      <c r="I5835">
        <v>136.31489999999999</v>
      </c>
      <c r="J5835">
        <v>-178.31360000000001</v>
      </c>
      <c r="K5835">
        <v>1.1082669999999999</v>
      </c>
      <c r="L5835">
        <v>134.64019999999999</v>
      </c>
      <c r="M5835">
        <v>0.76299119999999998</v>
      </c>
      <c r="N5835">
        <v>-1.6704489999999999E-2</v>
      </c>
      <c r="O5835">
        <v>0.64619300000000002</v>
      </c>
      <c r="P5835">
        <v>0.94606199999999996</v>
      </c>
      <c r="Q5835">
        <v>0.123678</v>
      </c>
      <c r="R5835">
        <v>0.29945040000000001</v>
      </c>
      <c r="S5835">
        <v>3.1085820000000002</v>
      </c>
      <c r="T5835">
        <v>-0.18114469999999999</v>
      </c>
      <c r="U5835">
        <v>0.3005524</v>
      </c>
      <c r="V5835">
        <v>0.3870287</v>
      </c>
      <c r="W5835">
        <v>0.12704309999999999</v>
      </c>
      <c r="X5835">
        <v>0.91327369999999997</v>
      </c>
      <c r="Y5835">
        <v>0.56826840000000001</v>
      </c>
      <c r="Z5835">
        <v>-4.442712E-2</v>
      </c>
      <c r="AA5835">
        <v>0.82164309999999996</v>
      </c>
      <c r="AB5835">
        <v>26</v>
      </c>
      <c r="AC5835">
        <v>18.802</v>
      </c>
      <c r="AD5835">
        <v>-1.1082680306320001</v>
      </c>
      <c r="AE5835">
        <v>1.6747000000000001</v>
      </c>
      <c r="AF5835">
        <v>10.836103801924301</v>
      </c>
      <c r="AG5835">
        <v>-1.1082680306320001</v>
      </c>
      <c r="AH5835">
        <v>15.377087044082399</v>
      </c>
      <c r="AI5835">
        <v>93.371632309688707</v>
      </c>
      <c r="AJ5835">
        <v>54.827969188992199</v>
      </c>
      <c r="AK5835">
        <v>18.8442089140162</v>
      </c>
      <c r="AL5835">
        <v>82.701242475895796</v>
      </c>
      <c r="AM5835">
        <v>67.033657057784097</v>
      </c>
      <c r="AN5835">
        <v>1.0000000074964901</v>
      </c>
    </row>
    <row r="5836" spans="1:40" x14ac:dyDescent="0.25">
      <c r="A5836" t="str">
        <f>"20190303162718568"</f>
        <v>20190303162718568</v>
      </c>
      <c r="B5836" t="str">
        <f>"1551601638560288"</f>
        <v>1551601638560288</v>
      </c>
      <c r="C5836" t="s">
        <v>40</v>
      </c>
      <c r="D5836">
        <v>4.284484</v>
      </c>
      <c r="E5836">
        <v>0.58571640000000003</v>
      </c>
      <c r="F5836" t="s">
        <v>41</v>
      </c>
      <c r="G5836">
        <v>-157.3716</v>
      </c>
      <c r="H5836" s="1">
        <v>-1.7447330000000001E-6</v>
      </c>
      <c r="I5836">
        <v>136.3681</v>
      </c>
      <c r="J5836">
        <v>-178.10380000000001</v>
      </c>
      <c r="K5836">
        <v>1.108303</v>
      </c>
      <c r="L5836">
        <v>134.7937</v>
      </c>
      <c r="M5836">
        <v>0.77411099999999999</v>
      </c>
      <c r="N5836">
        <v>-1.671566E-2</v>
      </c>
      <c r="O5836">
        <v>0.63282919999999998</v>
      </c>
      <c r="P5836">
        <v>0.95009270000000001</v>
      </c>
      <c r="Q5836">
        <v>0.12570010000000001</v>
      </c>
      <c r="R5836">
        <v>0.28552329999999998</v>
      </c>
      <c r="S5836">
        <v>3.111313</v>
      </c>
      <c r="T5836">
        <v>-0.16465379999999999</v>
      </c>
      <c r="U5836">
        <v>0.25671389999999999</v>
      </c>
      <c r="V5836">
        <v>0.38444420000000001</v>
      </c>
      <c r="W5836">
        <v>0.129192</v>
      </c>
      <c r="X5836">
        <v>0.91406350000000003</v>
      </c>
      <c r="Y5836">
        <v>0.56582069999999995</v>
      </c>
      <c r="Z5836">
        <v>-3.9453210000000002E-2</v>
      </c>
      <c r="AA5836">
        <v>0.82358390000000004</v>
      </c>
      <c r="AB5836">
        <v>26</v>
      </c>
      <c r="AC5836">
        <v>20.732199999999999</v>
      </c>
      <c r="AD5836">
        <v>-1.1083047447329999</v>
      </c>
      <c r="AE5836">
        <v>1.57439999999999</v>
      </c>
      <c r="AF5836">
        <v>11.8691191541797</v>
      </c>
      <c r="AG5836">
        <v>-1.1083047447329999</v>
      </c>
      <c r="AH5836">
        <v>16.999429841096401</v>
      </c>
      <c r="AI5836">
        <v>93.059897372849406</v>
      </c>
      <c r="AJ5836">
        <v>55.076989078632103</v>
      </c>
      <c r="AK5836">
        <v>20.762585191292398</v>
      </c>
      <c r="AL5836">
        <v>82.577096398221101</v>
      </c>
      <c r="AM5836">
        <v>67.188958902801602</v>
      </c>
      <c r="AN5836">
        <v>0.99999999890494495</v>
      </c>
    </row>
    <row r="5837" spans="1:40" x14ac:dyDescent="0.25">
      <c r="A5837" t="str">
        <f>"20190303162718590"</f>
        <v>20190303162718590</v>
      </c>
      <c r="B5837" t="str">
        <f>"1551601638579808"</f>
        <v>1551601638579808</v>
      </c>
      <c r="C5837" t="s">
        <v>40</v>
      </c>
      <c r="D5837">
        <v>4.3845859999999997</v>
      </c>
      <c r="E5837">
        <v>0.58371470000000003</v>
      </c>
      <c r="F5837" t="s">
        <v>41</v>
      </c>
      <c r="G5837">
        <v>-156.99019999999999</v>
      </c>
      <c r="H5837" s="1">
        <v>-1.889504E-6</v>
      </c>
      <c r="I5837">
        <v>136.31190000000001</v>
      </c>
      <c r="J5837">
        <v>-177.88990000000001</v>
      </c>
      <c r="K5837">
        <v>1.108331</v>
      </c>
      <c r="L5837">
        <v>134.94460000000001</v>
      </c>
      <c r="M5837">
        <v>0.78507510000000003</v>
      </c>
      <c r="N5837">
        <v>-1.6723129999999999E-2</v>
      </c>
      <c r="O5837">
        <v>0.61917469999999997</v>
      </c>
      <c r="P5837">
        <v>0.95421440000000002</v>
      </c>
      <c r="Q5837">
        <v>0.12583749999999999</v>
      </c>
      <c r="R5837">
        <v>0.27136670000000002</v>
      </c>
      <c r="S5837">
        <v>3.1119539999999999</v>
      </c>
      <c r="T5837">
        <v>-0.16335329999999901</v>
      </c>
      <c r="U5837">
        <v>0.2237701</v>
      </c>
      <c r="V5837">
        <v>0.3820037</v>
      </c>
      <c r="W5837">
        <v>0.1294554</v>
      </c>
      <c r="X5837">
        <v>0.91504890000000005</v>
      </c>
      <c r="Y5837">
        <v>0.56008959999999997</v>
      </c>
      <c r="Z5837">
        <v>-3.8658049999999999E-2</v>
      </c>
      <c r="AA5837">
        <v>0.82752950000000003</v>
      </c>
      <c r="AB5837">
        <v>26</v>
      </c>
      <c r="AC5837">
        <v>20.899699999999999</v>
      </c>
      <c r="AD5837">
        <v>-1.1083328895040001</v>
      </c>
      <c r="AE5837">
        <v>1.3673</v>
      </c>
      <c r="AF5837">
        <v>11.8356492834886</v>
      </c>
      <c r="AG5837">
        <v>-1.1083328895040001</v>
      </c>
      <c r="AH5837">
        <v>17.2086563431548</v>
      </c>
      <c r="AI5837">
        <v>93.037614668508098</v>
      </c>
      <c r="AJ5837">
        <v>55.480856723133599</v>
      </c>
      <c r="AK5837">
        <v>20.915277882268299</v>
      </c>
      <c r="AL5837">
        <v>82.561876953902299</v>
      </c>
      <c r="AM5837">
        <v>67.341021523922606</v>
      </c>
      <c r="AN5837">
        <v>1.00000000839703</v>
      </c>
    </row>
    <row r="5838" spans="1:40" x14ac:dyDescent="0.25">
      <c r="A5838" t="str">
        <f>"20190303162718614"</f>
        <v>20190303162718614</v>
      </c>
      <c r="B5838" t="str">
        <f>"1551601638600304"</f>
        <v>1551601638600304</v>
      </c>
      <c r="C5838" t="s">
        <v>40</v>
      </c>
      <c r="D5838">
        <v>4.2168039999999998</v>
      </c>
      <c r="E5838">
        <v>0.58229059999999999</v>
      </c>
      <c r="F5838" t="s">
        <v>41</v>
      </c>
      <c r="G5838">
        <v>-157.82579999999999</v>
      </c>
      <c r="H5838" s="1">
        <v>-1.6387380000000001E-6</v>
      </c>
      <c r="I5838">
        <v>136.18549999999999</v>
      </c>
      <c r="J5838">
        <v>-177.6516</v>
      </c>
      <c r="K5838">
        <v>1.108365</v>
      </c>
      <c r="L5838">
        <v>135.1062</v>
      </c>
      <c r="M5838">
        <v>0.79684909999999998</v>
      </c>
      <c r="N5838">
        <v>-1.672736E-2</v>
      </c>
      <c r="O5838">
        <v>0.60394689999999995</v>
      </c>
      <c r="P5838">
        <v>0.95821239999999996</v>
      </c>
      <c r="Q5838">
        <v>0.1265974</v>
      </c>
      <c r="R5838">
        <v>0.25651929999999901</v>
      </c>
      <c r="S5838">
        <v>3.1118769999999998</v>
      </c>
      <c r="T5838">
        <v>-0.1718992</v>
      </c>
      <c r="U5838">
        <v>0.19247439999999999</v>
      </c>
      <c r="V5838">
        <v>0.37853700000000001</v>
      </c>
      <c r="W5838">
        <v>0.13038250000000001</v>
      </c>
      <c r="X5838">
        <v>0.91635699999999998</v>
      </c>
      <c r="Y5838">
        <v>0.55228489999999997</v>
      </c>
      <c r="Z5838">
        <v>-4.0421489999999997E-2</v>
      </c>
      <c r="AA5838">
        <v>0.8326749</v>
      </c>
      <c r="AB5838">
        <v>26</v>
      </c>
      <c r="AC5838">
        <v>19.825800000000001</v>
      </c>
      <c r="AD5838">
        <v>-1.108366638738</v>
      </c>
      <c r="AE5838">
        <v>1.0792999999999799</v>
      </c>
      <c r="AF5838">
        <v>11.0807162095604</v>
      </c>
      <c r="AG5838">
        <v>-1.108366638738</v>
      </c>
      <c r="AH5838">
        <v>16.401202580084</v>
      </c>
      <c r="AI5838">
        <v>93.205019553672898</v>
      </c>
      <c r="AJ5838">
        <v>55.956886698605103</v>
      </c>
      <c r="AK5838">
        <v>19.824484719549101</v>
      </c>
      <c r="AL5838">
        <v>82.508303951040205</v>
      </c>
      <c r="AM5838">
        <v>67.5550184163165</v>
      </c>
      <c r="AN5838">
        <v>1.00000000406212</v>
      </c>
    </row>
    <row r="5839" spans="1:40" x14ac:dyDescent="0.25">
      <c r="A5839" t="str">
        <f>"20190303162718637"</f>
        <v>20190303162718637</v>
      </c>
      <c r="B5839" t="str">
        <f>"1551601638630561"</f>
        <v>1551601638630561</v>
      </c>
      <c r="C5839" t="s">
        <v>40</v>
      </c>
      <c r="D5839">
        <v>4.3099990000000004</v>
      </c>
      <c r="E5839">
        <v>0.55090439999999996</v>
      </c>
      <c r="F5839" t="s">
        <v>41</v>
      </c>
      <c r="G5839">
        <v>-156.9709</v>
      </c>
      <c r="H5839" s="1">
        <v>-1.9431679999999998E-6</v>
      </c>
      <c r="I5839">
        <v>136.13489999999999</v>
      </c>
      <c r="J5839">
        <v>-177.42949999999999</v>
      </c>
      <c r="K5839">
        <v>1.108411</v>
      </c>
      <c r="L5839">
        <v>135.2509</v>
      </c>
      <c r="M5839">
        <v>0.80742000000000003</v>
      </c>
      <c r="N5839">
        <v>-1.6727519999999999E-2</v>
      </c>
      <c r="O5839">
        <v>0.58973999999999904</v>
      </c>
      <c r="P5839">
        <v>0.96124719999999997</v>
      </c>
      <c r="Q5839">
        <v>0.12842700000000001</v>
      </c>
      <c r="R5839">
        <v>0.2439479</v>
      </c>
      <c r="S5839">
        <v>3.1114350000000002</v>
      </c>
      <c r="T5839">
        <v>-0.1667546</v>
      </c>
      <c r="U5839">
        <v>0.15476989999999999</v>
      </c>
      <c r="V5839">
        <v>0.374197</v>
      </c>
      <c r="W5839">
        <v>0.13240950000000001</v>
      </c>
      <c r="X5839">
        <v>0.91784759999999999</v>
      </c>
      <c r="Y5839">
        <v>0.54767100000000002</v>
      </c>
      <c r="Z5839">
        <v>-3.8598779999999999E-2</v>
      </c>
      <c r="AA5839">
        <v>0.83580299999999996</v>
      </c>
      <c r="AB5839">
        <v>26</v>
      </c>
      <c r="AC5839">
        <v>20.458599999999901</v>
      </c>
      <c r="AD5839">
        <v>-1.1084129431679901</v>
      </c>
      <c r="AE5839">
        <v>0.88399999999998602</v>
      </c>
      <c r="AF5839">
        <v>11.3199178407516</v>
      </c>
      <c r="AG5839">
        <v>-1.1084129431679901</v>
      </c>
      <c r="AH5839">
        <v>16.9926109841883</v>
      </c>
      <c r="AI5839">
        <v>93.107332525137295</v>
      </c>
      <c r="AJ5839">
        <v>56.329754270096899</v>
      </c>
      <c r="AK5839">
        <v>20.447932590702401</v>
      </c>
      <c r="AL5839">
        <v>82.391149190498496</v>
      </c>
      <c r="AM5839">
        <v>67.819784492673605</v>
      </c>
      <c r="AN5839">
        <v>0.999999943662503</v>
      </c>
    </row>
    <row r="5840" spans="1:40" x14ac:dyDescent="0.25">
      <c r="A5840" t="str">
        <f>"20190303162718659"</f>
        <v>20190303162718659</v>
      </c>
      <c r="B5840" t="str">
        <f>"1551601638650080"</f>
        <v>1551601638650080</v>
      </c>
      <c r="C5840" t="s">
        <v>40</v>
      </c>
      <c r="D5840">
        <v>4.1806799999999997</v>
      </c>
      <c r="E5840">
        <v>0.55030349999999995</v>
      </c>
      <c r="F5840" t="s">
        <v>41</v>
      </c>
      <c r="G5840">
        <v>-135.0326</v>
      </c>
      <c r="H5840" s="1">
        <v>-2.264222E-6</v>
      </c>
      <c r="I5840">
        <v>140.18340000000001</v>
      </c>
      <c r="J5840">
        <v>-177.20410000000001</v>
      </c>
      <c r="K5840">
        <v>1.108474</v>
      </c>
      <c r="L5840">
        <v>135.3922</v>
      </c>
      <c r="M5840">
        <v>0.81775750000000003</v>
      </c>
      <c r="N5840">
        <v>-1.6723849999999998E-2</v>
      </c>
      <c r="O5840">
        <v>0.5753199</v>
      </c>
      <c r="P5840">
        <v>0.963758</v>
      </c>
      <c r="Q5840">
        <v>0.13107859999999999</v>
      </c>
      <c r="R5840">
        <v>0.2323559</v>
      </c>
      <c r="S5840">
        <v>3.041763</v>
      </c>
      <c r="T5840">
        <v>-7.9522969999999998E-2</v>
      </c>
      <c r="U5840">
        <v>0.35388180000000002</v>
      </c>
      <c r="V5840">
        <v>0.36880420000000003</v>
      </c>
      <c r="W5840">
        <v>0.13530049999999999</v>
      </c>
      <c r="X5840">
        <v>0.91960710000000001</v>
      </c>
      <c r="Y5840">
        <v>0.47677140000000001</v>
      </c>
      <c r="Z5840">
        <v>-1.4176269999999999E-2</v>
      </c>
      <c r="AA5840">
        <v>0.87891299999999895</v>
      </c>
      <c r="AB5840">
        <v>26</v>
      </c>
      <c r="AC5840">
        <v>42.171500000000002</v>
      </c>
      <c r="AD5840">
        <v>-1.1084762642220001</v>
      </c>
      <c r="AE5840">
        <v>4.7911999999999999</v>
      </c>
      <c r="AF5840">
        <v>20.333039915910199</v>
      </c>
      <c r="AG5840">
        <v>-1.1084762642220001</v>
      </c>
      <c r="AH5840">
        <v>37.222353099136299</v>
      </c>
      <c r="AI5840">
        <v>91.497070715648704</v>
      </c>
      <c r="AJ5840">
        <v>61.354035808968298</v>
      </c>
      <c r="AK5840">
        <v>42.428349037962001</v>
      </c>
      <c r="AL5840">
        <v>82.224003227410705</v>
      </c>
      <c r="AM5840">
        <v>68.146973635981894</v>
      </c>
      <c r="AN5840">
        <v>0.99999999080415003</v>
      </c>
    </row>
    <row r="5841" spans="1:40" x14ac:dyDescent="0.25">
      <c r="A5841" t="str">
        <f>"20190303162718682"</f>
        <v>20190303162718682</v>
      </c>
      <c r="B5841" t="str">
        <f>"1551601638670577"</f>
        <v>1551601638670577</v>
      </c>
      <c r="C5841" t="s">
        <v>40</v>
      </c>
      <c r="D5841">
        <v>4.0839919999999896</v>
      </c>
      <c r="E5841">
        <v>0.55032619999999999</v>
      </c>
      <c r="F5841" t="s">
        <v>41</v>
      </c>
      <c r="G5841">
        <v>-128.28270000000001</v>
      </c>
      <c r="H5841" s="1">
        <v>-9.6863390000000008E-7</v>
      </c>
      <c r="I5841">
        <v>140.55430000000001</v>
      </c>
      <c r="J5841">
        <v>-176.9769</v>
      </c>
      <c r="K5841">
        <v>1.1085560000000001</v>
      </c>
      <c r="L5841">
        <v>135.5292</v>
      </c>
      <c r="M5841">
        <v>0.82778909999999895</v>
      </c>
      <c r="N5841">
        <v>-1.6715870000000001E-2</v>
      </c>
      <c r="O5841">
        <v>0.56079029999999996</v>
      </c>
      <c r="P5841">
        <v>0.96589740000000002</v>
      </c>
      <c r="Q5841">
        <v>0.1334457</v>
      </c>
      <c r="R5841">
        <v>0.22188859999999999</v>
      </c>
      <c r="S5841">
        <v>3.044724</v>
      </c>
      <c r="T5841">
        <v>-6.8988079999999993E-2</v>
      </c>
      <c r="U5841">
        <v>0.3212738</v>
      </c>
      <c r="V5841">
        <v>0.3623883</v>
      </c>
      <c r="W5841">
        <v>0.13794999999999999</v>
      </c>
      <c r="X5841">
        <v>0.92176159999999996</v>
      </c>
      <c r="Y5841">
        <v>0.47069840000000002</v>
      </c>
      <c r="Z5841">
        <v>-1.1386830000000001E-2</v>
      </c>
      <c r="AA5841">
        <v>0.88222069999999997</v>
      </c>
      <c r="AB5841">
        <v>26</v>
      </c>
      <c r="AC5841">
        <v>48.694200000000002</v>
      </c>
      <c r="AD5841">
        <v>-1.1085569686339001</v>
      </c>
      <c r="AE5841">
        <v>5.0251000000000001</v>
      </c>
      <c r="AF5841">
        <v>23.1388809589596</v>
      </c>
      <c r="AG5841">
        <v>-1.1085569686339001</v>
      </c>
      <c r="AH5841">
        <v>43.110474641478802</v>
      </c>
      <c r="AI5841">
        <v>91.297930563277504</v>
      </c>
      <c r="AJ5841">
        <v>61.776008068877999</v>
      </c>
      <c r="AK5841">
        <v>48.940267003758699</v>
      </c>
      <c r="AL5841">
        <v>82.070760821225406</v>
      </c>
      <c r="AM5841">
        <v>68.537851462519697</v>
      </c>
      <c r="AN5841">
        <v>0.99999996485572396</v>
      </c>
    </row>
    <row r="5842" spans="1:40" x14ac:dyDescent="0.25">
      <c r="A5842" t="str">
        <f>"20190303162718705"</f>
        <v>20190303162718705</v>
      </c>
      <c r="B5842" t="str">
        <f>"1551601638699858"</f>
        <v>1551601638699858</v>
      </c>
      <c r="C5842" t="s">
        <v>40</v>
      </c>
      <c r="D5842">
        <v>4.2239690000000003</v>
      </c>
      <c r="E5842">
        <v>0.55141870000000004</v>
      </c>
      <c r="F5842" t="s">
        <v>41</v>
      </c>
      <c r="G5842">
        <v>-120.26390000000001</v>
      </c>
      <c r="H5842" s="1">
        <v>-4.4086259999999999E-6</v>
      </c>
      <c r="I5842">
        <v>140.87010000000001</v>
      </c>
      <c r="J5842">
        <v>-176.72970000000001</v>
      </c>
      <c r="K5842">
        <v>1.1086510000000001</v>
      </c>
      <c r="L5842">
        <v>135.67179999999999</v>
      </c>
      <c r="M5842">
        <v>0.838242499999999</v>
      </c>
      <c r="N5842">
        <v>-1.6700530000000002E-2</v>
      </c>
      <c r="O5842">
        <v>0.54504189999999997</v>
      </c>
      <c r="P5842">
        <v>0.96823419999999905</v>
      </c>
      <c r="Q5842">
        <v>0.13518239999999901</v>
      </c>
      <c r="R5842">
        <v>0.2103526</v>
      </c>
      <c r="S5842">
        <v>3.048187</v>
      </c>
      <c r="T5842">
        <v>-5.9582469999999998E-2</v>
      </c>
      <c r="U5842">
        <v>0.28706359999999997</v>
      </c>
      <c r="V5842">
        <v>0.35582589999999997</v>
      </c>
      <c r="W5842">
        <v>0.13998759999999999</v>
      </c>
      <c r="X5842">
        <v>0.92400839999999995</v>
      </c>
      <c r="Y5842">
        <v>0.4639607</v>
      </c>
      <c r="Z5842">
        <v>-8.9620959999999993E-3</v>
      </c>
      <c r="AA5842">
        <v>0.885810399999999</v>
      </c>
      <c r="AB5842">
        <v>26</v>
      </c>
      <c r="AC5842">
        <v>56.465800000000002</v>
      </c>
      <c r="AD5842">
        <v>-1.1086554086260001</v>
      </c>
      <c r="AE5842">
        <v>5.1983000000000104</v>
      </c>
      <c r="AF5842">
        <v>26.412378635333699</v>
      </c>
      <c r="AG5842">
        <v>-1.1086554086260001</v>
      </c>
      <c r="AH5842">
        <v>50.1531486800774</v>
      </c>
      <c r="AI5842">
        <v>91.120499632624401</v>
      </c>
      <c r="AJ5842">
        <v>62.227161400685397</v>
      </c>
      <c r="AK5842">
        <v>56.693749077982702</v>
      </c>
      <c r="AL5842">
        <v>81.9528717826487</v>
      </c>
      <c r="AM5842">
        <v>68.938830312427001</v>
      </c>
      <c r="AN5842">
        <v>1.0000000612675599</v>
      </c>
    </row>
    <row r="5843" spans="1:40" x14ac:dyDescent="0.25">
      <c r="A5843" t="str">
        <f>"20190303162718726"</f>
        <v>20190303162718726</v>
      </c>
      <c r="B5843" t="str">
        <f>"1551601638720352"</f>
        <v>1551601638720352</v>
      </c>
      <c r="C5843" t="s">
        <v>40</v>
      </c>
      <c r="D5843">
        <v>4.238588</v>
      </c>
      <c r="E5843">
        <v>0.55117469999999902</v>
      </c>
      <c r="F5843" t="s">
        <v>41</v>
      </c>
      <c r="G5843">
        <v>-112.3578</v>
      </c>
      <c r="H5843" s="1">
        <v>-3.5683990000000002E-6</v>
      </c>
      <c r="I5843">
        <v>140.7724</v>
      </c>
      <c r="J5843">
        <v>-176.51920000000001</v>
      </c>
      <c r="K5843">
        <v>1.108738</v>
      </c>
      <c r="L5843">
        <v>135.7885</v>
      </c>
      <c r="M5843">
        <v>0.84678589999999998</v>
      </c>
      <c r="N5843">
        <v>-1.6681999999999999E-2</v>
      </c>
      <c r="O5843">
        <v>0.53167229999999999</v>
      </c>
      <c r="P5843">
        <v>0.9700183</v>
      </c>
      <c r="Q5843">
        <v>0.1357555</v>
      </c>
      <c r="R5843">
        <v>0.20158190000000001</v>
      </c>
      <c r="S5843">
        <v>3.053207</v>
      </c>
      <c r="T5843">
        <v>-5.2584289999999999E-2</v>
      </c>
      <c r="U5843">
        <v>0.24192810000000001</v>
      </c>
      <c r="V5843">
        <v>0.34944730000000002</v>
      </c>
      <c r="W5843">
        <v>0.14085110000000001</v>
      </c>
      <c r="X5843">
        <v>0.92630860000000004</v>
      </c>
      <c r="Y5843">
        <v>0.46306409999999998</v>
      </c>
      <c r="Z5843">
        <v>-7.2959619999999996E-3</v>
      </c>
      <c r="AA5843">
        <v>0.88629480000000005</v>
      </c>
      <c r="AB5843">
        <v>26</v>
      </c>
      <c r="AC5843">
        <v>64.1614</v>
      </c>
      <c r="AD5843">
        <v>-1.1087415683990001</v>
      </c>
      <c r="AE5843">
        <v>4.9839000000000002</v>
      </c>
      <c r="AF5843">
        <v>29.8878304028743</v>
      </c>
      <c r="AG5843">
        <v>-1.1087415683990001</v>
      </c>
      <c r="AH5843">
        <v>56.971787592480702</v>
      </c>
      <c r="AI5843">
        <v>90.987321842964803</v>
      </c>
      <c r="AJ5843">
        <v>62.3181568735179</v>
      </c>
      <c r="AK5843">
        <v>64.345134202511503</v>
      </c>
      <c r="AL5843">
        <v>81.902901568730002</v>
      </c>
      <c r="AM5843">
        <v>69.331158490353701</v>
      </c>
      <c r="AN5843">
        <v>1.0000000351412199</v>
      </c>
    </row>
    <row r="5844" spans="1:40" x14ac:dyDescent="0.25">
      <c r="A5844" t="str">
        <f>"20190303162718747"</f>
        <v>20190303162718747</v>
      </c>
      <c r="B5844" t="str">
        <f>"1551601638739873"</f>
        <v>1551601638739873</v>
      </c>
      <c r="C5844" t="s">
        <v>40</v>
      </c>
      <c r="D5844">
        <v>4.222893</v>
      </c>
      <c r="E5844">
        <v>0.55082880000000001</v>
      </c>
      <c r="F5844" t="s">
        <v>41</v>
      </c>
      <c r="G5844">
        <v>-109.02379999999999</v>
      </c>
      <c r="H5844" s="1">
        <v>-6.9143180000000001E-7</v>
      </c>
      <c r="I5844">
        <v>140.55410000000001</v>
      </c>
      <c r="J5844">
        <v>-176.29150000000001</v>
      </c>
      <c r="K5844">
        <v>1.1088530000000001</v>
      </c>
      <c r="L5844">
        <v>135.90989999999999</v>
      </c>
      <c r="M5844">
        <v>0.85565899999999995</v>
      </c>
      <c r="N5844">
        <v>-1.6656979999999998E-2</v>
      </c>
      <c r="O5844">
        <v>0.51727190000000001</v>
      </c>
      <c r="P5844">
        <v>0.97189179999999997</v>
      </c>
      <c r="Q5844">
        <v>0.1359165</v>
      </c>
      <c r="R5844">
        <v>0.19223180000000001</v>
      </c>
      <c r="S5844">
        <v>3.054932</v>
      </c>
      <c r="T5844">
        <v>-5.0183060000000002E-2</v>
      </c>
      <c r="U5844">
        <v>0.21569820000000001</v>
      </c>
      <c r="V5844">
        <v>0.34262959999999998</v>
      </c>
      <c r="W5844">
        <v>0.14132410000000001</v>
      </c>
      <c r="X5844">
        <v>0.9287801</v>
      </c>
      <c r="Y5844">
        <v>0.4556712</v>
      </c>
      <c r="Z5844">
        <v>-6.6764889999999999E-3</v>
      </c>
      <c r="AA5844">
        <v>0.8901232</v>
      </c>
      <c r="AB5844">
        <v>26</v>
      </c>
      <c r="AC5844">
        <v>67.267700000000005</v>
      </c>
      <c r="AD5844">
        <v>-1.1088536914317999</v>
      </c>
      <c r="AE5844">
        <v>4.6442000000000103</v>
      </c>
      <c r="AF5844">
        <v>30.8177818743495</v>
      </c>
      <c r="AG5844">
        <v>-1.1088536914317999</v>
      </c>
      <c r="AH5844">
        <v>59.952633482270102</v>
      </c>
      <c r="AI5844">
        <v>90.942401509850896</v>
      </c>
      <c r="AJ5844">
        <v>62.7952271922262</v>
      </c>
      <c r="AK5844">
        <v>67.418717709723595</v>
      </c>
      <c r="AL5844">
        <v>81.875526626440006</v>
      </c>
      <c r="AM5844">
        <v>69.750839948616999</v>
      </c>
      <c r="AN5844">
        <v>1.00000000909649</v>
      </c>
    </row>
    <row r="5845" spans="1:40" x14ac:dyDescent="0.25">
      <c r="A5845" t="str">
        <f>"20190303162718770"</f>
        <v>20190303162718770</v>
      </c>
      <c r="B5845" t="str">
        <f>"1551601638760369"</f>
        <v>1551601638760369</v>
      </c>
      <c r="C5845" t="s">
        <v>40</v>
      </c>
      <c r="D5845">
        <v>4.2894459999999999</v>
      </c>
      <c r="E5845">
        <v>0.55029099999999997</v>
      </c>
      <c r="F5845" t="s">
        <v>41</v>
      </c>
      <c r="G5845">
        <v>-105.508</v>
      </c>
      <c r="H5845" s="1">
        <v>-2.274509E-6</v>
      </c>
      <c r="I5845">
        <v>140.2576</v>
      </c>
      <c r="J5845">
        <v>-176.05670000000001</v>
      </c>
      <c r="K5845">
        <v>1.1089899999999999</v>
      </c>
      <c r="L5845">
        <v>136.0301</v>
      </c>
      <c r="M5845">
        <v>0.86441520000000005</v>
      </c>
      <c r="N5845">
        <v>-1.6626930000000002E-2</v>
      </c>
      <c r="O5845">
        <v>0.50250360000000005</v>
      </c>
      <c r="P5845">
        <v>0.97333689999999995</v>
      </c>
      <c r="Q5845">
        <v>0.13794709999999999</v>
      </c>
      <c r="R5845">
        <v>0.18326519999999999</v>
      </c>
      <c r="S5845">
        <v>3.0563199999999999</v>
      </c>
      <c r="T5845">
        <v>-4.7878619999999997E-2</v>
      </c>
      <c r="U5845">
        <v>0.1877289</v>
      </c>
      <c r="V5845">
        <v>0.33508850000000001</v>
      </c>
      <c r="W5845">
        <v>0.14369289999999901</v>
      </c>
      <c r="X5845">
        <v>0.93116489999999996</v>
      </c>
      <c r="Y5845">
        <v>0.44851940000000001</v>
      </c>
      <c r="Z5845">
        <v>-6.1076519999999999E-3</v>
      </c>
      <c r="AA5845">
        <v>0.893752199999999</v>
      </c>
      <c r="AB5845">
        <v>26</v>
      </c>
      <c r="AC5845">
        <v>70.548699999999997</v>
      </c>
      <c r="AD5845">
        <v>-1.108992274509</v>
      </c>
      <c r="AE5845">
        <v>4.2274999999999903</v>
      </c>
      <c r="AF5845">
        <v>31.793229060758499</v>
      </c>
      <c r="AG5845">
        <v>-1.108992274509</v>
      </c>
      <c r="AH5845">
        <v>63.100892182689002</v>
      </c>
      <c r="AI5845">
        <v>90.899197449841495</v>
      </c>
      <c r="AJ5845">
        <v>63.258862307427599</v>
      </c>
      <c r="AK5845">
        <v>70.666554127296493</v>
      </c>
      <c r="AL5845">
        <v>81.738404849257805</v>
      </c>
      <c r="AM5845">
        <v>70.208252356207595</v>
      </c>
      <c r="AN5845">
        <v>1.00000001166733</v>
      </c>
    </row>
    <row r="5846" spans="1:40" x14ac:dyDescent="0.25">
      <c r="A5846" t="str">
        <f>"20190303162718792"</f>
        <v>20190303162718792</v>
      </c>
      <c r="B5846" t="str">
        <f>"1551601638779888"</f>
        <v>1551601638779888</v>
      </c>
      <c r="C5846" t="s">
        <v>40</v>
      </c>
      <c r="D5846">
        <v>4.3076359999999996</v>
      </c>
      <c r="E5846">
        <v>0.55008210000000002</v>
      </c>
      <c r="F5846" t="s">
        <v>41</v>
      </c>
      <c r="G5846">
        <v>-94.521870000000007</v>
      </c>
      <c r="H5846" s="1">
        <v>-2.5334420000000001E-6</v>
      </c>
      <c r="I5846">
        <v>140.37190000000001</v>
      </c>
      <c r="J5846">
        <v>-175.82640000000001</v>
      </c>
      <c r="K5846">
        <v>1.1091439999999999</v>
      </c>
      <c r="L5846">
        <v>136.14330000000001</v>
      </c>
      <c r="M5846">
        <v>0.87261129999999998</v>
      </c>
      <c r="N5846">
        <v>-1.659188E-2</v>
      </c>
      <c r="O5846">
        <v>0.4881334</v>
      </c>
      <c r="P5846">
        <v>0.9743465</v>
      </c>
      <c r="Q5846">
        <v>0.14164119999999999</v>
      </c>
      <c r="R5846">
        <v>0.17489060000000001</v>
      </c>
      <c r="S5846">
        <v>3.0574189999999999</v>
      </c>
      <c r="T5846">
        <v>-4.1585329999999997E-2</v>
      </c>
      <c r="U5846">
        <v>0.16281129999999999</v>
      </c>
      <c r="V5846">
        <v>0.32745920000000001</v>
      </c>
      <c r="W5846">
        <v>0.14772679999999999</v>
      </c>
      <c r="X5846">
        <v>0.93324549999999995</v>
      </c>
      <c r="Y5846">
        <v>0.44101449999999998</v>
      </c>
      <c r="Z5846">
        <v>-4.6510479999999996E-3</v>
      </c>
      <c r="AA5846">
        <v>0.89748790000000001</v>
      </c>
      <c r="AB5846">
        <v>26</v>
      </c>
      <c r="AC5846">
        <v>81.30453</v>
      </c>
      <c r="AD5846">
        <v>-1.1091465334420001</v>
      </c>
      <c r="AE5846">
        <v>4.2286000000000001</v>
      </c>
      <c r="AF5846">
        <v>35.995807878111997</v>
      </c>
      <c r="AG5846">
        <v>-1.1091465334420001</v>
      </c>
      <c r="AH5846">
        <v>73.007874537083495</v>
      </c>
      <c r="AI5846">
        <v>90.780663636960398</v>
      </c>
      <c r="AJ5846">
        <v>63.754855618609398</v>
      </c>
      <c r="AK5846">
        <v>81.406867862933495</v>
      </c>
      <c r="AL5846">
        <v>81.504785372630593</v>
      </c>
      <c r="AM5846">
        <v>70.664937897646695</v>
      </c>
      <c r="AN5846">
        <v>0.99999994918656299</v>
      </c>
    </row>
    <row r="5847" spans="1:40" x14ac:dyDescent="0.25">
      <c r="A5847" t="str">
        <f>"20190303162718816"</f>
        <v>20190303162718816</v>
      </c>
      <c r="B5847" t="str">
        <f>"1551601638810145"</f>
        <v>1551601638810145</v>
      </c>
      <c r="C5847" t="s">
        <v>40</v>
      </c>
      <c r="D5847">
        <v>4.3533369999999998</v>
      </c>
      <c r="E5847">
        <v>0.55045119999999903</v>
      </c>
      <c r="F5847" t="s">
        <v>41</v>
      </c>
      <c r="G5847">
        <v>-74.678600000000003</v>
      </c>
      <c r="H5847" s="1">
        <v>-2.5640680000000001E-6</v>
      </c>
      <c r="I5847">
        <v>140.7398</v>
      </c>
      <c r="J5847">
        <v>-175.57220000000001</v>
      </c>
      <c r="K5847">
        <v>1.109343</v>
      </c>
      <c r="L5847">
        <v>136.26310000000001</v>
      </c>
      <c r="M5847">
        <v>0.88121090000000002</v>
      </c>
      <c r="N5847">
        <v>-1.6544320000000001E-2</v>
      </c>
      <c r="O5847">
        <v>0.47243400000000002</v>
      </c>
      <c r="P5847">
        <v>0.97553009999999996</v>
      </c>
      <c r="Q5847">
        <v>0.14437059999999999</v>
      </c>
      <c r="R5847">
        <v>0.16582669999999999</v>
      </c>
      <c r="S5847">
        <v>3.058929</v>
      </c>
      <c r="T5847">
        <v>-3.3542990000000002E-2</v>
      </c>
      <c r="U5847">
        <v>0.13900760000000001</v>
      </c>
      <c r="V5847">
        <v>0.31921749999999999</v>
      </c>
      <c r="W5847">
        <v>0.15083350000000001</v>
      </c>
      <c r="X5847">
        <v>0.93560109999999996</v>
      </c>
      <c r="Y5847">
        <v>0.43193320000000002</v>
      </c>
      <c r="Z5847">
        <v>-2.8628159999999998E-3</v>
      </c>
      <c r="AA5847">
        <v>0.90190099999999995</v>
      </c>
      <c r="AB5847">
        <v>26</v>
      </c>
      <c r="AC5847">
        <v>100.89360000000001</v>
      </c>
      <c r="AD5847">
        <v>-1.1093455640679999</v>
      </c>
      <c r="AE5847">
        <v>4.4766999999999904</v>
      </c>
      <c r="AF5847">
        <v>43.7213541698966</v>
      </c>
      <c r="AG5847">
        <v>-1.1093455640679999</v>
      </c>
      <c r="AH5847">
        <v>91.0249509949128</v>
      </c>
      <c r="AI5847">
        <v>90.629410097320203</v>
      </c>
      <c r="AJ5847">
        <v>64.343966948691801</v>
      </c>
      <c r="AK5847">
        <v>100.98677716244001</v>
      </c>
      <c r="AL5847">
        <v>81.324767711262496</v>
      </c>
      <c r="AM5847">
        <v>71.160885217554096</v>
      </c>
      <c r="AN5847">
        <v>0.99999998767485399</v>
      </c>
    </row>
    <row r="5848" spans="1:40" x14ac:dyDescent="0.25">
      <c r="A5848" t="str">
        <f>"20190303162718838"</f>
        <v>20190303162718838</v>
      </c>
      <c r="B5848" t="str">
        <f>"1551601638830643"</f>
        <v>1551601638830643</v>
      </c>
      <c r="C5848" t="s">
        <v>40</v>
      </c>
      <c r="D5848">
        <v>4.4378279999999997</v>
      </c>
      <c r="E5848">
        <v>0.55001060000000002</v>
      </c>
      <c r="F5848" t="s">
        <v>41</v>
      </c>
      <c r="G5848">
        <v>-72.136219999999994</v>
      </c>
      <c r="H5848" s="1">
        <v>-3.450421E-6</v>
      </c>
      <c r="I5848">
        <v>139.97190000000001</v>
      </c>
      <c r="J5848">
        <v>-175.3306</v>
      </c>
      <c r="K5848">
        <v>1.109558</v>
      </c>
      <c r="L5848">
        <v>136.37219999999999</v>
      </c>
      <c r="M5848">
        <v>0.88894069999999903</v>
      </c>
      <c r="N5848">
        <v>-1.6489110000000001E-2</v>
      </c>
      <c r="O5848">
        <v>0.45772550000000001</v>
      </c>
      <c r="P5848">
        <v>0.9765587</v>
      </c>
      <c r="Q5848">
        <v>0.14369599999999999</v>
      </c>
      <c r="R5848">
        <v>0.16026460000000001</v>
      </c>
      <c r="S5848">
        <v>3.0614620000000001</v>
      </c>
      <c r="T5848">
        <v>-3.2834049999999997E-2</v>
      </c>
      <c r="U5848">
        <v>0.1097717</v>
      </c>
      <c r="V5848">
        <v>0.30890899999999999</v>
      </c>
      <c r="W5848">
        <v>0.15061340000000001</v>
      </c>
      <c r="X5848">
        <v>0.93909039999999999</v>
      </c>
      <c r="Y5848">
        <v>0.42556949999999999</v>
      </c>
      <c r="Z5848">
        <v>-2.7621130000000001E-3</v>
      </c>
      <c r="AA5848">
        <v>0.90492150000000005</v>
      </c>
      <c r="AB5848">
        <v>26</v>
      </c>
      <c r="AC5848">
        <v>103.19438</v>
      </c>
      <c r="AD5848">
        <v>-1.1095614504210001</v>
      </c>
      <c r="AE5848">
        <v>3.5997000000000101</v>
      </c>
      <c r="AF5848">
        <v>44.035680137379899</v>
      </c>
      <c r="AG5848">
        <v>-1.1095614504210001</v>
      </c>
      <c r="AH5848">
        <v>93.3832691208152</v>
      </c>
      <c r="AI5848">
        <v>90.615725735960197</v>
      </c>
      <c r="AJ5848">
        <v>64.753377390313901</v>
      </c>
      <c r="AK5848">
        <v>103.25118499787</v>
      </c>
      <c r="AL5848">
        <v>81.337524115093103</v>
      </c>
      <c r="AM5848">
        <v>71.791643024662505</v>
      </c>
      <c r="AN5848">
        <v>0.99999997295635901</v>
      </c>
    </row>
    <row r="5849" spans="1:40" x14ac:dyDescent="0.25">
      <c r="A5849" t="str">
        <f>"20190303162718858"</f>
        <v>20190303162718858</v>
      </c>
      <c r="B5849" t="str">
        <f>"1551601638850160"</f>
        <v>1551601638850160</v>
      </c>
      <c r="C5849" t="s">
        <v>40</v>
      </c>
      <c r="D5849">
        <v>4.4614659999999997</v>
      </c>
      <c r="E5849">
        <v>0.55015009999999998</v>
      </c>
      <c r="F5849" t="s">
        <v>41</v>
      </c>
      <c r="G5849">
        <v>-91.595129999999997</v>
      </c>
      <c r="H5849" s="1">
        <v>-3.6941820000000001E-6</v>
      </c>
      <c r="I5849">
        <v>139.01759999999999</v>
      </c>
      <c r="J5849">
        <v>-175.11060000000001</v>
      </c>
      <c r="K5849">
        <v>1.10978</v>
      </c>
      <c r="L5849">
        <v>136.4675</v>
      </c>
      <c r="M5849">
        <v>0.89560339999999905</v>
      </c>
      <c r="N5849">
        <v>-1.6429849999999999E-2</v>
      </c>
      <c r="O5849">
        <v>0.44455</v>
      </c>
      <c r="P5849">
        <v>0.97718360000000004</v>
      </c>
      <c r="Q5849">
        <v>0.14223129999999901</v>
      </c>
      <c r="R5849">
        <v>0.1577433</v>
      </c>
      <c r="S5849">
        <v>3.062103</v>
      </c>
      <c r="T5849">
        <v>-4.0575269999999997E-2</v>
      </c>
      <c r="U5849">
        <v>9.6740720000000002E-2</v>
      </c>
      <c r="V5849">
        <v>0.29739130000000003</v>
      </c>
      <c r="W5849">
        <v>0.14963609999999999</v>
      </c>
      <c r="X5849">
        <v>0.94295669999999998</v>
      </c>
      <c r="Y5849">
        <v>0.41602410000000001</v>
      </c>
      <c r="Z5849">
        <v>-4.3749310000000003E-3</v>
      </c>
      <c r="AA5849">
        <v>0.90934309999999996</v>
      </c>
      <c r="AB5849">
        <v>26</v>
      </c>
      <c r="AC5849">
        <v>83.515469999999993</v>
      </c>
      <c r="AD5849">
        <v>-1.1097836941820001</v>
      </c>
      <c r="AE5849">
        <v>2.55009999999998</v>
      </c>
      <c r="AF5849">
        <v>34.841479450018603</v>
      </c>
      <c r="AG5849">
        <v>-1.1097836941820001</v>
      </c>
      <c r="AH5849">
        <v>75.927237939018397</v>
      </c>
      <c r="AI5849">
        <v>90.761101788731096</v>
      </c>
      <c r="AJ5849">
        <v>65.350563528789706</v>
      </c>
      <c r="AK5849">
        <v>83.547027302964196</v>
      </c>
      <c r="AL5849">
        <v>81.394160887822807</v>
      </c>
      <c r="AM5849">
        <v>72.495678486242596</v>
      </c>
      <c r="AN5849">
        <v>0.99999994290689298</v>
      </c>
    </row>
    <row r="5850" spans="1:40" x14ac:dyDescent="0.25">
      <c r="A5850" t="str">
        <f>"20190303162718882"</f>
        <v>20190303162718882</v>
      </c>
      <c r="B5850" t="str">
        <f>"1551601638870656"</f>
        <v>1551601638870656</v>
      </c>
      <c r="C5850" t="s">
        <v>40</v>
      </c>
      <c r="D5850">
        <v>4.4874419999999997</v>
      </c>
      <c r="E5850">
        <v>0.54994379999999998</v>
      </c>
      <c r="F5850" t="s">
        <v>41</v>
      </c>
      <c r="G5850">
        <v>-104.3792</v>
      </c>
      <c r="H5850" s="1">
        <v>-2.8401050000000001E-6</v>
      </c>
      <c r="I5850">
        <v>138.47380000000001</v>
      </c>
      <c r="J5850">
        <v>-174.85919999999999</v>
      </c>
      <c r="K5850">
        <v>1.1100749999999999</v>
      </c>
      <c r="L5850">
        <v>136.57239999999999</v>
      </c>
      <c r="M5850">
        <v>0.90278800000000003</v>
      </c>
      <c r="N5850">
        <v>-1.635344E-2</v>
      </c>
      <c r="O5850">
        <v>0.42977500000000002</v>
      </c>
      <c r="P5850">
        <v>0.97771549999999996</v>
      </c>
      <c r="Q5850">
        <v>0.142091</v>
      </c>
      <c r="R5850">
        <v>0.1545407</v>
      </c>
      <c r="S5850">
        <v>3.0630190000000002</v>
      </c>
      <c r="T5850">
        <v>-4.8059110000000002E-2</v>
      </c>
      <c r="U5850">
        <v>8.6883539999999995E-2</v>
      </c>
      <c r="V5850">
        <v>0.28483429999999998</v>
      </c>
      <c r="W5850">
        <v>0.15002650000000001</v>
      </c>
      <c r="X5850">
        <v>0.94676369999999999</v>
      </c>
      <c r="Y5850">
        <v>0.40396209999999999</v>
      </c>
      <c r="Z5850">
        <v>-5.8145660000000002E-3</v>
      </c>
      <c r="AA5850">
        <v>0.9147573</v>
      </c>
      <c r="AB5850">
        <v>25</v>
      </c>
      <c r="AC5850">
        <v>70.479999999999905</v>
      </c>
      <c r="AD5850">
        <v>-1.110077840105</v>
      </c>
      <c r="AE5850">
        <v>1.90140000000002</v>
      </c>
      <c r="AF5850">
        <v>28.570717841353101</v>
      </c>
      <c r="AG5850">
        <v>-1.110077840105</v>
      </c>
      <c r="AH5850">
        <v>64.438312939347895</v>
      </c>
      <c r="AI5850">
        <v>90.902243851116395</v>
      </c>
      <c r="AJ5850">
        <v>66.088415826649396</v>
      </c>
      <c r="AK5850">
        <v>70.496910324145702</v>
      </c>
      <c r="AL5850">
        <v>81.371537867547801</v>
      </c>
      <c r="AM5850">
        <v>73.256061565195594</v>
      </c>
      <c r="AN5850">
        <v>1.0000000163982099</v>
      </c>
    </row>
    <row r="5851" spans="1:40" x14ac:dyDescent="0.25">
      <c r="A5851" t="str">
        <f>"20190303162718905"</f>
        <v>20190303162718905</v>
      </c>
      <c r="B5851" t="str">
        <f>"1551601638899937"</f>
        <v>1551601638899937</v>
      </c>
      <c r="C5851" t="s">
        <v>40</v>
      </c>
      <c r="D5851">
        <v>4.5663830000000001</v>
      </c>
      <c r="E5851">
        <v>0.54913579999999995</v>
      </c>
      <c r="F5851" t="s">
        <v>41</v>
      </c>
      <c r="G5851">
        <v>-107.8121</v>
      </c>
      <c r="H5851" s="1">
        <v>-1.2559220000000001E-6</v>
      </c>
      <c r="I5851">
        <v>138.25640000000001</v>
      </c>
      <c r="J5851">
        <v>-174.60830000000001</v>
      </c>
      <c r="K5851">
        <v>1.1104080000000001</v>
      </c>
      <c r="L5851">
        <v>136.67230000000001</v>
      </c>
      <c r="M5851">
        <v>0.90949029999999997</v>
      </c>
      <c r="N5851">
        <v>-1.6267090000000001E-2</v>
      </c>
      <c r="O5851">
        <v>0.41540680000000002</v>
      </c>
      <c r="P5851">
        <v>0.97773699999999997</v>
      </c>
      <c r="Q5851">
        <v>0.14479739999999999</v>
      </c>
      <c r="R5851">
        <v>0.15186920000000001</v>
      </c>
      <c r="S5851">
        <v>3.0635829999999999</v>
      </c>
      <c r="T5851">
        <v>-5.0722719999999999E-2</v>
      </c>
      <c r="U5851">
        <v>7.6950069999999995E-2</v>
      </c>
      <c r="V5851">
        <v>0.27214569999999999</v>
      </c>
      <c r="W5851">
        <v>0.15324979999999999</v>
      </c>
      <c r="X5851">
        <v>0.94997430000000005</v>
      </c>
      <c r="Y5851">
        <v>0.39238909999999999</v>
      </c>
      <c r="Z5851">
        <v>-6.2192439999999996E-3</v>
      </c>
      <c r="AA5851">
        <v>0.91977830000000005</v>
      </c>
      <c r="AB5851">
        <v>25</v>
      </c>
      <c r="AC5851">
        <v>66.796199999999999</v>
      </c>
      <c r="AD5851">
        <v>-1.110409255922</v>
      </c>
      <c r="AE5851">
        <v>1.5841000000000001</v>
      </c>
      <c r="AF5851">
        <v>26.303088173385099</v>
      </c>
      <c r="AG5851">
        <v>-1.110409255922</v>
      </c>
      <c r="AH5851">
        <v>61.399708986643098</v>
      </c>
      <c r="AI5851">
        <v>90.952383337636604</v>
      </c>
      <c r="AJ5851">
        <v>66.810139421875604</v>
      </c>
      <c r="AK5851">
        <v>66.805761127443006</v>
      </c>
      <c r="AL5851">
        <v>81.184695316905206</v>
      </c>
      <c r="AM5851">
        <v>74.014214950463597</v>
      </c>
      <c r="AN5851">
        <v>0.99999997694450904</v>
      </c>
    </row>
    <row r="5852" spans="1:40" x14ac:dyDescent="0.25">
      <c r="A5852" t="str">
        <f>"20190303162718927"</f>
        <v>20190303162718927</v>
      </c>
      <c r="B5852" t="str">
        <f>"1551601638920432"</f>
        <v>1551601638920432</v>
      </c>
      <c r="C5852" t="s">
        <v>40</v>
      </c>
      <c r="D5852">
        <v>4.5723570000000002</v>
      </c>
      <c r="E5852">
        <v>0.54891429999999997</v>
      </c>
      <c r="F5852" t="s">
        <v>41</v>
      </c>
      <c r="G5852">
        <v>-109.2685</v>
      </c>
      <c r="H5852" s="1">
        <v>-6.1896729999999999E-7</v>
      </c>
      <c r="I5852">
        <v>138.28639999999999</v>
      </c>
      <c r="J5852">
        <v>-174.37219999999999</v>
      </c>
      <c r="K5852">
        <v>1.1107370000000001</v>
      </c>
      <c r="L5852">
        <v>136.76259999999999</v>
      </c>
      <c r="M5852">
        <v>0.91539729999999997</v>
      </c>
      <c r="N5852">
        <v>-1.6180630000000001E-2</v>
      </c>
      <c r="O5852">
        <v>0.40222629999999998</v>
      </c>
      <c r="P5852">
        <v>0.97710969999999997</v>
      </c>
      <c r="Q5852">
        <v>0.14952699999999999</v>
      </c>
      <c r="R5852">
        <v>0.15132309999999999</v>
      </c>
      <c r="S5852">
        <v>3.06427</v>
      </c>
      <c r="T5852">
        <v>-5.2075389999999999E-2</v>
      </c>
      <c r="U5852">
        <v>7.5698849999999998E-2</v>
      </c>
      <c r="V5852">
        <v>0.25861339999999999</v>
      </c>
      <c r="W5852">
        <v>0.1584912</v>
      </c>
      <c r="X5852">
        <v>0.95289020000000002</v>
      </c>
      <c r="Y5852">
        <v>0.37944420000000001</v>
      </c>
      <c r="Z5852">
        <v>-6.3100430000000004E-3</v>
      </c>
      <c r="AA5852">
        <v>0.92519309999999999</v>
      </c>
      <c r="AB5852">
        <v>25</v>
      </c>
      <c r="AC5852">
        <v>65.103699999999904</v>
      </c>
      <c r="AD5852">
        <v>-1.1107376189672999</v>
      </c>
      <c r="AE5852">
        <v>1.5237999999999901</v>
      </c>
      <c r="AF5852">
        <v>24.7875724431285</v>
      </c>
      <c r="AG5852">
        <v>-1.1107376189672999</v>
      </c>
      <c r="AH5852">
        <v>60.1990329883333</v>
      </c>
      <c r="AI5852">
        <v>90.977448102150206</v>
      </c>
      <c r="AJ5852">
        <v>67.620080334888598</v>
      </c>
      <c r="AK5852">
        <v>65.112065382784294</v>
      </c>
      <c r="AL5852">
        <v>80.880669468949506</v>
      </c>
      <c r="AM5852">
        <v>74.815743460692502</v>
      </c>
      <c r="AN5852">
        <v>1.0000000421965101</v>
      </c>
    </row>
    <row r="5853" spans="1:40" x14ac:dyDescent="0.25">
      <c r="A5853" t="str">
        <f>"20190303162718948"</f>
        <v>20190303162718948</v>
      </c>
      <c r="B5853" t="str">
        <f>"1551601638939953"</f>
        <v>1551601638939953</v>
      </c>
      <c r="C5853" t="s">
        <v>40</v>
      </c>
      <c r="D5853">
        <v>4.6367649999999996</v>
      </c>
      <c r="E5853">
        <v>0.54883649999999995</v>
      </c>
      <c r="F5853" t="s">
        <v>41</v>
      </c>
      <c r="G5853">
        <v>-93.822329999999994</v>
      </c>
      <c r="H5853" s="1">
        <v>-2.7741950000000001E-6</v>
      </c>
      <c r="I5853">
        <v>138.8176</v>
      </c>
      <c r="J5853">
        <v>-174.137</v>
      </c>
      <c r="K5853">
        <v>1.111048</v>
      </c>
      <c r="L5853">
        <v>136.8492</v>
      </c>
      <c r="M5853">
        <v>0.92093290000000005</v>
      </c>
      <c r="N5853">
        <v>-1.6093280000000001E-2</v>
      </c>
      <c r="O5853">
        <v>0.38938879999999998</v>
      </c>
      <c r="P5853">
        <v>0.97677219999999998</v>
      </c>
      <c r="Q5853">
        <v>0.15234779999999901</v>
      </c>
      <c r="R5853">
        <v>0.15068679999999901</v>
      </c>
      <c r="S5853">
        <v>3.0646209999999998</v>
      </c>
      <c r="T5853">
        <v>-4.2259449999999997E-2</v>
      </c>
      <c r="U5853">
        <v>7.8186039999999998E-2</v>
      </c>
      <c r="V5853">
        <v>0.2456429</v>
      </c>
      <c r="W5853">
        <v>0.161777</v>
      </c>
      <c r="X5853">
        <v>0.95576550000000005</v>
      </c>
      <c r="Y5853">
        <v>0.36574839999999997</v>
      </c>
      <c r="Z5853">
        <v>-4.3141050000000004E-3</v>
      </c>
      <c r="AA5853">
        <v>0.93070379999999997</v>
      </c>
      <c r="AB5853">
        <v>25</v>
      </c>
      <c r="AC5853">
        <v>80.314669999999893</v>
      </c>
      <c r="AD5853">
        <v>-1.111050774195</v>
      </c>
      <c r="AE5853">
        <v>1.9683999999999999</v>
      </c>
      <c r="AF5853">
        <v>29.4590496821512</v>
      </c>
      <c r="AG5853">
        <v>-1.111050774195</v>
      </c>
      <c r="AH5853">
        <v>74.726280839135796</v>
      </c>
      <c r="AI5853">
        <v>90.792476920177805</v>
      </c>
      <c r="AJ5853">
        <v>68.484347217661906</v>
      </c>
      <c r="AK5853">
        <v>80.331109105051496</v>
      </c>
      <c r="AL5853">
        <v>80.689944913905705</v>
      </c>
      <c r="AM5853">
        <v>75.586276667795602</v>
      </c>
      <c r="AN5853">
        <v>0.99999996151982895</v>
      </c>
    </row>
    <row r="5854" spans="1:40" x14ac:dyDescent="0.25">
      <c r="A5854" t="str">
        <f>"20190303162718971"</f>
        <v>20190303162718971</v>
      </c>
      <c r="B5854" t="str">
        <f>"1551601638960449"</f>
        <v>1551601638960449</v>
      </c>
      <c r="C5854" t="s">
        <v>40</v>
      </c>
      <c r="D5854">
        <v>4.6547320000000001</v>
      </c>
      <c r="E5854">
        <v>0.54836680000000004</v>
      </c>
      <c r="F5854" t="s">
        <v>41</v>
      </c>
      <c r="G5854">
        <v>-82.921419999999998</v>
      </c>
      <c r="H5854" s="1">
        <v>-3.1029500000000001E-6</v>
      </c>
      <c r="I5854">
        <v>139.1431</v>
      </c>
      <c r="J5854">
        <v>-173.89609999999999</v>
      </c>
      <c r="K5854">
        <v>1.1113569999999999</v>
      </c>
      <c r="L5854">
        <v>136.93430000000001</v>
      </c>
      <c r="M5854">
        <v>0.9262456</v>
      </c>
      <c r="N5854">
        <v>-1.6004819999999999E-2</v>
      </c>
      <c r="O5854">
        <v>0.37658039999999998</v>
      </c>
      <c r="P5854">
        <v>0.97693070000000004</v>
      </c>
      <c r="Q5854">
        <v>0.15111369999999999</v>
      </c>
      <c r="R5854">
        <v>0.15090010000000001</v>
      </c>
      <c r="S5854">
        <v>3.0652469999999998</v>
      </c>
      <c r="T5854">
        <v>-3.7336229999999998E-2</v>
      </c>
      <c r="U5854">
        <v>7.7087399999999903E-2</v>
      </c>
      <c r="V5854">
        <v>0.23205010000000001</v>
      </c>
      <c r="W5854">
        <v>0.16100999999999999</v>
      </c>
      <c r="X5854">
        <v>0.95928539999999995</v>
      </c>
      <c r="Y5854">
        <v>0.35315879999999999</v>
      </c>
      <c r="Z5854">
        <v>-3.321465E-3</v>
      </c>
      <c r="AA5854">
        <v>0.93555750000000004</v>
      </c>
      <c r="AB5854">
        <v>25</v>
      </c>
      <c r="AC5854">
        <v>90.974680000000006</v>
      </c>
      <c r="AD5854">
        <v>-1.11136010295</v>
      </c>
      <c r="AE5854">
        <v>2.2087999999999899</v>
      </c>
      <c r="AF5854">
        <v>32.212714486240202</v>
      </c>
      <c r="AG5854">
        <v>-1.11136010295</v>
      </c>
      <c r="AH5854">
        <v>85.094903102036994</v>
      </c>
      <c r="AI5854">
        <v>90.699797042971596</v>
      </c>
      <c r="AJ5854">
        <v>69.265817014915896</v>
      </c>
      <c r="AK5854">
        <v>90.994706603162001</v>
      </c>
      <c r="AL5854">
        <v>80.734474672426103</v>
      </c>
      <c r="AM5854">
        <v>76.401436738342994</v>
      </c>
      <c r="AN5854">
        <v>0.99999997383158401</v>
      </c>
    </row>
    <row r="5855" spans="1:40" x14ac:dyDescent="0.25">
      <c r="A5855" t="str">
        <f>"20190303162718993"</f>
        <v>20190303162718993</v>
      </c>
      <c r="B5855" t="str">
        <f>"1551601638990704"</f>
        <v>1551601638990704</v>
      </c>
      <c r="C5855" t="s">
        <v>40</v>
      </c>
      <c r="D5855">
        <v>4.7249210000000001</v>
      </c>
      <c r="E5855">
        <v>0.54795399999999905</v>
      </c>
      <c r="F5855" t="s">
        <v>41</v>
      </c>
      <c r="G5855">
        <v>-96.445589999999996</v>
      </c>
      <c r="H5855" s="1">
        <v>-1.625909E-6</v>
      </c>
      <c r="I5855">
        <v>138.9468</v>
      </c>
      <c r="J5855">
        <v>-173.6515</v>
      </c>
      <c r="K5855">
        <v>1.1116740000000001</v>
      </c>
      <c r="L5855">
        <v>137.01740000000001</v>
      </c>
      <c r="M5855">
        <v>0.93127629999999995</v>
      </c>
      <c r="N5855">
        <v>-1.5912409999999998E-2</v>
      </c>
      <c r="O5855">
        <v>0.36396600000000001</v>
      </c>
      <c r="P5855">
        <v>0.97710249999999998</v>
      </c>
      <c r="Q5855">
        <v>0.1497474</v>
      </c>
      <c r="R5855">
        <v>0.1511507</v>
      </c>
      <c r="S5855">
        <v>3.0653380000000001</v>
      </c>
      <c r="T5855">
        <v>-4.3985370000000003E-2</v>
      </c>
      <c r="U5855">
        <v>7.9650879999999993E-2</v>
      </c>
      <c r="V5855">
        <v>0.21864459999999999</v>
      </c>
      <c r="W5855">
        <v>0.16008800000000001</v>
      </c>
      <c r="X5855">
        <v>0.96258319999999997</v>
      </c>
      <c r="Y5855">
        <v>0.33962419999999999</v>
      </c>
      <c r="Z5855">
        <v>-4.361101E-3</v>
      </c>
      <c r="AA5855">
        <v>0.94055109999999997</v>
      </c>
      <c r="AB5855">
        <v>25</v>
      </c>
      <c r="AC5855">
        <v>77.205910000000003</v>
      </c>
      <c r="AD5855">
        <v>-1.1116756259089999</v>
      </c>
      <c r="AE5855">
        <v>1.92939999999998</v>
      </c>
      <c r="AF5855">
        <v>26.301402877836502</v>
      </c>
      <c r="AG5855">
        <v>-1.1116756259089999</v>
      </c>
      <c r="AH5855">
        <v>72.596421761105304</v>
      </c>
      <c r="AI5855">
        <v>90.824849225467005</v>
      </c>
      <c r="AJ5855">
        <v>70.084744084405799</v>
      </c>
      <c r="AK5855">
        <v>77.222018029547698</v>
      </c>
      <c r="AL5855">
        <v>80.7879961216872</v>
      </c>
      <c r="AM5855">
        <v>77.202769952732993</v>
      </c>
      <c r="AN5855">
        <v>1.00000002288769</v>
      </c>
    </row>
    <row r="5856" spans="1:40" x14ac:dyDescent="0.25">
      <c r="A5856" t="str">
        <f>"20190303162719018"</f>
        <v>20190303162719018</v>
      </c>
      <c r="B5856" t="str">
        <f>"1551601639010225"</f>
        <v>1551601639010225</v>
      </c>
      <c r="C5856" t="s">
        <v>40</v>
      </c>
      <c r="D5856">
        <v>4.7593239999999897</v>
      </c>
      <c r="E5856">
        <v>0.54775859999999998</v>
      </c>
      <c r="F5856" t="s">
        <v>41</v>
      </c>
      <c r="G5856">
        <v>-111.3173</v>
      </c>
      <c r="H5856" s="1">
        <v>-3.8734369999999996E-6</v>
      </c>
      <c r="I5856">
        <v>138.6789</v>
      </c>
      <c r="J5856">
        <v>-173.37950000000001</v>
      </c>
      <c r="K5856">
        <v>1.1120669999999999</v>
      </c>
      <c r="L5856">
        <v>137.1062</v>
      </c>
      <c r="M5856">
        <v>0.93644700000000003</v>
      </c>
      <c r="N5856">
        <v>-1.5801140000000002E-2</v>
      </c>
      <c r="O5856">
        <v>0.35045310000000002</v>
      </c>
      <c r="P5856">
        <v>0.97772510000000001</v>
      </c>
      <c r="Q5856">
        <v>0.14890929999999999</v>
      </c>
      <c r="R5856">
        <v>0.1479183</v>
      </c>
      <c r="S5856">
        <v>3.0660400000000001</v>
      </c>
      <c r="T5856">
        <v>-5.4680230000000003E-2</v>
      </c>
      <c r="U5856">
        <v>8.1726069999999998E-2</v>
      </c>
      <c r="V5856">
        <v>0.20773539999999999</v>
      </c>
      <c r="W5856">
        <v>0.1596244</v>
      </c>
      <c r="X5856">
        <v>0.96507310000000002</v>
      </c>
      <c r="Y5856">
        <v>0.3253219</v>
      </c>
      <c r="Z5856">
        <v>-5.9762019999999999E-3</v>
      </c>
      <c r="AA5856">
        <v>0.94558450000000005</v>
      </c>
      <c r="AB5856">
        <v>25</v>
      </c>
      <c r="AC5856">
        <v>62.062199999999997</v>
      </c>
      <c r="AD5856">
        <v>-1.112070873437</v>
      </c>
      <c r="AE5856">
        <v>1.57269999999999</v>
      </c>
      <c r="AF5856">
        <v>20.273166570300202</v>
      </c>
      <c r="AG5856">
        <v>-1.112070873437</v>
      </c>
      <c r="AH5856">
        <v>58.657621483038199</v>
      </c>
      <c r="AI5856">
        <v>91.026553035778605</v>
      </c>
      <c r="AJ5856">
        <v>70.9338970724164</v>
      </c>
      <c r="AK5856">
        <v>62.0721720456282</v>
      </c>
      <c r="AL5856">
        <v>80.814904422451505</v>
      </c>
      <c r="AM5856">
        <v>77.852235676813294</v>
      </c>
      <c r="AN5856">
        <v>1.0000000169160601</v>
      </c>
    </row>
    <row r="5857" spans="1:40" x14ac:dyDescent="0.25">
      <c r="A5857" t="str">
        <f>"20190303162719037"</f>
        <v>20190303162719037</v>
      </c>
      <c r="B5857" t="str">
        <f>"1551601639030721"</f>
        <v>1551601639030721</v>
      </c>
      <c r="C5857" t="s">
        <v>40</v>
      </c>
      <c r="D5857">
        <v>4.8097219999999998</v>
      </c>
      <c r="E5857">
        <v>0.54774449999999997</v>
      </c>
      <c r="F5857" t="s">
        <v>41</v>
      </c>
      <c r="G5857">
        <v>-120.2058</v>
      </c>
      <c r="H5857" s="1">
        <v>-4.3936840000000004E-6</v>
      </c>
      <c r="I5857">
        <v>138.4341</v>
      </c>
      <c r="J5857">
        <v>-173.16099999999901</v>
      </c>
      <c r="K5857">
        <v>1.112439</v>
      </c>
      <c r="L5857">
        <v>137.1747</v>
      </c>
      <c r="M5857">
        <v>0.94027300000000003</v>
      </c>
      <c r="N5857">
        <v>-1.570353E-2</v>
      </c>
      <c r="O5857">
        <v>0.3400591</v>
      </c>
      <c r="P5857">
        <v>0.97858670000000003</v>
      </c>
      <c r="Q5857">
        <v>0.14761560000000001</v>
      </c>
      <c r="R5857">
        <v>0.14345079999999999</v>
      </c>
      <c r="S5857">
        <v>3.0665279999999999</v>
      </c>
      <c r="T5857">
        <v>-6.4133170000000003E-2</v>
      </c>
      <c r="U5857">
        <v>7.6583860000000004E-2</v>
      </c>
      <c r="V5857">
        <v>0.2013326</v>
      </c>
      <c r="W5857">
        <v>0.15857360000000001</v>
      </c>
      <c r="X5857">
        <v>0.96660210000000002</v>
      </c>
      <c r="Y5857">
        <v>0.31639509999999899</v>
      </c>
      <c r="Z5857">
        <v>-7.3591139999999999E-3</v>
      </c>
      <c r="AA5857">
        <v>0.94859899999999997</v>
      </c>
      <c r="AB5857">
        <v>25</v>
      </c>
      <c r="AC5857">
        <v>52.955199999999898</v>
      </c>
      <c r="AD5857">
        <v>-1.1124433936839999</v>
      </c>
      <c r="AE5857">
        <v>1.2593999999999901</v>
      </c>
      <c r="AF5857">
        <v>16.818373859091601</v>
      </c>
      <c r="AG5857">
        <v>-1.1124433936839999</v>
      </c>
      <c r="AH5857">
        <v>50.204662851402702</v>
      </c>
      <c r="AI5857">
        <v>91.203640436083404</v>
      </c>
      <c r="AJ5857">
        <v>71.479343629121004</v>
      </c>
      <c r="AK5857">
        <v>52.958506413902398</v>
      </c>
      <c r="AL5857">
        <v>80.875887540889806</v>
      </c>
      <c r="AM5857">
        <v>78.234144677353896</v>
      </c>
      <c r="AN5857">
        <v>1.0000000110820599</v>
      </c>
    </row>
    <row r="5858" spans="1:40" x14ac:dyDescent="0.25">
      <c r="A5858" t="str">
        <f>"20190303162719060"</f>
        <v>20190303162719060</v>
      </c>
      <c r="B5858" t="str">
        <f>"1551601639050241"</f>
        <v>1551601639050241</v>
      </c>
      <c r="C5858" t="s">
        <v>40</v>
      </c>
      <c r="D5858">
        <v>4.8377369999999997</v>
      </c>
      <c r="E5858">
        <v>0.54745819999999901</v>
      </c>
      <c r="F5858" t="s">
        <v>41</v>
      </c>
      <c r="G5858">
        <v>-126.4825</v>
      </c>
      <c r="H5858" s="1">
        <v>-1.7434929999999999E-6</v>
      </c>
      <c r="I5858">
        <v>138.19450000000001</v>
      </c>
      <c r="J5858">
        <v>-172.91480000000001</v>
      </c>
      <c r="K5858">
        <v>1.112916</v>
      </c>
      <c r="L5858">
        <v>137.24950000000001</v>
      </c>
      <c r="M5858">
        <v>0.94424129999999995</v>
      </c>
      <c r="N5858">
        <v>-1.558707E-2</v>
      </c>
      <c r="O5858">
        <v>0.32888499999999998</v>
      </c>
      <c r="P5858">
        <v>0.97970900000000005</v>
      </c>
      <c r="Q5858">
        <v>0.146540899999999</v>
      </c>
      <c r="R5858">
        <v>0.1367342</v>
      </c>
      <c r="S5858">
        <v>3.0668329999999999</v>
      </c>
      <c r="T5858">
        <v>-7.3088769999999997E-2</v>
      </c>
      <c r="U5858">
        <v>6.7001340000000006E-2</v>
      </c>
      <c r="V5858">
        <v>0.19633510000000001</v>
      </c>
      <c r="W5858">
        <v>0.1577308</v>
      </c>
      <c r="X5858">
        <v>0.9677673</v>
      </c>
      <c r="Y5858">
        <v>0.30806850000000002</v>
      </c>
      <c r="Z5858">
        <v>-8.5849640000000005E-3</v>
      </c>
      <c r="AA5858">
        <v>0.95132539999999999</v>
      </c>
      <c r="AB5858">
        <v>25</v>
      </c>
      <c r="AC5858">
        <v>46.432299999999998</v>
      </c>
      <c r="AD5858">
        <v>-1.112917743493</v>
      </c>
      <c r="AE5858">
        <v>0.94499999999999296</v>
      </c>
      <c r="AF5858">
        <v>14.3720731906584</v>
      </c>
      <c r="AG5858">
        <v>-1.112917743493</v>
      </c>
      <c r="AH5858">
        <v>44.134113572723102</v>
      </c>
      <c r="AI5858">
        <v>91.373541208834894</v>
      </c>
      <c r="AJ5858">
        <v>71.962396284548802</v>
      </c>
      <c r="AK5858">
        <v>46.428601686368403</v>
      </c>
      <c r="AL5858">
        <v>80.924791905705405</v>
      </c>
      <c r="AM5858">
        <v>78.531804968661703</v>
      </c>
      <c r="AN5858">
        <v>1.0000000118549699</v>
      </c>
    </row>
    <row r="5859" spans="1:40" x14ac:dyDescent="0.25">
      <c r="A5859" t="str">
        <f>"20190303162719082"</f>
        <v>20190303162719082</v>
      </c>
      <c r="B5859" t="str">
        <f>"1551601639070738"</f>
        <v>1551601639070738</v>
      </c>
      <c r="C5859" t="s">
        <v>40</v>
      </c>
      <c r="D5859">
        <v>4.8648449999999999</v>
      </c>
      <c r="E5859">
        <v>0.54720849999999999</v>
      </c>
      <c r="F5859" t="s">
        <v>41</v>
      </c>
      <c r="G5859">
        <v>-131.1551</v>
      </c>
      <c r="H5859" s="1">
        <v>-4.0770729999999998E-6</v>
      </c>
      <c r="I5859">
        <v>137.92310000000001</v>
      </c>
      <c r="J5859">
        <v>-172.66749999999999</v>
      </c>
      <c r="K5859">
        <v>1.113434</v>
      </c>
      <c r="L5859">
        <v>137.32220000000001</v>
      </c>
      <c r="M5859">
        <v>0.94786230000000005</v>
      </c>
      <c r="N5859">
        <v>-1.5464769999999999E-2</v>
      </c>
      <c r="O5859">
        <v>0.318305</v>
      </c>
      <c r="P5859">
        <v>0.98112790000000005</v>
      </c>
      <c r="Q5859">
        <v>0.14469290000000001</v>
      </c>
      <c r="R5859">
        <v>0.12826560000000001</v>
      </c>
      <c r="S5859">
        <v>3.0674589999999999</v>
      </c>
      <c r="T5859">
        <v>-8.1749440000000007E-2</v>
      </c>
      <c r="U5859">
        <v>4.948425E-2</v>
      </c>
      <c r="V5859">
        <v>0.1937103</v>
      </c>
      <c r="W5859">
        <v>0.15607739999999901</v>
      </c>
      <c r="X5859">
        <v>0.96856399999999998</v>
      </c>
      <c r="Y5859">
        <v>0.30282599999999998</v>
      </c>
      <c r="Z5859">
        <v>-9.7480210000000008E-3</v>
      </c>
      <c r="AA5859">
        <v>0.95299599999999995</v>
      </c>
      <c r="AB5859">
        <v>25</v>
      </c>
      <c r="AC5859">
        <v>41.5123999999999</v>
      </c>
      <c r="AD5859">
        <v>-1.1134380770729999</v>
      </c>
      <c r="AE5859">
        <v>0.60089999999999499</v>
      </c>
      <c r="AF5859">
        <v>12.636456289767199</v>
      </c>
      <c r="AG5859">
        <v>-1.1134380770729999</v>
      </c>
      <c r="AH5859">
        <v>39.515611988599296</v>
      </c>
      <c r="AI5859">
        <v>91.537352229598397</v>
      </c>
      <c r="AJ5859">
        <v>72.266560883708905</v>
      </c>
      <c r="AK5859">
        <v>41.501847702821699</v>
      </c>
      <c r="AL5859">
        <v>81.020713001813803</v>
      </c>
      <c r="AM5859">
        <v>78.690209726502999</v>
      </c>
      <c r="AN5859">
        <v>1.0000000286064199</v>
      </c>
    </row>
    <row r="5860" spans="1:40" x14ac:dyDescent="0.25">
      <c r="A5860" t="str">
        <f>"20190303162719111"</f>
        <v>20190303162719111</v>
      </c>
      <c r="B5860" t="str">
        <f>"1551601639100017"</f>
        <v>1551601639100017</v>
      </c>
      <c r="C5860" t="s">
        <v>40</v>
      </c>
      <c r="D5860">
        <v>4.8814849999999996</v>
      </c>
      <c r="E5860">
        <v>0.54679630000000001</v>
      </c>
      <c r="F5860" t="s">
        <v>41</v>
      </c>
      <c r="G5860">
        <v>-136.29159999999999</v>
      </c>
      <c r="H5860" s="1">
        <v>-1.9206179999999999E-6</v>
      </c>
      <c r="I5860">
        <v>137.65770000000001</v>
      </c>
      <c r="J5860">
        <v>-172.35499999999999</v>
      </c>
      <c r="K5860">
        <v>1.1141479999999999</v>
      </c>
      <c r="L5860">
        <v>137.41069999999999</v>
      </c>
      <c r="M5860">
        <v>0.95189449999999998</v>
      </c>
      <c r="N5860">
        <v>-1.5305849999999999E-2</v>
      </c>
      <c r="O5860">
        <v>0.30604330000000002</v>
      </c>
      <c r="P5860">
        <v>0.98301819999999895</v>
      </c>
      <c r="Q5860">
        <v>0.14074329999999999</v>
      </c>
      <c r="R5860">
        <v>0.1177575</v>
      </c>
      <c r="S5860">
        <v>3.067841</v>
      </c>
      <c r="T5860">
        <v>-9.3903780000000006E-2</v>
      </c>
      <c r="U5860">
        <v>2.8305049999999998E-2</v>
      </c>
      <c r="V5860">
        <v>0.19139680000000001</v>
      </c>
      <c r="W5860">
        <v>0.15236669999999999</v>
      </c>
      <c r="X5860">
        <v>0.96961410000000003</v>
      </c>
      <c r="Y5860">
        <v>0.29704380000000002</v>
      </c>
      <c r="Z5860">
        <v>-1.132294E-2</v>
      </c>
      <c r="AA5860">
        <v>0.95479669999999905</v>
      </c>
      <c r="AB5860">
        <v>25</v>
      </c>
      <c r="AC5860">
        <v>36.063400000000001</v>
      </c>
      <c r="AD5860">
        <v>-1.1141499206179999</v>
      </c>
      <c r="AE5860">
        <v>0.24700000000001399</v>
      </c>
      <c r="AF5860">
        <v>10.7928092517446</v>
      </c>
      <c r="AG5860">
        <v>-1.1141499206179999</v>
      </c>
      <c r="AH5860">
        <v>34.375368894144501</v>
      </c>
      <c r="AI5860">
        <v>91.771190752398496</v>
      </c>
      <c r="AJ5860">
        <v>72.569314437616001</v>
      </c>
      <c r="AK5860">
        <v>36.047080994148203</v>
      </c>
      <c r="AL5860">
        <v>81.235894051285101</v>
      </c>
      <c r="AM5860">
        <v>78.833664034621606</v>
      </c>
      <c r="AN5860">
        <v>0.99999992461896703</v>
      </c>
    </row>
    <row r="5861" spans="1:40" x14ac:dyDescent="0.25">
      <c r="A5861" t="str">
        <f>"20190303162719139"</f>
        <v>20190303162719139</v>
      </c>
      <c r="B5861" t="str">
        <f>"1551601639130272"</f>
        <v>1551601639130272</v>
      </c>
      <c r="C5861" t="s">
        <v>40</v>
      </c>
      <c r="D5861">
        <v>4.9248659999999997</v>
      </c>
      <c r="E5861">
        <v>0.54649369999999997</v>
      </c>
      <c r="F5861" t="s">
        <v>41</v>
      </c>
      <c r="G5861">
        <v>-142.75649999999999</v>
      </c>
      <c r="H5861" s="1">
        <v>-3.4756889999999999E-6</v>
      </c>
      <c r="I5861">
        <v>137.44059999999999</v>
      </c>
      <c r="J5861">
        <v>-172.0487</v>
      </c>
      <c r="K5861">
        <v>1.1147910000000001</v>
      </c>
      <c r="L5861">
        <v>137.4949</v>
      </c>
      <c r="M5861">
        <v>0.95539269999999998</v>
      </c>
      <c r="N5861">
        <v>-1.515855E-2</v>
      </c>
      <c r="O5861">
        <v>0.29494949999999998</v>
      </c>
      <c r="P5861">
        <v>0.98515050000000004</v>
      </c>
      <c r="Q5861">
        <v>0.1361821</v>
      </c>
      <c r="R5861">
        <v>0.1045611</v>
      </c>
      <c r="S5861">
        <v>3.0679780000000001</v>
      </c>
      <c r="T5861">
        <v>-0.115485</v>
      </c>
      <c r="U5861">
        <v>3.0975339999999999E-3</v>
      </c>
      <c r="V5861">
        <v>0.1929971</v>
      </c>
      <c r="W5861">
        <v>0.147947</v>
      </c>
      <c r="X5861">
        <v>0.96998130000000005</v>
      </c>
      <c r="Y5861">
        <v>0.2936589</v>
      </c>
      <c r="Z5861">
        <v>-1.420246E-2</v>
      </c>
      <c r="AA5861">
        <v>0.95580480000000001</v>
      </c>
      <c r="AB5861">
        <v>25</v>
      </c>
      <c r="AC5861">
        <v>29.292200000000001</v>
      </c>
      <c r="AD5861">
        <v>-1.114794475689</v>
      </c>
      <c r="AE5861">
        <v>-5.4300000000011998E-2</v>
      </c>
      <c r="AF5861">
        <v>8.6800234338757694</v>
      </c>
      <c r="AG5861">
        <v>-1.114794475689</v>
      </c>
      <c r="AH5861">
        <v>27.9322927572609</v>
      </c>
      <c r="AI5861">
        <v>92.182645092347002</v>
      </c>
      <c r="AJ5861">
        <v>72.737249120273503</v>
      </c>
      <c r="AK5861">
        <v>29.2711214717337</v>
      </c>
      <c r="AL5861">
        <v>81.492028750607304</v>
      </c>
      <c r="AM5861">
        <v>78.746828111617901</v>
      </c>
      <c r="AN5861">
        <v>0.99999995888354898</v>
      </c>
    </row>
    <row r="5862" spans="1:40" x14ac:dyDescent="0.25">
      <c r="A5862" t="str">
        <f>"20190303162719160"</f>
        <v>20190303162719160</v>
      </c>
      <c r="B5862" t="str">
        <f>"1551601639150769"</f>
        <v>1551601639150769</v>
      </c>
      <c r="C5862" t="s">
        <v>40</v>
      </c>
      <c r="D5862">
        <v>4.9875769999999999</v>
      </c>
      <c r="E5862">
        <v>0.54642619999999997</v>
      </c>
      <c r="F5862" t="s">
        <v>41</v>
      </c>
      <c r="G5862">
        <v>-146.48269999999999</v>
      </c>
      <c r="H5862" s="1">
        <v>-1.9179939999999999E-6</v>
      </c>
      <c r="I5862">
        <v>137.21039999999999</v>
      </c>
      <c r="J5862">
        <v>-171.8107</v>
      </c>
      <c r="K5862">
        <v>1.115221</v>
      </c>
      <c r="L5862">
        <v>137.55850000000001</v>
      </c>
      <c r="M5862">
        <v>0.95782920000000005</v>
      </c>
      <c r="N5862">
        <v>-1.505314E-2</v>
      </c>
      <c r="O5862">
        <v>0.28694370000000002</v>
      </c>
      <c r="P5862">
        <v>0.9862263</v>
      </c>
      <c r="Q5862">
        <v>0.1340432</v>
      </c>
      <c r="R5862">
        <v>9.6904229999999994E-2</v>
      </c>
      <c r="S5862">
        <v>3.0673219999999999</v>
      </c>
      <c r="T5862">
        <v>-0.133748799999999</v>
      </c>
      <c r="U5862">
        <v>-3.4133910000000003E-2</v>
      </c>
      <c r="V5862">
        <v>0.1923126</v>
      </c>
      <c r="W5862">
        <v>0.1459184</v>
      </c>
      <c r="X5862">
        <v>0.97042450000000002</v>
      </c>
      <c r="Y5862">
        <v>0.29712880000000003</v>
      </c>
      <c r="Z5862">
        <v>-1.6726230000000002E-2</v>
      </c>
      <c r="AA5862">
        <v>0.95469090000000001</v>
      </c>
      <c r="AB5862">
        <v>25</v>
      </c>
      <c r="AC5862">
        <v>25.327999999999999</v>
      </c>
      <c r="AD5862">
        <v>-1.1152229179940001</v>
      </c>
      <c r="AE5862">
        <v>-0.34810000000001601</v>
      </c>
      <c r="AF5862">
        <v>7.5872844300180597</v>
      </c>
      <c r="AG5862">
        <v>-1.1152229179940001</v>
      </c>
      <c r="AH5862">
        <v>24.116003857526302</v>
      </c>
      <c r="AI5862">
        <v>92.525817457160798</v>
      </c>
      <c r="AJ5862">
        <v>72.535582286967198</v>
      </c>
      <c r="AK5862">
        <v>25.305972600061001</v>
      </c>
      <c r="AL5862">
        <v>81.609534799875604</v>
      </c>
      <c r="AM5862">
        <v>78.790718246589194</v>
      </c>
      <c r="AN5862">
        <v>1.00000001288878</v>
      </c>
    </row>
    <row r="5863" spans="1:40" x14ac:dyDescent="0.25">
      <c r="A5863" t="str">
        <f>"20190303162719184"</f>
        <v>20190303162719184</v>
      </c>
      <c r="B5863" t="str">
        <f>"1551601639180049"</f>
        <v>1551601639180049</v>
      </c>
      <c r="C5863" t="s">
        <v>40</v>
      </c>
      <c r="D5863">
        <v>5.0188870000000003</v>
      </c>
      <c r="E5863">
        <v>0.5383578</v>
      </c>
      <c r="F5863" t="s">
        <v>41</v>
      </c>
      <c r="G5863">
        <v>-147.4332</v>
      </c>
      <c r="H5863" s="1">
        <v>-1.53231E-6</v>
      </c>
      <c r="I5863">
        <v>137.08770000000001</v>
      </c>
      <c r="J5863">
        <v>-171.55510000000001</v>
      </c>
      <c r="K5863">
        <v>1.1156159999999999</v>
      </c>
      <c r="L5863">
        <v>137.6249</v>
      </c>
      <c r="M5863">
        <v>0.9601999</v>
      </c>
      <c r="N5863">
        <v>-1.4947530000000001E-2</v>
      </c>
      <c r="O5863">
        <v>0.27891359999999998</v>
      </c>
      <c r="P5863">
        <v>0.98702440000000002</v>
      </c>
      <c r="Q5863">
        <v>0.13315969999999999</v>
      </c>
      <c r="R5863">
        <v>8.9730110000000002E-2</v>
      </c>
      <c r="S5863">
        <v>3.0667719999999998</v>
      </c>
      <c r="T5863">
        <v>-0.14029910000000001</v>
      </c>
      <c r="U5863">
        <v>-5.9219359999999999E-2</v>
      </c>
      <c r="V5863">
        <v>0.19112789999999999</v>
      </c>
      <c r="W5863">
        <v>0.14512729999999999</v>
      </c>
      <c r="X5863">
        <v>0.97077709999999995</v>
      </c>
      <c r="Y5863">
        <v>0.29689599999999999</v>
      </c>
      <c r="Z5863">
        <v>-1.7432340000000001E-2</v>
      </c>
      <c r="AA5863">
        <v>0.95475069999999995</v>
      </c>
      <c r="AB5863">
        <v>25</v>
      </c>
      <c r="AC5863">
        <v>24.1219</v>
      </c>
      <c r="AD5863">
        <v>-1.1156175323099999</v>
      </c>
      <c r="AE5863">
        <v>-0.53719999999998402</v>
      </c>
      <c r="AF5863">
        <v>7.2290991900098902</v>
      </c>
      <c r="AG5863">
        <v>-1.1156175323099999</v>
      </c>
      <c r="AH5863">
        <v>22.9654854792376</v>
      </c>
      <c r="AI5863">
        <v>92.652990809950794</v>
      </c>
      <c r="AJ5863">
        <v>72.526986903206705</v>
      </c>
      <c r="AK5863">
        <v>24.102240577889699</v>
      </c>
      <c r="AL5863">
        <v>81.655349020621102</v>
      </c>
      <c r="AM5863">
        <v>78.8619834200246</v>
      </c>
      <c r="AN5863">
        <v>0.99999999262405403</v>
      </c>
    </row>
    <row r="5864" spans="1:40" x14ac:dyDescent="0.25">
      <c r="A5864" t="str">
        <f>"20190303162719206"</f>
        <v>20190303162719206</v>
      </c>
      <c r="B5864" t="str">
        <f>"1551601639200545"</f>
        <v>1551601639200545</v>
      </c>
      <c r="C5864" t="s">
        <v>40</v>
      </c>
      <c r="D5864">
        <v>5.0070269999999999</v>
      </c>
      <c r="E5864">
        <v>0.53634729999999997</v>
      </c>
      <c r="F5864" t="s">
        <v>41</v>
      </c>
      <c r="G5864">
        <v>-154.52119999999999</v>
      </c>
      <c r="H5864" s="1">
        <v>-2.7046189999999998E-6</v>
      </c>
      <c r="I5864">
        <v>137.51939999999999</v>
      </c>
      <c r="J5864">
        <v>-171.31209999999999</v>
      </c>
      <c r="K5864">
        <v>1.1159429999999999</v>
      </c>
      <c r="L5864">
        <v>137.68639999999999</v>
      </c>
      <c r="M5864">
        <v>0.96225890000000003</v>
      </c>
      <c r="N5864">
        <v>-1.485364E-2</v>
      </c>
      <c r="O5864">
        <v>0.27173019999999998</v>
      </c>
      <c r="P5864">
        <v>0.98704550000000002</v>
      </c>
      <c r="Q5864">
        <v>0.13682649999999999</v>
      </c>
      <c r="R5864">
        <v>8.3785150000000003E-2</v>
      </c>
      <c r="S5864">
        <v>3.0682830000000001</v>
      </c>
      <c r="T5864">
        <v>-0.20095469999999999</v>
      </c>
      <c r="U5864">
        <v>-1.901245E-2</v>
      </c>
      <c r="V5864">
        <v>0.1895239</v>
      </c>
      <c r="W5864">
        <v>0.1488515</v>
      </c>
      <c r="X5864">
        <v>0.97052760000000005</v>
      </c>
      <c r="Y5864">
        <v>0.27665600000000001</v>
      </c>
      <c r="Z5864">
        <v>-2.4647160000000001E-2</v>
      </c>
      <c r="AA5864">
        <v>0.96065290000000003</v>
      </c>
      <c r="AB5864">
        <v>25</v>
      </c>
      <c r="AC5864">
        <v>16.790899999999901</v>
      </c>
      <c r="AD5864">
        <v>-1.115945704619</v>
      </c>
      <c r="AE5864">
        <v>-0.16700000000000101</v>
      </c>
      <c r="AF5864">
        <v>4.7030409063334799</v>
      </c>
      <c r="AG5864">
        <v>-1.115945704619</v>
      </c>
      <c r="AH5864">
        <v>16.042735193342502</v>
      </c>
      <c r="AI5864">
        <v>93.818918226046605</v>
      </c>
      <c r="AJ5864">
        <v>73.661129022412297</v>
      </c>
      <c r="AK5864">
        <v>16.7550971667136</v>
      </c>
      <c r="AL5864">
        <v>81.439624392926106</v>
      </c>
      <c r="AM5864">
        <v>78.950378170862606</v>
      </c>
      <c r="AN5864">
        <v>0.999999950042608</v>
      </c>
    </row>
    <row r="5865" spans="1:40" x14ac:dyDescent="0.25">
      <c r="A5865" t="str">
        <f>"20190303162719228"</f>
        <v>20190303162719228</v>
      </c>
      <c r="B5865" t="str">
        <f>"1551601639220065"</f>
        <v>1551601639220065</v>
      </c>
      <c r="C5865" t="s">
        <v>40</v>
      </c>
      <c r="D5865">
        <v>5.0635440000000003</v>
      </c>
      <c r="E5865">
        <v>0.53491279999999997</v>
      </c>
      <c r="F5865" t="s">
        <v>41</v>
      </c>
      <c r="G5865">
        <v>-152.7407</v>
      </c>
      <c r="H5865" s="1">
        <v>-3.466432E-6</v>
      </c>
      <c r="I5865">
        <v>137.5308</v>
      </c>
      <c r="J5865">
        <v>-171.05619999999999</v>
      </c>
      <c r="K5865">
        <v>1.116201</v>
      </c>
      <c r="L5865">
        <v>137.74940000000001</v>
      </c>
      <c r="M5865">
        <v>0.96428820000000004</v>
      </c>
      <c r="N5865">
        <v>-1.4764879999999999E-2</v>
      </c>
      <c r="O5865">
        <v>0.2644434</v>
      </c>
      <c r="P5865">
        <v>0.98689229999999994</v>
      </c>
      <c r="Q5865">
        <v>0.14066979999999901</v>
      </c>
      <c r="R5865">
        <v>7.9093810000000001E-2</v>
      </c>
      <c r="S5865">
        <v>3.0670929999999998</v>
      </c>
      <c r="T5865">
        <v>-0.1843003</v>
      </c>
      <c r="U5865">
        <v>-2.5695800000000001E-2</v>
      </c>
      <c r="V5865">
        <v>0.1866091</v>
      </c>
      <c r="W5865">
        <v>0.1527461</v>
      </c>
      <c r="X5865">
        <v>0.9704874</v>
      </c>
      <c r="Y5865">
        <v>0.27167069999999999</v>
      </c>
      <c r="Z5865">
        <v>-2.196261E-2</v>
      </c>
      <c r="AA5865">
        <v>0.96213970000000004</v>
      </c>
      <c r="AB5865">
        <v>25</v>
      </c>
      <c r="AC5865">
        <v>18.315499999999901</v>
      </c>
      <c r="AD5865">
        <v>-1.1162044664319899</v>
      </c>
      <c r="AE5865">
        <v>-0.21860000000000901</v>
      </c>
      <c r="AF5865">
        <v>5.0360557853911203</v>
      </c>
      <c r="AG5865">
        <v>-1.1162044664319899</v>
      </c>
      <c r="AH5865">
        <v>17.540394959696599</v>
      </c>
      <c r="AI5865">
        <v>93.500142673470194</v>
      </c>
      <c r="AJ5865">
        <v>73.980598660148999</v>
      </c>
      <c r="AK5865">
        <v>18.283140474945899</v>
      </c>
      <c r="AL5865">
        <v>81.213899770991404</v>
      </c>
      <c r="AM5865">
        <v>79.1157876574445</v>
      </c>
      <c r="AN5865">
        <v>1.0000000604133801</v>
      </c>
    </row>
    <row r="5866" spans="1:40" x14ac:dyDescent="0.25">
      <c r="A5866" t="str">
        <f>"20190303162719250"</f>
        <v>20190303162719250</v>
      </c>
      <c r="B5866" t="str">
        <f>"1551601639240561"</f>
        <v>1551601639240561</v>
      </c>
      <c r="C5866" t="s">
        <v>40</v>
      </c>
      <c r="D5866">
        <v>5.0569240000000004</v>
      </c>
      <c r="E5866">
        <v>0.53366279999999999</v>
      </c>
      <c r="F5866" t="s">
        <v>41</v>
      </c>
      <c r="G5866">
        <v>-150.69059999999999</v>
      </c>
      <c r="H5866" s="1">
        <v>-4.3425980000000001E-6</v>
      </c>
      <c r="I5866">
        <v>137.54949999999999</v>
      </c>
      <c r="J5866">
        <v>-170.82660000000001</v>
      </c>
      <c r="K5866">
        <v>1.1163609999999999</v>
      </c>
      <c r="L5866">
        <v>137.80439999999999</v>
      </c>
      <c r="M5866">
        <v>0.96602169999999998</v>
      </c>
      <c r="N5866">
        <v>-1.469646E-2</v>
      </c>
      <c r="O5866">
        <v>0.25804280000000002</v>
      </c>
      <c r="P5866">
        <v>0.98673370000000005</v>
      </c>
      <c r="Q5866">
        <v>0.1437157</v>
      </c>
      <c r="R5866">
        <v>7.5514990000000004E-2</v>
      </c>
      <c r="S5866">
        <v>3.066208</v>
      </c>
      <c r="T5866">
        <v>-0.1680537</v>
      </c>
      <c r="U5866">
        <v>-3.0090329999999998E-2</v>
      </c>
      <c r="V5866">
        <v>0.18355350000000001</v>
      </c>
      <c r="W5866">
        <v>0.15582770000000001</v>
      </c>
      <c r="X5866">
        <v>0.9705802</v>
      </c>
      <c r="Y5866">
        <v>0.2668317</v>
      </c>
      <c r="Z5866">
        <v>-1.9462190000000001E-2</v>
      </c>
      <c r="AA5866">
        <v>0.96354660000000003</v>
      </c>
      <c r="AB5866">
        <v>25</v>
      </c>
      <c r="AC5866">
        <v>20.135999999999999</v>
      </c>
      <c r="AD5866">
        <v>-1.116365342598</v>
      </c>
      <c r="AE5866">
        <v>-0.25489999999999202</v>
      </c>
      <c r="AF5866">
        <v>5.4261008538319704</v>
      </c>
      <c r="AG5866">
        <v>-1.116365342598</v>
      </c>
      <c r="AH5866">
        <v>19.328729905390201</v>
      </c>
      <c r="AI5866">
        <v>93.182779765439193</v>
      </c>
      <c r="AJ5866">
        <v>74.319122719608799</v>
      </c>
      <c r="AK5866">
        <v>20.106930193583398</v>
      </c>
      <c r="AL5866">
        <v>81.035197096974997</v>
      </c>
      <c r="AM5866">
        <v>79.290854034234698</v>
      </c>
      <c r="AN5866">
        <v>1.00000004204078</v>
      </c>
    </row>
    <row r="5867" spans="1:40" x14ac:dyDescent="0.25">
      <c r="A5867" t="str">
        <f>"20190303162719273"</f>
        <v>20190303162719273</v>
      </c>
      <c r="B5867" t="str">
        <f>"1551601639260081"</f>
        <v>1551601639260081</v>
      </c>
      <c r="C5867" t="s">
        <v>40</v>
      </c>
      <c r="D5867">
        <v>5.0990489999999999</v>
      </c>
      <c r="E5867">
        <v>0.53227369999999996</v>
      </c>
      <c r="F5867" t="s">
        <v>41</v>
      </c>
      <c r="G5867">
        <v>-149.2175</v>
      </c>
      <c r="H5867" s="1">
        <v>-7.9248909999999999E-7</v>
      </c>
      <c r="I5867">
        <v>137.58619999999999</v>
      </c>
      <c r="J5867">
        <v>-170.57650000000001</v>
      </c>
      <c r="K5867">
        <v>1.1164849999999999</v>
      </c>
      <c r="L5867">
        <v>137.86259999999999</v>
      </c>
      <c r="M5867">
        <v>0.96783779999999997</v>
      </c>
      <c r="N5867">
        <v>-1.4633729999999999E-2</v>
      </c>
      <c r="O5867">
        <v>0.25114900000000001</v>
      </c>
      <c r="P5867">
        <v>0.98682700000000001</v>
      </c>
      <c r="Q5867">
        <v>0.14481350000000001</v>
      </c>
      <c r="R5867">
        <v>7.2123939999999997E-2</v>
      </c>
      <c r="S5867">
        <v>3.0657809999999999</v>
      </c>
      <c r="T5867">
        <v>-0.15838329999999901</v>
      </c>
      <c r="U5867">
        <v>-3.0960080000000001E-2</v>
      </c>
      <c r="V5867">
        <v>0.17989349999999901</v>
      </c>
      <c r="W5867">
        <v>0.15695899999999999</v>
      </c>
      <c r="X5867">
        <v>0.97108300000000003</v>
      </c>
      <c r="Y5867">
        <v>0.26032660000000002</v>
      </c>
      <c r="Z5867">
        <v>-1.778822E-2</v>
      </c>
      <c r="AA5867">
        <v>0.96535680000000001</v>
      </c>
      <c r="AB5867">
        <v>25</v>
      </c>
      <c r="AC5867">
        <v>21.359000000000002</v>
      </c>
      <c r="AD5867">
        <v>-1.1164857924890901</v>
      </c>
      <c r="AE5867">
        <v>-0.27639999999999498</v>
      </c>
      <c r="AF5867">
        <v>5.6170595507653598</v>
      </c>
      <c r="AG5867">
        <v>-1.1164857924890901</v>
      </c>
      <c r="AH5867">
        <v>20.548698700012299</v>
      </c>
      <c r="AI5867">
        <v>93.000172505782501</v>
      </c>
      <c r="AJ5867">
        <v>74.711488260349498</v>
      </c>
      <c r="AK5867">
        <v>21.331828725769402</v>
      </c>
      <c r="AL5867">
        <v>80.969570420123304</v>
      </c>
      <c r="AM5867">
        <v>79.504911195648603</v>
      </c>
      <c r="AN5867">
        <v>0.99999999595612499</v>
      </c>
    </row>
    <row r="5868" spans="1:40" x14ac:dyDescent="0.25">
      <c r="A5868" t="str">
        <f>"20190303162719302"</f>
        <v>20190303162719302</v>
      </c>
      <c r="B5868" t="str">
        <f>"1551601639290337"</f>
        <v>1551601639290337</v>
      </c>
      <c r="C5868" t="s">
        <v>40</v>
      </c>
      <c r="D5868">
        <v>5.1240399999999999</v>
      </c>
      <c r="E5868">
        <v>0.53104629999999997</v>
      </c>
      <c r="F5868" t="s">
        <v>41</v>
      </c>
      <c r="G5868">
        <v>-149.00880000000001</v>
      </c>
      <c r="H5868" s="1">
        <v>-8.5117829999999995E-7</v>
      </c>
      <c r="I5868">
        <v>137.63249999999999</v>
      </c>
      <c r="J5868">
        <v>-170.2636</v>
      </c>
      <c r="K5868">
        <v>1.1165430000000001</v>
      </c>
      <c r="L5868">
        <v>137.93299999999999</v>
      </c>
      <c r="M5868">
        <v>0.97003209999999995</v>
      </c>
      <c r="N5868">
        <v>-1.4568640000000001E-2</v>
      </c>
      <c r="O5868">
        <v>0.24253959999999999</v>
      </c>
      <c r="P5868">
        <v>0.98687460000000005</v>
      </c>
      <c r="Q5868">
        <v>0.14623159999999999</v>
      </c>
      <c r="R5868">
        <v>6.8519399999999994E-2</v>
      </c>
      <c r="S5868">
        <v>3.0657040000000002</v>
      </c>
      <c r="T5868">
        <v>-0.15870049999999999</v>
      </c>
      <c r="U5868">
        <v>-3.2699579999999999E-2</v>
      </c>
      <c r="V5868">
        <v>0.17474020000000001</v>
      </c>
      <c r="W5868">
        <v>0.158409299999999</v>
      </c>
      <c r="X5868">
        <v>0.97178819999999999</v>
      </c>
      <c r="Y5868">
        <v>0.25230399999999997</v>
      </c>
      <c r="Z5868">
        <v>-1.7263520000000001E-2</v>
      </c>
      <c r="AA5868">
        <v>0.96749399999999997</v>
      </c>
      <c r="AB5868">
        <v>25</v>
      </c>
      <c r="AC5868">
        <v>21.2547999999999</v>
      </c>
      <c r="AD5868">
        <v>-1.1165438511782999</v>
      </c>
      <c r="AE5868">
        <v>-0.30049999999999899</v>
      </c>
      <c r="AF5868">
        <v>5.43221604830934</v>
      </c>
      <c r="AG5868">
        <v>-1.1165438511782999</v>
      </c>
      <c r="AH5868">
        <v>20.4906025433298</v>
      </c>
      <c r="AI5868">
        <v>93.015042441637206</v>
      </c>
      <c r="AJ5868">
        <v>75.152008458245703</v>
      </c>
      <c r="AK5868">
        <v>21.227822167048298</v>
      </c>
      <c r="AL5868">
        <v>80.885421412334097</v>
      </c>
      <c r="AM5868">
        <v>79.806401914233405</v>
      </c>
      <c r="AN5868">
        <v>0.99999997474088398</v>
      </c>
    </row>
    <row r="5869" spans="1:40" x14ac:dyDescent="0.25">
      <c r="A5869" t="str">
        <f>"20190303162719324"</f>
        <v>20190303162719324</v>
      </c>
      <c r="B5869" t="str">
        <f>"1551601639309857"</f>
        <v>1551601639309857</v>
      </c>
      <c r="C5869" t="s">
        <v>40</v>
      </c>
      <c r="D5869">
        <v>5.1422290000000004</v>
      </c>
      <c r="E5869">
        <v>0.52246320000000002</v>
      </c>
      <c r="F5869" t="s">
        <v>41</v>
      </c>
      <c r="G5869">
        <v>-148.4991</v>
      </c>
      <c r="H5869" s="1">
        <v>-1.01572E-6</v>
      </c>
      <c r="I5869">
        <v>137.666</v>
      </c>
      <c r="J5869">
        <v>-170.01949999999999</v>
      </c>
      <c r="K5869">
        <v>1.1165099999999999</v>
      </c>
      <c r="L5869">
        <v>137.98589999999999</v>
      </c>
      <c r="M5869">
        <v>0.97170369999999995</v>
      </c>
      <c r="N5869">
        <v>-1.452839E-2</v>
      </c>
      <c r="O5869">
        <v>0.2357564</v>
      </c>
      <c r="P5869">
        <v>0.98769620000000002</v>
      </c>
      <c r="Q5869">
        <v>0.142140299999999</v>
      </c>
      <c r="R5869">
        <v>6.5212740000000005E-2</v>
      </c>
      <c r="S5869">
        <v>3.0658259999999999</v>
      </c>
      <c r="T5869">
        <v>-0.15728020000000001</v>
      </c>
      <c r="U5869">
        <v>-3.7612920000000001E-2</v>
      </c>
      <c r="V5869">
        <v>0.1712928</v>
      </c>
      <c r="W5869">
        <v>0.15433350000000001</v>
      </c>
      <c r="X5869">
        <v>0.97305699999999995</v>
      </c>
      <c r="Y5869">
        <v>0.24711420000000001</v>
      </c>
      <c r="Z5869">
        <v>-1.66882E-2</v>
      </c>
      <c r="AA5869">
        <v>0.9688426</v>
      </c>
      <c r="AB5869">
        <v>25</v>
      </c>
      <c r="AC5869">
        <v>21.520399999999899</v>
      </c>
      <c r="AD5869">
        <v>-1.11651101572</v>
      </c>
      <c r="AE5869">
        <v>-0.31989999999998903</v>
      </c>
      <c r="AF5869">
        <v>5.3705351252656097</v>
      </c>
      <c r="AG5869">
        <v>-1.11651101572</v>
      </c>
      <c r="AH5869">
        <v>20.7823035078288</v>
      </c>
      <c r="AI5869">
        <v>92.977578841969901</v>
      </c>
      <c r="AJ5869">
        <v>75.510683267323103</v>
      </c>
      <c r="AK5869">
        <v>21.494031345269999</v>
      </c>
      <c r="AL5869">
        <v>81.121856405811997</v>
      </c>
      <c r="AM5869">
        <v>80.016185015834793</v>
      </c>
      <c r="AN5869">
        <v>0.99999998890154396</v>
      </c>
    </row>
    <row r="5870" spans="1:40" x14ac:dyDescent="0.25">
      <c r="A5870" t="str">
        <f>"20190303162719343"</f>
        <v>20190303162719343</v>
      </c>
      <c r="B5870" t="str">
        <f>"1551601639330353"</f>
        <v>1551601639330353</v>
      </c>
      <c r="C5870" t="s">
        <v>40</v>
      </c>
      <c r="D5870">
        <v>5.1396739999999896</v>
      </c>
      <c r="E5870">
        <v>0.52175559999999999</v>
      </c>
      <c r="F5870" t="s">
        <v>41</v>
      </c>
      <c r="G5870">
        <v>-153.9135</v>
      </c>
      <c r="H5870" s="1">
        <v>-2.8631019999999998E-6</v>
      </c>
      <c r="I5870">
        <v>138.0958</v>
      </c>
      <c r="J5870">
        <v>-169.80340000000001</v>
      </c>
      <c r="K5870">
        <v>1.116444</v>
      </c>
      <c r="L5870">
        <v>138.03110000000001</v>
      </c>
      <c r="M5870">
        <v>0.97317109999999996</v>
      </c>
      <c r="N5870">
        <v>-1.4500600000000001E-2</v>
      </c>
      <c r="O5870">
        <v>0.22962589999999999</v>
      </c>
      <c r="P5870">
        <v>0.98875979999999997</v>
      </c>
      <c r="Q5870">
        <v>0.13657469999999999</v>
      </c>
      <c r="R5870">
        <v>6.0843950000000001E-2</v>
      </c>
      <c r="S5870">
        <v>3.0665589999999998</v>
      </c>
      <c r="T5870">
        <v>-0.21258089999999999</v>
      </c>
      <c r="U5870">
        <v>2.0935059999999998E-2</v>
      </c>
      <c r="V5870">
        <v>0.16959170000000001</v>
      </c>
      <c r="W5870">
        <v>0.14875579999999999</v>
      </c>
      <c r="X5870">
        <v>0.97422299999999995</v>
      </c>
      <c r="Y5870">
        <v>0.22202060000000001</v>
      </c>
      <c r="Z5870">
        <v>-2.1736470000000001E-2</v>
      </c>
      <c r="AA5870">
        <v>0.97479959999999999</v>
      </c>
      <c r="AB5870">
        <v>25</v>
      </c>
      <c r="AC5870">
        <v>15.889900000000001</v>
      </c>
      <c r="AD5870">
        <v>-1.1164468631019999</v>
      </c>
      <c r="AE5870">
        <v>6.4699999999987698E-2</v>
      </c>
      <c r="AF5870">
        <v>3.5685285613652198</v>
      </c>
      <c r="AG5870">
        <v>-1.1164468631019999</v>
      </c>
      <c r="AH5870">
        <v>15.4040301130327</v>
      </c>
      <c r="AI5870">
        <v>94.038819276338799</v>
      </c>
      <c r="AJ5870">
        <v>76.956826656329099</v>
      </c>
      <c r="AK5870">
        <v>15.851340429585999</v>
      </c>
      <c r="AL5870">
        <v>81.445170135666501</v>
      </c>
      <c r="AM5870">
        <v>80.124967604621503</v>
      </c>
      <c r="AN5870">
        <v>1.0000000432357601</v>
      </c>
    </row>
    <row r="5871" spans="1:40" x14ac:dyDescent="0.25">
      <c r="A5871" t="str">
        <f>"20190303162719365"</f>
        <v>20190303162719365</v>
      </c>
      <c r="B5871" t="str">
        <f>"1551601639360609"</f>
        <v>1551601639360609</v>
      </c>
      <c r="C5871" t="s">
        <v>40</v>
      </c>
      <c r="D5871">
        <v>5.3687290000000001</v>
      </c>
      <c r="E5871">
        <v>0.52064169999999999</v>
      </c>
      <c r="F5871" t="s">
        <v>41</v>
      </c>
      <c r="G5871">
        <v>-155.59360000000001</v>
      </c>
      <c r="H5871" s="1">
        <v>-2.1417479999999998E-6</v>
      </c>
      <c r="I5871">
        <v>138.09899999999999</v>
      </c>
      <c r="J5871">
        <v>-169.56460000000001</v>
      </c>
      <c r="K5871">
        <v>1.1163510000000001</v>
      </c>
      <c r="L5871">
        <v>138.07919999999999</v>
      </c>
      <c r="M5871">
        <v>0.97477910000000001</v>
      </c>
      <c r="N5871">
        <v>-1.44796E-2</v>
      </c>
      <c r="O5871">
        <v>0.22270209999999999</v>
      </c>
      <c r="P5871">
        <v>0.98946750000000006</v>
      </c>
      <c r="Q5871">
        <v>0.13346259999999999</v>
      </c>
      <c r="R5871">
        <v>5.6051700000000003E-2</v>
      </c>
      <c r="S5871">
        <v>3.0664829999999998</v>
      </c>
      <c r="T5871">
        <v>-0.24093020000000001</v>
      </c>
      <c r="U5871">
        <v>1.46637E-2</v>
      </c>
      <c r="V5871">
        <v>0.1674727</v>
      </c>
      <c r="W5871">
        <v>0.14562310000000001</v>
      </c>
      <c r="X5871">
        <v>0.97506250000000005</v>
      </c>
      <c r="Y5871">
        <v>0.2168235</v>
      </c>
      <c r="Z5871">
        <v>-2.419253E-2</v>
      </c>
      <c r="AA5871">
        <v>0.97591099999999997</v>
      </c>
      <c r="AB5871">
        <v>25</v>
      </c>
      <c r="AC5871">
        <v>13.971</v>
      </c>
      <c r="AD5871">
        <v>-1.1163531417479999</v>
      </c>
      <c r="AE5871">
        <v>1.9800000000003599E-2</v>
      </c>
      <c r="AF5871">
        <v>3.0727752711229401</v>
      </c>
      <c r="AG5871">
        <v>-1.1163531417479999</v>
      </c>
      <c r="AH5871">
        <v>13.538037743979199</v>
      </c>
      <c r="AI5871">
        <v>94.597554110746998</v>
      </c>
      <c r="AJ5871">
        <v>77.212039551020396</v>
      </c>
      <c r="AK5871">
        <v>13.9271913234981</v>
      </c>
      <c r="AL5871">
        <v>81.626637113902405</v>
      </c>
      <c r="AM5871">
        <v>80.254205441653397</v>
      </c>
      <c r="AN5871">
        <v>1.00000003570257</v>
      </c>
    </row>
    <row r="5872" spans="1:40" x14ac:dyDescent="0.25">
      <c r="A5872" t="str">
        <f>"20190303162719385"</f>
        <v>20190303162719385</v>
      </c>
      <c r="B5872" t="str">
        <f>"1551601639370369"</f>
        <v>1551601639370369</v>
      </c>
      <c r="C5872" t="s">
        <v>40</v>
      </c>
      <c r="D5872">
        <v>5.3686129999999999</v>
      </c>
      <c r="E5872">
        <v>0.49808330000000001</v>
      </c>
      <c r="F5872" t="s">
        <v>41</v>
      </c>
      <c r="G5872">
        <v>-156.1026</v>
      </c>
      <c r="H5872" s="1">
        <v>-1.920551E-6</v>
      </c>
      <c r="I5872">
        <v>138.11500000000001</v>
      </c>
      <c r="J5872">
        <v>-169.3417</v>
      </c>
      <c r="K5872">
        <v>1.116258</v>
      </c>
      <c r="L5872">
        <v>138.1225</v>
      </c>
      <c r="M5872">
        <v>0.97627070000000005</v>
      </c>
      <c r="N5872">
        <v>-1.446685E-2</v>
      </c>
      <c r="O5872">
        <v>0.21607009999999999</v>
      </c>
      <c r="P5872">
        <v>0.98956540000000004</v>
      </c>
      <c r="Q5872">
        <v>0.13404349999999901</v>
      </c>
      <c r="R5872">
        <v>5.2848439999999997E-2</v>
      </c>
      <c r="S5872">
        <v>3.0657649999999999</v>
      </c>
      <c r="T5872">
        <v>-0.25423279999999998</v>
      </c>
      <c r="U5872">
        <v>8.1634519999999999E-3</v>
      </c>
      <c r="V5872">
        <v>0.16402229999999901</v>
      </c>
      <c r="W5872">
        <v>0.14619489999999999</v>
      </c>
      <c r="X5872">
        <v>0.97556330000000002</v>
      </c>
      <c r="Y5872">
        <v>0.21214160000000001</v>
      </c>
      <c r="Z5872">
        <v>-2.4956969999999998E-2</v>
      </c>
      <c r="AA5872">
        <v>0.97692020000000002</v>
      </c>
      <c r="AB5872">
        <v>25</v>
      </c>
      <c r="AC5872">
        <v>13.239100000000001</v>
      </c>
      <c r="AD5872">
        <v>-1.116259920551</v>
      </c>
      <c r="AE5872">
        <v>-7.4999999999931797E-3</v>
      </c>
      <c r="AF5872">
        <v>2.8479494566038501</v>
      </c>
      <c r="AG5872">
        <v>-1.116259920551</v>
      </c>
      <c r="AH5872">
        <v>12.833443083717301</v>
      </c>
      <c r="AI5872">
        <v>94.853615424492503</v>
      </c>
      <c r="AJ5872">
        <v>77.487899761355493</v>
      </c>
      <c r="AK5872">
        <v>13.192956973347901</v>
      </c>
      <c r="AL5872">
        <v>81.593520744925399</v>
      </c>
      <c r="AM5872">
        <v>80.456072285460394</v>
      </c>
      <c r="AN5872">
        <v>1.0000000079950899</v>
      </c>
    </row>
    <row r="5873" spans="1:40" x14ac:dyDescent="0.25">
      <c r="A5873" t="str">
        <f>"20190303162719407"</f>
        <v>20190303162719407</v>
      </c>
      <c r="B5873" t="str">
        <f>"1551601639400625"</f>
        <v>1551601639400625</v>
      </c>
      <c r="C5873" t="s">
        <v>40</v>
      </c>
      <c r="D5873">
        <v>5.3096030000000001</v>
      </c>
      <c r="E5873">
        <v>0.49640099999999998</v>
      </c>
      <c r="F5873" t="s">
        <v>41</v>
      </c>
      <c r="G5873">
        <v>-148.01060000000001</v>
      </c>
      <c r="H5873" s="1">
        <v>-8.8175469999999901E-7</v>
      </c>
      <c r="I5873">
        <v>139.357</v>
      </c>
      <c r="J5873">
        <v>-169.1026</v>
      </c>
      <c r="K5873">
        <v>1.1161299999999901</v>
      </c>
      <c r="L5873">
        <v>138.16679999999999</v>
      </c>
      <c r="M5873">
        <v>0.97786770000000001</v>
      </c>
      <c r="N5873">
        <v>-1.4460270000000001E-2</v>
      </c>
      <c r="O5873">
        <v>0.20872389999999999</v>
      </c>
      <c r="P5873">
        <v>0.98924920000000005</v>
      </c>
      <c r="Q5873">
        <v>0.13827600000000001</v>
      </c>
      <c r="R5873">
        <v>4.760209E-2</v>
      </c>
      <c r="S5873">
        <v>3.0438079999999998</v>
      </c>
      <c r="T5873">
        <v>-0.1592827</v>
      </c>
      <c r="U5873">
        <v>0.17616270000000001</v>
      </c>
      <c r="V5873">
        <v>0.16184019999999999</v>
      </c>
      <c r="W5873">
        <v>0.15038379999999901</v>
      </c>
      <c r="X5873">
        <v>0.97529100000000002</v>
      </c>
      <c r="Y5873">
        <v>0.1514829</v>
      </c>
      <c r="Z5873">
        <v>-1.2847799999999901E-2</v>
      </c>
      <c r="AA5873">
        <v>0.98837640000000004</v>
      </c>
      <c r="AB5873">
        <v>25</v>
      </c>
      <c r="AC5873">
        <v>21.091999999999899</v>
      </c>
      <c r="AD5873">
        <v>-1.11613088175469</v>
      </c>
      <c r="AE5873">
        <v>1.1901999999999999</v>
      </c>
      <c r="AF5873">
        <v>3.2298693069329301</v>
      </c>
      <c r="AG5873">
        <v>-1.11613088175469</v>
      </c>
      <c r="AH5873">
        <v>20.817681937957399</v>
      </c>
      <c r="AI5873">
        <v>93.032734347316904</v>
      </c>
      <c r="AJ5873">
        <v>81.180858470578599</v>
      </c>
      <c r="AK5873">
        <v>21.096295531562699</v>
      </c>
      <c r="AL5873">
        <v>81.350831337343095</v>
      </c>
      <c r="AM5873">
        <v>80.578168699586001</v>
      </c>
      <c r="AN5873">
        <v>1.0000000361597301</v>
      </c>
    </row>
    <row r="5874" spans="1:40" x14ac:dyDescent="0.25">
      <c r="A5874" t="str">
        <f>"20190303162719430"</f>
        <v>20190303162719430</v>
      </c>
      <c r="B5874" t="str">
        <f>"1551601639420145"</f>
        <v>1551601639420145</v>
      </c>
      <c r="C5874" t="s">
        <v>40</v>
      </c>
      <c r="D5874">
        <v>5.3767440000000004</v>
      </c>
      <c r="E5874">
        <v>0.49603419999999998</v>
      </c>
      <c r="F5874" t="s">
        <v>41</v>
      </c>
      <c r="G5874">
        <v>-146.11349999999999</v>
      </c>
      <c r="H5874" s="1">
        <v>-1.6772999999999901E-6</v>
      </c>
      <c r="I5874">
        <v>139.46019999999999</v>
      </c>
      <c r="J5874">
        <v>-168.845</v>
      </c>
      <c r="K5874">
        <v>1.115947</v>
      </c>
      <c r="L5874">
        <v>138.2122</v>
      </c>
      <c r="M5874">
        <v>0.97959160000000001</v>
      </c>
      <c r="N5874">
        <v>-1.4462549999999999E-2</v>
      </c>
      <c r="O5874">
        <v>0.20047770000000001</v>
      </c>
      <c r="P5874">
        <v>0.98884559999999999</v>
      </c>
      <c r="Q5874">
        <v>0.14308119999999999</v>
      </c>
      <c r="R5874">
        <v>4.1380380000000001E-2</v>
      </c>
      <c r="S5874">
        <v>3.045029</v>
      </c>
      <c r="T5874">
        <v>-0.147837</v>
      </c>
      <c r="U5874">
        <v>0.1713257</v>
      </c>
      <c r="V5874">
        <v>0.15975230000000001</v>
      </c>
      <c r="W5874">
        <v>0.15513339999999901</v>
      </c>
      <c r="X5874">
        <v>0.97489119999999996</v>
      </c>
      <c r="Y5874">
        <v>0.14481449999999901</v>
      </c>
      <c r="Z5874">
        <v>-1.130072E-2</v>
      </c>
      <c r="AA5874">
        <v>0.98939429999999995</v>
      </c>
      <c r="AB5874">
        <v>25</v>
      </c>
      <c r="AC5874">
        <v>22.7315</v>
      </c>
      <c r="AD5874">
        <v>-1.1159486773</v>
      </c>
      <c r="AE5874">
        <v>1.24799999999999</v>
      </c>
      <c r="AF5874">
        <v>3.3269828125254999</v>
      </c>
      <c r="AG5874">
        <v>-1.1159486773</v>
      </c>
      <c r="AH5874">
        <v>22.466153367125401</v>
      </c>
      <c r="AI5874">
        <v>92.8130558260996</v>
      </c>
      <c r="AJ5874">
        <v>81.576365564721499</v>
      </c>
      <c r="AK5874">
        <v>22.738562030181399</v>
      </c>
      <c r="AL5874">
        <v>81.0754669996183</v>
      </c>
      <c r="AM5874">
        <v>80.693833231910503</v>
      </c>
      <c r="AN5874">
        <v>1.00000001049414</v>
      </c>
    </row>
    <row r="5875" spans="1:40" x14ac:dyDescent="0.25">
      <c r="A5875" t="str">
        <f>"20190303162719452"</f>
        <v>20190303162719452</v>
      </c>
      <c r="B5875" t="str">
        <f>"1551601639440641"</f>
        <v>1551601639440641</v>
      </c>
      <c r="C5875" t="s">
        <v>40</v>
      </c>
      <c r="D5875">
        <v>5.3093539999999999</v>
      </c>
      <c r="E5875">
        <v>0.49558289999999999</v>
      </c>
      <c r="F5875" t="s">
        <v>41</v>
      </c>
      <c r="G5875">
        <v>-143.36060000000001</v>
      </c>
      <c r="H5875" s="1">
        <v>-2.8491879999999999E-6</v>
      </c>
      <c r="I5875">
        <v>139.51130000000001</v>
      </c>
      <c r="J5875">
        <v>-168.60159999999999</v>
      </c>
      <c r="K5875">
        <v>1.115742</v>
      </c>
      <c r="L5875">
        <v>138.2526</v>
      </c>
      <c r="M5875">
        <v>0.98122140000000002</v>
      </c>
      <c r="N5875">
        <v>-1.4474559999999999E-2</v>
      </c>
      <c r="O5875">
        <v>0.1923407</v>
      </c>
      <c r="P5875">
        <v>0.98813340000000005</v>
      </c>
      <c r="Q5875">
        <v>0.1495003</v>
      </c>
      <c r="R5875">
        <v>3.5244230000000001E-2</v>
      </c>
      <c r="S5875">
        <v>3.0466609999999998</v>
      </c>
      <c r="T5875">
        <v>-0.13341210000000001</v>
      </c>
      <c r="U5875">
        <v>0.15531919999999999</v>
      </c>
      <c r="V5875">
        <v>0.15769639999999999</v>
      </c>
      <c r="W5875">
        <v>0.16149520000000001</v>
      </c>
      <c r="X5875">
        <v>0.97419259999999996</v>
      </c>
      <c r="Y5875">
        <v>0.14188809999999999</v>
      </c>
      <c r="Z5875">
        <v>-9.6964400000000006E-3</v>
      </c>
      <c r="AA5875">
        <v>0.98983520000000003</v>
      </c>
      <c r="AB5875">
        <v>25</v>
      </c>
      <c r="AC5875">
        <v>25.2409999999999</v>
      </c>
      <c r="AD5875">
        <v>-1.115744849188</v>
      </c>
      <c r="AE5875">
        <v>1.2586999999999999</v>
      </c>
      <c r="AF5875">
        <v>3.6131452382845399</v>
      </c>
      <c r="AG5875">
        <v>-1.115744849188</v>
      </c>
      <c r="AH5875">
        <v>24.963074238947101</v>
      </c>
      <c r="AI5875">
        <v>92.532819778424695</v>
      </c>
      <c r="AJ5875">
        <v>81.764226221286094</v>
      </c>
      <c r="AK5875">
        <v>25.247866851292901</v>
      </c>
      <c r="AL5875">
        <v>80.706306724112395</v>
      </c>
      <c r="AM5875">
        <v>80.805064656425301</v>
      </c>
      <c r="AN5875">
        <v>1.00000003804537</v>
      </c>
    </row>
    <row r="5876" spans="1:40" x14ac:dyDescent="0.25">
      <c r="A5876" t="str">
        <f>"20190303162719476"</f>
        <v>20190303162719476</v>
      </c>
      <c r="B5876" t="str">
        <f>"1551601639469921"</f>
        <v>1551601639469921</v>
      </c>
      <c r="C5876" t="s">
        <v>40</v>
      </c>
      <c r="D5876">
        <v>5.3641930000000002</v>
      </c>
      <c r="E5876">
        <v>0.49513479999999999</v>
      </c>
      <c r="F5876" t="s">
        <v>41</v>
      </c>
      <c r="G5876">
        <v>-138.78790000000001</v>
      </c>
      <c r="H5876" s="1">
        <v>-5.0615219999999995E-7</v>
      </c>
      <c r="I5876">
        <v>139.63069999999999</v>
      </c>
      <c r="J5876">
        <v>-168.33879999999999</v>
      </c>
      <c r="K5876">
        <v>1.115469</v>
      </c>
      <c r="L5876">
        <v>138.2936</v>
      </c>
      <c r="M5876">
        <v>0.98298200000000002</v>
      </c>
      <c r="N5876">
        <v>-1.449807E-2</v>
      </c>
      <c r="O5876">
        <v>0.18312909999999999</v>
      </c>
      <c r="P5876">
        <v>0.98784349999999999</v>
      </c>
      <c r="Q5876">
        <v>0.1523622</v>
      </c>
      <c r="R5876">
        <v>3.0836780000000001E-2</v>
      </c>
      <c r="S5876">
        <v>3.0482640000000001</v>
      </c>
      <c r="T5876">
        <v>-0.11407730000000001</v>
      </c>
      <c r="U5876">
        <v>0.14089969999999999</v>
      </c>
      <c r="V5876">
        <v>0.15296309999999999</v>
      </c>
      <c r="W5876">
        <v>0.16434570000000001</v>
      </c>
      <c r="X5876">
        <v>0.97447050000000002</v>
      </c>
      <c r="Y5876">
        <v>0.137381</v>
      </c>
      <c r="Z5876">
        <v>-7.7089130000000004E-3</v>
      </c>
      <c r="AA5876">
        <v>0.99048829999999999</v>
      </c>
      <c r="AB5876">
        <v>25</v>
      </c>
      <c r="AC5876">
        <v>29.550899999999899</v>
      </c>
      <c r="AD5876">
        <v>-1.1154695061522</v>
      </c>
      <c r="AE5876">
        <v>1.33709999999999</v>
      </c>
      <c r="AF5876">
        <v>4.0918965270599701</v>
      </c>
      <c r="AG5876">
        <v>-1.1154695061522</v>
      </c>
      <c r="AH5876">
        <v>29.254344351633598</v>
      </c>
      <c r="AI5876">
        <v>92.162600541901497</v>
      </c>
      <c r="AJ5876">
        <v>82.037519462042098</v>
      </c>
      <c r="AK5876">
        <v>29.5601852641569</v>
      </c>
      <c r="AL5876">
        <v>80.540772907976006</v>
      </c>
      <c r="AM5876">
        <v>81.079048748098501</v>
      </c>
      <c r="AN5876">
        <v>0.99999998722017402</v>
      </c>
    </row>
    <row r="5877" spans="1:40" x14ac:dyDescent="0.25">
      <c r="A5877" t="str">
        <f>"20190303162719501"</f>
        <v>20190303162719501</v>
      </c>
      <c r="B5877" t="str">
        <f>"1551601639490417"</f>
        <v>1551601639490417</v>
      </c>
      <c r="C5877" t="s">
        <v>40</v>
      </c>
      <c r="D5877">
        <v>5.3671889999999998</v>
      </c>
      <c r="E5877">
        <v>0.49486770000000002</v>
      </c>
      <c r="F5877" t="s">
        <v>41</v>
      </c>
      <c r="G5877">
        <v>-136.05539999999999</v>
      </c>
      <c r="H5877" s="1">
        <v>-1.687396E-6</v>
      </c>
      <c r="I5877">
        <v>139.6645</v>
      </c>
      <c r="J5877">
        <v>-168.0813</v>
      </c>
      <c r="K5877">
        <v>1.115164</v>
      </c>
      <c r="L5877">
        <v>138.33080000000001</v>
      </c>
      <c r="M5877">
        <v>0.98470100000000005</v>
      </c>
      <c r="N5877">
        <v>-1.453054E-2</v>
      </c>
      <c r="O5877">
        <v>0.1736451</v>
      </c>
      <c r="P5877">
        <v>0.98832330000000002</v>
      </c>
      <c r="Q5877">
        <v>0.14987739999999999</v>
      </c>
      <c r="R5877">
        <v>2.7451340000000001E-2</v>
      </c>
      <c r="S5877">
        <v>3.049118</v>
      </c>
      <c r="T5877">
        <v>-0.1053542</v>
      </c>
      <c r="U5877">
        <v>0.12948609999999999</v>
      </c>
      <c r="V5877">
        <v>0.14704149999999999</v>
      </c>
      <c r="W5877">
        <v>0.16189049999999999</v>
      </c>
      <c r="X5877">
        <v>0.97579210000000005</v>
      </c>
      <c r="Y5877">
        <v>0.13157849999999999</v>
      </c>
      <c r="Z5877">
        <v>-6.6615009999999898E-3</v>
      </c>
      <c r="AA5877">
        <v>0.99128340000000004</v>
      </c>
      <c r="AB5877">
        <v>25</v>
      </c>
      <c r="AC5877">
        <v>32.0259</v>
      </c>
      <c r="AD5877">
        <v>-1.1151656873960001</v>
      </c>
      <c r="AE5877">
        <v>1.3336999999999899</v>
      </c>
      <c r="AF5877">
        <v>4.2431579271916799</v>
      </c>
      <c r="AG5877">
        <v>-1.1151656873960001</v>
      </c>
      <c r="AH5877">
        <v>31.732474796217101</v>
      </c>
      <c r="AI5877">
        <v>91.994960111635507</v>
      </c>
      <c r="AJ5877">
        <v>82.383782989662507</v>
      </c>
      <c r="AK5877">
        <v>32.034324409888697</v>
      </c>
      <c r="AL5877">
        <v>80.683355143968896</v>
      </c>
      <c r="AM5877">
        <v>81.430609275755899</v>
      </c>
      <c r="AN5877">
        <v>0.99999997956745401</v>
      </c>
    </row>
    <row r="5878" spans="1:40" x14ac:dyDescent="0.25">
      <c r="A5878" t="str">
        <f>"20190303162719527"</f>
        <v>20190303162719527</v>
      </c>
      <c r="B5878" t="str">
        <f>"1551601639520673"</f>
        <v>1551601639520673</v>
      </c>
      <c r="C5878" t="s">
        <v>40</v>
      </c>
      <c r="D5878">
        <v>5.1853360000000004</v>
      </c>
      <c r="E5878">
        <v>0.49435279999999998</v>
      </c>
      <c r="F5878" t="s">
        <v>41</v>
      </c>
      <c r="G5878">
        <v>-138.83760000000001</v>
      </c>
      <c r="H5878" s="1">
        <v>-5.0933009999999996E-7</v>
      </c>
      <c r="I5878">
        <v>139.45650000000001</v>
      </c>
      <c r="J5878">
        <v>-167.7912</v>
      </c>
      <c r="K5878">
        <v>1.1148020000000001</v>
      </c>
      <c r="L5878">
        <v>138.3689</v>
      </c>
      <c r="M5878">
        <v>0.98662559999999999</v>
      </c>
      <c r="N5878">
        <v>-1.4578000000000001E-2</v>
      </c>
      <c r="O5878">
        <v>0.1623502</v>
      </c>
      <c r="P5878">
        <v>0.98888229999999999</v>
      </c>
      <c r="Q5878">
        <v>0.1471208</v>
      </c>
      <c r="R5878">
        <v>2.1628479999999999E-2</v>
      </c>
      <c r="S5878">
        <v>3.04982</v>
      </c>
      <c r="T5878">
        <v>-0.1163</v>
      </c>
      <c r="U5878">
        <v>0.11740109999999999</v>
      </c>
      <c r="V5878">
        <v>0.14175650000000001</v>
      </c>
      <c r="W5878">
        <v>0.15915789999999999</v>
      </c>
      <c r="X5878">
        <v>0.97702290000000003</v>
      </c>
      <c r="Y5878">
        <v>0.124123499999999</v>
      </c>
      <c r="Z5878">
        <v>-7.0561900000000004E-3</v>
      </c>
      <c r="AA5878">
        <v>0.9922417</v>
      </c>
      <c r="AB5878">
        <v>25</v>
      </c>
      <c r="AC5878">
        <v>28.953599999999899</v>
      </c>
      <c r="AD5878">
        <v>-1.1148025093300999</v>
      </c>
      <c r="AE5878">
        <v>1.0875999999999999</v>
      </c>
      <c r="AF5878">
        <v>3.6225910697475898</v>
      </c>
      <c r="AG5878">
        <v>-1.1148025093300999</v>
      </c>
      <c r="AH5878">
        <v>28.7034945601294</v>
      </c>
      <c r="AI5878">
        <v>92.206680530877605</v>
      </c>
      <c r="AJ5878">
        <v>82.806883787233701</v>
      </c>
      <c r="AK5878">
        <v>28.952660510854599</v>
      </c>
      <c r="AL5878">
        <v>80.841978372225398</v>
      </c>
      <c r="AM5878">
        <v>81.744548189437495</v>
      </c>
      <c r="AN5878">
        <v>0.99999994477453302</v>
      </c>
    </row>
    <row r="5879" spans="1:40" x14ac:dyDescent="0.25">
      <c r="A5879" t="str">
        <f>"20190303162719547"</f>
        <v>20190303162719547</v>
      </c>
      <c r="B5879" t="str">
        <f>"1551601639540193"</f>
        <v>1551601639540193</v>
      </c>
      <c r="C5879" t="s">
        <v>40</v>
      </c>
      <c r="D5879">
        <v>5.359356</v>
      </c>
      <c r="E5879">
        <v>0.49410549999999998</v>
      </c>
      <c r="F5879" t="s">
        <v>41</v>
      </c>
      <c r="G5879">
        <v>-141.4435</v>
      </c>
      <c r="H5879" s="1">
        <v>-3.7188919999999999E-6</v>
      </c>
      <c r="I5879">
        <v>139.2449</v>
      </c>
      <c r="J5879">
        <v>-167.56299999999999</v>
      </c>
      <c r="K5879">
        <v>1.1145210000000001</v>
      </c>
      <c r="L5879">
        <v>138.39599999999999</v>
      </c>
      <c r="M5879">
        <v>0.98811210000000005</v>
      </c>
      <c r="N5879">
        <v>-1.462162E-2</v>
      </c>
      <c r="O5879">
        <v>0.15303849999999999</v>
      </c>
      <c r="P5879">
        <v>0.98920050000000004</v>
      </c>
      <c r="Q5879">
        <v>0.14557790000000001</v>
      </c>
      <c r="R5879">
        <v>1.7011120000000001E-2</v>
      </c>
      <c r="S5879">
        <v>3.0507049999999998</v>
      </c>
      <c r="T5879">
        <v>-0.12907920000000001</v>
      </c>
      <c r="U5879">
        <v>0.1014404</v>
      </c>
      <c r="V5879">
        <v>0.13720839999999901</v>
      </c>
      <c r="W5879">
        <v>0.15765409999999999</v>
      </c>
      <c r="X5879">
        <v>0.9779156</v>
      </c>
      <c r="Y5879">
        <v>0.1199272</v>
      </c>
      <c r="Z5879">
        <v>-7.6155969999999896E-3</v>
      </c>
      <c r="AA5879">
        <v>0.99275349999999996</v>
      </c>
      <c r="AB5879">
        <v>24</v>
      </c>
      <c r="AC5879">
        <v>26.119499999999899</v>
      </c>
      <c r="AD5879">
        <v>-1.11452471889199</v>
      </c>
      <c r="AE5879">
        <v>0.848899999999986</v>
      </c>
      <c r="AF5879">
        <v>3.1530833589716898</v>
      </c>
      <c r="AG5879">
        <v>-1.11452471889199</v>
      </c>
      <c r="AH5879">
        <v>25.894582590614601</v>
      </c>
      <c r="AI5879">
        <v>92.446489553570601</v>
      </c>
      <c r="AJ5879">
        <v>83.057491664060706</v>
      </c>
      <c r="AK5879">
        <v>26.109643956971201</v>
      </c>
      <c r="AL5879">
        <v>80.929241519757795</v>
      </c>
      <c r="AM5879">
        <v>82.013138896803895</v>
      </c>
      <c r="AN5879">
        <v>0.999999940500363</v>
      </c>
    </row>
    <row r="5880" spans="1:40" x14ac:dyDescent="0.25">
      <c r="A5880" t="str">
        <f>"20190303162719564"</f>
        <v>20190303162719564</v>
      </c>
      <c r="B5880" t="str">
        <f>"1551601639549953"</f>
        <v>1551601639549953</v>
      </c>
      <c r="C5880" t="s">
        <v>40</v>
      </c>
      <c r="D5880">
        <v>5.360741</v>
      </c>
      <c r="E5880">
        <v>0.4939441</v>
      </c>
      <c r="F5880" t="s">
        <v>41</v>
      </c>
      <c r="G5880">
        <v>-142.6986</v>
      </c>
      <c r="H5880" s="1">
        <v>-3.201892E-6</v>
      </c>
      <c r="I5880">
        <v>139.12389999999999</v>
      </c>
      <c r="J5880">
        <v>-167.3674</v>
      </c>
      <c r="K5880">
        <v>1.1143209999999999</v>
      </c>
      <c r="L5880">
        <v>138.41730000000001</v>
      </c>
      <c r="M5880">
        <v>0.98935130000000004</v>
      </c>
      <c r="N5880">
        <v>-1.466083E-2</v>
      </c>
      <c r="O5880">
        <v>0.14480760000000001</v>
      </c>
      <c r="P5880">
        <v>0.98910730000000002</v>
      </c>
      <c r="Q5880">
        <v>0.1463962</v>
      </c>
      <c r="R5880">
        <v>1.5337780000000001E-2</v>
      </c>
      <c r="S5880">
        <v>3.0513460000000001</v>
      </c>
      <c r="T5880">
        <v>-0.136773799999999</v>
      </c>
      <c r="U5880">
        <v>8.9340210000000003E-2</v>
      </c>
      <c r="V5880">
        <v>0.1307835</v>
      </c>
      <c r="W5880">
        <v>0.1585618</v>
      </c>
      <c r="X5880">
        <v>0.97864899999999999</v>
      </c>
      <c r="Y5880">
        <v>0.1155847</v>
      </c>
      <c r="Z5880">
        <v>-7.7736209999999997E-3</v>
      </c>
      <c r="AA5880">
        <v>0.99326720000000002</v>
      </c>
      <c r="AB5880">
        <v>24</v>
      </c>
      <c r="AC5880">
        <v>24.668800000000001</v>
      </c>
      <c r="AD5880">
        <v>-1.1143242018920001</v>
      </c>
      <c r="AE5880">
        <v>0.70659999999998002</v>
      </c>
      <c r="AF5880">
        <v>2.86761622336327</v>
      </c>
      <c r="AG5880">
        <v>-1.1143242018920001</v>
      </c>
      <c r="AH5880">
        <v>24.461191539462099</v>
      </c>
      <c r="AI5880">
        <v>92.590577152050599</v>
      </c>
      <c r="AJ5880">
        <v>83.313662795999093</v>
      </c>
      <c r="AK5880">
        <v>24.653900964384299</v>
      </c>
      <c r="AL5880">
        <v>80.876572346627796</v>
      </c>
      <c r="AM5880">
        <v>82.388274850832801</v>
      </c>
      <c r="AN5880">
        <v>1.00000001674624</v>
      </c>
    </row>
    <row r="5881" spans="1:40" x14ac:dyDescent="0.25">
      <c r="A5881" t="str">
        <f>"20190303162719587"</f>
        <v>20190303162719587</v>
      </c>
      <c r="B5881" t="str">
        <f>"1551601639580210"</f>
        <v>1551601639580210</v>
      </c>
      <c r="C5881" t="s">
        <v>40</v>
      </c>
      <c r="D5881">
        <v>5.4312379999999996</v>
      </c>
      <c r="E5881">
        <v>0.49362080000000003</v>
      </c>
      <c r="F5881" t="s">
        <v>41</v>
      </c>
      <c r="G5881">
        <v>-142.36410000000001</v>
      </c>
      <c r="H5881" s="1">
        <v>-3.345684E-6</v>
      </c>
      <c r="I5881">
        <v>139.1223</v>
      </c>
      <c r="J5881">
        <v>-167.1276</v>
      </c>
      <c r="K5881">
        <v>1.114109</v>
      </c>
      <c r="L5881">
        <v>138.44059999999999</v>
      </c>
      <c r="M5881">
        <v>0.99082210000000004</v>
      </c>
      <c r="N5881">
        <v>-1.470835E-2</v>
      </c>
      <c r="O5881">
        <v>0.13437009999999999</v>
      </c>
      <c r="P5881">
        <v>0.98855409999999999</v>
      </c>
      <c r="Q5881">
        <v>0.15030070000000001</v>
      </c>
      <c r="R5881">
        <v>1.307286E-2</v>
      </c>
      <c r="S5881">
        <v>3.0518339999999999</v>
      </c>
      <c r="T5881">
        <v>-0.1360111</v>
      </c>
      <c r="U5881">
        <v>8.6059570000000002E-2</v>
      </c>
      <c r="V5881">
        <v>0.122764899999999</v>
      </c>
      <c r="W5881">
        <v>0.1625887</v>
      </c>
      <c r="X5881">
        <v>0.97902690000000003</v>
      </c>
      <c r="Y5881">
        <v>0.1061998</v>
      </c>
      <c r="Z5881">
        <v>-7.1335749999999996E-3</v>
      </c>
      <c r="AA5881">
        <v>0.99431919999999996</v>
      </c>
      <c r="AB5881">
        <v>24</v>
      </c>
      <c r="AC5881">
        <v>24.763500000000001</v>
      </c>
      <c r="AD5881">
        <v>-1.1141123456839901</v>
      </c>
      <c r="AE5881">
        <v>0.68170000000000597</v>
      </c>
      <c r="AF5881">
        <v>2.6469636468439202</v>
      </c>
      <c r="AG5881">
        <v>-1.1141123456839901</v>
      </c>
      <c r="AH5881">
        <v>24.5807699074197</v>
      </c>
      <c r="AI5881">
        <v>92.5802327258193</v>
      </c>
      <c r="AJ5881">
        <v>83.853826399354304</v>
      </c>
      <c r="AK5881">
        <v>24.747967837946401</v>
      </c>
      <c r="AL5881">
        <v>80.642814201009301</v>
      </c>
      <c r="AM5881">
        <v>82.8527113477314</v>
      </c>
      <c r="AN5881">
        <v>0.99999998848165395</v>
      </c>
    </row>
    <row r="5882" spans="1:40" x14ac:dyDescent="0.25">
      <c r="A5882" t="str">
        <f>"20190303162719613"</f>
        <v>20190303162719613</v>
      </c>
      <c r="B5882" t="str">
        <f>"1551601639600705"</f>
        <v>1551601639600705</v>
      </c>
      <c r="C5882" t="s">
        <v>40</v>
      </c>
      <c r="D5882">
        <v>5.4301320000000004</v>
      </c>
      <c r="E5882">
        <v>0.49332609999999899</v>
      </c>
      <c r="F5882" t="s">
        <v>41</v>
      </c>
      <c r="G5882">
        <v>-140.6352</v>
      </c>
      <c r="H5882" s="1">
        <v>-4.084544E-6</v>
      </c>
      <c r="I5882">
        <v>139.13839999999999</v>
      </c>
      <c r="J5882">
        <v>-166.83070000000001</v>
      </c>
      <c r="K5882">
        <v>1.11389</v>
      </c>
      <c r="L5882">
        <v>138.46530000000001</v>
      </c>
      <c r="M5882">
        <v>0.99254169999999997</v>
      </c>
      <c r="N5882">
        <v>-1.47644E-2</v>
      </c>
      <c r="O5882">
        <v>0.121008199999999</v>
      </c>
      <c r="P5882">
        <v>0.98771580000000003</v>
      </c>
      <c r="Q5882">
        <v>0.15604789999999999</v>
      </c>
      <c r="R5882">
        <v>8.1642609999999904E-3</v>
      </c>
      <c r="S5882">
        <v>3.0531920000000001</v>
      </c>
      <c r="T5882">
        <v>-0.12839890000000001</v>
      </c>
      <c r="U5882">
        <v>8.042908E-2</v>
      </c>
      <c r="V5882">
        <v>0.1145052</v>
      </c>
      <c r="W5882">
        <v>0.1684716</v>
      </c>
      <c r="X5882">
        <v>0.97903309999999999</v>
      </c>
      <c r="Y5882">
        <v>9.4682089999999997E-2</v>
      </c>
      <c r="Z5882">
        <v>-5.9736399999999997E-3</v>
      </c>
      <c r="AA5882">
        <v>0.99548970000000003</v>
      </c>
      <c r="AB5882">
        <v>24</v>
      </c>
      <c r="AC5882">
        <v>26.195499999999999</v>
      </c>
      <c r="AD5882">
        <v>-1.113894084544</v>
      </c>
      <c r="AE5882">
        <v>0.67309999999997605</v>
      </c>
      <c r="AF5882">
        <v>2.4975502458508698</v>
      </c>
      <c r="AG5882">
        <v>-1.113894084544</v>
      </c>
      <c r="AH5882">
        <v>26.037371533955898</v>
      </c>
      <c r="AI5882">
        <v>92.438474585755301</v>
      </c>
      <c r="AJ5882">
        <v>84.5208520353399</v>
      </c>
      <c r="AK5882">
        <v>26.1805888715168</v>
      </c>
      <c r="AL5882">
        <v>80.301033133188298</v>
      </c>
      <c r="AM5882">
        <v>83.329139428573797</v>
      </c>
      <c r="AN5882">
        <v>0.99999996586460405</v>
      </c>
    </row>
    <row r="5883" spans="1:40" x14ac:dyDescent="0.25">
      <c r="A5883" t="str">
        <f>"20190303162719633"</f>
        <v>20190303162719633</v>
      </c>
      <c r="B5883" t="str">
        <f>"1551601639620226"</f>
        <v>1551601639620226</v>
      </c>
      <c r="C5883" t="s">
        <v>40</v>
      </c>
      <c r="D5883">
        <v>5.5447379999999997</v>
      </c>
      <c r="E5883">
        <v>0.49335119999999999</v>
      </c>
      <c r="F5883" t="s">
        <v>41</v>
      </c>
      <c r="G5883">
        <v>-136.60759999999999</v>
      </c>
      <c r="H5883" s="1">
        <v>-1.5240989999999999E-6</v>
      </c>
      <c r="I5883">
        <v>139.12889999999999</v>
      </c>
      <c r="J5883">
        <v>-166.6</v>
      </c>
      <c r="K5883">
        <v>1.113745</v>
      </c>
      <c r="L5883">
        <v>138.48159999999999</v>
      </c>
      <c r="M5883">
        <v>0.99378339999999998</v>
      </c>
      <c r="N5883">
        <v>-1.480676E-2</v>
      </c>
      <c r="O5883">
        <v>0.11034289999999899</v>
      </c>
      <c r="P5883">
        <v>0.98722889999999996</v>
      </c>
      <c r="Q5883">
        <v>0.15926070000000001</v>
      </c>
      <c r="R5883">
        <v>3.9240109999999998E-3</v>
      </c>
      <c r="S5883">
        <v>3.054535</v>
      </c>
      <c r="T5883">
        <v>-0.1125767</v>
      </c>
      <c r="U5883">
        <v>6.7062380000000005E-2</v>
      </c>
      <c r="V5883">
        <v>0.10824540000000001</v>
      </c>
      <c r="W5883">
        <v>0.17180309999999999</v>
      </c>
      <c r="X5883">
        <v>0.97916630000000004</v>
      </c>
      <c r="Y5883">
        <v>8.8402250000000002E-2</v>
      </c>
      <c r="Z5883">
        <v>-4.7042610000000004E-3</v>
      </c>
      <c r="AA5883">
        <v>0.99607369999999995</v>
      </c>
      <c r="AB5883">
        <v>24</v>
      </c>
      <c r="AC5883">
        <v>29.9924</v>
      </c>
      <c r="AD5883">
        <v>-1.1137465240990001</v>
      </c>
      <c r="AE5883">
        <v>0.64730000000000099</v>
      </c>
      <c r="AF5883">
        <v>2.66279422521739</v>
      </c>
      <c r="AG5883">
        <v>-1.1137465240990001</v>
      </c>
      <c r="AH5883">
        <v>29.8395180762781</v>
      </c>
      <c r="AI5883">
        <v>92.129094182254207</v>
      </c>
      <c r="AJ5883">
        <v>84.900593996100497</v>
      </c>
      <c r="AK5883">
        <v>29.9787882248486</v>
      </c>
      <c r="AL5883">
        <v>80.107328401578499</v>
      </c>
      <c r="AM5883">
        <v>83.691650364719806</v>
      </c>
      <c r="AN5883">
        <v>1.00000000742323</v>
      </c>
    </row>
    <row r="5884" spans="1:40" x14ac:dyDescent="0.25">
      <c r="A5884" t="str">
        <f>"20190303162719657"</f>
        <v>20190303162719657</v>
      </c>
      <c r="B5884" t="str">
        <f>"1551601639650481"</f>
        <v>1551601639650481</v>
      </c>
      <c r="C5884" t="s">
        <v>40</v>
      </c>
      <c r="D5884">
        <v>5.4866599999999996</v>
      </c>
      <c r="E5884">
        <v>0.4908748</v>
      </c>
      <c r="F5884" t="s">
        <v>41</v>
      </c>
      <c r="G5884">
        <v>-134.4076</v>
      </c>
      <c r="H5884" s="1">
        <v>-2.481596E-6</v>
      </c>
      <c r="I5884">
        <v>139.05160000000001</v>
      </c>
      <c r="J5884">
        <v>-166.3492</v>
      </c>
      <c r="K5884">
        <v>1.113602</v>
      </c>
      <c r="L5884">
        <v>138.49610000000001</v>
      </c>
      <c r="M5884">
        <v>0.99502460000000004</v>
      </c>
      <c r="N5884">
        <v>-1.4850530000000001E-2</v>
      </c>
      <c r="O5884">
        <v>9.8517859999999999E-2</v>
      </c>
      <c r="P5884">
        <v>0.98715589999999998</v>
      </c>
      <c r="Q5884">
        <v>0.1597536</v>
      </c>
      <c r="R5884">
        <v>-1.5313799999999999E-3</v>
      </c>
      <c r="S5884">
        <v>3.0556640000000002</v>
      </c>
      <c r="T5884">
        <v>-0.1057155</v>
      </c>
      <c r="U5884">
        <v>5.4107669999999997E-2</v>
      </c>
      <c r="V5884">
        <v>0.1020556</v>
      </c>
      <c r="W5884">
        <v>0.17242929999999901</v>
      </c>
      <c r="X5884">
        <v>0.97972079999999995</v>
      </c>
      <c r="Y5884">
        <v>8.0806799999999998E-2</v>
      </c>
      <c r="Z5884">
        <v>-3.9349750000000003E-3</v>
      </c>
      <c r="AA5884">
        <v>0.996722</v>
      </c>
      <c r="AB5884">
        <v>24</v>
      </c>
      <c r="AC5884">
        <v>31.941599999999902</v>
      </c>
      <c r="AD5884">
        <v>-1.113604481596</v>
      </c>
      <c r="AE5884">
        <v>0.555499999999995</v>
      </c>
      <c r="AF5884">
        <v>2.5912190383938798</v>
      </c>
      <c r="AG5884">
        <v>-1.113604481596</v>
      </c>
      <c r="AH5884">
        <v>31.802268129094902</v>
      </c>
      <c r="AI5884">
        <v>91.998860223909901</v>
      </c>
      <c r="AJ5884">
        <v>85.341883491588902</v>
      </c>
      <c r="AK5884">
        <v>31.927085510600701</v>
      </c>
      <c r="AL5884">
        <v>80.070906444661802</v>
      </c>
      <c r="AM5884">
        <v>84.053058843155696</v>
      </c>
      <c r="AN5884">
        <v>1.0000000274712399</v>
      </c>
    </row>
    <row r="5885" spans="1:40" x14ac:dyDescent="0.25">
      <c r="A5885" t="str">
        <f>"20190303162719680"</f>
        <v>20190303162719680</v>
      </c>
      <c r="B5885" t="str">
        <f>"1551601639660241"</f>
        <v>1551601639660241</v>
      </c>
      <c r="C5885" t="s">
        <v>40</v>
      </c>
      <c r="D5885">
        <v>5.4228420000000002</v>
      </c>
      <c r="E5885">
        <v>0.49074830000000003</v>
      </c>
      <c r="F5885" t="s">
        <v>41</v>
      </c>
      <c r="G5885">
        <v>-144.51419999999999</v>
      </c>
      <c r="H5885" s="1">
        <v>-2.464941E-6</v>
      </c>
      <c r="I5885">
        <v>138.8877</v>
      </c>
      <c r="J5885">
        <v>-166.09729999999999</v>
      </c>
      <c r="K5885">
        <v>1.113507</v>
      </c>
      <c r="L5885">
        <v>138.50749999999999</v>
      </c>
      <c r="M5885">
        <v>0.99614420000000004</v>
      </c>
      <c r="N5885">
        <v>-1.4889319999999999E-2</v>
      </c>
      <c r="O5885">
        <v>8.6458419999999994E-2</v>
      </c>
      <c r="P5885">
        <v>0.98713119999999999</v>
      </c>
      <c r="Q5885">
        <v>0.15977930000000001</v>
      </c>
      <c r="R5885">
        <v>-6.5229169999999996E-3</v>
      </c>
      <c r="S5885">
        <v>3.0643919999999998</v>
      </c>
      <c r="T5885">
        <v>-0.15628639999999999</v>
      </c>
      <c r="U5885">
        <v>5.4962160000000003E-2</v>
      </c>
      <c r="V5885">
        <v>9.5166470000000003E-2</v>
      </c>
      <c r="W5885">
        <v>0.1726106</v>
      </c>
      <c r="X5885">
        <v>0.98038199999999998</v>
      </c>
      <c r="Y5885">
        <v>6.8417530000000004E-2</v>
      </c>
      <c r="Z5885">
        <v>-5.366343E-3</v>
      </c>
      <c r="AA5885">
        <v>0.99764229999999998</v>
      </c>
      <c r="AB5885">
        <v>24</v>
      </c>
      <c r="AC5885">
        <v>21.583100000000002</v>
      </c>
      <c r="AD5885">
        <v>-1.113509464941</v>
      </c>
      <c r="AE5885">
        <v>0.38020000000000198</v>
      </c>
      <c r="AF5885">
        <v>1.4835240952802</v>
      </c>
      <c r="AG5885">
        <v>-1.113509464941</v>
      </c>
      <c r="AH5885">
        <v>21.4779880332832</v>
      </c>
      <c r="AI5885">
        <v>92.960755975395699</v>
      </c>
      <c r="AJ5885">
        <v>86.048750960164995</v>
      </c>
      <c r="AK5885">
        <v>21.5579386080313</v>
      </c>
      <c r="AL5885">
        <v>80.060360029751806</v>
      </c>
      <c r="AM5885">
        <v>84.455623421961306</v>
      </c>
      <c r="AN5885">
        <v>0.99999997108431005</v>
      </c>
    </row>
    <row r="5886" spans="1:40" x14ac:dyDescent="0.25">
      <c r="A5886" t="str">
        <f>"20190303162719720"</f>
        <v>20190303162719720</v>
      </c>
      <c r="B5886" t="str">
        <f>"1551601639710017"</f>
        <v>1551601639710017</v>
      </c>
      <c r="C5886" t="s">
        <v>40</v>
      </c>
      <c r="D5886">
        <v>5.5430440000000001</v>
      </c>
      <c r="E5886">
        <v>0.49064039999999998</v>
      </c>
      <c r="F5886" t="s">
        <v>41</v>
      </c>
      <c r="G5886">
        <v>-144.38910000000001</v>
      </c>
      <c r="H5886" s="1">
        <v>-2.536501E-6</v>
      </c>
      <c r="I5886">
        <v>138.7868</v>
      </c>
      <c r="J5886">
        <v>-165.65549999999999</v>
      </c>
      <c r="K5886">
        <v>1.113434</v>
      </c>
      <c r="L5886">
        <v>138.5196</v>
      </c>
      <c r="M5886">
        <v>0.99776880000000001</v>
      </c>
      <c r="N5886">
        <v>-1.493765E-2</v>
      </c>
      <c r="O5886">
        <v>6.5074000000000007E-2</v>
      </c>
      <c r="P5886">
        <v>0.98718740000000005</v>
      </c>
      <c r="Q5886">
        <v>0.1587895</v>
      </c>
      <c r="R5886">
        <v>-1.5723689999999999E-2</v>
      </c>
      <c r="S5886">
        <v>3.064819</v>
      </c>
      <c r="T5886">
        <v>-0.15720799999999999</v>
      </c>
      <c r="U5886">
        <v>3.9443970000000002E-2</v>
      </c>
      <c r="V5886">
        <v>8.3259949999999999E-2</v>
      </c>
      <c r="W5886">
        <v>0.17190179999999999</v>
      </c>
      <c r="X5886">
        <v>0.9815893</v>
      </c>
      <c r="Y5886">
        <v>5.210302E-2</v>
      </c>
      <c r="Z5886">
        <v>-4.0861279999999996E-3</v>
      </c>
      <c r="AA5886">
        <v>0.9986334</v>
      </c>
      <c r="AB5886">
        <v>24</v>
      </c>
      <c r="AC5886">
        <v>21.266399999999901</v>
      </c>
      <c r="AD5886">
        <v>-1.1134365365009999</v>
      </c>
      <c r="AE5886">
        <v>0.26720000000000199</v>
      </c>
      <c r="AF5886">
        <v>1.1143561677571501</v>
      </c>
      <c r="AG5886">
        <v>-1.1134365365009999</v>
      </c>
      <c r="AH5886">
        <v>21.180652722307698</v>
      </c>
      <c r="AI5886">
        <v>93.005038581412194</v>
      </c>
      <c r="AJ5886">
        <v>86.988332088184407</v>
      </c>
      <c r="AK5886">
        <v>21.239152062463202</v>
      </c>
      <c r="AL5886">
        <v>80.101587840835606</v>
      </c>
      <c r="AM5886">
        <v>85.151686926666898</v>
      </c>
      <c r="AN5886">
        <v>1.0000000009958601</v>
      </c>
    </row>
    <row r="5887" spans="1:40" x14ac:dyDescent="0.25">
      <c r="A5887" t="str">
        <f>"20190303162719747"</f>
        <v>20190303162719747</v>
      </c>
      <c r="B5887" t="str">
        <f>"1551601639739804"</f>
        <v>1551601639739804</v>
      </c>
      <c r="C5887" t="s">
        <v>40</v>
      </c>
      <c r="D5887">
        <v>5.4859369999999998</v>
      </c>
      <c r="E5887">
        <v>0.49066700000000002</v>
      </c>
      <c r="F5887" t="s">
        <v>41</v>
      </c>
      <c r="G5887">
        <v>-145.45160000000001</v>
      </c>
      <c r="H5887" s="1">
        <v>-2.111367E-6</v>
      </c>
      <c r="I5887">
        <v>138.6138</v>
      </c>
      <c r="J5887">
        <v>-165.3597</v>
      </c>
      <c r="K5887">
        <v>1.113459</v>
      </c>
      <c r="L5887">
        <v>138.5222</v>
      </c>
      <c r="M5887">
        <v>0.99860130000000003</v>
      </c>
      <c r="N5887">
        <v>-1.495493E-2</v>
      </c>
      <c r="O5887">
        <v>5.0713179999999997E-2</v>
      </c>
      <c r="P5887">
        <v>0.98735569999999895</v>
      </c>
      <c r="Q5887">
        <v>0.1568484</v>
      </c>
      <c r="R5887">
        <v>-2.2965360000000001E-2</v>
      </c>
      <c r="S5887">
        <v>3.0663450000000001</v>
      </c>
      <c r="T5887">
        <v>-0.16898569999999999</v>
      </c>
      <c r="U5887">
        <v>1.429749E-2</v>
      </c>
      <c r="V5887">
        <v>7.6285320000000004E-2</v>
      </c>
      <c r="W5887">
        <v>0.17013059999999999</v>
      </c>
      <c r="X5887">
        <v>0.98246429999999996</v>
      </c>
      <c r="Y5887">
        <v>4.5932220000000003E-2</v>
      </c>
      <c r="Z5887">
        <v>-3.6418800000000001E-3</v>
      </c>
      <c r="AA5887">
        <v>0.99893790000000005</v>
      </c>
      <c r="AB5887">
        <v>24</v>
      </c>
      <c r="AC5887">
        <v>19.908099999999902</v>
      </c>
      <c r="AD5887">
        <v>-1.1134611113670001</v>
      </c>
      <c r="AE5887">
        <v>9.1599999999999598E-2</v>
      </c>
      <c r="AF5887">
        <v>0.91537047704945895</v>
      </c>
      <c r="AG5887">
        <v>-1.1134611113670001</v>
      </c>
      <c r="AH5887">
        <v>19.8251085258524</v>
      </c>
      <c r="AI5887">
        <v>93.211179752912699</v>
      </c>
      <c r="AJ5887">
        <v>87.356400726587196</v>
      </c>
      <c r="AK5887">
        <v>19.8774401475292</v>
      </c>
      <c r="AL5887">
        <v>80.204587360131001</v>
      </c>
      <c r="AM5887">
        <v>85.560068140801604</v>
      </c>
      <c r="AN5887">
        <v>0.99999998593917605</v>
      </c>
    </row>
    <row r="5888" spans="1:40" x14ac:dyDescent="0.25">
      <c r="A5888" t="str">
        <f>"20190303162719768"</f>
        <v>20190303162719768</v>
      </c>
      <c r="B5888" t="str">
        <f>"1551601639761276"</f>
        <v>1551601639761276</v>
      </c>
      <c r="C5888" t="s">
        <v>40</v>
      </c>
      <c r="D5888">
        <v>5.4862929999999999</v>
      </c>
      <c r="E5888">
        <v>0.49038389999999998</v>
      </c>
      <c r="F5888" t="s">
        <v>41</v>
      </c>
      <c r="G5888">
        <v>-146.58510000000001</v>
      </c>
      <c r="H5888" s="1">
        <v>-1.650435E-6</v>
      </c>
      <c r="I5888">
        <v>138.47110000000001</v>
      </c>
      <c r="J5888">
        <v>-165.13329999999999</v>
      </c>
      <c r="K5888">
        <v>1.113518</v>
      </c>
      <c r="L5888">
        <v>138.5214</v>
      </c>
      <c r="M5888">
        <v>0.99909689999999995</v>
      </c>
      <c r="N5888">
        <v>-1.496101E-2</v>
      </c>
      <c r="O5888">
        <v>3.977079E-2</v>
      </c>
      <c r="P5888">
        <v>0.98781350000000001</v>
      </c>
      <c r="Q5888">
        <v>0.15375039999999901</v>
      </c>
      <c r="R5888">
        <v>-2.419402E-2</v>
      </c>
      <c r="S5888">
        <v>3.067123</v>
      </c>
      <c r="T5888">
        <v>-0.18190029999999999</v>
      </c>
      <c r="U5888">
        <v>-8.3465580000000004E-3</v>
      </c>
      <c r="V5888">
        <v>6.6654019999999994E-2</v>
      </c>
      <c r="W5888">
        <v>0.16724990000000001</v>
      </c>
      <c r="X5888">
        <v>0.9836589</v>
      </c>
      <c r="Y5888">
        <v>4.2361950000000002E-2</v>
      </c>
      <c r="Z5888">
        <v>-3.333712E-3</v>
      </c>
      <c r="AA5888">
        <v>0.99909680000000001</v>
      </c>
      <c r="AB5888">
        <v>24</v>
      </c>
      <c r="AC5888">
        <v>18.548199999999898</v>
      </c>
      <c r="AD5888">
        <v>-1.113519650435</v>
      </c>
      <c r="AE5888">
        <v>-5.0299999999992899E-2</v>
      </c>
      <c r="AF5888">
        <v>0.78518942328500096</v>
      </c>
      <c r="AG5888">
        <v>-1.113519650435</v>
      </c>
      <c r="AH5888">
        <v>18.4649728121693</v>
      </c>
      <c r="AI5888">
        <v>93.4479016516797</v>
      </c>
      <c r="AJ5888">
        <v>87.565067990996695</v>
      </c>
      <c r="AK5888">
        <v>18.515174030953499</v>
      </c>
      <c r="AL5888">
        <v>80.372039825538295</v>
      </c>
      <c r="AM5888">
        <v>86.123488546993599</v>
      </c>
      <c r="AN5888">
        <v>1.0000000594906799</v>
      </c>
    </row>
    <row r="5889" spans="1:40" x14ac:dyDescent="0.25">
      <c r="A5889" t="str">
        <f>"20190303162719791"</f>
        <v>20190303162719791</v>
      </c>
      <c r="B5889" t="str">
        <f>"1551601639779821"</f>
        <v>1551601639779821</v>
      </c>
      <c r="C5889" t="s">
        <v>40</v>
      </c>
      <c r="D5889">
        <v>5.4917899999999999</v>
      </c>
      <c r="E5889">
        <v>0.49028830000000001</v>
      </c>
      <c r="F5889" t="s">
        <v>41</v>
      </c>
      <c r="G5889">
        <v>-147.65790000000001</v>
      </c>
      <c r="H5889" s="1">
        <v>-1.1937389999999999E-6</v>
      </c>
      <c r="I5889">
        <v>138.4512</v>
      </c>
      <c r="J5889">
        <v>-164.8689</v>
      </c>
      <c r="K5889">
        <v>1.1136219999999999</v>
      </c>
      <c r="L5889">
        <v>138.51730000000001</v>
      </c>
      <c r="M5889">
        <v>0.9995212</v>
      </c>
      <c r="N5889">
        <v>-1.4960559999999999E-2</v>
      </c>
      <c r="O5889">
        <v>2.7086079999999998E-2</v>
      </c>
      <c r="P5889">
        <v>0.98810679999999995</v>
      </c>
      <c r="Q5889">
        <v>0.15185019999999999</v>
      </c>
      <c r="R5889">
        <v>-2.422092E-2</v>
      </c>
      <c r="S5889">
        <v>3.067123</v>
      </c>
      <c r="T5889">
        <v>-0.19543369999999999</v>
      </c>
      <c r="U5889">
        <v>-1.231384E-2</v>
      </c>
      <c r="V5889">
        <v>5.4092559999999998E-2</v>
      </c>
      <c r="W5889">
        <v>0.16561600000000001</v>
      </c>
      <c r="X5889">
        <v>0.98470570000000002</v>
      </c>
      <c r="Y5889">
        <v>3.099238E-2</v>
      </c>
      <c r="Z5889">
        <v>-2.5375749999999998E-3</v>
      </c>
      <c r="AA5889">
        <v>0.99951639999999997</v>
      </c>
      <c r="AB5889">
        <v>24</v>
      </c>
      <c r="AC5889">
        <v>17.210999999999899</v>
      </c>
      <c r="AD5889">
        <v>-1.113623193739</v>
      </c>
      <c r="AE5889">
        <v>-6.6100000000005807E-2</v>
      </c>
      <c r="AF5889">
        <v>0.53008717516945603</v>
      </c>
      <c r="AG5889">
        <v>-1.113623193739</v>
      </c>
      <c r="AH5889">
        <v>17.1311725827345</v>
      </c>
      <c r="AI5889">
        <v>93.717542668015199</v>
      </c>
      <c r="AJ5889">
        <v>88.227671218267304</v>
      </c>
      <c r="AK5889">
        <v>17.175512309399899</v>
      </c>
      <c r="AL5889">
        <v>80.466978883312805</v>
      </c>
      <c r="AM5889">
        <v>86.855747293927905</v>
      </c>
      <c r="AN5889">
        <v>0.99999999005792095</v>
      </c>
    </row>
    <row r="5890" spans="1:40" x14ac:dyDescent="0.25">
      <c r="A5890" t="str">
        <f>"20190303162719817"</f>
        <v>20190303162719817</v>
      </c>
      <c r="B5890" t="str">
        <f>"1551601639810077"</f>
        <v>1551601639810077</v>
      </c>
      <c r="C5890" t="s">
        <v>40</v>
      </c>
      <c r="D5890">
        <v>5.5614759999999999</v>
      </c>
      <c r="E5890">
        <v>0.49001729999999999</v>
      </c>
      <c r="F5890" t="s">
        <v>41</v>
      </c>
      <c r="G5890">
        <v>-148.0804</v>
      </c>
      <c r="H5890" s="1">
        <v>-1.0147269999999999E-6</v>
      </c>
      <c r="I5890">
        <v>138.4383</v>
      </c>
      <c r="J5890">
        <v>-164.59190000000001</v>
      </c>
      <c r="K5890">
        <v>1.113775</v>
      </c>
      <c r="L5890">
        <v>138.50970000000001</v>
      </c>
      <c r="M5890">
        <v>0.99979070000000003</v>
      </c>
      <c r="N5890">
        <v>-1.495204E-2</v>
      </c>
      <c r="O5890">
        <v>1.396207E-2</v>
      </c>
      <c r="P5890">
        <v>0.98788390000000004</v>
      </c>
      <c r="Q5890">
        <v>0.15357170000000001</v>
      </c>
      <c r="R5890">
        <v>-2.238132E-2</v>
      </c>
      <c r="S5890">
        <v>3.0670320000000002</v>
      </c>
      <c r="T5890">
        <v>-0.20344380000000001</v>
      </c>
      <c r="U5890">
        <v>-1.441956E-2</v>
      </c>
      <c r="V5890">
        <v>3.9265109999999999E-2</v>
      </c>
      <c r="W5890">
        <v>0.16762550000000001</v>
      </c>
      <c r="X5890">
        <v>0.98506850000000001</v>
      </c>
      <c r="Y5890">
        <v>1.859593E-2</v>
      </c>
      <c r="Z5890">
        <v>-1.471799E-3</v>
      </c>
      <c r="AA5890">
        <v>0.99982599999999999</v>
      </c>
      <c r="AB5890">
        <v>24</v>
      </c>
      <c r="AC5890">
        <v>16.511500000000002</v>
      </c>
      <c r="AD5890">
        <v>-1.1137760147269999</v>
      </c>
      <c r="AE5890">
        <v>-7.1400000000011205E-2</v>
      </c>
      <c r="AF5890">
        <v>0.300585862031441</v>
      </c>
      <c r="AG5890">
        <v>-1.1137760147269999</v>
      </c>
      <c r="AH5890">
        <v>16.434117411303902</v>
      </c>
      <c r="AI5890">
        <v>93.876484955023898</v>
      </c>
      <c r="AJ5890">
        <v>88.952156618432198</v>
      </c>
      <c r="AK5890">
        <v>16.474558080869901</v>
      </c>
      <c r="AL5890">
        <v>80.350210825790597</v>
      </c>
      <c r="AM5890">
        <v>87.717382361116805</v>
      </c>
      <c r="AN5890">
        <v>1.0000000034029</v>
      </c>
    </row>
    <row r="5891" spans="1:40" x14ac:dyDescent="0.25">
      <c r="A5891" t="str">
        <f>"20190303162719853"</f>
        <v>20190303162719853</v>
      </c>
      <c r="B5891" t="str">
        <f>"1551601639840332"</f>
        <v>1551601639840332</v>
      </c>
      <c r="C5891" t="s">
        <v>40</v>
      </c>
      <c r="D5891">
        <v>5.5551149999999998</v>
      </c>
      <c r="E5891">
        <v>0.49007650000000003</v>
      </c>
      <c r="F5891" t="s">
        <v>41</v>
      </c>
      <c r="G5891">
        <v>-147.51779999999999</v>
      </c>
      <c r="H5891" s="1">
        <v>-1.251515E-6</v>
      </c>
      <c r="I5891">
        <v>138.4641</v>
      </c>
      <c r="J5891">
        <v>-164.197</v>
      </c>
      <c r="K5891">
        <v>1.1140950000000001</v>
      </c>
      <c r="L5891">
        <v>138.49289999999999</v>
      </c>
      <c r="M5891">
        <v>0.99987990000000004</v>
      </c>
      <c r="N5891">
        <v>-1.4918590000000001E-2</v>
      </c>
      <c r="O5891">
        <v>-4.207382E-3</v>
      </c>
      <c r="P5891">
        <v>0.98635919999999999</v>
      </c>
      <c r="Q5891">
        <v>0.16433629999999999</v>
      </c>
      <c r="R5891">
        <v>-9.4382279999999999E-3</v>
      </c>
      <c r="S5891">
        <v>3.067688</v>
      </c>
      <c r="T5891">
        <v>-0.2001116</v>
      </c>
      <c r="U5891">
        <v>-8.178711E-3</v>
      </c>
      <c r="V5891">
        <v>8.4531810000000006E-3</v>
      </c>
      <c r="W5891">
        <v>0.17891199999999999</v>
      </c>
      <c r="X5891">
        <v>0.98382879999999995</v>
      </c>
      <c r="Y5891">
        <v>-1.532463E-3</v>
      </c>
      <c r="Z5891">
        <v>2.7281940000000002E-4</v>
      </c>
      <c r="AA5891">
        <v>0.99999879999999997</v>
      </c>
      <c r="AB5891">
        <v>24</v>
      </c>
      <c r="AC5891">
        <v>16.679200000000002</v>
      </c>
      <c r="AD5891">
        <v>-1.1140962515149999</v>
      </c>
      <c r="AE5891">
        <v>-2.8799999999989698E-2</v>
      </c>
      <c r="AF5891">
        <v>-4.1200009340458497E-2</v>
      </c>
      <c r="AG5891">
        <v>-1.1140962515149999</v>
      </c>
      <c r="AH5891">
        <v>16.605087741783901</v>
      </c>
      <c r="AI5891">
        <v>93.838419508845902</v>
      </c>
      <c r="AJ5891">
        <v>90.142160152584395</v>
      </c>
      <c r="AK5891">
        <v>16.6424711750014</v>
      </c>
      <c r="AL5891">
        <v>79.693607050701203</v>
      </c>
      <c r="AM5891">
        <v>89.507719557757696</v>
      </c>
      <c r="AN5891">
        <v>1.0000000338612201</v>
      </c>
    </row>
    <row r="5892" spans="1:40" x14ac:dyDescent="0.25">
      <c r="A5892" t="str">
        <f>"20190303162719881"</f>
        <v>20190303162719881</v>
      </c>
      <c r="B5892" t="str">
        <f>"1551601639870589"</f>
        <v>1551601639870589</v>
      </c>
      <c r="C5892" t="s">
        <v>40</v>
      </c>
      <c r="D5892">
        <v>5.5512489999999897</v>
      </c>
      <c r="E5892">
        <v>0.49017860000000002</v>
      </c>
      <c r="F5892" t="s">
        <v>41</v>
      </c>
      <c r="G5892">
        <v>-143.8115</v>
      </c>
      <c r="H5892" s="1">
        <v>-2.7960980000000002E-6</v>
      </c>
      <c r="I5892">
        <v>138.72030000000001</v>
      </c>
      <c r="J5892">
        <v>-163.8965</v>
      </c>
      <c r="K5892">
        <v>1.114398</v>
      </c>
      <c r="L5892">
        <v>138.4761</v>
      </c>
      <c r="M5892">
        <v>0.99973590000000001</v>
      </c>
      <c r="N5892">
        <v>-1.487549E-2</v>
      </c>
      <c r="O5892">
        <v>-1.752308E-2</v>
      </c>
      <c r="P5892">
        <v>0.98660329999999996</v>
      </c>
      <c r="Q5892">
        <v>0.1629844</v>
      </c>
      <c r="R5892">
        <v>-7.0683469999999896E-3</v>
      </c>
      <c r="S5892">
        <v>3.0697480000000001</v>
      </c>
      <c r="T5892">
        <v>-0.16776549999999901</v>
      </c>
      <c r="U5892">
        <v>3.4240720000000002E-2</v>
      </c>
      <c r="V5892">
        <v>-7.2105809999999998E-3</v>
      </c>
      <c r="W5892">
        <v>0.17779010000000001</v>
      </c>
      <c r="X5892">
        <v>0.98404199999999997</v>
      </c>
      <c r="Y5892">
        <v>-2.86076E-2</v>
      </c>
      <c r="Z5892">
        <v>1.6904769999999999E-3</v>
      </c>
      <c r="AA5892">
        <v>0.99958930000000001</v>
      </c>
      <c r="AB5892">
        <v>24</v>
      </c>
      <c r="AC5892">
        <v>20.085000000000001</v>
      </c>
      <c r="AD5892">
        <v>-1.114400796098</v>
      </c>
      <c r="AE5892">
        <v>0.244200000000006</v>
      </c>
      <c r="AF5892">
        <v>-0.59432311523260295</v>
      </c>
      <c r="AG5892">
        <v>-1.114400796098</v>
      </c>
      <c r="AH5892">
        <v>20.0160256118394</v>
      </c>
      <c r="AI5892">
        <v>93.185276210155195</v>
      </c>
      <c r="AJ5892">
        <v>91.700747435983303</v>
      </c>
      <c r="AK5892">
        <v>20.0558318300053</v>
      </c>
      <c r="AL5892">
        <v>79.758934082544698</v>
      </c>
      <c r="AM5892">
        <v>90.419828081812298</v>
      </c>
      <c r="AN5892">
        <v>0.99999998495018305</v>
      </c>
    </row>
    <row r="5893" spans="1:40" x14ac:dyDescent="0.25">
      <c r="A5893" t="str">
        <f>"20190303162719909"</f>
        <v>20190303162719909</v>
      </c>
      <c r="B5893" t="str">
        <f>"1551601639899868"</f>
        <v>1551601639899868</v>
      </c>
      <c r="C5893" t="s">
        <v>40</v>
      </c>
      <c r="D5893">
        <v>5.5971570000000002</v>
      </c>
      <c r="E5893">
        <v>0.490506</v>
      </c>
      <c r="F5893" t="s">
        <v>41</v>
      </c>
      <c r="G5893">
        <v>-144.3349</v>
      </c>
      <c r="H5893" s="1">
        <v>-2.5655630000000001E-6</v>
      </c>
      <c r="I5893">
        <v>138.75409999999999</v>
      </c>
      <c r="J5893">
        <v>-163.59520000000001</v>
      </c>
      <c r="K5893">
        <v>1.114819</v>
      </c>
      <c r="L5893">
        <v>138.4556</v>
      </c>
      <c r="M5893">
        <v>0.99943760000000004</v>
      </c>
      <c r="N5893">
        <v>-1.481318E-2</v>
      </c>
      <c r="O5893">
        <v>-3.0088340000000002E-2</v>
      </c>
      <c r="P5893">
        <v>0.9872879</v>
      </c>
      <c r="Q5893">
        <v>0.15889139999999999</v>
      </c>
      <c r="R5893">
        <v>-4.0464809999999898E-3</v>
      </c>
      <c r="S5893">
        <v>3.0699459999999998</v>
      </c>
      <c r="T5893">
        <v>-0.17489089999999999</v>
      </c>
      <c r="U5893">
        <v>4.3640140000000001E-2</v>
      </c>
      <c r="V5893">
        <v>-2.290356E-2</v>
      </c>
      <c r="W5893">
        <v>0.17388000000000001</v>
      </c>
      <c r="X5893">
        <v>0.9845005</v>
      </c>
      <c r="Y5893">
        <v>-4.4179030000000001E-2</v>
      </c>
      <c r="Z5893">
        <v>2.8519639999999998E-3</v>
      </c>
      <c r="AA5893">
        <v>0.99901960000000001</v>
      </c>
      <c r="AB5893">
        <v>24</v>
      </c>
      <c r="AC5893">
        <v>19.260300000000001</v>
      </c>
      <c r="AD5893">
        <v>-1.114821565563</v>
      </c>
      <c r="AE5893">
        <v>0.29849999999999</v>
      </c>
      <c r="AF5893">
        <v>-0.87500795365665196</v>
      </c>
      <c r="AG5893">
        <v>-1.114821565563</v>
      </c>
      <c r="AH5893">
        <v>19.178357546771199</v>
      </c>
      <c r="AI5893">
        <v>93.323361639520996</v>
      </c>
      <c r="AJ5893">
        <v>92.612294574222304</v>
      </c>
      <c r="AK5893">
        <v>19.230649085088199</v>
      </c>
      <c r="AL5893">
        <v>79.986512689025105</v>
      </c>
      <c r="AM5893">
        <v>91.332696790861107</v>
      </c>
      <c r="AN5893">
        <v>1.00000003098046</v>
      </c>
    </row>
    <row r="5894" spans="1:40" x14ac:dyDescent="0.25">
      <c r="A5894" t="str">
        <f>"20190303162719944"</f>
        <v>20190303162719944</v>
      </c>
      <c r="B5894" t="str">
        <f>"1551601639930125"</f>
        <v>1551601639930125</v>
      </c>
      <c r="C5894" t="s">
        <v>40</v>
      </c>
      <c r="D5894">
        <v>5.5343960000000001</v>
      </c>
      <c r="E5894">
        <v>0.4908904</v>
      </c>
      <c r="F5894" t="s">
        <v>41</v>
      </c>
      <c r="G5894">
        <v>-145.642</v>
      </c>
      <c r="H5894" s="1">
        <v>-2.003548E-6</v>
      </c>
      <c r="I5894">
        <v>138.7612</v>
      </c>
      <c r="J5894">
        <v>-163.23089999999999</v>
      </c>
      <c r="K5894">
        <v>1.115534</v>
      </c>
      <c r="L5894">
        <v>138.42740000000001</v>
      </c>
      <c r="M5894">
        <v>0.99892270000000005</v>
      </c>
      <c r="N5894">
        <v>-1.471255E-2</v>
      </c>
      <c r="O5894">
        <v>-4.4013610000000002E-2</v>
      </c>
      <c r="P5894">
        <v>0.9877397</v>
      </c>
      <c r="Q5894">
        <v>0.15603210000000001</v>
      </c>
      <c r="R5894">
        <v>4.9474499999999999E-3</v>
      </c>
      <c r="S5894">
        <v>3.0695190000000001</v>
      </c>
      <c r="T5894">
        <v>-0.19060360000000001</v>
      </c>
      <c r="U5894">
        <v>5.2261349999999998E-2</v>
      </c>
      <c r="V5894">
        <v>-4.6004440000000001E-2</v>
      </c>
      <c r="W5894">
        <v>0.17119799999999999</v>
      </c>
      <c r="X5894">
        <v>0.98416199999999998</v>
      </c>
      <c r="Y5894">
        <v>-6.0824679999999999E-2</v>
      </c>
      <c r="Z5894">
        <v>4.4172070000000003E-3</v>
      </c>
      <c r="AA5894">
        <v>0.99813870000000005</v>
      </c>
      <c r="AB5894">
        <v>24</v>
      </c>
      <c r="AC5894">
        <v>17.588899999999899</v>
      </c>
      <c r="AD5894">
        <v>-1.115536003548</v>
      </c>
      <c r="AE5894">
        <v>0.33379999999999599</v>
      </c>
      <c r="AF5894">
        <v>-1.10327489341673</v>
      </c>
      <c r="AG5894">
        <v>-1.115536003548</v>
      </c>
      <c r="AH5894">
        <v>17.4868436361159</v>
      </c>
      <c r="AI5894">
        <v>93.642892734204096</v>
      </c>
      <c r="AJ5894">
        <v>93.610103781065206</v>
      </c>
      <c r="AK5894">
        <v>17.557087925382799</v>
      </c>
      <c r="AL5894">
        <v>80.142519423786695</v>
      </c>
      <c r="AM5894">
        <v>92.676330637973905</v>
      </c>
      <c r="AN5894">
        <v>1.0000000029738501</v>
      </c>
    </row>
    <row r="5895" spans="1:40" x14ac:dyDescent="0.25">
      <c r="A5895" t="str">
        <f>"20190303162719970"</f>
        <v>20190303162719970</v>
      </c>
      <c r="B5895" t="str">
        <f>"1551601639959910"</f>
        <v>1551601639959910</v>
      </c>
      <c r="C5895" t="s">
        <v>40</v>
      </c>
      <c r="D5895">
        <v>5.5913139999999997</v>
      </c>
      <c r="E5895">
        <v>0.49982650000000001</v>
      </c>
      <c r="F5895" t="s">
        <v>41</v>
      </c>
      <c r="G5895">
        <v>-146.18180000000001</v>
      </c>
      <c r="H5895" s="1">
        <v>-1.74763E-6</v>
      </c>
      <c r="I5895">
        <v>138.89850000000001</v>
      </c>
      <c r="J5895">
        <v>-162.93860000000001</v>
      </c>
      <c r="K5895">
        <v>1.1162049999999999</v>
      </c>
      <c r="L5895">
        <v>138.4024</v>
      </c>
      <c r="M5895">
        <v>0.99844089999999996</v>
      </c>
      <c r="N5895">
        <v>-1.461871E-2</v>
      </c>
      <c r="O5895">
        <v>-5.3873780000000003E-2</v>
      </c>
      <c r="P5895">
        <v>0.98786879999999999</v>
      </c>
      <c r="Q5895">
        <v>0.15526619999999999</v>
      </c>
      <c r="R5895">
        <v>2.8687470000000001E-3</v>
      </c>
      <c r="S5895">
        <v>3.068527</v>
      </c>
      <c r="T5895">
        <v>-0.20077590000000001</v>
      </c>
      <c r="U5895">
        <v>8.4793090000000002E-2</v>
      </c>
      <c r="V5895">
        <v>-5.3966649999999998E-2</v>
      </c>
      <c r="W5895">
        <v>0.17035520000000001</v>
      </c>
      <c r="X5895">
        <v>0.9839038</v>
      </c>
      <c r="Y5895">
        <v>-8.1159789999999996E-2</v>
      </c>
      <c r="Z5895">
        <v>5.9789700000000001E-3</v>
      </c>
      <c r="AA5895">
        <v>0.99668319999999999</v>
      </c>
      <c r="AB5895">
        <v>24</v>
      </c>
      <c r="AC5895">
        <v>16.756799999999998</v>
      </c>
      <c r="AD5895">
        <v>-1.1162067476299999</v>
      </c>
      <c r="AE5895">
        <v>0.49610000000001198</v>
      </c>
      <c r="AF5895">
        <v>-1.3920564787565299</v>
      </c>
      <c r="AG5895">
        <v>-1.1162067476299999</v>
      </c>
      <c r="AH5895">
        <v>16.631995621465201</v>
      </c>
      <c r="AI5895">
        <v>93.8261395437017</v>
      </c>
      <c r="AJ5895">
        <v>94.784362466669407</v>
      </c>
      <c r="AK5895">
        <v>16.727433069540002</v>
      </c>
      <c r="AL5895">
        <v>80.191528136132703</v>
      </c>
      <c r="AM5895">
        <v>93.139500095167307</v>
      </c>
      <c r="AN5895">
        <v>0.99999999056685096</v>
      </c>
    </row>
    <row r="5896" spans="1:40" x14ac:dyDescent="0.25">
      <c r="A5896" t="str">
        <f>"20190303162720010"</f>
        <v>20190303162720010</v>
      </c>
      <c r="B5896" t="str">
        <f>"1551601639999927"</f>
        <v>1551601639999927</v>
      </c>
      <c r="C5896" t="s">
        <v>40</v>
      </c>
      <c r="D5896">
        <v>5.5840949999999996</v>
      </c>
      <c r="E5896">
        <v>0.50103880000000001</v>
      </c>
      <c r="F5896" t="s">
        <v>41</v>
      </c>
      <c r="G5896">
        <v>-147.9418</v>
      </c>
      <c r="H5896" s="1">
        <v>-1.0710040000000001E-6</v>
      </c>
      <c r="I5896">
        <v>138.4563</v>
      </c>
      <c r="J5896">
        <v>-162.5138</v>
      </c>
      <c r="K5896">
        <v>1.1172089999999999</v>
      </c>
      <c r="L5896">
        <v>138.36349999999999</v>
      </c>
      <c r="M5896">
        <v>0.99771080000000001</v>
      </c>
      <c r="N5896">
        <v>-1.4481010000000001E-2</v>
      </c>
      <c r="O5896">
        <v>-6.6056619999999996E-2</v>
      </c>
      <c r="P5896">
        <v>0.9885564</v>
      </c>
      <c r="Q5896">
        <v>0.15084900000000001</v>
      </c>
      <c r="R5896">
        <v>-9.8744309999999999E-4</v>
      </c>
      <c r="S5896">
        <v>3.0727389999999999</v>
      </c>
      <c r="T5896">
        <v>-0.22870360000000001</v>
      </c>
      <c r="U5896">
        <v>1.106262E-2</v>
      </c>
      <c r="V5896">
        <v>-6.267789E-2</v>
      </c>
      <c r="W5896">
        <v>0.1657496</v>
      </c>
      <c r="X5896">
        <v>0.98417410000000005</v>
      </c>
      <c r="Y5896">
        <v>-6.9308060000000005E-2</v>
      </c>
      <c r="Z5896">
        <v>7.0296009999999999E-3</v>
      </c>
      <c r="AA5896">
        <v>0.99757050000000003</v>
      </c>
      <c r="AB5896">
        <v>24</v>
      </c>
      <c r="AC5896">
        <v>14.571999999999999</v>
      </c>
      <c r="AD5896">
        <v>-1.117210071004</v>
      </c>
      <c r="AE5896">
        <v>9.2800000000011096E-2</v>
      </c>
      <c r="AF5896">
        <v>-1.0491088341952901</v>
      </c>
      <c r="AG5896">
        <v>-1.117210071004</v>
      </c>
      <c r="AH5896">
        <v>14.4491068167303</v>
      </c>
      <c r="AI5896">
        <v>94.409770666038696</v>
      </c>
      <c r="AJ5896">
        <v>94.152797373191802</v>
      </c>
      <c r="AK5896">
        <v>14.530157448906801</v>
      </c>
      <c r="AL5896">
        <v>80.4592174998037</v>
      </c>
      <c r="AM5896">
        <v>93.644004876257796</v>
      </c>
      <c r="AN5896">
        <v>1.0000000534529001</v>
      </c>
    </row>
    <row r="5897" spans="1:40" x14ac:dyDescent="0.25">
      <c r="A5897" t="str">
        <f>"20190303162720039"</f>
        <v>20190303162720039</v>
      </c>
      <c r="B5897" t="str">
        <f>"1551601640030182"</f>
        <v>1551601640030182</v>
      </c>
      <c r="C5897" t="s">
        <v>40</v>
      </c>
      <c r="D5897">
        <v>5.5227839999999997</v>
      </c>
      <c r="E5897">
        <v>0.50202939999999996</v>
      </c>
      <c r="F5897" t="s">
        <v>41</v>
      </c>
      <c r="G5897">
        <v>-148.32089999999999</v>
      </c>
      <c r="H5897" s="1">
        <v>-9.2851689999999998E-7</v>
      </c>
      <c r="I5897">
        <v>138.34270000000001</v>
      </c>
      <c r="J5897">
        <v>-162.2046</v>
      </c>
      <c r="K5897">
        <v>1.1180909999999999</v>
      </c>
      <c r="L5897">
        <v>138.33420000000001</v>
      </c>
      <c r="M5897">
        <v>0.99724060000000003</v>
      </c>
      <c r="N5897">
        <v>-1.43745E-2</v>
      </c>
      <c r="O5897">
        <v>-7.2833099999999998E-2</v>
      </c>
      <c r="P5897">
        <v>0.98896269999999997</v>
      </c>
      <c r="Q5897">
        <v>0.14802399999999999</v>
      </c>
      <c r="R5897">
        <v>-6.4803730000000002E-3</v>
      </c>
      <c r="S5897">
        <v>3.071625</v>
      </c>
      <c r="T5897">
        <v>-0.2417859</v>
      </c>
      <c r="U5897">
        <v>-4.4860840000000004E-3</v>
      </c>
      <c r="V5897">
        <v>-6.4317340000000001E-2</v>
      </c>
      <c r="W5897">
        <v>0.16269600000000001</v>
      </c>
      <c r="X5897">
        <v>0.9845777</v>
      </c>
      <c r="Y5897">
        <v>-7.0974010000000004E-2</v>
      </c>
      <c r="Z5897">
        <v>7.9741459999999997E-3</v>
      </c>
      <c r="AA5897">
        <v>0.99744630000000001</v>
      </c>
      <c r="AB5897">
        <v>24</v>
      </c>
      <c r="AC5897">
        <v>13.883699999999999</v>
      </c>
      <c r="AD5897">
        <v>-1.1180919285169</v>
      </c>
      <c r="AE5897">
        <v>8.4999999999979502E-3</v>
      </c>
      <c r="AF5897">
        <v>-1.01320361908551</v>
      </c>
      <c r="AG5897">
        <v>-1.1180919285169</v>
      </c>
      <c r="AH5897">
        <v>13.7569790217582</v>
      </c>
      <c r="AI5897">
        <v>94.633978090423199</v>
      </c>
      <c r="AJ5897">
        <v>94.2122377413489</v>
      </c>
      <c r="AK5897">
        <v>13.8394791426353</v>
      </c>
      <c r="AL5897">
        <v>80.636583302119504</v>
      </c>
      <c r="AM5897">
        <v>93.737524879590396</v>
      </c>
      <c r="AN5897">
        <v>0.99999997798898199</v>
      </c>
    </row>
    <row r="5898" spans="1:40" x14ac:dyDescent="0.25">
      <c r="A5898" t="str">
        <f>"20190303162720058"</f>
        <v>20190303162720058</v>
      </c>
      <c r="B5898" t="str">
        <f>"1551601640050209"</f>
        <v>1551601640050209</v>
      </c>
      <c r="C5898" t="s">
        <v>40</v>
      </c>
      <c r="D5898">
        <v>5.5841779999999996</v>
      </c>
      <c r="E5898">
        <v>0.50284529999999905</v>
      </c>
      <c r="F5898" t="s">
        <v>41</v>
      </c>
      <c r="G5898">
        <v>-148.38050000000001</v>
      </c>
      <c r="H5898" s="1">
        <v>-9.2848530000000002E-7</v>
      </c>
      <c r="I5898">
        <v>138.19880000000001</v>
      </c>
      <c r="J5898">
        <v>-161.999</v>
      </c>
      <c r="K5898">
        <v>1.1187229999999999</v>
      </c>
      <c r="L5898">
        <v>138.31460000000001</v>
      </c>
      <c r="M5898">
        <v>0.99698019999999998</v>
      </c>
      <c r="N5898">
        <v>-1.43082E-2</v>
      </c>
      <c r="O5898">
        <v>-7.6326790000000005E-2</v>
      </c>
      <c r="P5898">
        <v>0.98920609999999998</v>
      </c>
      <c r="Q5898">
        <v>0.14631640000000001</v>
      </c>
      <c r="R5898">
        <v>-7.9363230000000003E-3</v>
      </c>
      <c r="S5898">
        <v>3.0704799999999999</v>
      </c>
      <c r="T5898">
        <v>-0.2483397</v>
      </c>
      <c r="U5898">
        <v>-3.0059809999999999E-2</v>
      </c>
      <c r="V5898">
        <v>-6.6605330000000004E-2</v>
      </c>
      <c r="W5898">
        <v>0.16083729999999999</v>
      </c>
      <c r="X5898">
        <v>0.98473100000000002</v>
      </c>
      <c r="Y5898">
        <v>-6.614739E-2</v>
      </c>
      <c r="Z5898">
        <v>8.2111709999999997E-3</v>
      </c>
      <c r="AA5898">
        <v>0.99777610000000005</v>
      </c>
      <c r="AB5898">
        <v>24</v>
      </c>
      <c r="AC5898">
        <v>13.6184999999999</v>
      </c>
      <c r="AD5898">
        <v>-1.1187239284852999</v>
      </c>
      <c r="AE5898">
        <v>-0.11580000000000699</v>
      </c>
      <c r="AF5898">
        <v>-0.91790690747538395</v>
      </c>
      <c r="AG5898">
        <v>-1.1187239284852999</v>
      </c>
      <c r="AH5898">
        <v>13.4965336821845</v>
      </c>
      <c r="AI5898">
        <v>94.727527855579496</v>
      </c>
      <c r="AJ5898">
        <v>93.890727058127695</v>
      </c>
      <c r="AK5898">
        <v>13.5738910321726</v>
      </c>
      <c r="AL5898">
        <v>80.744500794538197</v>
      </c>
      <c r="AM5898">
        <v>93.869483772604795</v>
      </c>
      <c r="AN5898">
        <v>1.00000002470834</v>
      </c>
    </row>
    <row r="5899" spans="1:40" x14ac:dyDescent="0.25">
      <c r="A5899" t="str">
        <f>"20190303162720111"</f>
        <v>20190303162720111</v>
      </c>
      <c r="B5899" t="str">
        <f>"1551601640100961"</f>
        <v>1551601640100961</v>
      </c>
      <c r="C5899" t="s">
        <v>40</v>
      </c>
      <c r="D5899">
        <v>5.585083</v>
      </c>
      <c r="E5899">
        <v>0.50354620000000005</v>
      </c>
      <c r="F5899" t="s">
        <v>41</v>
      </c>
      <c r="G5899">
        <v>-148.435</v>
      </c>
      <c r="H5899" s="1">
        <v>-9.1703820000000005E-7</v>
      </c>
      <c r="I5899">
        <v>138.1317</v>
      </c>
      <c r="J5899">
        <v>-161.44649999999999</v>
      </c>
      <c r="K5899">
        <v>1.1206499999999999</v>
      </c>
      <c r="L5899">
        <v>138.26390000000001</v>
      </c>
      <c r="M5899">
        <v>0.99660459999999995</v>
      </c>
      <c r="N5899">
        <v>-1.4166460000000001E-2</v>
      </c>
      <c r="O5899">
        <v>-8.1110719999999997E-2</v>
      </c>
      <c r="P5899">
        <v>0.98893869999999895</v>
      </c>
      <c r="Q5899">
        <v>0.14775050000000001</v>
      </c>
      <c r="R5899">
        <v>-1.305132E-2</v>
      </c>
      <c r="S5899">
        <v>3.069855</v>
      </c>
      <c r="T5899">
        <v>-0.25319160000000002</v>
      </c>
      <c r="U5899">
        <v>-4.1381840000000003E-2</v>
      </c>
      <c r="V5899">
        <v>-6.6967289999999999E-2</v>
      </c>
      <c r="W5899">
        <v>0.1618166</v>
      </c>
      <c r="X5899">
        <v>0.98454589999999997</v>
      </c>
      <c r="Y5899">
        <v>-6.7221299999999998E-2</v>
      </c>
      <c r="Z5899">
        <v>8.7675359999999994E-3</v>
      </c>
      <c r="AA5899">
        <v>0.99769960000000002</v>
      </c>
      <c r="AB5899">
        <v>24</v>
      </c>
      <c r="AC5899">
        <v>13.0114999999999</v>
      </c>
      <c r="AD5899">
        <v>-1.1206509170382</v>
      </c>
      <c r="AE5899">
        <v>-0.132200000000011</v>
      </c>
      <c r="AF5899">
        <v>-0.91691258797782205</v>
      </c>
      <c r="AG5899">
        <v>-1.1206509170382</v>
      </c>
      <c r="AH5899">
        <v>12.8837818418948</v>
      </c>
      <c r="AI5899">
        <v>94.958683283810004</v>
      </c>
      <c r="AJ5899">
        <v>94.070760885431199</v>
      </c>
      <c r="AK5899">
        <v>12.964891890077199</v>
      </c>
      <c r="AL5899">
        <v>80.687645406789898</v>
      </c>
      <c r="AM5899">
        <v>93.891176871860793</v>
      </c>
      <c r="AN5899">
        <v>0.99999992958615402</v>
      </c>
    </row>
    <row r="5900" spans="1:40" x14ac:dyDescent="0.25">
      <c r="A5900" t="str">
        <f>"20190303162720145"</f>
        <v>20190303162720145</v>
      </c>
      <c r="B5900" t="str">
        <f>"1551601640130241"</f>
        <v>1551601640130241</v>
      </c>
      <c r="C5900" t="s">
        <v>40</v>
      </c>
      <c r="D5900">
        <v>5.5341490000000002</v>
      </c>
      <c r="E5900">
        <v>0.50346599999999997</v>
      </c>
      <c r="F5900" t="s">
        <v>41</v>
      </c>
      <c r="G5900">
        <v>-147.29259999999999</v>
      </c>
      <c r="H5900" s="1">
        <v>-1.4319800000000001E-6</v>
      </c>
      <c r="I5900">
        <v>137.9915</v>
      </c>
      <c r="J5900">
        <v>-161.09229999999999</v>
      </c>
      <c r="K5900">
        <v>1.121759</v>
      </c>
      <c r="L5900">
        <v>138.23390000000001</v>
      </c>
      <c r="M5900">
        <v>0.99660859999999996</v>
      </c>
      <c r="N5900">
        <v>-1.4109200000000001E-2</v>
      </c>
      <c r="O5900">
        <v>-8.106961E-2</v>
      </c>
      <c r="P5900">
        <v>0.98896090000000003</v>
      </c>
      <c r="Q5900">
        <v>0.146818</v>
      </c>
      <c r="R5900">
        <v>-2.0028299999999999E-2</v>
      </c>
      <c r="S5900">
        <v>3.0690770000000001</v>
      </c>
      <c r="T5900">
        <v>-0.24299750000000001</v>
      </c>
      <c r="U5900">
        <v>-5.9051510000000001E-2</v>
      </c>
      <c r="V5900">
        <v>-6.0403859999999997E-2</v>
      </c>
      <c r="W5900">
        <v>0.160665</v>
      </c>
      <c r="X5900">
        <v>0.98515889999999995</v>
      </c>
      <c r="Y5900">
        <v>-6.1491369999999997E-2</v>
      </c>
      <c r="Z5900">
        <v>8.1230980000000005E-3</v>
      </c>
      <c r="AA5900">
        <v>0.99807449999999998</v>
      </c>
      <c r="AB5900">
        <v>24</v>
      </c>
      <c r="AC5900">
        <v>13.7997</v>
      </c>
      <c r="AD5900">
        <v>-1.1217604319800001</v>
      </c>
      <c r="AE5900">
        <v>-0.242400000000003</v>
      </c>
      <c r="AF5900">
        <v>-0.87148876915451301</v>
      </c>
      <c r="AG5900">
        <v>-1.1217604319800001</v>
      </c>
      <c r="AH5900">
        <v>13.683530671706899</v>
      </c>
      <c r="AI5900">
        <v>94.677129389711894</v>
      </c>
      <c r="AJ5900">
        <v>93.644182187369793</v>
      </c>
      <c r="AK5900">
        <v>13.757065485962499</v>
      </c>
      <c r="AL5900">
        <v>80.754502363362505</v>
      </c>
      <c r="AM5900">
        <v>93.508631009596002</v>
      </c>
      <c r="AN5900">
        <v>0.99999996338855401</v>
      </c>
    </row>
    <row r="5901" spans="1:40" x14ac:dyDescent="0.25">
      <c r="A5901" t="str">
        <f>"20190303162720169"</f>
        <v>20190303162720169</v>
      </c>
      <c r="B5901" t="str">
        <f>"1551601640160498"</f>
        <v>1551601640160498</v>
      </c>
      <c r="C5901" t="s">
        <v>40</v>
      </c>
      <c r="D5901">
        <v>5.3856780000000004</v>
      </c>
      <c r="E5901">
        <v>0.50329740000000001</v>
      </c>
      <c r="F5901" t="s">
        <v>41</v>
      </c>
      <c r="G5901">
        <v>-146.87950000000001</v>
      </c>
      <c r="H5901" s="1">
        <v>-1.6320480000000001E-6</v>
      </c>
      <c r="I5901">
        <v>137.86250000000001</v>
      </c>
      <c r="J5901">
        <v>-160.83189999999999</v>
      </c>
      <c r="K5901">
        <v>1.1224270000000001</v>
      </c>
      <c r="L5901">
        <v>138.21369999999999</v>
      </c>
      <c r="M5901">
        <v>0.99673140000000005</v>
      </c>
      <c r="N5901">
        <v>-1.407219E-2</v>
      </c>
      <c r="O5901">
        <v>-7.9551930000000007E-2</v>
      </c>
      <c r="P5901">
        <v>0.98855190000000004</v>
      </c>
      <c r="Q5901">
        <v>0.1494451</v>
      </c>
      <c r="R5901">
        <v>-2.076946E-2</v>
      </c>
      <c r="S5901">
        <v>3.067825</v>
      </c>
      <c r="T5901">
        <v>-0.24213180000000001</v>
      </c>
      <c r="U5901">
        <v>-8.0154420000000004E-2</v>
      </c>
      <c r="V5901">
        <v>-5.8389110000000001E-2</v>
      </c>
      <c r="W5901">
        <v>0.16316269999999999</v>
      </c>
      <c r="X5901">
        <v>0.98486989999999996</v>
      </c>
      <c r="Y5901">
        <v>-5.3135969999999998E-2</v>
      </c>
      <c r="Z5901">
        <v>7.6101609999999998E-3</v>
      </c>
      <c r="AA5901">
        <v>0.99855830000000001</v>
      </c>
      <c r="AB5901">
        <v>23</v>
      </c>
      <c r="AC5901">
        <v>13.9523999999999</v>
      </c>
      <c r="AD5901">
        <v>-1.1224286320479999</v>
      </c>
      <c r="AE5901">
        <v>-0.35119999999997698</v>
      </c>
      <c r="AF5901">
        <v>-0.75507995221484703</v>
      </c>
      <c r="AG5901">
        <v>-1.1224286320479999</v>
      </c>
      <c r="AH5901">
        <v>13.846559316681899</v>
      </c>
      <c r="AI5901">
        <v>94.627527050993507</v>
      </c>
      <c r="AJ5901">
        <v>93.121359299911603</v>
      </c>
      <c r="AK5901">
        <v>13.912483483500299</v>
      </c>
      <c r="AL5901">
        <v>80.609481778558703</v>
      </c>
      <c r="AM5901">
        <v>93.392872744630594</v>
      </c>
      <c r="AN5901">
        <v>1.00000003738194</v>
      </c>
    </row>
    <row r="5902" spans="1:40" x14ac:dyDescent="0.25">
      <c r="A5902" t="str">
        <f>"20190303162720196"</f>
        <v>20190303162720196</v>
      </c>
      <c r="B5902" t="str">
        <f>"1551601640190754"</f>
        <v>1551601640190754</v>
      </c>
      <c r="C5902" t="s">
        <v>40</v>
      </c>
      <c r="D5902">
        <v>5.6021530000000004</v>
      </c>
      <c r="E5902">
        <v>0.50304320000000002</v>
      </c>
      <c r="F5902" t="s">
        <v>41</v>
      </c>
      <c r="G5902">
        <v>-145.91079999999999</v>
      </c>
      <c r="H5902" s="1">
        <v>-2.0557169999999999E-6</v>
      </c>
      <c r="I5902">
        <v>137.8169</v>
      </c>
      <c r="J5902">
        <v>-160.55719999999999</v>
      </c>
      <c r="K5902">
        <v>1.1229559999999901</v>
      </c>
      <c r="L5902">
        <v>138.19390000000001</v>
      </c>
      <c r="M5902">
        <v>0.99692930000000002</v>
      </c>
      <c r="N5902">
        <v>-1.403771E-2</v>
      </c>
      <c r="O5902">
        <v>-7.7039670000000005E-2</v>
      </c>
      <c r="P5902">
        <v>0.98846040000000002</v>
      </c>
      <c r="Q5902">
        <v>0.15052499999999999</v>
      </c>
      <c r="R5902">
        <v>-1.6990999999999999E-2</v>
      </c>
      <c r="S5902">
        <v>3.0679319999999999</v>
      </c>
      <c r="T5902">
        <v>-0.23078370000000001</v>
      </c>
      <c r="U5902">
        <v>-8.1588750000000002E-2</v>
      </c>
      <c r="V5902">
        <v>-5.987133E-2</v>
      </c>
      <c r="W5902">
        <v>0.1641261</v>
      </c>
      <c r="X5902">
        <v>0.98462070000000002</v>
      </c>
      <c r="Y5902">
        <v>-5.0202740000000003E-2</v>
      </c>
      <c r="Z5902">
        <v>6.9373999999999998E-3</v>
      </c>
      <c r="AA5902">
        <v>0.99871489999999996</v>
      </c>
      <c r="AB5902">
        <v>23</v>
      </c>
      <c r="AC5902">
        <v>14.6464</v>
      </c>
      <c r="AD5902">
        <v>-1.12295805571699</v>
      </c>
      <c r="AE5902">
        <v>-0.37700000000000899</v>
      </c>
      <c r="AF5902">
        <v>-0.748190245517101</v>
      </c>
      <c r="AG5902">
        <v>-1.12295805571699</v>
      </c>
      <c r="AH5902">
        <v>14.5464550702187</v>
      </c>
      <c r="AI5902">
        <v>94.408562916447295</v>
      </c>
      <c r="AJ5902">
        <v>92.944387501677795</v>
      </c>
      <c r="AK5902">
        <v>14.6089075070067</v>
      </c>
      <c r="AL5902">
        <v>80.553527794658905</v>
      </c>
      <c r="AM5902">
        <v>93.479670924656403</v>
      </c>
      <c r="AN5902">
        <v>0.99999993786283203</v>
      </c>
    </row>
    <row r="5903" spans="1:40" x14ac:dyDescent="0.25">
      <c r="A5903" t="str">
        <f>"20190303162720233"</f>
        <v>20190303162720233</v>
      </c>
      <c r="B5903" t="str">
        <f>"1551601640220033"</f>
        <v>1551601640220033</v>
      </c>
      <c r="C5903" t="s">
        <v>40</v>
      </c>
      <c r="D5903">
        <v>5.6112209999999996</v>
      </c>
      <c r="E5903">
        <v>0.49424370000000001</v>
      </c>
      <c r="F5903" t="s">
        <v>41</v>
      </c>
      <c r="G5903">
        <v>-145.33320000000001</v>
      </c>
      <c r="H5903" s="1">
        <v>-2.299761E-6</v>
      </c>
      <c r="I5903">
        <v>137.8381</v>
      </c>
      <c r="J5903">
        <v>-160.1721</v>
      </c>
      <c r="K5903">
        <v>1.123348</v>
      </c>
      <c r="L5903">
        <v>138.16890000000001</v>
      </c>
      <c r="M5903">
        <v>0.99726619999999999</v>
      </c>
      <c r="N5903">
        <v>-1.3993999999999999E-2</v>
      </c>
      <c r="O5903">
        <v>-7.2557960000000005E-2</v>
      </c>
      <c r="P5903">
        <v>0.98903629999999998</v>
      </c>
      <c r="Q5903">
        <v>0.14711189999999999</v>
      </c>
      <c r="R5903">
        <v>-1.28737E-2</v>
      </c>
      <c r="S5903">
        <v>3.0682529999999999</v>
      </c>
      <c r="T5903">
        <v>-0.22632150000000001</v>
      </c>
      <c r="U5903">
        <v>-7.1716310000000005E-2</v>
      </c>
      <c r="V5903">
        <v>-5.9730190000000002E-2</v>
      </c>
      <c r="W5903">
        <v>0.16061979999999901</v>
      </c>
      <c r="X5903">
        <v>0.98520739999999996</v>
      </c>
      <c r="Y5903">
        <v>-4.8952429999999998E-2</v>
      </c>
      <c r="Z5903">
        <v>6.4702020000000004E-3</v>
      </c>
      <c r="AA5903">
        <v>0.99878009999999995</v>
      </c>
      <c r="AB5903">
        <v>23</v>
      </c>
      <c r="AC5903">
        <v>14.838899999999899</v>
      </c>
      <c r="AD5903">
        <v>-1.1233502997609901</v>
      </c>
      <c r="AE5903">
        <v>-0.33080000000000997</v>
      </c>
      <c r="AF5903">
        <v>-0.74260393518311996</v>
      </c>
      <c r="AG5903">
        <v>-1.1233502997609901</v>
      </c>
      <c r="AH5903">
        <v>14.739355826625999</v>
      </c>
      <c r="AI5903">
        <v>94.352834673999496</v>
      </c>
      <c r="AJ5903">
        <v>92.884259355656894</v>
      </c>
      <c r="AK5903">
        <v>14.8007427747535</v>
      </c>
      <c r="AL5903">
        <v>80.757126722191799</v>
      </c>
      <c r="AM5903">
        <v>93.469425820175104</v>
      </c>
      <c r="AN5903">
        <v>1.0000000183821101</v>
      </c>
    </row>
    <row r="5904" spans="1:40" x14ac:dyDescent="0.25">
      <c r="A5904" t="str">
        <f>"20190303162720261"</f>
        <v>20190303162720261</v>
      </c>
      <c r="B5904" t="str">
        <f>"1551601640250289"</f>
        <v>1551601640250289</v>
      </c>
      <c r="C5904" t="s">
        <v>40</v>
      </c>
      <c r="D5904">
        <v>5.6065050000000003</v>
      </c>
      <c r="E5904">
        <v>0.49454029999999999</v>
      </c>
      <c r="F5904" t="s">
        <v>41</v>
      </c>
      <c r="G5904">
        <v>-144.46770000000001</v>
      </c>
      <c r="H5904" s="1">
        <v>-2.6004659999999998E-6</v>
      </c>
      <c r="I5904">
        <v>138.2362</v>
      </c>
      <c r="J5904">
        <v>-159.88910000000001</v>
      </c>
      <c r="K5904">
        <v>1.1234090000000001</v>
      </c>
      <c r="L5904">
        <v>138.15209999999999</v>
      </c>
      <c r="M5904">
        <v>0.99751540000000005</v>
      </c>
      <c r="N5904">
        <v>-1.3960820000000001E-2</v>
      </c>
      <c r="O5904">
        <v>-6.9052370000000002E-2</v>
      </c>
      <c r="P5904">
        <v>0.9893189</v>
      </c>
      <c r="Q5904">
        <v>0.1453815</v>
      </c>
      <c r="R5904">
        <v>-1.0595419999999999E-2</v>
      </c>
      <c r="S5904">
        <v>3.0660400000000001</v>
      </c>
      <c r="T5904">
        <v>-0.21931539999999999</v>
      </c>
      <c r="U5904">
        <v>1.313782E-2</v>
      </c>
      <c r="V5904">
        <v>-5.8569789999999997E-2</v>
      </c>
      <c r="W5904">
        <v>0.158857</v>
      </c>
      <c r="X5904">
        <v>0.98556279999999996</v>
      </c>
      <c r="Y5904">
        <v>-7.299609E-2</v>
      </c>
      <c r="Z5904">
        <v>7.0843649999999996E-3</v>
      </c>
      <c r="AA5904">
        <v>0.9973071</v>
      </c>
      <c r="AB5904">
        <v>23</v>
      </c>
      <c r="AC5904">
        <v>15.4214</v>
      </c>
      <c r="AD5904">
        <v>-1.123411600466</v>
      </c>
      <c r="AE5904">
        <v>8.4100000000006503E-2</v>
      </c>
      <c r="AF5904">
        <v>-1.14282265341351</v>
      </c>
      <c r="AG5904">
        <v>-1.123411600466</v>
      </c>
      <c r="AH5904">
        <v>15.2975962284258</v>
      </c>
      <c r="AI5904">
        <v>94.188468255017298</v>
      </c>
      <c r="AJ5904">
        <v>94.272403825711905</v>
      </c>
      <c r="AK5904">
        <v>15.3813051334782</v>
      </c>
      <c r="AL5904">
        <v>80.859441348424497</v>
      </c>
      <c r="AM5904">
        <v>93.400959947459796</v>
      </c>
      <c r="AN5904">
        <v>0.99999999974674103</v>
      </c>
    </row>
    <row r="5905" spans="1:40" x14ac:dyDescent="0.25">
      <c r="A5905" t="str">
        <f>"20190303162720283"</f>
        <v>20190303162720283</v>
      </c>
      <c r="B5905" t="str">
        <f>"1551601640270785"</f>
        <v>1551601640270785</v>
      </c>
      <c r="C5905" t="s">
        <v>40</v>
      </c>
      <c r="D5905">
        <v>5.6787409999999996</v>
      </c>
      <c r="E5905">
        <v>0.49401990000000001</v>
      </c>
      <c r="F5905" t="s">
        <v>41</v>
      </c>
      <c r="G5905">
        <v>-144.39269999999999</v>
      </c>
      <c r="H5905" s="1">
        <v>-2.6325970000000001E-6</v>
      </c>
      <c r="I5905">
        <v>138.2364</v>
      </c>
      <c r="J5905">
        <v>-159.65790000000001</v>
      </c>
      <c r="K5905">
        <v>1.1233139999999999</v>
      </c>
      <c r="L5905">
        <v>138.13919999999999</v>
      </c>
      <c r="M5905">
        <v>0.99770300000000001</v>
      </c>
      <c r="N5905">
        <v>-1.393401E-2</v>
      </c>
      <c r="O5905">
        <v>-6.6293850000000001E-2</v>
      </c>
      <c r="P5905">
        <v>0.98949640000000005</v>
      </c>
      <c r="Q5905">
        <v>0.1443979</v>
      </c>
      <c r="R5905">
        <v>-6.794764E-3</v>
      </c>
      <c r="S5905">
        <v>3.0652010000000001</v>
      </c>
      <c r="T5905">
        <v>-0.22221080000000001</v>
      </c>
      <c r="U5905">
        <v>1.6677859999999999E-2</v>
      </c>
      <c r="V5905">
        <v>-5.9603009999999998E-2</v>
      </c>
      <c r="W5905">
        <v>0.15785560000000001</v>
      </c>
      <c r="X5905">
        <v>0.98566169999999997</v>
      </c>
      <c r="Y5905">
        <v>-7.139152E-2</v>
      </c>
      <c r="Z5905">
        <v>6.9564539999999999E-3</v>
      </c>
      <c r="AA5905">
        <v>0.99742410000000004</v>
      </c>
      <c r="AB5905">
        <v>23</v>
      </c>
      <c r="AC5905">
        <v>15.2652</v>
      </c>
      <c r="AD5905">
        <v>-1.1233166325970001</v>
      </c>
      <c r="AE5905">
        <v>9.7200000000014997E-2</v>
      </c>
      <c r="AF5905">
        <v>-1.10310005503542</v>
      </c>
      <c r="AG5905">
        <v>-1.1233166325970001</v>
      </c>
      <c r="AH5905">
        <v>15.1431707197835</v>
      </c>
      <c r="AI5905">
        <v>94.231246038657304</v>
      </c>
      <c r="AJ5905">
        <v>94.166336154960405</v>
      </c>
      <c r="AK5905">
        <v>15.224791934111799</v>
      </c>
      <c r="AL5905">
        <v>80.9175500912649</v>
      </c>
      <c r="AM5905">
        <v>93.460464748389697</v>
      </c>
      <c r="AN5905">
        <v>0.99999994804965298</v>
      </c>
    </row>
    <row r="5906" spans="1:40" x14ac:dyDescent="0.25">
      <c r="A5906" t="str">
        <f>"20190303162720310"</f>
        <v>20190303162720310</v>
      </c>
      <c r="B5906" t="str">
        <f>"1551601640300065"</f>
        <v>1551601640300065</v>
      </c>
      <c r="C5906" t="s">
        <v>40</v>
      </c>
      <c r="D5906">
        <v>5.6807349999999897</v>
      </c>
      <c r="E5906">
        <v>0.49313859999999898</v>
      </c>
      <c r="F5906" t="s">
        <v>41</v>
      </c>
      <c r="G5906">
        <v>-144.51490000000001</v>
      </c>
      <c r="H5906" s="1">
        <v>-2.5714469999999999E-6</v>
      </c>
      <c r="I5906">
        <v>138.28540000000001</v>
      </c>
      <c r="J5906">
        <v>-159.37039999999999</v>
      </c>
      <c r="K5906">
        <v>1.123027</v>
      </c>
      <c r="L5906">
        <v>138.12389999999999</v>
      </c>
      <c r="M5906">
        <v>0.99790009999999996</v>
      </c>
      <c r="N5906">
        <v>-1.3903850000000001E-2</v>
      </c>
      <c r="O5906">
        <v>-6.3263269999999996E-2</v>
      </c>
      <c r="P5906">
        <v>0.98982669999999995</v>
      </c>
      <c r="Q5906">
        <v>0.14227089999999901</v>
      </c>
      <c r="R5906">
        <v>-1.561572E-3</v>
      </c>
      <c r="S5906">
        <v>3.0652309999999998</v>
      </c>
      <c r="T5906">
        <v>-0.227381</v>
      </c>
      <c r="U5906">
        <v>2.9602050000000001E-2</v>
      </c>
      <c r="V5906">
        <v>-6.173331E-2</v>
      </c>
      <c r="W5906">
        <v>0.15573119999999999</v>
      </c>
      <c r="X5906">
        <v>0.98586859999999998</v>
      </c>
      <c r="Y5906">
        <v>-7.2552599999999995E-2</v>
      </c>
      <c r="Z5906">
        <v>6.9978369999999998E-3</v>
      </c>
      <c r="AA5906">
        <v>0.99734</v>
      </c>
      <c r="AB5906">
        <v>23</v>
      </c>
      <c r="AC5906">
        <v>14.8554999999999</v>
      </c>
      <c r="AD5906">
        <v>-1.123029571447</v>
      </c>
      <c r="AE5906">
        <v>0.16150000000001699</v>
      </c>
      <c r="AF5906">
        <v>-1.0948186861353399</v>
      </c>
      <c r="AG5906">
        <v>-1.123029571447</v>
      </c>
      <c r="AH5906">
        <v>14.731340752797299</v>
      </c>
      <c r="AI5906">
        <v>94.347512774157295</v>
      </c>
      <c r="AJ5906">
        <v>94.250351857267304</v>
      </c>
      <c r="AK5906">
        <v>14.8145949573008</v>
      </c>
      <c r="AL5906">
        <v>81.040794566045705</v>
      </c>
      <c r="AM5906">
        <v>93.583079919876894</v>
      </c>
      <c r="AN5906">
        <v>1.00000005234147</v>
      </c>
    </row>
    <row r="5907" spans="1:40" x14ac:dyDescent="0.25">
      <c r="A5907" t="str">
        <f>"20190303162720345"</f>
        <v>20190303162720345</v>
      </c>
      <c r="B5907" t="str">
        <f>"1551601640330321"</f>
        <v>1551601640330321</v>
      </c>
      <c r="C5907" t="s">
        <v>40</v>
      </c>
      <c r="D5907">
        <v>5.6790560000000001</v>
      </c>
      <c r="E5907">
        <v>0.492311</v>
      </c>
      <c r="F5907" t="s">
        <v>41</v>
      </c>
      <c r="G5907">
        <v>-144.62100000000001</v>
      </c>
      <c r="H5907" s="1">
        <v>-2.512443E-6</v>
      </c>
      <c r="I5907">
        <v>138.36150000000001</v>
      </c>
      <c r="J5907">
        <v>-159.00980000000001</v>
      </c>
      <c r="K5907">
        <v>1.122568</v>
      </c>
      <c r="L5907">
        <v>138.1052</v>
      </c>
      <c r="M5907">
        <v>0.99809859999999995</v>
      </c>
      <c r="N5907">
        <v>-1.3872020000000001E-2</v>
      </c>
      <c r="O5907">
        <v>-6.0057649999999997E-2</v>
      </c>
      <c r="P5907">
        <v>0.99175449999999998</v>
      </c>
      <c r="Q5907">
        <v>0.12787879999999999</v>
      </c>
      <c r="R5907">
        <v>8.3851259999999997E-3</v>
      </c>
      <c r="S5907">
        <v>3.0644529999999999</v>
      </c>
      <c r="T5907">
        <v>-0.23332919999999999</v>
      </c>
      <c r="U5907">
        <v>4.9377440000000002E-2</v>
      </c>
      <c r="V5907">
        <v>-6.8407880000000004E-2</v>
      </c>
      <c r="W5907">
        <v>0.14136609999999999</v>
      </c>
      <c r="X5907">
        <v>0.987591</v>
      </c>
      <c r="Y5907">
        <v>-7.5761999999999996E-2</v>
      </c>
      <c r="Z5907">
        <v>7.1383769999999996E-3</v>
      </c>
      <c r="AA5907">
        <v>0.9971004</v>
      </c>
      <c r="AB5907">
        <v>23</v>
      </c>
      <c r="AC5907">
        <v>14.3888</v>
      </c>
      <c r="AD5907">
        <v>-1.1225705124429901</v>
      </c>
      <c r="AE5907">
        <v>0.25630000000001002</v>
      </c>
      <c r="AF5907">
        <v>-1.1133037282807099</v>
      </c>
      <c r="AG5907">
        <v>-1.1225705124429901</v>
      </c>
      <c r="AH5907">
        <v>14.2606556246282</v>
      </c>
      <c r="AI5907">
        <v>94.487331119130801</v>
      </c>
      <c r="AJ5907">
        <v>94.463924440931905</v>
      </c>
      <c r="AK5907">
        <v>14.348028038411799</v>
      </c>
      <c r="AL5907">
        <v>81.873095706546096</v>
      </c>
      <c r="AM5907">
        <v>93.962401709017897</v>
      </c>
      <c r="AN5907">
        <v>0.99999999777815196</v>
      </c>
    </row>
    <row r="5908" spans="1:40" x14ac:dyDescent="0.25">
      <c r="A5908" t="str">
        <f>"20190303162720375"</f>
        <v>20190303162720375</v>
      </c>
      <c r="B5908" t="str">
        <f>"1551601640360577"</f>
        <v>1551601640360577</v>
      </c>
      <c r="C5908" t="s">
        <v>40</v>
      </c>
      <c r="D5908">
        <v>5.1703190000000001</v>
      </c>
      <c r="E5908">
        <v>0.49189959999999999</v>
      </c>
      <c r="F5908" t="s">
        <v>41</v>
      </c>
      <c r="G5908">
        <v>-146.51830000000001</v>
      </c>
      <c r="H5908" s="1">
        <v>-1.684696E-6</v>
      </c>
      <c r="I5908">
        <v>138.43940000000001</v>
      </c>
      <c r="J5908">
        <v>-158.7047</v>
      </c>
      <c r="K5908">
        <v>1.1222780000000001</v>
      </c>
      <c r="L5908">
        <v>138.08969999999999</v>
      </c>
      <c r="M5908">
        <v>0.99822599999999995</v>
      </c>
      <c r="N5908">
        <v>-1.384844E-2</v>
      </c>
      <c r="O5908">
        <v>-5.79082E-2</v>
      </c>
      <c r="P5908">
        <v>0.99259319999999895</v>
      </c>
      <c r="Q5908">
        <v>0.1204461</v>
      </c>
      <c r="R5908">
        <v>1.586883E-2</v>
      </c>
      <c r="S5908">
        <v>3.0596920000000001</v>
      </c>
      <c r="T5908">
        <v>-0.274964599999999</v>
      </c>
      <c r="U5908">
        <v>8.1878660000000006E-2</v>
      </c>
      <c r="V5908">
        <v>-7.3684379999999994E-2</v>
      </c>
      <c r="W5908">
        <v>0.13394919999999999</v>
      </c>
      <c r="X5908">
        <v>0.98824500000000004</v>
      </c>
      <c r="Y5908">
        <v>-8.4041299999999999E-2</v>
      </c>
      <c r="Z5908">
        <v>8.7421970000000002E-3</v>
      </c>
      <c r="AA5908">
        <v>0.99642390000000003</v>
      </c>
      <c r="AB5908">
        <v>23</v>
      </c>
      <c r="AC5908">
        <v>12.1863999999999</v>
      </c>
      <c r="AD5908">
        <v>-1.1222796846959999</v>
      </c>
      <c r="AE5908">
        <v>0.349700000000012</v>
      </c>
      <c r="AF5908">
        <v>-1.0460091342628099</v>
      </c>
      <c r="AG5908">
        <v>-1.1222796846959999</v>
      </c>
      <c r="AH5908">
        <v>12.0436347617284</v>
      </c>
      <c r="AI5908">
        <v>95.303851081950995</v>
      </c>
      <c r="AJ5908">
        <v>94.963775091632897</v>
      </c>
      <c r="AK5908">
        <v>12.1409548666304</v>
      </c>
      <c r="AL5908">
        <v>82.302138214269903</v>
      </c>
      <c r="AM5908">
        <v>94.264131395164995</v>
      </c>
      <c r="AN5908">
        <v>0.99999997803081198</v>
      </c>
    </row>
    <row r="5909" spans="1:40" x14ac:dyDescent="0.25">
      <c r="A5909" t="str">
        <f>"20190303162720413"</f>
        <v>20190303162720413</v>
      </c>
      <c r="B5909" t="str">
        <f>"1551601640400593"</f>
        <v>1551601640400593</v>
      </c>
      <c r="C5909" t="s">
        <v>40</v>
      </c>
      <c r="D5909">
        <v>5.3261859999999999</v>
      </c>
      <c r="E5909">
        <v>0.49300159999999998</v>
      </c>
      <c r="F5909" t="s">
        <v>41</v>
      </c>
      <c r="G5909">
        <v>-147.0573</v>
      </c>
      <c r="H5909" s="1">
        <v>-1.4432589999999999E-6</v>
      </c>
      <c r="I5909">
        <v>138.49709999999999</v>
      </c>
      <c r="J5909">
        <v>-158.3194</v>
      </c>
      <c r="K5909">
        <v>1.1221179999999999</v>
      </c>
      <c r="L5909">
        <v>138.07060000000001</v>
      </c>
      <c r="M5909">
        <v>0.99835680000000004</v>
      </c>
      <c r="N5909">
        <v>-1.382179E-2</v>
      </c>
      <c r="O5909">
        <v>-5.5612189999999999E-2</v>
      </c>
      <c r="P5909">
        <v>0.99240569999999895</v>
      </c>
      <c r="Q5909">
        <v>0.1201757</v>
      </c>
      <c r="R5909">
        <v>2.624342E-2</v>
      </c>
      <c r="S5909">
        <v>3.0563959999999999</v>
      </c>
      <c r="T5909">
        <v>-0.29449520000000001</v>
      </c>
      <c r="U5909">
        <v>0.1069031</v>
      </c>
      <c r="V5909">
        <v>-8.1695119999999996E-2</v>
      </c>
      <c r="W5909">
        <v>0.13365850000000001</v>
      </c>
      <c r="X5909">
        <v>0.98765440000000004</v>
      </c>
      <c r="Y5909">
        <v>-8.9820650000000002E-2</v>
      </c>
      <c r="Z5909">
        <v>9.5151769999999997E-3</v>
      </c>
      <c r="AA5909">
        <v>0.99591249999999998</v>
      </c>
      <c r="AB5909">
        <v>23</v>
      </c>
      <c r="AC5909">
        <v>11.2621</v>
      </c>
      <c r="AD5909">
        <v>-1.122119443259</v>
      </c>
      <c r="AE5909">
        <v>0.42649999999997501</v>
      </c>
      <c r="AF5909">
        <v>-1.0418812507256801</v>
      </c>
      <c r="AG5909">
        <v>-1.122119443259</v>
      </c>
      <c r="AH5909">
        <v>11.1108026747686</v>
      </c>
      <c r="AI5909">
        <v>95.741930144531807</v>
      </c>
      <c r="AJ5909">
        <v>95.357069771985294</v>
      </c>
      <c r="AK5909">
        <v>11.215819393303301</v>
      </c>
      <c r="AL5909">
        <v>82.318945016875304</v>
      </c>
      <c r="AM5909">
        <v>94.728530448528304</v>
      </c>
      <c r="AN5909">
        <v>0.99999995054671098</v>
      </c>
    </row>
    <row r="5910" spans="1:40" x14ac:dyDescent="0.25">
      <c r="A5910" t="str">
        <f>"20190303162720442"</f>
        <v>20190303162720442</v>
      </c>
      <c r="B5910" t="str">
        <f>"1551601640429874"</f>
        <v>1551601640429874</v>
      </c>
      <c r="C5910" t="s">
        <v>40</v>
      </c>
      <c r="D5910">
        <v>5.7521719999999998</v>
      </c>
      <c r="E5910">
        <v>0.49359579999999997</v>
      </c>
      <c r="F5910" t="s">
        <v>41</v>
      </c>
      <c r="G5910">
        <v>-142.85419999999999</v>
      </c>
      <c r="H5910" s="1">
        <v>-3.203244E-6</v>
      </c>
      <c r="I5910">
        <v>138.74</v>
      </c>
      <c r="J5910">
        <v>-158.01249999999999</v>
      </c>
      <c r="K5910">
        <v>1.1221179999999999</v>
      </c>
      <c r="L5910">
        <v>138.05590000000001</v>
      </c>
      <c r="M5910">
        <v>0.99845430000000002</v>
      </c>
      <c r="N5910">
        <v>-1.3804449999999999E-2</v>
      </c>
      <c r="O5910">
        <v>-5.3838810000000001E-2</v>
      </c>
      <c r="P5910">
        <v>0.99154629999999999</v>
      </c>
      <c r="Q5910">
        <v>0.12627569999999999</v>
      </c>
      <c r="R5910">
        <v>2.9843990000000001E-2</v>
      </c>
      <c r="S5910">
        <v>3.0462340000000001</v>
      </c>
      <c r="T5910">
        <v>-0.2210288</v>
      </c>
      <c r="U5910">
        <v>0.1318665</v>
      </c>
      <c r="V5910">
        <v>-8.3491179999999998E-2</v>
      </c>
      <c r="W5910">
        <v>0.13972979999999999</v>
      </c>
      <c r="X5910">
        <v>0.98666350000000003</v>
      </c>
      <c r="Y5910">
        <v>-9.6584100000000006E-2</v>
      </c>
      <c r="Z5910">
        <v>7.322818E-3</v>
      </c>
      <c r="AA5910">
        <v>0.99529789999999996</v>
      </c>
      <c r="AB5910">
        <v>23</v>
      </c>
      <c r="AC5910">
        <v>15.158299999999899</v>
      </c>
      <c r="AD5910">
        <v>-1.122121203244</v>
      </c>
      <c r="AE5910">
        <v>0.68410000000000004</v>
      </c>
      <c r="AF5910">
        <v>-1.4911353798085001</v>
      </c>
      <c r="AG5910">
        <v>-1.122121203244</v>
      </c>
      <c r="AH5910">
        <v>15.0173487583151</v>
      </c>
      <c r="AI5910">
        <v>94.252459882680498</v>
      </c>
      <c r="AJ5910">
        <v>95.670550425076399</v>
      </c>
      <c r="AK5910">
        <v>15.1328584360178</v>
      </c>
      <c r="AL5910">
        <v>81.967788983030005</v>
      </c>
      <c r="AM5910">
        <v>94.836829554124193</v>
      </c>
      <c r="AN5910">
        <v>1.00000002818904</v>
      </c>
    </row>
    <row r="5911" spans="1:40" x14ac:dyDescent="0.25">
      <c r="A5911" t="str">
        <f>"20190303162720466"</f>
        <v>20190303162720466</v>
      </c>
      <c r="B5911" t="str">
        <f>"1551601640461106"</f>
        <v>1551601640461106</v>
      </c>
      <c r="C5911" t="s">
        <v>40</v>
      </c>
      <c r="D5911">
        <v>5.3968030000000002</v>
      </c>
      <c r="E5911">
        <v>0.4942511</v>
      </c>
      <c r="F5911" t="s">
        <v>41</v>
      </c>
      <c r="G5911">
        <v>-141.29429999999999</v>
      </c>
      <c r="H5911" s="1">
        <v>-3.8596170000000001E-6</v>
      </c>
      <c r="I5911">
        <v>138.8124</v>
      </c>
      <c r="J5911">
        <v>-157.7679</v>
      </c>
      <c r="K5911">
        <v>1.1222129999999999</v>
      </c>
      <c r="L5911">
        <v>138.04470000000001</v>
      </c>
      <c r="M5911">
        <v>0.99853979999999998</v>
      </c>
      <c r="N5911">
        <v>-1.3794549999999999E-2</v>
      </c>
      <c r="O5911">
        <v>-5.2230209999999999E-2</v>
      </c>
      <c r="P5911">
        <v>0.99089090000000002</v>
      </c>
      <c r="Q5911">
        <v>0.1311195</v>
      </c>
      <c r="R5911">
        <v>3.0707849999999998E-2</v>
      </c>
      <c r="S5911">
        <v>3.047485</v>
      </c>
      <c r="T5911">
        <v>-0.20454610000000001</v>
      </c>
      <c r="U5911">
        <v>0.1379089</v>
      </c>
      <c r="V5911">
        <v>-8.2761970000000004E-2</v>
      </c>
      <c r="W5911">
        <v>0.14454320000000001</v>
      </c>
      <c r="X5911">
        <v>0.98603130000000005</v>
      </c>
      <c r="Y5911">
        <v>-9.6990339999999994E-2</v>
      </c>
      <c r="Z5911">
        <v>6.7001469999999896E-3</v>
      </c>
      <c r="AA5911">
        <v>0.99526269999999994</v>
      </c>
      <c r="AB5911">
        <v>23</v>
      </c>
      <c r="AC5911">
        <v>16.473600000000001</v>
      </c>
      <c r="AD5911">
        <v>-1.1222168596169999</v>
      </c>
      <c r="AE5911">
        <v>0.76769999999998995</v>
      </c>
      <c r="AF5911">
        <v>-1.6196534830976099</v>
      </c>
      <c r="AG5911">
        <v>-1.1222168596169999</v>
      </c>
      <c r="AH5911">
        <v>16.335367424757401</v>
      </c>
      <c r="AI5911">
        <v>93.910848747990997</v>
      </c>
      <c r="AJ5911">
        <v>95.662376132277302</v>
      </c>
      <c r="AK5911">
        <v>16.453780021233499</v>
      </c>
      <c r="AL5911">
        <v>81.689172206623496</v>
      </c>
      <c r="AM5911">
        <v>94.797842472183206</v>
      </c>
      <c r="AN5911">
        <v>1.0000000024621001</v>
      </c>
    </row>
    <row r="5912" spans="1:40" x14ac:dyDescent="0.25">
      <c r="A5912" t="str">
        <f>"20190303162720488"</f>
        <v>20190303162720488</v>
      </c>
      <c r="B5912" t="str">
        <f>"1551601640480626"</f>
        <v>1551601640480626</v>
      </c>
      <c r="C5912" t="s">
        <v>40</v>
      </c>
      <c r="D5912">
        <v>5.6679219999999999</v>
      </c>
      <c r="E5912">
        <v>0.49397940000000001</v>
      </c>
      <c r="F5912" t="s">
        <v>41</v>
      </c>
      <c r="G5912">
        <v>-139.05449999999999</v>
      </c>
      <c r="H5912" s="1">
        <v>-5.1816920000000005E-7</v>
      </c>
      <c r="I5912">
        <v>138.88210000000001</v>
      </c>
      <c r="J5912">
        <v>-157.5393</v>
      </c>
      <c r="K5912">
        <v>1.122358</v>
      </c>
      <c r="L5912">
        <v>138.03479999999999</v>
      </c>
      <c r="M5912">
        <v>0.99863139999999995</v>
      </c>
      <c r="N5912">
        <v>-1.37888E-2</v>
      </c>
      <c r="O5912">
        <v>-5.045148E-2</v>
      </c>
      <c r="P5912">
        <v>0.99067179999999999</v>
      </c>
      <c r="Q5912">
        <v>0.1333878</v>
      </c>
      <c r="R5912">
        <v>2.7876660000000001E-2</v>
      </c>
      <c r="S5912">
        <v>3.0475310000000002</v>
      </c>
      <c r="T5912">
        <v>-0.1827548</v>
      </c>
      <c r="U5912">
        <v>0.13638310000000001</v>
      </c>
      <c r="V5912">
        <v>-7.8217510000000004E-2</v>
      </c>
      <c r="W5912">
        <v>0.14679110000000001</v>
      </c>
      <c r="X5912">
        <v>0.98607020000000001</v>
      </c>
      <c r="Y5912">
        <v>-9.4793249999999996E-2</v>
      </c>
      <c r="Z5912">
        <v>5.8191909999999996E-3</v>
      </c>
      <c r="AA5912">
        <v>0.99548000000000003</v>
      </c>
      <c r="AB5912">
        <v>23</v>
      </c>
      <c r="AC5912">
        <v>18.4848</v>
      </c>
      <c r="AD5912">
        <v>-1.1223585181692</v>
      </c>
      <c r="AE5912">
        <v>0.84730000000001804</v>
      </c>
      <c r="AF5912">
        <v>-1.77237443249909</v>
      </c>
      <c r="AG5912">
        <v>-1.1223585181692</v>
      </c>
      <c r="AH5912">
        <v>18.3509916617299</v>
      </c>
      <c r="AI5912">
        <v>93.483717087923097</v>
      </c>
      <c r="AJ5912">
        <v>95.516627013647394</v>
      </c>
      <c r="AK5912">
        <v>18.470514198071601</v>
      </c>
      <c r="AL5912">
        <v>81.558988580797006</v>
      </c>
      <c r="AM5912">
        <v>94.535345644093596</v>
      </c>
      <c r="AN5912">
        <v>1.0000000226189201</v>
      </c>
    </row>
    <row r="5913" spans="1:40" x14ac:dyDescent="0.25">
      <c r="A5913" t="str">
        <f>"20190303162720512"</f>
        <v>20190303162720512</v>
      </c>
      <c r="B5913" t="str">
        <f>"1551601640500146"</f>
        <v>1551601640500146</v>
      </c>
      <c r="C5913" t="s">
        <v>40</v>
      </c>
      <c r="D5913">
        <v>5.6763079999999997</v>
      </c>
      <c r="E5913">
        <v>0.49368440000000002</v>
      </c>
      <c r="F5913" t="s">
        <v>41</v>
      </c>
      <c r="G5913">
        <v>-137.875</v>
      </c>
      <c r="H5913" s="1">
        <v>-1.021989E-6</v>
      </c>
      <c r="I5913">
        <v>138.89429999999999</v>
      </c>
      <c r="J5913">
        <v>-157.29589999999999</v>
      </c>
      <c r="K5913">
        <v>1.122539</v>
      </c>
      <c r="L5913">
        <v>138.02500000000001</v>
      </c>
      <c r="M5913">
        <v>0.99874030000000003</v>
      </c>
      <c r="N5913">
        <v>-1.3786959999999999E-2</v>
      </c>
      <c r="O5913">
        <v>-4.8247079999999998E-2</v>
      </c>
      <c r="P5913">
        <v>0.99082840000000005</v>
      </c>
      <c r="Q5913">
        <v>0.13326350000000001</v>
      </c>
      <c r="R5913">
        <v>2.2358639999999999E-2</v>
      </c>
      <c r="S5913">
        <v>3.0479579999999999</v>
      </c>
      <c r="T5913">
        <v>-0.1739646</v>
      </c>
      <c r="U5913">
        <v>0.13323969999999999</v>
      </c>
      <c r="V5913">
        <v>-7.0598980000000006E-2</v>
      </c>
      <c r="W5913">
        <v>0.1466614</v>
      </c>
      <c r="X5913">
        <v>0.98666419999999999</v>
      </c>
      <c r="Y5913">
        <v>-9.1597499999999998E-2</v>
      </c>
      <c r="Z5913">
        <v>5.3286339999999996E-3</v>
      </c>
      <c r="AA5913">
        <v>0.99578180000000005</v>
      </c>
      <c r="AB5913">
        <v>23</v>
      </c>
      <c r="AC5913">
        <v>19.4208999999999</v>
      </c>
      <c r="AD5913">
        <v>-1.122540021989</v>
      </c>
      <c r="AE5913">
        <v>0.86929999999998098</v>
      </c>
      <c r="AF5913">
        <v>-1.7993786627538899</v>
      </c>
      <c r="AG5913">
        <v>-1.122540021989</v>
      </c>
      <c r="AH5913">
        <v>19.292009539682802</v>
      </c>
      <c r="AI5913">
        <v>93.315743408671906</v>
      </c>
      <c r="AJ5913">
        <v>95.328599543906705</v>
      </c>
      <c r="AK5913">
        <v>19.408232576722501</v>
      </c>
      <c r="AL5913">
        <v>81.566501068142401</v>
      </c>
      <c r="AM5913">
        <v>94.092721112735305</v>
      </c>
      <c r="AN5913">
        <v>1.0000000128943201</v>
      </c>
    </row>
    <row r="5914" spans="1:40" x14ac:dyDescent="0.25">
      <c r="A5914" t="str">
        <f>"20190303162720546"</f>
        <v>20190303162720546</v>
      </c>
      <c r="B5914" t="str">
        <f>"1551601640540161"</f>
        <v>1551601640540161</v>
      </c>
      <c r="C5914" t="s">
        <v>40</v>
      </c>
      <c r="D5914">
        <v>5.6668190000000003</v>
      </c>
      <c r="E5914">
        <v>0.49359910000000001</v>
      </c>
      <c r="F5914" t="s">
        <v>41</v>
      </c>
      <c r="G5914">
        <v>-137.6275</v>
      </c>
      <c r="H5914" s="1">
        <v>-1.1428699999999999E-6</v>
      </c>
      <c r="I5914">
        <v>138.81139999999999</v>
      </c>
      <c r="J5914">
        <v>-156.9486</v>
      </c>
      <c r="K5914">
        <v>1.1228290000000001</v>
      </c>
      <c r="L5914">
        <v>138.01249999999999</v>
      </c>
      <c r="M5914">
        <v>0.99891529999999995</v>
      </c>
      <c r="N5914">
        <v>-1.3789310000000001E-2</v>
      </c>
      <c r="O5914">
        <v>-4.447541E-2</v>
      </c>
      <c r="P5914">
        <v>0.99205069999999995</v>
      </c>
      <c r="Q5914">
        <v>0.12539429999999999</v>
      </c>
      <c r="R5914">
        <v>1.0572430000000001E-2</v>
      </c>
      <c r="S5914">
        <v>3.0484010000000001</v>
      </c>
      <c r="T5914">
        <v>-0.17398169999999999</v>
      </c>
      <c r="U5914">
        <v>0.1218872</v>
      </c>
      <c r="V5914">
        <v>-5.5227480000000002E-2</v>
      </c>
      <c r="W5914">
        <v>0.13882890000000001</v>
      </c>
      <c r="X5914">
        <v>0.98877530000000002</v>
      </c>
      <c r="Y5914">
        <v>-8.4145209999999998E-2</v>
      </c>
      <c r="Z5914">
        <v>4.9018050000000004E-3</v>
      </c>
      <c r="AA5914">
        <v>0.99644140000000003</v>
      </c>
      <c r="AB5914">
        <v>23</v>
      </c>
      <c r="AC5914">
        <v>19.321100000000001</v>
      </c>
      <c r="AD5914">
        <v>-1.12283014287</v>
      </c>
      <c r="AE5914">
        <v>0.79890000000000305</v>
      </c>
      <c r="AF5914">
        <v>-1.6519353892171</v>
      </c>
      <c r="AG5914">
        <v>-1.12283014287</v>
      </c>
      <c r="AH5914">
        <v>19.201704496221598</v>
      </c>
      <c r="AI5914">
        <v>93.334302638302802</v>
      </c>
      <c r="AJ5914">
        <v>94.917086905980398</v>
      </c>
      <c r="AK5914">
        <v>19.305312575042699</v>
      </c>
      <c r="AL5914">
        <v>82.019915118219998</v>
      </c>
      <c r="AM5914">
        <v>93.196901346032902</v>
      </c>
      <c r="AN5914">
        <v>1.00000006595622</v>
      </c>
    </row>
    <row r="5915" spans="1:40" x14ac:dyDescent="0.25">
      <c r="A5915" t="str">
        <f>"20190303162720578"</f>
        <v>20190303162720578</v>
      </c>
      <c r="B5915" t="str">
        <f>"1551601640570418"</f>
        <v>1551601640570418</v>
      </c>
      <c r="C5915" t="s">
        <v>40</v>
      </c>
      <c r="D5915">
        <v>5.6786379999999896</v>
      </c>
      <c r="E5915">
        <v>0.49361529999999998</v>
      </c>
      <c r="F5915" t="s">
        <v>41</v>
      </c>
      <c r="G5915">
        <v>-140.06559999999999</v>
      </c>
      <c r="H5915" s="1">
        <v>-4.4412599999999999E-6</v>
      </c>
      <c r="I5915">
        <v>138.50489999999999</v>
      </c>
      <c r="J5915">
        <v>-156.62799999999999</v>
      </c>
      <c r="K5915">
        <v>1.1231279999999999</v>
      </c>
      <c r="L5915">
        <v>138.00309999999999</v>
      </c>
      <c r="M5915">
        <v>0.99909340000000002</v>
      </c>
      <c r="N5915">
        <v>-1.3795999999999999E-2</v>
      </c>
      <c r="O5915">
        <v>-4.0276359999999997E-2</v>
      </c>
      <c r="P5915">
        <v>0.99216919999999997</v>
      </c>
      <c r="Q5915">
        <v>0.124554399999999</v>
      </c>
      <c r="R5915">
        <v>9.2881140000000001E-3</v>
      </c>
      <c r="S5915">
        <v>3.048737</v>
      </c>
      <c r="T5915">
        <v>-0.20276189999999999</v>
      </c>
      <c r="U5915">
        <v>8.8912959999999999E-2</v>
      </c>
      <c r="V5915">
        <v>-4.9882679999999999E-2</v>
      </c>
      <c r="W5915">
        <v>0.13798540000000001</v>
      </c>
      <c r="X5915">
        <v>0.98917730000000004</v>
      </c>
      <c r="Y5915">
        <v>-6.9150649999999994E-2</v>
      </c>
      <c r="Z5915">
        <v>4.894107E-3</v>
      </c>
      <c r="AA5915">
        <v>0.99759419999999999</v>
      </c>
      <c r="AB5915">
        <v>23</v>
      </c>
      <c r="AC5915">
        <v>16.562399999999901</v>
      </c>
      <c r="AD5915">
        <v>-1.1231324412599999</v>
      </c>
      <c r="AE5915">
        <v>0.50180000000000202</v>
      </c>
      <c r="AF5915">
        <v>-1.1631853883991401</v>
      </c>
      <c r="AG5915">
        <v>-1.1231324412599999</v>
      </c>
      <c r="AH5915">
        <v>16.453155439487801</v>
      </c>
      <c r="AI5915">
        <v>93.895398807962593</v>
      </c>
      <c r="AJ5915">
        <v>94.043899856017603</v>
      </c>
      <c r="AK5915">
        <v>16.532415148560201</v>
      </c>
      <c r="AL5915">
        <v>82.068713179897898</v>
      </c>
      <c r="AM5915">
        <v>92.886891974931302</v>
      </c>
      <c r="AN5915">
        <v>0.999999991606216</v>
      </c>
    </row>
    <row r="5916" spans="1:40" x14ac:dyDescent="0.25">
      <c r="A5916" t="str">
        <f>"20190303162720600"</f>
        <v>20190303162720600</v>
      </c>
      <c r="B5916" t="str">
        <f>"1551601640590914"</f>
        <v>1551601640590914</v>
      </c>
      <c r="C5916" t="s">
        <v>40</v>
      </c>
      <c r="D5916">
        <v>5.6818960000000001</v>
      </c>
      <c r="E5916">
        <v>0.4938147</v>
      </c>
      <c r="F5916" t="s">
        <v>41</v>
      </c>
      <c r="G5916">
        <v>-139.98920000000001</v>
      </c>
      <c r="H5916" s="1">
        <v>-4.4820189999999999E-6</v>
      </c>
      <c r="I5916">
        <v>138.4599</v>
      </c>
      <c r="J5916">
        <v>-156.399</v>
      </c>
      <c r="K5916">
        <v>1.123329</v>
      </c>
      <c r="L5916">
        <v>137.9975</v>
      </c>
      <c r="M5916">
        <v>0.99922250000000001</v>
      </c>
      <c r="N5916">
        <v>-1.3801890000000001E-2</v>
      </c>
      <c r="O5916">
        <v>-3.6933399999999998E-2</v>
      </c>
      <c r="P5916">
        <v>0.99207460000000003</v>
      </c>
      <c r="Q5916">
        <v>0.1253032</v>
      </c>
      <c r="R5916">
        <v>9.3438259999999995E-3</v>
      </c>
      <c r="S5916">
        <v>3.048721</v>
      </c>
      <c r="T5916">
        <v>-0.20579149999999999</v>
      </c>
      <c r="U5916">
        <v>8.3709720000000001E-2</v>
      </c>
      <c r="V5916">
        <v>-4.6688019999999997E-2</v>
      </c>
      <c r="W5916">
        <v>0.13873440000000001</v>
      </c>
      <c r="X5916">
        <v>0.98922849999999996</v>
      </c>
      <c r="Y5916">
        <v>-6.4122369999999998E-2</v>
      </c>
      <c r="Z5916">
        <v>4.5848950000000003E-3</v>
      </c>
      <c r="AA5916">
        <v>0.99793149999999997</v>
      </c>
      <c r="AB5916">
        <v>23</v>
      </c>
      <c r="AC5916">
        <v>16.409799999999901</v>
      </c>
      <c r="AD5916">
        <v>-1.123333482019</v>
      </c>
      <c r="AE5916">
        <v>0.46240000000000198</v>
      </c>
      <c r="AF5916">
        <v>-1.06323339015882</v>
      </c>
      <c r="AG5916">
        <v>-1.123333482019</v>
      </c>
      <c r="AH5916">
        <v>16.305175376877902</v>
      </c>
      <c r="AI5916">
        <v>93.932798294799596</v>
      </c>
      <c r="AJ5916">
        <v>93.730880490258897</v>
      </c>
      <c r="AK5916">
        <v>16.378372551157799</v>
      </c>
      <c r="AL5916">
        <v>82.025382068293496</v>
      </c>
      <c r="AM5916">
        <v>92.702149142669796</v>
      </c>
      <c r="AN5916">
        <v>1.00000001508356</v>
      </c>
    </row>
    <row r="5917" spans="1:40" x14ac:dyDescent="0.25">
      <c r="A5917" t="str">
        <f>"20190303162720623"</f>
        <v>20190303162720623</v>
      </c>
      <c r="B5917" t="str">
        <f>"1551601640610434"</f>
        <v>1551601640610434</v>
      </c>
      <c r="C5917" t="s">
        <v>40</v>
      </c>
      <c r="D5917">
        <v>5.6895100000000003</v>
      </c>
      <c r="E5917">
        <v>0.49389569999999999</v>
      </c>
      <c r="F5917" t="s">
        <v>41</v>
      </c>
      <c r="G5917">
        <v>-139.54599999999999</v>
      </c>
      <c r="H5917" s="1">
        <v>-4.538994E-7</v>
      </c>
      <c r="I5917">
        <v>138.43860000000001</v>
      </c>
      <c r="J5917">
        <v>-156.17500000000001</v>
      </c>
      <c r="K5917">
        <v>1.1235010000000001</v>
      </c>
      <c r="L5917">
        <v>137.9931</v>
      </c>
      <c r="M5917">
        <v>0.99934630000000002</v>
      </c>
      <c r="N5917">
        <v>-1.3807399999999999E-2</v>
      </c>
      <c r="O5917">
        <v>-3.3411429999999999E-2</v>
      </c>
      <c r="P5917">
        <v>0.99202330000000005</v>
      </c>
      <c r="Q5917">
        <v>0.12568699999999999</v>
      </c>
      <c r="R5917">
        <v>9.6232560000000002E-3</v>
      </c>
      <c r="S5917">
        <v>3.048889</v>
      </c>
      <c r="T5917">
        <v>-0.20322100000000001</v>
      </c>
      <c r="U5917">
        <v>7.9818730000000004E-2</v>
      </c>
      <c r="V5917">
        <v>-4.3528770000000001E-2</v>
      </c>
      <c r="W5917">
        <v>0.139124</v>
      </c>
      <c r="X5917">
        <v>0.98931780000000002</v>
      </c>
      <c r="Y5917">
        <v>-5.9353669999999997E-2</v>
      </c>
      <c r="Z5917">
        <v>4.1491669999999996E-3</v>
      </c>
      <c r="AA5917">
        <v>0.99822840000000002</v>
      </c>
      <c r="AB5917">
        <v>23</v>
      </c>
      <c r="AC5917">
        <v>16.629000000000001</v>
      </c>
      <c r="AD5917">
        <v>-1.1235014538993999</v>
      </c>
      <c r="AE5917">
        <v>0.445500000000009</v>
      </c>
      <c r="AF5917">
        <v>-0.99635801876485497</v>
      </c>
      <c r="AG5917">
        <v>-1.1235014538993999</v>
      </c>
      <c r="AH5917">
        <v>16.529429500802902</v>
      </c>
      <c r="AI5917">
        <v>93.881376745757095</v>
      </c>
      <c r="AJ5917">
        <v>93.449491060316504</v>
      </c>
      <c r="AK5917">
        <v>16.597500547988599</v>
      </c>
      <c r="AL5917">
        <v>82.002840716715198</v>
      </c>
      <c r="AM5917">
        <v>92.519319165176199</v>
      </c>
      <c r="AN5917">
        <v>0.99999997529527596</v>
      </c>
    </row>
    <row r="5918" spans="1:40" x14ac:dyDescent="0.25">
      <c r="A5918" t="str">
        <f>"20190303162720658"</f>
        <v>20190303162720658</v>
      </c>
      <c r="B5918" t="str">
        <f>"1551601640650450"</f>
        <v>1551601640650450</v>
      </c>
      <c r="C5918" t="s">
        <v>40</v>
      </c>
      <c r="D5918">
        <v>5.6341769999999904</v>
      </c>
      <c r="E5918">
        <v>0.49365189999999998</v>
      </c>
      <c r="F5918" t="s">
        <v>41</v>
      </c>
      <c r="G5918">
        <v>-139.22389999999999</v>
      </c>
      <c r="H5918" s="1">
        <v>-5.6665149999999899E-7</v>
      </c>
      <c r="I5918">
        <v>138.42679999999999</v>
      </c>
      <c r="J5918">
        <v>-155.8201</v>
      </c>
      <c r="K5918">
        <v>1.1236539999999999</v>
      </c>
      <c r="L5918">
        <v>137.98830000000001</v>
      </c>
      <c r="M5918">
        <v>0.9995269</v>
      </c>
      <c r="N5918">
        <v>-1.381422E-2</v>
      </c>
      <c r="O5918">
        <v>-2.7482199999999998E-2</v>
      </c>
      <c r="P5918">
        <v>0.99202219999999997</v>
      </c>
      <c r="Q5918">
        <v>0.12593509999999999</v>
      </c>
      <c r="R5918">
        <v>5.7146269999999999E-3</v>
      </c>
      <c r="S5918">
        <v>3.04895</v>
      </c>
      <c r="T5918">
        <v>-0.20208039999999999</v>
      </c>
      <c r="U5918">
        <v>7.8018190000000001E-2</v>
      </c>
      <c r="V5918">
        <v>-3.3797559999999997E-2</v>
      </c>
      <c r="W5918">
        <v>0.13942379999999999</v>
      </c>
      <c r="X5918">
        <v>0.98965590000000003</v>
      </c>
      <c r="Y5918">
        <v>-5.2868409999999998E-2</v>
      </c>
      <c r="Z5918">
        <v>3.5554520000000002E-3</v>
      </c>
      <c r="AA5918">
        <v>0.99859520000000002</v>
      </c>
      <c r="AB5918">
        <v>23</v>
      </c>
      <c r="AC5918">
        <v>16.5962</v>
      </c>
      <c r="AD5918">
        <v>-1.1236545666515001</v>
      </c>
      <c r="AE5918">
        <v>0.43849999999997602</v>
      </c>
      <c r="AF5918">
        <v>-0.89039915081362597</v>
      </c>
      <c r="AG5918">
        <v>-1.1236545666515001</v>
      </c>
      <c r="AH5918">
        <v>16.502283866248298</v>
      </c>
      <c r="AI5918">
        <v>93.889665444614494</v>
      </c>
      <c r="AJ5918">
        <v>93.088462968809793</v>
      </c>
      <c r="AK5918">
        <v>16.564443336109001</v>
      </c>
      <c r="AL5918">
        <v>81.985494869947402</v>
      </c>
      <c r="AM5918">
        <v>91.955937670809107</v>
      </c>
      <c r="AN5918">
        <v>1.0000000357365999</v>
      </c>
    </row>
    <row r="5919" spans="1:40" x14ac:dyDescent="0.25">
      <c r="A5919" t="str">
        <f>"20190303162720688"</f>
        <v>20190303162720688</v>
      </c>
      <c r="B5919" t="str">
        <f>"1551601640680705"</f>
        <v>1551601640680705</v>
      </c>
      <c r="C5919" t="s">
        <v>40</v>
      </c>
      <c r="D5919">
        <v>5.6942219999999999</v>
      </c>
      <c r="E5919">
        <v>0.49339129999999998</v>
      </c>
      <c r="F5919" t="s">
        <v>41</v>
      </c>
      <c r="G5919">
        <v>-138.8639</v>
      </c>
      <c r="H5919" s="1">
        <v>-7.1011519999999901E-7</v>
      </c>
      <c r="I5919">
        <v>138.34799999999899</v>
      </c>
      <c r="J5919">
        <v>-155.5155</v>
      </c>
      <c r="K5919">
        <v>1.1236950000000001</v>
      </c>
      <c r="L5919">
        <v>137.98599999999999</v>
      </c>
      <c r="M5919">
        <v>0.99965680000000001</v>
      </c>
      <c r="N5919">
        <v>-1.3816119999999999E-2</v>
      </c>
      <c r="O5919">
        <v>-2.2258839999999998E-2</v>
      </c>
      <c r="P5919">
        <v>0.99221729999999997</v>
      </c>
      <c r="Q5919">
        <v>0.1243504</v>
      </c>
      <c r="R5919">
        <v>6.4830740000000001E-3</v>
      </c>
      <c r="S5919">
        <v>3.0494080000000001</v>
      </c>
      <c r="T5919">
        <v>-0.2020779</v>
      </c>
      <c r="U5919">
        <v>6.4697270000000001E-2</v>
      </c>
      <c r="V5919">
        <v>-2.9394219999999999E-2</v>
      </c>
      <c r="W5919">
        <v>0.13786870000000001</v>
      </c>
      <c r="X5919">
        <v>0.99001430000000001</v>
      </c>
      <c r="Y5919">
        <v>-4.3316859999999999E-2</v>
      </c>
      <c r="Z5919">
        <v>2.8992219999999999E-3</v>
      </c>
      <c r="AA5919">
        <v>0.99905719999999998</v>
      </c>
      <c r="AB5919">
        <v>23</v>
      </c>
      <c r="AC5919">
        <v>16.651599999999998</v>
      </c>
      <c r="AD5919">
        <v>-1.1236957101152001</v>
      </c>
      <c r="AE5919">
        <v>0.36199999999999399</v>
      </c>
      <c r="AF5919">
        <v>-0.72927148785178597</v>
      </c>
      <c r="AG5919">
        <v>-1.1236957101152001</v>
      </c>
      <c r="AH5919">
        <v>16.564019559197501</v>
      </c>
      <c r="AI5919">
        <v>93.877229225725699</v>
      </c>
      <c r="AJ5919">
        <v>92.520958829273894</v>
      </c>
      <c r="AK5919">
        <v>16.6181007612001</v>
      </c>
      <c r="AL5919">
        <v>82.075464637094598</v>
      </c>
      <c r="AM5919">
        <v>91.700652328659501</v>
      </c>
      <c r="AN5919">
        <v>1.0000000564067899</v>
      </c>
    </row>
    <row r="5920" spans="1:40" x14ac:dyDescent="0.25">
      <c r="A5920" t="str">
        <f>"20190303162720725"</f>
        <v>20190303162720725</v>
      </c>
      <c r="B5920" t="str">
        <f>"1551601640709986"</f>
        <v>1551601640709986</v>
      </c>
      <c r="C5920" t="s">
        <v>40</v>
      </c>
      <c r="D5920">
        <v>5.7606729999999997</v>
      </c>
      <c r="E5920">
        <v>0.49303520000000001</v>
      </c>
      <c r="F5920" t="s">
        <v>41</v>
      </c>
      <c r="G5920">
        <v>-139.0958</v>
      </c>
      <c r="H5920" s="1">
        <v>-6.2773660000000004E-7</v>
      </c>
      <c r="I5920">
        <v>138.36109999999999</v>
      </c>
      <c r="J5920">
        <v>-155.1437</v>
      </c>
      <c r="K5920">
        <v>1.123664</v>
      </c>
      <c r="L5920">
        <v>137.9855</v>
      </c>
      <c r="M5920">
        <v>0.99977800000000006</v>
      </c>
      <c r="N5920">
        <v>-1.381376E-2</v>
      </c>
      <c r="O5920">
        <v>-1.591333E-2</v>
      </c>
      <c r="P5920">
        <v>0.99178169999999999</v>
      </c>
      <c r="Q5920">
        <v>0.12788720000000001</v>
      </c>
      <c r="R5920">
        <v>3.7665950000000002E-3</v>
      </c>
      <c r="S5920">
        <v>3.0492249999999999</v>
      </c>
      <c r="T5920">
        <v>-0.20867530000000001</v>
      </c>
      <c r="U5920">
        <v>6.9656369999999995E-2</v>
      </c>
      <c r="V5920">
        <v>-2.0378819999999999E-2</v>
      </c>
      <c r="W5920">
        <v>0.14145629999999901</v>
      </c>
      <c r="X5920">
        <v>0.98973469999999997</v>
      </c>
      <c r="Y5920">
        <v>-3.8613550000000003E-2</v>
      </c>
      <c r="Z5920">
        <v>2.4547169999999999E-3</v>
      </c>
      <c r="AA5920">
        <v>0.99925120000000001</v>
      </c>
      <c r="AB5920">
        <v>23</v>
      </c>
      <c r="AC5920">
        <v>16.047899999999998</v>
      </c>
      <c r="AD5920">
        <v>-1.1236646277366</v>
      </c>
      <c r="AE5920">
        <v>0.375599999999991</v>
      </c>
      <c r="AF5920">
        <v>-0.62787570194865505</v>
      </c>
      <c r="AG5920">
        <v>-1.1236646277366</v>
      </c>
      <c r="AH5920">
        <v>15.9616771560553</v>
      </c>
      <c r="AI5920">
        <v>94.023743472462897</v>
      </c>
      <c r="AJ5920">
        <v>92.252651112326006</v>
      </c>
      <c r="AK5920">
        <v>16.013493926275501</v>
      </c>
      <c r="AL5920">
        <v>81.8678750099224</v>
      </c>
      <c r="AM5920">
        <v>91.179563991220405</v>
      </c>
      <c r="AN5920">
        <v>0.999999978749186</v>
      </c>
    </row>
    <row r="5921" spans="1:40" x14ac:dyDescent="0.25">
      <c r="A5921" t="str">
        <f>"20190303162720769"</f>
        <v>20190303162720769</v>
      </c>
      <c r="B5921" t="str">
        <f>"1551601640760738"</f>
        <v>1551601640760738</v>
      </c>
      <c r="C5921" t="s">
        <v>40</v>
      </c>
      <c r="D5921">
        <v>5.7557549999999997</v>
      </c>
      <c r="E5921">
        <v>0.48397109999999899</v>
      </c>
      <c r="F5921" t="s">
        <v>41</v>
      </c>
      <c r="G5921">
        <v>-137.81479999999999</v>
      </c>
      <c r="H5921" s="1">
        <v>-1.1391029999999999E-6</v>
      </c>
      <c r="I5921">
        <v>138.37950000000001</v>
      </c>
      <c r="J5921">
        <v>-154.7047</v>
      </c>
      <c r="K5921">
        <v>1.123516</v>
      </c>
      <c r="L5921">
        <v>137.98769999999999</v>
      </c>
      <c r="M5921">
        <v>0.99986649999999999</v>
      </c>
      <c r="N5921">
        <v>-1.380611E-2</v>
      </c>
      <c r="O5921">
        <v>-8.7450529999999992E-3</v>
      </c>
      <c r="P5921">
        <v>0.99124500000000004</v>
      </c>
      <c r="Q5921">
        <v>0.13192290000000001</v>
      </c>
      <c r="R5921">
        <v>5.4373140000000004E-3</v>
      </c>
      <c r="S5921">
        <v>3.0500949999999998</v>
      </c>
      <c r="T5921">
        <v>-0.1977787</v>
      </c>
      <c r="U5921">
        <v>6.9366460000000005E-2</v>
      </c>
      <c r="V5921">
        <v>-1.490269E-2</v>
      </c>
      <c r="W5921">
        <v>0.14551510000000001</v>
      </c>
      <c r="X5921">
        <v>0.98924380000000001</v>
      </c>
      <c r="Y5921">
        <v>-3.1387949999999998E-2</v>
      </c>
      <c r="Z5921">
        <v>1.6792160000000001E-3</v>
      </c>
      <c r="AA5921">
        <v>0.99950589999999995</v>
      </c>
      <c r="AB5921">
        <v>23</v>
      </c>
      <c r="AC5921">
        <v>16.889900000000001</v>
      </c>
      <c r="AD5921">
        <v>-1.1235171391030001</v>
      </c>
      <c r="AE5921">
        <v>0.39180000000001702</v>
      </c>
      <c r="AF5921">
        <v>-0.53712669365752497</v>
      </c>
      <c r="AG5921">
        <v>-1.1235171391030001</v>
      </c>
      <c r="AH5921">
        <v>16.811477984296999</v>
      </c>
      <c r="AI5921">
        <v>93.821468013185495</v>
      </c>
      <c r="AJ5921">
        <v>91.829977547808696</v>
      </c>
      <c r="AK5921">
        <v>16.857538013108499</v>
      </c>
      <c r="AL5921">
        <v>81.632891507923901</v>
      </c>
      <c r="AM5921">
        <v>90.863080118068396</v>
      </c>
      <c r="AN5921">
        <v>1.0000000151678401</v>
      </c>
    </row>
    <row r="5922" spans="1:40" x14ac:dyDescent="0.25">
      <c r="A5922" t="str">
        <f>"20190303162720797"</f>
        <v>20190303162720797</v>
      </c>
      <c r="B5922" t="str">
        <f>"1551601640790018"</f>
        <v>1551601640790018</v>
      </c>
      <c r="C5922" t="s">
        <v>40</v>
      </c>
      <c r="D5922">
        <v>5.7525040000000001</v>
      </c>
      <c r="E5922">
        <v>0.48389890000000002</v>
      </c>
      <c r="F5922" t="s">
        <v>41</v>
      </c>
      <c r="G5922">
        <v>-137.584</v>
      </c>
      <c r="H5922" s="1">
        <v>-1.1617339999999999E-6</v>
      </c>
      <c r="I5922">
        <v>138.81020000000001</v>
      </c>
      <c r="J5922">
        <v>-154.41290000000001</v>
      </c>
      <c r="K5922">
        <v>1.12337</v>
      </c>
      <c r="L5922">
        <v>137.9905</v>
      </c>
      <c r="M5922">
        <v>0.9998956</v>
      </c>
      <c r="N5922">
        <v>-1.3798059999999999E-2</v>
      </c>
      <c r="O5922">
        <v>-4.2928109999999997E-3</v>
      </c>
      <c r="P5922">
        <v>0.99121890000000001</v>
      </c>
      <c r="Q5922">
        <v>0.132001799999999</v>
      </c>
      <c r="R5922">
        <v>7.7987359999999997E-3</v>
      </c>
      <c r="S5922">
        <v>3.0523380000000002</v>
      </c>
      <c r="T5922">
        <v>-0.2003047</v>
      </c>
      <c r="U5922">
        <v>0.14665220000000001</v>
      </c>
      <c r="V5922">
        <v>-1.2799140000000001E-2</v>
      </c>
      <c r="W5922">
        <v>0.14560190000000001</v>
      </c>
      <c r="X5922">
        <v>0.98926049999999999</v>
      </c>
      <c r="Y5922">
        <v>-5.2137080000000002E-2</v>
      </c>
      <c r="Z5922">
        <v>2.2903749999999999E-3</v>
      </c>
      <c r="AA5922">
        <v>0.99863729999999995</v>
      </c>
      <c r="AB5922">
        <v>23</v>
      </c>
      <c r="AC5922">
        <v>16.828900000000001</v>
      </c>
      <c r="AD5922">
        <v>-1.1233711617340001</v>
      </c>
      <c r="AE5922">
        <v>0.81970000000001098</v>
      </c>
      <c r="AF5922">
        <v>-0.88799516062713801</v>
      </c>
      <c r="AG5922">
        <v>-1.1233711617340001</v>
      </c>
      <c r="AH5922">
        <v>16.750762751563901</v>
      </c>
      <c r="AI5922">
        <v>93.831368439830797</v>
      </c>
      <c r="AJ5922">
        <v>93.034536086311903</v>
      </c>
      <c r="AK5922">
        <v>16.811857450367999</v>
      </c>
      <c r="AL5922">
        <v>81.6278648563639</v>
      </c>
      <c r="AM5922">
        <v>90.741256513073594</v>
      </c>
      <c r="AN5922">
        <v>1.0000000340642901</v>
      </c>
    </row>
    <row r="5923" spans="1:40" x14ac:dyDescent="0.25">
      <c r="A5923" t="str">
        <f>"20190303162720827"</f>
        <v>20190303162720827</v>
      </c>
      <c r="B5923" t="str">
        <f>"1551601640820273"</f>
        <v>1551601640820273</v>
      </c>
      <c r="C5923" t="s">
        <v>40</v>
      </c>
      <c r="D5923">
        <v>5.6958859999999998</v>
      </c>
      <c r="E5923">
        <v>0.48267490000000002</v>
      </c>
      <c r="F5923" t="s">
        <v>41</v>
      </c>
      <c r="G5923">
        <v>-138.94669999999999</v>
      </c>
      <c r="H5923" s="1">
        <v>-5.8327240000000003E-7</v>
      </c>
      <c r="I5923">
        <v>138.7758</v>
      </c>
      <c r="J5923">
        <v>-154.13390000000001</v>
      </c>
      <c r="K5923">
        <v>1.123173</v>
      </c>
      <c r="L5923">
        <v>137.99420000000001</v>
      </c>
      <c r="M5923">
        <v>0.99990500000000004</v>
      </c>
      <c r="N5923">
        <v>-1.3787850000000001E-2</v>
      </c>
      <c r="O5923">
        <v>-3.7499449999999998E-4</v>
      </c>
      <c r="P5923">
        <v>0.99121559999999997</v>
      </c>
      <c r="Q5923">
        <v>0.13191320000000001</v>
      </c>
      <c r="R5923">
        <v>9.5350629999999999E-3</v>
      </c>
      <c r="S5923">
        <v>3.0549010000000001</v>
      </c>
      <c r="T5923">
        <v>-0.2218878</v>
      </c>
      <c r="U5923">
        <v>0.15510560000000001</v>
      </c>
      <c r="V5923">
        <v>-1.0585010000000001E-2</v>
      </c>
      <c r="W5923">
        <v>0.14551979999999901</v>
      </c>
      <c r="X5923">
        <v>0.98929869999999998</v>
      </c>
      <c r="Y5923">
        <v>-5.0921969999999997E-2</v>
      </c>
      <c r="Z5923">
        <v>2.2195660000000001E-3</v>
      </c>
      <c r="AA5923">
        <v>0.99870009999999998</v>
      </c>
      <c r="AB5923">
        <v>23</v>
      </c>
      <c r="AC5923">
        <v>15.187200000000001</v>
      </c>
      <c r="AD5923">
        <v>-1.1231735832723999</v>
      </c>
      <c r="AE5923">
        <v>0.78159999999999696</v>
      </c>
      <c r="AF5923">
        <v>-0.78302425565775502</v>
      </c>
      <c r="AG5923">
        <v>-1.1231735832723999</v>
      </c>
      <c r="AH5923">
        <v>15.104511676801</v>
      </c>
      <c r="AI5923">
        <v>94.247013272016702</v>
      </c>
      <c r="AJ5923">
        <v>92.967580888950707</v>
      </c>
      <c r="AK5923">
        <v>15.166440547397</v>
      </c>
      <c r="AL5923">
        <v>81.632619076605494</v>
      </c>
      <c r="AM5923">
        <v>90.613013296851506</v>
      </c>
      <c r="AN5923">
        <v>0.99999998622521502</v>
      </c>
    </row>
    <row r="5924" spans="1:40" x14ac:dyDescent="0.25">
      <c r="A5924" t="str">
        <f>"20190303162720876"</f>
        <v>20190303162720876</v>
      </c>
      <c r="B5924" t="str">
        <f>"1551601640870050"</f>
        <v>1551601640870050</v>
      </c>
      <c r="C5924" t="s">
        <v>40</v>
      </c>
      <c r="D5924">
        <v>5.7524829999999998</v>
      </c>
      <c r="E5924">
        <v>0.48218490000000003</v>
      </c>
      <c r="F5924" t="s">
        <v>41</v>
      </c>
      <c r="G5924">
        <v>-138.74879999999999</v>
      </c>
      <c r="H5924" s="1">
        <v>-6.5368309999999998E-7</v>
      </c>
      <c r="I5924">
        <v>138.85740000000001</v>
      </c>
      <c r="J5924">
        <v>-153.624</v>
      </c>
      <c r="K5924">
        <v>1.1227240000000001</v>
      </c>
      <c r="L5924">
        <v>138.0025</v>
      </c>
      <c r="M5924">
        <v>0.99988900000000003</v>
      </c>
      <c r="N5924">
        <v>-1.376463E-2</v>
      </c>
      <c r="O5924">
        <v>5.728894E-3</v>
      </c>
      <c r="P5924">
        <v>0.99155749999999998</v>
      </c>
      <c r="Q5924">
        <v>0.1281677</v>
      </c>
      <c r="R5924">
        <v>1.9675350000000001E-2</v>
      </c>
      <c r="S5924">
        <v>3.054611</v>
      </c>
      <c r="T5924">
        <v>-0.2229978</v>
      </c>
      <c r="U5924">
        <v>0.1713867</v>
      </c>
      <c r="V5924">
        <v>-1.450219E-2</v>
      </c>
      <c r="W5924">
        <v>0.14175460000000001</v>
      </c>
      <c r="X5924">
        <v>0.9897956</v>
      </c>
      <c r="Y5924">
        <v>-5.0149819999999998E-2</v>
      </c>
      <c r="Z5924">
        <v>1.8340629999999999E-3</v>
      </c>
      <c r="AA5924">
        <v>0.99873999999999996</v>
      </c>
      <c r="AB5924">
        <v>22</v>
      </c>
      <c r="AC5924">
        <v>14.8752</v>
      </c>
      <c r="AD5924">
        <v>-1.1227246536830999</v>
      </c>
      <c r="AE5924">
        <v>0.85490000000001398</v>
      </c>
      <c r="AF5924">
        <v>-0.76531407544989605</v>
      </c>
      <c r="AG5924">
        <v>-1.1227246536830999</v>
      </c>
      <c r="AH5924">
        <v>14.795844414198401</v>
      </c>
      <c r="AI5924">
        <v>94.333578617604999</v>
      </c>
      <c r="AJ5924">
        <v>92.960981622504207</v>
      </c>
      <c r="AK5924">
        <v>14.8581031161866</v>
      </c>
      <c r="AL5924">
        <v>81.850609914008501</v>
      </c>
      <c r="AM5924">
        <v>90.839420613955397</v>
      </c>
      <c r="AN5924">
        <v>1.0000000049576501</v>
      </c>
    </row>
    <row r="5925" spans="1:40" x14ac:dyDescent="0.25">
      <c r="A5925" t="str">
        <f>"20190303162720924"</f>
        <v>20190303162720924</v>
      </c>
      <c r="B5925" t="str">
        <f>"1551601640910067"</f>
        <v>1551601640910067</v>
      </c>
      <c r="C5925" t="s">
        <v>40</v>
      </c>
      <c r="D5925">
        <v>5.6981719999999996</v>
      </c>
      <c r="E5925">
        <v>0.4817089</v>
      </c>
      <c r="F5925" t="s">
        <v>41</v>
      </c>
      <c r="G5925">
        <v>-139.2491</v>
      </c>
      <c r="H5925" s="1">
        <v>-4.1912299999999999E-7</v>
      </c>
      <c r="I5925">
        <v>138.96969999999999</v>
      </c>
      <c r="J5925">
        <v>-153.16329999999999</v>
      </c>
      <c r="K5925">
        <v>1.1224259999999999</v>
      </c>
      <c r="L5925">
        <v>138.0112</v>
      </c>
      <c r="M5925">
        <v>0.9998532</v>
      </c>
      <c r="N5925">
        <v>-1.374474E-2</v>
      </c>
      <c r="O5925">
        <v>1.0249940000000001E-2</v>
      </c>
      <c r="P5925">
        <v>0.99145179999999999</v>
      </c>
      <c r="Q5925">
        <v>0.1282153</v>
      </c>
      <c r="R5925">
        <v>2.4183929999999999E-2</v>
      </c>
      <c r="S5925">
        <v>3.0522770000000001</v>
      </c>
      <c r="T5925">
        <v>-0.2383921</v>
      </c>
      <c r="U5925">
        <v>0.20536799999999999</v>
      </c>
      <c r="V5925">
        <v>-1.441951E-2</v>
      </c>
      <c r="W5925">
        <v>0.1417928</v>
      </c>
      <c r="X5925">
        <v>0.98979130000000004</v>
      </c>
      <c r="Y5925">
        <v>-5.6719169999999999E-2</v>
      </c>
      <c r="Z5925">
        <v>1.9422770000000001E-3</v>
      </c>
      <c r="AA5925">
        <v>0.99838830000000001</v>
      </c>
      <c r="AB5925">
        <v>22</v>
      </c>
      <c r="AC5925">
        <v>13.9141999999999</v>
      </c>
      <c r="AD5925">
        <v>-1.122426419123</v>
      </c>
      <c r="AE5925">
        <v>0.95849999999998603</v>
      </c>
      <c r="AF5925">
        <v>-0.81056680734220199</v>
      </c>
      <c r="AG5925">
        <v>-1.122426419123</v>
      </c>
      <c r="AH5925">
        <v>13.833699858415301</v>
      </c>
      <c r="AI5925">
        <v>94.630744904945999</v>
      </c>
      <c r="AJ5925">
        <v>93.353334122416101</v>
      </c>
      <c r="AK5925">
        <v>13.9028094782397</v>
      </c>
      <c r="AL5925">
        <v>81.848398586529399</v>
      </c>
      <c r="AM5925">
        <v>90.834639206902594</v>
      </c>
      <c r="AN5925">
        <v>0.99999996897808396</v>
      </c>
    </row>
    <row r="5926" spans="1:40" x14ac:dyDescent="0.25">
      <c r="A5926" t="str">
        <f>"20190303162720959"</f>
        <v>20190303162720959</v>
      </c>
      <c r="B5926" t="str">
        <f>"1551601640950090"</f>
        <v>1551601640950090</v>
      </c>
      <c r="C5926" t="s">
        <v>40</v>
      </c>
      <c r="D5926">
        <v>5.756348</v>
      </c>
      <c r="E5926">
        <v>0.48180339999999999</v>
      </c>
      <c r="F5926" t="s">
        <v>41</v>
      </c>
      <c r="G5926">
        <v>-138.92160000000001</v>
      </c>
      <c r="H5926" s="1">
        <v>-5.4259540000000004E-7</v>
      </c>
      <c r="I5926">
        <v>139.06559999999999</v>
      </c>
      <c r="J5926">
        <v>-152.80459999999999</v>
      </c>
      <c r="K5926">
        <v>1.122339</v>
      </c>
      <c r="L5926">
        <v>138.0189</v>
      </c>
      <c r="M5926">
        <v>0.99981739999999997</v>
      </c>
      <c r="N5926">
        <v>-1.3730620000000001E-2</v>
      </c>
      <c r="O5926">
        <v>1.3298630000000001E-2</v>
      </c>
      <c r="P5926">
        <v>0.99079519999999999</v>
      </c>
      <c r="Q5926">
        <v>0.1333799</v>
      </c>
      <c r="R5926">
        <v>2.312639E-2</v>
      </c>
      <c r="S5926">
        <v>3.051453</v>
      </c>
      <c r="T5926">
        <v>-0.24049390000000001</v>
      </c>
      <c r="U5926">
        <v>0.2259369</v>
      </c>
      <c r="V5926">
        <v>-1.032099E-2</v>
      </c>
      <c r="W5926">
        <v>0.14694869999999999</v>
      </c>
      <c r="X5926">
        <v>0.98909029999999998</v>
      </c>
      <c r="Y5926">
        <v>-6.0379269999999999E-2</v>
      </c>
      <c r="Z5926">
        <v>1.9255229999999999E-3</v>
      </c>
      <c r="AA5926">
        <v>0.99817370000000005</v>
      </c>
      <c r="AB5926">
        <v>22</v>
      </c>
      <c r="AC5926">
        <v>13.8829999999999</v>
      </c>
      <c r="AD5926">
        <v>-1.1223395425953999</v>
      </c>
      <c r="AE5926">
        <v>1.04669999999998</v>
      </c>
      <c r="AF5926">
        <v>-0.85639975122176804</v>
      </c>
      <c r="AG5926">
        <v>-1.1223395425953999</v>
      </c>
      <c r="AH5926">
        <v>13.8059734902945</v>
      </c>
      <c r="AI5926">
        <v>94.638692506635394</v>
      </c>
      <c r="AJ5926">
        <v>93.549572261699893</v>
      </c>
      <c r="AK5926">
        <v>13.8779670916702</v>
      </c>
      <c r="AL5926">
        <v>81.549859855020301</v>
      </c>
      <c r="AM5926">
        <v>90.597850070558493</v>
      </c>
      <c r="AN5926">
        <v>1.0000000324101701</v>
      </c>
    </row>
    <row r="5927" spans="1:40" x14ac:dyDescent="0.25">
      <c r="A5927" t="str">
        <f>"20190303162720987"</f>
        <v>20190303162720987</v>
      </c>
      <c r="B5927" t="str">
        <f>"1551601640980338"</f>
        <v>1551601640980338</v>
      </c>
      <c r="C5927" t="s">
        <v>40</v>
      </c>
      <c r="D5927">
        <v>5.8151840000000004</v>
      </c>
      <c r="E5927">
        <v>0.48187390000000002</v>
      </c>
      <c r="F5927" t="s">
        <v>41</v>
      </c>
      <c r="G5927">
        <v>-137.63990000000001</v>
      </c>
      <c r="H5927" s="1">
        <v>-1.079054E-6</v>
      </c>
      <c r="I5927">
        <v>139.1413</v>
      </c>
      <c r="J5927">
        <v>-152.5326</v>
      </c>
      <c r="K5927">
        <v>1.1223289999999999</v>
      </c>
      <c r="L5927">
        <v>138.02529999999999</v>
      </c>
      <c r="M5927">
        <v>0.99978540000000005</v>
      </c>
      <c r="N5927">
        <v>-1.3721860000000001E-2</v>
      </c>
      <c r="O5927">
        <v>1.5527920000000001E-2</v>
      </c>
      <c r="P5927">
        <v>0.99047300000000005</v>
      </c>
      <c r="Q5927">
        <v>0.13596359999999999</v>
      </c>
      <c r="R5927">
        <v>2.1852860000000002E-2</v>
      </c>
      <c r="S5927">
        <v>3.052994</v>
      </c>
      <c r="T5927">
        <v>-0.22595129999999999</v>
      </c>
      <c r="U5927">
        <v>0.22596740000000001</v>
      </c>
      <c r="V5927">
        <v>-6.8418380000000003E-3</v>
      </c>
      <c r="W5927">
        <v>0.1495281</v>
      </c>
      <c r="X5927">
        <v>0.9887338</v>
      </c>
      <c r="Y5927">
        <v>-5.8157510000000003E-2</v>
      </c>
      <c r="Z5927">
        <v>1.6131749999999999E-3</v>
      </c>
      <c r="AA5927">
        <v>0.99830609999999997</v>
      </c>
      <c r="AB5927">
        <v>22</v>
      </c>
      <c r="AC5927">
        <v>14.8926999999999</v>
      </c>
      <c r="AD5927">
        <v>-1.1223300790539901</v>
      </c>
      <c r="AE5927">
        <v>1.1160000000000101</v>
      </c>
      <c r="AF5927">
        <v>-0.87962328135706602</v>
      </c>
      <c r="AG5927">
        <v>-1.1223300790539901</v>
      </c>
      <c r="AH5927">
        <v>14.824512284706801</v>
      </c>
      <c r="AI5927">
        <v>94.321901395728901</v>
      </c>
      <c r="AJ5927">
        <v>93.395705607224201</v>
      </c>
      <c r="AK5927">
        <v>14.8929354528541</v>
      </c>
      <c r="AL5927">
        <v>81.400419697602501</v>
      </c>
      <c r="AM5927">
        <v>90.396468882490495</v>
      </c>
      <c r="AN5927">
        <v>0.99999999534963402</v>
      </c>
    </row>
    <row r="5928" spans="1:40" x14ac:dyDescent="0.25">
      <c r="A5928" t="str">
        <f>"20190303162721009"</f>
        <v>20190303162721009</v>
      </c>
      <c r="B5928" t="str">
        <f>"1551601640999858"</f>
        <v>1551601640999858</v>
      </c>
      <c r="C5928" t="s">
        <v>40</v>
      </c>
      <c r="D5928">
        <v>5.7532199999999998</v>
      </c>
      <c r="E5928">
        <v>0.48182979999999997</v>
      </c>
      <c r="F5928" t="s">
        <v>41</v>
      </c>
      <c r="G5928">
        <v>-136.89160000000001</v>
      </c>
      <c r="H5928" s="1">
        <v>-1.395361E-6</v>
      </c>
      <c r="I5928">
        <v>139.1677</v>
      </c>
      <c r="J5928">
        <v>-152.3082</v>
      </c>
      <c r="K5928">
        <v>1.122342</v>
      </c>
      <c r="L5928">
        <v>138.03100000000001</v>
      </c>
      <c r="M5928">
        <v>0.99975499999999995</v>
      </c>
      <c r="N5928">
        <v>-1.3715959999999999E-2</v>
      </c>
      <c r="O5928">
        <v>1.7376329999999999E-2</v>
      </c>
      <c r="P5928">
        <v>0.99039239999999995</v>
      </c>
      <c r="Q5928">
        <v>0.1368587</v>
      </c>
      <c r="R5928">
        <v>1.981722E-2</v>
      </c>
      <c r="S5928">
        <v>3.0539860000000001</v>
      </c>
      <c r="T5928">
        <v>-0.21914110000000001</v>
      </c>
      <c r="U5928">
        <v>0.22306819999999999</v>
      </c>
      <c r="V5928">
        <v>-2.9815000000000002E-3</v>
      </c>
      <c r="W5928">
        <v>0.15042529999999901</v>
      </c>
      <c r="X5928">
        <v>0.98861690000000002</v>
      </c>
      <c r="Y5928">
        <v>-5.5365070000000002E-2</v>
      </c>
      <c r="Z5928">
        <v>1.3564670000000001E-3</v>
      </c>
      <c r="AA5928">
        <v>0.99846520000000005</v>
      </c>
      <c r="AB5928">
        <v>22</v>
      </c>
      <c r="AC5928">
        <v>15.416599999999899</v>
      </c>
      <c r="AD5928">
        <v>-1.122343395361</v>
      </c>
      <c r="AE5928">
        <v>1.1366999999999901</v>
      </c>
      <c r="AF5928">
        <v>-0.86406447135506004</v>
      </c>
      <c r="AG5928">
        <v>-1.122343395361</v>
      </c>
      <c r="AH5928">
        <v>15.3530943687985</v>
      </c>
      <c r="AI5928">
        <v>94.174422212968906</v>
      </c>
      <c r="AJ5928">
        <v>93.221179776643197</v>
      </c>
      <c r="AK5928">
        <v>15.4182933168688</v>
      </c>
      <c r="AL5928">
        <v>81.3484260412053</v>
      </c>
      <c r="AM5928">
        <v>90.1727937775659</v>
      </c>
      <c r="AN5928">
        <v>1.0000000175939701</v>
      </c>
    </row>
    <row r="5929" spans="1:40" x14ac:dyDescent="0.25">
      <c r="A5929" t="str">
        <f>"20190303162721033"</f>
        <v>20190303162721033</v>
      </c>
      <c r="B5929" t="str">
        <f>"1551601641020354"</f>
        <v>1551601641020354</v>
      </c>
      <c r="C5929" t="s">
        <v>40</v>
      </c>
      <c r="D5929">
        <v>5.80518</v>
      </c>
      <c r="E5929">
        <v>0.48183609999999999</v>
      </c>
      <c r="F5929" t="s">
        <v>41</v>
      </c>
      <c r="G5929">
        <v>-136.53790000000001</v>
      </c>
      <c r="H5929" s="1">
        <v>-1.549256E-6</v>
      </c>
      <c r="I5929">
        <v>139.15549999999999</v>
      </c>
      <c r="J5929">
        <v>-152.08099999999999</v>
      </c>
      <c r="K5929">
        <v>1.1223650000000001</v>
      </c>
      <c r="L5929">
        <v>138.03729999999999</v>
      </c>
      <c r="M5929">
        <v>0.99972000000000005</v>
      </c>
      <c r="N5929">
        <v>-1.371085E-2</v>
      </c>
      <c r="O5929">
        <v>1.928622E-2</v>
      </c>
      <c r="P5929">
        <v>0.99037949999999997</v>
      </c>
      <c r="Q5929">
        <v>0.137073</v>
      </c>
      <c r="R5929">
        <v>1.8959360000000001E-2</v>
      </c>
      <c r="S5929">
        <v>3.0547939999999998</v>
      </c>
      <c r="T5929">
        <v>-0.21740399999999999</v>
      </c>
      <c r="U5929">
        <v>0.21781919999999999</v>
      </c>
      <c r="V5929">
        <v>-2.3976760000000001E-4</v>
      </c>
      <c r="W5929">
        <v>0.1506412</v>
      </c>
      <c r="X5929">
        <v>0.98858849999999998</v>
      </c>
      <c r="Y5929">
        <v>-5.174724E-2</v>
      </c>
      <c r="Z5929">
        <v>1.0875730000000001E-3</v>
      </c>
      <c r="AA5929">
        <v>0.99865959999999998</v>
      </c>
      <c r="AB5929">
        <v>22</v>
      </c>
      <c r="AC5929">
        <v>15.543100000000001</v>
      </c>
      <c r="AD5929">
        <v>-1.122366549256</v>
      </c>
      <c r="AE5929">
        <v>1.1182000000000001</v>
      </c>
      <c r="AF5929">
        <v>-0.81397372578045002</v>
      </c>
      <c r="AG5929">
        <v>-1.122366549256</v>
      </c>
      <c r="AH5929">
        <v>15.4814673555782</v>
      </c>
      <c r="AI5929">
        <v>94.140842644606295</v>
      </c>
      <c r="AJ5929">
        <v>93.009686029131203</v>
      </c>
      <c r="AK5929">
        <v>15.543425985894601</v>
      </c>
      <c r="AL5929">
        <v>81.335913368086196</v>
      </c>
      <c r="AM5929">
        <v>90.013896248312193</v>
      </c>
      <c r="AN5929">
        <v>1.0000000254790899</v>
      </c>
    </row>
    <row r="5930" spans="1:40" x14ac:dyDescent="0.25">
      <c r="A5930" t="str">
        <f>"20190303162721055"</f>
        <v>20190303162721055</v>
      </c>
      <c r="B5930" t="str">
        <f>"1551601641050610"</f>
        <v>1551601641050610</v>
      </c>
      <c r="C5930" t="s">
        <v>40</v>
      </c>
      <c r="D5930">
        <v>5.8082609999999999</v>
      </c>
      <c r="E5930">
        <v>0.48188370000000003</v>
      </c>
      <c r="F5930" t="s">
        <v>41</v>
      </c>
      <c r="G5930">
        <v>-136.41390000000001</v>
      </c>
      <c r="H5930" s="1">
        <v>-1.605548E-6</v>
      </c>
      <c r="I5930">
        <v>139.13820000000001</v>
      </c>
      <c r="J5930">
        <v>-151.85220000000001</v>
      </c>
      <c r="K5930">
        <v>1.1223879999999999</v>
      </c>
      <c r="L5930">
        <v>138.04399999999899</v>
      </c>
      <c r="M5930">
        <v>0.99968000000000001</v>
      </c>
      <c r="N5930">
        <v>-1.3706370000000001E-2</v>
      </c>
      <c r="O5930">
        <v>2.1258200000000001E-2</v>
      </c>
      <c r="P5930">
        <v>0.99045289999999997</v>
      </c>
      <c r="Q5930">
        <v>0.136484299999999</v>
      </c>
      <c r="R5930">
        <v>1.937256E-2</v>
      </c>
      <c r="S5930">
        <v>3.0553279999999998</v>
      </c>
      <c r="T5930">
        <v>-0.21887789999999999</v>
      </c>
      <c r="U5930">
        <v>0.21470639999999999</v>
      </c>
      <c r="V5930">
        <v>1.2955639999999999E-3</v>
      </c>
      <c r="W5930">
        <v>0.15005379999999999</v>
      </c>
      <c r="X5930">
        <v>0.98867700000000003</v>
      </c>
      <c r="Y5930">
        <v>-4.8763330000000001E-2</v>
      </c>
      <c r="Z5930">
        <v>8.4948490000000005E-4</v>
      </c>
      <c r="AA5930">
        <v>0.99880999999999998</v>
      </c>
      <c r="AB5930">
        <v>22</v>
      </c>
      <c r="AC5930">
        <v>15.4382999999999</v>
      </c>
      <c r="AD5930">
        <v>-1.122389605548</v>
      </c>
      <c r="AE5930">
        <v>1.09420000000002</v>
      </c>
      <c r="AF5930">
        <v>-0.76172536726389095</v>
      </c>
      <c r="AG5930">
        <v>-1.122389605548</v>
      </c>
      <c r="AH5930">
        <v>15.377203103995599</v>
      </c>
      <c r="AI5930">
        <v>94.169549500542402</v>
      </c>
      <c r="AJ5930">
        <v>92.8358865408388</v>
      </c>
      <c r="AK5930">
        <v>15.436915471145999</v>
      </c>
      <c r="AL5930">
        <v>81.369955778724204</v>
      </c>
      <c r="AM5930">
        <v>89.924919557346996</v>
      </c>
      <c r="AN5930">
        <v>1.00000001585475</v>
      </c>
    </row>
    <row r="5931" spans="1:40" x14ac:dyDescent="0.25">
      <c r="A5931" t="str">
        <f>"20190303162721094"</f>
        <v>20190303162721094</v>
      </c>
      <c r="B5931" t="str">
        <f>"1551601641079890"</f>
        <v>1551601641079890</v>
      </c>
      <c r="C5931" t="s">
        <v>40</v>
      </c>
      <c r="D5931">
        <v>5.5572990000000004</v>
      </c>
      <c r="E5931">
        <v>0.48185869999999997</v>
      </c>
      <c r="F5931" t="s">
        <v>41</v>
      </c>
      <c r="G5931">
        <v>-136.6232</v>
      </c>
      <c r="H5931" s="1">
        <v>-1.5199019999999999E-6</v>
      </c>
      <c r="I5931">
        <v>139.1147</v>
      </c>
      <c r="J5931">
        <v>-151.48099999999999</v>
      </c>
      <c r="K5931">
        <v>1.122404</v>
      </c>
      <c r="L5931">
        <v>138.05600000000001</v>
      </c>
      <c r="M5931">
        <v>0.99960479999999996</v>
      </c>
      <c r="N5931">
        <v>-1.370003E-2</v>
      </c>
      <c r="O5931">
        <v>2.4548739999999999E-2</v>
      </c>
      <c r="P5931">
        <v>0.99071370000000003</v>
      </c>
      <c r="Q5931">
        <v>0.13402520000000001</v>
      </c>
      <c r="R5931">
        <v>2.2889960000000001E-2</v>
      </c>
      <c r="S5931">
        <v>3.0557560000000001</v>
      </c>
      <c r="T5931">
        <v>-0.2252121</v>
      </c>
      <c r="U5931">
        <v>0.2148438</v>
      </c>
      <c r="V5931">
        <v>1.0403299999999999E-3</v>
      </c>
      <c r="W5931">
        <v>0.14759239999999901</v>
      </c>
      <c r="X5931">
        <v>0.98904769999999997</v>
      </c>
      <c r="Y5931">
        <v>-4.5521119999999998E-2</v>
      </c>
      <c r="Z5931">
        <v>5.1744099999999999E-4</v>
      </c>
      <c r="AA5931">
        <v>0.99896320000000005</v>
      </c>
      <c r="AB5931">
        <v>22</v>
      </c>
      <c r="AC5931">
        <v>14.8577999999999</v>
      </c>
      <c r="AD5931">
        <v>-1.122405519902</v>
      </c>
      <c r="AE5931">
        <v>1.05869999999998</v>
      </c>
      <c r="AF5931">
        <v>-0.68969037386346199</v>
      </c>
      <c r="AG5931">
        <v>-1.122405519902</v>
      </c>
      <c r="AH5931">
        <v>14.7953067972252</v>
      </c>
      <c r="AI5931">
        <v>94.333590151745099</v>
      </c>
      <c r="AJ5931">
        <v>92.668938356234506</v>
      </c>
      <c r="AK5931">
        <v>14.8538402504849</v>
      </c>
      <c r="AL5931">
        <v>81.512571500937298</v>
      </c>
      <c r="AM5931">
        <v>89.939733446305794</v>
      </c>
      <c r="AN5931">
        <v>0.99999997584977895</v>
      </c>
    </row>
    <row r="5932" spans="1:40" x14ac:dyDescent="0.25">
      <c r="A5932" t="str">
        <f>"20190303162721124"</f>
        <v>20190303162721124</v>
      </c>
      <c r="B5932" t="str">
        <f>"1551601641120882"</f>
        <v>1551601641120882</v>
      </c>
      <c r="C5932" t="s">
        <v>40</v>
      </c>
      <c r="D5932">
        <v>5.6045780000000001</v>
      </c>
      <c r="E5932">
        <v>0.51554829999999996</v>
      </c>
      <c r="F5932" t="s">
        <v>41</v>
      </c>
      <c r="G5932">
        <v>-136.8784</v>
      </c>
      <c r="H5932" s="1">
        <v>-1.4094039999999999E-6</v>
      </c>
      <c r="I5932">
        <v>139.12049999999999</v>
      </c>
      <c r="J5932">
        <v>-151.1824</v>
      </c>
      <c r="K5932">
        <v>1.122425</v>
      </c>
      <c r="L5932">
        <v>138.06639999999999</v>
      </c>
      <c r="M5932">
        <v>0.99953499999999995</v>
      </c>
      <c r="N5932">
        <v>-1.370758E-2</v>
      </c>
      <c r="O5932">
        <v>2.724002E-2</v>
      </c>
      <c r="P5932">
        <v>0.9908342</v>
      </c>
      <c r="Q5932">
        <v>0.1326311</v>
      </c>
      <c r="R5932">
        <v>2.5628580000000001E-2</v>
      </c>
      <c r="S5932">
        <v>3.0547330000000001</v>
      </c>
      <c r="T5932">
        <v>-0.23479710000000001</v>
      </c>
      <c r="U5932">
        <v>0.22270200000000001</v>
      </c>
      <c r="V5932">
        <v>9.6991769999999996E-4</v>
      </c>
      <c r="W5932">
        <v>0.14620859999999999</v>
      </c>
      <c r="X5932">
        <v>0.9892533</v>
      </c>
      <c r="Y5932">
        <v>-4.5410289999999999E-2</v>
      </c>
      <c r="Z5932">
        <v>3.379104E-4</v>
      </c>
      <c r="AA5932">
        <v>0.99896839999999998</v>
      </c>
      <c r="AB5932">
        <v>22</v>
      </c>
      <c r="AC5932">
        <v>14.304</v>
      </c>
      <c r="AD5932">
        <v>-1.122426409404</v>
      </c>
      <c r="AE5932">
        <v>1.0541</v>
      </c>
      <c r="AF5932">
        <v>-0.65998904304442796</v>
      </c>
      <c r="AG5932">
        <v>-1.122426409404</v>
      </c>
      <c r="AH5932">
        <v>14.2401978263205</v>
      </c>
      <c r="AI5932">
        <v>94.501979250205906</v>
      </c>
      <c r="AJ5932">
        <v>92.653582928127406</v>
      </c>
      <c r="AK5932">
        <v>14.299603515979401</v>
      </c>
      <c r="AL5932">
        <v>81.592727143983296</v>
      </c>
      <c r="AM5932">
        <v>89.943824121811801</v>
      </c>
      <c r="AN5932">
        <v>0.99999999350759705</v>
      </c>
    </row>
    <row r="5933" spans="1:40" x14ac:dyDescent="0.25">
      <c r="A5933" t="str">
        <f>"20190303162721146"</f>
        <v>20190303162721146</v>
      </c>
      <c r="B5933" t="str">
        <f>"1551601641140402"</f>
        <v>1551601641140402</v>
      </c>
      <c r="C5933" t="s">
        <v>40</v>
      </c>
      <c r="D5933">
        <v>5.5908600000000002</v>
      </c>
      <c r="E5933">
        <v>0.5172525</v>
      </c>
      <c r="F5933" t="s">
        <v>42</v>
      </c>
      <c r="G5933">
        <v>-150.32990000000001</v>
      </c>
      <c r="H5933">
        <v>0.91841289999999998</v>
      </c>
      <c r="I5933">
        <v>138.0583</v>
      </c>
      <c r="J5933">
        <v>-150.97020000000001</v>
      </c>
      <c r="K5933">
        <v>1.1224419999999999</v>
      </c>
      <c r="L5933">
        <v>138.0744</v>
      </c>
      <c r="M5933">
        <v>0.99948040000000005</v>
      </c>
      <c r="N5933">
        <v>-1.373418E-2</v>
      </c>
      <c r="O5933">
        <v>2.9161400000000001E-2</v>
      </c>
      <c r="P5933">
        <v>0.99070290000000005</v>
      </c>
      <c r="Q5933">
        <v>0.1334804</v>
      </c>
      <c r="R5933">
        <v>2.6289130000000001E-2</v>
      </c>
      <c r="S5933">
        <v>3.1287539999999998</v>
      </c>
      <c r="T5933">
        <v>-0.74871909999999997</v>
      </c>
      <c r="U5933">
        <v>-2.998352E-2</v>
      </c>
      <c r="V5933">
        <v>2.205093E-3</v>
      </c>
      <c r="W5933">
        <v>0.14708540000000001</v>
      </c>
      <c r="X5933">
        <v>0.98912129999999998</v>
      </c>
      <c r="Y5933">
        <v>3.6906630000000003E-2</v>
      </c>
      <c r="Z5933">
        <v>-1.109686E-2</v>
      </c>
      <c r="AA5933">
        <v>0.99925710000000001</v>
      </c>
      <c r="AB5933">
        <v>22</v>
      </c>
      <c r="AC5933">
        <v>0.64029999999999598</v>
      </c>
      <c r="AD5933">
        <v>-0.20402909999999899</v>
      </c>
      <c r="AE5933">
        <v>-1.60999999999944E-2</v>
      </c>
      <c r="AF5933">
        <v>3.1564109009837998E-2</v>
      </c>
      <c r="AG5933">
        <v>-0.20402909999999899</v>
      </c>
      <c r="AH5933">
        <v>0.58063987997115096</v>
      </c>
      <c r="AI5933">
        <v>109.33437022723901</v>
      </c>
      <c r="AJ5933">
        <v>86.888412221288505</v>
      </c>
      <c r="AK5933">
        <v>0.61625225097950498</v>
      </c>
      <c r="AL5933">
        <v>81.541940878553106</v>
      </c>
      <c r="AM5933">
        <v>89.872268130281</v>
      </c>
      <c r="AN5933">
        <v>0.99999996172099304</v>
      </c>
    </row>
    <row r="5934" spans="1:40" x14ac:dyDescent="0.25">
      <c r="A5934" t="str">
        <f>"20190303162721171"</f>
        <v>20190303162721171</v>
      </c>
      <c r="B5934" t="str">
        <f>"1551601641161875"</f>
        <v>1551601641161875</v>
      </c>
      <c r="C5934" t="s">
        <v>40</v>
      </c>
      <c r="D5934">
        <v>5.6013900000000003</v>
      </c>
      <c r="E5934">
        <v>0.5181133</v>
      </c>
      <c r="F5934" t="s">
        <v>42</v>
      </c>
      <c r="G5934">
        <v>-150.13759999999999</v>
      </c>
      <c r="H5934">
        <v>0.91083099999999995</v>
      </c>
      <c r="I5934">
        <v>138.06440000000001</v>
      </c>
      <c r="J5934">
        <v>-150.71770000000001</v>
      </c>
      <c r="K5934">
        <v>1.122466</v>
      </c>
      <c r="L5934">
        <v>138.08449999999999</v>
      </c>
      <c r="M5934">
        <v>0.99941000000000002</v>
      </c>
      <c r="N5934">
        <v>-1.3829960000000001E-2</v>
      </c>
      <c r="O5934">
        <v>3.1439990000000001E-2</v>
      </c>
      <c r="P5934">
        <v>0.99061060000000001</v>
      </c>
      <c r="Q5934">
        <v>0.13392970000000001</v>
      </c>
      <c r="R5934">
        <v>2.745098E-2</v>
      </c>
      <c r="S5934">
        <v>3.1365810000000001</v>
      </c>
      <c r="T5934">
        <v>-0.79735739999999999</v>
      </c>
      <c r="U5934">
        <v>-3.753662E-2</v>
      </c>
      <c r="V5934">
        <v>3.2968419999999999E-3</v>
      </c>
      <c r="W5934">
        <v>0.14763200000000001</v>
      </c>
      <c r="X5934">
        <v>0.9890369</v>
      </c>
      <c r="Y5934">
        <v>4.1126059999999999E-2</v>
      </c>
      <c r="Z5934">
        <v>-1.287248E-2</v>
      </c>
      <c r="AA5934">
        <v>0.99907109999999999</v>
      </c>
      <c r="AB5934">
        <v>22</v>
      </c>
      <c r="AC5934">
        <v>0.58010000000001505</v>
      </c>
      <c r="AD5934">
        <v>-0.21163499999999999</v>
      </c>
      <c r="AE5934">
        <v>-2.0099999999985099E-2</v>
      </c>
      <c r="AF5934">
        <v>3.3832525180760402E-2</v>
      </c>
      <c r="AG5934">
        <v>-0.21163499999999999</v>
      </c>
      <c r="AH5934">
        <v>0.51122066326274795</v>
      </c>
      <c r="AI5934">
        <v>112.44435213295201</v>
      </c>
      <c r="AJ5934">
        <v>86.2136931331152</v>
      </c>
      <c r="AK5934">
        <v>0.55432894524091902</v>
      </c>
      <c r="AL5934">
        <v>81.510277946917995</v>
      </c>
      <c r="AM5934">
        <v>89.809011743957797</v>
      </c>
      <c r="AN5934">
        <v>1.0000000330763901</v>
      </c>
    </row>
    <row r="5935" spans="1:40" x14ac:dyDescent="0.25">
      <c r="A5935" t="str">
        <f>"20190303162721205"</f>
        <v>20190303162721205</v>
      </c>
      <c r="B5935" t="str">
        <f>"1551601641200915"</f>
        <v>1551601641200915</v>
      </c>
      <c r="C5935" t="s">
        <v>40</v>
      </c>
      <c r="D5935">
        <v>5.6379190000000001</v>
      </c>
      <c r="E5935">
        <v>0.51909989999999995</v>
      </c>
      <c r="F5935" t="s">
        <v>42</v>
      </c>
      <c r="G5935">
        <v>-149.93889999999999</v>
      </c>
      <c r="H5935">
        <v>0.91882059999999999</v>
      </c>
      <c r="I5935">
        <v>138.07560000000001</v>
      </c>
      <c r="J5935">
        <v>-150.38570000000001</v>
      </c>
      <c r="K5935">
        <v>1.1225000000000001</v>
      </c>
      <c r="L5935">
        <v>138.0986</v>
      </c>
      <c r="M5935">
        <v>0.9993088</v>
      </c>
      <c r="N5935">
        <v>-1.402809E-2</v>
      </c>
      <c r="O5935">
        <v>3.4427489999999998E-2</v>
      </c>
      <c r="P5935">
        <v>0.99081580000000002</v>
      </c>
      <c r="Q5935">
        <v>0.13252720000000001</v>
      </c>
      <c r="R5935">
        <v>2.6843970000000002E-2</v>
      </c>
      <c r="S5935">
        <v>3.1404570000000001</v>
      </c>
      <c r="T5935">
        <v>-0.82127450000000002</v>
      </c>
      <c r="U5935">
        <v>-3.6224369999999999E-2</v>
      </c>
      <c r="V5935">
        <v>6.8769069999999998E-3</v>
      </c>
      <c r="W5935">
        <v>0.14643829999999999</v>
      </c>
      <c r="X5935">
        <v>0.98919590000000002</v>
      </c>
      <c r="Y5935">
        <v>4.3379550000000003E-2</v>
      </c>
      <c r="Z5935">
        <v>-1.426558E-2</v>
      </c>
      <c r="AA5935">
        <v>0.99895679999999998</v>
      </c>
      <c r="AB5935">
        <v>22</v>
      </c>
      <c r="AC5935">
        <v>0.44680000000002401</v>
      </c>
      <c r="AD5935">
        <v>-0.20367940000000001</v>
      </c>
      <c r="AE5935">
        <v>-2.29999999999961E-2</v>
      </c>
      <c r="AF5935">
        <v>3.1782740730776998E-2</v>
      </c>
      <c r="AG5935">
        <v>-0.20367940000000001</v>
      </c>
      <c r="AH5935">
        <v>0.369218421699473</v>
      </c>
      <c r="AI5935">
        <v>118.79396924438601</v>
      </c>
      <c r="AJ5935">
        <v>85.080042592151003</v>
      </c>
      <c r="AK5935">
        <v>0.42286839975927498</v>
      </c>
      <c r="AL5935">
        <v>81.579423148004594</v>
      </c>
      <c r="AM5935">
        <v>89.601685167022396</v>
      </c>
      <c r="AN5935">
        <v>0.99999999806679296</v>
      </c>
    </row>
    <row r="5936" spans="1:40" x14ac:dyDescent="0.25">
      <c r="A5936" t="str">
        <f>"20190303162721236"</f>
        <v>20190303162721236</v>
      </c>
      <c r="B5936" t="str">
        <f>"1551601641230194"</f>
        <v>1551601641230194</v>
      </c>
      <c r="C5936" t="s">
        <v>40</v>
      </c>
      <c r="D5936">
        <v>5.6454930000000001</v>
      </c>
      <c r="E5936">
        <v>0.51888459999999903</v>
      </c>
      <c r="F5936" t="s">
        <v>42</v>
      </c>
      <c r="G5936">
        <v>-149.55850000000001</v>
      </c>
      <c r="H5936">
        <v>0.90046219999999999</v>
      </c>
      <c r="I5936">
        <v>138.08770000000001</v>
      </c>
      <c r="J5936">
        <v>-150.09280000000001</v>
      </c>
      <c r="K5936">
        <v>1.122517</v>
      </c>
      <c r="L5936">
        <v>138.11199999999999</v>
      </c>
      <c r="M5936">
        <v>0.99921210000000005</v>
      </c>
      <c r="N5936">
        <v>-1.422259E-2</v>
      </c>
      <c r="O5936">
        <v>3.7055600000000001E-2</v>
      </c>
      <c r="P5936">
        <v>0.99098580000000003</v>
      </c>
      <c r="Q5936">
        <v>0.13118460000000001</v>
      </c>
      <c r="R5936">
        <v>2.7169390000000002E-2</v>
      </c>
      <c r="S5936">
        <v>3.141724</v>
      </c>
      <c r="T5936">
        <v>-0.84337790000000001</v>
      </c>
      <c r="U5936">
        <v>-4.1152950000000001E-2</v>
      </c>
      <c r="V5936">
        <v>9.1698660000000005E-3</v>
      </c>
      <c r="W5936">
        <v>0.1452967</v>
      </c>
      <c r="X5936">
        <v>0.98934560000000005</v>
      </c>
      <c r="Y5936">
        <v>4.7205900000000002E-2</v>
      </c>
      <c r="Z5936">
        <v>-1.5821910000000002E-2</v>
      </c>
      <c r="AA5936">
        <v>0.99875990000000003</v>
      </c>
      <c r="AB5936">
        <v>22</v>
      </c>
      <c r="AC5936">
        <v>0.534300000000001</v>
      </c>
      <c r="AD5936">
        <v>-0.222054799999999</v>
      </c>
      <c r="AE5936">
        <v>-2.4299999999982402E-2</v>
      </c>
      <c r="AF5936">
        <v>3.76026772532786E-2</v>
      </c>
      <c r="AG5936">
        <v>-0.222054799999999</v>
      </c>
      <c r="AH5936">
        <v>0.45466368829718401</v>
      </c>
      <c r="AI5936">
        <v>115.95365683215201</v>
      </c>
      <c r="AJ5936">
        <v>85.272148162005905</v>
      </c>
      <c r="AK5936">
        <v>0.50738680017877202</v>
      </c>
      <c r="AL5936">
        <v>81.645538919425206</v>
      </c>
      <c r="AM5936">
        <v>89.468962538264506</v>
      </c>
      <c r="AN5936">
        <v>0.99999996685635295</v>
      </c>
    </row>
    <row r="5937" spans="1:40" x14ac:dyDescent="0.25">
      <c r="A5937" t="str">
        <f>"20190303162721259"</f>
        <v>20190303162721259</v>
      </c>
      <c r="B5937" t="str">
        <f>"1551601641250692"</f>
        <v>1551601641250692</v>
      </c>
      <c r="C5937" t="s">
        <v>40</v>
      </c>
      <c r="D5937">
        <v>5.6245620000000001</v>
      </c>
      <c r="E5937">
        <v>0.51916359999999995</v>
      </c>
      <c r="F5937" t="s">
        <v>42</v>
      </c>
      <c r="G5937">
        <v>-149.3554</v>
      </c>
      <c r="H5937">
        <v>0.92193780000000003</v>
      </c>
      <c r="I5937">
        <v>138.10310000000001</v>
      </c>
      <c r="J5937">
        <v>-149.8657</v>
      </c>
      <c r="K5937">
        <v>1.1225350000000001</v>
      </c>
      <c r="L5937">
        <v>138.12280000000001</v>
      </c>
      <c r="M5937">
        <v>0.99913260000000004</v>
      </c>
      <c r="N5937">
        <v>-1.436483E-2</v>
      </c>
      <c r="O5937">
        <v>3.9086309999999999E-2</v>
      </c>
      <c r="P5937">
        <v>0.99103569999999996</v>
      </c>
      <c r="Q5937">
        <v>0.1308754</v>
      </c>
      <c r="R5937">
        <v>2.6835310000000001E-2</v>
      </c>
      <c r="S5937">
        <v>3.1414029999999999</v>
      </c>
      <c r="T5937">
        <v>-0.85467399999999905</v>
      </c>
      <c r="U5937">
        <v>-3.6743159999999997E-2</v>
      </c>
      <c r="V5937">
        <v>1.152275E-2</v>
      </c>
      <c r="W5937">
        <v>0.14513489999999901</v>
      </c>
      <c r="X5937">
        <v>0.98934480000000002</v>
      </c>
      <c r="Y5937">
        <v>4.7672550000000001E-2</v>
      </c>
      <c r="Z5937">
        <v>-1.6608439999999999E-2</v>
      </c>
      <c r="AA5937">
        <v>0.99872490000000003</v>
      </c>
      <c r="AB5937">
        <v>22</v>
      </c>
      <c r="AC5937">
        <v>0.51029999999999998</v>
      </c>
      <c r="AD5937">
        <v>-0.2005972</v>
      </c>
      <c r="AE5937">
        <v>-1.97000000000002E-2</v>
      </c>
      <c r="AF5937">
        <v>3.4335022570674001E-2</v>
      </c>
      <c r="AG5937">
        <v>-0.2005972</v>
      </c>
      <c r="AH5937">
        <v>0.44108299029898002</v>
      </c>
      <c r="AI5937">
        <v>114.390096062914</v>
      </c>
      <c r="AJ5937">
        <v>85.548926587097796</v>
      </c>
      <c r="AK5937">
        <v>0.48576983722114597</v>
      </c>
      <c r="AL5937">
        <v>81.654909169384496</v>
      </c>
      <c r="AM5937">
        <v>89.3327148495204</v>
      </c>
      <c r="AN5937">
        <v>1.0000000231263</v>
      </c>
    </row>
    <row r="5938" spans="1:40" x14ac:dyDescent="0.25">
      <c r="A5938" t="str">
        <f>"20190303162721279"</f>
        <v>20190303162721279</v>
      </c>
      <c r="B5938" t="str">
        <f>"1551601641270211"</f>
        <v>1551601641270211</v>
      </c>
      <c r="C5938" t="s">
        <v>40</v>
      </c>
      <c r="D5938">
        <v>5.7494310000000004</v>
      </c>
      <c r="E5938">
        <v>0.51928830000000004</v>
      </c>
      <c r="F5938" t="s">
        <v>42</v>
      </c>
      <c r="G5938">
        <v>-149.15889999999999</v>
      </c>
      <c r="H5938">
        <v>0.92940089999999997</v>
      </c>
      <c r="I5938">
        <v>138.1139</v>
      </c>
      <c r="J5938">
        <v>-149.67019999999999</v>
      </c>
      <c r="K5938">
        <v>1.122544</v>
      </c>
      <c r="L5938">
        <v>138.13249999999999</v>
      </c>
      <c r="M5938">
        <v>0.99906130000000004</v>
      </c>
      <c r="N5938">
        <v>-1.447969E-2</v>
      </c>
      <c r="O5938">
        <v>4.0827580000000002E-2</v>
      </c>
      <c r="P5938">
        <v>0.99100160000000004</v>
      </c>
      <c r="Q5938">
        <v>0.131074</v>
      </c>
      <c r="R5938">
        <v>2.7116089999999999E-2</v>
      </c>
      <c r="S5938">
        <v>3.1415709999999999</v>
      </c>
      <c r="T5938">
        <v>-0.85845329999999997</v>
      </c>
      <c r="U5938">
        <v>-3.9199829999999998E-2</v>
      </c>
      <c r="V5938">
        <v>1.2970779999999999E-2</v>
      </c>
      <c r="W5938">
        <v>0.14545</v>
      </c>
      <c r="X5938">
        <v>0.98928059999999995</v>
      </c>
      <c r="Y5938">
        <v>5.001887E-2</v>
      </c>
      <c r="Z5938">
        <v>-1.745207E-2</v>
      </c>
      <c r="AA5938">
        <v>0.99859580000000003</v>
      </c>
      <c r="AB5938">
        <v>22</v>
      </c>
      <c r="AC5938">
        <v>0.51130000000000497</v>
      </c>
      <c r="AD5938">
        <v>-0.19314310000000001</v>
      </c>
      <c r="AE5938">
        <v>-1.8599999999992099E-2</v>
      </c>
      <c r="AF5938">
        <v>3.4539710020549501E-2</v>
      </c>
      <c r="AG5938">
        <v>-0.19314310000000001</v>
      </c>
      <c r="AH5938">
        <v>0.44648712531366203</v>
      </c>
      <c r="AI5938">
        <v>113.330305309373</v>
      </c>
      <c r="AJ5938">
        <v>85.576477005175704</v>
      </c>
      <c r="AK5938">
        <v>0.487696628773228</v>
      </c>
      <c r="AL5938">
        <v>81.636661652851998</v>
      </c>
      <c r="AM5938">
        <v>89.248819424953496</v>
      </c>
      <c r="AN5938">
        <v>1.00000002458508</v>
      </c>
    </row>
    <row r="5939" spans="1:40" x14ac:dyDescent="0.25">
      <c r="A5939" t="str">
        <f>"20190303162721303"</f>
        <v>20190303162721303</v>
      </c>
      <c r="B5939" t="str">
        <f>"1551601641290706"</f>
        <v>1551601641290706</v>
      </c>
      <c r="C5939" t="s">
        <v>40</v>
      </c>
      <c r="D5939">
        <v>5.6296460000000002</v>
      </c>
      <c r="E5939">
        <v>0.52955010000000002</v>
      </c>
      <c r="F5939" t="s">
        <v>42</v>
      </c>
      <c r="G5939">
        <v>-148.96639999999999</v>
      </c>
      <c r="H5939">
        <v>0.92931070000000005</v>
      </c>
      <c r="I5939">
        <v>138.12360000000001</v>
      </c>
      <c r="J5939">
        <v>-149.44710000000001</v>
      </c>
      <c r="K5939">
        <v>1.1225459999999901</v>
      </c>
      <c r="L5939">
        <v>138.14400000000001</v>
      </c>
      <c r="M5939">
        <v>0.99897689999999995</v>
      </c>
      <c r="N5939">
        <v>-1.460204E-2</v>
      </c>
      <c r="O5939">
        <v>4.2801489999999998E-2</v>
      </c>
      <c r="P5939">
        <v>0.99095310000000003</v>
      </c>
      <c r="Q5939">
        <v>0.13123409999999999</v>
      </c>
      <c r="R5939">
        <v>2.8104879999999999E-2</v>
      </c>
      <c r="S5939">
        <v>3.1424560000000001</v>
      </c>
      <c r="T5939">
        <v>-0.86300290000000002</v>
      </c>
      <c r="U5939">
        <v>-3.90625E-2</v>
      </c>
      <c r="V5939">
        <v>1.394423E-2</v>
      </c>
      <c r="W5939">
        <v>0.14573259999999999</v>
      </c>
      <c r="X5939">
        <v>0.98922569999999999</v>
      </c>
      <c r="Y5939">
        <v>5.1778320000000003E-2</v>
      </c>
      <c r="Z5939">
        <v>-1.8289779999999999E-2</v>
      </c>
      <c r="AA5939">
        <v>0.99849109999999996</v>
      </c>
      <c r="AB5939">
        <v>22</v>
      </c>
      <c r="AC5939">
        <v>0.48070000000001201</v>
      </c>
      <c r="AD5939">
        <v>-0.193235299999999</v>
      </c>
      <c r="AE5939">
        <v>-2.0399999999994999E-2</v>
      </c>
      <c r="AF5939">
        <v>3.5269142340092097E-2</v>
      </c>
      <c r="AG5939">
        <v>-0.193235299999999</v>
      </c>
      <c r="AH5939">
        <v>0.41280012796784399</v>
      </c>
      <c r="AI5939">
        <v>115.004786864596</v>
      </c>
      <c r="AJ5939">
        <v>85.116577683436105</v>
      </c>
      <c r="AK5939">
        <v>0.457151768254005</v>
      </c>
      <c r="AL5939">
        <v>81.620294927003997</v>
      </c>
      <c r="AM5939">
        <v>89.192406124314999</v>
      </c>
      <c r="AN5939">
        <v>0.99999995889676996</v>
      </c>
    </row>
    <row r="5940" spans="1:40" x14ac:dyDescent="0.25">
      <c r="A5940" t="str">
        <f>"20190303162721324"</f>
        <v>20190303162721324</v>
      </c>
      <c r="B5940" t="str">
        <f>"1551601641319987"</f>
        <v>1551601641319987</v>
      </c>
      <c r="C5940" t="s">
        <v>40</v>
      </c>
      <c r="D5940">
        <v>5.5804790000000004</v>
      </c>
      <c r="E5940">
        <v>0.53112499999999996</v>
      </c>
      <c r="F5940" t="s">
        <v>42</v>
      </c>
      <c r="G5940">
        <v>-148.6165</v>
      </c>
      <c r="H5940">
        <v>0.849400499999999</v>
      </c>
      <c r="I5940">
        <v>138.114</v>
      </c>
      <c r="J5940">
        <v>-149.23339999999999</v>
      </c>
      <c r="K5940">
        <v>1.122541</v>
      </c>
      <c r="L5940">
        <v>138.15549999999999</v>
      </c>
      <c r="M5940">
        <v>0.99889349999999999</v>
      </c>
      <c r="N5940">
        <v>-1.470696E-2</v>
      </c>
      <c r="O5940">
        <v>4.4670830000000002E-2</v>
      </c>
      <c r="P5940">
        <v>0.99091079999999998</v>
      </c>
      <c r="Q5940">
        <v>0.13124189999999999</v>
      </c>
      <c r="R5940">
        <v>2.9519690000000001E-2</v>
      </c>
      <c r="S5940">
        <v>3.1686399999999999</v>
      </c>
      <c r="T5940">
        <v>-1.0420590000000001</v>
      </c>
      <c r="U5940">
        <v>-0.1143646</v>
      </c>
      <c r="V5940">
        <v>1.439229E-2</v>
      </c>
      <c r="W5940">
        <v>0.1458448</v>
      </c>
      <c r="X5940">
        <v>0.98920280000000005</v>
      </c>
      <c r="Y5940">
        <v>7.4431990000000003E-2</v>
      </c>
      <c r="Z5940">
        <v>-2.6151310000000001E-2</v>
      </c>
      <c r="AA5940">
        <v>0.99688319999999997</v>
      </c>
      <c r="AB5940">
        <v>22</v>
      </c>
      <c r="AC5940">
        <v>0.61689999999998602</v>
      </c>
      <c r="AD5940">
        <v>-0.27314050000000001</v>
      </c>
      <c r="AE5940">
        <v>-4.1499999999984903E-2</v>
      </c>
      <c r="AF5940">
        <v>5.7748934362642897E-2</v>
      </c>
      <c r="AG5940">
        <v>-0.27314050000000001</v>
      </c>
      <c r="AH5940">
        <v>0.51410030339942803</v>
      </c>
      <c r="AI5940">
        <v>117.833045412633</v>
      </c>
      <c r="AJ5940">
        <v>83.590826795273301</v>
      </c>
      <c r="AK5940">
        <v>0.58501264440664402</v>
      </c>
      <c r="AL5940">
        <v>81.613797359152599</v>
      </c>
      <c r="AM5940">
        <v>89.166440596748899</v>
      </c>
      <c r="AN5940">
        <v>1.00000001161316</v>
      </c>
    </row>
    <row r="5941" spans="1:40" x14ac:dyDescent="0.25">
      <c r="A5941" t="str">
        <f>"20190303162721347"</f>
        <v>20190303162721347</v>
      </c>
      <c r="B5941" t="str">
        <f>"1551601641340483"</f>
        <v>1551601641340483</v>
      </c>
      <c r="C5941" t="s">
        <v>40</v>
      </c>
      <c r="D5941">
        <v>5.5694559999999997</v>
      </c>
      <c r="E5941">
        <v>0.53127749999999996</v>
      </c>
      <c r="F5941" t="s">
        <v>42</v>
      </c>
      <c r="G5941">
        <v>-148.42670000000001</v>
      </c>
      <c r="H5941">
        <v>0.84647759999999905</v>
      </c>
      <c r="I5941">
        <v>138.1241</v>
      </c>
      <c r="J5941">
        <v>-149.02959999999999</v>
      </c>
      <c r="K5941">
        <v>1.1225179999999999</v>
      </c>
      <c r="L5941">
        <v>138.16669999999999</v>
      </c>
      <c r="M5941">
        <v>0.99881189999999997</v>
      </c>
      <c r="N5941">
        <v>-1.4796E-2</v>
      </c>
      <c r="O5941">
        <v>4.643539E-2</v>
      </c>
      <c r="P5941">
        <v>0.99073540000000004</v>
      </c>
      <c r="Q5941">
        <v>0.13227449999999999</v>
      </c>
      <c r="R5941">
        <v>3.0782049999999998E-2</v>
      </c>
      <c r="S5941">
        <v>3.1750949999999998</v>
      </c>
      <c r="T5941">
        <v>-1.086481</v>
      </c>
      <c r="U5941">
        <v>-0.1232452</v>
      </c>
      <c r="V5941">
        <v>1.4880289999999999E-2</v>
      </c>
      <c r="W5941">
        <v>0.14696329999999999</v>
      </c>
      <c r="X5941">
        <v>0.98902999999999996</v>
      </c>
      <c r="Y5941">
        <v>7.809075E-2</v>
      </c>
      <c r="Z5941">
        <v>-2.8356220000000001E-2</v>
      </c>
      <c r="AA5941">
        <v>0.99654290000000001</v>
      </c>
      <c r="AB5941">
        <v>22</v>
      </c>
      <c r="AC5941">
        <v>0.60289999999997601</v>
      </c>
      <c r="AD5941">
        <v>-0.27604040000000002</v>
      </c>
      <c r="AE5941">
        <v>-4.2599999999992998E-2</v>
      </c>
      <c r="AF5941">
        <v>5.8376322072809399E-2</v>
      </c>
      <c r="AG5941">
        <v>-0.27604040000000002</v>
      </c>
      <c r="AH5941">
        <v>0.496670940166065</v>
      </c>
      <c r="AI5941">
        <v>118.897891906339</v>
      </c>
      <c r="AJ5941">
        <v>83.296484386533507</v>
      </c>
      <c r="AK5941">
        <v>0.57121635149595595</v>
      </c>
      <c r="AL5941">
        <v>81.549013774646795</v>
      </c>
      <c r="AM5941">
        <v>89.138030703608493</v>
      </c>
      <c r="AN5941">
        <v>0.99999998773868704</v>
      </c>
    </row>
    <row r="5942" spans="1:40" x14ac:dyDescent="0.25">
      <c r="A5942" t="str">
        <f>"20190303162721371"</f>
        <v>20190303162721371</v>
      </c>
      <c r="B5942" t="str">
        <f>"1551601641360002"</f>
        <v>1551601641360002</v>
      </c>
      <c r="C5942" t="s">
        <v>40</v>
      </c>
      <c r="D5942">
        <v>5.5738820000000002</v>
      </c>
      <c r="E5942">
        <v>0.53127500000000005</v>
      </c>
      <c r="F5942" t="s">
        <v>42</v>
      </c>
      <c r="G5942">
        <v>-148.23490000000001</v>
      </c>
      <c r="H5942">
        <v>0.84990969999999999</v>
      </c>
      <c r="I5942">
        <v>138.136</v>
      </c>
      <c r="J5942">
        <v>-148.78710000000001</v>
      </c>
      <c r="K5942">
        <v>1.1224889999999901</v>
      </c>
      <c r="L5942">
        <v>138.1806</v>
      </c>
      <c r="M5942">
        <v>0.99871220000000005</v>
      </c>
      <c r="N5942">
        <v>-1.4888399999999901E-2</v>
      </c>
      <c r="O5942">
        <v>4.8500179999999997E-2</v>
      </c>
      <c r="P5942">
        <v>0.99065689999999995</v>
      </c>
      <c r="Q5942">
        <v>0.13214300000000001</v>
      </c>
      <c r="R5942">
        <v>3.37217E-2</v>
      </c>
      <c r="S5942">
        <v>3.1773829999999998</v>
      </c>
      <c r="T5942">
        <v>-1.0900650000000001</v>
      </c>
      <c r="U5942">
        <v>-0.1223602</v>
      </c>
      <c r="V5942">
        <v>1.4001710000000001E-2</v>
      </c>
      <c r="W5942">
        <v>0.1469203</v>
      </c>
      <c r="X5942">
        <v>0.98904919999999996</v>
      </c>
      <c r="Y5942">
        <v>7.9611210000000002E-2</v>
      </c>
      <c r="Z5942">
        <v>-2.9348679999999999E-2</v>
      </c>
      <c r="AA5942">
        <v>0.99639390000000005</v>
      </c>
      <c r="AB5942">
        <v>21</v>
      </c>
      <c r="AC5942">
        <v>0.55219999999999902</v>
      </c>
      <c r="AD5942">
        <v>-0.27257929999999903</v>
      </c>
      <c r="AE5942">
        <v>-4.4600000000002603E-2</v>
      </c>
      <c r="AF5942">
        <v>5.7429429514001297E-2</v>
      </c>
      <c r="AG5942">
        <v>-0.27257929999999903</v>
      </c>
      <c r="AH5942">
        <v>0.44230980782794099</v>
      </c>
      <c r="AI5942">
        <v>121.430498145112</v>
      </c>
      <c r="AJ5942">
        <v>82.602112700815496</v>
      </c>
      <c r="AK5942">
        <v>0.52271940873051903</v>
      </c>
      <c r="AL5942">
        <v>81.551504389486496</v>
      </c>
      <c r="AM5942">
        <v>89.188932863686802</v>
      </c>
      <c r="AN5942">
        <v>0.99999997122782602</v>
      </c>
    </row>
    <row r="5943" spans="1:40" x14ac:dyDescent="0.25">
      <c r="A5943" t="str">
        <f>"20190303162721398"</f>
        <v>20190303162721398</v>
      </c>
      <c r="B5943" t="str">
        <f>"1551601641390258"</f>
        <v>1551601641390258</v>
      </c>
      <c r="C5943" t="s">
        <v>40</v>
      </c>
      <c r="D5943">
        <v>5.5478740000000002</v>
      </c>
      <c r="E5943">
        <v>0.53103330000000004</v>
      </c>
      <c r="F5943" t="s">
        <v>42</v>
      </c>
      <c r="G5943">
        <v>-148.03880000000001</v>
      </c>
      <c r="H5943">
        <v>0.86639500000000003</v>
      </c>
      <c r="I5943">
        <v>138.15309999999999</v>
      </c>
      <c r="J5943">
        <v>-148.5401</v>
      </c>
      <c r="K5943">
        <v>1.122457</v>
      </c>
      <c r="L5943">
        <v>138.1951</v>
      </c>
      <c r="M5943">
        <v>0.99860930000000003</v>
      </c>
      <c r="N5943">
        <v>-1.4969710000000001E-2</v>
      </c>
      <c r="O5943">
        <v>5.0550619999999998E-2</v>
      </c>
      <c r="P5943">
        <v>0.99055190000000004</v>
      </c>
      <c r="Q5943">
        <v>0.13184509999999999</v>
      </c>
      <c r="R5943">
        <v>3.7734080000000003E-2</v>
      </c>
      <c r="S5943">
        <v>3.1773069999999999</v>
      </c>
      <c r="T5943">
        <v>-1.0874200000000001</v>
      </c>
      <c r="U5943">
        <v>-0.1164703</v>
      </c>
      <c r="V5943">
        <v>1.2037900000000001E-2</v>
      </c>
      <c r="W5943">
        <v>0.14669769999999999</v>
      </c>
      <c r="X5943">
        <v>0.98910810000000005</v>
      </c>
      <c r="Y5943">
        <v>7.9733150000000003E-2</v>
      </c>
      <c r="Z5943">
        <v>-2.9954890000000001E-2</v>
      </c>
      <c r="AA5943">
        <v>0.99636610000000003</v>
      </c>
      <c r="AB5943">
        <v>21</v>
      </c>
      <c r="AC5943">
        <v>0.50129999999998598</v>
      </c>
      <c r="AD5943">
        <v>-0.25606200000000001</v>
      </c>
      <c r="AE5943">
        <v>-4.2000000000001501E-2</v>
      </c>
      <c r="AF5943">
        <v>5.3443323635105199E-2</v>
      </c>
      <c r="AG5943">
        <v>-0.25606200000000001</v>
      </c>
      <c r="AH5943">
        <v>0.39594793147816298</v>
      </c>
      <c r="AI5943">
        <v>122.65558900399201</v>
      </c>
      <c r="AJ5943">
        <v>82.312923236969198</v>
      </c>
      <c r="AK5943">
        <v>0.47455105218195698</v>
      </c>
      <c r="AL5943">
        <v>81.564398209270493</v>
      </c>
      <c r="AM5943">
        <v>89.302718465868793</v>
      </c>
      <c r="AN5943">
        <v>0.99999997985365396</v>
      </c>
    </row>
    <row r="5944" spans="1:40" x14ac:dyDescent="0.25">
      <c r="A5944" t="str">
        <f>"20190303162721417"</f>
        <v>20190303162721417</v>
      </c>
      <c r="B5944" t="str">
        <f>"1551601641410754"</f>
        <v>1551601641410754</v>
      </c>
      <c r="C5944" t="s">
        <v>40</v>
      </c>
      <c r="D5944">
        <v>5.5366369999999998</v>
      </c>
      <c r="E5944">
        <v>0.53084049999999905</v>
      </c>
      <c r="F5944" t="s">
        <v>42</v>
      </c>
      <c r="G5944">
        <v>-147.84289999999999</v>
      </c>
      <c r="H5944">
        <v>0.88368230000000003</v>
      </c>
      <c r="I5944">
        <v>138.17169999999999</v>
      </c>
      <c r="J5944">
        <v>-148.35380000000001</v>
      </c>
      <c r="K5944">
        <v>1.122425</v>
      </c>
      <c r="L5944">
        <v>138.2064</v>
      </c>
      <c r="M5944">
        <v>0.99853139999999996</v>
      </c>
      <c r="N5944">
        <v>-1.5022600000000001E-2</v>
      </c>
      <c r="O5944">
        <v>5.2051970000000003E-2</v>
      </c>
      <c r="P5944">
        <v>0.99037019999999998</v>
      </c>
      <c r="Q5944">
        <v>0.1321717</v>
      </c>
      <c r="R5944">
        <v>4.1202089999999997E-2</v>
      </c>
      <c r="S5944">
        <v>3.177505</v>
      </c>
      <c r="T5944">
        <v>-1.0883350000000001</v>
      </c>
      <c r="U5944">
        <v>-0.1056366</v>
      </c>
      <c r="V5944">
        <v>1.0065859999999999E-2</v>
      </c>
      <c r="W5944">
        <v>0.147070799999999</v>
      </c>
      <c r="X5944">
        <v>0.98907480000000003</v>
      </c>
      <c r="Y5944">
        <v>7.7857369999999995E-2</v>
      </c>
      <c r="Z5944">
        <v>-3.0128729999999999E-2</v>
      </c>
      <c r="AA5944">
        <v>0.99650910000000004</v>
      </c>
      <c r="AB5944">
        <v>21</v>
      </c>
      <c r="AC5944">
        <v>0.51090000000002</v>
      </c>
      <c r="AD5944">
        <v>-0.2387427</v>
      </c>
      <c r="AE5944">
        <v>-3.4700000000014997E-2</v>
      </c>
      <c r="AF5944">
        <v>5.0313013923521797E-2</v>
      </c>
      <c r="AG5944">
        <v>-0.2387427</v>
      </c>
      <c r="AH5944">
        <v>0.41762401165669399</v>
      </c>
      <c r="AI5944">
        <v>119.57772702737</v>
      </c>
      <c r="AJ5944">
        <v>83.130431245667694</v>
      </c>
      <c r="AK5944">
        <v>0.48367271091678199</v>
      </c>
      <c r="AL5944">
        <v>81.542787353722503</v>
      </c>
      <c r="AM5944">
        <v>89.416918330864803</v>
      </c>
      <c r="AN5944">
        <v>1.0000000508725999</v>
      </c>
    </row>
    <row r="5945" spans="1:40" x14ac:dyDescent="0.25">
      <c r="A5945" t="str">
        <f>"20190303162721450"</f>
        <v>20190303162721450</v>
      </c>
      <c r="B5945" t="str">
        <f>"1551601641440034"</f>
        <v>1551601641440034</v>
      </c>
      <c r="C5945" t="s">
        <v>40</v>
      </c>
      <c r="D5945">
        <v>5.5083890000000002</v>
      </c>
      <c r="E5945">
        <v>0.53054789999999996</v>
      </c>
      <c r="F5945" t="s">
        <v>42</v>
      </c>
      <c r="G5945">
        <v>-147.65450000000001</v>
      </c>
      <c r="H5945">
        <v>0.88286089999999995</v>
      </c>
      <c r="I5945">
        <v>138.1859</v>
      </c>
      <c r="J5945">
        <v>-148.04759999999999</v>
      </c>
      <c r="K5945">
        <v>1.1223620000000001</v>
      </c>
      <c r="L5945">
        <v>138.22540000000001</v>
      </c>
      <c r="M5945">
        <v>0.99840399999999996</v>
      </c>
      <c r="N5945">
        <v>-1.509537E-2</v>
      </c>
      <c r="O5945">
        <v>5.4421690000000002E-2</v>
      </c>
      <c r="P5945">
        <v>0.99019579999999996</v>
      </c>
      <c r="Q5945">
        <v>0.1316148</v>
      </c>
      <c r="R5945">
        <v>4.6792930000000003E-2</v>
      </c>
      <c r="S5945">
        <v>3.1783600000000001</v>
      </c>
      <c r="T5945">
        <v>-1.088867</v>
      </c>
      <c r="U5945">
        <v>-9.3048099999999995E-2</v>
      </c>
      <c r="V5945">
        <v>6.8492319999999898E-3</v>
      </c>
      <c r="W5945">
        <v>0.14657890000000001</v>
      </c>
      <c r="X5945">
        <v>0.98917529999999998</v>
      </c>
      <c r="Y5945">
        <v>7.6239669999999995E-2</v>
      </c>
      <c r="Z5945">
        <v>-3.0607289999999999E-2</v>
      </c>
      <c r="AA5945">
        <v>0.99661960000000005</v>
      </c>
      <c r="AB5945">
        <v>21</v>
      </c>
      <c r="AC5945">
        <v>0.39309999999997502</v>
      </c>
      <c r="AD5945">
        <v>-0.23950109999999999</v>
      </c>
      <c r="AE5945">
        <v>-3.9500000000003803E-2</v>
      </c>
      <c r="AF5945">
        <v>4.44881044740153E-2</v>
      </c>
      <c r="AG5945">
        <v>-0.23950109999999999</v>
      </c>
      <c r="AH5945">
        <v>0.28546264894294099</v>
      </c>
      <c r="AI5945">
        <v>129.65825694678401</v>
      </c>
      <c r="AJ5945">
        <v>81.1419591469609</v>
      </c>
      <c r="AK5945">
        <v>0.37527175790674899</v>
      </c>
      <c r="AL5945">
        <v>81.571279757618299</v>
      </c>
      <c r="AM5945">
        <v>89.603279807880796</v>
      </c>
      <c r="AN5945">
        <v>1.0000000300171401</v>
      </c>
    </row>
    <row r="5946" spans="1:40" x14ac:dyDescent="0.25">
      <c r="A5946" t="str">
        <f>"20190303162721478"</f>
        <v>20190303162721478</v>
      </c>
      <c r="B5946" t="str">
        <f>"1551601641470294"</f>
        <v>1551601641470294</v>
      </c>
      <c r="C5946" t="s">
        <v>40</v>
      </c>
      <c r="D5946">
        <v>5.4925739999999896</v>
      </c>
      <c r="E5946">
        <v>0.53055490000000005</v>
      </c>
      <c r="F5946" t="s">
        <v>42</v>
      </c>
      <c r="G5946">
        <v>-147.2869</v>
      </c>
      <c r="H5946">
        <v>0.8611375</v>
      </c>
      <c r="I5946">
        <v>138.2073</v>
      </c>
      <c r="J5946">
        <v>-147.79050000000001</v>
      </c>
      <c r="K5946">
        <v>1.122315</v>
      </c>
      <c r="L5946">
        <v>138.24180000000001</v>
      </c>
      <c r="M5946">
        <v>0.99829780000000001</v>
      </c>
      <c r="N5946">
        <v>-1.51451E-2</v>
      </c>
      <c r="O5946">
        <v>5.6324640000000002E-2</v>
      </c>
      <c r="P5946">
        <v>0.99006340000000004</v>
      </c>
      <c r="Q5946">
        <v>0.1318213</v>
      </c>
      <c r="R5946">
        <v>4.8966500000000003E-2</v>
      </c>
      <c r="S5946">
        <v>3.1783450000000002</v>
      </c>
      <c r="T5946">
        <v>-1.091421</v>
      </c>
      <c r="U5946">
        <v>-7.5607300000000002E-2</v>
      </c>
      <c r="V5946">
        <v>6.5796609999999997E-3</v>
      </c>
      <c r="W5946">
        <v>0.14683260000000001</v>
      </c>
      <c r="X5946">
        <v>0.98913949999999995</v>
      </c>
      <c r="Y5946">
        <v>7.2749030000000006E-2</v>
      </c>
      <c r="Z5946">
        <v>-3.0673349999999999E-2</v>
      </c>
      <c r="AA5946">
        <v>0.9968785</v>
      </c>
      <c r="AB5946">
        <v>21</v>
      </c>
      <c r="AC5946">
        <v>0.50360000000000504</v>
      </c>
      <c r="AD5946">
        <v>-0.26117749999999901</v>
      </c>
      <c r="AE5946">
        <v>-3.4500000000008399E-2</v>
      </c>
      <c r="AF5946">
        <v>4.9548788351569603E-2</v>
      </c>
      <c r="AG5946">
        <v>-0.26117749999999901</v>
      </c>
      <c r="AH5946">
        <v>0.39508754991940198</v>
      </c>
      <c r="AI5946">
        <v>123.261838514687</v>
      </c>
      <c r="AJ5946">
        <v>82.851732350888298</v>
      </c>
      <c r="AK5946">
        <v>0.476196326145714</v>
      </c>
      <c r="AL5946">
        <v>81.556584799995207</v>
      </c>
      <c r="AM5946">
        <v>89.618879596060793</v>
      </c>
      <c r="AN5946">
        <v>1.00000002741094</v>
      </c>
    </row>
    <row r="5947" spans="1:40" x14ac:dyDescent="0.25">
      <c r="A5947" t="str">
        <f>"20190303162721500"</f>
        <v>20190303162721500</v>
      </c>
      <c r="B5947" t="str">
        <f>"1551601641490791"</f>
        <v>1551601641490791</v>
      </c>
      <c r="C5947" t="s">
        <v>40</v>
      </c>
      <c r="D5947">
        <v>5.487088</v>
      </c>
      <c r="E5947">
        <v>0.53060569999999996</v>
      </c>
      <c r="F5947" t="s">
        <v>42</v>
      </c>
      <c r="G5947">
        <v>-147.0915</v>
      </c>
      <c r="H5947">
        <v>0.88230359999999997</v>
      </c>
      <c r="I5947">
        <v>138.2269</v>
      </c>
      <c r="J5947">
        <v>-147.5805</v>
      </c>
      <c r="K5947">
        <v>1.122282</v>
      </c>
      <c r="L5947">
        <v>138.25550000000001</v>
      </c>
      <c r="M5947">
        <v>0.99821130000000002</v>
      </c>
      <c r="N5947">
        <v>-1.517924E-2</v>
      </c>
      <c r="O5947">
        <v>5.7825189999999999E-2</v>
      </c>
      <c r="P5947">
        <v>0.98994780000000004</v>
      </c>
      <c r="Q5947">
        <v>0.1321707</v>
      </c>
      <c r="R5947">
        <v>5.0345309999999997E-2</v>
      </c>
      <c r="S5947">
        <v>3.1787570000000001</v>
      </c>
      <c r="T5947">
        <v>-1.0915490000000001</v>
      </c>
      <c r="U5947">
        <v>-6.7413329999999994E-2</v>
      </c>
      <c r="V5947">
        <v>6.6992730000000004E-3</v>
      </c>
      <c r="W5947">
        <v>0.1472147</v>
      </c>
      <c r="X5947">
        <v>0.98908189999999996</v>
      </c>
      <c r="Y5947">
        <v>7.1662749999999997E-2</v>
      </c>
      <c r="Z5947">
        <v>-3.0961240000000001E-2</v>
      </c>
      <c r="AA5947">
        <v>0.99694819999999995</v>
      </c>
      <c r="AB5947">
        <v>21</v>
      </c>
      <c r="AC5947">
        <v>0.48900000000000399</v>
      </c>
      <c r="AD5947">
        <v>-0.23997840000000001</v>
      </c>
      <c r="AE5947">
        <v>-2.8600000000011502E-2</v>
      </c>
      <c r="AF5947">
        <v>4.5831525753586497E-2</v>
      </c>
      <c r="AG5947">
        <v>-0.23997840000000001</v>
      </c>
      <c r="AH5947">
        <v>0.39235531127200002</v>
      </c>
      <c r="AI5947">
        <v>121.278880950139</v>
      </c>
      <c r="AJ5947">
        <v>83.337400673502003</v>
      </c>
      <c r="AK5947">
        <v>0.46220433955428197</v>
      </c>
      <c r="AL5947">
        <v>81.534451553190607</v>
      </c>
      <c r="AM5947">
        <v>89.611928800725593</v>
      </c>
      <c r="AN5947">
        <v>1.0000000265312099</v>
      </c>
    </row>
    <row r="5948" spans="1:40" x14ac:dyDescent="0.25">
      <c r="A5948" t="str">
        <f>"20190303162721524"</f>
        <v>20190303162721524</v>
      </c>
      <c r="B5948" t="str">
        <f>"1551601641520070"</f>
        <v>1551601641520070</v>
      </c>
      <c r="C5948" t="s">
        <v>40</v>
      </c>
      <c r="D5948">
        <v>5.4697559999999896</v>
      </c>
      <c r="E5948">
        <v>0.53060779999999996</v>
      </c>
      <c r="F5948" t="s">
        <v>42</v>
      </c>
      <c r="G5948">
        <v>-146.90180000000001</v>
      </c>
      <c r="H5948">
        <v>0.88936689999999996</v>
      </c>
      <c r="I5948">
        <v>138.2423</v>
      </c>
      <c r="J5948">
        <v>-147.3562</v>
      </c>
      <c r="K5948">
        <v>1.122252</v>
      </c>
      <c r="L5948">
        <v>138.2705</v>
      </c>
      <c r="M5948">
        <v>0.99812049999999997</v>
      </c>
      <c r="N5948">
        <v>-1.5209729999999999E-2</v>
      </c>
      <c r="O5948">
        <v>5.9367400000000001E-2</v>
      </c>
      <c r="P5948">
        <v>0.98978820000000001</v>
      </c>
      <c r="Q5948">
        <v>0.1330007</v>
      </c>
      <c r="R5948">
        <v>5.1288130000000001E-2</v>
      </c>
      <c r="S5948">
        <v>3.1793209999999998</v>
      </c>
      <c r="T5948">
        <v>-1.091178</v>
      </c>
      <c r="U5948">
        <v>-6.2011719999999999E-2</v>
      </c>
      <c r="V5948">
        <v>7.2918330000000002E-3</v>
      </c>
      <c r="W5948">
        <v>0.1480735</v>
      </c>
      <c r="X5948">
        <v>0.98894950000000004</v>
      </c>
      <c r="Y5948">
        <v>7.1446109999999993E-2</v>
      </c>
      <c r="Z5948">
        <v>-3.1398830000000003E-2</v>
      </c>
      <c r="AA5948">
        <v>0.99695009999999995</v>
      </c>
      <c r="AB5948">
        <v>21</v>
      </c>
      <c r="AC5948">
        <v>0.45439999999999198</v>
      </c>
      <c r="AD5948">
        <v>-0.23288510000000001</v>
      </c>
      <c r="AE5948">
        <v>-2.8199999999998199E-2</v>
      </c>
      <c r="AF5948">
        <v>4.3696330541226902E-2</v>
      </c>
      <c r="AG5948">
        <v>-0.23288510000000001</v>
      </c>
      <c r="AH5948">
        <v>0.35819792463258798</v>
      </c>
      <c r="AI5948">
        <v>122.837117957998</v>
      </c>
      <c r="AJ5948">
        <v>83.044890070339093</v>
      </c>
      <c r="AK5948">
        <v>0.42947711500832197</v>
      </c>
      <c r="AL5948">
        <v>81.484700664418796</v>
      </c>
      <c r="AM5948">
        <v>89.577548009391606</v>
      </c>
      <c r="AN5948">
        <v>1.0000000228904899</v>
      </c>
    </row>
    <row r="5949" spans="1:40" x14ac:dyDescent="0.25">
      <c r="A5949" t="str">
        <f>"20190303162721545"</f>
        <v>20190303162721545</v>
      </c>
      <c r="B5949" t="str">
        <f>"1551601641540567"</f>
        <v>1551601641540567</v>
      </c>
      <c r="C5949" t="s">
        <v>40</v>
      </c>
      <c r="D5949">
        <v>5.5136710000000004</v>
      </c>
      <c r="E5949">
        <v>0.53051040000000005</v>
      </c>
      <c r="F5949" t="s">
        <v>42</v>
      </c>
      <c r="G5949">
        <v>-146.547</v>
      </c>
      <c r="H5949">
        <v>0.84558729999999904</v>
      </c>
      <c r="I5949">
        <v>138.25579999999999</v>
      </c>
      <c r="J5949">
        <v>-147.15539999999999</v>
      </c>
      <c r="K5949">
        <v>1.1222270000000001</v>
      </c>
      <c r="L5949">
        <v>138.2841</v>
      </c>
      <c r="M5949">
        <v>0.99804000000000004</v>
      </c>
      <c r="N5949">
        <v>-1.523245E-2</v>
      </c>
      <c r="O5949">
        <v>6.0697389999999997E-2</v>
      </c>
      <c r="P5949">
        <v>0.98976600000000003</v>
      </c>
      <c r="Q5949">
        <v>0.132994</v>
      </c>
      <c r="R5949">
        <v>5.1730749999999999E-2</v>
      </c>
      <c r="S5949">
        <v>3.1800079999999999</v>
      </c>
      <c r="T5949">
        <v>-1.087216</v>
      </c>
      <c r="U5949">
        <v>-5.725098E-2</v>
      </c>
      <c r="V5949">
        <v>8.1803169999999994E-3</v>
      </c>
      <c r="W5949">
        <v>0.14809040000000001</v>
      </c>
      <c r="X5949">
        <v>0.98894000000000004</v>
      </c>
      <c r="Y5949">
        <v>7.12753E-2</v>
      </c>
      <c r="Z5949">
        <v>-3.1674969999999997E-2</v>
      </c>
      <c r="AA5949">
        <v>0.9969536</v>
      </c>
      <c r="AB5949">
        <v>21</v>
      </c>
      <c r="AC5949">
        <v>0.60839999999998895</v>
      </c>
      <c r="AD5949">
        <v>-0.27663969999999999</v>
      </c>
      <c r="AE5949">
        <v>-2.8300000000001501E-2</v>
      </c>
      <c r="AF5949">
        <v>5.4033042157041002E-2</v>
      </c>
      <c r="AG5949">
        <v>-0.27663969999999999</v>
      </c>
      <c r="AH5949">
        <v>0.50199536916649701</v>
      </c>
      <c r="AI5949">
        <v>118.71901131436699</v>
      </c>
      <c r="AJ5949">
        <v>83.8565332593504</v>
      </c>
      <c r="AK5949">
        <v>0.57571559291497598</v>
      </c>
      <c r="AL5949">
        <v>81.483721408249906</v>
      </c>
      <c r="AM5949">
        <v>89.526071399922003</v>
      </c>
      <c r="AN5949">
        <v>1.0000000038791901</v>
      </c>
    </row>
    <row r="5950" spans="1:40" x14ac:dyDescent="0.25">
      <c r="A5950" t="str">
        <f>"20190303162721586"</f>
        <v>20190303162721586</v>
      </c>
      <c r="B5950" t="str">
        <f>"1551601641580114"</f>
        <v>1551601641580114</v>
      </c>
      <c r="C5950" t="s">
        <v>40</v>
      </c>
      <c r="D5950">
        <v>5.5088089999999896</v>
      </c>
      <c r="E5950">
        <v>0.51252940000000002</v>
      </c>
      <c r="F5950" t="s">
        <v>42</v>
      </c>
      <c r="G5950">
        <v>-146.35980000000001</v>
      </c>
      <c r="H5950">
        <v>0.85071409999999903</v>
      </c>
      <c r="I5950">
        <v>138.2706</v>
      </c>
      <c r="J5950">
        <v>-146.79239999999999</v>
      </c>
      <c r="K5950">
        <v>1.1221920000000001</v>
      </c>
      <c r="L5950">
        <v>138.3092</v>
      </c>
      <c r="M5950">
        <v>0.99789609999999995</v>
      </c>
      <c r="N5950">
        <v>-1.526478E-2</v>
      </c>
      <c r="O5950">
        <v>6.3010830000000004E-2</v>
      </c>
      <c r="P5950">
        <v>0.98971560000000003</v>
      </c>
      <c r="Q5950">
        <v>0.1331938</v>
      </c>
      <c r="R5950">
        <v>5.2180440000000002E-2</v>
      </c>
      <c r="S5950">
        <v>3.179611</v>
      </c>
      <c r="T5950">
        <v>-1.0851789999999999</v>
      </c>
      <c r="U5950">
        <v>-5.3237920000000001E-2</v>
      </c>
      <c r="V5950">
        <v>1.00432E-2</v>
      </c>
      <c r="W5950">
        <v>0.14832339999999999</v>
      </c>
      <c r="X5950">
        <v>0.98888790000000004</v>
      </c>
      <c r="Y5950">
        <v>7.2183010000000006E-2</v>
      </c>
      <c r="Z5950">
        <v>-3.2511350000000001E-2</v>
      </c>
      <c r="AA5950">
        <v>0.99686140000000001</v>
      </c>
      <c r="AB5950">
        <v>21</v>
      </c>
      <c r="AC5950">
        <v>0.432599999999979</v>
      </c>
      <c r="AD5950">
        <v>-0.27147789999999999</v>
      </c>
      <c r="AE5950">
        <v>-3.8600000000002403E-2</v>
      </c>
      <c r="AF5950">
        <v>4.7303211670147602E-2</v>
      </c>
      <c r="AG5950">
        <v>-0.27147789999999999</v>
      </c>
      <c r="AH5950">
        <v>0.308697265275929</v>
      </c>
      <c r="AI5950">
        <v>130.99991919209401</v>
      </c>
      <c r="AJ5950">
        <v>81.288050278635794</v>
      </c>
      <c r="AK5950">
        <v>0.41380169841550701</v>
      </c>
      <c r="AL5950">
        <v>81.470222275745201</v>
      </c>
      <c r="AM5950">
        <v>89.418120911785707</v>
      </c>
      <c r="AN5950">
        <v>0.99999998781010402</v>
      </c>
    </row>
    <row r="5951" spans="1:40" x14ac:dyDescent="0.25">
      <c r="A5951" t="str">
        <f>"20190303162721612"</f>
        <v>20190303162721612</v>
      </c>
      <c r="B5951" t="str">
        <f>"1551601641600611"</f>
        <v>1551601641600611</v>
      </c>
      <c r="C5951" t="s">
        <v>40</v>
      </c>
      <c r="D5951">
        <v>7.1780979999999897</v>
      </c>
      <c r="E5951">
        <v>0.47017130000000001</v>
      </c>
      <c r="F5951" t="s">
        <v>42</v>
      </c>
      <c r="G5951">
        <v>-145.9589</v>
      </c>
      <c r="H5951">
        <v>0.92821260000000005</v>
      </c>
      <c r="I5951">
        <v>138.33189999999999</v>
      </c>
      <c r="J5951">
        <v>-146.54339999999999</v>
      </c>
      <c r="K5951">
        <v>1.122163</v>
      </c>
      <c r="L5951">
        <v>138.32689999999999</v>
      </c>
      <c r="M5951">
        <v>0.99779980000000001</v>
      </c>
      <c r="N5951">
        <v>-1.5281039999999999E-2</v>
      </c>
      <c r="O5951">
        <v>6.4514379999999996E-2</v>
      </c>
      <c r="P5951">
        <v>0.98940090000000003</v>
      </c>
      <c r="Q5951">
        <v>0.13524069999999999</v>
      </c>
      <c r="R5951">
        <v>5.2876310000000003E-2</v>
      </c>
      <c r="S5951">
        <v>3.1245270000000001</v>
      </c>
      <c r="T5951">
        <v>-0.72732249999999998</v>
      </c>
      <c r="U5951">
        <v>8.5769650000000003E-2</v>
      </c>
      <c r="V5951">
        <v>1.0832939999999999E-2</v>
      </c>
      <c r="W5951">
        <v>0.150382399999999</v>
      </c>
      <c r="X5951">
        <v>0.98856849999999996</v>
      </c>
      <c r="Y5951">
        <v>3.4625699999999898E-2</v>
      </c>
      <c r="Z5951">
        <v>-1.807593E-2</v>
      </c>
      <c r="AA5951">
        <v>0.99923689999999998</v>
      </c>
      <c r="AB5951">
        <v>21</v>
      </c>
      <c r="AC5951">
        <v>0.58449999999999103</v>
      </c>
      <c r="AD5951">
        <v>-0.1939504</v>
      </c>
      <c r="AE5951">
        <v>4.9999999999954499E-3</v>
      </c>
      <c r="AF5951">
        <v>2.94779989500514E-2</v>
      </c>
      <c r="AG5951">
        <v>-0.1939504</v>
      </c>
      <c r="AH5951">
        <v>0.52572343357689</v>
      </c>
      <c r="AI5951">
        <v>110.220891118106</v>
      </c>
      <c r="AJ5951">
        <v>86.790711385956797</v>
      </c>
      <c r="AK5951">
        <v>0.56113353018166201</v>
      </c>
      <c r="AL5951">
        <v>81.350911714552495</v>
      </c>
      <c r="AM5951">
        <v>89.372166016615793</v>
      </c>
      <c r="AN5951">
        <v>0.99999994900552502</v>
      </c>
    </row>
    <row r="5952" spans="1:40" x14ac:dyDescent="0.25">
      <c r="A5952" t="str">
        <f>"20190303162721638"</f>
        <v>20190303162721638</v>
      </c>
      <c r="B5952" t="str">
        <f>"1551601641630867"</f>
        <v>1551601641630867</v>
      </c>
      <c r="C5952" t="s">
        <v>40</v>
      </c>
      <c r="D5952">
        <v>5.7581309999999997</v>
      </c>
      <c r="E5952">
        <v>0.48097190000000001</v>
      </c>
      <c r="F5952" t="s">
        <v>41</v>
      </c>
      <c r="G5952">
        <v>-118.7184</v>
      </c>
      <c r="H5952" s="1">
        <v>-1.192822E-6</v>
      </c>
      <c r="I5952">
        <v>142.0994</v>
      </c>
      <c r="J5952">
        <v>-146.30250000000001</v>
      </c>
      <c r="K5952">
        <v>1.1221190000000001</v>
      </c>
      <c r="L5952">
        <v>138.3442</v>
      </c>
      <c r="M5952">
        <v>0.99770979999999998</v>
      </c>
      <c r="N5952">
        <v>-1.5293299999999999E-2</v>
      </c>
      <c r="O5952">
        <v>6.5890379999999998E-2</v>
      </c>
      <c r="P5952">
        <v>0.98920710000000001</v>
      </c>
      <c r="Q5952">
        <v>0.13629820000000001</v>
      </c>
      <c r="R5952">
        <v>5.3779710000000001E-2</v>
      </c>
      <c r="S5952">
        <v>3.0269010000000001</v>
      </c>
      <c r="T5952">
        <v>-0.1220725</v>
      </c>
      <c r="U5952">
        <v>0.4103851</v>
      </c>
      <c r="V5952">
        <v>1.1301240000000001E-2</v>
      </c>
      <c r="W5952">
        <v>0.15144859999999999</v>
      </c>
      <c r="X5952">
        <v>0.98840050000000002</v>
      </c>
      <c r="Y5952">
        <v>-6.8701709999999999E-2</v>
      </c>
      <c r="Z5952">
        <v>2.7133540000000002E-4</v>
      </c>
      <c r="AA5952">
        <v>0.9976372</v>
      </c>
      <c r="AB5952">
        <v>21</v>
      </c>
      <c r="AC5952">
        <v>27.584099999999999</v>
      </c>
      <c r="AD5952">
        <v>-1.1221201928219999</v>
      </c>
      <c r="AE5952">
        <v>3.7551999999999999</v>
      </c>
      <c r="AF5952">
        <v>-1.9261688389471601</v>
      </c>
      <c r="AG5952">
        <v>-1.1221201928219999</v>
      </c>
      <c r="AH5952">
        <v>27.726553881661498</v>
      </c>
      <c r="AI5952">
        <v>92.311984166914499</v>
      </c>
      <c r="AJ5952">
        <v>93.9739637084744</v>
      </c>
      <c r="AK5952">
        <v>27.816021826924601</v>
      </c>
      <c r="AL5952">
        <v>81.289115377334099</v>
      </c>
      <c r="AM5952">
        <v>89.3449162153521</v>
      </c>
      <c r="AN5952">
        <v>0.99999997243387295</v>
      </c>
    </row>
    <row r="5953" spans="1:40" x14ac:dyDescent="0.25">
      <c r="A5953" t="str">
        <f>"20190303162721663"</f>
        <v>20190303162721663</v>
      </c>
      <c r="B5953" t="str">
        <f>"1551601641649919"</f>
        <v>1551601641649919</v>
      </c>
      <c r="C5953" t="s">
        <v>40</v>
      </c>
      <c r="D5953">
        <v>5.3805690000000004</v>
      </c>
      <c r="E5953">
        <v>0.48281429999999997</v>
      </c>
      <c r="F5953" t="s">
        <v>41</v>
      </c>
      <c r="G5953">
        <v>-124.8172</v>
      </c>
      <c r="H5953" s="1">
        <v>-2.4858200000000001E-6</v>
      </c>
      <c r="I5953">
        <v>140.66899999999899</v>
      </c>
      <c r="J5953">
        <v>-146.0744</v>
      </c>
      <c r="K5953">
        <v>1.1220399999999999</v>
      </c>
      <c r="L5953">
        <v>138.36080000000001</v>
      </c>
      <c r="M5953">
        <v>0.99763210000000002</v>
      </c>
      <c r="N5953">
        <v>-1.530222E-2</v>
      </c>
      <c r="O5953">
        <v>6.7052710000000001E-2</v>
      </c>
      <c r="P5953">
        <v>0.98900999999999994</v>
      </c>
      <c r="Q5953">
        <v>0.13698099999999999</v>
      </c>
      <c r="R5953">
        <v>5.563908E-2</v>
      </c>
      <c r="S5953">
        <v>3.036743</v>
      </c>
      <c r="T5953">
        <v>-0.15860099999999999</v>
      </c>
      <c r="U5953">
        <v>0.32858280000000001</v>
      </c>
      <c r="V5953">
        <v>1.061439E-2</v>
      </c>
      <c r="W5953">
        <v>0.152136299999999</v>
      </c>
      <c r="X5953">
        <v>0.98830249999999997</v>
      </c>
      <c r="Y5953">
        <v>-4.0634940000000001E-2</v>
      </c>
      <c r="Z5953">
        <v>-1.0907499999999999E-3</v>
      </c>
      <c r="AA5953">
        <v>0.99917350000000005</v>
      </c>
      <c r="AB5953">
        <v>21</v>
      </c>
      <c r="AC5953">
        <v>21.257200000000001</v>
      </c>
      <c r="AD5953">
        <v>-1.12204248582</v>
      </c>
      <c r="AE5953">
        <v>2.3081999999999701</v>
      </c>
      <c r="AF5953">
        <v>-0.875074585021277</v>
      </c>
      <c r="AG5953">
        <v>-1.12204248582</v>
      </c>
      <c r="AH5953">
        <v>21.305468484664701</v>
      </c>
      <c r="AI5953">
        <v>93.012135304992299</v>
      </c>
      <c r="AJ5953">
        <v>92.351974337861407</v>
      </c>
      <c r="AK5953">
        <v>21.3529324033112</v>
      </c>
      <c r="AL5953">
        <v>81.249251161609706</v>
      </c>
      <c r="AM5953">
        <v>89.384665760356697</v>
      </c>
      <c r="AN5953">
        <v>0.99999997527950502</v>
      </c>
    </row>
    <row r="5954" spans="1:40" x14ac:dyDescent="0.25">
      <c r="A5954" t="str">
        <f>"20190303162721690"</f>
        <v>20190303162721690</v>
      </c>
      <c r="B5954" t="str">
        <f>"1551601641680177"</f>
        <v>1551601641680177</v>
      </c>
      <c r="C5954" t="s">
        <v>40</v>
      </c>
      <c r="D5954">
        <v>5.5136529999999997</v>
      </c>
      <c r="E5954">
        <v>0.4851975</v>
      </c>
      <c r="F5954" t="s">
        <v>41</v>
      </c>
      <c r="G5954">
        <v>-126.08410000000001</v>
      </c>
      <c r="H5954" s="1">
        <v>-1.8846970000000001E-6</v>
      </c>
      <c r="I5954">
        <v>140.45249999999999</v>
      </c>
      <c r="J5954">
        <v>-145.82589999999999</v>
      </c>
      <c r="K5954">
        <v>1.1219170000000001</v>
      </c>
      <c r="L5954">
        <v>138.37899999999999</v>
      </c>
      <c r="M5954">
        <v>0.99756239999999996</v>
      </c>
      <c r="N5954">
        <v>-1.532902E-2</v>
      </c>
      <c r="O5954">
        <v>6.8076070000000002E-2</v>
      </c>
      <c r="P5954">
        <v>0.98887069999999999</v>
      </c>
      <c r="Q5954">
        <v>0.13742869999999999</v>
      </c>
      <c r="R5954">
        <v>5.6994080000000003E-2</v>
      </c>
      <c r="S5954">
        <v>3.0390630000000001</v>
      </c>
      <c r="T5954">
        <v>-0.17058039999999999</v>
      </c>
      <c r="U5954">
        <v>0.31799319999999998</v>
      </c>
      <c r="V5954">
        <v>1.031784E-2</v>
      </c>
      <c r="W5954">
        <v>0.1526052</v>
      </c>
      <c r="X5954">
        <v>0.98823340000000004</v>
      </c>
      <c r="Y5954">
        <v>-3.6095389999999998E-2</v>
      </c>
      <c r="Z5954">
        <v>-1.4732390000000001E-3</v>
      </c>
      <c r="AA5954">
        <v>0.99934730000000005</v>
      </c>
      <c r="AB5954">
        <v>21</v>
      </c>
      <c r="AC5954">
        <v>19.741799999999898</v>
      </c>
      <c r="AD5954">
        <v>-1.1219188846969901</v>
      </c>
      <c r="AE5954">
        <v>2.0734999999999899</v>
      </c>
      <c r="AF5954">
        <v>-0.72227936287624595</v>
      </c>
      <c r="AG5954">
        <v>-1.1219188846969901</v>
      </c>
      <c r="AH5954">
        <v>19.773997803673499</v>
      </c>
      <c r="AI5954">
        <v>93.245154216113605</v>
      </c>
      <c r="AJ5954">
        <v>92.091897125824602</v>
      </c>
      <c r="AK5954">
        <v>19.818965124384299</v>
      </c>
      <c r="AL5954">
        <v>81.222068234338096</v>
      </c>
      <c r="AM5954">
        <v>89.401814180351195</v>
      </c>
      <c r="AN5954">
        <v>1.00000002888243</v>
      </c>
    </row>
    <row r="5955" spans="1:40" x14ac:dyDescent="0.25">
      <c r="A5955" t="str">
        <f>"20190303162721772"</f>
        <v>20190303162721772</v>
      </c>
      <c r="B5955" t="str">
        <f>"1551601641760714"</f>
        <v>1551601641760714</v>
      </c>
      <c r="C5955" t="s">
        <v>40</v>
      </c>
      <c r="D5955">
        <v>5.795744</v>
      </c>
      <c r="E5955">
        <v>0.4887164</v>
      </c>
      <c r="F5955" t="s">
        <v>41</v>
      </c>
      <c r="G5955">
        <v>-127.953</v>
      </c>
      <c r="H5955" s="1">
        <v>-1.002771E-6</v>
      </c>
      <c r="I5955">
        <v>140.15119999999999</v>
      </c>
      <c r="J5955">
        <v>-145.09209999999999</v>
      </c>
      <c r="K5955">
        <v>1.121548</v>
      </c>
      <c r="L5955">
        <v>138.43180000000001</v>
      </c>
      <c r="M5955">
        <v>0.99745609999999996</v>
      </c>
      <c r="N5955">
        <v>-1.5608459999999999E-2</v>
      </c>
      <c r="O5955">
        <v>6.9554229999999995E-2</v>
      </c>
      <c r="P5955">
        <v>0.98885940000000006</v>
      </c>
      <c r="Q5955">
        <v>0.13652220000000001</v>
      </c>
      <c r="R5955">
        <v>5.9323300000000002E-2</v>
      </c>
      <c r="S5955">
        <v>3.042923</v>
      </c>
      <c r="T5955">
        <v>-0.19101080000000001</v>
      </c>
      <c r="U5955">
        <v>0.30172729999999998</v>
      </c>
      <c r="V5955">
        <v>9.6260900000000003E-3</v>
      </c>
      <c r="W5955">
        <v>0.15196609999999999</v>
      </c>
      <c r="X5955">
        <v>0.98833879999999996</v>
      </c>
      <c r="Y5955">
        <v>-2.9215919999999999E-2</v>
      </c>
      <c r="Z5955">
        <v>-2.118226E-3</v>
      </c>
      <c r="AA5955">
        <v>0.99957090000000004</v>
      </c>
      <c r="AB5955">
        <v>20</v>
      </c>
      <c r="AC5955">
        <v>17.139099999999999</v>
      </c>
      <c r="AD5955">
        <v>-1.121549002771</v>
      </c>
      <c r="AE5955">
        <v>1.7193999999999701</v>
      </c>
      <c r="AF5955">
        <v>-0.52078495111923495</v>
      </c>
      <c r="AG5955">
        <v>-1.121549002771</v>
      </c>
      <c r="AH5955">
        <v>17.144504427102</v>
      </c>
      <c r="AI5955">
        <v>93.741087624101993</v>
      </c>
      <c r="AJ5955">
        <v>91.739893234416698</v>
      </c>
      <c r="AK5955">
        <v>17.189040728960101</v>
      </c>
      <c r="AL5955">
        <v>81.259117581439995</v>
      </c>
      <c r="AM5955">
        <v>89.441975877615704</v>
      </c>
      <c r="AN5955">
        <v>0.99999997037166799</v>
      </c>
    </row>
    <row r="5956" spans="1:40" x14ac:dyDescent="0.25">
      <c r="A5956" t="str">
        <f>"20190303162721796"</f>
        <v>20190303162721796</v>
      </c>
      <c r="B5956" t="str">
        <f>"1551601641790970"</f>
        <v>1551601641790970</v>
      </c>
      <c r="C5956" t="s">
        <v>40</v>
      </c>
      <c r="D5956">
        <v>5.7947360000000003</v>
      </c>
      <c r="E5956">
        <v>0.4895254</v>
      </c>
      <c r="F5956" t="s">
        <v>41</v>
      </c>
      <c r="G5956">
        <v>-130.30959999999999</v>
      </c>
      <c r="H5956" s="1">
        <v>-4.1877919999999997E-6</v>
      </c>
      <c r="I5956">
        <v>139.7979</v>
      </c>
      <c r="J5956">
        <v>-144.87479999999999</v>
      </c>
      <c r="K5956">
        <v>1.1214839999999999</v>
      </c>
      <c r="L5956">
        <v>138.447</v>
      </c>
      <c r="M5956">
        <v>0.99745649999999997</v>
      </c>
      <c r="N5956">
        <v>-1.5786229999999998E-2</v>
      </c>
      <c r="O5956">
        <v>6.9508459999999994E-2</v>
      </c>
      <c r="P5956">
        <v>0.98884300000000003</v>
      </c>
      <c r="Q5956">
        <v>0.1365594</v>
      </c>
      <c r="R5956">
        <v>5.95071E-2</v>
      </c>
      <c r="S5956">
        <v>3.0488279999999999</v>
      </c>
      <c r="T5956">
        <v>-0.23131499999999999</v>
      </c>
      <c r="U5956">
        <v>0.28176879999999999</v>
      </c>
      <c r="V5956">
        <v>9.438475E-3</v>
      </c>
      <c r="W5956">
        <v>0.1521759</v>
      </c>
      <c r="X5956">
        <v>0.98830839999999998</v>
      </c>
      <c r="Y5956">
        <v>-2.262755E-2</v>
      </c>
      <c r="Z5956">
        <v>-3.1175629999999998E-3</v>
      </c>
      <c r="AA5956">
        <v>0.99973909999999999</v>
      </c>
      <c r="AB5956">
        <v>20</v>
      </c>
      <c r="AC5956">
        <v>14.565200000000001</v>
      </c>
      <c r="AD5956">
        <v>-1.121488187792</v>
      </c>
      <c r="AE5956">
        <v>1.35089999999999</v>
      </c>
      <c r="AF5956">
        <v>-0.33314285928954002</v>
      </c>
      <c r="AG5956">
        <v>-1.121488187792</v>
      </c>
      <c r="AH5956">
        <v>14.538415762465901</v>
      </c>
      <c r="AI5956">
        <v>94.409887372704901</v>
      </c>
      <c r="AJ5956">
        <v>91.312683604089401</v>
      </c>
      <c r="AK5956">
        <v>14.5854123288431</v>
      </c>
      <c r="AL5956">
        <v>81.246956102887097</v>
      </c>
      <c r="AM5956">
        <v>89.452834416181005</v>
      </c>
      <c r="AN5956">
        <v>1.0000000414308401</v>
      </c>
    </row>
    <row r="5957" spans="1:40" x14ac:dyDescent="0.25">
      <c r="A5957" t="str">
        <f>"20190303162721831"</f>
        <v>20190303162721831</v>
      </c>
      <c r="B5957" t="str">
        <f>"1551601641820250"</f>
        <v>1551601641820250</v>
      </c>
      <c r="C5957" t="s">
        <v>40</v>
      </c>
      <c r="D5957">
        <v>5.8536780000000004</v>
      </c>
      <c r="E5957">
        <v>0.49037920000000002</v>
      </c>
      <c r="F5957" t="s">
        <v>41</v>
      </c>
      <c r="G5957">
        <v>-130.74690000000001</v>
      </c>
      <c r="H5957" s="1">
        <v>-3.9802919999999996E-6</v>
      </c>
      <c r="I5957">
        <v>139.72309999999999</v>
      </c>
      <c r="J5957">
        <v>-144.5675</v>
      </c>
      <c r="K5957">
        <v>1.1214120000000001</v>
      </c>
      <c r="L5957">
        <v>138.4682</v>
      </c>
      <c r="M5957">
        <v>0.99747889999999995</v>
      </c>
      <c r="N5957">
        <v>-1.6115830000000001E-2</v>
      </c>
      <c r="O5957">
        <v>6.911022E-2</v>
      </c>
      <c r="P5957">
        <v>0.98886989999999997</v>
      </c>
      <c r="Q5957">
        <v>0.1367727</v>
      </c>
      <c r="R5957">
        <v>5.8564440000000002E-2</v>
      </c>
      <c r="S5957">
        <v>3.0507049999999998</v>
      </c>
      <c r="T5957">
        <v>-0.24216689999999999</v>
      </c>
      <c r="U5957">
        <v>0.27554319999999999</v>
      </c>
      <c r="V5957">
        <v>1.003652E-2</v>
      </c>
      <c r="W5957">
        <v>0.15271119999999999</v>
      </c>
      <c r="X5957">
        <v>0.98821990000000004</v>
      </c>
      <c r="Y5957">
        <v>-2.0958569999999999E-2</v>
      </c>
      <c r="Z5957">
        <v>-3.3486520000000001E-3</v>
      </c>
      <c r="AA5957">
        <v>0.99977479999999996</v>
      </c>
      <c r="AB5957">
        <v>20</v>
      </c>
      <c r="AC5957">
        <v>13.820599999999899</v>
      </c>
      <c r="AD5957">
        <v>-1.1214159802920001</v>
      </c>
      <c r="AE5957">
        <v>1.2548999999999899</v>
      </c>
      <c r="AF5957">
        <v>-0.29470564266579502</v>
      </c>
      <c r="AG5957">
        <v>-1.1214159802920001</v>
      </c>
      <c r="AH5957">
        <v>13.7842730131085</v>
      </c>
      <c r="AI5957">
        <v>94.649982349821897</v>
      </c>
      <c r="AJ5957">
        <v>91.224788384152703</v>
      </c>
      <c r="AK5957">
        <v>13.832953687357699</v>
      </c>
      <c r="AL5957">
        <v>81.215922654405205</v>
      </c>
      <c r="AM5957">
        <v>89.418114868422805</v>
      </c>
      <c r="AN5957">
        <v>1.00000000654758</v>
      </c>
    </row>
    <row r="5958" spans="1:40" x14ac:dyDescent="0.25">
      <c r="A5958" t="str">
        <f>"20190303162721857"</f>
        <v>20190303162721857</v>
      </c>
      <c r="B5958" t="str">
        <f>"1551601641851012"</f>
        <v>1551601641851012</v>
      </c>
      <c r="C5958" t="s">
        <v>40</v>
      </c>
      <c r="D5958">
        <v>5.4947179999999998</v>
      </c>
      <c r="E5958">
        <v>0.49079729999999999</v>
      </c>
      <c r="F5958" t="s">
        <v>41</v>
      </c>
      <c r="G5958">
        <v>-130.71729999999999</v>
      </c>
      <c r="H5958" s="1">
        <v>-3.9814679999999999E-6</v>
      </c>
      <c r="I5958">
        <v>139.6799</v>
      </c>
      <c r="J5958">
        <v>-144.33600000000001</v>
      </c>
      <c r="K5958">
        <v>1.1213879999999901</v>
      </c>
      <c r="L5958">
        <v>138.4837</v>
      </c>
      <c r="M5958">
        <v>0.99750919999999998</v>
      </c>
      <c r="N5958">
        <v>-1.643526E-2</v>
      </c>
      <c r="O5958">
        <v>6.8595950000000003E-2</v>
      </c>
      <c r="P5958">
        <v>0.98894099999999996</v>
      </c>
      <c r="Q5958">
        <v>0.13624720000000001</v>
      </c>
      <c r="R5958">
        <v>5.858841E-2</v>
      </c>
      <c r="S5958">
        <v>3.0521240000000001</v>
      </c>
      <c r="T5958">
        <v>-0.2471228</v>
      </c>
      <c r="U5958">
        <v>0.26702880000000001</v>
      </c>
      <c r="V5958">
        <v>9.5388690000000002E-3</v>
      </c>
      <c r="W5958">
        <v>0.15250150000000001</v>
      </c>
      <c r="X5958">
        <v>0.98825719999999995</v>
      </c>
      <c r="Y5958">
        <v>-1.867504E-2</v>
      </c>
      <c r="Z5958">
        <v>-3.4942409999999999E-3</v>
      </c>
      <c r="AA5958">
        <v>0.99981949999999997</v>
      </c>
      <c r="AB5958">
        <v>20</v>
      </c>
      <c r="AC5958">
        <v>13.6187</v>
      </c>
      <c r="AD5958">
        <v>-1.12139198146799</v>
      </c>
      <c r="AE5958">
        <v>1.1961999999999999</v>
      </c>
      <c r="AF5958">
        <v>-0.25733637780133001</v>
      </c>
      <c r="AG5958">
        <v>-1.12139198146799</v>
      </c>
      <c r="AH5958">
        <v>13.577325925927299</v>
      </c>
      <c r="AI5958">
        <v>94.7206692690133</v>
      </c>
      <c r="AJ5958">
        <v>91.085819349747098</v>
      </c>
      <c r="AK5958">
        <v>13.625986983932499</v>
      </c>
      <c r="AL5958">
        <v>81.228079879153498</v>
      </c>
      <c r="AM5958">
        <v>89.446986105203095</v>
      </c>
      <c r="AN5958">
        <v>0.99999999543794404</v>
      </c>
    </row>
    <row r="5959" spans="1:40" x14ac:dyDescent="0.25">
      <c r="A5959" t="str">
        <f>"20190303162721883"</f>
        <v>20190303162721883</v>
      </c>
      <c r="B5959" t="str">
        <f>"1551601641870534"</f>
        <v>1551601641870534</v>
      </c>
      <c r="C5959" t="s">
        <v>40</v>
      </c>
      <c r="D5959">
        <v>5.4446629999999896</v>
      </c>
      <c r="E5959">
        <v>0.49091279999999998</v>
      </c>
      <c r="F5959" t="s">
        <v>41</v>
      </c>
      <c r="G5959">
        <v>-130.7388</v>
      </c>
      <c r="H5959" s="1">
        <v>-3.9672080000000001E-6</v>
      </c>
      <c r="I5959">
        <v>139.661</v>
      </c>
      <c r="J5959">
        <v>-144.1148</v>
      </c>
      <c r="K5959">
        <v>1.121378</v>
      </c>
      <c r="L5959">
        <v>138.4983</v>
      </c>
      <c r="M5959">
        <v>0.99754569999999998</v>
      </c>
      <c r="N5959">
        <v>-1.6785850000000001E-2</v>
      </c>
      <c r="O5959">
        <v>6.7977049999999997E-2</v>
      </c>
      <c r="P5959">
        <v>0.98907860000000003</v>
      </c>
      <c r="Q5959">
        <v>0.13511199999999901</v>
      </c>
      <c r="R5959">
        <v>5.8893649999999999E-2</v>
      </c>
      <c r="S5959">
        <v>3.052597</v>
      </c>
      <c r="T5959">
        <v>-0.25175540000000002</v>
      </c>
      <c r="U5959">
        <v>0.26429750000000002</v>
      </c>
      <c r="V5959">
        <v>8.6524810000000001E-3</v>
      </c>
      <c r="W5959">
        <v>0.15171490000000001</v>
      </c>
      <c r="X5959">
        <v>0.98838649999999995</v>
      </c>
      <c r="Y5959">
        <v>-1.8395769999999999E-2</v>
      </c>
      <c r="Z5959">
        <v>-3.5291509999999999E-3</v>
      </c>
      <c r="AA5959">
        <v>0.99982459999999995</v>
      </c>
      <c r="AB5959">
        <v>20</v>
      </c>
      <c r="AC5959">
        <v>13.375999999999999</v>
      </c>
      <c r="AD5959">
        <v>-1.1213819672079901</v>
      </c>
      <c r="AE5959">
        <v>1.1627000000000001</v>
      </c>
      <c r="AF5959">
        <v>-0.24888453201338201</v>
      </c>
      <c r="AG5959">
        <v>-1.1213819672079901</v>
      </c>
      <c r="AH5959">
        <v>13.3311057958972</v>
      </c>
      <c r="AI5959">
        <v>94.807435973955293</v>
      </c>
      <c r="AJ5959">
        <v>91.069556949224307</v>
      </c>
      <c r="AK5959">
        <v>13.3805015888067</v>
      </c>
      <c r="AL5959">
        <v>81.273680041456004</v>
      </c>
      <c r="AM5959">
        <v>89.498437119250795</v>
      </c>
      <c r="AN5959">
        <v>1.00000007484585</v>
      </c>
    </row>
    <row r="5960" spans="1:40" x14ac:dyDescent="0.25">
      <c r="A5960" t="str">
        <f>"20190303162721907"</f>
        <v>20190303162721907</v>
      </c>
      <c r="B5960" t="str">
        <f>"1551601641900788"</f>
        <v>1551601641900788</v>
      </c>
      <c r="C5960" t="s">
        <v>40</v>
      </c>
      <c r="D5960">
        <v>5.6721940000000002</v>
      </c>
      <c r="E5960">
        <v>0.49133389999999999</v>
      </c>
      <c r="F5960" t="s">
        <v>41</v>
      </c>
      <c r="G5960">
        <v>-130.78720000000001</v>
      </c>
      <c r="H5960" s="1">
        <v>-3.9446759999999999E-6</v>
      </c>
      <c r="I5960">
        <v>139.6542</v>
      </c>
      <c r="J5960">
        <v>-143.9076</v>
      </c>
      <c r="K5960">
        <v>1.121389</v>
      </c>
      <c r="L5960">
        <v>138.51159999999999</v>
      </c>
      <c r="M5960">
        <v>0.99758610000000003</v>
      </c>
      <c r="N5960">
        <v>-1.715823E-2</v>
      </c>
      <c r="O5960">
        <v>6.7288920000000002E-2</v>
      </c>
      <c r="P5960">
        <v>0.98921610000000004</v>
      </c>
      <c r="Q5960">
        <v>0.13387569999999999</v>
      </c>
      <c r="R5960">
        <v>5.9407599999999998E-2</v>
      </c>
      <c r="S5960">
        <v>3.0524749999999998</v>
      </c>
      <c r="T5960">
        <v>-0.25683470000000003</v>
      </c>
      <c r="U5960">
        <v>0.26475520000000002</v>
      </c>
      <c r="V5960">
        <v>7.4803659999999996E-3</v>
      </c>
      <c r="W5960">
        <v>0.1508505</v>
      </c>
      <c r="X5960">
        <v>0.98852830000000003</v>
      </c>
      <c r="Y5960">
        <v>-1.9234910000000001E-2</v>
      </c>
      <c r="Z5960">
        <v>-3.5095249999999999E-3</v>
      </c>
      <c r="AA5960">
        <v>0.99980880000000005</v>
      </c>
      <c r="AB5960">
        <v>19</v>
      </c>
      <c r="AC5960">
        <v>13.120399999999901</v>
      </c>
      <c r="AD5960">
        <v>-1.121392944676</v>
      </c>
      <c r="AE5960">
        <v>1.1426000000000101</v>
      </c>
      <c r="AF5960">
        <v>-0.255172131794837</v>
      </c>
      <c r="AG5960">
        <v>-1.121392944676</v>
      </c>
      <c r="AH5960">
        <v>13.0727718199773</v>
      </c>
      <c r="AI5960">
        <v>94.901946952227306</v>
      </c>
      <c r="AJ5960">
        <v>91.118234910257499</v>
      </c>
      <c r="AK5960">
        <v>13.123261713857801</v>
      </c>
      <c r="AL5960">
        <v>81.323782644146704</v>
      </c>
      <c r="AM5960">
        <v>89.5664411220489</v>
      </c>
      <c r="AN5960">
        <v>1.0000000145633099</v>
      </c>
    </row>
    <row r="5961" spans="1:40" x14ac:dyDescent="0.25">
      <c r="A5961" t="str">
        <f>"20190303162721928"</f>
        <v>20190303162721928</v>
      </c>
      <c r="B5961" t="str">
        <f>"1551601641920307"</f>
        <v>1551601641920307</v>
      </c>
      <c r="C5961" t="s">
        <v>40</v>
      </c>
      <c r="D5961">
        <v>5.6709050000000003</v>
      </c>
      <c r="E5961">
        <v>0.49157630000000002</v>
      </c>
      <c r="F5961" t="s">
        <v>41</v>
      </c>
      <c r="G5961">
        <v>-130.9358</v>
      </c>
      <c r="H5961" s="1">
        <v>-3.874366E-6</v>
      </c>
      <c r="I5961">
        <v>139.62960000000001</v>
      </c>
      <c r="J5961">
        <v>-143.72630000000001</v>
      </c>
      <c r="K5961">
        <v>1.1214170000000001</v>
      </c>
      <c r="L5961">
        <v>138.5231</v>
      </c>
      <c r="M5961">
        <v>0.99762410000000001</v>
      </c>
      <c r="N5961">
        <v>-1.7499440000000002E-2</v>
      </c>
      <c r="O5961">
        <v>6.6634079999999998E-2</v>
      </c>
      <c r="P5961">
        <v>0.9893364</v>
      </c>
      <c r="Q5961">
        <v>0.13295460000000001</v>
      </c>
      <c r="R5961">
        <v>5.9470990000000001E-2</v>
      </c>
      <c r="S5961">
        <v>3.0526119999999999</v>
      </c>
      <c r="T5961">
        <v>-0.26389359999999901</v>
      </c>
      <c r="U5961">
        <v>0.26310729999999999</v>
      </c>
      <c r="V5961">
        <v>6.7819880000000001E-3</v>
      </c>
      <c r="W5961">
        <v>0.15026970000000001</v>
      </c>
      <c r="X5961">
        <v>0.9886218</v>
      </c>
      <c r="Y5961">
        <v>-1.935359E-2</v>
      </c>
      <c r="Z5961">
        <v>-3.5645630000000002E-3</v>
      </c>
      <c r="AA5961">
        <v>0.99980630000000004</v>
      </c>
      <c r="AB5961">
        <v>19</v>
      </c>
      <c r="AC5961">
        <v>12.7905</v>
      </c>
      <c r="AD5961">
        <v>-1.1214208743659999</v>
      </c>
      <c r="AE5961">
        <v>1.10650000000001</v>
      </c>
      <c r="AF5961">
        <v>-0.24972100563189301</v>
      </c>
      <c r="AG5961">
        <v>-1.1214208743659999</v>
      </c>
      <c r="AH5961">
        <v>12.7386105352754</v>
      </c>
      <c r="AI5961">
        <v>95.030000731719895</v>
      </c>
      <c r="AJ5961">
        <v>91.123052410628901</v>
      </c>
      <c r="AK5961">
        <v>12.7903144499088</v>
      </c>
      <c r="AL5961">
        <v>81.357443794552395</v>
      </c>
      <c r="AM5961">
        <v>89.606954657744495</v>
      </c>
      <c r="AN5961">
        <v>1.0000000207672799</v>
      </c>
    </row>
    <row r="5962" spans="1:40" x14ac:dyDescent="0.25">
      <c r="A5962" t="str">
        <f>"20190303162721965"</f>
        <v>20190303162721965</v>
      </c>
      <c r="B5962" t="str">
        <f>"1551601641950564"</f>
        <v>1551601641950564</v>
      </c>
      <c r="C5962" t="s">
        <v>40</v>
      </c>
      <c r="D5962">
        <v>5.6183420000000002</v>
      </c>
      <c r="E5962">
        <v>0.49181380000000002</v>
      </c>
      <c r="F5962" t="s">
        <v>41</v>
      </c>
      <c r="G5962">
        <v>-130.92060000000001</v>
      </c>
      <c r="H5962" s="1">
        <v>-3.8784279999999999E-6</v>
      </c>
      <c r="I5962">
        <v>139.62029999999999</v>
      </c>
      <c r="J5962">
        <v>-143.41380000000001</v>
      </c>
      <c r="K5962">
        <v>1.12148</v>
      </c>
      <c r="L5962">
        <v>138.54239999999999</v>
      </c>
      <c r="M5962">
        <v>0.99769330000000001</v>
      </c>
      <c r="N5962">
        <v>-1.8069450000000001E-2</v>
      </c>
      <c r="O5962">
        <v>6.5434220000000001E-2</v>
      </c>
      <c r="P5962">
        <v>0.98954279999999994</v>
      </c>
      <c r="Q5962">
        <v>0.13236829999999999</v>
      </c>
      <c r="R5962">
        <v>5.7303340000000001E-2</v>
      </c>
      <c r="S5962">
        <v>3.0525359999999999</v>
      </c>
      <c r="T5962">
        <v>-0.26731529999999998</v>
      </c>
      <c r="U5962">
        <v>0.26155089999999998</v>
      </c>
      <c r="V5962">
        <v>7.7673940000000004E-3</v>
      </c>
      <c r="W5962">
        <v>0.15024709999999999</v>
      </c>
      <c r="X5962">
        <v>0.988618</v>
      </c>
      <c r="Y5962">
        <v>-2.0045400000000001E-2</v>
      </c>
      <c r="Z5962">
        <v>-3.4655060000000001E-3</v>
      </c>
      <c r="AA5962">
        <v>0.99979309999999999</v>
      </c>
      <c r="AB5962">
        <v>19</v>
      </c>
      <c r="AC5962">
        <v>12.4932</v>
      </c>
      <c r="AD5962">
        <v>-1.1214838784279999</v>
      </c>
      <c r="AE5962">
        <v>1.0778999999999901</v>
      </c>
      <c r="AF5962">
        <v>-0.25592585450090399</v>
      </c>
      <c r="AG5962">
        <v>-1.1214838784279999</v>
      </c>
      <c r="AH5962">
        <v>12.437476679381501</v>
      </c>
      <c r="AI5962">
        <v>95.151326339311694</v>
      </c>
      <c r="AJ5962">
        <v>91.178808424620499</v>
      </c>
      <c r="AK5962">
        <v>12.4905584455914</v>
      </c>
      <c r="AL5962">
        <v>81.358753687798597</v>
      </c>
      <c r="AM5962">
        <v>89.549846617203997</v>
      </c>
      <c r="AN5962">
        <v>1.00000003669597</v>
      </c>
    </row>
    <row r="5963" spans="1:40" x14ac:dyDescent="0.25">
      <c r="A5963" t="str">
        <f>"20190303162722009"</f>
        <v>20190303162722009</v>
      </c>
      <c r="B5963" t="str">
        <f>"1551601642000340"</f>
        <v>1551601642000340</v>
      </c>
      <c r="C5963" t="s">
        <v>40</v>
      </c>
      <c r="D5963">
        <v>5.4884510000000004</v>
      </c>
      <c r="E5963">
        <v>0.49216530000000003</v>
      </c>
      <c r="F5963" t="s">
        <v>41</v>
      </c>
      <c r="G5963">
        <v>-130.71010000000001</v>
      </c>
      <c r="H5963" s="1">
        <v>-3.9703099999999998E-6</v>
      </c>
      <c r="I5963">
        <v>139.60130000000001</v>
      </c>
      <c r="J5963">
        <v>-143.0454</v>
      </c>
      <c r="K5963">
        <v>1.1215999999999999</v>
      </c>
      <c r="L5963">
        <v>138.56469999999999</v>
      </c>
      <c r="M5963">
        <v>0.9977741</v>
      </c>
      <c r="N5963">
        <v>-1.8731310000000001E-2</v>
      </c>
      <c r="O5963">
        <v>6.3999909999999993E-2</v>
      </c>
      <c r="P5963">
        <v>0.98955110000000002</v>
      </c>
      <c r="Q5963">
        <v>0.13313900000000001</v>
      </c>
      <c r="R5963">
        <v>5.5343620000000003E-2</v>
      </c>
      <c r="S5963">
        <v>3.0530240000000002</v>
      </c>
      <c r="T5963">
        <v>-0.26951989999999998</v>
      </c>
      <c r="U5963">
        <v>0.2544708</v>
      </c>
      <c r="V5963">
        <v>8.2837620000000001E-3</v>
      </c>
      <c r="W5963">
        <v>0.15167020000000001</v>
      </c>
      <c r="X5963">
        <v>0.98839650000000001</v>
      </c>
      <c r="Y5963">
        <v>-1.9165160000000001E-2</v>
      </c>
      <c r="Z5963">
        <v>-3.4030729999999999E-3</v>
      </c>
      <c r="AA5963">
        <v>0.99981050000000005</v>
      </c>
      <c r="AB5963">
        <v>19</v>
      </c>
      <c r="AC5963">
        <v>12.335299999999901</v>
      </c>
      <c r="AD5963">
        <v>-1.12160397031</v>
      </c>
      <c r="AE5963">
        <v>1.0366000000000199</v>
      </c>
      <c r="AF5963">
        <v>-0.24288352117787901</v>
      </c>
      <c r="AG5963">
        <v>-1.12160397031</v>
      </c>
      <c r="AH5963">
        <v>12.275578586660099</v>
      </c>
      <c r="AI5963">
        <v>95.219531151466896</v>
      </c>
      <c r="AJ5963">
        <v>91.133501368002797</v>
      </c>
      <c r="AK5963">
        <v>12.329104489310801</v>
      </c>
      <c r="AL5963">
        <v>81.276270979676994</v>
      </c>
      <c r="AM5963">
        <v>89.519814680847006</v>
      </c>
      <c r="AN5963">
        <v>1.00000005574657</v>
      </c>
    </row>
    <row r="5964" spans="1:40" x14ac:dyDescent="0.25">
      <c r="A5964" t="str">
        <f>"20190303162722033"</f>
        <v>20190303162722033</v>
      </c>
      <c r="B5964" t="str">
        <f>"1551601642020835"</f>
        <v>1551601642020835</v>
      </c>
      <c r="C5964" t="s">
        <v>40</v>
      </c>
      <c r="D5964">
        <v>5.4797770000000003</v>
      </c>
      <c r="E5964">
        <v>0.49222060000000001</v>
      </c>
      <c r="F5964" t="s">
        <v>41</v>
      </c>
      <c r="G5964">
        <v>-130.20079999999999</v>
      </c>
      <c r="H5964" s="1">
        <v>-4.19004E-6</v>
      </c>
      <c r="I5964">
        <v>139.5942</v>
      </c>
      <c r="J5964">
        <v>-142.84350000000001</v>
      </c>
      <c r="K5964">
        <v>1.121675</v>
      </c>
      <c r="L5964">
        <v>138.57660000000001</v>
      </c>
      <c r="M5964">
        <v>0.99781609999999998</v>
      </c>
      <c r="N5964">
        <v>-1.9079720000000001E-2</v>
      </c>
      <c r="O5964">
        <v>6.3237000000000002E-2</v>
      </c>
      <c r="P5964">
        <v>0.98960599999999999</v>
      </c>
      <c r="Q5964">
        <v>0.13304469999999999</v>
      </c>
      <c r="R5964">
        <v>5.4580839999999999E-2</v>
      </c>
      <c r="S5964">
        <v>3.0538639999999999</v>
      </c>
      <c r="T5964">
        <v>-0.26666689999999998</v>
      </c>
      <c r="U5964">
        <v>0.24478150000000001</v>
      </c>
      <c r="V5964">
        <v>8.2784799999999995E-3</v>
      </c>
      <c r="W5964">
        <v>0.15192139999999901</v>
      </c>
      <c r="X5964">
        <v>0.98835790000000001</v>
      </c>
      <c r="Y5964">
        <v>-1.6760379999999998E-2</v>
      </c>
      <c r="Z5964">
        <v>-3.4023790000000001E-3</v>
      </c>
      <c r="AA5964">
        <v>0.99985369999999996</v>
      </c>
      <c r="AB5964">
        <v>19</v>
      </c>
      <c r="AC5964">
        <v>12.6427</v>
      </c>
      <c r="AD5964">
        <v>-1.1216791900399901</v>
      </c>
      <c r="AE5964">
        <v>1.0175999999999801</v>
      </c>
      <c r="AF5964">
        <v>-0.21425490613682299</v>
      </c>
      <c r="AG5964">
        <v>-1.1216791900399901</v>
      </c>
      <c r="AH5964">
        <v>12.583336374636101</v>
      </c>
      <c r="AI5964">
        <v>95.093150655209897</v>
      </c>
      <c r="AJ5964">
        <v>90.975473863355901</v>
      </c>
      <c r="AK5964">
        <v>12.6350474351073</v>
      </c>
      <c r="AL5964">
        <v>81.261708977282794</v>
      </c>
      <c r="AM5964">
        <v>89.520102107879097</v>
      </c>
      <c r="AN5964">
        <v>0.99999999175073995</v>
      </c>
    </row>
    <row r="5965" spans="1:40" x14ac:dyDescent="0.25">
      <c r="A5965" t="str">
        <f>"20190303162722060"</f>
        <v>20190303162722060</v>
      </c>
      <c r="B5965" t="str">
        <f>"1551601642051092"</f>
        <v>1551601642051092</v>
      </c>
      <c r="C5965" t="s">
        <v>40</v>
      </c>
      <c r="D5965">
        <v>5.4261080000000002</v>
      </c>
      <c r="E5965">
        <v>0.49227769999999998</v>
      </c>
      <c r="F5965" t="s">
        <v>41</v>
      </c>
      <c r="G5965">
        <v>-130.00829999999999</v>
      </c>
      <c r="H5965" s="1">
        <v>-4.2732689999999996E-6</v>
      </c>
      <c r="I5965">
        <v>139.59049999999999</v>
      </c>
      <c r="J5965">
        <v>-142.6301</v>
      </c>
      <c r="K5965">
        <v>1.121742</v>
      </c>
      <c r="L5965">
        <v>138.5891</v>
      </c>
      <c r="M5965">
        <v>0.99785860000000004</v>
      </c>
      <c r="N5965">
        <v>-1.943423E-2</v>
      </c>
      <c r="O5965">
        <v>6.2455259999999999E-2</v>
      </c>
      <c r="P5965">
        <v>0.98958279999999998</v>
      </c>
      <c r="Q5965">
        <v>0.1333742</v>
      </c>
      <c r="R5965">
        <v>5.4197259999999997E-2</v>
      </c>
      <c r="S5965">
        <v>3.0540769999999999</v>
      </c>
      <c r="T5965">
        <v>-0.26689819999999997</v>
      </c>
      <c r="U5965">
        <v>0.24125669999999999</v>
      </c>
      <c r="V5965">
        <v>7.8708649999999995E-3</v>
      </c>
      <c r="W5965">
        <v>0.1526014</v>
      </c>
      <c r="X5965">
        <v>0.98825649999999998</v>
      </c>
      <c r="Y5965">
        <v>-1.6389379999999999E-2</v>
      </c>
      <c r="Z5965">
        <v>-3.3480910000000001E-3</v>
      </c>
      <c r="AA5965">
        <v>0.99986010000000003</v>
      </c>
      <c r="AB5965">
        <v>18</v>
      </c>
      <c r="AC5965">
        <v>12.6218</v>
      </c>
      <c r="AD5965">
        <v>-1.121746273269</v>
      </c>
      <c r="AE5965">
        <v>1.0013999999999801</v>
      </c>
      <c r="AF5965">
        <v>-0.209354386966392</v>
      </c>
      <c r="AG5965">
        <v>-1.121746273269</v>
      </c>
      <c r="AH5965">
        <v>12.5611106787834</v>
      </c>
      <c r="AI5965">
        <v>95.102449280374699</v>
      </c>
      <c r="AJ5965">
        <v>90.954852847094998</v>
      </c>
      <c r="AK5965">
        <v>12.6128365344827</v>
      </c>
      <c r="AL5965">
        <v>81.222288493593396</v>
      </c>
      <c r="AM5965">
        <v>89.543683435637504</v>
      </c>
      <c r="AN5965">
        <v>1.00000002379502</v>
      </c>
    </row>
    <row r="5966" spans="1:40" x14ac:dyDescent="0.25">
      <c r="A5966" t="str">
        <f>"20190303162722081"</f>
        <v>20190303162722081</v>
      </c>
      <c r="B5966" t="str">
        <f>"1551601642070611"</f>
        <v>1551601642070611</v>
      </c>
      <c r="C5966" t="s">
        <v>40</v>
      </c>
      <c r="D5966">
        <v>5.5434979999999996</v>
      </c>
      <c r="E5966">
        <v>0.4924115</v>
      </c>
      <c r="F5966" t="s">
        <v>41</v>
      </c>
      <c r="G5966">
        <v>-129.7011</v>
      </c>
      <c r="H5966" s="1">
        <v>-1.1232740000000001E-7</v>
      </c>
      <c r="I5966">
        <v>139.6061</v>
      </c>
      <c r="J5966">
        <v>-142.45679999999999</v>
      </c>
      <c r="K5966">
        <v>1.121801</v>
      </c>
      <c r="L5966">
        <v>138.5992</v>
      </c>
      <c r="M5966">
        <v>0.99789159999999999</v>
      </c>
      <c r="N5966">
        <v>-1.9710149999999999E-2</v>
      </c>
      <c r="O5966">
        <v>6.1840260000000001E-2</v>
      </c>
      <c r="P5966">
        <v>0.98964980000000002</v>
      </c>
      <c r="Q5966">
        <v>0.13329949999999999</v>
      </c>
      <c r="R5966">
        <v>5.3149710000000003E-2</v>
      </c>
      <c r="S5966">
        <v>3.054138</v>
      </c>
      <c r="T5966">
        <v>-0.26498349999999998</v>
      </c>
      <c r="U5966">
        <v>0.24023439999999999</v>
      </c>
      <c r="V5966">
        <v>8.3003720000000003E-3</v>
      </c>
      <c r="W5966">
        <v>0.15279980000000001</v>
      </c>
      <c r="X5966">
        <v>0.9882223</v>
      </c>
      <c r="Y5966">
        <v>-1.6665490000000002E-2</v>
      </c>
      <c r="Z5966">
        <v>-3.23924E-3</v>
      </c>
      <c r="AA5966">
        <v>0.99985590000000002</v>
      </c>
      <c r="AB5966">
        <v>18</v>
      </c>
      <c r="AC5966">
        <v>12.7556999999999</v>
      </c>
      <c r="AD5966">
        <v>-1.1218011123273901</v>
      </c>
      <c r="AE5966">
        <v>1.0068999999999999</v>
      </c>
      <c r="AF5966">
        <v>-0.214355539404784</v>
      </c>
      <c r="AG5966">
        <v>-1.1218011123273901</v>
      </c>
      <c r="AH5966">
        <v>12.6959690646779</v>
      </c>
      <c r="AI5966">
        <v>95.048759193523694</v>
      </c>
      <c r="AJ5966">
        <v>90.967275585836106</v>
      </c>
      <c r="AK5966">
        <v>12.7472356424501</v>
      </c>
      <c r="AL5966">
        <v>81.210785858718396</v>
      </c>
      <c r="AM5966">
        <v>89.518767082283404</v>
      </c>
      <c r="AN5966">
        <v>0.99999999463633404</v>
      </c>
    </row>
    <row r="5967" spans="1:40" x14ac:dyDescent="0.25">
      <c r="A5967" t="str">
        <f>"20190303162722120"</f>
        <v>20190303162722120</v>
      </c>
      <c r="B5967" t="str">
        <f>"1551601642110628"</f>
        <v>1551601642110628</v>
      </c>
      <c r="C5967" t="s">
        <v>40</v>
      </c>
      <c r="D5967">
        <v>5.5429149999999998</v>
      </c>
      <c r="E5967">
        <v>0.49270900000000001</v>
      </c>
      <c r="F5967" t="s">
        <v>41</v>
      </c>
      <c r="G5967">
        <v>-129.501</v>
      </c>
      <c r="H5967" s="1">
        <v>-1.9944080000000001E-7</v>
      </c>
      <c r="I5967">
        <v>139.59899999999999</v>
      </c>
      <c r="J5967">
        <v>-142.148</v>
      </c>
      <c r="K5967">
        <v>1.1218669999999999</v>
      </c>
      <c r="L5967">
        <v>138.61680000000001</v>
      </c>
      <c r="M5967">
        <v>0.9979481</v>
      </c>
      <c r="N5967">
        <v>-2.0155659999999999E-2</v>
      </c>
      <c r="O5967">
        <v>6.0773489999999999E-2</v>
      </c>
      <c r="P5967">
        <v>0.98981459999999999</v>
      </c>
      <c r="Q5967">
        <v>0.13196579999999999</v>
      </c>
      <c r="R5967">
        <v>5.3404140000000003E-2</v>
      </c>
      <c r="S5967">
        <v>3.0543369999999999</v>
      </c>
      <c r="T5967">
        <v>-0.26446380000000003</v>
      </c>
      <c r="U5967">
        <v>0.23571780000000001</v>
      </c>
      <c r="V5967">
        <v>6.9826410000000004E-3</v>
      </c>
      <c r="W5967">
        <v>0.1519124</v>
      </c>
      <c r="X5967">
        <v>0.98836930000000001</v>
      </c>
      <c r="Y5967">
        <v>-1.6256070000000001E-2</v>
      </c>
      <c r="Z5967">
        <v>-3.1504189999999998E-3</v>
      </c>
      <c r="AA5967">
        <v>0.9998629</v>
      </c>
      <c r="AB5967">
        <v>18</v>
      </c>
      <c r="AC5967">
        <v>12.646999999999901</v>
      </c>
      <c r="AD5967">
        <v>-1.1218671994408</v>
      </c>
      <c r="AE5967">
        <v>0.98219999999997698</v>
      </c>
      <c r="AF5967">
        <v>-0.20998287371386301</v>
      </c>
      <c r="AG5967">
        <v>-1.1218671994408</v>
      </c>
      <c r="AH5967">
        <v>12.5848833334327</v>
      </c>
      <c r="AI5967">
        <v>95.093406139111707</v>
      </c>
      <c r="AJ5967">
        <v>90.955910024124606</v>
      </c>
      <c r="AK5967">
        <v>12.636533042592999</v>
      </c>
      <c r="AL5967">
        <v>81.262230801423399</v>
      </c>
      <c r="AM5967">
        <v>89.595222956418397</v>
      </c>
      <c r="AN5967">
        <v>1.0000000038657899</v>
      </c>
    </row>
    <row r="5968" spans="1:40" x14ac:dyDescent="0.25">
      <c r="A5968" t="str">
        <f>"20190303162722148"</f>
        <v>20190303162722148</v>
      </c>
      <c r="B5968" t="str">
        <f>"1551601642140884"</f>
        <v>1551601642140884</v>
      </c>
      <c r="C5968" t="s">
        <v>40</v>
      </c>
      <c r="D5968">
        <v>5.4816060000000002</v>
      </c>
      <c r="E5968">
        <v>0.4927165</v>
      </c>
      <c r="F5968" t="s">
        <v>41</v>
      </c>
      <c r="G5968">
        <v>-129.3569</v>
      </c>
      <c r="H5968" s="1">
        <v>-2.6088339999999999E-7</v>
      </c>
      <c r="I5968">
        <v>139.6011</v>
      </c>
      <c r="J5968">
        <v>-141.928</v>
      </c>
      <c r="K5968">
        <v>1.1219129999999999</v>
      </c>
      <c r="L5968">
        <v>138.6292</v>
      </c>
      <c r="M5968">
        <v>0.99798799999999999</v>
      </c>
      <c r="N5968">
        <v>-2.0433119999999999E-2</v>
      </c>
      <c r="O5968">
        <v>6.00206E-2</v>
      </c>
      <c r="P5968">
        <v>0.98999269999999995</v>
      </c>
      <c r="Q5968">
        <v>0.1305383</v>
      </c>
      <c r="R5968">
        <v>5.3613099999999997E-2</v>
      </c>
      <c r="S5968">
        <v>3.053909</v>
      </c>
      <c r="T5968">
        <v>-0.26784849999999999</v>
      </c>
      <c r="U5968">
        <v>0.2350006</v>
      </c>
      <c r="V5968">
        <v>6.0292399999999999E-3</v>
      </c>
      <c r="W5968">
        <v>0.1507647</v>
      </c>
      <c r="X5968">
        <v>0.98855130000000002</v>
      </c>
      <c r="Y5968">
        <v>-1.6784629999999998E-2</v>
      </c>
      <c r="Z5968">
        <v>-3.111104E-3</v>
      </c>
      <c r="AA5968">
        <v>0.99985429999999997</v>
      </c>
      <c r="AB5968">
        <v>18</v>
      </c>
      <c r="AC5968">
        <v>12.571099999999999</v>
      </c>
      <c r="AD5968">
        <v>-1.1219132608833999</v>
      </c>
      <c r="AE5968">
        <v>0.97190000000000498</v>
      </c>
      <c r="AF5968">
        <v>-0.21377202957753499</v>
      </c>
      <c r="AG5968">
        <v>-1.1219132608833999</v>
      </c>
      <c r="AH5968">
        <v>12.5077436744868</v>
      </c>
      <c r="AI5968">
        <v>95.1248265692264</v>
      </c>
      <c r="AJ5968">
        <v>90.979156832515898</v>
      </c>
      <c r="AK5968">
        <v>12.5597786474221</v>
      </c>
      <c r="AL5968">
        <v>81.328755452574001</v>
      </c>
      <c r="AM5968">
        <v>89.650553570313406</v>
      </c>
      <c r="AN5968">
        <v>1.0000000096163699</v>
      </c>
    </row>
    <row r="5969" spans="1:40" x14ac:dyDescent="0.25">
      <c r="A5969" t="str">
        <f>"20190303162722176"</f>
        <v>20190303162722176</v>
      </c>
      <c r="B5969" t="str">
        <f>"1551601642170164"</f>
        <v>1551601642170164</v>
      </c>
      <c r="C5969" t="s">
        <v>40</v>
      </c>
      <c r="D5969">
        <v>5.606592</v>
      </c>
      <c r="E5969">
        <v>0.49282340000000002</v>
      </c>
      <c r="F5969" t="s">
        <v>41</v>
      </c>
      <c r="G5969">
        <v>-129.33600000000001</v>
      </c>
      <c r="H5969" s="1">
        <v>-2.6918620000000002E-7</v>
      </c>
      <c r="I5969">
        <v>139.60480000000001</v>
      </c>
      <c r="J5969">
        <v>-141.71619999999999</v>
      </c>
      <c r="K5969">
        <v>1.1219460000000001</v>
      </c>
      <c r="L5969">
        <v>138.64109999999999</v>
      </c>
      <c r="M5969">
        <v>0.99802679999999999</v>
      </c>
      <c r="N5969">
        <v>-2.0676880000000002E-2</v>
      </c>
      <c r="O5969">
        <v>5.928899E-2</v>
      </c>
      <c r="P5969">
        <v>0.98985230000000002</v>
      </c>
      <c r="Q5969">
        <v>0.13116029999999901</v>
      </c>
      <c r="R5969">
        <v>5.4679690000000003E-2</v>
      </c>
      <c r="S5969">
        <v>3.053391</v>
      </c>
      <c r="T5969">
        <v>-0.27205010000000002</v>
      </c>
      <c r="U5969">
        <v>0.23655699999999999</v>
      </c>
      <c r="V5969">
        <v>4.225838E-3</v>
      </c>
      <c r="W5969">
        <v>0.1516277</v>
      </c>
      <c r="X5969">
        <v>0.98842870000000005</v>
      </c>
      <c r="Y5969">
        <v>-1.803132E-2</v>
      </c>
      <c r="Z5969">
        <v>-3.0476359999999998E-3</v>
      </c>
      <c r="AA5969">
        <v>0.99983270000000002</v>
      </c>
      <c r="AB5969">
        <v>17</v>
      </c>
      <c r="AC5969">
        <v>12.380199999999901</v>
      </c>
      <c r="AD5969">
        <v>-1.1219462691862001</v>
      </c>
      <c r="AE5969">
        <v>0.96370000000001699</v>
      </c>
      <c r="AF5969">
        <v>-0.22599271450460501</v>
      </c>
      <c r="AG5969">
        <v>-1.1219462691862001</v>
      </c>
      <c r="AH5969">
        <v>12.315030043361601</v>
      </c>
      <c r="AI5969">
        <v>95.204622902911595</v>
      </c>
      <c r="AJ5969">
        <v>91.051314978053398</v>
      </c>
      <c r="AK5969">
        <v>12.3680960987069</v>
      </c>
      <c r="AL5969">
        <v>81.278734545368295</v>
      </c>
      <c r="AM5969">
        <v>89.755044337413594</v>
      </c>
      <c r="AN5969">
        <v>1.00000005604888</v>
      </c>
    </row>
    <row r="5970" spans="1:40" x14ac:dyDescent="0.25">
      <c r="A5970" t="str">
        <f>"20190303162722211"</f>
        <v>20190303162722211</v>
      </c>
      <c r="B5970" t="str">
        <f>"1551601642200419"</f>
        <v>1551601642200419</v>
      </c>
      <c r="C5970" t="s">
        <v>40</v>
      </c>
      <c r="D5970">
        <v>5.6166650000000002</v>
      </c>
      <c r="E5970">
        <v>0.49294320000000003</v>
      </c>
      <c r="F5970" t="s">
        <v>41</v>
      </c>
      <c r="G5970">
        <v>-129.0401</v>
      </c>
      <c r="H5970" s="1">
        <v>-4.0053600000000001E-7</v>
      </c>
      <c r="I5970">
        <v>139.6404</v>
      </c>
      <c r="J5970">
        <v>-141.45849999999999</v>
      </c>
      <c r="K5970">
        <v>1.121985</v>
      </c>
      <c r="L5970">
        <v>138.65520000000001</v>
      </c>
      <c r="M5970">
        <v>0.9980755</v>
      </c>
      <c r="N5970">
        <v>-2.0931140000000001E-2</v>
      </c>
      <c r="O5970">
        <v>5.8372590000000002E-2</v>
      </c>
      <c r="P5970">
        <v>0.9886684</v>
      </c>
      <c r="Q5970">
        <v>0.1365981</v>
      </c>
      <c r="R5970">
        <v>6.2258639999999997E-2</v>
      </c>
      <c r="S5970">
        <v>3.0532680000000001</v>
      </c>
      <c r="T5970">
        <v>-0.27024110000000001</v>
      </c>
      <c r="U5970">
        <v>0.24072270000000001</v>
      </c>
      <c r="V5970">
        <v>-4.3165590000000002E-3</v>
      </c>
      <c r="W5970">
        <v>0.1573061</v>
      </c>
      <c r="X5970">
        <v>0.98754050000000004</v>
      </c>
      <c r="Y5970">
        <v>-2.029243E-2</v>
      </c>
      <c r="Z5970">
        <v>-2.8157249999999998E-3</v>
      </c>
      <c r="AA5970">
        <v>0.99979010000000001</v>
      </c>
      <c r="AB5970">
        <v>17</v>
      </c>
      <c r="AC5970">
        <v>12.418399999999901</v>
      </c>
      <c r="AD5970">
        <v>-1.1219854005359999</v>
      </c>
      <c r="AE5970">
        <v>0.98519999999999197</v>
      </c>
      <c r="AF5970">
        <v>-0.25638665082558998</v>
      </c>
      <c r="AG5970">
        <v>-1.1219854005359999</v>
      </c>
      <c r="AH5970">
        <v>12.3545193237187</v>
      </c>
      <c r="AI5970">
        <v>95.188015856226997</v>
      </c>
      <c r="AJ5970">
        <v>91.188857645791799</v>
      </c>
      <c r="AK5970">
        <v>12.408010842753001</v>
      </c>
      <c r="AL5970">
        <v>80.9494333030853</v>
      </c>
      <c r="AM5970">
        <v>90.250439387194803</v>
      </c>
      <c r="AN5970">
        <v>1.00000004045952</v>
      </c>
    </row>
    <row r="5971" spans="1:40" x14ac:dyDescent="0.25">
      <c r="A5971" t="str">
        <f>"20190303162722240"</f>
        <v>20190303162722240</v>
      </c>
      <c r="B5971" t="str">
        <f>"1551601642230676"</f>
        <v>1551601642230676</v>
      </c>
      <c r="C5971" t="s">
        <v>40</v>
      </c>
      <c r="D5971">
        <v>4.9362909999999998</v>
      </c>
      <c r="E5971">
        <v>0.49302180000000001</v>
      </c>
      <c r="F5971" t="s">
        <v>41</v>
      </c>
      <c r="G5971">
        <v>-127.9301</v>
      </c>
      <c r="H5971" s="1">
        <v>-9.2779150000000001E-7</v>
      </c>
      <c r="I5971">
        <v>139.83240000000001</v>
      </c>
      <c r="J5971">
        <v>-141.24100000000001</v>
      </c>
      <c r="K5971">
        <v>1.121974</v>
      </c>
      <c r="L5971">
        <v>138.667</v>
      </c>
      <c r="M5971">
        <v>0.99811910000000004</v>
      </c>
      <c r="N5971">
        <v>-2.1108780000000001E-2</v>
      </c>
      <c r="O5971">
        <v>5.7558669999999999E-2</v>
      </c>
      <c r="P5971">
        <v>0.98864810000000003</v>
      </c>
      <c r="Q5971">
        <v>0.13442270000000001</v>
      </c>
      <c r="R5971">
        <v>6.7124399999999904E-2</v>
      </c>
      <c r="S5971">
        <v>3.0526430000000002</v>
      </c>
      <c r="T5971">
        <v>-0.25317230000000002</v>
      </c>
      <c r="U5971">
        <v>0.265625</v>
      </c>
      <c r="V5971">
        <v>-9.9802789999999999E-3</v>
      </c>
      <c r="W5971">
        <v>0.1553167</v>
      </c>
      <c r="X5971">
        <v>0.98781430000000003</v>
      </c>
      <c r="Y5971">
        <v>-2.9172420000000001E-2</v>
      </c>
      <c r="Z5971">
        <v>-2.0244830000000001E-3</v>
      </c>
      <c r="AA5971">
        <v>0.99957229999999997</v>
      </c>
      <c r="AB5971">
        <v>17</v>
      </c>
      <c r="AC5971">
        <v>13.3109</v>
      </c>
      <c r="AD5971">
        <v>-1.1219749277914901</v>
      </c>
      <c r="AE5971">
        <v>1.1654</v>
      </c>
      <c r="AF5971">
        <v>-0.394358204008525</v>
      </c>
      <c r="AG5971">
        <v>-1.1219749277914901</v>
      </c>
      <c r="AH5971">
        <v>13.2624063047947</v>
      </c>
      <c r="AI5971">
        <v>94.8334763070999</v>
      </c>
      <c r="AJ5971">
        <v>91.703190537638505</v>
      </c>
      <c r="AK5971">
        <v>13.315621169330401</v>
      </c>
      <c r="AL5971">
        <v>81.0648356151261</v>
      </c>
      <c r="AM5971">
        <v>90.578862250853703</v>
      </c>
      <c r="AN5971">
        <v>0.99999998727614803</v>
      </c>
    </row>
    <row r="5972" spans="1:40" x14ac:dyDescent="0.25">
      <c r="A5972" t="str">
        <f>"20190303162722278"</f>
        <v>20190303162722278</v>
      </c>
      <c r="B5972" t="str">
        <f>"1551601642270692"</f>
        <v>1551601642270692</v>
      </c>
      <c r="C5972" t="s">
        <v>40</v>
      </c>
      <c r="D5972">
        <v>5.666334</v>
      </c>
      <c r="E5972">
        <v>0.49331829999999999</v>
      </c>
      <c r="F5972" t="s">
        <v>41</v>
      </c>
      <c r="G5972">
        <v>-128.09530000000001</v>
      </c>
      <c r="H5972" s="1">
        <v>-8.6724749999999997E-7</v>
      </c>
      <c r="I5972">
        <v>139.87119999999999</v>
      </c>
      <c r="J5972">
        <v>-140.96369999999999</v>
      </c>
      <c r="K5972">
        <v>1.121956</v>
      </c>
      <c r="L5972">
        <v>138.6816</v>
      </c>
      <c r="M5972">
        <v>0.99817999999999996</v>
      </c>
      <c r="N5972">
        <v>-2.1293869999999999E-2</v>
      </c>
      <c r="O5972">
        <v>5.6420270000000002E-2</v>
      </c>
      <c r="P5972">
        <v>0.98796899999999999</v>
      </c>
      <c r="Q5972">
        <v>0.13340160000000001</v>
      </c>
      <c r="R5972">
        <v>7.8238080000000002E-2</v>
      </c>
      <c r="S5972">
        <v>3.0508730000000002</v>
      </c>
      <c r="T5972">
        <v>-0.26039079999999998</v>
      </c>
      <c r="U5972">
        <v>0.2794952</v>
      </c>
      <c r="V5972">
        <v>-2.2232109999999999E-2</v>
      </c>
      <c r="W5972">
        <v>0.1544876</v>
      </c>
      <c r="X5972">
        <v>0.98774459999999997</v>
      </c>
      <c r="Y5972">
        <v>-3.4843440000000003E-2</v>
      </c>
      <c r="Z5972">
        <v>-1.739272E-3</v>
      </c>
      <c r="AA5972">
        <v>0.99939129999999998</v>
      </c>
      <c r="AB5972">
        <v>17</v>
      </c>
      <c r="AC5972">
        <v>12.8683999999999</v>
      </c>
      <c r="AD5972">
        <v>-1.1219568672475</v>
      </c>
      <c r="AE5972">
        <v>1.18959999999998</v>
      </c>
      <c r="AF5972">
        <v>-0.45804858472440502</v>
      </c>
      <c r="AG5972">
        <v>-1.1219568672475</v>
      </c>
      <c r="AH5972">
        <v>12.8184111126505</v>
      </c>
      <c r="AI5972">
        <v>94.999004531483394</v>
      </c>
      <c r="AJ5972">
        <v>92.046516425842697</v>
      </c>
      <c r="AK5972">
        <v>12.8755683047722</v>
      </c>
      <c r="AL5972">
        <v>81.112920407350899</v>
      </c>
      <c r="AM5972">
        <v>91.289393058947397</v>
      </c>
      <c r="AN5972">
        <v>1.0000000400489799</v>
      </c>
    </row>
    <row r="5973" spans="1:40" x14ac:dyDescent="0.25">
      <c r="A5973" t="str">
        <f>"20190303162722305"</f>
        <v>20190303162722305</v>
      </c>
      <c r="B5973" t="str">
        <f>"1551601642290212"</f>
        <v>1551601642290212</v>
      </c>
      <c r="C5973" t="s">
        <v>40</v>
      </c>
      <c r="D5973">
        <v>5.7235379999999996</v>
      </c>
      <c r="E5973">
        <v>0.49355490000000002</v>
      </c>
      <c r="F5973" t="s">
        <v>41</v>
      </c>
      <c r="G5973">
        <v>-128.07679999999999</v>
      </c>
      <c r="H5973" s="1">
        <v>-9.0716870000000004E-7</v>
      </c>
      <c r="I5973">
        <v>139.9914</v>
      </c>
      <c r="J5973">
        <v>-140.76439999999999</v>
      </c>
      <c r="K5973">
        <v>1.1219319999999999</v>
      </c>
      <c r="L5973">
        <v>138.6918</v>
      </c>
      <c r="M5973">
        <v>0.99822940000000004</v>
      </c>
      <c r="N5973">
        <v>-2.1402810000000001E-2</v>
      </c>
      <c r="O5973">
        <v>5.5498069999999997E-2</v>
      </c>
      <c r="P5973">
        <v>0.98763500000000004</v>
      </c>
      <c r="Q5973">
        <v>0.13334969999999999</v>
      </c>
      <c r="R5973">
        <v>8.2432870000000005E-2</v>
      </c>
      <c r="S5973">
        <v>3.0478360000000002</v>
      </c>
      <c r="T5973">
        <v>-0.2653491</v>
      </c>
      <c r="U5973">
        <v>0.3097839</v>
      </c>
      <c r="V5973">
        <v>-2.7339450000000001E-2</v>
      </c>
      <c r="W5973">
        <v>0.15454789999999999</v>
      </c>
      <c r="X5973">
        <v>0.98760689999999995</v>
      </c>
      <c r="Y5973">
        <v>-4.564203E-2</v>
      </c>
      <c r="Z5973">
        <v>-1.1516499999999999E-3</v>
      </c>
      <c r="AA5973">
        <v>0.99895719999999999</v>
      </c>
      <c r="AB5973">
        <v>16</v>
      </c>
      <c r="AC5973">
        <v>12.6876</v>
      </c>
      <c r="AD5973">
        <v>-1.1219329071687001</v>
      </c>
      <c r="AE5973">
        <v>1.2995999999999901</v>
      </c>
      <c r="AF5973">
        <v>-0.588741683166081</v>
      </c>
      <c r="AG5973">
        <v>-1.1219329071687001</v>
      </c>
      <c r="AH5973">
        <v>12.642349179482901</v>
      </c>
      <c r="AI5973">
        <v>95.065910970482705</v>
      </c>
      <c r="AJ5973">
        <v>92.666281401998603</v>
      </c>
      <c r="AK5973">
        <v>12.705681524170901</v>
      </c>
      <c r="AL5973">
        <v>81.109422612329297</v>
      </c>
      <c r="AM5973">
        <v>91.585686726003502</v>
      </c>
      <c r="AN5973">
        <v>0.99999994392415903</v>
      </c>
    </row>
    <row r="5974" spans="1:40" x14ac:dyDescent="0.25">
      <c r="A5974" t="str">
        <f>"20190303162722331"</f>
        <v>20190303162722331</v>
      </c>
      <c r="B5974" t="str">
        <f>"1551601642321444"</f>
        <v>1551601642321444</v>
      </c>
      <c r="C5974" t="s">
        <v>40</v>
      </c>
      <c r="D5974">
        <v>5.3923940000000004</v>
      </c>
      <c r="E5974">
        <v>0.50337229999999999</v>
      </c>
      <c r="F5974" t="s">
        <v>41</v>
      </c>
      <c r="G5974">
        <v>-127.92700000000001</v>
      </c>
      <c r="H5974" s="1">
        <v>-9.8514920000000007E-7</v>
      </c>
      <c r="I5974">
        <v>140.0429</v>
      </c>
      <c r="J5974">
        <v>-140.58150000000001</v>
      </c>
      <c r="K5974">
        <v>1.1219190000000001</v>
      </c>
      <c r="L5974">
        <v>138.70089999999999</v>
      </c>
      <c r="M5974">
        <v>0.99827999999999995</v>
      </c>
      <c r="N5974">
        <v>-2.148481E-2</v>
      </c>
      <c r="O5974">
        <v>5.4549359999999998E-2</v>
      </c>
      <c r="P5974">
        <v>0.98691569999999995</v>
      </c>
      <c r="Q5974">
        <v>0.13553689999999999</v>
      </c>
      <c r="R5974">
        <v>8.7333809999999998E-2</v>
      </c>
      <c r="S5974">
        <v>3.0467379999999999</v>
      </c>
      <c r="T5974">
        <v>-0.26627089999999998</v>
      </c>
      <c r="U5974">
        <v>0.32066349999999999</v>
      </c>
      <c r="V5974">
        <v>-3.3195629999999997E-2</v>
      </c>
      <c r="W5974">
        <v>0.15681439999999999</v>
      </c>
      <c r="X5974">
        <v>0.98707</v>
      </c>
      <c r="Y5974">
        <v>-5.0132580000000003E-2</v>
      </c>
      <c r="Z5974">
        <v>-8.4972159999999999E-4</v>
      </c>
      <c r="AA5974">
        <v>0.99874220000000002</v>
      </c>
      <c r="AB5974">
        <v>16</v>
      </c>
      <c r="AC5974">
        <v>12.654500000000001</v>
      </c>
      <c r="AD5974">
        <v>-1.1219199851491899</v>
      </c>
      <c r="AE5974">
        <v>1.3420000000000101</v>
      </c>
      <c r="AF5974">
        <v>-0.64453690623304605</v>
      </c>
      <c r="AG5974">
        <v>-1.1219199851491899</v>
      </c>
      <c r="AH5974">
        <v>12.6108503753604</v>
      </c>
      <c r="AI5974">
        <v>95.077322559334206</v>
      </c>
      <c r="AJ5974">
        <v>92.925824834895494</v>
      </c>
      <c r="AK5974">
        <v>12.6770532643158</v>
      </c>
      <c r="AL5974">
        <v>80.977958812398896</v>
      </c>
      <c r="AM5974">
        <v>91.926158160510298</v>
      </c>
      <c r="AN5974">
        <v>0.99999994539922699</v>
      </c>
    </row>
    <row r="5975" spans="1:40" x14ac:dyDescent="0.25">
      <c r="A5975" t="str">
        <f>"20190303162722351"</f>
        <v>20190303162722351</v>
      </c>
      <c r="B5975" t="str">
        <f>"1551601642339988"</f>
        <v>1551601642339988</v>
      </c>
      <c r="C5975" t="s">
        <v>40</v>
      </c>
      <c r="D5975">
        <v>5.7195839999999896</v>
      </c>
      <c r="E5975">
        <v>0.5035655</v>
      </c>
      <c r="F5975" t="s">
        <v>41</v>
      </c>
      <c r="G5975">
        <v>-128.9581</v>
      </c>
      <c r="H5975" s="1">
        <v>-4.4854620000000001E-7</v>
      </c>
      <c r="I5975">
        <v>139.68860000000001</v>
      </c>
      <c r="J5975">
        <v>-140.4348</v>
      </c>
      <c r="K5975">
        <v>1.1219170000000001</v>
      </c>
      <c r="L5975">
        <v>138.708</v>
      </c>
      <c r="M5975">
        <v>0.99832359999999998</v>
      </c>
      <c r="N5975">
        <v>-2.154095E-2</v>
      </c>
      <c r="O5975">
        <v>5.37201E-2</v>
      </c>
      <c r="P5975">
        <v>0.98581390000000002</v>
      </c>
      <c r="Q5975">
        <v>0.14016489999999901</v>
      </c>
      <c r="R5975">
        <v>9.2330190000000006E-2</v>
      </c>
      <c r="S5975">
        <v>3.0573269999999999</v>
      </c>
      <c r="T5975">
        <v>-0.2950989</v>
      </c>
      <c r="U5975">
        <v>0.25981140000000003</v>
      </c>
      <c r="V5975">
        <v>-3.9049069999999998E-2</v>
      </c>
      <c r="W5975">
        <v>0.1614872</v>
      </c>
      <c r="X5975">
        <v>0.98610189999999998</v>
      </c>
      <c r="Y5975">
        <v>-3.098685E-2</v>
      </c>
      <c r="Z5975">
        <v>-2.1802089999999998E-3</v>
      </c>
      <c r="AA5975">
        <v>0.9995174</v>
      </c>
      <c r="AB5975">
        <v>16</v>
      </c>
      <c r="AC5975">
        <v>11.4766999999999</v>
      </c>
      <c r="AD5975">
        <v>-1.1219174485462</v>
      </c>
      <c r="AE5975">
        <v>0.98060000000000902</v>
      </c>
      <c r="AF5975">
        <v>-0.35910397030049002</v>
      </c>
      <c r="AG5975">
        <v>-1.1219174485462</v>
      </c>
      <c r="AH5975">
        <v>11.4046149449367</v>
      </c>
      <c r="AI5975">
        <v>95.615571785111499</v>
      </c>
      <c r="AJ5975">
        <v>91.803510786998402</v>
      </c>
      <c r="AK5975">
        <v>11.4652909455064</v>
      </c>
      <c r="AL5975">
        <v>80.706770374517106</v>
      </c>
      <c r="AM5975">
        <v>92.267695186351801</v>
      </c>
      <c r="AN5975">
        <v>0.99999995140765596</v>
      </c>
    </row>
    <row r="5976" spans="1:40" x14ac:dyDescent="0.25">
      <c r="A5976" t="str">
        <f>"20190303162722390"</f>
        <v>20190303162722390</v>
      </c>
      <c r="B5976" t="str">
        <f>"1551601642380004"</f>
        <v>1551601642380004</v>
      </c>
      <c r="C5976" t="s">
        <v>40</v>
      </c>
      <c r="D5976">
        <v>5.7071719999999999</v>
      </c>
      <c r="E5976">
        <v>0.50582459999999996</v>
      </c>
      <c r="F5976" t="s">
        <v>41</v>
      </c>
      <c r="G5976">
        <v>-128.26249999999999</v>
      </c>
      <c r="H5976" s="1">
        <v>-7.7423330000000002E-7</v>
      </c>
      <c r="I5976">
        <v>139.7912</v>
      </c>
      <c r="J5976">
        <v>-140.17359999999999</v>
      </c>
      <c r="K5976">
        <v>1.1218919999999999</v>
      </c>
      <c r="L5976">
        <v>138.7201</v>
      </c>
      <c r="M5976">
        <v>0.99840839999999997</v>
      </c>
      <c r="N5976">
        <v>-2.167471E-2</v>
      </c>
      <c r="O5976">
        <v>5.2067040000000002E-2</v>
      </c>
      <c r="P5976">
        <v>0.98423740000000004</v>
      </c>
      <c r="Q5976">
        <v>0.1446634</v>
      </c>
      <c r="R5976">
        <v>0.1017324</v>
      </c>
      <c r="S5976">
        <v>3.0577549999999998</v>
      </c>
      <c r="T5976">
        <v>-0.2818329</v>
      </c>
      <c r="U5976">
        <v>0.27212520000000001</v>
      </c>
      <c r="V5976">
        <v>-5.0130609999999999E-2</v>
      </c>
      <c r="W5976">
        <v>0.16611020000000001</v>
      </c>
      <c r="X5976">
        <v>0.98483209999999999</v>
      </c>
      <c r="Y5976">
        <v>-3.6587660000000001E-2</v>
      </c>
      <c r="Z5976">
        <v>-1.5717800000000001E-3</v>
      </c>
      <c r="AA5976">
        <v>0.99932920000000003</v>
      </c>
      <c r="AB5976">
        <v>16</v>
      </c>
      <c r="AC5976">
        <v>11.911099999999999</v>
      </c>
      <c r="AD5976">
        <v>-1.1218927742333</v>
      </c>
      <c r="AE5976">
        <v>1.0710999999999999</v>
      </c>
      <c r="AF5976">
        <v>-0.44540531729211902</v>
      </c>
      <c r="AG5976">
        <v>-1.1218927742333</v>
      </c>
      <c r="AH5976">
        <v>11.846464859453301</v>
      </c>
      <c r="AI5976">
        <v>95.406135952501202</v>
      </c>
      <c r="AJ5976">
        <v>92.153201837710398</v>
      </c>
      <c r="AK5976">
        <v>11.9078024404091</v>
      </c>
      <c r="AL5976">
        <v>80.438265409682899</v>
      </c>
      <c r="AM5976">
        <v>92.913994639437007</v>
      </c>
      <c r="AN5976">
        <v>0.99999997089671</v>
      </c>
    </row>
    <row r="5977" spans="1:40" x14ac:dyDescent="0.25">
      <c r="A5977" t="str">
        <f>"20190303162722545"</f>
        <v>20190303162722545</v>
      </c>
      <c r="B5977" t="str">
        <f>"1551601642540068"</f>
        <v>1551601642540068</v>
      </c>
      <c r="C5977" t="s">
        <v>40</v>
      </c>
      <c r="D5977">
        <v>5.3644669999999897</v>
      </c>
      <c r="E5977">
        <v>0.52003520000000003</v>
      </c>
      <c r="F5977" t="s">
        <v>41</v>
      </c>
      <c r="G5977">
        <v>-127.4228</v>
      </c>
      <c r="H5977" s="1">
        <v>-1.1625709999999999E-6</v>
      </c>
      <c r="I5977">
        <v>139.89689999999999</v>
      </c>
      <c r="J5977">
        <v>-139.1524</v>
      </c>
      <c r="K5977">
        <v>1.121373</v>
      </c>
      <c r="L5977">
        <v>138.75890000000001</v>
      </c>
      <c r="M5977">
        <v>0.99886889999999995</v>
      </c>
      <c r="N5977">
        <v>-2.1195479999999999E-2</v>
      </c>
      <c r="O5977">
        <v>4.2565579999999999E-2</v>
      </c>
      <c r="P5977">
        <v>0.98327960000000003</v>
      </c>
      <c r="Q5977">
        <v>0.1196096</v>
      </c>
      <c r="R5977">
        <v>0.1373132</v>
      </c>
      <c r="S5977">
        <v>3.058411</v>
      </c>
      <c r="T5977">
        <v>-0.26909830000000001</v>
      </c>
      <c r="U5977">
        <v>0.28227229999999998</v>
      </c>
      <c r="V5977">
        <v>-9.5042639999999998E-2</v>
      </c>
      <c r="W5977">
        <v>0.14072029999999999</v>
      </c>
      <c r="X5977">
        <v>0.98547689999999999</v>
      </c>
      <c r="Y5977">
        <v>-4.9284050000000003E-2</v>
      </c>
      <c r="Z5977">
        <v>-1.4356549999999999E-4</v>
      </c>
      <c r="AA5977">
        <v>0.99878480000000003</v>
      </c>
      <c r="AB5977">
        <v>14</v>
      </c>
      <c r="AC5977">
        <v>11.7296</v>
      </c>
      <c r="AD5977">
        <v>-1.1213741625710001</v>
      </c>
      <c r="AE5977">
        <v>1.1379999999999699</v>
      </c>
      <c r="AF5977">
        <v>-0.63185758972172201</v>
      </c>
      <c r="AG5977">
        <v>-1.1213741625710001</v>
      </c>
      <c r="AH5977">
        <v>11.661822586217101</v>
      </c>
      <c r="AI5977">
        <v>95.484548627761697</v>
      </c>
      <c r="AJ5977">
        <v>93.101351338384703</v>
      </c>
      <c r="AK5977">
        <v>11.7326395179676</v>
      </c>
      <c r="AL5977">
        <v>81.9104710722156</v>
      </c>
      <c r="AM5977">
        <v>95.508756410800302</v>
      </c>
      <c r="AN5977">
        <v>1.00000001334193</v>
      </c>
    </row>
    <row r="5978" spans="1:40" x14ac:dyDescent="0.25">
      <c r="A5978" t="str">
        <f>"20190303162722578"</f>
        <v>20190303162722578</v>
      </c>
      <c r="B5978" t="str">
        <f>"1551601642570324"</f>
        <v>1551601642570324</v>
      </c>
      <c r="C5978" t="s">
        <v>40</v>
      </c>
      <c r="D5978">
        <v>5.4679570000000002</v>
      </c>
      <c r="E5978">
        <v>0.52938769999999902</v>
      </c>
      <c r="F5978" t="s">
        <v>41</v>
      </c>
      <c r="G5978">
        <v>-129.46080000000001</v>
      </c>
      <c r="H5978" s="1">
        <v>-2.150883E-7</v>
      </c>
      <c r="I5978">
        <v>139.62180000000001</v>
      </c>
      <c r="J5978">
        <v>-138.9495</v>
      </c>
      <c r="K5978">
        <v>1.1212709999999999</v>
      </c>
      <c r="L5978">
        <v>138.76439999999999</v>
      </c>
      <c r="M5978">
        <v>0.99898310000000001</v>
      </c>
      <c r="N5978">
        <v>-2.0962330000000001E-2</v>
      </c>
      <c r="O5978">
        <v>3.9915539999999999E-2</v>
      </c>
      <c r="P5978">
        <v>0.9839715</v>
      </c>
      <c r="Q5978">
        <v>0.1167064</v>
      </c>
      <c r="R5978">
        <v>0.13483210000000001</v>
      </c>
      <c r="S5978">
        <v>3.0560299999999998</v>
      </c>
      <c r="T5978">
        <v>-0.35360029999999998</v>
      </c>
      <c r="U5978">
        <v>0.27211000000000002</v>
      </c>
      <c r="V5978">
        <v>-9.5142909999999997E-2</v>
      </c>
      <c r="W5978">
        <v>0.1376095</v>
      </c>
      <c r="X5978">
        <v>0.98590639999999996</v>
      </c>
      <c r="Y5978">
        <v>-4.8647700000000002E-2</v>
      </c>
      <c r="Z5978">
        <v>-4.45208E-4</v>
      </c>
      <c r="AA5978">
        <v>0.99881589999999998</v>
      </c>
      <c r="AB5978">
        <v>14</v>
      </c>
      <c r="AC5978">
        <v>9.4886999999999908</v>
      </c>
      <c r="AD5978">
        <v>-1.1212712150883</v>
      </c>
      <c r="AE5978">
        <v>0.85740000000001204</v>
      </c>
      <c r="AF5978">
        <v>-0.47135785108087802</v>
      </c>
      <c r="AG5978">
        <v>-1.1212712150883</v>
      </c>
      <c r="AH5978">
        <v>9.3853705032722701</v>
      </c>
      <c r="AI5978">
        <v>96.804346496692503</v>
      </c>
      <c r="AJ5978">
        <v>92.875128186990295</v>
      </c>
      <c r="AK5978">
        <v>9.4638579260920004</v>
      </c>
      <c r="AL5978">
        <v>82.090458077705605</v>
      </c>
      <c r="AM5978">
        <v>95.512144793232906</v>
      </c>
      <c r="AN5978">
        <v>0.99999998868723805</v>
      </c>
    </row>
    <row r="5979" spans="1:40" x14ac:dyDescent="0.25">
      <c r="A5979" t="str">
        <f>"20190303162722666"</f>
        <v>20190303162722666</v>
      </c>
      <c r="B5979" t="str">
        <f>"1551601642660116"</f>
        <v>1551601642660116</v>
      </c>
      <c r="C5979" t="s">
        <v>40</v>
      </c>
      <c r="D5979">
        <v>5.4424510000000001</v>
      </c>
      <c r="E5979">
        <v>0.54250989999999999</v>
      </c>
      <c r="F5979" t="s">
        <v>41</v>
      </c>
      <c r="G5979">
        <v>-128.70580000000001</v>
      </c>
      <c r="H5979" s="1">
        <v>-5.7665669999999997E-7</v>
      </c>
      <c r="I5979">
        <v>139.39570000000001</v>
      </c>
      <c r="J5979">
        <v>-138.41050000000001</v>
      </c>
      <c r="K5979">
        <v>1.121105</v>
      </c>
      <c r="L5979">
        <v>138.7748</v>
      </c>
      <c r="M5979">
        <v>0.9992839</v>
      </c>
      <c r="N5979">
        <v>-2.0510759999999999E-2</v>
      </c>
      <c r="O5979">
        <v>3.179912E-2</v>
      </c>
      <c r="P5979">
        <v>0.98770210000000003</v>
      </c>
      <c r="Q5979">
        <v>0.10545499999999999</v>
      </c>
      <c r="R5979">
        <v>0.11543009999999999</v>
      </c>
      <c r="S5979">
        <v>3.0627589999999998</v>
      </c>
      <c r="T5979">
        <v>-0.33524599999999999</v>
      </c>
      <c r="U5979">
        <v>0.18875120000000001</v>
      </c>
      <c r="V5979">
        <v>-8.3657690000000007E-2</v>
      </c>
      <c r="W5979">
        <v>0.1259556</v>
      </c>
      <c r="X5979">
        <v>0.9885022</v>
      </c>
      <c r="Y5979">
        <v>-2.9649519999999999E-2</v>
      </c>
      <c r="Z5979">
        <v>-8.936301E-4</v>
      </c>
      <c r="AA5979">
        <v>0.99955989999999995</v>
      </c>
      <c r="AB5979">
        <v>14</v>
      </c>
      <c r="AC5979">
        <v>9.7047000000000008</v>
      </c>
      <c r="AD5979">
        <v>-1.1211055766567</v>
      </c>
      <c r="AE5979">
        <v>0.620900000000006</v>
      </c>
      <c r="AF5979">
        <v>-0.30782871854791699</v>
      </c>
      <c r="AG5979">
        <v>-1.1211055766567</v>
      </c>
      <c r="AH5979">
        <v>9.5920512153575697</v>
      </c>
      <c r="AI5979">
        <v>96.663005563591298</v>
      </c>
      <c r="AJ5979">
        <v>91.838108955530998</v>
      </c>
      <c r="AK5979">
        <v>9.6622503979154004</v>
      </c>
      <c r="AL5979">
        <v>82.764056265647298</v>
      </c>
      <c r="AM5979">
        <v>94.837457985871595</v>
      </c>
      <c r="AN5979">
        <v>1.00000001083616</v>
      </c>
    </row>
    <row r="5980" spans="1:40" x14ac:dyDescent="0.25">
      <c r="A5980" t="str">
        <f>"20190303162722701"</f>
        <v>20190303162722701</v>
      </c>
      <c r="B5980" t="str">
        <f>"1551601642690373"</f>
        <v>1551601642690373</v>
      </c>
      <c r="C5980" t="s">
        <v>40</v>
      </c>
      <c r="D5980">
        <v>4.9852610000000004</v>
      </c>
      <c r="E5980">
        <v>0.54795459999999996</v>
      </c>
      <c r="F5980" t="s">
        <v>42</v>
      </c>
      <c r="G5980">
        <v>-137.61600000000001</v>
      </c>
      <c r="H5980">
        <v>0.97528269999999995</v>
      </c>
      <c r="I5980">
        <v>138.7801</v>
      </c>
      <c r="J5980">
        <v>-138.20169999999999</v>
      </c>
      <c r="K5980">
        <v>1.1210850000000001</v>
      </c>
      <c r="L5980">
        <v>138.77709999999999</v>
      </c>
      <c r="M5980">
        <v>0.9993919</v>
      </c>
      <c r="N5980">
        <v>-2.0361870000000001E-2</v>
      </c>
      <c r="O5980">
        <v>2.8308880000000002E-2</v>
      </c>
      <c r="P5980">
        <v>0.98926760000000002</v>
      </c>
      <c r="Q5980">
        <v>0.1013418</v>
      </c>
      <c r="R5980">
        <v>0.1052594</v>
      </c>
      <c r="S5980">
        <v>3.0955509999999999</v>
      </c>
      <c r="T5980">
        <v>-0.56800269999999897</v>
      </c>
      <c r="U5980">
        <v>2.0965580000000001E-2</v>
      </c>
      <c r="V5980">
        <v>-7.691887E-2</v>
      </c>
      <c r="W5980">
        <v>0.1216991</v>
      </c>
      <c r="X5980">
        <v>0.98958210000000002</v>
      </c>
      <c r="Y5980">
        <v>2.0784670000000002E-2</v>
      </c>
      <c r="Z5980">
        <v>-6.6830559999999997E-3</v>
      </c>
      <c r="AA5980">
        <v>0.99976160000000003</v>
      </c>
      <c r="AB5980">
        <v>13</v>
      </c>
      <c r="AC5980">
        <v>0.58569999999997402</v>
      </c>
      <c r="AD5980">
        <v>-0.1458023</v>
      </c>
      <c r="AE5980">
        <v>3.0000000000143202E-3</v>
      </c>
      <c r="AF5980">
        <v>1.2792430421006201E-2</v>
      </c>
      <c r="AG5980">
        <v>-0.1458023</v>
      </c>
      <c r="AH5980">
        <v>0.55138211037531404</v>
      </c>
      <c r="AI5980">
        <v>104.807929382086</v>
      </c>
      <c r="AJ5980">
        <v>88.670938369996406</v>
      </c>
      <c r="AK5980">
        <v>0.57047715870427396</v>
      </c>
      <c r="AL5980">
        <v>83.009827083175693</v>
      </c>
      <c r="AM5980">
        <v>94.4445863350075</v>
      </c>
      <c r="AN5980">
        <v>0.99999995807164699</v>
      </c>
    </row>
    <row r="5981" spans="1:40" x14ac:dyDescent="0.25">
      <c r="A5981" t="str">
        <f>"20190303162722731"</f>
        <v>20190303162722731</v>
      </c>
      <c r="B5981" t="str">
        <f>"1551601642721605"</f>
        <v>1551601642721605</v>
      </c>
      <c r="C5981" t="s">
        <v>40</v>
      </c>
      <c r="D5981">
        <v>5.375324</v>
      </c>
      <c r="E5981">
        <v>0.54747919999999906</v>
      </c>
      <c r="F5981" t="s">
        <v>42</v>
      </c>
      <c r="G5981">
        <v>-137.5343</v>
      </c>
      <c r="H5981">
        <v>0.89928469999999905</v>
      </c>
      <c r="I5981">
        <v>138.7653</v>
      </c>
      <c r="J5981">
        <v>-138.0386</v>
      </c>
      <c r="K5981">
        <v>1.121607</v>
      </c>
      <c r="L5981">
        <v>138.7783</v>
      </c>
      <c r="M5981">
        <v>0.99943550000000003</v>
      </c>
      <c r="N5981">
        <v>-2.1568790000000001E-2</v>
      </c>
      <c r="O5981">
        <v>2.5759270000000001E-2</v>
      </c>
      <c r="P5981">
        <v>0.98964940000000001</v>
      </c>
      <c r="Q5981">
        <v>0.10197349999999999</v>
      </c>
      <c r="R5981">
        <v>0.1009727</v>
      </c>
      <c r="S5981">
        <v>3.1455540000000002</v>
      </c>
      <c r="T5981">
        <v>-1.0454460000000001</v>
      </c>
      <c r="U5981">
        <v>-5.5541989999999999E-2</v>
      </c>
      <c r="V5981">
        <v>-7.5198509999999996E-2</v>
      </c>
      <c r="W5981">
        <v>0.1234922</v>
      </c>
      <c r="X5981">
        <v>0.98949219999999904</v>
      </c>
      <c r="Y5981">
        <v>3.9906169999999998E-2</v>
      </c>
      <c r="Z5981">
        <v>-1.469408E-2</v>
      </c>
      <c r="AA5981">
        <v>0.99909539999999997</v>
      </c>
      <c r="AB5981">
        <v>13</v>
      </c>
      <c r="AC5981">
        <v>0.50429999999999997</v>
      </c>
      <c r="AD5981">
        <v>-0.2223223</v>
      </c>
      <c r="AE5981">
        <v>-1.30000000000052E-2</v>
      </c>
      <c r="AF5981">
        <v>2.1762364749294001E-2</v>
      </c>
      <c r="AG5981">
        <v>-0.2223223</v>
      </c>
      <c r="AH5981">
        <v>0.42186244200656198</v>
      </c>
      <c r="AI5981">
        <v>117.75792455249</v>
      </c>
      <c r="AJ5981">
        <v>87.046934656941801</v>
      </c>
      <c r="AK5981">
        <v>0.47735597364284699</v>
      </c>
      <c r="AL5981">
        <v>82.906309267490201</v>
      </c>
      <c r="AM5981">
        <v>94.345957557860999</v>
      </c>
      <c r="AN5981">
        <v>0.99999997661394902</v>
      </c>
    </row>
    <row r="5982" spans="1:40" x14ac:dyDescent="0.25">
      <c r="A5982" t="str">
        <f>"20190303162722753"</f>
        <v>20190303162722753</v>
      </c>
      <c r="B5982" t="str">
        <f>"1551601642749908"</f>
        <v>1551601642749908</v>
      </c>
      <c r="C5982" t="s">
        <v>40</v>
      </c>
      <c r="D5982">
        <v>5.3971869999999997</v>
      </c>
      <c r="E5982">
        <v>0.54749429999999999</v>
      </c>
      <c r="F5982" t="s">
        <v>42</v>
      </c>
      <c r="G5982">
        <v>-137.32050000000001</v>
      </c>
      <c r="H5982">
        <v>0.87989759999999995</v>
      </c>
      <c r="I5982">
        <v>138.7627</v>
      </c>
      <c r="J5982">
        <v>-137.91200000000001</v>
      </c>
      <c r="K5982">
        <v>1.122139</v>
      </c>
      <c r="L5982">
        <v>138.7791</v>
      </c>
      <c r="M5982">
        <v>0.99944840000000001</v>
      </c>
      <c r="N5982">
        <v>-2.3053009999999999E-2</v>
      </c>
      <c r="O5982">
        <v>2.390749E-2</v>
      </c>
      <c r="P5982">
        <v>0.98975290000000005</v>
      </c>
      <c r="Q5982">
        <v>0.1037173</v>
      </c>
      <c r="R5982">
        <v>9.8142069999999998E-2</v>
      </c>
      <c r="S5982">
        <v>3.1475520000000001</v>
      </c>
      <c r="T5982">
        <v>-1.059474</v>
      </c>
      <c r="U5982">
        <v>-6.8664550000000005E-2</v>
      </c>
      <c r="V5982">
        <v>-7.4247480000000005E-2</v>
      </c>
      <c r="W5982">
        <v>0.12667039999999999</v>
      </c>
      <c r="X5982">
        <v>0.98916219999999999</v>
      </c>
      <c r="Y5982">
        <v>4.2081819999999999E-2</v>
      </c>
      <c r="Z5982">
        <v>-1.468393E-2</v>
      </c>
      <c r="AA5982">
        <v>0.99900630000000001</v>
      </c>
      <c r="AB5982">
        <v>13</v>
      </c>
      <c r="AC5982">
        <v>0.59149999999999603</v>
      </c>
      <c r="AD5982">
        <v>-0.242241399999999</v>
      </c>
      <c r="AE5982">
        <v>-1.6400000000004401E-2</v>
      </c>
      <c r="AF5982">
        <v>2.61566937615085E-2</v>
      </c>
      <c r="AG5982">
        <v>-0.242241399999999</v>
      </c>
      <c r="AH5982">
        <v>0.50611738859611499</v>
      </c>
      <c r="AI5982">
        <v>115.547286265558</v>
      </c>
      <c r="AJ5982">
        <v>87.041524268537998</v>
      </c>
      <c r="AK5982">
        <v>0.56171156258514399</v>
      </c>
      <c r="AL5982">
        <v>82.722770249664904</v>
      </c>
      <c r="AM5982">
        <v>94.292627429623494</v>
      </c>
      <c r="AN5982">
        <v>0.99999996821567405</v>
      </c>
    </row>
    <row r="5983" spans="1:40" x14ac:dyDescent="0.25">
      <c r="A5983" t="str">
        <f>"20190303162722778"</f>
        <v>20190303162722778</v>
      </c>
      <c r="B5983" t="str">
        <f>"1551601642770405"</f>
        <v>1551601642770405</v>
      </c>
      <c r="C5983" t="s">
        <v>40</v>
      </c>
      <c r="D5983">
        <v>5.3398620000000001</v>
      </c>
      <c r="E5983">
        <v>0.54720649999999904</v>
      </c>
      <c r="F5983" t="s">
        <v>42</v>
      </c>
      <c r="G5983">
        <v>-137.21080000000001</v>
      </c>
      <c r="H5983">
        <v>0.88928619999999903</v>
      </c>
      <c r="I5983">
        <v>138.7612</v>
      </c>
      <c r="J5983">
        <v>-137.78809999999999</v>
      </c>
      <c r="K5983">
        <v>1.122582</v>
      </c>
      <c r="L5983">
        <v>138.77969999999999</v>
      </c>
      <c r="M5983">
        <v>0.99945130000000004</v>
      </c>
      <c r="N5983">
        <v>-2.461522E-2</v>
      </c>
      <c r="O5983">
        <v>2.2163499999999999E-2</v>
      </c>
      <c r="P5983">
        <v>0.98982680000000001</v>
      </c>
      <c r="Q5983">
        <v>0.10459839999999999</v>
      </c>
      <c r="R5983">
        <v>9.6448909999999999E-2</v>
      </c>
      <c r="S5983">
        <v>3.1485599999999998</v>
      </c>
      <c r="T5983">
        <v>-1.0454289999999999</v>
      </c>
      <c r="U5983">
        <v>-7.9986570000000007E-2</v>
      </c>
      <c r="V5983">
        <v>-7.4319079999999996E-2</v>
      </c>
      <c r="W5983">
        <v>0.1290714</v>
      </c>
      <c r="X5983">
        <v>0.98884640000000001</v>
      </c>
      <c r="Y5983">
        <v>4.3988649999999997E-2</v>
      </c>
      <c r="Z5983">
        <v>-1.4301019999999999E-2</v>
      </c>
      <c r="AA5983">
        <v>0.99892970000000003</v>
      </c>
      <c r="AB5983">
        <v>12</v>
      </c>
      <c r="AC5983">
        <v>0.57729999999997905</v>
      </c>
      <c r="AD5983">
        <v>-0.2332958</v>
      </c>
      <c r="AE5983">
        <v>-1.84999999999888E-2</v>
      </c>
      <c r="AF5983">
        <v>2.6904993172360201E-2</v>
      </c>
      <c r="AG5983">
        <v>-0.2332958</v>
      </c>
      <c r="AH5983">
        <v>0.49585356640402301</v>
      </c>
      <c r="AI5983">
        <v>115.164244264648</v>
      </c>
      <c r="AJ5983">
        <v>86.894179073798696</v>
      </c>
      <c r="AK5983">
        <v>0.54865432493586896</v>
      </c>
      <c r="AL5983">
        <v>82.584064450347697</v>
      </c>
      <c r="AM5983">
        <v>94.298118575145494</v>
      </c>
      <c r="AN5983">
        <v>0.99999997737148205</v>
      </c>
    </row>
    <row r="5984" spans="1:40" x14ac:dyDescent="0.25">
      <c r="A5984" t="str">
        <f>"20190303162722815"</f>
        <v>20190303162722815</v>
      </c>
      <c r="B5984" t="str">
        <f>"1551601642800660"</f>
        <v>1551601642800660</v>
      </c>
      <c r="C5984" t="s">
        <v>40</v>
      </c>
      <c r="D5984">
        <v>5.3693499999999998</v>
      </c>
      <c r="E5984">
        <v>0.5470083</v>
      </c>
      <c r="F5984" t="s">
        <v>42</v>
      </c>
      <c r="G5984">
        <v>-137.1054</v>
      </c>
      <c r="H5984">
        <v>0.89707169999999903</v>
      </c>
      <c r="I5984">
        <v>138.76140000000001</v>
      </c>
      <c r="J5984">
        <v>-137.60749999999999</v>
      </c>
      <c r="K5984">
        <v>1.122671</v>
      </c>
      <c r="L5984">
        <v>138.78020000000001</v>
      </c>
      <c r="M5984">
        <v>0.99947989999999998</v>
      </c>
      <c r="N5984">
        <v>-2.5837180000000001E-2</v>
      </c>
      <c r="O5984">
        <v>1.929759E-2</v>
      </c>
      <c r="P5984">
        <v>0.98984039999999995</v>
      </c>
      <c r="Q5984">
        <v>0.1033674</v>
      </c>
      <c r="R5984">
        <v>9.7629270000000004E-2</v>
      </c>
      <c r="S5984">
        <v>3.1489259999999999</v>
      </c>
      <c r="T5984">
        <v>-1.0399959999999999</v>
      </c>
      <c r="U5984">
        <v>-8.4091189999999996E-2</v>
      </c>
      <c r="V5984">
        <v>-7.834692E-2</v>
      </c>
      <c r="W5984">
        <v>0.12904640000000001</v>
      </c>
      <c r="X5984">
        <v>0.98853869999999999</v>
      </c>
      <c r="Y5984">
        <v>4.2664540000000001E-2</v>
      </c>
      <c r="Z5984">
        <v>-1.3149620000000001E-2</v>
      </c>
      <c r="AA5984">
        <v>0.99900290000000003</v>
      </c>
      <c r="AB5984">
        <v>12</v>
      </c>
      <c r="AC5984">
        <v>0.502099999999984</v>
      </c>
      <c r="AD5984">
        <v>-0.2255993</v>
      </c>
      <c r="AE5984">
        <v>-1.87999999999988E-2</v>
      </c>
      <c r="AF5984">
        <v>2.3709300416814402E-2</v>
      </c>
      <c r="AG5984">
        <v>-0.2255993</v>
      </c>
      <c r="AH5984">
        <v>0.41748026029353902</v>
      </c>
      <c r="AI5984">
        <v>118.347474680405</v>
      </c>
      <c r="AJ5984">
        <v>86.749582312797301</v>
      </c>
      <c r="AK5984">
        <v>0.47512834352573202</v>
      </c>
      <c r="AL5984">
        <v>82.585508999231095</v>
      </c>
      <c r="AM5984">
        <v>94.531521283577206</v>
      </c>
      <c r="AN5984">
        <v>0.99999998731206796</v>
      </c>
    </row>
    <row r="5985" spans="1:40" x14ac:dyDescent="0.25">
      <c r="A5985" t="str">
        <f>"20190303162722859"</f>
        <v>20190303162722859</v>
      </c>
      <c r="B5985" t="str">
        <f>"1551601642850436"</f>
        <v>1551601642850436</v>
      </c>
      <c r="C5985" t="s">
        <v>40</v>
      </c>
      <c r="D5985">
        <v>5.4205379999999996</v>
      </c>
      <c r="E5985">
        <v>0.54678579999999999</v>
      </c>
      <c r="F5985" t="s">
        <v>42</v>
      </c>
      <c r="G5985">
        <v>-136.9093</v>
      </c>
      <c r="H5985">
        <v>0.89175579999999999</v>
      </c>
      <c r="I5985">
        <v>138.7612</v>
      </c>
      <c r="J5985">
        <v>-137.38849999999999</v>
      </c>
      <c r="K5985">
        <v>1.1219330000000001</v>
      </c>
      <c r="L5985">
        <v>138.77959999999999</v>
      </c>
      <c r="M5985">
        <v>0.99957649999999998</v>
      </c>
      <c r="N5985">
        <v>-2.4627070000000001E-2</v>
      </c>
      <c r="O5985">
        <v>1.55041E-2</v>
      </c>
      <c r="P5985">
        <v>0.99009740000000002</v>
      </c>
      <c r="Q5985">
        <v>0.10384930000000001</v>
      </c>
      <c r="R5985">
        <v>9.4458829999999994E-2</v>
      </c>
      <c r="S5985">
        <v>3.147964</v>
      </c>
      <c r="T5985">
        <v>-1.040977</v>
      </c>
      <c r="U5985">
        <v>-8.5861209999999993E-2</v>
      </c>
      <c r="V5985">
        <v>-7.8875230000000005E-2</v>
      </c>
      <c r="W5985">
        <v>0.1283678</v>
      </c>
      <c r="X5985">
        <v>0.98858509999999999</v>
      </c>
      <c r="Y5985">
        <v>3.9774629999999998E-2</v>
      </c>
      <c r="Z5985">
        <v>-1.152889E-2</v>
      </c>
      <c r="AA5985">
        <v>0.99914219999999998</v>
      </c>
      <c r="AB5985">
        <v>11</v>
      </c>
      <c r="AC5985">
        <v>0.47919999999999102</v>
      </c>
      <c r="AD5985">
        <v>-0.2301772</v>
      </c>
      <c r="AE5985">
        <v>-1.8399999999985501E-2</v>
      </c>
      <c r="AF5985">
        <v>2.0993135904798E-2</v>
      </c>
      <c r="AG5985">
        <v>-0.2301772</v>
      </c>
      <c r="AH5985">
        <v>0.38919332889967101</v>
      </c>
      <c r="AI5985">
        <v>120.56451557964201</v>
      </c>
      <c r="AJ5985">
        <v>86.912450750658095</v>
      </c>
      <c r="AK5985">
        <v>0.45265185564069499</v>
      </c>
      <c r="AL5985">
        <v>82.624716457288102</v>
      </c>
      <c r="AM5985">
        <v>94.561736532052805</v>
      </c>
      <c r="AN5985">
        <v>1.0000000469632</v>
      </c>
    </row>
    <row r="5986" spans="1:40" x14ac:dyDescent="0.25">
      <c r="A5986" t="str">
        <f>"20190303162722888"</f>
        <v>20190303162722888</v>
      </c>
      <c r="B5986" t="str">
        <f>"1551601642880693"</f>
        <v>1551601642880693</v>
      </c>
      <c r="C5986" t="s">
        <v>40</v>
      </c>
      <c r="D5986">
        <v>5.4141069999999996</v>
      </c>
      <c r="E5986">
        <v>0.54666729999999997</v>
      </c>
      <c r="F5986" t="s">
        <v>42</v>
      </c>
      <c r="G5986">
        <v>-136.70840000000001</v>
      </c>
      <c r="H5986">
        <v>0.89762929999999996</v>
      </c>
      <c r="I5986">
        <v>138.7595</v>
      </c>
      <c r="J5986">
        <v>-137.24629999999999</v>
      </c>
      <c r="K5986">
        <v>1.121753</v>
      </c>
      <c r="L5986">
        <v>138.77860000000001</v>
      </c>
      <c r="M5986">
        <v>0.99962779999999996</v>
      </c>
      <c r="N5986">
        <v>-2.390337E-2</v>
      </c>
      <c r="O5986">
        <v>1.316169E-2</v>
      </c>
      <c r="P5986">
        <v>0.99070760000000002</v>
      </c>
      <c r="Q5986">
        <v>0.101857</v>
      </c>
      <c r="R5986">
        <v>9.01309E-2</v>
      </c>
      <c r="S5986">
        <v>3.1476899999999999</v>
      </c>
      <c r="T5986">
        <v>-1.037914</v>
      </c>
      <c r="U5986">
        <v>-9.2544559999999998E-2</v>
      </c>
      <c r="V5986">
        <v>-7.6882530000000004E-2</v>
      </c>
      <c r="W5986">
        <v>0.1256562</v>
      </c>
      <c r="X5986">
        <v>0.98909029999999998</v>
      </c>
      <c r="Y5986">
        <v>3.9685289999999998E-2</v>
      </c>
      <c r="Z5986">
        <v>-1.0780619999999999E-2</v>
      </c>
      <c r="AA5986">
        <v>0.99915410000000004</v>
      </c>
      <c r="AB5986">
        <v>11</v>
      </c>
      <c r="AC5986">
        <v>0.53789999999997895</v>
      </c>
      <c r="AD5986">
        <v>-0.22412370000000001</v>
      </c>
      <c r="AE5986">
        <v>-1.91000000000087E-2</v>
      </c>
      <c r="AF5986">
        <v>2.23114473911535E-2</v>
      </c>
      <c r="AG5986">
        <v>-0.22412370000000001</v>
      </c>
      <c r="AH5986">
        <v>0.45816114183607398</v>
      </c>
      <c r="AI5986">
        <v>116.040224083365</v>
      </c>
      <c r="AJ5986">
        <v>87.212023103431207</v>
      </c>
      <c r="AK5986">
        <v>0.510529984893065</v>
      </c>
      <c r="AL5986">
        <v>82.781348021103696</v>
      </c>
      <c r="AM5986">
        <v>94.444694985027496</v>
      </c>
      <c r="AN5986">
        <v>1.0000000127858599</v>
      </c>
    </row>
    <row r="5987" spans="1:40" x14ac:dyDescent="0.25">
      <c r="A5987" t="str">
        <f>"20190303162722913"</f>
        <v>20190303162722913</v>
      </c>
      <c r="B5987" t="str">
        <f>"1551601642900212"</f>
        <v>1551601642900212</v>
      </c>
      <c r="C5987" t="s">
        <v>40</v>
      </c>
      <c r="D5987">
        <v>5.4012779999999996</v>
      </c>
      <c r="E5987">
        <v>0.54674630000000002</v>
      </c>
      <c r="F5987" t="s">
        <v>42</v>
      </c>
      <c r="G5987">
        <v>-136.5239</v>
      </c>
      <c r="H5987">
        <v>0.88133479999999997</v>
      </c>
      <c r="I5987">
        <v>138.75530000000001</v>
      </c>
      <c r="J5987">
        <v>-137.12739999999999</v>
      </c>
      <c r="K5987">
        <v>1.121831</v>
      </c>
      <c r="L5987">
        <v>138.77760000000001</v>
      </c>
      <c r="M5987">
        <v>0.99965970000000004</v>
      </c>
      <c r="N5987">
        <v>-2.3537490000000001E-2</v>
      </c>
      <c r="O5987">
        <v>1.1257140000000001E-2</v>
      </c>
      <c r="P5987">
        <v>0.99167340000000004</v>
      </c>
      <c r="Q5987">
        <v>9.4007969999999996E-2</v>
      </c>
      <c r="R5987">
        <v>8.8014300000000004E-2</v>
      </c>
      <c r="S5987">
        <v>3.1449280000000002</v>
      </c>
      <c r="T5987">
        <v>-1.0465340000000001</v>
      </c>
      <c r="U5987">
        <v>-0.10125729999999999</v>
      </c>
      <c r="V5987">
        <v>-7.6704659999999994E-2</v>
      </c>
      <c r="W5987">
        <v>0.1174355</v>
      </c>
      <c r="X5987">
        <v>0.99011380000000004</v>
      </c>
      <c r="Y5987">
        <v>4.0561109999999997E-2</v>
      </c>
      <c r="Z5987">
        <v>-1.0449460000000001E-2</v>
      </c>
      <c r="AA5987">
        <v>0.99912239999999997</v>
      </c>
      <c r="AB5987">
        <v>11</v>
      </c>
      <c r="AC5987">
        <v>0.60349999999999604</v>
      </c>
      <c r="AD5987">
        <v>-0.24049619999999999</v>
      </c>
      <c r="AE5987">
        <v>-2.2300000000001301E-2</v>
      </c>
      <c r="AF5987">
        <v>2.5111740555707099E-2</v>
      </c>
      <c r="AG5987">
        <v>-0.24049619999999999</v>
      </c>
      <c r="AH5987">
        <v>0.52064308180238295</v>
      </c>
      <c r="AI5987">
        <v>114.76789522486099</v>
      </c>
      <c r="AJ5987">
        <v>87.238640742013004</v>
      </c>
      <c r="AK5987">
        <v>0.57405421377850696</v>
      </c>
      <c r="AL5987">
        <v>83.255879139790494</v>
      </c>
      <c r="AM5987">
        <v>94.429887388817704</v>
      </c>
      <c r="AN5987">
        <v>1.0000000192381999</v>
      </c>
    </row>
    <row r="5988" spans="1:40" x14ac:dyDescent="0.25">
      <c r="A5988" t="str">
        <f>"20190303162722936"</f>
        <v>20190303162722936</v>
      </c>
      <c r="B5988" t="str">
        <f>"1551601642930469"</f>
        <v>1551601642930469</v>
      </c>
      <c r="C5988" t="s">
        <v>40</v>
      </c>
      <c r="D5988">
        <v>5.4365819999999996</v>
      </c>
      <c r="E5988">
        <v>0.54679789999999995</v>
      </c>
      <c r="F5988" t="s">
        <v>42</v>
      </c>
      <c r="G5988">
        <v>-136.429</v>
      </c>
      <c r="H5988">
        <v>0.88375700000000001</v>
      </c>
      <c r="I5988">
        <v>138.75360000000001</v>
      </c>
      <c r="J5988">
        <v>-137.01740000000001</v>
      </c>
      <c r="K5988">
        <v>1.1219440000000001</v>
      </c>
      <c r="L5988">
        <v>138.77680000000001</v>
      </c>
      <c r="M5988">
        <v>0.99968650000000003</v>
      </c>
      <c r="N5988">
        <v>-2.315037E-2</v>
      </c>
      <c r="O5988">
        <v>9.5475600000000001E-3</v>
      </c>
      <c r="P5988">
        <v>0.9918401</v>
      </c>
      <c r="Q5988">
        <v>9.3769270000000002E-2</v>
      </c>
      <c r="R5988">
        <v>8.6376300000000003E-2</v>
      </c>
      <c r="S5988">
        <v>3.136047</v>
      </c>
      <c r="T5988">
        <v>-1.068856</v>
      </c>
      <c r="U5988">
        <v>-0.1072998</v>
      </c>
      <c r="V5988">
        <v>-7.6811630000000006E-2</v>
      </c>
      <c r="W5988">
        <v>0.11678189999999999</v>
      </c>
      <c r="X5988">
        <v>0.99018280000000003</v>
      </c>
      <c r="Y5988">
        <v>4.0801980000000002E-2</v>
      </c>
      <c r="Z5988">
        <v>-1.019543E-2</v>
      </c>
      <c r="AA5988">
        <v>0.99911519999999998</v>
      </c>
      <c r="AB5988">
        <v>11</v>
      </c>
      <c r="AC5988">
        <v>0.58840000000000703</v>
      </c>
      <c r="AD5988">
        <v>-0.23818700000000001</v>
      </c>
      <c r="AE5988">
        <v>-2.3200000000002701E-2</v>
      </c>
      <c r="AF5988">
        <v>2.4766178614456999E-2</v>
      </c>
      <c r="AG5988">
        <v>-0.23818700000000001</v>
      </c>
      <c r="AH5988">
        <v>0.50545320761911905</v>
      </c>
      <c r="AI5988">
        <v>115.20495269968001</v>
      </c>
      <c r="AJ5988">
        <v>87.194866816162005</v>
      </c>
      <c r="AK5988">
        <v>0.559311501459267</v>
      </c>
      <c r="AL5988">
        <v>83.293587050607997</v>
      </c>
      <c r="AM5988">
        <v>94.435732646626505</v>
      </c>
      <c r="AN5988">
        <v>1.00000000804335</v>
      </c>
    </row>
    <row r="5989" spans="1:40" x14ac:dyDescent="0.25">
      <c r="A5989" t="str">
        <f>"20190303162722969"</f>
        <v>20190303162722969</v>
      </c>
      <c r="B5989" t="str">
        <f>"1551601642960724"</f>
        <v>1551601642960724</v>
      </c>
      <c r="C5989" t="s">
        <v>40</v>
      </c>
      <c r="D5989">
        <v>5.4118490000000001</v>
      </c>
      <c r="E5989">
        <v>0.54693249999999904</v>
      </c>
      <c r="F5989" t="s">
        <v>42</v>
      </c>
      <c r="G5989">
        <v>-136.3338</v>
      </c>
      <c r="H5989">
        <v>0.88930489999999995</v>
      </c>
      <c r="I5989">
        <v>138.7517</v>
      </c>
      <c r="J5989">
        <v>-136.86619999999999</v>
      </c>
      <c r="K5989">
        <v>1.1220139999999901</v>
      </c>
      <c r="L5989">
        <v>138.7758</v>
      </c>
      <c r="M5989">
        <v>0.99971869999999996</v>
      </c>
      <c r="N5989">
        <v>-2.2504659999999999E-2</v>
      </c>
      <c r="O5989">
        <v>7.501939E-3</v>
      </c>
      <c r="P5989">
        <v>0.99212140000000004</v>
      </c>
      <c r="Q5989">
        <v>9.5652470000000003E-2</v>
      </c>
      <c r="R5989">
        <v>8.0906329999999999E-2</v>
      </c>
      <c r="S5989">
        <v>3.1355439999999999</v>
      </c>
      <c r="T5989">
        <v>-1.0668839999999999</v>
      </c>
      <c r="U5989">
        <v>-0.1149902</v>
      </c>
      <c r="V5989">
        <v>-7.3416179999999998E-2</v>
      </c>
      <c r="W5989">
        <v>0.11799560000000001</v>
      </c>
      <c r="X5989">
        <v>0.99029650000000002</v>
      </c>
      <c r="Y5989">
        <v>4.1293719999999999E-2</v>
      </c>
      <c r="Z5989">
        <v>-9.6266939999999999E-3</v>
      </c>
      <c r="AA5989">
        <v>0.99910069999999995</v>
      </c>
      <c r="AB5989">
        <v>10</v>
      </c>
      <c r="AC5989">
        <v>0.53239999999999499</v>
      </c>
      <c r="AD5989">
        <v>-0.232709099999999</v>
      </c>
      <c r="AE5989">
        <v>-2.4100000000004201E-2</v>
      </c>
      <c r="AF5989">
        <v>2.3595605660357E-2</v>
      </c>
      <c r="AG5989">
        <v>-0.232709099999999</v>
      </c>
      <c r="AH5989">
        <v>0.44698214784378398</v>
      </c>
      <c r="AI5989">
        <v>117.469872786355</v>
      </c>
      <c r="AJ5989">
        <v>86.978235173506704</v>
      </c>
      <c r="AK5989">
        <v>0.50448321906712701</v>
      </c>
      <c r="AL5989">
        <v>83.223563148166406</v>
      </c>
      <c r="AM5989">
        <v>94.239898120911903</v>
      </c>
      <c r="AN5989">
        <v>1.0000000275087</v>
      </c>
    </row>
    <row r="5990" spans="1:40" x14ac:dyDescent="0.25">
      <c r="A5990" t="str">
        <f>"20190303162723001"</f>
        <v>20190303162723001</v>
      </c>
      <c r="B5990" t="str">
        <f>"1551601642990004"</f>
        <v>1551601642990004</v>
      </c>
      <c r="C5990" t="s">
        <v>40</v>
      </c>
      <c r="D5990">
        <v>5.3952330000000002</v>
      </c>
      <c r="E5990">
        <v>0.54702759999999995</v>
      </c>
      <c r="F5990" t="s">
        <v>42</v>
      </c>
      <c r="G5990">
        <v>-136.15520000000001</v>
      </c>
      <c r="H5990">
        <v>0.88151659999999898</v>
      </c>
      <c r="I5990">
        <v>138.74629999999999</v>
      </c>
      <c r="J5990">
        <v>-136.72280000000001</v>
      </c>
      <c r="K5990">
        <v>1.1220600000000001</v>
      </c>
      <c r="L5990">
        <v>138.77500000000001</v>
      </c>
      <c r="M5990">
        <v>0.99974050000000003</v>
      </c>
      <c r="N5990">
        <v>-2.1983780000000001E-2</v>
      </c>
      <c r="O5990">
        <v>5.9591389999999996E-3</v>
      </c>
      <c r="P5990">
        <v>0.99215070000000005</v>
      </c>
      <c r="Q5990">
        <v>9.8638799999999999E-2</v>
      </c>
      <c r="R5990">
        <v>7.6859620000000003E-2</v>
      </c>
      <c r="S5990">
        <v>3.1367340000000001</v>
      </c>
      <c r="T5990">
        <v>-1.0609630000000001</v>
      </c>
      <c r="U5990">
        <v>-0.13023379999999901</v>
      </c>
      <c r="V5990">
        <v>-7.0925269999999999E-2</v>
      </c>
      <c r="W5990">
        <v>0.1204471</v>
      </c>
      <c r="X5990">
        <v>0.99018289999999998</v>
      </c>
      <c r="Y5990">
        <v>4.4505360000000001E-2</v>
      </c>
      <c r="Z5990">
        <v>-9.6562839999999994E-3</v>
      </c>
      <c r="AA5990">
        <v>0.99896249999999998</v>
      </c>
      <c r="AB5990">
        <v>10</v>
      </c>
      <c r="AC5990">
        <v>0.567599999999998</v>
      </c>
      <c r="AD5990">
        <v>-0.24054339999999999</v>
      </c>
      <c r="AE5990">
        <v>-2.87000000000148E-2</v>
      </c>
      <c r="AF5990">
        <v>2.7208566009352501E-2</v>
      </c>
      <c r="AG5990">
        <v>-0.24054339999999999</v>
      </c>
      <c r="AH5990">
        <v>0.48121404423331798</v>
      </c>
      <c r="AI5990">
        <v>116.522438222462</v>
      </c>
      <c r="AJ5990">
        <v>86.763856082137096</v>
      </c>
      <c r="AK5990">
        <v>0.53867280394988504</v>
      </c>
      <c r="AL5990">
        <v>83.082093570930297</v>
      </c>
      <c r="AM5990">
        <v>94.097010894048296</v>
      </c>
      <c r="AN5990">
        <v>1.00000003663769</v>
      </c>
    </row>
    <row r="5991" spans="1:40" x14ac:dyDescent="0.25">
      <c r="A5991" t="str">
        <f>"20190303162723037"</f>
        <v>20190303162723037</v>
      </c>
      <c r="B5991" t="str">
        <f>"1551601643030021"</f>
        <v>1551601643030021</v>
      </c>
      <c r="C5991" t="s">
        <v>40</v>
      </c>
      <c r="D5991">
        <v>5.3905690000000002</v>
      </c>
      <c r="E5991">
        <v>0.54710490000000001</v>
      </c>
      <c r="F5991" t="s">
        <v>42</v>
      </c>
      <c r="G5991">
        <v>-136.0581</v>
      </c>
      <c r="H5991">
        <v>0.89890190000000003</v>
      </c>
      <c r="I5991">
        <v>138.7448</v>
      </c>
      <c r="J5991">
        <v>-136.56630000000001</v>
      </c>
      <c r="K5991">
        <v>1.1221000000000001</v>
      </c>
      <c r="L5991">
        <v>138.7741</v>
      </c>
      <c r="M5991">
        <v>0.9997566</v>
      </c>
      <c r="N5991">
        <v>-2.157502E-2</v>
      </c>
      <c r="O5991">
        <v>4.6361359999999999E-3</v>
      </c>
      <c r="P5991">
        <v>0.99282409999999999</v>
      </c>
      <c r="Q5991">
        <v>9.1264020000000001E-2</v>
      </c>
      <c r="R5991">
        <v>7.727407E-2</v>
      </c>
      <c r="S5991">
        <v>3.1395569999999999</v>
      </c>
      <c r="T5991">
        <v>-1.053936</v>
      </c>
      <c r="U5991">
        <v>-0.1422119</v>
      </c>
      <c r="V5991">
        <v>-7.2670910000000005E-2</v>
      </c>
      <c r="W5991">
        <v>0.1126699</v>
      </c>
      <c r="X5991">
        <v>0.99097139999999995</v>
      </c>
      <c r="Y5991">
        <v>4.6917510000000003E-2</v>
      </c>
      <c r="Z5991">
        <v>-9.5986709999999996E-3</v>
      </c>
      <c r="AA5991">
        <v>0.99885270000000004</v>
      </c>
      <c r="AB5991">
        <v>10</v>
      </c>
      <c r="AC5991">
        <v>0.50820000000001597</v>
      </c>
      <c r="AD5991">
        <v>-0.22319810000000001</v>
      </c>
      <c r="AE5991">
        <v>-2.93000000000063E-2</v>
      </c>
      <c r="AF5991">
        <v>2.65517042317659E-2</v>
      </c>
      <c r="AG5991">
        <v>-0.22319810000000001</v>
      </c>
      <c r="AH5991">
        <v>0.426133690198504</v>
      </c>
      <c r="AI5991">
        <v>117.59881552532801</v>
      </c>
      <c r="AJ5991">
        <v>86.434601472479997</v>
      </c>
      <c r="AK5991">
        <v>0.48178035115954698</v>
      </c>
      <c r="AL5991">
        <v>83.530753002793901</v>
      </c>
      <c r="AM5991">
        <v>94.194164040611199</v>
      </c>
      <c r="AN5991">
        <v>0.99999994157209704</v>
      </c>
    </row>
    <row r="5992" spans="1:40" x14ac:dyDescent="0.25">
      <c r="A5992" t="str">
        <f>"20190303162723066"</f>
        <v>20190303162723066</v>
      </c>
      <c r="B5992" t="str">
        <f>"1551601643060277"</f>
        <v>1551601643060277</v>
      </c>
      <c r="C5992" t="s">
        <v>40</v>
      </c>
      <c r="D5992">
        <v>5.3519050000000004</v>
      </c>
      <c r="E5992">
        <v>0.54716719999999996</v>
      </c>
      <c r="F5992" t="s">
        <v>42</v>
      </c>
      <c r="G5992">
        <v>-135.88820000000001</v>
      </c>
      <c r="H5992">
        <v>0.88885499999999995</v>
      </c>
      <c r="I5992">
        <v>138.74279999999999</v>
      </c>
      <c r="J5992">
        <v>-136.44649999999999</v>
      </c>
      <c r="K5992">
        <v>1.122142</v>
      </c>
      <c r="L5992">
        <v>138.77359999999999</v>
      </c>
      <c r="M5992">
        <v>0.99976589999999999</v>
      </c>
      <c r="N5992">
        <v>-2.1298689999999999E-2</v>
      </c>
      <c r="O5992">
        <v>3.7942369999999998E-3</v>
      </c>
      <c r="P5992">
        <v>0.99300350000000004</v>
      </c>
      <c r="Q5992">
        <v>8.8079999999999894E-2</v>
      </c>
      <c r="R5992">
        <v>7.8650369999999997E-2</v>
      </c>
      <c r="S5992">
        <v>3.1319270000000001</v>
      </c>
      <c r="T5992">
        <v>-1.0771649999999999</v>
      </c>
      <c r="U5992">
        <v>-0.1442871</v>
      </c>
      <c r="V5992">
        <v>-7.4896669999999999E-2</v>
      </c>
      <c r="W5992">
        <v>0.1092052</v>
      </c>
      <c r="X5992">
        <v>0.99119360000000001</v>
      </c>
      <c r="Y5992">
        <v>4.6760910000000003E-2</v>
      </c>
      <c r="Z5992">
        <v>-9.5150760000000008E-3</v>
      </c>
      <c r="AA5992">
        <v>0.99886079999999999</v>
      </c>
      <c r="AB5992">
        <v>10</v>
      </c>
      <c r="AC5992">
        <v>0.55829999999997404</v>
      </c>
      <c r="AD5992">
        <v>-0.23328699999999999</v>
      </c>
      <c r="AE5992">
        <v>-3.07999999999992E-2</v>
      </c>
      <c r="AF5992">
        <v>2.80379852673572E-2</v>
      </c>
      <c r="AG5992">
        <v>-0.23328699999999999</v>
      </c>
      <c r="AH5992">
        <v>0.475421977949605</v>
      </c>
      <c r="AI5992">
        <v>116.097622697662</v>
      </c>
      <c r="AJ5992">
        <v>86.624893822698994</v>
      </c>
      <c r="AK5992">
        <v>0.53031595309246204</v>
      </c>
      <c r="AL5992">
        <v>83.730499253194594</v>
      </c>
      <c r="AM5992">
        <v>94.321177799884296</v>
      </c>
      <c r="AN5992">
        <v>1.0000000197825401</v>
      </c>
    </row>
    <row r="5993" spans="1:40" x14ac:dyDescent="0.25">
      <c r="A5993" t="str">
        <f>"20190303162723090"</f>
        <v>20190303162723090</v>
      </c>
      <c r="B5993" t="str">
        <f>"1551601643080773"</f>
        <v>1551601643080773</v>
      </c>
      <c r="C5993" t="s">
        <v>40</v>
      </c>
      <c r="D5993">
        <v>5.3690619999999996</v>
      </c>
      <c r="E5993">
        <v>0.54724659999999903</v>
      </c>
      <c r="F5993" t="s">
        <v>42</v>
      </c>
      <c r="G5993">
        <v>-135.72620000000001</v>
      </c>
      <c r="H5993">
        <v>0.87173339999999999</v>
      </c>
      <c r="I5993">
        <v>138.7415</v>
      </c>
      <c r="J5993">
        <v>-136.3415</v>
      </c>
      <c r="K5993">
        <v>1.122212</v>
      </c>
      <c r="L5993">
        <v>138.7732</v>
      </c>
      <c r="M5993">
        <v>0.99977249999999995</v>
      </c>
      <c r="N5993">
        <v>-2.108962E-2</v>
      </c>
      <c r="O5993">
        <v>3.1811830000000002E-3</v>
      </c>
      <c r="P5993">
        <v>0.99257550000000005</v>
      </c>
      <c r="Q5993">
        <v>9.2678209999999997E-2</v>
      </c>
      <c r="R5993">
        <v>7.877017E-2</v>
      </c>
      <c r="S5993">
        <v>3.1286320000000001</v>
      </c>
      <c r="T5993">
        <v>-1.0876509999999999</v>
      </c>
      <c r="U5993">
        <v>-0.13908389999999901</v>
      </c>
      <c r="V5993">
        <v>-7.5637289999999996E-2</v>
      </c>
      <c r="W5993">
        <v>0.1135786</v>
      </c>
      <c r="X5993">
        <v>0.99064569999999996</v>
      </c>
      <c r="Y5993">
        <v>4.4641109999999998E-2</v>
      </c>
      <c r="Z5993">
        <v>-9.0288580000000007E-3</v>
      </c>
      <c r="AA5993">
        <v>0.99896229999999997</v>
      </c>
      <c r="AB5993">
        <v>10</v>
      </c>
      <c r="AC5993">
        <v>0.61529999999998997</v>
      </c>
      <c r="AD5993">
        <v>-0.250478599999999</v>
      </c>
      <c r="AE5993">
        <v>-3.17000000000007E-2</v>
      </c>
      <c r="AF5993">
        <v>2.88837891686313E-2</v>
      </c>
      <c r="AG5993">
        <v>-0.250478599999999</v>
      </c>
      <c r="AH5993">
        <v>0.52793907072162505</v>
      </c>
      <c r="AI5993">
        <v>115.34867257562701</v>
      </c>
      <c r="AJ5993">
        <v>86.868443577164498</v>
      </c>
      <c r="AK5993">
        <v>0.58505851393609398</v>
      </c>
      <c r="AL5993">
        <v>83.478352338541001</v>
      </c>
      <c r="AM5993">
        <v>94.366147909039</v>
      </c>
      <c r="AN5993">
        <v>1.00000000047249</v>
      </c>
    </row>
    <row r="5994" spans="1:40" x14ac:dyDescent="0.25">
      <c r="A5994" t="str">
        <f>"20190303162723115"</f>
        <v>20190303162723115</v>
      </c>
      <c r="B5994" t="str">
        <f>"1551601643100293"</f>
        <v>1551601643100293</v>
      </c>
      <c r="C5994" t="s">
        <v>40</v>
      </c>
      <c r="D5994">
        <v>5.364916</v>
      </c>
      <c r="E5994">
        <v>0.54730290000000004</v>
      </c>
      <c r="F5994" t="s">
        <v>42</v>
      </c>
      <c r="G5994">
        <v>-135.6388</v>
      </c>
      <c r="H5994">
        <v>0.88149519999999904</v>
      </c>
      <c r="I5994">
        <v>138.7431</v>
      </c>
      <c r="J5994">
        <v>-136.23840000000001</v>
      </c>
      <c r="K5994">
        <v>1.12226</v>
      </c>
      <c r="L5994">
        <v>138.77289999999999</v>
      </c>
      <c r="M5994">
        <v>0.99977749999999999</v>
      </c>
      <c r="N5994">
        <v>-2.0927210000000002E-2</v>
      </c>
      <c r="O5994">
        <v>2.674385E-3</v>
      </c>
      <c r="P5994">
        <v>0.99209740000000002</v>
      </c>
      <c r="Q5994">
        <v>9.6977460000000001E-2</v>
      </c>
      <c r="R5994">
        <v>7.9613879999999998E-2</v>
      </c>
      <c r="S5994">
        <v>3.1333160000000002</v>
      </c>
      <c r="T5994">
        <v>-1.0733029999999999</v>
      </c>
      <c r="U5994">
        <v>-0.1343384</v>
      </c>
      <c r="V5994">
        <v>-7.6992089999999999E-2</v>
      </c>
      <c r="W5994">
        <v>0.1177016</v>
      </c>
      <c r="X5994">
        <v>0.99005989999999999</v>
      </c>
      <c r="Y5994">
        <v>4.2779249999999998E-2</v>
      </c>
      <c r="Z5994">
        <v>-8.4176500000000005E-3</v>
      </c>
      <c r="AA5994">
        <v>0.99904910000000002</v>
      </c>
      <c r="AB5994">
        <v>9</v>
      </c>
      <c r="AC5994">
        <v>0.59960000000000901</v>
      </c>
      <c r="AD5994">
        <v>-0.2407648</v>
      </c>
      <c r="AE5994">
        <v>-2.97999999999944E-2</v>
      </c>
      <c r="AF5994">
        <v>2.7052680156430101E-2</v>
      </c>
      <c r="AG5994">
        <v>-0.2407648</v>
      </c>
      <c r="AH5994">
        <v>0.51645245260630601</v>
      </c>
      <c r="AI5994">
        <v>114.964398820659</v>
      </c>
      <c r="AJ5994">
        <v>87.001487628444707</v>
      </c>
      <c r="AK5994">
        <v>0.57045830016378496</v>
      </c>
      <c r="AL5994">
        <v>83.240526310560796</v>
      </c>
      <c r="AM5994">
        <v>94.446661848627798</v>
      </c>
      <c r="AN5994">
        <v>1.0000000270765601</v>
      </c>
    </row>
    <row r="5995" spans="1:40" x14ac:dyDescent="0.25">
      <c r="A5995" t="str">
        <f>"20190303162723149"</f>
        <v>20190303162723149</v>
      </c>
      <c r="B5995" t="str">
        <f>"1551601643140308"</f>
        <v>1551601643140308</v>
      </c>
      <c r="C5995" t="s">
        <v>40</v>
      </c>
      <c r="D5995">
        <v>5.4036010000000001</v>
      </c>
      <c r="E5995">
        <v>0.54744150000000003</v>
      </c>
      <c r="F5995" t="s">
        <v>42</v>
      </c>
      <c r="G5995">
        <v>-135.55279999999999</v>
      </c>
      <c r="H5995">
        <v>0.89097499999999996</v>
      </c>
      <c r="I5995">
        <v>138.7441</v>
      </c>
      <c r="J5995">
        <v>-136.1045</v>
      </c>
      <c r="K5995">
        <v>1.1223019999999999</v>
      </c>
      <c r="L5995">
        <v>138.77269999999999</v>
      </c>
      <c r="M5995">
        <v>0.99978180000000005</v>
      </c>
      <c r="N5995">
        <v>-2.0781529999999999E-2</v>
      </c>
      <c r="O5995">
        <v>2.1469950000000001E-3</v>
      </c>
      <c r="P5995">
        <v>0.99152819999999997</v>
      </c>
      <c r="Q5995">
        <v>0.1004029</v>
      </c>
      <c r="R5995">
        <v>8.2410440000000001E-2</v>
      </c>
      <c r="S5995">
        <v>3.1379090000000001</v>
      </c>
      <c r="T5995">
        <v>-1.0584899999999999</v>
      </c>
      <c r="U5995">
        <v>-0.1315308</v>
      </c>
      <c r="V5995">
        <v>-8.0315079999999997E-2</v>
      </c>
      <c r="W5995">
        <v>0.1209673</v>
      </c>
      <c r="X5995">
        <v>0.98940209999999995</v>
      </c>
      <c r="Y5995">
        <v>4.1478969999999997E-2</v>
      </c>
      <c r="Z5995">
        <v>-7.9092720000000002E-3</v>
      </c>
      <c r="AA5995">
        <v>0.99910810000000005</v>
      </c>
      <c r="AB5995">
        <v>9</v>
      </c>
      <c r="AC5995">
        <v>0.55170000000001096</v>
      </c>
      <c r="AD5995">
        <v>-0.231327</v>
      </c>
      <c r="AE5995">
        <v>-2.8599999999983E-2</v>
      </c>
      <c r="AF5995">
        <v>2.53413357343861E-2</v>
      </c>
      <c r="AG5995">
        <v>-0.231327</v>
      </c>
      <c r="AH5995">
        <v>0.46934272975328201</v>
      </c>
      <c r="AI5995">
        <v>116.20445105783701</v>
      </c>
      <c r="AJ5995">
        <v>86.909416057914996</v>
      </c>
      <c r="AK5995">
        <v>0.52386731354233695</v>
      </c>
      <c r="AL5995">
        <v>83.052068916938495</v>
      </c>
      <c r="AM5995">
        <v>94.6408303703748</v>
      </c>
      <c r="AN5995">
        <v>1.00000005761455</v>
      </c>
    </row>
    <row r="5996" spans="1:40" x14ac:dyDescent="0.25">
      <c r="A5996" t="str">
        <f>"20190303162723181"</f>
        <v>20190303162723181</v>
      </c>
      <c r="B5996" t="str">
        <f>"1551601643170565"</f>
        <v>1551601643170565</v>
      </c>
      <c r="C5996" t="s">
        <v>40</v>
      </c>
      <c r="D5996">
        <v>5.4066739999999998</v>
      </c>
      <c r="E5996">
        <v>0.54751530000000004</v>
      </c>
      <c r="F5996" t="s">
        <v>42</v>
      </c>
      <c r="G5996">
        <v>-135.3954</v>
      </c>
      <c r="H5996">
        <v>0.88642880000000002</v>
      </c>
      <c r="I5996">
        <v>138.7448</v>
      </c>
      <c r="J5996">
        <v>-135.97569999999999</v>
      </c>
      <c r="K5996">
        <v>1.122322</v>
      </c>
      <c r="L5996">
        <v>138.77250000000001</v>
      </c>
      <c r="M5996">
        <v>0.99978389999999995</v>
      </c>
      <c r="N5996">
        <v>-2.0714570000000002E-2</v>
      </c>
      <c r="O5996">
        <v>1.7349799999999999E-3</v>
      </c>
      <c r="P5996">
        <v>0.99097880000000005</v>
      </c>
      <c r="Q5996">
        <v>0.10187889999999999</v>
      </c>
      <c r="R5996">
        <v>8.7072460000000004E-2</v>
      </c>
      <c r="S5996">
        <v>3.1416780000000002</v>
      </c>
      <c r="T5996">
        <v>-1.0450090000000001</v>
      </c>
      <c r="U5996">
        <v>-0.1230774</v>
      </c>
      <c r="V5996">
        <v>-8.5383650000000005E-2</v>
      </c>
      <c r="W5996">
        <v>0.1223664</v>
      </c>
      <c r="X5996">
        <v>0.98880539999999995</v>
      </c>
      <c r="Y5996">
        <v>3.858545E-2</v>
      </c>
      <c r="Z5996">
        <v>-7.1844839999999997E-3</v>
      </c>
      <c r="AA5996">
        <v>0.99922949999999999</v>
      </c>
      <c r="AB5996">
        <v>9</v>
      </c>
      <c r="AC5996">
        <v>0.58029999999999404</v>
      </c>
      <c r="AD5996">
        <v>-0.2358932</v>
      </c>
      <c r="AE5996">
        <v>-2.7700000000010001E-2</v>
      </c>
      <c r="AF5996">
        <v>2.4643972370904502E-2</v>
      </c>
      <c r="AG5996">
        <v>-0.2358932</v>
      </c>
      <c r="AH5996">
        <v>0.49812586968231398</v>
      </c>
      <c r="AI5996">
        <v>115.313350715468</v>
      </c>
      <c r="AJ5996">
        <v>87.167693198717501</v>
      </c>
      <c r="AK5996">
        <v>0.55170853648209905</v>
      </c>
      <c r="AL5996">
        <v>82.971306077208098</v>
      </c>
      <c r="AM5996">
        <v>94.935266055518994</v>
      </c>
      <c r="AN5996">
        <v>1.0000000113027201</v>
      </c>
    </row>
    <row r="5997" spans="1:40" x14ac:dyDescent="0.25">
      <c r="A5997" t="str">
        <f>"20190303162723216"</f>
        <v>20190303162723216</v>
      </c>
      <c r="B5997" t="str">
        <f>"1551601643210581"</f>
        <v>1551601643210581</v>
      </c>
      <c r="C5997" t="s">
        <v>40</v>
      </c>
      <c r="D5997">
        <v>5.4094170000000004</v>
      </c>
      <c r="E5997">
        <v>0.54758079999999998</v>
      </c>
      <c r="F5997" t="s">
        <v>42</v>
      </c>
      <c r="G5997">
        <v>-135.31039999999999</v>
      </c>
      <c r="H5997">
        <v>0.90239049999999998</v>
      </c>
      <c r="I5997">
        <v>138.74969999999999</v>
      </c>
      <c r="J5997">
        <v>-135.84569999999999</v>
      </c>
      <c r="K5997">
        <v>1.122333</v>
      </c>
      <c r="L5997">
        <v>138.7723</v>
      </c>
      <c r="M5997">
        <v>0.99978469999999997</v>
      </c>
      <c r="N5997">
        <v>-2.0711230000000001E-2</v>
      </c>
      <c r="O5997">
        <v>1.3566819999999999E-3</v>
      </c>
      <c r="P5997">
        <v>0.99029590000000001</v>
      </c>
      <c r="Q5997">
        <v>0.1022076</v>
      </c>
      <c r="R5997">
        <v>9.4169299999999997E-2</v>
      </c>
      <c r="S5997">
        <v>3.1436000000000002</v>
      </c>
      <c r="T5997">
        <v>-1.039113</v>
      </c>
      <c r="U5997">
        <v>-0.10743709999999999</v>
      </c>
      <c r="V5997">
        <v>-9.2848410000000006E-2</v>
      </c>
      <c r="W5997">
        <v>0.1226815</v>
      </c>
      <c r="X5997">
        <v>0.98809329999999995</v>
      </c>
      <c r="Y5997">
        <v>3.3548080000000001E-2</v>
      </c>
      <c r="Z5997">
        <v>-6.1659139999999998E-3</v>
      </c>
      <c r="AA5997">
        <v>0.99941809999999998</v>
      </c>
      <c r="AB5997">
        <v>9</v>
      </c>
      <c r="AC5997">
        <v>0.53530000000000599</v>
      </c>
      <c r="AD5997">
        <v>-0.21994250000000001</v>
      </c>
      <c r="AE5997">
        <v>-2.2600000000011201E-2</v>
      </c>
      <c r="AF5997">
        <v>1.9962324076517001E-2</v>
      </c>
      <c r="AG5997">
        <v>-0.21994250000000001</v>
      </c>
      <c r="AH5997">
        <v>0.45807433878839998</v>
      </c>
      <c r="AI5997">
        <v>115.626595812321</v>
      </c>
      <c r="AJ5997">
        <v>87.504698242965603</v>
      </c>
      <c r="AK5997">
        <v>0.50853249408982304</v>
      </c>
      <c r="AL5997">
        <v>82.953114851386502</v>
      </c>
      <c r="AM5997">
        <v>95.368163844581204</v>
      </c>
      <c r="AN5997">
        <v>0.99999997359333304</v>
      </c>
    </row>
    <row r="5998" spans="1:40" x14ac:dyDescent="0.25">
      <c r="A5998" t="str">
        <f>"20190303162723249"</f>
        <v>20190303162723249</v>
      </c>
      <c r="B5998" t="str">
        <f>"1551601643240836"</f>
        <v>1551601643240836</v>
      </c>
      <c r="C5998" t="s">
        <v>40</v>
      </c>
      <c r="D5998">
        <v>5.4581900000000001</v>
      </c>
      <c r="E5998">
        <v>0.54758640000000003</v>
      </c>
      <c r="F5998" t="s">
        <v>42</v>
      </c>
      <c r="G5998">
        <v>-135.16159999999999</v>
      </c>
      <c r="H5998">
        <v>0.89679799999999998</v>
      </c>
      <c r="I5998">
        <v>138.75280000000001</v>
      </c>
      <c r="J5998">
        <v>-135.72470000000001</v>
      </c>
      <c r="K5998">
        <v>1.1223270000000001</v>
      </c>
      <c r="L5998">
        <v>138.77209999999999</v>
      </c>
      <c r="M5998">
        <v>0.99978460000000002</v>
      </c>
      <c r="N5998">
        <v>-2.073473E-2</v>
      </c>
      <c r="O5998">
        <v>1.0061880000000001E-3</v>
      </c>
      <c r="P5998">
        <v>0.98905460000000001</v>
      </c>
      <c r="Q5998">
        <v>0.10647760000000001</v>
      </c>
      <c r="R5998">
        <v>0.1021455</v>
      </c>
      <c r="S5998">
        <v>3.144943</v>
      </c>
      <c r="T5998">
        <v>-1.0368329999999999</v>
      </c>
      <c r="U5998">
        <v>-8.9813229999999994E-2</v>
      </c>
      <c r="V5998">
        <v>-0.10116120000000001</v>
      </c>
      <c r="W5998">
        <v>0.1269556</v>
      </c>
      <c r="X5998">
        <v>0.98673639999999996</v>
      </c>
      <c r="Y5998">
        <v>2.792996E-2</v>
      </c>
      <c r="Z5998">
        <v>-5.0847879999999998E-3</v>
      </c>
      <c r="AA5998">
        <v>0.99959699999999996</v>
      </c>
      <c r="AB5998">
        <v>9</v>
      </c>
      <c r="AC5998">
        <v>0.56310000000001903</v>
      </c>
      <c r="AD5998">
        <v>-0.22552900000000001</v>
      </c>
      <c r="AE5998">
        <v>-1.9299999999986901E-2</v>
      </c>
      <c r="AF5998">
        <v>1.7123176198041799E-2</v>
      </c>
      <c r="AG5998">
        <v>-0.22552900000000001</v>
      </c>
      <c r="AH5998">
        <v>0.48532090147687201</v>
      </c>
      <c r="AI5998">
        <v>114.910712055434</v>
      </c>
      <c r="AJ5998">
        <v>87.979318563750397</v>
      </c>
      <c r="AK5998">
        <v>0.53543712087828998</v>
      </c>
      <c r="AL5998">
        <v>82.706296858741098</v>
      </c>
      <c r="AM5998">
        <v>95.8535695463313</v>
      </c>
      <c r="AN5998">
        <v>1.0000000179208699</v>
      </c>
    </row>
    <row r="5999" spans="1:40" x14ac:dyDescent="0.25">
      <c r="A5999" t="str">
        <f>"20190303162723283"</f>
        <v>20190303162723283</v>
      </c>
      <c r="B5999" t="str">
        <f>"1551601643270117"</f>
        <v>1551601643270117</v>
      </c>
      <c r="C5999" t="s">
        <v>40</v>
      </c>
      <c r="D5999">
        <v>5.5027530000000002</v>
      </c>
      <c r="E5999">
        <v>0.54759789999999997</v>
      </c>
      <c r="F5999" t="s">
        <v>42</v>
      </c>
      <c r="G5999">
        <v>-135.01759999999999</v>
      </c>
      <c r="H5999">
        <v>0.89265869999999903</v>
      </c>
      <c r="I5999">
        <v>138.75729999999999</v>
      </c>
      <c r="J5999">
        <v>-135.6026</v>
      </c>
      <c r="K5999">
        <v>1.1223050000000001</v>
      </c>
      <c r="L5999">
        <v>138.77189999999999</v>
      </c>
      <c r="M5999">
        <v>0.99978400000000001</v>
      </c>
      <c r="N5999">
        <v>-2.077383E-2</v>
      </c>
      <c r="O5999">
        <v>6.29943E-4</v>
      </c>
      <c r="P5999">
        <v>0.98794870000000001</v>
      </c>
      <c r="Q5999">
        <v>0.1067171</v>
      </c>
      <c r="R5999">
        <v>0.1121101</v>
      </c>
      <c r="S5999">
        <v>3.1501920000000001</v>
      </c>
      <c r="T5999">
        <v>-1.0232330000000001</v>
      </c>
      <c r="U5999">
        <v>-6.6146849999999993E-2</v>
      </c>
      <c r="V5999">
        <v>-0.1114851</v>
      </c>
      <c r="W5999">
        <v>0.12722139999999901</v>
      </c>
      <c r="X5999">
        <v>0.98558900000000005</v>
      </c>
      <c r="Y5999">
        <v>2.0471349999999999E-2</v>
      </c>
      <c r="Z5999">
        <v>-3.646084E-3</v>
      </c>
      <c r="AA5999">
        <v>0.9997838</v>
      </c>
      <c r="AB5999">
        <v>8</v>
      </c>
      <c r="AC5999">
        <v>0.58500000000000696</v>
      </c>
      <c r="AD5999">
        <v>-0.2296463</v>
      </c>
      <c r="AE5999">
        <v>-1.4600000000001501E-2</v>
      </c>
      <c r="AF5999">
        <v>1.2970987497165199E-2</v>
      </c>
      <c r="AG5999">
        <v>-0.2296463</v>
      </c>
      <c r="AH5999">
        <v>0.50692183996015305</v>
      </c>
      <c r="AI5999">
        <v>114.36448324434799</v>
      </c>
      <c r="AJ5999">
        <v>88.534249958407202</v>
      </c>
      <c r="AK5999">
        <v>0.55666455019960503</v>
      </c>
      <c r="AL5999">
        <v>82.690942604015802</v>
      </c>
      <c r="AM5999">
        <v>96.453592354821296</v>
      </c>
      <c r="AN5999">
        <v>0.99999994453048302</v>
      </c>
    </row>
    <row r="6000" spans="1:40" x14ac:dyDescent="0.25">
      <c r="A6000" t="str">
        <f>"20190303162723315"</f>
        <v>20190303162723315</v>
      </c>
      <c r="B6000" t="str">
        <f>"1551601643310134"</f>
        <v>1551601643310134</v>
      </c>
      <c r="C6000" t="s">
        <v>40</v>
      </c>
      <c r="D6000">
        <v>5.5071240000000001</v>
      </c>
      <c r="E6000">
        <v>0.54761280000000001</v>
      </c>
      <c r="F6000" t="s">
        <v>42</v>
      </c>
      <c r="G6000">
        <v>-134.88120000000001</v>
      </c>
      <c r="H6000">
        <v>0.88782890000000003</v>
      </c>
      <c r="I6000">
        <v>138.76439999999999</v>
      </c>
      <c r="J6000">
        <v>-135.49379999999999</v>
      </c>
      <c r="K6000">
        <v>1.1225430000000001</v>
      </c>
      <c r="L6000">
        <v>138.77160000000001</v>
      </c>
      <c r="M6000">
        <v>0.99976259999999995</v>
      </c>
      <c r="N6000">
        <v>-2.1786070000000001E-2</v>
      </c>
      <c r="O6000">
        <v>2.7707250000000001E-4</v>
      </c>
      <c r="P6000">
        <v>0.98691289999999998</v>
      </c>
      <c r="Q6000">
        <v>0.107708399999999</v>
      </c>
      <c r="R6000">
        <v>0.120008199999999</v>
      </c>
      <c r="S6000">
        <v>3.1508940000000001</v>
      </c>
      <c r="T6000">
        <v>-1.0241690000000001</v>
      </c>
      <c r="U6000">
        <v>-3.2409670000000002E-2</v>
      </c>
      <c r="V6000">
        <v>-0.119726399999999</v>
      </c>
      <c r="W6000">
        <v>0.129192</v>
      </c>
      <c r="X6000">
        <v>0.9843653</v>
      </c>
      <c r="Y6000">
        <v>9.9987879999999998E-3</v>
      </c>
      <c r="Z6000">
        <v>-1.7779370000000001E-3</v>
      </c>
      <c r="AA6000">
        <v>0.99994839999999996</v>
      </c>
      <c r="AB6000">
        <v>8</v>
      </c>
      <c r="AC6000">
        <v>0.61259999999998604</v>
      </c>
      <c r="AD6000">
        <v>-0.23471410000000001</v>
      </c>
      <c r="AE6000">
        <v>-7.2000000000116398E-3</v>
      </c>
      <c r="AF6000">
        <v>6.4264985944719501E-3</v>
      </c>
      <c r="AG6000">
        <v>-0.23471410000000001</v>
      </c>
      <c r="AH6000">
        <v>0.53419002063537502</v>
      </c>
      <c r="AI6000">
        <v>113.718351136366</v>
      </c>
      <c r="AJ6000">
        <v>89.310744360352302</v>
      </c>
      <c r="AK6000">
        <v>0.58351605527990202</v>
      </c>
      <c r="AL6000">
        <v>82.577096509277993</v>
      </c>
      <c r="AM6000">
        <v>96.934710020018301</v>
      </c>
      <c r="AN6000">
        <v>1.00000001378252</v>
      </c>
    </row>
    <row r="6001" spans="1:40" x14ac:dyDescent="0.25">
      <c r="A6001" t="str">
        <f>"20190303162723350"</f>
        <v>20190303162723350</v>
      </c>
      <c r="B6001" t="str">
        <f>"1551601643340388"</f>
        <v>1551601643340388</v>
      </c>
      <c r="C6001" t="s">
        <v>40</v>
      </c>
      <c r="D6001">
        <v>5.4959740000000004</v>
      </c>
      <c r="E6001">
        <v>0.5476145</v>
      </c>
      <c r="F6001" t="s">
        <v>42</v>
      </c>
      <c r="G6001">
        <v>-134.8107</v>
      </c>
      <c r="H6001">
        <v>0.90048850000000003</v>
      </c>
      <c r="I6001">
        <v>138.77090000000001</v>
      </c>
      <c r="J6001">
        <v>-135.3869</v>
      </c>
      <c r="K6001">
        <v>1.122603</v>
      </c>
      <c r="L6001">
        <v>138.77119999999999</v>
      </c>
      <c r="M6001">
        <v>0.99974980000000002</v>
      </c>
      <c r="N6001">
        <v>-2.2367930000000001E-2</v>
      </c>
      <c r="O6001">
        <v>-1.4586530000000001E-4</v>
      </c>
      <c r="P6001">
        <v>0.98534790000000005</v>
      </c>
      <c r="Q6001">
        <v>0.1134785</v>
      </c>
      <c r="R6001">
        <v>0.12732789999999999</v>
      </c>
      <c r="S6001">
        <v>3.1519170000000001</v>
      </c>
      <c r="T6001">
        <v>-1.0245610000000001</v>
      </c>
      <c r="U6001">
        <v>-2.4566649999999998E-3</v>
      </c>
      <c r="V6001">
        <v>-0.1274527</v>
      </c>
      <c r="W6001">
        <v>0.13550789999999999</v>
      </c>
      <c r="X6001">
        <v>0.98254439999999998</v>
      </c>
      <c r="Y6001">
        <v>6.0652690000000001E-4</v>
      </c>
      <c r="Z6001" s="1">
        <v>-6.0033020000000001E-5</v>
      </c>
      <c r="AA6001">
        <v>0.99999979999999999</v>
      </c>
      <c r="AB6001">
        <v>8</v>
      </c>
      <c r="AC6001">
        <v>0.57620000000000005</v>
      </c>
      <c r="AD6001">
        <v>-0.22211449999999999</v>
      </c>
      <c r="AE6001">
        <v>-2.9999999998153699E-4</v>
      </c>
      <c r="AF6001">
        <v>1.8799592971234001E-4</v>
      </c>
      <c r="AG6001">
        <v>-0.22211449999999999</v>
      </c>
      <c r="AH6001">
        <v>0.50165595594421197</v>
      </c>
      <c r="AI6001">
        <v>113.881969994351</v>
      </c>
      <c r="AJ6001">
        <v>89.978528366490394</v>
      </c>
      <c r="AK6001">
        <v>0.54862882223505205</v>
      </c>
      <c r="AL6001">
        <v>82.212010011086804</v>
      </c>
      <c r="AM6001">
        <v>97.390965636369899</v>
      </c>
      <c r="AN6001">
        <v>1.00000003983552</v>
      </c>
    </row>
    <row r="6002" spans="1:40" x14ac:dyDescent="0.25">
      <c r="A6002" t="str">
        <f>"20190303162723383"</f>
        <v>20190303162723383</v>
      </c>
      <c r="B6002" t="str">
        <f>"1551601643370645"</f>
        <v>1551601643370645</v>
      </c>
      <c r="C6002" t="s">
        <v>40</v>
      </c>
      <c r="D6002">
        <v>5.5193399999999997</v>
      </c>
      <c r="E6002">
        <v>0.54762819999999901</v>
      </c>
      <c r="F6002" t="s">
        <v>42</v>
      </c>
      <c r="G6002">
        <v>-134.68539999999999</v>
      </c>
      <c r="H6002">
        <v>0.89873719999999901</v>
      </c>
      <c r="I6002">
        <v>138.77529999999999</v>
      </c>
      <c r="J6002">
        <v>-135.2833</v>
      </c>
      <c r="K6002">
        <v>1.122414</v>
      </c>
      <c r="L6002">
        <v>138.7706</v>
      </c>
      <c r="M6002">
        <v>0.99975800000000004</v>
      </c>
      <c r="N6002">
        <v>-2.1990429999999998E-2</v>
      </c>
      <c r="O6002">
        <v>-6.4523650000000005E-4</v>
      </c>
      <c r="P6002">
        <v>0.98336140000000005</v>
      </c>
      <c r="Q6002">
        <v>0.1228081</v>
      </c>
      <c r="R6002">
        <v>0.13386110000000001</v>
      </c>
      <c r="S6002">
        <v>3.1582029999999999</v>
      </c>
      <c r="T6002">
        <v>-1.0077240000000001</v>
      </c>
      <c r="U6002">
        <v>1.9042969999999999E-2</v>
      </c>
      <c r="V6002">
        <v>-0.13445670000000001</v>
      </c>
      <c r="W6002">
        <v>0.14443699999999901</v>
      </c>
      <c r="X6002">
        <v>0.98033630000000005</v>
      </c>
      <c r="Y6002">
        <v>-6.310983E-3</v>
      </c>
      <c r="Z6002">
        <v>1.2406749999999999E-3</v>
      </c>
      <c r="AA6002">
        <v>0.99997930000000002</v>
      </c>
      <c r="AB6002">
        <v>7</v>
      </c>
      <c r="AC6002">
        <v>0.59790000000000898</v>
      </c>
      <c r="AD6002">
        <v>-0.22367680000000001</v>
      </c>
      <c r="AE6002">
        <v>4.6999999999854901E-3</v>
      </c>
      <c r="AF6002">
        <v>-4.4615121185738E-3</v>
      </c>
      <c r="AG6002">
        <v>-0.22367680000000001</v>
      </c>
      <c r="AH6002">
        <v>0.52449613679242202</v>
      </c>
      <c r="AI6002">
        <v>113.095577090354</v>
      </c>
      <c r="AJ6002">
        <v>90.487362311277593</v>
      </c>
      <c r="AK6002">
        <v>0.57021698804823295</v>
      </c>
      <c r="AL6002">
        <v>81.695321160503994</v>
      </c>
      <c r="AM6002">
        <v>97.809599326920605</v>
      </c>
      <c r="AN6002">
        <v>0.99999995612078896</v>
      </c>
    </row>
    <row r="6003" spans="1:40" x14ac:dyDescent="0.25">
      <c r="A6003" t="str">
        <f>"20190303162723417"</f>
        <v>20190303162723417</v>
      </c>
      <c r="B6003" t="str">
        <f>"1551601643410661"</f>
        <v>1551601643410661</v>
      </c>
      <c r="C6003" t="s">
        <v>40</v>
      </c>
      <c r="D6003">
        <v>5.5648809999999997</v>
      </c>
      <c r="E6003">
        <v>0.53520259999999997</v>
      </c>
      <c r="F6003" t="s">
        <v>42</v>
      </c>
      <c r="G6003">
        <v>-134.56280000000001</v>
      </c>
      <c r="H6003">
        <v>0.89957790000000004</v>
      </c>
      <c r="I6003">
        <v>138.77979999999999</v>
      </c>
      <c r="J6003">
        <v>-135.18389999999999</v>
      </c>
      <c r="K6003">
        <v>1.122406</v>
      </c>
      <c r="L6003">
        <v>138.76990000000001</v>
      </c>
      <c r="M6003">
        <v>0.99975809999999998</v>
      </c>
      <c r="N6003">
        <v>-2.197004E-2</v>
      </c>
      <c r="O6003">
        <v>-1.1944760000000001E-3</v>
      </c>
      <c r="P6003">
        <v>0.98161080000000001</v>
      </c>
      <c r="Q6003">
        <v>0.12970139999999999</v>
      </c>
      <c r="R6003">
        <v>0.1400652</v>
      </c>
      <c r="S6003">
        <v>3.1675420000000001</v>
      </c>
      <c r="T6003">
        <v>-0.97961290000000001</v>
      </c>
      <c r="U6003">
        <v>4.0801999999999998E-2</v>
      </c>
      <c r="V6003">
        <v>-0.1411926</v>
      </c>
      <c r="W6003">
        <v>0.15127470000000001</v>
      </c>
      <c r="X6003">
        <v>0.97835609999999995</v>
      </c>
      <c r="Y6003">
        <v>-1.335618E-2</v>
      </c>
      <c r="Z6003">
        <v>2.5036889999999999E-3</v>
      </c>
      <c r="AA6003">
        <v>0.99990769999999995</v>
      </c>
      <c r="AB6003">
        <v>7</v>
      </c>
      <c r="AC6003">
        <v>0.621099999999984</v>
      </c>
      <c r="AD6003">
        <v>-0.2228281</v>
      </c>
      <c r="AE6003">
        <v>9.8999999999875802E-3</v>
      </c>
      <c r="AF6003">
        <v>-9.4287783849921394E-3</v>
      </c>
      <c r="AG6003">
        <v>-0.2228281</v>
      </c>
      <c r="AH6003">
        <v>0.550278613804567</v>
      </c>
      <c r="AI6003">
        <v>112.041914577157</v>
      </c>
      <c r="AJ6003">
        <v>90.981641543077302</v>
      </c>
      <c r="AK6003">
        <v>0.59375737201496603</v>
      </c>
      <c r="AL6003">
        <v>81.299195682103104</v>
      </c>
      <c r="AM6003">
        <v>98.212009442087407</v>
      </c>
      <c r="AN6003">
        <v>1.0000000217810201</v>
      </c>
    </row>
    <row r="6004" spans="1:40" x14ac:dyDescent="0.25">
      <c r="A6004" t="str">
        <f>"20190303162723484"</f>
        <v>20190303162723484</v>
      </c>
      <c r="B6004" t="str">
        <f>"1551601643470703"</f>
        <v>1551601643470703</v>
      </c>
      <c r="C6004" t="s">
        <v>40</v>
      </c>
      <c r="D6004">
        <v>5.5892299999999997</v>
      </c>
      <c r="E6004">
        <v>0.50499430000000001</v>
      </c>
      <c r="F6004" t="s">
        <v>42</v>
      </c>
      <c r="G6004">
        <v>-134.47810000000001</v>
      </c>
      <c r="H6004">
        <v>0.95536909999999997</v>
      </c>
      <c r="I6004">
        <v>138.8056</v>
      </c>
      <c r="J6004">
        <v>-134.9984</v>
      </c>
      <c r="K6004">
        <v>1.1223479999999999</v>
      </c>
      <c r="L6004">
        <v>138.76830000000001</v>
      </c>
      <c r="M6004">
        <v>0.99976030000000005</v>
      </c>
      <c r="N6004">
        <v>-2.1772550000000002E-2</v>
      </c>
      <c r="O6004">
        <v>-2.3877379999999999E-3</v>
      </c>
      <c r="P6004">
        <v>0.98065550000000001</v>
      </c>
      <c r="Q6004">
        <v>0.13305120000000001</v>
      </c>
      <c r="R6004">
        <v>0.143569899999999</v>
      </c>
      <c r="S6004">
        <v>3.1315460000000002</v>
      </c>
      <c r="T6004">
        <v>-0.74117880000000003</v>
      </c>
      <c r="U6004">
        <v>0.1583405</v>
      </c>
      <c r="V6004">
        <v>-0.14587</v>
      </c>
      <c r="W6004">
        <v>0.15440319999999999</v>
      </c>
      <c r="X6004">
        <v>0.97718039999999995</v>
      </c>
      <c r="Y6004">
        <v>-5.1282080000000001E-2</v>
      </c>
      <c r="Z6004">
        <v>7.0551829999999996E-3</v>
      </c>
      <c r="AA6004">
        <v>0.99865930000000003</v>
      </c>
      <c r="AB6004">
        <v>6</v>
      </c>
      <c r="AC6004">
        <v>0.52029999999999099</v>
      </c>
      <c r="AD6004">
        <v>-0.16697890000000001</v>
      </c>
      <c r="AE6004">
        <v>3.72999999999876E-2</v>
      </c>
      <c r="AF6004">
        <v>-3.4960216357896097E-2</v>
      </c>
      <c r="AG6004">
        <v>-0.16697890000000001</v>
      </c>
      <c r="AH6004">
        <v>0.47185888530197401</v>
      </c>
      <c r="AI6004">
        <v>109.438311755322</v>
      </c>
      <c r="AJ6004">
        <v>94.237325438469398</v>
      </c>
      <c r="AK6004">
        <v>0.50175190822897897</v>
      </c>
      <c r="AL6004">
        <v>81.117814267613397</v>
      </c>
      <c r="AM6004">
        <v>98.490215982694394</v>
      </c>
      <c r="AN6004">
        <v>0.99999996960719895</v>
      </c>
    </row>
    <row r="6005" spans="1:40" x14ac:dyDescent="0.25">
      <c r="A6005" t="str">
        <f>"20190303162723517"</f>
        <v>20190303162723517</v>
      </c>
      <c r="B6005" t="str">
        <f>"1551601643510719"</f>
        <v>1551601643510719</v>
      </c>
      <c r="C6005" t="s">
        <v>40</v>
      </c>
      <c r="D6005">
        <v>5.777711</v>
      </c>
      <c r="E6005">
        <v>0.50648409999999999</v>
      </c>
      <c r="F6005" t="s">
        <v>41</v>
      </c>
      <c r="G6005">
        <v>-112.485</v>
      </c>
      <c r="H6005" s="1">
        <v>-3.7733689999999999E-6</v>
      </c>
      <c r="I6005">
        <v>141.74780000000001</v>
      </c>
      <c r="J6005">
        <v>-134.91050000000001</v>
      </c>
      <c r="K6005">
        <v>1.1223179999999999</v>
      </c>
      <c r="L6005">
        <v>138.76730000000001</v>
      </c>
      <c r="M6005">
        <v>0.99976259999999995</v>
      </c>
      <c r="N6005">
        <v>-2.1582489999999999E-2</v>
      </c>
      <c r="O6005">
        <v>-2.965512E-3</v>
      </c>
      <c r="P6005">
        <v>0.98174839999999997</v>
      </c>
      <c r="Q6005">
        <v>0.13029389999999999</v>
      </c>
      <c r="R6005">
        <v>0.1385412</v>
      </c>
      <c r="S6005">
        <v>3.0210720000000002</v>
      </c>
      <c r="T6005">
        <v>-0.15060779999999999</v>
      </c>
      <c r="U6005">
        <v>0.39982600000000001</v>
      </c>
      <c r="V6005">
        <v>-0.14141529999999899</v>
      </c>
      <c r="W6005">
        <v>0.151477799999999</v>
      </c>
      <c r="X6005">
        <v>0.97829250000000001</v>
      </c>
      <c r="Y6005">
        <v>-0.1339052</v>
      </c>
      <c r="Z6005">
        <v>4.8573469999999997E-3</v>
      </c>
      <c r="AA6005">
        <v>0.99098220000000004</v>
      </c>
      <c r="AB6005">
        <v>6</v>
      </c>
      <c r="AC6005">
        <v>22.4255</v>
      </c>
      <c r="AD6005">
        <v>-1.1223217733690001</v>
      </c>
      <c r="AE6005">
        <v>2.9805000000000001</v>
      </c>
      <c r="AF6005">
        <v>-3.0395246139830099</v>
      </c>
      <c r="AG6005">
        <v>-1.1223217733690001</v>
      </c>
      <c r="AH6005">
        <v>22.3615245070045</v>
      </c>
      <c r="AI6005">
        <v>92.847118480489797</v>
      </c>
      <c r="AJ6005">
        <v>97.74057788879</v>
      </c>
      <c r="AK6005">
        <v>22.595045791486001</v>
      </c>
      <c r="AL6005">
        <v>81.287423171721002</v>
      </c>
      <c r="AM6005">
        <v>98.225312382057496</v>
      </c>
      <c r="AN6005">
        <v>1.0000000132615801</v>
      </c>
    </row>
    <row r="6006" spans="1:40" x14ac:dyDescent="0.25">
      <c r="A6006" t="str">
        <f>"20190303162723550"</f>
        <v>20190303162723550</v>
      </c>
      <c r="B6006" t="str">
        <f>"1551601643540975"</f>
        <v>1551601643540975</v>
      </c>
      <c r="C6006" t="s">
        <v>40</v>
      </c>
      <c r="D6006">
        <v>5.5762980000000004</v>
      </c>
      <c r="E6006">
        <v>0.50715319999999997</v>
      </c>
      <c r="F6006" t="s">
        <v>41</v>
      </c>
      <c r="G6006">
        <v>-118.9791</v>
      </c>
      <c r="H6006" s="1">
        <v>-7.139623E-7</v>
      </c>
      <c r="I6006">
        <v>140.72</v>
      </c>
      <c r="J6006">
        <v>-134.82749999999999</v>
      </c>
      <c r="K6006">
        <v>1.1223259999999999</v>
      </c>
      <c r="L6006">
        <v>138.7664</v>
      </c>
      <c r="M6006">
        <v>0.99976379999999998</v>
      </c>
      <c r="N6006">
        <v>-2.1450150000000001E-2</v>
      </c>
      <c r="O6006">
        <v>-3.5129530000000001E-3</v>
      </c>
      <c r="P6006">
        <v>0.98269059999999997</v>
      </c>
      <c r="Q6006">
        <v>0.1301158</v>
      </c>
      <c r="R6006">
        <v>0.1318686</v>
      </c>
      <c r="S6006">
        <v>3.0316770000000002</v>
      </c>
      <c r="T6006">
        <v>-0.2135724</v>
      </c>
      <c r="U6006">
        <v>0.37159730000000002</v>
      </c>
      <c r="V6006">
        <v>-0.13529059999999901</v>
      </c>
      <c r="W6006">
        <v>0.15118139999999999</v>
      </c>
      <c r="X6006">
        <v>0.97920410000000002</v>
      </c>
      <c r="Y6006">
        <v>-0.12474499999999999</v>
      </c>
      <c r="Z6006">
        <v>5.888646E-3</v>
      </c>
      <c r="AA6006">
        <v>0.99217129999999998</v>
      </c>
      <c r="AB6006">
        <v>6</v>
      </c>
      <c r="AC6006">
        <v>15.8483999999999</v>
      </c>
      <c r="AD6006">
        <v>-1.1223267139623001</v>
      </c>
      <c r="AE6006">
        <v>1.95359999999999</v>
      </c>
      <c r="AF6006">
        <v>-1.9993986018121901</v>
      </c>
      <c r="AG6006">
        <v>-1.1223267139623001</v>
      </c>
      <c r="AH6006">
        <v>15.7635672106136</v>
      </c>
      <c r="AI6006">
        <v>94.040184664424402</v>
      </c>
      <c r="AJ6006">
        <v>97.228608103407296</v>
      </c>
      <c r="AK6006">
        <v>15.9294464192995</v>
      </c>
      <c r="AL6006">
        <v>81.304603522564804</v>
      </c>
      <c r="AM6006">
        <v>97.866402711322394</v>
      </c>
      <c r="AN6006">
        <v>1.00000001580556</v>
      </c>
    </row>
    <row r="6007" spans="1:40" x14ac:dyDescent="0.25">
      <c r="A6007" t="str">
        <f>"20190303162723584"</f>
        <v>20190303162723584</v>
      </c>
      <c r="B6007" t="str">
        <f>"1551601643570762"</f>
        <v>1551601643570762</v>
      </c>
      <c r="C6007" t="s">
        <v>40</v>
      </c>
      <c r="D6007">
        <v>5.5869589999999896</v>
      </c>
      <c r="E6007">
        <v>0.50802269999999905</v>
      </c>
      <c r="F6007" t="s">
        <v>41</v>
      </c>
      <c r="G6007">
        <v>-120.22620000000001</v>
      </c>
      <c r="H6007" s="1">
        <v>-4.343079E-6</v>
      </c>
      <c r="I6007">
        <v>140.4282</v>
      </c>
      <c r="J6007">
        <v>-134.74780000000001</v>
      </c>
      <c r="K6007">
        <v>1.122315</v>
      </c>
      <c r="L6007">
        <v>138.7655</v>
      </c>
      <c r="M6007">
        <v>0.99976529999999997</v>
      </c>
      <c r="N6007">
        <v>-2.1286639999999999E-2</v>
      </c>
      <c r="O6007">
        <v>-4.0355900000000004E-3</v>
      </c>
      <c r="P6007">
        <v>0.98366299999999995</v>
      </c>
      <c r="Q6007">
        <v>0.1268581</v>
      </c>
      <c r="R6007">
        <v>0.12772709999999901</v>
      </c>
      <c r="S6007">
        <v>3.0373839999999999</v>
      </c>
      <c r="T6007">
        <v>-0.2334678</v>
      </c>
      <c r="U6007">
        <v>0.34568789999999999</v>
      </c>
      <c r="V6007">
        <v>-0.13167409999999999</v>
      </c>
      <c r="W6007">
        <v>0.14777680000000001</v>
      </c>
      <c r="X6007">
        <v>0.98021630000000004</v>
      </c>
      <c r="Y6007">
        <v>-0.1166495</v>
      </c>
      <c r="Z6007">
        <v>5.9333819999999897E-3</v>
      </c>
      <c r="AA6007">
        <v>0.99315540000000002</v>
      </c>
      <c r="AB6007">
        <v>6</v>
      </c>
      <c r="AC6007">
        <v>14.521599999999999</v>
      </c>
      <c r="AD6007">
        <v>-1.1223193430789999</v>
      </c>
      <c r="AE6007">
        <v>1.6627000000000001</v>
      </c>
      <c r="AF6007">
        <v>-1.7112138750217001</v>
      </c>
      <c r="AG6007">
        <v>-1.1223193430789999</v>
      </c>
      <c r="AH6007">
        <v>14.4296946935701</v>
      </c>
      <c r="AI6007">
        <v>94.416599033984497</v>
      </c>
      <c r="AJ6007">
        <v>96.763105778683496</v>
      </c>
      <c r="AK6007">
        <v>14.5740846224921</v>
      </c>
      <c r="AL6007">
        <v>81.501889423981694</v>
      </c>
      <c r="AM6007">
        <v>97.650837772025795</v>
      </c>
      <c r="AN6007">
        <v>1.00000002300736</v>
      </c>
    </row>
    <row r="6008" spans="1:40" x14ac:dyDescent="0.25">
      <c r="A6008" t="str">
        <f>"20190303162723618"</f>
        <v>20190303162723618</v>
      </c>
      <c r="B6008" t="str">
        <f>"1551601643610778"</f>
        <v>1551601643610778</v>
      </c>
      <c r="C6008" t="s">
        <v>40</v>
      </c>
      <c r="D6008">
        <v>5.7870629999999998</v>
      </c>
      <c r="E6008">
        <v>0.508434099999999</v>
      </c>
      <c r="F6008" t="s">
        <v>41</v>
      </c>
      <c r="G6008">
        <v>-121.78789999999999</v>
      </c>
      <c r="H6008" s="1">
        <v>-3.6478290000000002E-6</v>
      </c>
      <c r="I6008">
        <v>140.15209999999999</v>
      </c>
      <c r="J6008">
        <v>-134.67009999999999</v>
      </c>
      <c r="K6008">
        <v>1.1223160000000001</v>
      </c>
      <c r="L6008">
        <v>138.7645</v>
      </c>
      <c r="M6008">
        <v>0.9997665</v>
      </c>
      <c r="N6008">
        <v>-2.113309E-2</v>
      </c>
      <c r="O6008">
        <v>-4.5300790000000002E-3</v>
      </c>
      <c r="P6008">
        <v>0.98401839999999996</v>
      </c>
      <c r="Q6008">
        <v>0.12603549999999999</v>
      </c>
      <c r="R6008">
        <v>0.12578819999999999</v>
      </c>
      <c r="S6008">
        <v>3.04155</v>
      </c>
      <c r="T6008">
        <v>-0.2633972</v>
      </c>
      <c r="U6008">
        <v>0.32543949999999999</v>
      </c>
      <c r="V6008">
        <v>-0.1302296</v>
      </c>
      <c r="W6008">
        <v>0.14680480000000001</v>
      </c>
      <c r="X6008">
        <v>0.98055519999999996</v>
      </c>
      <c r="Y6008">
        <v>-0.1103758</v>
      </c>
      <c r="Z6008">
        <v>6.2244090000000002E-3</v>
      </c>
      <c r="AA6008">
        <v>0.99387040000000004</v>
      </c>
      <c r="AB6008">
        <v>5</v>
      </c>
      <c r="AC6008">
        <v>12.8821999999999</v>
      </c>
      <c r="AD6008">
        <v>-1.1223196478290001</v>
      </c>
      <c r="AE6008">
        <v>1.38759999999999</v>
      </c>
      <c r="AF6008">
        <v>-1.4351877514888101</v>
      </c>
      <c r="AG6008">
        <v>-1.1223196478290001</v>
      </c>
      <c r="AH6008">
        <v>12.779891072670299</v>
      </c>
      <c r="AI6008">
        <v>94.987601086942007</v>
      </c>
      <c r="AJ6008">
        <v>96.407497034323697</v>
      </c>
      <c r="AK6008">
        <v>12.9091045817765</v>
      </c>
      <c r="AL6008">
        <v>81.558194406839704</v>
      </c>
      <c r="AM6008">
        <v>97.565298818509703</v>
      </c>
      <c r="AN6008">
        <v>0.99999994913311796</v>
      </c>
    </row>
    <row r="6009" spans="1:40" x14ac:dyDescent="0.25">
      <c r="A6009" t="str">
        <f>"20190303162723652"</f>
        <v>20190303162723652</v>
      </c>
      <c r="B6009" t="str">
        <f>"1551601643640057"</f>
        <v>1551601643640057</v>
      </c>
      <c r="C6009" t="s">
        <v>40</v>
      </c>
      <c r="D6009">
        <v>5.7224779999999997</v>
      </c>
      <c r="E6009">
        <v>0.50914009999999998</v>
      </c>
      <c r="F6009" t="s">
        <v>41</v>
      </c>
      <c r="G6009">
        <v>-122.4936</v>
      </c>
      <c r="H6009" s="1">
        <v>-3.3106070000000001E-6</v>
      </c>
      <c r="I6009">
        <v>140.0224</v>
      </c>
      <c r="J6009">
        <v>-134.59710000000001</v>
      </c>
      <c r="K6009">
        <v>1.1223259999999999</v>
      </c>
      <c r="L6009">
        <v>138.7637</v>
      </c>
      <c r="M6009">
        <v>0.99976710000000002</v>
      </c>
      <c r="N6009">
        <v>-2.099792E-2</v>
      </c>
      <c r="O6009">
        <v>-4.9877389999999997E-3</v>
      </c>
      <c r="P6009">
        <v>0.9838962</v>
      </c>
      <c r="Q6009">
        <v>0.1279177</v>
      </c>
      <c r="R6009">
        <v>0.12484140000000001</v>
      </c>
      <c r="S6009">
        <v>3.0444640000000001</v>
      </c>
      <c r="T6009">
        <v>-0.28060940000000001</v>
      </c>
      <c r="U6009">
        <v>0.31451420000000002</v>
      </c>
      <c r="V6009">
        <v>-0.12973680000000001</v>
      </c>
      <c r="W6009">
        <v>0.1485464</v>
      </c>
      <c r="X6009">
        <v>0.98035819999999996</v>
      </c>
      <c r="Y6009">
        <v>-0.1071555</v>
      </c>
      <c r="Z6009">
        <v>6.3991480000000003E-3</v>
      </c>
      <c r="AA6009">
        <v>0.99422169999999999</v>
      </c>
      <c r="AB6009">
        <v>5</v>
      </c>
      <c r="AC6009">
        <v>12.1035</v>
      </c>
      <c r="AD6009">
        <v>-1.122329310607</v>
      </c>
      <c r="AE6009">
        <v>1.2586999999999999</v>
      </c>
      <c r="AF6009">
        <v>-1.30794084770313</v>
      </c>
      <c r="AG6009">
        <v>-1.122329310607</v>
      </c>
      <c r="AH6009">
        <v>11.9950350743934</v>
      </c>
      <c r="AI6009">
        <v>95.3140668679968</v>
      </c>
      <c r="AJ6009">
        <v>96.222956972109799</v>
      </c>
      <c r="AK6009">
        <v>12.118217640332499</v>
      </c>
      <c r="AL6009">
        <v>81.457301738146796</v>
      </c>
      <c r="AM6009">
        <v>97.538497924363796</v>
      </c>
      <c r="AN6009">
        <v>0.99999993526721698</v>
      </c>
    </row>
    <row r="6010" spans="1:40" x14ac:dyDescent="0.25">
      <c r="A6010" t="str">
        <f>"20190303162723751"</f>
        <v>20190303162723751</v>
      </c>
      <c r="B6010" t="str">
        <f>"1551601643740117"</f>
        <v>1551601643740117</v>
      </c>
      <c r="C6010" t="s">
        <v>40</v>
      </c>
      <c r="D6010">
        <v>5.0072530000000004</v>
      </c>
      <c r="E6010">
        <v>0.50887979999999999</v>
      </c>
      <c r="F6010" t="s">
        <v>41</v>
      </c>
      <c r="G6010">
        <v>-122.3232</v>
      </c>
      <c r="H6010" s="1">
        <v>-3.3774029999999999E-6</v>
      </c>
      <c r="I6010">
        <v>139.99870000000001</v>
      </c>
      <c r="J6010">
        <v>-134.40350000000001</v>
      </c>
      <c r="K6010">
        <v>1.122304</v>
      </c>
      <c r="L6010">
        <v>138.7612</v>
      </c>
      <c r="M6010">
        <v>0.9997665</v>
      </c>
      <c r="N6010">
        <v>-2.069155E-2</v>
      </c>
      <c r="O6010">
        <v>-6.231571E-3</v>
      </c>
      <c r="P6010">
        <v>0.98325030000000002</v>
      </c>
      <c r="Q6010">
        <v>0.1281099</v>
      </c>
      <c r="R6010">
        <v>0.1296417</v>
      </c>
      <c r="S6010">
        <v>3.0464169999999999</v>
      </c>
      <c r="T6010">
        <v>-0.27856449999999999</v>
      </c>
      <c r="U6010">
        <v>0.30654910000000002</v>
      </c>
      <c r="V6010">
        <v>-0.13575799999999999</v>
      </c>
      <c r="W6010">
        <v>0.14841960000000001</v>
      </c>
      <c r="X6010">
        <v>0.97956189999999999</v>
      </c>
      <c r="Y6010">
        <v>-0.10576770000000001</v>
      </c>
      <c r="Z6010">
        <v>6.3522830000000002E-3</v>
      </c>
      <c r="AA6010">
        <v>0.99437059999999999</v>
      </c>
      <c r="AB6010">
        <v>4</v>
      </c>
      <c r="AC6010">
        <v>12.080299999999999</v>
      </c>
      <c r="AD6010">
        <v>-1.1223073774029999</v>
      </c>
      <c r="AE6010">
        <v>1.23750000000001</v>
      </c>
      <c r="AF6010">
        <v>-1.3016532474057501</v>
      </c>
      <c r="AG6010">
        <v>-1.1223073774029999</v>
      </c>
      <c r="AH6010">
        <v>11.9701093456518</v>
      </c>
      <c r="AI6010">
        <v>95.325135412378899</v>
      </c>
      <c r="AJ6010">
        <v>96.206070603221804</v>
      </c>
      <c r="AK6010">
        <v>12.092865366517399</v>
      </c>
      <c r="AL6010">
        <v>81.464649387852702</v>
      </c>
      <c r="AM6010">
        <v>97.890390668951198</v>
      </c>
      <c r="AN6010">
        <v>1.0000000640798801</v>
      </c>
    </row>
    <row r="6011" spans="1:40" x14ac:dyDescent="0.25">
      <c r="A6011" t="str">
        <f>"20190303162723786"</f>
        <v>20190303162723786</v>
      </c>
      <c r="B6011" t="str">
        <f>"1551601643780639"</f>
        <v>1551601643780639</v>
      </c>
      <c r="C6011" t="s">
        <v>40</v>
      </c>
      <c r="D6011">
        <v>5.0851439999999997</v>
      </c>
      <c r="E6011">
        <v>0.5085904</v>
      </c>
      <c r="F6011" t="s">
        <v>41</v>
      </c>
      <c r="G6011">
        <v>-121.9233</v>
      </c>
      <c r="H6011" s="1">
        <v>-3.5761719999999998E-6</v>
      </c>
      <c r="I6011">
        <v>140.101</v>
      </c>
      <c r="J6011">
        <v>-134.34450000000001</v>
      </c>
      <c r="K6011">
        <v>1.1222909999999999</v>
      </c>
      <c r="L6011">
        <v>138.7604</v>
      </c>
      <c r="M6011">
        <v>0.99976549999999997</v>
      </c>
      <c r="N6011">
        <v>-2.061122E-2</v>
      </c>
      <c r="O6011">
        <v>-6.6425130000000001E-3</v>
      </c>
      <c r="P6011">
        <v>0.98294809999999999</v>
      </c>
      <c r="Q6011">
        <v>0.12895000000000001</v>
      </c>
      <c r="R6011">
        <v>0.1310916</v>
      </c>
      <c r="S6011">
        <v>3.0436709999999998</v>
      </c>
      <c r="T6011">
        <v>-0.2737079</v>
      </c>
      <c r="U6011">
        <v>0.32676699999999997</v>
      </c>
      <c r="V6011">
        <v>-0.13760839999999999</v>
      </c>
      <c r="W6011">
        <v>0.149174</v>
      </c>
      <c r="X6011">
        <v>0.97918899999999998</v>
      </c>
      <c r="Y6011">
        <v>-0.1127794</v>
      </c>
      <c r="Z6011">
        <v>6.6730729999999999E-3</v>
      </c>
      <c r="AA6011">
        <v>0.99359759999999997</v>
      </c>
      <c r="AB6011">
        <v>4</v>
      </c>
      <c r="AC6011">
        <v>12.421200000000001</v>
      </c>
      <c r="AD6011">
        <v>-1.122294576172</v>
      </c>
      <c r="AE6011">
        <v>1.34059999999999</v>
      </c>
      <c r="AF6011">
        <v>-1.4117039093232699</v>
      </c>
      <c r="AG6011">
        <v>-1.122294576172</v>
      </c>
      <c r="AH6011">
        <v>12.3126596337405</v>
      </c>
      <c r="AI6011">
        <v>95.174384897810299</v>
      </c>
      <c r="AJ6011">
        <v>96.540667856398997</v>
      </c>
      <c r="AK6011">
        <v>12.4440363347126</v>
      </c>
      <c r="AL6011">
        <v>81.420938528606101</v>
      </c>
      <c r="AM6011">
        <v>97.999561650126395</v>
      </c>
      <c r="AN6011">
        <v>1.00000002587377</v>
      </c>
    </row>
    <row r="6012" spans="1:40" x14ac:dyDescent="0.25">
      <c r="A6012" t="str">
        <f>"20190303162723819"</f>
        <v>20190303162723819</v>
      </c>
      <c r="B6012" t="str">
        <f>"1551601643810895"</f>
        <v>1551601643810895</v>
      </c>
      <c r="C6012" t="s">
        <v>40</v>
      </c>
      <c r="D6012">
        <v>5.0981860000000001</v>
      </c>
      <c r="E6012">
        <v>0.50838459999999996</v>
      </c>
      <c r="F6012" t="s">
        <v>41</v>
      </c>
      <c r="G6012">
        <v>-121.63760000000001</v>
      </c>
      <c r="H6012" s="1">
        <v>-3.7134689999999999E-6</v>
      </c>
      <c r="I6012">
        <v>140.15649999999999</v>
      </c>
      <c r="J6012">
        <v>-134.2895</v>
      </c>
      <c r="K6012">
        <v>1.1222920000000001</v>
      </c>
      <c r="L6012">
        <v>138.75960000000001</v>
      </c>
      <c r="M6012">
        <v>0.9997646</v>
      </c>
      <c r="N6012">
        <v>-2.052563E-2</v>
      </c>
      <c r="O6012">
        <v>-7.0493639999999998E-3</v>
      </c>
      <c r="P6012">
        <v>0.98264320000000005</v>
      </c>
      <c r="Q6012">
        <v>0.12728809999999999</v>
      </c>
      <c r="R6012">
        <v>0.13494600000000001</v>
      </c>
      <c r="S6012">
        <v>3.0427249999999999</v>
      </c>
      <c r="T6012">
        <v>-0.2687387</v>
      </c>
      <c r="U6012">
        <v>0.33430480000000001</v>
      </c>
      <c r="V6012">
        <v>-0.14185909999999999</v>
      </c>
      <c r="W6012">
        <v>0.1474221</v>
      </c>
      <c r="X6012">
        <v>0.97884760000000004</v>
      </c>
      <c r="Y6012">
        <v>-0.1156532</v>
      </c>
      <c r="Z6012">
        <v>6.751211E-3</v>
      </c>
      <c r="AA6012">
        <v>0.99326669999999995</v>
      </c>
      <c r="AB6012">
        <v>4</v>
      </c>
      <c r="AC6012">
        <v>12.6518999999999</v>
      </c>
      <c r="AD6012">
        <v>-1.1222957134689999</v>
      </c>
      <c r="AE6012">
        <v>1.39689999999998</v>
      </c>
      <c r="AF6012">
        <v>-1.4746083979948901</v>
      </c>
      <c r="AG6012">
        <v>-1.1222957134689999</v>
      </c>
      <c r="AH6012">
        <v>12.544218243160801</v>
      </c>
      <c r="AI6012">
        <v>95.077701037339395</v>
      </c>
      <c r="AJ6012">
        <v>96.704511736365404</v>
      </c>
      <c r="AK6012">
        <v>12.680356025284</v>
      </c>
      <c r="AL6012">
        <v>81.522436685857102</v>
      </c>
      <c r="AM6012">
        <v>98.2461562198324</v>
      </c>
      <c r="AN6012">
        <v>0.99999995192348801</v>
      </c>
    </row>
    <row r="6013" spans="1:40" x14ac:dyDescent="0.25">
      <c r="A6013" t="str">
        <f>"20190303162723853"</f>
        <v>20190303162723853</v>
      </c>
      <c r="B6013" t="str">
        <f>"1551601643840175"</f>
        <v>1551601643840175</v>
      </c>
      <c r="C6013" t="s">
        <v>40</v>
      </c>
      <c r="D6013">
        <v>5.189889</v>
      </c>
      <c r="E6013">
        <v>0.47753380000000001</v>
      </c>
      <c r="F6013" t="s">
        <v>41</v>
      </c>
      <c r="G6013">
        <v>-121.7029</v>
      </c>
      <c r="H6013" s="1">
        <v>-3.694095E-6</v>
      </c>
      <c r="I6013">
        <v>140.18879999999999</v>
      </c>
      <c r="J6013">
        <v>-134.23859999999999</v>
      </c>
      <c r="K6013">
        <v>1.1222829999999999</v>
      </c>
      <c r="L6013">
        <v>138.75880000000001</v>
      </c>
      <c r="M6013">
        <v>0.99976299999999996</v>
      </c>
      <c r="N6013">
        <v>-2.0454650000000001E-2</v>
      </c>
      <c r="O6013">
        <v>-7.453009E-3</v>
      </c>
      <c r="P6013">
        <v>0.98114199999999996</v>
      </c>
      <c r="Q6013">
        <v>0.12705999999999901</v>
      </c>
      <c r="R6013">
        <v>0.14565810000000001</v>
      </c>
      <c r="S6013">
        <v>3.04068</v>
      </c>
      <c r="T6013">
        <v>-0.2711228</v>
      </c>
      <c r="U6013">
        <v>0.34527590000000002</v>
      </c>
      <c r="V6013">
        <v>-0.1529558</v>
      </c>
      <c r="W6013">
        <v>0.14709249999999999</v>
      </c>
      <c r="X6013">
        <v>0.9772248</v>
      </c>
      <c r="Y6013">
        <v>-0.1196358</v>
      </c>
      <c r="Z6013">
        <v>7.0461760000000003E-3</v>
      </c>
      <c r="AA6013">
        <v>0.99279280000000003</v>
      </c>
      <c r="AB6013">
        <v>4</v>
      </c>
      <c r="AC6013">
        <v>12.535699999999901</v>
      </c>
      <c r="AD6013">
        <v>-1.12228669409499</v>
      </c>
      <c r="AE6013">
        <v>1.42999999999997</v>
      </c>
      <c r="AF6013">
        <v>-1.51144966008117</v>
      </c>
      <c r="AG6013">
        <v>-1.12228669409499</v>
      </c>
      <c r="AH6013">
        <v>12.426372118800501</v>
      </c>
      <c r="AI6013">
        <v>95.123107672790198</v>
      </c>
      <c r="AJ6013">
        <v>96.934958344901901</v>
      </c>
      <c r="AK6013">
        <v>12.568163411318499</v>
      </c>
      <c r="AL6013">
        <v>81.541529888936694</v>
      </c>
      <c r="AM6013">
        <v>98.895792574521593</v>
      </c>
      <c r="AN6013">
        <v>0.99999999502246395</v>
      </c>
    </row>
    <row r="6014" spans="1:40" x14ac:dyDescent="0.25">
      <c r="A6014" t="str">
        <f>"20190303162723881"</f>
        <v>20190303162723881</v>
      </c>
      <c r="B6014" t="str">
        <f>"1551601643870938"</f>
        <v>1551601643870938</v>
      </c>
      <c r="C6014" t="s">
        <v>40</v>
      </c>
      <c r="D6014">
        <v>5.1119430000000001</v>
      </c>
      <c r="E6014">
        <v>0.3854223</v>
      </c>
      <c r="F6014" t="s">
        <v>41</v>
      </c>
      <c r="G6014">
        <v>-121.43519999999999</v>
      </c>
      <c r="H6014" s="1">
        <v>-4.1049549999999999E-6</v>
      </c>
      <c r="I6014">
        <v>141.40520000000001</v>
      </c>
      <c r="J6014">
        <v>-134.197</v>
      </c>
      <c r="K6014">
        <v>1.1222810000000001</v>
      </c>
      <c r="L6014">
        <v>138.75819999999999</v>
      </c>
      <c r="M6014">
        <v>0.99976149999999997</v>
      </c>
      <c r="N6014">
        <v>-2.0403060000000001E-2</v>
      </c>
      <c r="O6014">
        <v>-7.8095380000000004E-3</v>
      </c>
      <c r="P6014">
        <v>0.97928740000000003</v>
      </c>
      <c r="Q6014">
        <v>0.12742220000000001</v>
      </c>
      <c r="R6014">
        <v>0.15735270000000001</v>
      </c>
      <c r="S6014">
        <v>2.9996640000000001</v>
      </c>
      <c r="T6014">
        <v>-0.26293460000000002</v>
      </c>
      <c r="U6014">
        <v>0.62001039999999996</v>
      </c>
      <c r="V6014">
        <v>-0.16498399999999999</v>
      </c>
      <c r="W6014">
        <v>0.147366</v>
      </c>
      <c r="X6014">
        <v>0.97522489999999995</v>
      </c>
      <c r="Y6014">
        <v>-0.20908599999999999</v>
      </c>
      <c r="Z6014">
        <v>1.1730249999999999E-2</v>
      </c>
      <c r="AA6014">
        <v>0.97782690000000005</v>
      </c>
      <c r="AB6014">
        <v>3</v>
      </c>
      <c r="AC6014">
        <v>12.761799999999999</v>
      </c>
      <c r="AD6014">
        <v>-1.12228510495499</v>
      </c>
      <c r="AE6014">
        <v>2.6470000000000198</v>
      </c>
      <c r="AF6014">
        <v>-2.7263885871492199</v>
      </c>
      <c r="AG6014">
        <v>-1.12228510495499</v>
      </c>
      <c r="AH6014">
        <v>12.646962009320101</v>
      </c>
      <c r="AI6014">
        <v>94.957808333612405</v>
      </c>
      <c r="AJ6014">
        <v>102.165451429843</v>
      </c>
      <c r="AK6014">
        <v>12.986083576279899</v>
      </c>
      <c r="AL6014">
        <v>81.525687156615405</v>
      </c>
      <c r="AM6014">
        <v>99.602116456817498</v>
      </c>
      <c r="AN6014">
        <v>1.0000000318960001</v>
      </c>
    </row>
    <row r="6015" spans="1:40" x14ac:dyDescent="0.25">
      <c r="A6015" t="str">
        <f>"20190303162723905"</f>
        <v>20190303162723905</v>
      </c>
      <c r="B6015" t="str">
        <f>"1551601643900218"</f>
        <v>1551601643900218</v>
      </c>
      <c r="C6015" t="s">
        <v>40</v>
      </c>
      <c r="D6015">
        <v>5.0128729999999999</v>
      </c>
      <c r="E6015">
        <v>0.30009429999999998</v>
      </c>
      <c r="F6015" t="s">
        <v>41</v>
      </c>
      <c r="G6015">
        <v>-126.6306</v>
      </c>
      <c r="H6015" s="1">
        <v>-2.1591849999999998E-6</v>
      </c>
      <c r="I6015">
        <v>142.36519999999999</v>
      </c>
      <c r="J6015">
        <v>-134.1677</v>
      </c>
      <c r="K6015">
        <v>1.1222829999999999</v>
      </c>
      <c r="L6015">
        <v>138.7577</v>
      </c>
      <c r="M6015">
        <v>0.99975999999999998</v>
      </c>
      <c r="N6015">
        <v>-2.0367969999999999E-2</v>
      </c>
      <c r="O6015">
        <v>-8.0801599999999994E-3</v>
      </c>
      <c r="P6015">
        <v>0.97655740000000002</v>
      </c>
      <c r="Q6015">
        <v>0.1270299</v>
      </c>
      <c r="R6015">
        <v>0.17377970000000001</v>
      </c>
      <c r="S6015">
        <v>2.8974299999999999</v>
      </c>
      <c r="T6015">
        <v>-0.42975829999999998</v>
      </c>
      <c r="U6015">
        <v>1.381256</v>
      </c>
      <c r="V6015">
        <v>-0.18165220000000001</v>
      </c>
      <c r="W6015">
        <v>0.14688209999999999</v>
      </c>
      <c r="X6015">
        <v>0.97233130000000001</v>
      </c>
      <c r="Y6015">
        <v>-0.43305260000000001</v>
      </c>
      <c r="Z6015">
        <v>3.5967060000000002E-2</v>
      </c>
      <c r="AA6015">
        <v>0.90065079999999997</v>
      </c>
      <c r="AB6015">
        <v>3</v>
      </c>
      <c r="AC6015">
        <v>7.5370999999999899</v>
      </c>
      <c r="AD6015">
        <v>-1.1222851591849901</v>
      </c>
      <c r="AE6015">
        <v>3.6074999999999799</v>
      </c>
      <c r="AF6015">
        <v>-3.6032956221286301</v>
      </c>
      <c r="AG6015">
        <v>-1.1222851591849901</v>
      </c>
      <c r="AH6015">
        <v>7.37466637192784</v>
      </c>
      <c r="AI6015">
        <v>97.785913250670205</v>
      </c>
      <c r="AJ6015">
        <v>116.04034561157</v>
      </c>
      <c r="AK6015">
        <v>8.2842602214211993</v>
      </c>
      <c r="AL6015">
        <v>81.553717466098504</v>
      </c>
      <c r="AM6015">
        <v>100.582084838333</v>
      </c>
      <c r="AN6015">
        <v>1.0000000150124699</v>
      </c>
    </row>
    <row r="6016" spans="1:40" x14ac:dyDescent="0.25">
      <c r="A6016" t="str">
        <f>"20190303162723929"</f>
        <v>20190303162723929</v>
      </c>
      <c r="B6016" t="str">
        <f>"1551601643920714"</f>
        <v>1551601643920714</v>
      </c>
      <c r="C6016" t="s">
        <v>40</v>
      </c>
      <c r="D6016">
        <v>4.9950570000000001</v>
      </c>
      <c r="E6016">
        <v>0.2961239</v>
      </c>
      <c r="F6016" t="s">
        <v>41</v>
      </c>
      <c r="G6016">
        <v>-129.82990000000001</v>
      </c>
      <c r="H6016" s="1">
        <v>-6.9499320000000002E-7</v>
      </c>
      <c r="I6016">
        <v>142.0205</v>
      </c>
      <c r="J6016">
        <v>-134.13650000000001</v>
      </c>
      <c r="K6016">
        <v>1.1222799999999999</v>
      </c>
      <c r="L6016">
        <v>138.75710000000001</v>
      </c>
      <c r="M6016">
        <v>0.99975840000000005</v>
      </c>
      <c r="N6016">
        <v>-2.0321599999999999E-2</v>
      </c>
      <c r="O6016">
        <v>-8.3891629999999998E-3</v>
      </c>
      <c r="P6016">
        <v>0.97376309999999999</v>
      </c>
      <c r="Q6016">
        <v>0.12644169999999999</v>
      </c>
      <c r="R6016">
        <v>0.18920390000000001</v>
      </c>
      <c r="S6016">
        <v>2.792252</v>
      </c>
      <c r="T6016">
        <v>-0.72241180000000005</v>
      </c>
      <c r="U6016">
        <v>2.100266</v>
      </c>
      <c r="V6016">
        <v>-0.19735369999999999</v>
      </c>
      <c r="W6016">
        <v>0.14619109999999999</v>
      </c>
      <c r="X6016">
        <v>0.96937079999999998</v>
      </c>
      <c r="Y6016">
        <v>-0.59365469999999998</v>
      </c>
      <c r="Z6016">
        <v>7.5963589999999998E-2</v>
      </c>
      <c r="AA6016">
        <v>0.80112649999999996</v>
      </c>
      <c r="AB6016">
        <v>3</v>
      </c>
      <c r="AC6016">
        <v>4.3066000000000004</v>
      </c>
      <c r="AD6016">
        <v>-1.1222806949932</v>
      </c>
      <c r="AE6016">
        <v>3.2633999999999901</v>
      </c>
      <c r="AF6016">
        <v>-3.16297354949638</v>
      </c>
      <c r="AG6016">
        <v>-1.1222806949932</v>
      </c>
      <c r="AH6016">
        <v>4.1021044977605099</v>
      </c>
      <c r="AI6016">
        <v>102.224729393369</v>
      </c>
      <c r="AJ6016">
        <v>127.63442179199799</v>
      </c>
      <c r="AK6016">
        <v>5.30011103126294</v>
      </c>
      <c r="AL6016">
        <v>81.593741055866801</v>
      </c>
      <c r="AM6016">
        <v>101.50754741969099</v>
      </c>
      <c r="AN6016">
        <v>1.00000003425776</v>
      </c>
    </row>
    <row r="6017" spans="1:40" x14ac:dyDescent="0.25">
      <c r="A6017" t="str">
        <f>"20190303162723951"</f>
        <v>20190303162723951</v>
      </c>
      <c r="B6017" t="str">
        <f>"1551601643940234"</f>
        <v>1551601643940234</v>
      </c>
      <c r="C6017" t="s">
        <v>40</v>
      </c>
      <c r="D6017">
        <v>4.9545490000000001</v>
      </c>
      <c r="E6017">
        <v>0.30149189999999998</v>
      </c>
      <c r="F6017" t="s">
        <v>41</v>
      </c>
      <c r="G6017">
        <v>-130.02119999999999</v>
      </c>
      <c r="H6017" s="1">
        <v>-4.6922639999999998E-6</v>
      </c>
      <c r="I6017">
        <v>142.0034</v>
      </c>
      <c r="J6017">
        <v>-134.10910000000001</v>
      </c>
      <c r="K6017">
        <v>1.1222589999999999</v>
      </c>
      <c r="L6017">
        <v>138.75659999999999</v>
      </c>
      <c r="M6017">
        <v>0.99975689999999995</v>
      </c>
      <c r="N6017">
        <v>-2.0274589999999999E-2</v>
      </c>
      <c r="O6017">
        <v>-8.6759369999999999E-3</v>
      </c>
      <c r="P6017">
        <v>0.97100350000000002</v>
      </c>
      <c r="Q6017">
        <v>0.1242958</v>
      </c>
      <c r="R6017">
        <v>0.20421310000000001</v>
      </c>
      <c r="S6017">
        <v>2.7559969999999998</v>
      </c>
      <c r="T6017">
        <v>-0.75158510000000001</v>
      </c>
      <c r="U6017">
        <v>2.174026</v>
      </c>
      <c r="V6017">
        <v>-0.21261769999999999</v>
      </c>
      <c r="W6017">
        <v>0.14394109999999999</v>
      </c>
      <c r="X6017">
        <v>0.96647539999999998</v>
      </c>
      <c r="Y6017">
        <v>-0.61057680000000003</v>
      </c>
      <c r="Z6017">
        <v>8.1231360000000002E-2</v>
      </c>
      <c r="AA6017">
        <v>0.78778000000000004</v>
      </c>
      <c r="AB6017">
        <v>3</v>
      </c>
      <c r="AC6017">
        <v>4.0879000000000101</v>
      </c>
      <c r="AD6017">
        <v>-1.1222636922639999</v>
      </c>
      <c r="AE6017">
        <v>3.2467999999999999</v>
      </c>
      <c r="AF6017">
        <v>-3.1371677481845199</v>
      </c>
      <c r="AG6017">
        <v>-1.1222636922639999</v>
      </c>
      <c r="AH6017">
        <v>3.88024635998323</v>
      </c>
      <c r="AI6017">
        <v>102.675553016264</v>
      </c>
      <c r="AJ6017">
        <v>128.95543715245199</v>
      </c>
      <c r="AK6017">
        <v>5.1144510056687702</v>
      </c>
      <c r="AL6017">
        <v>81.724034657338706</v>
      </c>
      <c r="AM6017">
        <v>102.407029035345</v>
      </c>
      <c r="AN6017">
        <v>1.00000001271382</v>
      </c>
    </row>
    <row r="6018" spans="1:40" x14ac:dyDescent="0.25">
      <c r="A6018" t="str">
        <f>"20190303162723971"</f>
        <v>20190303162723971</v>
      </c>
      <c r="B6018" t="str">
        <f>"1551601643960263"</f>
        <v>1551601643960263</v>
      </c>
      <c r="C6018" t="s">
        <v>40</v>
      </c>
      <c r="D6018">
        <v>4.9638949999999999</v>
      </c>
      <c r="E6018">
        <v>0.30720779999999998</v>
      </c>
      <c r="F6018" t="s">
        <v>41</v>
      </c>
      <c r="G6018">
        <v>-130.07939999999999</v>
      </c>
      <c r="H6018" s="1">
        <v>-4.6646530000000002E-6</v>
      </c>
      <c r="I6018">
        <v>141.95939999999999</v>
      </c>
      <c r="J6018">
        <v>-134.0864</v>
      </c>
      <c r="K6018">
        <v>1.1222460000000001</v>
      </c>
      <c r="L6018">
        <v>138.75620000000001</v>
      </c>
      <c r="M6018">
        <v>0.99975559999999997</v>
      </c>
      <c r="N6018">
        <v>-2.023233E-2</v>
      </c>
      <c r="O6018">
        <v>-8.9243180000000005E-3</v>
      </c>
      <c r="P6018">
        <v>0.96835700000000002</v>
      </c>
      <c r="Q6018">
        <v>0.1213388</v>
      </c>
      <c r="R6018">
        <v>0.21808659999999999</v>
      </c>
      <c r="S6018">
        <v>2.730515</v>
      </c>
      <c r="T6018">
        <v>-0.7604358</v>
      </c>
      <c r="U6018">
        <v>2.1701809999999999</v>
      </c>
      <c r="V6018">
        <v>-0.22670860000000001</v>
      </c>
      <c r="W6018">
        <v>0.1408865</v>
      </c>
      <c r="X6018">
        <v>0.96371899999999999</v>
      </c>
      <c r="Y6018">
        <v>-0.61301079999999997</v>
      </c>
      <c r="Z6018">
        <v>8.3025130000000003E-2</v>
      </c>
      <c r="AA6018">
        <v>0.78570010000000001</v>
      </c>
      <c r="AB6018">
        <v>3</v>
      </c>
      <c r="AC6018">
        <v>4.0069999999999997</v>
      </c>
      <c r="AD6018">
        <v>-1.1222506646529999</v>
      </c>
      <c r="AE6018">
        <v>3.2031999999999798</v>
      </c>
      <c r="AF6018">
        <v>-3.09091562653628</v>
      </c>
      <c r="AG6018">
        <v>-1.1222506646529999</v>
      </c>
      <c r="AH6018">
        <v>3.79655415038274</v>
      </c>
      <c r="AI6018">
        <v>102.911037262999</v>
      </c>
      <c r="AJ6018">
        <v>129.15031405921101</v>
      </c>
      <c r="AK6018">
        <v>5.0226516285194096</v>
      </c>
      <c r="AL6018">
        <v>81.900853015387497</v>
      </c>
      <c r="AM6018">
        <v>103.237770124558</v>
      </c>
      <c r="AN6018">
        <v>1.0000000530786</v>
      </c>
    </row>
    <row r="6019" spans="1:40" x14ac:dyDescent="0.25">
      <c r="A6019" t="str">
        <f>"20190303162724009"</f>
        <v>20190303162724009</v>
      </c>
      <c r="B6019" t="str">
        <f>"1551601644000281"</f>
        <v>1551601644000281</v>
      </c>
      <c r="C6019" t="s">
        <v>40</v>
      </c>
      <c r="D6019">
        <v>4.9136550000000003</v>
      </c>
      <c r="E6019">
        <v>0.316797</v>
      </c>
      <c r="F6019" t="s">
        <v>41</v>
      </c>
      <c r="G6019">
        <v>-130.1232</v>
      </c>
      <c r="H6019" s="1">
        <v>-4.6425479999999997E-6</v>
      </c>
      <c r="I6019">
        <v>141.9188</v>
      </c>
      <c r="J6019">
        <v>-134.04849999999999</v>
      </c>
      <c r="K6019">
        <v>1.12218</v>
      </c>
      <c r="L6019">
        <v>138.75550000000001</v>
      </c>
      <c r="M6019">
        <v>0.99975329999999996</v>
      </c>
      <c r="N6019">
        <v>-2.014819E-2</v>
      </c>
      <c r="O6019">
        <v>-9.3526660000000008E-3</v>
      </c>
      <c r="P6019">
        <v>0.9639875</v>
      </c>
      <c r="Q6019">
        <v>0.1116463</v>
      </c>
      <c r="R6019">
        <v>0.24137800000000001</v>
      </c>
      <c r="S6019">
        <v>2.7075040000000001</v>
      </c>
      <c r="T6019">
        <v>-0.7666731</v>
      </c>
      <c r="U6019">
        <v>2.1605829999999999</v>
      </c>
      <c r="V6019">
        <v>-0.25037710000000002</v>
      </c>
      <c r="W6019">
        <v>0.13101550000000001</v>
      </c>
      <c r="X6019">
        <v>0.9592425</v>
      </c>
      <c r="Y6019">
        <v>-0.6143613</v>
      </c>
      <c r="Z6019">
        <v>8.4460289999999993E-2</v>
      </c>
      <c r="AA6019">
        <v>0.7844913</v>
      </c>
      <c r="AB6019">
        <v>3</v>
      </c>
      <c r="AC6019">
        <v>3.9252999999999898</v>
      </c>
      <c r="AD6019">
        <v>-1.122184642548</v>
      </c>
      <c r="AE6019">
        <v>3.1632999999999898</v>
      </c>
      <c r="AF6019">
        <v>-3.04881097604803</v>
      </c>
      <c r="AG6019">
        <v>-1.122184642548</v>
      </c>
      <c r="AH6019">
        <v>3.7116241492139799</v>
      </c>
      <c r="AI6019">
        <v>103.150103845237</v>
      </c>
      <c r="AJ6019">
        <v>129.40044731133</v>
      </c>
      <c r="AK6019">
        <v>4.9326159960684102</v>
      </c>
      <c r="AL6019">
        <v>82.4717216188008</v>
      </c>
      <c r="AM6019">
        <v>104.628698994245</v>
      </c>
      <c r="AN6019">
        <v>0.99999996362545396</v>
      </c>
    </row>
    <row r="6020" spans="1:40" x14ac:dyDescent="0.25">
      <c r="A6020" t="str">
        <f>"20190303162724041"</f>
        <v>20190303162724041</v>
      </c>
      <c r="B6020" t="str">
        <f>"1551601644030535"</f>
        <v>1551601644030535</v>
      </c>
      <c r="C6020" t="s">
        <v>40</v>
      </c>
      <c r="D6020">
        <v>4.9116660000000003</v>
      </c>
      <c r="E6020">
        <v>0.34759859999999998</v>
      </c>
      <c r="F6020" t="s">
        <v>41</v>
      </c>
      <c r="G6020">
        <v>-130.1096</v>
      </c>
      <c r="H6020" s="1">
        <v>-4.650377E-6</v>
      </c>
      <c r="I6020">
        <v>141.93700000000001</v>
      </c>
      <c r="J6020">
        <v>-134.01759999999999</v>
      </c>
      <c r="K6020">
        <v>1.1221730000000001</v>
      </c>
      <c r="L6020">
        <v>138.75479999999999</v>
      </c>
      <c r="M6020">
        <v>0.99975139999999996</v>
      </c>
      <c r="N6020">
        <v>-2.0073440000000001E-2</v>
      </c>
      <c r="O6020">
        <v>-9.7081930000000004E-3</v>
      </c>
      <c r="P6020">
        <v>0.96268279999999995</v>
      </c>
      <c r="Q6020">
        <v>0.10802100000000001</v>
      </c>
      <c r="R6020">
        <v>0.24813940000000001</v>
      </c>
      <c r="S6020">
        <v>2.661575</v>
      </c>
      <c r="T6020">
        <v>-0.75827309999999903</v>
      </c>
      <c r="U6020">
        <v>2.149826</v>
      </c>
      <c r="V6020">
        <v>-0.25747160000000002</v>
      </c>
      <c r="W6020">
        <v>0.12728149999999999</v>
      </c>
      <c r="X6020">
        <v>0.95786629999999995</v>
      </c>
      <c r="Y6020">
        <v>-0.61903920000000001</v>
      </c>
      <c r="Z6020">
        <v>8.5421159999999996E-2</v>
      </c>
      <c r="AA6020">
        <v>0.78070069999999903</v>
      </c>
      <c r="AB6020">
        <v>2</v>
      </c>
      <c r="AC6020">
        <v>3.9079999999999799</v>
      </c>
      <c r="AD6020">
        <v>-1.12217765037699</v>
      </c>
      <c r="AE6020">
        <v>3.1822000000000199</v>
      </c>
      <c r="AF6020">
        <v>-3.0678903704660998</v>
      </c>
      <c r="AG6020">
        <v>-1.12217765037699</v>
      </c>
      <c r="AH6020">
        <v>3.6937775880163701</v>
      </c>
      <c r="AI6020">
        <v>103.154279044465</v>
      </c>
      <c r="AJ6020">
        <v>129.711541556653</v>
      </c>
      <c r="AK6020">
        <v>4.9310472390696498</v>
      </c>
      <c r="AL6020">
        <v>82.687471509597401</v>
      </c>
      <c r="AM6020">
        <v>105.045312899069</v>
      </c>
      <c r="AN6020">
        <v>1.00000002686224</v>
      </c>
    </row>
    <row r="6021" spans="1:40" x14ac:dyDescent="0.25">
      <c r="A6021" t="str">
        <f>"20190303162724126"</f>
        <v>20190303162724126</v>
      </c>
      <c r="B6021" t="str">
        <f>"1551601644120833"</f>
        <v>1551601644120833</v>
      </c>
      <c r="C6021" t="s">
        <v>40</v>
      </c>
      <c r="D6021">
        <v>4.8888939999999996</v>
      </c>
      <c r="E6021">
        <v>0.34851979999999999</v>
      </c>
      <c r="F6021" t="s">
        <v>41</v>
      </c>
      <c r="G6021">
        <v>-129.41079999999999</v>
      </c>
      <c r="H6021" s="1">
        <v>-8.8323630000000004E-7</v>
      </c>
      <c r="I6021">
        <v>142.0523</v>
      </c>
      <c r="J6021">
        <v>-133.95269999999999</v>
      </c>
      <c r="K6021">
        <v>1.1222019999999999</v>
      </c>
      <c r="L6021">
        <v>138.7534</v>
      </c>
      <c r="M6021">
        <v>0.99974730000000001</v>
      </c>
      <c r="N6021">
        <v>-1.9928950000000001E-2</v>
      </c>
      <c r="O6021">
        <v>-1.0412029999999999E-2</v>
      </c>
      <c r="P6021">
        <v>0.95918800000000004</v>
      </c>
      <c r="Q6021">
        <v>0.1080771</v>
      </c>
      <c r="R6021">
        <v>0.26130039999999999</v>
      </c>
      <c r="S6021">
        <v>2.6930390000000002</v>
      </c>
      <c r="T6021">
        <v>-0.65600319999999901</v>
      </c>
      <c r="U6021">
        <v>1.927643</v>
      </c>
      <c r="V6021">
        <v>-0.27128419999999998</v>
      </c>
      <c r="W6021">
        <v>0.12709699999999999</v>
      </c>
      <c r="X6021">
        <v>0.95407090000000006</v>
      </c>
      <c r="Y6021">
        <v>-0.57778300000000005</v>
      </c>
      <c r="Z6021">
        <v>7.0932190000000006E-2</v>
      </c>
      <c r="AA6021">
        <v>0.81310229999999994</v>
      </c>
      <c r="AB6021">
        <v>2</v>
      </c>
      <c r="AC6021">
        <v>4.5418999999999903</v>
      </c>
      <c r="AD6021">
        <v>-1.1222028832363</v>
      </c>
      <c r="AE6021">
        <v>3.2989000000000002</v>
      </c>
      <c r="AF6021">
        <v>-3.21743818785035</v>
      </c>
      <c r="AG6021">
        <v>-1.1222028832363</v>
      </c>
      <c r="AH6021">
        <v>4.33408971927894</v>
      </c>
      <c r="AI6021">
        <v>101.744494687236</v>
      </c>
      <c r="AJ6021">
        <v>126.588573341184</v>
      </c>
      <c r="AK6021">
        <v>5.5132187965417296</v>
      </c>
      <c r="AL6021">
        <v>82.698129111510696</v>
      </c>
      <c r="AM6021">
        <v>105.872775915727</v>
      </c>
      <c r="AN6021">
        <v>1.00000002340272</v>
      </c>
    </row>
    <row r="6022" spans="1:40" x14ac:dyDescent="0.25">
      <c r="A6022" t="str">
        <f>"20190303162724165"</f>
        <v>20190303162724165</v>
      </c>
      <c r="B6022" t="str">
        <f>"1551601644160849"</f>
        <v>1551601644160849</v>
      </c>
      <c r="C6022" t="s">
        <v>40</v>
      </c>
      <c r="D6022">
        <v>4.8856619999999999</v>
      </c>
      <c r="E6022">
        <v>0.35590339999999998</v>
      </c>
      <c r="F6022" t="s">
        <v>41</v>
      </c>
      <c r="G6022">
        <v>-129.2671</v>
      </c>
      <c r="H6022" s="1">
        <v>-9.7753330000000005E-7</v>
      </c>
      <c r="I6022">
        <v>142.17500000000001</v>
      </c>
      <c r="J6022">
        <v>-133.93109999999999</v>
      </c>
      <c r="K6022">
        <v>1.122234</v>
      </c>
      <c r="L6022">
        <v>138.75299999999999</v>
      </c>
      <c r="M6022">
        <v>0.99974589999999997</v>
      </c>
      <c r="N6022">
        <v>-1.988324E-2</v>
      </c>
      <c r="O6022">
        <v>-1.0616209999999999E-2</v>
      </c>
      <c r="P6022">
        <v>0.95851169999999997</v>
      </c>
      <c r="Q6022">
        <v>0.1118088</v>
      </c>
      <c r="R6022">
        <v>0.262210099999999</v>
      </c>
      <c r="S6022">
        <v>2.668777</v>
      </c>
      <c r="T6022">
        <v>-0.63916709999999999</v>
      </c>
      <c r="U6022">
        <v>1.9488220000000001</v>
      </c>
      <c r="V6022">
        <v>-0.27238600000000002</v>
      </c>
      <c r="W6022">
        <v>0.13076170000000001</v>
      </c>
      <c r="X6022">
        <v>0.95326140000000004</v>
      </c>
      <c r="Y6022">
        <v>-0.5859569</v>
      </c>
      <c r="Z6022">
        <v>7.0632600000000004E-2</v>
      </c>
      <c r="AA6022">
        <v>0.80725809999999998</v>
      </c>
      <c r="AB6022">
        <v>1</v>
      </c>
      <c r="AC6022">
        <v>4.6639999999999802</v>
      </c>
      <c r="AD6022">
        <v>-1.1222349775333</v>
      </c>
      <c r="AE6022">
        <v>3.4220000000000201</v>
      </c>
      <c r="AF6022">
        <v>-3.3454226866988801</v>
      </c>
      <c r="AG6022">
        <v>-1.1222349775333</v>
      </c>
      <c r="AH6022">
        <v>4.4595613396497598</v>
      </c>
      <c r="AI6022">
        <v>101.381604001338</v>
      </c>
      <c r="AJ6022">
        <v>126.876077944401</v>
      </c>
      <c r="AK6022">
        <v>5.6867347080356696</v>
      </c>
      <c r="AL6022">
        <v>82.486389945614107</v>
      </c>
      <c r="AM6022">
        <v>105.94681845151101</v>
      </c>
      <c r="AN6022">
        <v>1.0000000259564199</v>
      </c>
    </row>
    <row r="6023" spans="1:40" x14ac:dyDescent="0.25">
      <c r="A6023" t="str">
        <f>"20190303162724195"</f>
        <v>20190303162724195</v>
      </c>
      <c r="B6023" t="str">
        <f>"1551601644190129"</f>
        <v>1551601644190129</v>
      </c>
      <c r="C6023" t="s">
        <v>40</v>
      </c>
      <c r="D6023">
        <v>4.8825779999999996</v>
      </c>
      <c r="E6023">
        <v>0.35967759999999999</v>
      </c>
      <c r="F6023" t="s">
        <v>42</v>
      </c>
      <c r="G6023">
        <v>-133.20959999999999</v>
      </c>
      <c r="H6023">
        <v>0.96072109999999999</v>
      </c>
      <c r="I6023">
        <v>139.26249999999999</v>
      </c>
      <c r="J6023">
        <v>-133.917</v>
      </c>
      <c r="K6023">
        <v>1.12225</v>
      </c>
      <c r="L6023">
        <v>138.7527</v>
      </c>
      <c r="M6023">
        <v>0.99974529999999995</v>
      </c>
      <c r="N6023">
        <v>-1.9854139999999999E-2</v>
      </c>
      <c r="O6023">
        <v>-1.0735959999999999E-2</v>
      </c>
      <c r="P6023">
        <v>0.95845069999999999</v>
      </c>
      <c r="Q6023">
        <v>0.11435620000000001</v>
      </c>
      <c r="R6023">
        <v>0.26133299999999998</v>
      </c>
      <c r="S6023">
        <v>2.681778</v>
      </c>
      <c r="T6023">
        <v>-0.6003598</v>
      </c>
      <c r="U6023">
        <v>1.8939969999999999</v>
      </c>
      <c r="V6023">
        <v>-0.27162409999999998</v>
      </c>
      <c r="W6023">
        <v>0.1332767</v>
      </c>
      <c r="X6023">
        <v>0.95313049999999999</v>
      </c>
      <c r="Y6023">
        <v>-0.57475319999999996</v>
      </c>
      <c r="Z6023">
        <v>6.5612229999999994E-2</v>
      </c>
      <c r="AA6023">
        <v>0.81569219999999998</v>
      </c>
      <c r="AB6023">
        <v>1</v>
      </c>
      <c r="AC6023">
        <v>0.70740000000000602</v>
      </c>
      <c r="AD6023">
        <v>-0.1615289</v>
      </c>
      <c r="AE6023">
        <v>0.50979999999998404</v>
      </c>
      <c r="AF6023">
        <v>-0.50020131417647096</v>
      </c>
      <c r="AG6023">
        <v>-0.1615289</v>
      </c>
      <c r="AH6023">
        <v>0.67859751315450501</v>
      </c>
      <c r="AI6023">
        <v>100.846732648931</v>
      </c>
      <c r="AJ6023">
        <v>126.39431509399201</v>
      </c>
      <c r="AK6023">
        <v>0.85836328270642903</v>
      </c>
      <c r="AL6023">
        <v>82.341018721212606</v>
      </c>
      <c r="AM6023">
        <v>105.906546030218</v>
      </c>
      <c r="AN6023">
        <v>1.00000004024697</v>
      </c>
    </row>
    <row r="6024" spans="1:40" x14ac:dyDescent="0.25">
      <c r="A6024" t="str">
        <f>"20190303162724221"</f>
        <v>20190303162724221</v>
      </c>
      <c r="B6024" t="str">
        <f>"1551601644211602"</f>
        <v>1551601644211602</v>
      </c>
      <c r="C6024" t="s">
        <v>40</v>
      </c>
      <c r="D6024">
        <v>4.9022230000000002</v>
      </c>
      <c r="E6024">
        <v>0.36153679999999999</v>
      </c>
      <c r="F6024" t="s">
        <v>42</v>
      </c>
      <c r="G6024">
        <v>-133.19839999999999</v>
      </c>
      <c r="H6024">
        <v>0.96739759999999997</v>
      </c>
      <c r="I6024">
        <v>139.25020000000001</v>
      </c>
      <c r="J6024">
        <v>-133.90719999999999</v>
      </c>
      <c r="K6024">
        <v>1.1222510000000001</v>
      </c>
      <c r="L6024">
        <v>138.7525</v>
      </c>
      <c r="M6024">
        <v>0.99974479999999999</v>
      </c>
      <c r="N6024">
        <v>-1.9833389999999999E-2</v>
      </c>
      <c r="O6024">
        <v>-1.0812860000000001E-2</v>
      </c>
      <c r="P6024">
        <v>0.95888879999999999</v>
      </c>
      <c r="Q6024">
        <v>0.1149173</v>
      </c>
      <c r="R6024">
        <v>0.25947290000000001</v>
      </c>
      <c r="S6024">
        <v>2.6911930000000002</v>
      </c>
      <c r="T6024">
        <v>-0.5798932</v>
      </c>
      <c r="U6024">
        <v>1.863388</v>
      </c>
      <c r="V6024">
        <v>-0.26984320000000001</v>
      </c>
      <c r="W6024">
        <v>0.13382579999999999</v>
      </c>
      <c r="X6024">
        <v>0.9535593</v>
      </c>
      <c r="Y6024">
        <v>-0.56800550000000005</v>
      </c>
      <c r="Z6024">
        <v>6.2882389999999996E-2</v>
      </c>
      <c r="AA6024">
        <v>0.82061899999999999</v>
      </c>
      <c r="AB6024">
        <v>1</v>
      </c>
      <c r="AC6024">
        <v>0.70879999999999599</v>
      </c>
      <c r="AD6024">
        <v>-0.1548534</v>
      </c>
      <c r="AE6024">
        <v>0.49770000000000802</v>
      </c>
      <c r="AF6024">
        <v>-0.48968220491448999</v>
      </c>
      <c r="AG6024">
        <v>-0.1548534</v>
      </c>
      <c r="AH6024">
        <v>0.68158669903373703</v>
      </c>
      <c r="AI6024">
        <v>100.45423133260201</v>
      </c>
      <c r="AJ6024">
        <v>125.695147657123</v>
      </c>
      <c r="AK6024">
        <v>0.85342173958786804</v>
      </c>
      <c r="AL6024">
        <v>82.309273058193895</v>
      </c>
      <c r="AM6024">
        <v>105.800729676345</v>
      </c>
      <c r="AN6024">
        <v>1.0000000179741799</v>
      </c>
    </row>
    <row r="6025" spans="1:40" x14ac:dyDescent="0.25">
      <c r="A6025" t="str">
        <f>"20190303162724255"</f>
        <v>20190303162724255</v>
      </c>
      <c r="B6025" t="str">
        <f>"1551601644250641"</f>
        <v>1551601644250641</v>
      </c>
      <c r="C6025" t="s">
        <v>40</v>
      </c>
      <c r="D6025">
        <v>4.8078709999999996</v>
      </c>
      <c r="E6025">
        <v>0.36400640000000001</v>
      </c>
      <c r="F6025" t="s">
        <v>42</v>
      </c>
      <c r="G6025">
        <v>-133.18950000000001</v>
      </c>
      <c r="H6025">
        <v>0.96901579999999998</v>
      </c>
      <c r="I6025">
        <v>139.24279999999999</v>
      </c>
      <c r="J6025">
        <v>-133.8974</v>
      </c>
      <c r="K6025">
        <v>1.1222319999999999</v>
      </c>
      <c r="L6025">
        <v>138.75229999999999</v>
      </c>
      <c r="M6025">
        <v>0.9997452</v>
      </c>
      <c r="N6025">
        <v>-1.9771560000000001E-2</v>
      </c>
      <c r="O6025">
        <v>-1.08848E-2</v>
      </c>
      <c r="P6025">
        <v>0.9605726</v>
      </c>
      <c r="Q6025">
        <v>0.11425399999999999</v>
      </c>
      <c r="R6025">
        <v>0.25346849999999999</v>
      </c>
      <c r="S6025">
        <v>2.6987459999999999</v>
      </c>
      <c r="T6025">
        <v>-0.57619629999999999</v>
      </c>
      <c r="U6025">
        <v>1.843826</v>
      </c>
      <c r="V6025">
        <v>-0.26392529999999997</v>
      </c>
      <c r="W6025">
        <v>0.13314010000000001</v>
      </c>
      <c r="X6025">
        <v>0.95530999999999999</v>
      </c>
      <c r="Y6025">
        <v>-0.56314730000000002</v>
      </c>
      <c r="Z6025">
        <v>6.1962690000000001E-2</v>
      </c>
      <c r="AA6025">
        <v>0.82403019999999905</v>
      </c>
      <c r="AB6025">
        <v>1</v>
      </c>
      <c r="AC6025">
        <v>0.70789999999999498</v>
      </c>
      <c r="AD6025">
        <v>-0.153216199999999</v>
      </c>
      <c r="AE6025">
        <v>0.49049999999999699</v>
      </c>
      <c r="AF6025">
        <v>-0.482894187892914</v>
      </c>
      <c r="AG6025">
        <v>-0.153216199999999</v>
      </c>
      <c r="AH6025">
        <v>0.68096545313684498</v>
      </c>
      <c r="AI6025">
        <v>100.40004397425299</v>
      </c>
      <c r="AJ6025">
        <v>125.341661990557</v>
      </c>
      <c r="AK6025">
        <v>0.84874963859142005</v>
      </c>
      <c r="AL6025">
        <v>82.348915570317203</v>
      </c>
      <c r="AM6025">
        <v>105.44397954778201</v>
      </c>
      <c r="AN6025">
        <v>1.00000002315404</v>
      </c>
    </row>
    <row r="6026" spans="1:40" x14ac:dyDescent="0.25">
      <c r="A6026" t="str">
        <f>"20190303162724300"</f>
        <v>20190303162724300</v>
      </c>
      <c r="B6026" t="str">
        <f>"1551601644290657"</f>
        <v>1551601644290657</v>
      </c>
      <c r="C6026" t="s">
        <v>40</v>
      </c>
      <c r="D6026">
        <v>4.8425469999999997</v>
      </c>
      <c r="E6026">
        <v>0.36438110000000001</v>
      </c>
      <c r="F6026" t="s">
        <v>42</v>
      </c>
      <c r="G6026">
        <v>-133.17599999999999</v>
      </c>
      <c r="H6026">
        <v>0.97079499999999996</v>
      </c>
      <c r="I6026">
        <v>139.23249999999999</v>
      </c>
      <c r="J6026">
        <v>-133.88820000000001</v>
      </c>
      <c r="K6026">
        <v>1.122142</v>
      </c>
      <c r="L6026">
        <v>138.75219999999999</v>
      </c>
      <c r="M6026">
        <v>0.99975049999999999</v>
      </c>
      <c r="N6026">
        <v>-1.9472090000000001E-2</v>
      </c>
      <c r="O6026">
        <v>-1.0953289999999999E-2</v>
      </c>
      <c r="P6026">
        <v>0.96281119999999998</v>
      </c>
      <c r="Q6026">
        <v>0.1119819</v>
      </c>
      <c r="R6026">
        <v>0.2458755</v>
      </c>
      <c r="S6026">
        <v>2.7141109999999999</v>
      </c>
      <c r="T6026">
        <v>-0.5697681</v>
      </c>
      <c r="U6026">
        <v>1.8068390000000001</v>
      </c>
      <c r="V6026">
        <v>-0.25641969999999997</v>
      </c>
      <c r="W6026">
        <v>0.130634</v>
      </c>
      <c r="X6026">
        <v>0.95769709999999997</v>
      </c>
      <c r="Y6026">
        <v>-0.55365279999999994</v>
      </c>
      <c r="Z6026">
        <v>6.0176769999999997E-2</v>
      </c>
      <c r="AA6026">
        <v>0.83057049999999999</v>
      </c>
      <c r="AB6026">
        <v>1</v>
      </c>
      <c r="AC6026">
        <v>0.71219999999999495</v>
      </c>
      <c r="AD6026">
        <v>-0.15134699999999901</v>
      </c>
      <c r="AE6026">
        <v>0.48029999999999901</v>
      </c>
      <c r="AF6026">
        <v>-0.473379271307584</v>
      </c>
      <c r="AG6026">
        <v>-0.15134699999999901</v>
      </c>
      <c r="AH6026">
        <v>0.68561306382862397</v>
      </c>
      <c r="AI6026">
        <v>100.295767768357</v>
      </c>
      <c r="AJ6026">
        <v>124.623010537125</v>
      </c>
      <c r="AK6026">
        <v>0.846793435381482</v>
      </c>
      <c r="AL6026">
        <v>82.493769874542807</v>
      </c>
      <c r="AM6026">
        <v>104.98914463387899</v>
      </c>
      <c r="AN6026">
        <v>1.00000001992624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2020-05-20T14:49:46Z</dcterms:created>
  <dcterms:modified xsi:type="dcterms:W3CDTF">2020-05-20T14:49:46Z</dcterms:modified>
</cp:coreProperties>
</file>